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/>
  <mc:AlternateContent xmlns:mc="http://schemas.openxmlformats.org/markup-compatibility/2006">
    <mc:Choice Requires="x15">
      <x15ac:absPath xmlns:x15ac="http://schemas.microsoft.com/office/spreadsheetml/2010/11/ac" url="D:\DEC\193018_GCDT\Bill_of_Quantity\Final3สัญญาแก้ไข14112021\W\"/>
    </mc:Choice>
  </mc:AlternateContent>
  <xr:revisionPtr revIDLastSave="0" documentId="13_ncr:1_{37D9DE85-E0E6-4B0D-83DB-EF36A24B6A7C}" xr6:coauthVersionLast="47" xr6:coauthVersionMax="47" xr10:uidLastSave="{00000000-0000-0000-0000-000000000000}"/>
  <bookViews>
    <workbookView xWindow="-96" yWindow="-96" windowWidth="23232" windowHeight="12552" tabRatio="811" firstSheet="14" activeTab="20" xr2:uid="{00000000-000D-0000-FFFF-FFFF00000000}"/>
  </bookViews>
  <sheets>
    <sheet name="ปร.6" sheetId="267" r:id="rId1"/>
    <sheet name="ปร.5(ก)อาคาร" sheetId="268" r:id="rId2"/>
    <sheet name="Sum-ทิศตะวันตก" sheetId="279" r:id="rId3"/>
    <sheet name="01.ST อาคารทิศตะวันตก" sheetId="365" r:id="rId4"/>
    <sheet name="02.AR อาคารทิศตะวันตก" sheetId="677" r:id="rId5"/>
    <sheet name="03.SUM-EE-ทิศตะวันตก" sheetId="832" r:id="rId6"/>
    <sheet name="03.EE-ทิศตะวันตก (Main)" sheetId="833" r:id="rId7"/>
    <sheet name="03.EE-ทิศตะวันตก (B2)" sheetId="834" r:id="rId8"/>
    <sheet name="03.EE-ทิศตะวันตก (B1)" sheetId="835" r:id="rId9"/>
    <sheet name="03.EE-ทิศตะวันตก (1FL)" sheetId="836" r:id="rId10"/>
    <sheet name="03.EE-ทิศตะวันตก (2FL)" sheetId="837" r:id="rId11"/>
    <sheet name="03.EE-ทิศตะวันตก (3FL)" sheetId="838" r:id="rId12"/>
    <sheet name="03.EE-ทิศตะวันตก (4FL)" sheetId="839" r:id="rId13"/>
    <sheet name="03.EE-ทิศตะวันตก (5FL)" sheetId="840" r:id="rId14"/>
    <sheet name="03.EE-ทิศตะวันตก (6FL)" sheetId="841" r:id="rId15"/>
    <sheet name="03.EE-ทิศตะวันตก (7FL)" sheetId="842" r:id="rId16"/>
    <sheet name="03.EE-ทิศตะวันตก (8FL)" sheetId="843" r:id="rId17"/>
    <sheet name="03.EE-ทิศตะวันตก (9FL)" sheetId="844" r:id="rId18"/>
    <sheet name="03.EE-ทิศตะวันตก (10FL)" sheetId="845" r:id="rId19"/>
    <sheet name="03.EE-ทิศตะวันตก (11FL)" sheetId="846" r:id="rId20"/>
    <sheet name="03.EE-ทิศตะวันตก (RFL)" sheetId="847" r:id="rId21"/>
    <sheet name="04.SUM-TV.อาคารตะวันตก" sheetId="767" r:id="rId22"/>
    <sheet name="04.TV.อาคารตะวันตก(Main)" sheetId="768" r:id="rId23"/>
    <sheet name="04.TV.อาคารตะวันตก (B2)" sheetId="769" r:id="rId24"/>
    <sheet name="04.TV.อาคารตะวันตก (B1)" sheetId="770" r:id="rId25"/>
    <sheet name="04.TV.อาคารตะวันตก (1FL)" sheetId="771" r:id="rId26"/>
    <sheet name="04.TVอาคารตะวันตก (2FL)" sheetId="772" r:id="rId27"/>
    <sheet name="04.TV.อาคารตะวันตก (3FL)" sheetId="773" r:id="rId28"/>
    <sheet name="04.TV.อาคารตะวันตก (4FL)" sheetId="774" r:id="rId29"/>
    <sheet name="04.TV.อาคารตะวันตก (5FL)" sheetId="775" r:id="rId30"/>
    <sheet name="04.TVอาคารตะวันตก (6FL)" sheetId="776" r:id="rId31"/>
    <sheet name="04.TV.อาคารตะวันตก (7FL)" sheetId="777" r:id="rId32"/>
    <sheet name="04.TV.อาคารตะวันตก (8FL)" sheetId="778" r:id="rId33"/>
    <sheet name="04.TV.อาคารตะวันตก (9FL)" sheetId="779" r:id="rId34"/>
    <sheet name="04.TV.อาคารตะวันตก (10FL)" sheetId="780" r:id="rId35"/>
    <sheet name="04.TV.อาคารตะวันตก (11FL)" sheetId="781" r:id="rId36"/>
    <sheet name="04.TV.อาคารตะวันตก (RFL)" sheetId="782" r:id="rId37"/>
    <sheet name="05.SUM-SAN อาคารตะวันตก" sheetId="783" r:id="rId38"/>
    <sheet name="05.SAN อาคารทิศตะวันตก(Main)" sheetId="784" r:id="rId39"/>
    <sheet name="05.SAN อาคารทิศตะวันตก(B2)" sheetId="785" r:id="rId40"/>
    <sheet name="05.SAN อาคารทิศตะวันตก(B1)" sheetId="786" r:id="rId41"/>
    <sheet name="05.SAN อาคารทิศตะวันตก (FL1)" sheetId="787" r:id="rId42"/>
    <sheet name="05.SAN อาคารทิศตะวันตก (FL2)" sheetId="788" r:id="rId43"/>
    <sheet name="05.SAN อาคารทิศตะวันตก (FL3)" sheetId="789" r:id="rId44"/>
    <sheet name="05.SAN อาคารทิศตะวันตก (FL4)" sheetId="790" r:id="rId45"/>
    <sheet name="05.SAN อาคารทิศตะวันตก (FL5)" sheetId="791" r:id="rId46"/>
    <sheet name="05.SAN อาคารทิศตะวันตก (FL6)" sheetId="792" r:id="rId47"/>
    <sheet name="05.SAN อาคารทิศตะวันตก (FL7)" sheetId="793" r:id="rId48"/>
    <sheet name="05.SAN อาคารทิศตะวันตก (FL8)" sheetId="794" r:id="rId49"/>
    <sheet name="05.SAN อาคารทิศตะวันตก (FL9)" sheetId="795" r:id="rId50"/>
    <sheet name="05.SAN อาคารทิศตะวันตก (FL10)" sheetId="796" r:id="rId51"/>
    <sheet name="05.SAN อาคารทิศตะวันตก (FL11)" sheetId="797" r:id="rId52"/>
    <sheet name="05.SAN อาคารทิศตะวันตก (FLR)" sheetId="798" r:id="rId53"/>
    <sheet name="06.SUM-FP อาคารตะวันตก" sheetId="799" r:id="rId54"/>
    <sheet name="06.FP อาคารทิศตะวันตก(Main)" sheetId="800" r:id="rId55"/>
    <sheet name="06.FP อาคารทิศตะวันตก(B2)" sheetId="801" r:id="rId56"/>
    <sheet name="06.FP อาคารทิศตะวันตก(B1)" sheetId="802" r:id="rId57"/>
    <sheet name="06.FP อาคารทิศตะวันตก (FL1)" sheetId="803" r:id="rId58"/>
    <sheet name="06.FP อาคารทิศตะวันตก (FL2)" sheetId="804" r:id="rId59"/>
    <sheet name="06.FP อาคารทิศตะวันตก (FL3)" sheetId="805" r:id="rId60"/>
    <sheet name="06.FP อาคารทิศตะวันตก (FL4)" sheetId="806" r:id="rId61"/>
    <sheet name="06.FP อาคารทิศตะวันตก (FL5)" sheetId="807" r:id="rId62"/>
    <sheet name="06.FP อาคารทิศตะวันตก (FL6)" sheetId="808" r:id="rId63"/>
    <sheet name="06.FP อาคารทิศตะวันตก (FL7)" sheetId="809" r:id="rId64"/>
    <sheet name="06.FP อาคารทิศตะวันตก (FL8)" sheetId="810" r:id="rId65"/>
    <sheet name="06.FP อาคารทิศตะวันตก (FL9)" sheetId="811" r:id="rId66"/>
    <sheet name="06.FP อาคารทิศตะวันตก (FL10)" sheetId="812" r:id="rId67"/>
    <sheet name="06.FP อาคารทิศตะวันตก (FL11)" sheetId="813" r:id="rId68"/>
    <sheet name="06.FP อาคารทิศตะวันตก (FLR)" sheetId="814" r:id="rId69"/>
    <sheet name="06.SUM-AC อาคารทิศตะวันตก" sheetId="815" r:id="rId70"/>
    <sheet name="06.AC อาคารทิศตะวันตก (Main)" sheetId="816" r:id="rId71"/>
    <sheet name="06.AC อาคารทิศตะวันตก (B2FL)" sheetId="817" r:id="rId72"/>
    <sheet name="06.AC อาคารทิศตะวันตก (B1FL)" sheetId="818" r:id="rId73"/>
    <sheet name="06.AC อาคารทิศตะวันตก (1FL)" sheetId="819" r:id="rId74"/>
    <sheet name="06.AC อาคารทิศตะวันตก (2FL)" sheetId="820" r:id="rId75"/>
    <sheet name="06.AC อาคารทิศตะวันตก (3FL)" sheetId="825" r:id="rId76"/>
    <sheet name="06.AC อาคารทิศตะวันตก (4FL)" sheetId="821" r:id="rId77"/>
    <sheet name="06.AC อาคารทิศตะวันตก (5FL)" sheetId="826" r:id="rId78"/>
    <sheet name="06.AC อาคารทิศตะวันตก (6FL)" sheetId="827" r:id="rId79"/>
    <sheet name="06.AC อาคารทิศตะวันตก (7FL)" sheetId="828" r:id="rId80"/>
    <sheet name="06.AC อาคารทิศตะวันตก (8FL)" sheetId="829" r:id="rId81"/>
    <sheet name="06.AC อาคารทิศตะวันตก (9FL)" sheetId="830" r:id="rId82"/>
    <sheet name="06.AC อาคารทิศตะวันตก (10FL)" sheetId="831" r:id="rId83"/>
    <sheet name="06.AC อาคารทิศตะวันตก (11FL)" sheetId="822" r:id="rId84"/>
    <sheet name="06.AC อาคารทิศตะวันตก (RFL)" sheetId="823" r:id="rId85"/>
    <sheet name="07.LIFT-อาคารทิศตะวันตก (2)" sheetId="824" r:id="rId86"/>
    <sheet name="08.hardscape- อาคารทิศตะวันตก" sheetId="676" r:id="rId87"/>
    <sheet name="ปร.4 (พ)" sheetId="265" r:id="rId88"/>
    <sheet name="แบบแสดงการคำนวณค่าใช้จ่ายพิเศษ" sheetId="266" r:id="rId89"/>
    <sheet name="Factor F" sheetId="269" r:id="rId90"/>
  </sheets>
  <externalReferences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a" localSheetId="3">#REF!</definedName>
    <definedName name="\a" localSheetId="4">#REF!</definedName>
    <definedName name="\a" localSheetId="18">#REF!</definedName>
    <definedName name="\a" localSheetId="19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8">#REF!</definedName>
    <definedName name="\a" localSheetId="7">#REF!</definedName>
    <definedName name="\a" localSheetId="6">#REF!</definedName>
    <definedName name="\a" localSheetId="20">#REF!</definedName>
    <definedName name="\a" localSheetId="5">#REF!</definedName>
    <definedName name="\a" localSheetId="21">#REF!</definedName>
    <definedName name="\a" localSheetId="34">#REF!</definedName>
    <definedName name="\a" localSheetId="35">#REF!</definedName>
    <definedName name="\a" localSheetId="25">#REF!</definedName>
    <definedName name="\a" localSheetId="27">#REF!</definedName>
    <definedName name="\a" localSheetId="28">#REF!</definedName>
    <definedName name="\a" localSheetId="29">#REF!</definedName>
    <definedName name="\a" localSheetId="31">#REF!</definedName>
    <definedName name="\a" localSheetId="32">#REF!</definedName>
    <definedName name="\a" localSheetId="33">#REF!</definedName>
    <definedName name="\a" localSheetId="24">#REF!</definedName>
    <definedName name="\a" localSheetId="23">#REF!</definedName>
    <definedName name="\a" localSheetId="36">#REF!</definedName>
    <definedName name="\a" localSheetId="22">#REF!</definedName>
    <definedName name="\a" localSheetId="26">#REF!</definedName>
    <definedName name="\a" localSheetId="30">#REF!</definedName>
    <definedName name="\a" localSheetId="41">#REF!</definedName>
    <definedName name="\a" localSheetId="50">#REF!</definedName>
    <definedName name="\a" localSheetId="51">#REF!</definedName>
    <definedName name="\a" localSheetId="42">#REF!</definedName>
    <definedName name="\a" localSheetId="43">#REF!</definedName>
    <definedName name="\a" localSheetId="44">#REF!</definedName>
    <definedName name="\a" localSheetId="45">#REF!</definedName>
    <definedName name="\a" localSheetId="46">#REF!</definedName>
    <definedName name="\a" localSheetId="47">#REF!</definedName>
    <definedName name="\a" localSheetId="48">#REF!</definedName>
    <definedName name="\a" localSheetId="49">#REF!</definedName>
    <definedName name="\a" localSheetId="52">#REF!</definedName>
    <definedName name="\a" localSheetId="40">#REF!</definedName>
    <definedName name="\a" localSheetId="39">#REF!</definedName>
    <definedName name="\a" localSheetId="38">#REF!</definedName>
    <definedName name="\a" localSheetId="37">#REF!</definedName>
    <definedName name="\a" localSheetId="57">#REF!</definedName>
    <definedName name="\a" localSheetId="66">#REF!</definedName>
    <definedName name="\a" localSheetId="67">#REF!</definedName>
    <definedName name="\a" localSheetId="58">#REF!</definedName>
    <definedName name="\a" localSheetId="59">#REF!</definedName>
    <definedName name="\a" localSheetId="60">#REF!</definedName>
    <definedName name="\a" localSheetId="61">#REF!</definedName>
    <definedName name="\a" localSheetId="62">#REF!</definedName>
    <definedName name="\a" localSheetId="63">#REF!</definedName>
    <definedName name="\a" localSheetId="64">#REF!</definedName>
    <definedName name="\a" localSheetId="65">#REF!</definedName>
    <definedName name="\a" localSheetId="68">#REF!</definedName>
    <definedName name="\a" localSheetId="56">#REF!</definedName>
    <definedName name="\a" localSheetId="55">#REF!</definedName>
    <definedName name="\a" localSheetId="54">#REF!</definedName>
    <definedName name="\a" localSheetId="69">#REF!</definedName>
    <definedName name="\a" localSheetId="53">#REF!</definedName>
    <definedName name="\a" localSheetId="85">#REF!</definedName>
    <definedName name="\a" localSheetId="86">#REF!</definedName>
    <definedName name="\a" localSheetId="2">#REF!</definedName>
    <definedName name="\a">#REF!</definedName>
    <definedName name="\z" localSheetId="3">#REF!</definedName>
    <definedName name="\z" localSheetId="4">#REF!</definedName>
    <definedName name="\z" localSheetId="18">#REF!</definedName>
    <definedName name="\z" localSheetId="19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8">#REF!</definedName>
    <definedName name="\z" localSheetId="7">#REF!</definedName>
    <definedName name="\z" localSheetId="6">#REF!</definedName>
    <definedName name="\z" localSheetId="20">#REF!</definedName>
    <definedName name="\z" localSheetId="5">#REF!</definedName>
    <definedName name="\z" localSheetId="21">#REF!</definedName>
    <definedName name="\z" localSheetId="34">#REF!</definedName>
    <definedName name="\z" localSheetId="35">#REF!</definedName>
    <definedName name="\z" localSheetId="25">#REF!</definedName>
    <definedName name="\z" localSheetId="27">#REF!</definedName>
    <definedName name="\z" localSheetId="28">#REF!</definedName>
    <definedName name="\z" localSheetId="29">#REF!</definedName>
    <definedName name="\z" localSheetId="31">#REF!</definedName>
    <definedName name="\z" localSheetId="32">#REF!</definedName>
    <definedName name="\z" localSheetId="33">#REF!</definedName>
    <definedName name="\z" localSheetId="24">#REF!</definedName>
    <definedName name="\z" localSheetId="23">#REF!</definedName>
    <definedName name="\z" localSheetId="36">#REF!</definedName>
    <definedName name="\z" localSheetId="22">#REF!</definedName>
    <definedName name="\z" localSheetId="26">#REF!</definedName>
    <definedName name="\z" localSheetId="30">#REF!</definedName>
    <definedName name="\z" localSheetId="85">#REF!</definedName>
    <definedName name="\z" localSheetId="86">#REF!</definedName>
    <definedName name="\z" localSheetId="2">#REF!</definedName>
    <definedName name="\z">#REF!</definedName>
    <definedName name="_________con2" localSheetId="3">#REF!</definedName>
    <definedName name="_________con2" localSheetId="4">#REF!</definedName>
    <definedName name="_________con2" localSheetId="85">#REF!</definedName>
    <definedName name="_________con2" localSheetId="86">#REF!</definedName>
    <definedName name="_________con2" localSheetId="2">#REF!</definedName>
    <definedName name="_________con2">#REF!</definedName>
    <definedName name="_________con3" localSheetId="3">#REF!</definedName>
    <definedName name="_________con3" localSheetId="2">#REF!</definedName>
    <definedName name="_________con3">#REF!</definedName>
    <definedName name="_________con4" localSheetId="3">#REF!</definedName>
    <definedName name="_________con4" localSheetId="2">#REF!</definedName>
    <definedName name="_________con4">#REF!</definedName>
    <definedName name="_________st1" localSheetId="3">#REF!</definedName>
    <definedName name="_________st1" localSheetId="2">#REF!</definedName>
    <definedName name="_________st1">#REF!</definedName>
    <definedName name="_________st2" localSheetId="3">#REF!</definedName>
    <definedName name="_________st2" localSheetId="2">#REF!</definedName>
    <definedName name="_________st2">#REF!</definedName>
    <definedName name="________con1" localSheetId="3">#REF!</definedName>
    <definedName name="________con1" localSheetId="2">#REF!</definedName>
    <definedName name="________con1">#REF!</definedName>
    <definedName name="________con11" localSheetId="3">#REF!</definedName>
    <definedName name="________con11" localSheetId="2">#REF!</definedName>
    <definedName name="________con11">#REF!</definedName>
    <definedName name="________con2" localSheetId="3">#REF!</definedName>
    <definedName name="________con2" localSheetId="2">#REF!</definedName>
    <definedName name="________con2">#REF!</definedName>
    <definedName name="________con3" localSheetId="3">#REF!</definedName>
    <definedName name="________con3" localSheetId="2">#REF!</definedName>
    <definedName name="________con3">#REF!</definedName>
    <definedName name="________con4" localSheetId="3">#REF!</definedName>
    <definedName name="________con4" localSheetId="2">#REF!</definedName>
    <definedName name="________con4">#REF!</definedName>
    <definedName name="________FAC1" localSheetId="3">[1]สรุป!$C$307</definedName>
    <definedName name="________FAC1" localSheetId="4">[2]สรุป!$C$307</definedName>
    <definedName name="________FAC1" localSheetId="86">[2]สรุป!$C$307</definedName>
    <definedName name="________FAC1">[3]สรุป!$C$307</definedName>
    <definedName name="________fws1" localSheetId="3">'[4]11 ข้อมูลงานCon'!$AB$30</definedName>
    <definedName name="________fws1" localSheetId="4">'[4]11 ข้อมูลงานCon'!$AB$30</definedName>
    <definedName name="________fws1" localSheetId="85">'[5]11 ข้อมูลงานCon'!$AB$30</definedName>
    <definedName name="________fws1" localSheetId="86">'[5]11 ข้อมูลงานCon'!$AB$30</definedName>
    <definedName name="________fws1">'[4]11 ข้อมูลงานCon'!$AB$30</definedName>
    <definedName name="________rb1" localSheetId="3">'[6]10 ข้อมูลวัสดุ-ค่าดำเนิน'!$X$15</definedName>
    <definedName name="________rb1" localSheetId="4">'[6]10 ข้อมูลวัสดุ-ค่าดำเนิน'!$X$15</definedName>
    <definedName name="________rb1" localSheetId="85">'[7]10 ข้อมูลวัสดุ-ค่าดำเนิน'!$X$15</definedName>
    <definedName name="________rb1" localSheetId="86">'[7]10 ข้อมูลวัสดุ-ค่าดำเนิน'!$X$15</definedName>
    <definedName name="________rb1">'[6]10 ข้อมูลวัสดุ-ค่าดำเนิน'!$X$15</definedName>
    <definedName name="________sb1" localSheetId="3">'[4]12 ข้อมูลงานไม้แบบ'!$W$29</definedName>
    <definedName name="________sb1" localSheetId="4">'[4]12 ข้อมูลงานไม้แบบ'!$W$29</definedName>
    <definedName name="________sb1" localSheetId="85">'[5]12 ข้อมูลงานไม้แบบ'!$W$29</definedName>
    <definedName name="________sb1" localSheetId="86">'[5]12 ข้อมูลงานไม้แบบ'!$W$29</definedName>
    <definedName name="________sb1">'[4]12 ข้อมูลงานไม้แบบ'!$W$29</definedName>
    <definedName name="________sd30" localSheetId="3">#REF!</definedName>
    <definedName name="________sd30" localSheetId="4">#REF!</definedName>
    <definedName name="________sd30" localSheetId="18">#REF!</definedName>
    <definedName name="________sd30" localSheetId="19">#REF!</definedName>
    <definedName name="________sd30" localSheetId="9">#REF!</definedName>
    <definedName name="________sd30" localSheetId="10">#REF!</definedName>
    <definedName name="________sd30" localSheetId="11">#REF!</definedName>
    <definedName name="________sd30" localSheetId="12">#REF!</definedName>
    <definedName name="________sd30" localSheetId="13">#REF!</definedName>
    <definedName name="________sd30" localSheetId="14">#REF!</definedName>
    <definedName name="________sd30" localSheetId="15">#REF!</definedName>
    <definedName name="________sd30" localSheetId="16">#REF!</definedName>
    <definedName name="________sd30" localSheetId="17">#REF!</definedName>
    <definedName name="________sd30" localSheetId="8">#REF!</definedName>
    <definedName name="________sd30" localSheetId="7">#REF!</definedName>
    <definedName name="________sd30" localSheetId="6">#REF!</definedName>
    <definedName name="________sd30" localSheetId="20">#REF!</definedName>
    <definedName name="________sd30" localSheetId="5">#REF!</definedName>
    <definedName name="________sd30" localSheetId="21">#REF!</definedName>
    <definedName name="________sd30" localSheetId="34">#REF!</definedName>
    <definedName name="________sd30" localSheetId="35">#REF!</definedName>
    <definedName name="________sd30" localSheetId="25">#REF!</definedName>
    <definedName name="________sd30" localSheetId="27">#REF!</definedName>
    <definedName name="________sd30" localSheetId="28">#REF!</definedName>
    <definedName name="________sd30" localSheetId="29">#REF!</definedName>
    <definedName name="________sd30" localSheetId="31">#REF!</definedName>
    <definedName name="________sd30" localSheetId="32">#REF!</definedName>
    <definedName name="________sd30" localSheetId="33">#REF!</definedName>
    <definedName name="________sd30" localSheetId="24">#REF!</definedName>
    <definedName name="________sd30" localSheetId="23">#REF!</definedName>
    <definedName name="________sd30" localSheetId="36">#REF!</definedName>
    <definedName name="________sd30" localSheetId="22">#REF!</definedName>
    <definedName name="________sd30" localSheetId="26">#REF!</definedName>
    <definedName name="________sd30" localSheetId="30">#REF!</definedName>
    <definedName name="________sd30" localSheetId="41">#REF!</definedName>
    <definedName name="________sd30" localSheetId="50">#REF!</definedName>
    <definedName name="________sd30" localSheetId="51">#REF!</definedName>
    <definedName name="________sd30" localSheetId="42">#REF!</definedName>
    <definedName name="________sd30" localSheetId="43">#REF!</definedName>
    <definedName name="________sd30" localSheetId="44">#REF!</definedName>
    <definedName name="________sd30" localSheetId="45">#REF!</definedName>
    <definedName name="________sd30" localSheetId="46">#REF!</definedName>
    <definedName name="________sd30" localSheetId="47">#REF!</definedName>
    <definedName name="________sd30" localSheetId="48">#REF!</definedName>
    <definedName name="________sd30" localSheetId="49">#REF!</definedName>
    <definedName name="________sd30" localSheetId="52">#REF!</definedName>
    <definedName name="________sd30" localSheetId="40">#REF!</definedName>
    <definedName name="________sd30" localSheetId="39">#REF!</definedName>
    <definedName name="________sd30" localSheetId="38">#REF!</definedName>
    <definedName name="________sd30" localSheetId="37">#REF!</definedName>
    <definedName name="________sd30" localSheetId="57">#REF!</definedName>
    <definedName name="________sd30" localSheetId="66">#REF!</definedName>
    <definedName name="________sd30" localSheetId="67">#REF!</definedName>
    <definedName name="________sd30" localSheetId="58">#REF!</definedName>
    <definedName name="________sd30" localSheetId="59">#REF!</definedName>
    <definedName name="________sd30" localSheetId="60">#REF!</definedName>
    <definedName name="________sd30" localSheetId="61">#REF!</definedName>
    <definedName name="________sd30" localSheetId="62">#REF!</definedName>
    <definedName name="________sd30" localSheetId="63">#REF!</definedName>
    <definedName name="________sd30" localSheetId="64">#REF!</definedName>
    <definedName name="________sd30" localSheetId="65">#REF!</definedName>
    <definedName name="________sd30" localSheetId="68">#REF!</definedName>
    <definedName name="________sd30" localSheetId="56">#REF!</definedName>
    <definedName name="________sd30" localSheetId="55">#REF!</definedName>
    <definedName name="________sd30" localSheetId="54">#REF!</definedName>
    <definedName name="________sd30" localSheetId="53">#REF!</definedName>
    <definedName name="________sd30" localSheetId="85">#REF!</definedName>
    <definedName name="________sd30" localSheetId="86">#REF!</definedName>
    <definedName name="________sd30" localSheetId="2">#REF!</definedName>
    <definedName name="________sd30">#REF!</definedName>
    <definedName name="________sd40" localSheetId="3">#REF!</definedName>
    <definedName name="________sd40" localSheetId="4">#REF!</definedName>
    <definedName name="________sd40" localSheetId="18">#REF!</definedName>
    <definedName name="________sd40" localSheetId="19">#REF!</definedName>
    <definedName name="________sd40" localSheetId="9">#REF!</definedName>
    <definedName name="________sd40" localSheetId="10">#REF!</definedName>
    <definedName name="________sd40" localSheetId="11">#REF!</definedName>
    <definedName name="________sd40" localSheetId="12">#REF!</definedName>
    <definedName name="________sd40" localSheetId="13">#REF!</definedName>
    <definedName name="________sd40" localSheetId="14">#REF!</definedName>
    <definedName name="________sd40" localSheetId="15">#REF!</definedName>
    <definedName name="________sd40" localSheetId="16">#REF!</definedName>
    <definedName name="________sd40" localSheetId="17">#REF!</definedName>
    <definedName name="________sd40" localSheetId="8">#REF!</definedName>
    <definedName name="________sd40" localSheetId="7">#REF!</definedName>
    <definedName name="________sd40" localSheetId="6">#REF!</definedName>
    <definedName name="________sd40" localSheetId="20">#REF!</definedName>
    <definedName name="________sd40" localSheetId="5">#REF!</definedName>
    <definedName name="________sd40" localSheetId="21">#REF!</definedName>
    <definedName name="________sd40" localSheetId="34">#REF!</definedName>
    <definedName name="________sd40" localSheetId="35">#REF!</definedName>
    <definedName name="________sd40" localSheetId="25">#REF!</definedName>
    <definedName name="________sd40" localSheetId="27">#REF!</definedName>
    <definedName name="________sd40" localSheetId="28">#REF!</definedName>
    <definedName name="________sd40" localSheetId="29">#REF!</definedName>
    <definedName name="________sd40" localSheetId="31">#REF!</definedName>
    <definedName name="________sd40" localSheetId="32">#REF!</definedName>
    <definedName name="________sd40" localSheetId="33">#REF!</definedName>
    <definedName name="________sd40" localSheetId="24">#REF!</definedName>
    <definedName name="________sd40" localSheetId="23">#REF!</definedName>
    <definedName name="________sd40" localSheetId="36">#REF!</definedName>
    <definedName name="________sd40" localSheetId="22">#REF!</definedName>
    <definedName name="________sd40" localSheetId="26">#REF!</definedName>
    <definedName name="________sd40" localSheetId="30">#REF!</definedName>
    <definedName name="________sd40" localSheetId="85">#REF!</definedName>
    <definedName name="________sd40" localSheetId="86">#REF!</definedName>
    <definedName name="________sd40" localSheetId="2">#REF!</definedName>
    <definedName name="________sd40">#REF!</definedName>
    <definedName name="________st1" localSheetId="3">#REF!</definedName>
    <definedName name="________st1" localSheetId="4">#REF!</definedName>
    <definedName name="________st1" localSheetId="18">#REF!</definedName>
    <definedName name="________st1" localSheetId="19">#REF!</definedName>
    <definedName name="________st1" localSheetId="9">#REF!</definedName>
    <definedName name="________st1" localSheetId="10">#REF!</definedName>
    <definedName name="________st1" localSheetId="11">#REF!</definedName>
    <definedName name="________st1" localSheetId="12">#REF!</definedName>
    <definedName name="________st1" localSheetId="13">#REF!</definedName>
    <definedName name="________st1" localSheetId="14">#REF!</definedName>
    <definedName name="________st1" localSheetId="15">#REF!</definedName>
    <definedName name="________st1" localSheetId="16">#REF!</definedName>
    <definedName name="________st1" localSheetId="17">#REF!</definedName>
    <definedName name="________st1" localSheetId="8">#REF!</definedName>
    <definedName name="________st1" localSheetId="7">#REF!</definedName>
    <definedName name="________st1" localSheetId="6">#REF!</definedName>
    <definedName name="________st1" localSheetId="20">#REF!</definedName>
    <definedName name="________st1" localSheetId="5">#REF!</definedName>
    <definedName name="________st1" localSheetId="21">#REF!</definedName>
    <definedName name="________st1" localSheetId="34">#REF!</definedName>
    <definedName name="________st1" localSheetId="35">#REF!</definedName>
    <definedName name="________st1" localSheetId="25">#REF!</definedName>
    <definedName name="________st1" localSheetId="27">#REF!</definedName>
    <definedName name="________st1" localSheetId="28">#REF!</definedName>
    <definedName name="________st1" localSheetId="29">#REF!</definedName>
    <definedName name="________st1" localSheetId="31">#REF!</definedName>
    <definedName name="________st1" localSheetId="32">#REF!</definedName>
    <definedName name="________st1" localSheetId="33">#REF!</definedName>
    <definedName name="________st1" localSheetId="24">#REF!</definedName>
    <definedName name="________st1" localSheetId="23">#REF!</definedName>
    <definedName name="________st1" localSheetId="36">#REF!</definedName>
    <definedName name="________st1" localSheetId="22">#REF!</definedName>
    <definedName name="________st1" localSheetId="26">#REF!</definedName>
    <definedName name="________st1" localSheetId="30">#REF!</definedName>
    <definedName name="________st1" localSheetId="85">#REF!</definedName>
    <definedName name="________st1" localSheetId="86">#REF!</definedName>
    <definedName name="________st1" localSheetId="2">#REF!</definedName>
    <definedName name="________st1">#REF!</definedName>
    <definedName name="________st2" localSheetId="3">#REF!</definedName>
    <definedName name="________st2" localSheetId="2">#REF!</definedName>
    <definedName name="________st2">#REF!</definedName>
    <definedName name="________st3" localSheetId="3">#REF!</definedName>
    <definedName name="________st3" localSheetId="2">#REF!</definedName>
    <definedName name="________st3">#REF!</definedName>
    <definedName name="________wb1" localSheetId="3">'[6]10 ข้อมูลวัสดุ-ค่าดำเนิน'!$X$19</definedName>
    <definedName name="________wb1" localSheetId="4">'[6]10 ข้อมูลวัสดุ-ค่าดำเนิน'!$X$19</definedName>
    <definedName name="________wb1" localSheetId="85">'[7]10 ข้อมูลวัสดุ-ค่าดำเนิน'!$X$19</definedName>
    <definedName name="________wb1" localSheetId="86">'[7]10 ข้อมูลวัสดุ-ค่าดำเนิน'!$X$19</definedName>
    <definedName name="________wb1">'[6]10 ข้อมูลวัสดุ-ค่าดำเนิน'!$X$19</definedName>
    <definedName name="_______con1" localSheetId="3">#REF!</definedName>
    <definedName name="_______con1" localSheetId="4">#REF!</definedName>
    <definedName name="_______con1" localSheetId="18">#REF!</definedName>
    <definedName name="_______con1" localSheetId="19">#REF!</definedName>
    <definedName name="_______con1" localSheetId="9">#REF!</definedName>
    <definedName name="_______con1" localSheetId="10">#REF!</definedName>
    <definedName name="_______con1" localSheetId="11">#REF!</definedName>
    <definedName name="_______con1" localSheetId="12">#REF!</definedName>
    <definedName name="_______con1" localSheetId="13">#REF!</definedName>
    <definedName name="_______con1" localSheetId="14">#REF!</definedName>
    <definedName name="_______con1" localSheetId="15">#REF!</definedName>
    <definedName name="_______con1" localSheetId="16">#REF!</definedName>
    <definedName name="_______con1" localSheetId="17">#REF!</definedName>
    <definedName name="_______con1" localSheetId="8">#REF!</definedName>
    <definedName name="_______con1" localSheetId="7">#REF!</definedName>
    <definedName name="_______con1" localSheetId="6">#REF!</definedName>
    <definedName name="_______con1" localSheetId="20">#REF!</definedName>
    <definedName name="_______con1" localSheetId="5">#REF!</definedName>
    <definedName name="_______con1" localSheetId="21">#REF!</definedName>
    <definedName name="_______con1" localSheetId="34">#REF!</definedName>
    <definedName name="_______con1" localSheetId="35">#REF!</definedName>
    <definedName name="_______con1" localSheetId="25">#REF!</definedName>
    <definedName name="_______con1" localSheetId="27">#REF!</definedName>
    <definedName name="_______con1" localSheetId="28">#REF!</definedName>
    <definedName name="_______con1" localSheetId="29">#REF!</definedName>
    <definedName name="_______con1" localSheetId="31">#REF!</definedName>
    <definedName name="_______con1" localSheetId="32">#REF!</definedName>
    <definedName name="_______con1" localSheetId="33">#REF!</definedName>
    <definedName name="_______con1" localSheetId="24">#REF!</definedName>
    <definedName name="_______con1" localSheetId="23">#REF!</definedName>
    <definedName name="_______con1" localSheetId="36">#REF!</definedName>
    <definedName name="_______con1" localSheetId="22">#REF!</definedName>
    <definedName name="_______con1" localSheetId="26">#REF!</definedName>
    <definedName name="_______con1" localSheetId="30">#REF!</definedName>
    <definedName name="_______con1" localSheetId="41">#REF!</definedName>
    <definedName name="_______con1" localSheetId="50">#REF!</definedName>
    <definedName name="_______con1" localSheetId="51">#REF!</definedName>
    <definedName name="_______con1" localSheetId="42">#REF!</definedName>
    <definedName name="_______con1" localSheetId="43">#REF!</definedName>
    <definedName name="_______con1" localSheetId="44">#REF!</definedName>
    <definedName name="_______con1" localSheetId="45">#REF!</definedName>
    <definedName name="_______con1" localSheetId="46">#REF!</definedName>
    <definedName name="_______con1" localSheetId="47">#REF!</definedName>
    <definedName name="_______con1" localSheetId="48">#REF!</definedName>
    <definedName name="_______con1" localSheetId="49">#REF!</definedName>
    <definedName name="_______con1" localSheetId="52">#REF!</definedName>
    <definedName name="_______con1" localSheetId="40">#REF!</definedName>
    <definedName name="_______con1" localSheetId="39">#REF!</definedName>
    <definedName name="_______con1" localSheetId="38">#REF!</definedName>
    <definedName name="_______con1" localSheetId="37">#REF!</definedName>
    <definedName name="_______con1" localSheetId="57">#REF!</definedName>
    <definedName name="_______con1" localSheetId="66">#REF!</definedName>
    <definedName name="_______con1" localSheetId="67">#REF!</definedName>
    <definedName name="_______con1" localSheetId="58">#REF!</definedName>
    <definedName name="_______con1" localSheetId="59">#REF!</definedName>
    <definedName name="_______con1" localSheetId="60">#REF!</definedName>
    <definedName name="_______con1" localSheetId="61">#REF!</definedName>
    <definedName name="_______con1" localSheetId="62">#REF!</definedName>
    <definedName name="_______con1" localSheetId="63">#REF!</definedName>
    <definedName name="_______con1" localSheetId="64">#REF!</definedName>
    <definedName name="_______con1" localSheetId="65">#REF!</definedName>
    <definedName name="_______con1" localSheetId="68">#REF!</definedName>
    <definedName name="_______con1" localSheetId="56">#REF!</definedName>
    <definedName name="_______con1" localSheetId="55">#REF!</definedName>
    <definedName name="_______con1" localSheetId="54">#REF!</definedName>
    <definedName name="_______con1" localSheetId="53">#REF!</definedName>
    <definedName name="_______con1" localSheetId="85">#REF!</definedName>
    <definedName name="_______con1" localSheetId="86">#REF!</definedName>
    <definedName name="_______con1" localSheetId="2">#REF!</definedName>
    <definedName name="_______con1">#REF!</definedName>
    <definedName name="_______con11" localSheetId="3">#REF!</definedName>
    <definedName name="_______con11" localSheetId="4">#REF!</definedName>
    <definedName name="_______con11" localSheetId="18">#REF!</definedName>
    <definedName name="_______con11" localSheetId="19">#REF!</definedName>
    <definedName name="_______con11" localSheetId="9">#REF!</definedName>
    <definedName name="_______con11" localSheetId="10">#REF!</definedName>
    <definedName name="_______con11" localSheetId="11">#REF!</definedName>
    <definedName name="_______con11" localSheetId="12">#REF!</definedName>
    <definedName name="_______con11" localSheetId="13">#REF!</definedName>
    <definedName name="_______con11" localSheetId="14">#REF!</definedName>
    <definedName name="_______con11" localSheetId="15">#REF!</definedName>
    <definedName name="_______con11" localSheetId="16">#REF!</definedName>
    <definedName name="_______con11" localSheetId="17">#REF!</definedName>
    <definedName name="_______con11" localSheetId="8">#REF!</definedName>
    <definedName name="_______con11" localSheetId="7">#REF!</definedName>
    <definedName name="_______con11" localSheetId="6">#REF!</definedName>
    <definedName name="_______con11" localSheetId="20">#REF!</definedName>
    <definedName name="_______con11" localSheetId="5">#REF!</definedName>
    <definedName name="_______con11" localSheetId="21">#REF!</definedName>
    <definedName name="_______con11" localSheetId="34">#REF!</definedName>
    <definedName name="_______con11" localSheetId="35">#REF!</definedName>
    <definedName name="_______con11" localSheetId="25">#REF!</definedName>
    <definedName name="_______con11" localSheetId="27">#REF!</definedName>
    <definedName name="_______con11" localSheetId="28">#REF!</definedName>
    <definedName name="_______con11" localSheetId="29">#REF!</definedName>
    <definedName name="_______con11" localSheetId="31">#REF!</definedName>
    <definedName name="_______con11" localSheetId="32">#REF!</definedName>
    <definedName name="_______con11" localSheetId="33">#REF!</definedName>
    <definedName name="_______con11" localSheetId="24">#REF!</definedName>
    <definedName name="_______con11" localSheetId="23">#REF!</definedName>
    <definedName name="_______con11" localSheetId="36">#REF!</definedName>
    <definedName name="_______con11" localSheetId="22">#REF!</definedName>
    <definedName name="_______con11" localSheetId="26">#REF!</definedName>
    <definedName name="_______con11" localSheetId="30">#REF!</definedName>
    <definedName name="_______con11" localSheetId="85">#REF!</definedName>
    <definedName name="_______con11" localSheetId="86">#REF!</definedName>
    <definedName name="_______con11" localSheetId="2">#REF!</definedName>
    <definedName name="_______con11">#REF!</definedName>
    <definedName name="_______con2" localSheetId="3">#REF!</definedName>
    <definedName name="_______con2" localSheetId="4">#REF!</definedName>
    <definedName name="_______con2" localSheetId="18">#REF!</definedName>
    <definedName name="_______con2" localSheetId="19">#REF!</definedName>
    <definedName name="_______con2" localSheetId="9">#REF!</definedName>
    <definedName name="_______con2" localSheetId="10">#REF!</definedName>
    <definedName name="_______con2" localSheetId="11">#REF!</definedName>
    <definedName name="_______con2" localSheetId="12">#REF!</definedName>
    <definedName name="_______con2" localSheetId="13">#REF!</definedName>
    <definedName name="_______con2" localSheetId="14">#REF!</definedName>
    <definedName name="_______con2" localSheetId="15">#REF!</definedName>
    <definedName name="_______con2" localSheetId="16">#REF!</definedName>
    <definedName name="_______con2" localSheetId="17">#REF!</definedName>
    <definedName name="_______con2" localSheetId="8">#REF!</definedName>
    <definedName name="_______con2" localSheetId="7">#REF!</definedName>
    <definedName name="_______con2" localSheetId="6">#REF!</definedName>
    <definedName name="_______con2" localSheetId="20">#REF!</definedName>
    <definedName name="_______con2" localSheetId="5">#REF!</definedName>
    <definedName name="_______con2" localSheetId="21">#REF!</definedName>
    <definedName name="_______con2" localSheetId="34">#REF!</definedName>
    <definedName name="_______con2" localSheetId="35">#REF!</definedName>
    <definedName name="_______con2" localSheetId="25">#REF!</definedName>
    <definedName name="_______con2" localSheetId="27">#REF!</definedName>
    <definedName name="_______con2" localSheetId="28">#REF!</definedName>
    <definedName name="_______con2" localSheetId="29">#REF!</definedName>
    <definedName name="_______con2" localSheetId="31">#REF!</definedName>
    <definedName name="_______con2" localSheetId="32">#REF!</definedName>
    <definedName name="_______con2" localSheetId="33">#REF!</definedName>
    <definedName name="_______con2" localSheetId="24">#REF!</definedName>
    <definedName name="_______con2" localSheetId="23">#REF!</definedName>
    <definedName name="_______con2" localSheetId="36">#REF!</definedName>
    <definedName name="_______con2" localSheetId="22">#REF!</definedName>
    <definedName name="_______con2" localSheetId="26">#REF!</definedName>
    <definedName name="_______con2" localSheetId="30">#REF!</definedName>
    <definedName name="_______con2" localSheetId="85">#REF!</definedName>
    <definedName name="_______con2" localSheetId="86">#REF!</definedName>
    <definedName name="_______con2" localSheetId="2">#REF!</definedName>
    <definedName name="_______con2">#REF!</definedName>
    <definedName name="_______con3" localSheetId="3">#REF!</definedName>
    <definedName name="_______con3" localSheetId="2">#REF!</definedName>
    <definedName name="_______con3">#REF!</definedName>
    <definedName name="_______con4" localSheetId="3">#REF!</definedName>
    <definedName name="_______con4" localSheetId="2">#REF!</definedName>
    <definedName name="_______con4">#REF!</definedName>
    <definedName name="_______FAC1" localSheetId="3">[1]สรุป!$C$307</definedName>
    <definedName name="_______FAC1" localSheetId="4">[2]สรุป!$C$307</definedName>
    <definedName name="_______FAC1" localSheetId="86">[2]สรุป!$C$307</definedName>
    <definedName name="_______FAC1">[3]สรุป!$C$307</definedName>
    <definedName name="_______fws1" localSheetId="3">'[4]11 ข้อมูลงานCon'!$AB$30</definedName>
    <definedName name="_______fws1" localSheetId="4">'[4]11 ข้อมูลงานCon'!$AB$30</definedName>
    <definedName name="_______fws1" localSheetId="85">'[5]11 ข้อมูลงานCon'!$AB$30</definedName>
    <definedName name="_______fws1" localSheetId="86">'[5]11 ข้อมูลงานCon'!$AB$30</definedName>
    <definedName name="_______fws1">'[4]11 ข้อมูลงานCon'!$AB$30</definedName>
    <definedName name="_______rb1" localSheetId="3">'[6]10 ข้อมูลวัสดุ-ค่าดำเนิน'!$X$15</definedName>
    <definedName name="_______rb1" localSheetId="4">'[6]10 ข้อมูลวัสดุ-ค่าดำเนิน'!$X$15</definedName>
    <definedName name="_______rb1" localSheetId="85">'[7]10 ข้อมูลวัสดุ-ค่าดำเนิน'!$X$15</definedName>
    <definedName name="_______rb1" localSheetId="86">'[7]10 ข้อมูลวัสดุ-ค่าดำเนิน'!$X$15</definedName>
    <definedName name="_______rb1">'[6]10 ข้อมูลวัสดุ-ค่าดำเนิน'!$X$15</definedName>
    <definedName name="_______sb1" localSheetId="3">'[4]12 ข้อมูลงานไม้แบบ'!$W$29</definedName>
    <definedName name="_______sb1" localSheetId="4">'[4]12 ข้อมูลงานไม้แบบ'!$W$29</definedName>
    <definedName name="_______sb1" localSheetId="85">'[5]12 ข้อมูลงานไม้แบบ'!$W$29</definedName>
    <definedName name="_______sb1" localSheetId="86">'[5]12 ข้อมูลงานไม้แบบ'!$W$29</definedName>
    <definedName name="_______sb1">'[4]12 ข้อมูลงานไม้แบบ'!$W$29</definedName>
    <definedName name="_______sd30" localSheetId="3">#REF!</definedName>
    <definedName name="_______sd30" localSheetId="4">#REF!</definedName>
    <definedName name="_______sd30" localSheetId="18">#REF!</definedName>
    <definedName name="_______sd30" localSheetId="19">#REF!</definedName>
    <definedName name="_______sd30" localSheetId="9">#REF!</definedName>
    <definedName name="_______sd30" localSheetId="10">#REF!</definedName>
    <definedName name="_______sd30" localSheetId="11">#REF!</definedName>
    <definedName name="_______sd30" localSheetId="12">#REF!</definedName>
    <definedName name="_______sd30" localSheetId="13">#REF!</definedName>
    <definedName name="_______sd30" localSheetId="14">#REF!</definedName>
    <definedName name="_______sd30" localSheetId="15">#REF!</definedName>
    <definedName name="_______sd30" localSheetId="16">#REF!</definedName>
    <definedName name="_______sd30" localSheetId="17">#REF!</definedName>
    <definedName name="_______sd30" localSheetId="8">#REF!</definedName>
    <definedName name="_______sd30" localSheetId="7">#REF!</definedName>
    <definedName name="_______sd30" localSheetId="6">#REF!</definedName>
    <definedName name="_______sd30" localSheetId="20">#REF!</definedName>
    <definedName name="_______sd30" localSheetId="5">#REF!</definedName>
    <definedName name="_______sd30" localSheetId="21">#REF!</definedName>
    <definedName name="_______sd30" localSheetId="34">#REF!</definedName>
    <definedName name="_______sd30" localSheetId="35">#REF!</definedName>
    <definedName name="_______sd30" localSheetId="25">#REF!</definedName>
    <definedName name="_______sd30" localSheetId="27">#REF!</definedName>
    <definedName name="_______sd30" localSheetId="28">#REF!</definedName>
    <definedName name="_______sd30" localSheetId="29">#REF!</definedName>
    <definedName name="_______sd30" localSheetId="31">#REF!</definedName>
    <definedName name="_______sd30" localSheetId="32">#REF!</definedName>
    <definedName name="_______sd30" localSheetId="33">#REF!</definedName>
    <definedName name="_______sd30" localSheetId="24">#REF!</definedName>
    <definedName name="_______sd30" localSheetId="23">#REF!</definedName>
    <definedName name="_______sd30" localSheetId="36">#REF!</definedName>
    <definedName name="_______sd30" localSheetId="22">#REF!</definedName>
    <definedName name="_______sd30" localSheetId="26">#REF!</definedName>
    <definedName name="_______sd30" localSheetId="30">#REF!</definedName>
    <definedName name="_______sd30" localSheetId="41">#REF!</definedName>
    <definedName name="_______sd30" localSheetId="50">#REF!</definedName>
    <definedName name="_______sd30" localSheetId="51">#REF!</definedName>
    <definedName name="_______sd30" localSheetId="42">#REF!</definedName>
    <definedName name="_______sd30" localSheetId="43">#REF!</definedName>
    <definedName name="_______sd30" localSheetId="44">#REF!</definedName>
    <definedName name="_______sd30" localSheetId="45">#REF!</definedName>
    <definedName name="_______sd30" localSheetId="46">#REF!</definedName>
    <definedName name="_______sd30" localSheetId="47">#REF!</definedName>
    <definedName name="_______sd30" localSheetId="48">#REF!</definedName>
    <definedName name="_______sd30" localSheetId="49">#REF!</definedName>
    <definedName name="_______sd30" localSheetId="52">#REF!</definedName>
    <definedName name="_______sd30" localSheetId="40">#REF!</definedName>
    <definedName name="_______sd30" localSheetId="39">#REF!</definedName>
    <definedName name="_______sd30" localSheetId="38">#REF!</definedName>
    <definedName name="_______sd30" localSheetId="37">#REF!</definedName>
    <definedName name="_______sd30" localSheetId="57">#REF!</definedName>
    <definedName name="_______sd30" localSheetId="66">#REF!</definedName>
    <definedName name="_______sd30" localSheetId="67">#REF!</definedName>
    <definedName name="_______sd30" localSheetId="58">#REF!</definedName>
    <definedName name="_______sd30" localSheetId="59">#REF!</definedName>
    <definedName name="_______sd30" localSheetId="60">#REF!</definedName>
    <definedName name="_______sd30" localSheetId="61">#REF!</definedName>
    <definedName name="_______sd30" localSheetId="62">#REF!</definedName>
    <definedName name="_______sd30" localSheetId="63">#REF!</definedName>
    <definedName name="_______sd30" localSheetId="64">#REF!</definedName>
    <definedName name="_______sd30" localSheetId="65">#REF!</definedName>
    <definedName name="_______sd30" localSheetId="68">#REF!</definedName>
    <definedName name="_______sd30" localSheetId="56">#REF!</definedName>
    <definedName name="_______sd30" localSheetId="55">#REF!</definedName>
    <definedName name="_______sd30" localSheetId="54">#REF!</definedName>
    <definedName name="_______sd30" localSheetId="53">#REF!</definedName>
    <definedName name="_______sd30" localSheetId="85">#REF!</definedName>
    <definedName name="_______sd30" localSheetId="86">#REF!</definedName>
    <definedName name="_______sd30" localSheetId="2">#REF!</definedName>
    <definedName name="_______sd30">#REF!</definedName>
    <definedName name="_______sd40" localSheetId="3">#REF!</definedName>
    <definedName name="_______sd40" localSheetId="4">#REF!</definedName>
    <definedName name="_______sd40" localSheetId="18">#REF!</definedName>
    <definedName name="_______sd40" localSheetId="19">#REF!</definedName>
    <definedName name="_______sd40" localSheetId="9">#REF!</definedName>
    <definedName name="_______sd40" localSheetId="10">#REF!</definedName>
    <definedName name="_______sd40" localSheetId="11">#REF!</definedName>
    <definedName name="_______sd40" localSheetId="12">#REF!</definedName>
    <definedName name="_______sd40" localSheetId="13">#REF!</definedName>
    <definedName name="_______sd40" localSheetId="14">#REF!</definedName>
    <definedName name="_______sd40" localSheetId="15">#REF!</definedName>
    <definedName name="_______sd40" localSheetId="16">#REF!</definedName>
    <definedName name="_______sd40" localSheetId="17">#REF!</definedName>
    <definedName name="_______sd40" localSheetId="8">#REF!</definedName>
    <definedName name="_______sd40" localSheetId="7">#REF!</definedName>
    <definedName name="_______sd40" localSheetId="6">#REF!</definedName>
    <definedName name="_______sd40" localSheetId="20">#REF!</definedName>
    <definedName name="_______sd40" localSheetId="5">#REF!</definedName>
    <definedName name="_______sd40" localSheetId="21">#REF!</definedName>
    <definedName name="_______sd40" localSheetId="34">#REF!</definedName>
    <definedName name="_______sd40" localSheetId="35">#REF!</definedName>
    <definedName name="_______sd40" localSheetId="25">#REF!</definedName>
    <definedName name="_______sd40" localSheetId="27">#REF!</definedName>
    <definedName name="_______sd40" localSheetId="28">#REF!</definedName>
    <definedName name="_______sd40" localSheetId="29">#REF!</definedName>
    <definedName name="_______sd40" localSheetId="31">#REF!</definedName>
    <definedName name="_______sd40" localSheetId="32">#REF!</definedName>
    <definedName name="_______sd40" localSheetId="33">#REF!</definedName>
    <definedName name="_______sd40" localSheetId="24">#REF!</definedName>
    <definedName name="_______sd40" localSheetId="23">#REF!</definedName>
    <definedName name="_______sd40" localSheetId="36">#REF!</definedName>
    <definedName name="_______sd40" localSheetId="22">#REF!</definedName>
    <definedName name="_______sd40" localSheetId="26">#REF!</definedName>
    <definedName name="_______sd40" localSheetId="30">#REF!</definedName>
    <definedName name="_______sd40" localSheetId="85">#REF!</definedName>
    <definedName name="_______sd40" localSheetId="86">#REF!</definedName>
    <definedName name="_______sd40" localSheetId="2">#REF!</definedName>
    <definedName name="_______sd40">#REF!</definedName>
    <definedName name="_______st1" localSheetId="3">#REF!</definedName>
    <definedName name="_______st1" localSheetId="4">#REF!</definedName>
    <definedName name="_______st1" localSheetId="18">#REF!</definedName>
    <definedName name="_______st1" localSheetId="19">#REF!</definedName>
    <definedName name="_______st1" localSheetId="9">#REF!</definedName>
    <definedName name="_______st1" localSheetId="10">#REF!</definedName>
    <definedName name="_______st1" localSheetId="11">#REF!</definedName>
    <definedName name="_______st1" localSheetId="12">#REF!</definedName>
    <definedName name="_______st1" localSheetId="13">#REF!</definedName>
    <definedName name="_______st1" localSheetId="14">#REF!</definedName>
    <definedName name="_______st1" localSheetId="15">#REF!</definedName>
    <definedName name="_______st1" localSheetId="16">#REF!</definedName>
    <definedName name="_______st1" localSheetId="17">#REF!</definedName>
    <definedName name="_______st1" localSheetId="8">#REF!</definedName>
    <definedName name="_______st1" localSheetId="7">#REF!</definedName>
    <definedName name="_______st1" localSheetId="6">#REF!</definedName>
    <definedName name="_______st1" localSheetId="20">#REF!</definedName>
    <definedName name="_______st1" localSheetId="5">#REF!</definedName>
    <definedName name="_______st1" localSheetId="21">#REF!</definedName>
    <definedName name="_______st1" localSheetId="34">#REF!</definedName>
    <definedName name="_______st1" localSheetId="35">#REF!</definedName>
    <definedName name="_______st1" localSheetId="25">#REF!</definedName>
    <definedName name="_______st1" localSheetId="27">#REF!</definedName>
    <definedName name="_______st1" localSheetId="28">#REF!</definedName>
    <definedName name="_______st1" localSheetId="29">#REF!</definedName>
    <definedName name="_______st1" localSheetId="31">#REF!</definedName>
    <definedName name="_______st1" localSheetId="32">#REF!</definedName>
    <definedName name="_______st1" localSheetId="33">#REF!</definedName>
    <definedName name="_______st1" localSheetId="24">#REF!</definedName>
    <definedName name="_______st1" localSheetId="23">#REF!</definedName>
    <definedName name="_______st1" localSheetId="36">#REF!</definedName>
    <definedName name="_______st1" localSheetId="22">#REF!</definedName>
    <definedName name="_______st1" localSheetId="26">#REF!</definedName>
    <definedName name="_______st1" localSheetId="30">#REF!</definedName>
    <definedName name="_______st1" localSheetId="85">#REF!</definedName>
    <definedName name="_______st1" localSheetId="86">#REF!</definedName>
    <definedName name="_______st1" localSheetId="2">#REF!</definedName>
    <definedName name="_______st1">#REF!</definedName>
    <definedName name="_______st2" localSheetId="3">#REF!</definedName>
    <definedName name="_______st2" localSheetId="2">#REF!</definedName>
    <definedName name="_______st2">#REF!</definedName>
    <definedName name="_______st3" localSheetId="3">#REF!</definedName>
    <definedName name="_______st3" localSheetId="2">#REF!</definedName>
    <definedName name="_______st3">#REF!</definedName>
    <definedName name="_______wb1" localSheetId="3">'[6]10 ข้อมูลวัสดุ-ค่าดำเนิน'!$X$19</definedName>
    <definedName name="_______wb1" localSheetId="4">'[6]10 ข้อมูลวัสดุ-ค่าดำเนิน'!$X$19</definedName>
    <definedName name="_______wb1" localSheetId="85">'[7]10 ข้อมูลวัสดุ-ค่าดำเนิน'!$X$19</definedName>
    <definedName name="_______wb1" localSheetId="86">'[7]10 ข้อมูลวัสดุ-ค่าดำเนิน'!$X$19</definedName>
    <definedName name="_______wb1">'[6]10 ข้อมูลวัสดุ-ค่าดำเนิน'!$X$19</definedName>
    <definedName name="______con1" localSheetId="3">#REF!</definedName>
    <definedName name="______con1" localSheetId="4">#REF!</definedName>
    <definedName name="______con1" localSheetId="18">#REF!</definedName>
    <definedName name="______con1" localSheetId="19">#REF!</definedName>
    <definedName name="______con1" localSheetId="9">#REF!</definedName>
    <definedName name="______con1" localSheetId="10">#REF!</definedName>
    <definedName name="______con1" localSheetId="11">#REF!</definedName>
    <definedName name="______con1" localSheetId="12">#REF!</definedName>
    <definedName name="______con1" localSheetId="13">#REF!</definedName>
    <definedName name="______con1" localSheetId="14">#REF!</definedName>
    <definedName name="______con1" localSheetId="15">#REF!</definedName>
    <definedName name="______con1" localSheetId="16">#REF!</definedName>
    <definedName name="______con1" localSheetId="17">#REF!</definedName>
    <definedName name="______con1" localSheetId="8">#REF!</definedName>
    <definedName name="______con1" localSheetId="7">#REF!</definedName>
    <definedName name="______con1" localSheetId="6">#REF!</definedName>
    <definedName name="______con1" localSheetId="20">#REF!</definedName>
    <definedName name="______con1" localSheetId="5">#REF!</definedName>
    <definedName name="______con1" localSheetId="21">#REF!</definedName>
    <definedName name="______con1" localSheetId="34">#REF!</definedName>
    <definedName name="______con1" localSheetId="35">#REF!</definedName>
    <definedName name="______con1" localSheetId="25">#REF!</definedName>
    <definedName name="______con1" localSheetId="27">#REF!</definedName>
    <definedName name="______con1" localSheetId="28">#REF!</definedName>
    <definedName name="______con1" localSheetId="29">#REF!</definedName>
    <definedName name="______con1" localSheetId="31">#REF!</definedName>
    <definedName name="______con1" localSheetId="32">#REF!</definedName>
    <definedName name="______con1" localSheetId="33">#REF!</definedName>
    <definedName name="______con1" localSheetId="24">#REF!</definedName>
    <definedName name="______con1" localSheetId="23">#REF!</definedName>
    <definedName name="______con1" localSheetId="36">#REF!</definedName>
    <definedName name="______con1" localSheetId="22">#REF!</definedName>
    <definedName name="______con1" localSheetId="26">#REF!</definedName>
    <definedName name="______con1" localSheetId="30">#REF!</definedName>
    <definedName name="______con1" localSheetId="41">#REF!</definedName>
    <definedName name="______con1" localSheetId="50">#REF!</definedName>
    <definedName name="______con1" localSheetId="51">#REF!</definedName>
    <definedName name="______con1" localSheetId="42">#REF!</definedName>
    <definedName name="______con1" localSheetId="43">#REF!</definedName>
    <definedName name="______con1" localSheetId="44">#REF!</definedName>
    <definedName name="______con1" localSheetId="45">#REF!</definedName>
    <definedName name="______con1" localSheetId="46">#REF!</definedName>
    <definedName name="______con1" localSheetId="47">#REF!</definedName>
    <definedName name="______con1" localSheetId="48">#REF!</definedName>
    <definedName name="______con1" localSheetId="49">#REF!</definedName>
    <definedName name="______con1" localSheetId="52">#REF!</definedName>
    <definedName name="______con1" localSheetId="40">#REF!</definedName>
    <definedName name="______con1" localSheetId="39">#REF!</definedName>
    <definedName name="______con1" localSheetId="38">#REF!</definedName>
    <definedName name="______con1" localSheetId="37">#REF!</definedName>
    <definedName name="______con1" localSheetId="57">#REF!</definedName>
    <definedName name="______con1" localSheetId="66">#REF!</definedName>
    <definedName name="______con1" localSheetId="67">#REF!</definedName>
    <definedName name="______con1" localSheetId="58">#REF!</definedName>
    <definedName name="______con1" localSheetId="59">#REF!</definedName>
    <definedName name="______con1" localSheetId="60">#REF!</definedName>
    <definedName name="______con1" localSheetId="61">#REF!</definedName>
    <definedName name="______con1" localSheetId="62">#REF!</definedName>
    <definedName name="______con1" localSheetId="63">#REF!</definedName>
    <definedName name="______con1" localSheetId="64">#REF!</definedName>
    <definedName name="______con1" localSheetId="65">#REF!</definedName>
    <definedName name="______con1" localSheetId="68">#REF!</definedName>
    <definedName name="______con1" localSheetId="56">#REF!</definedName>
    <definedName name="______con1" localSheetId="55">#REF!</definedName>
    <definedName name="______con1" localSheetId="54">#REF!</definedName>
    <definedName name="______con1" localSheetId="53">#REF!</definedName>
    <definedName name="______con1" localSheetId="85">#REF!</definedName>
    <definedName name="______con1" localSheetId="86">#REF!</definedName>
    <definedName name="______con1" localSheetId="2">#REF!</definedName>
    <definedName name="______con1">#REF!</definedName>
    <definedName name="______con11" localSheetId="3">#REF!</definedName>
    <definedName name="______con11" localSheetId="4">#REF!</definedName>
    <definedName name="______con11" localSheetId="18">#REF!</definedName>
    <definedName name="______con11" localSheetId="19">#REF!</definedName>
    <definedName name="______con11" localSheetId="9">#REF!</definedName>
    <definedName name="______con11" localSheetId="10">#REF!</definedName>
    <definedName name="______con11" localSheetId="11">#REF!</definedName>
    <definedName name="______con11" localSheetId="12">#REF!</definedName>
    <definedName name="______con11" localSheetId="13">#REF!</definedName>
    <definedName name="______con11" localSheetId="14">#REF!</definedName>
    <definedName name="______con11" localSheetId="15">#REF!</definedName>
    <definedName name="______con11" localSheetId="16">#REF!</definedName>
    <definedName name="______con11" localSheetId="17">#REF!</definedName>
    <definedName name="______con11" localSheetId="8">#REF!</definedName>
    <definedName name="______con11" localSheetId="7">#REF!</definedName>
    <definedName name="______con11" localSheetId="6">#REF!</definedName>
    <definedName name="______con11" localSheetId="20">#REF!</definedName>
    <definedName name="______con11" localSheetId="5">#REF!</definedName>
    <definedName name="______con11" localSheetId="21">#REF!</definedName>
    <definedName name="______con11" localSheetId="34">#REF!</definedName>
    <definedName name="______con11" localSheetId="35">#REF!</definedName>
    <definedName name="______con11" localSheetId="25">#REF!</definedName>
    <definedName name="______con11" localSheetId="27">#REF!</definedName>
    <definedName name="______con11" localSheetId="28">#REF!</definedName>
    <definedName name="______con11" localSheetId="29">#REF!</definedName>
    <definedName name="______con11" localSheetId="31">#REF!</definedName>
    <definedName name="______con11" localSheetId="32">#REF!</definedName>
    <definedName name="______con11" localSheetId="33">#REF!</definedName>
    <definedName name="______con11" localSheetId="24">#REF!</definedName>
    <definedName name="______con11" localSheetId="23">#REF!</definedName>
    <definedName name="______con11" localSheetId="36">#REF!</definedName>
    <definedName name="______con11" localSheetId="22">#REF!</definedName>
    <definedName name="______con11" localSheetId="26">#REF!</definedName>
    <definedName name="______con11" localSheetId="30">#REF!</definedName>
    <definedName name="______con11" localSheetId="85">#REF!</definedName>
    <definedName name="______con11" localSheetId="86">#REF!</definedName>
    <definedName name="______con11" localSheetId="2">#REF!</definedName>
    <definedName name="______con11">#REF!</definedName>
    <definedName name="______con2" localSheetId="3">#REF!</definedName>
    <definedName name="______con2" localSheetId="4">#REF!</definedName>
    <definedName name="______con2" localSheetId="18">#REF!</definedName>
    <definedName name="______con2" localSheetId="19">#REF!</definedName>
    <definedName name="______con2" localSheetId="9">#REF!</definedName>
    <definedName name="______con2" localSheetId="10">#REF!</definedName>
    <definedName name="______con2" localSheetId="11">#REF!</definedName>
    <definedName name="______con2" localSheetId="12">#REF!</definedName>
    <definedName name="______con2" localSheetId="13">#REF!</definedName>
    <definedName name="______con2" localSheetId="14">#REF!</definedName>
    <definedName name="______con2" localSheetId="15">#REF!</definedName>
    <definedName name="______con2" localSheetId="16">#REF!</definedName>
    <definedName name="______con2" localSheetId="17">#REF!</definedName>
    <definedName name="______con2" localSheetId="8">#REF!</definedName>
    <definedName name="______con2" localSheetId="7">#REF!</definedName>
    <definedName name="______con2" localSheetId="6">#REF!</definedName>
    <definedName name="______con2" localSheetId="20">#REF!</definedName>
    <definedName name="______con2" localSheetId="5">#REF!</definedName>
    <definedName name="______con2" localSheetId="21">#REF!</definedName>
    <definedName name="______con2" localSheetId="34">#REF!</definedName>
    <definedName name="______con2" localSheetId="35">#REF!</definedName>
    <definedName name="______con2" localSheetId="25">#REF!</definedName>
    <definedName name="______con2" localSheetId="27">#REF!</definedName>
    <definedName name="______con2" localSheetId="28">#REF!</definedName>
    <definedName name="______con2" localSheetId="29">#REF!</definedName>
    <definedName name="______con2" localSheetId="31">#REF!</definedName>
    <definedName name="______con2" localSheetId="32">#REF!</definedName>
    <definedName name="______con2" localSheetId="33">#REF!</definedName>
    <definedName name="______con2" localSheetId="24">#REF!</definedName>
    <definedName name="______con2" localSheetId="23">#REF!</definedName>
    <definedName name="______con2" localSheetId="36">#REF!</definedName>
    <definedName name="______con2" localSheetId="22">#REF!</definedName>
    <definedName name="______con2" localSheetId="26">#REF!</definedName>
    <definedName name="______con2" localSheetId="30">#REF!</definedName>
    <definedName name="______con2" localSheetId="85">#REF!</definedName>
    <definedName name="______con2" localSheetId="86">#REF!</definedName>
    <definedName name="______con2" localSheetId="2">#REF!</definedName>
    <definedName name="______con2">#REF!</definedName>
    <definedName name="______con3" localSheetId="3">#REF!</definedName>
    <definedName name="______con3" localSheetId="2">#REF!</definedName>
    <definedName name="______con3">#REF!</definedName>
    <definedName name="______con4" localSheetId="3">#REF!</definedName>
    <definedName name="______con4" localSheetId="2">#REF!</definedName>
    <definedName name="______con4">#REF!</definedName>
    <definedName name="______FAC1" localSheetId="3">[1]สรุป!$C$307</definedName>
    <definedName name="______FAC1" localSheetId="4">[2]สรุป!$C$307</definedName>
    <definedName name="______FAC1" localSheetId="86">[2]สรุป!$C$307</definedName>
    <definedName name="______FAC1">[3]สรุป!$C$307</definedName>
    <definedName name="______fws1" localSheetId="3">'[4]11 ข้อมูลงานCon'!$AB$30</definedName>
    <definedName name="______fws1" localSheetId="4">'[4]11 ข้อมูลงานCon'!$AB$30</definedName>
    <definedName name="______fws1" localSheetId="85">'[5]11 ข้อมูลงานCon'!$AB$30</definedName>
    <definedName name="______fws1" localSheetId="86">'[5]11 ข้อมูลงานCon'!$AB$30</definedName>
    <definedName name="______fws1">'[4]11 ข้อมูลงานCon'!$AB$30</definedName>
    <definedName name="______rb1" localSheetId="3">'[6]10 ข้อมูลวัสดุ-ค่าดำเนิน'!$X$15</definedName>
    <definedName name="______rb1" localSheetId="4">'[6]10 ข้อมูลวัสดุ-ค่าดำเนิน'!$X$15</definedName>
    <definedName name="______rb1" localSheetId="85">'[7]10 ข้อมูลวัสดุ-ค่าดำเนิน'!$X$15</definedName>
    <definedName name="______rb1" localSheetId="86">'[7]10 ข้อมูลวัสดุ-ค่าดำเนิน'!$X$15</definedName>
    <definedName name="______rb1">'[6]10 ข้อมูลวัสดุ-ค่าดำเนิน'!$X$15</definedName>
    <definedName name="______sb1" localSheetId="3">'[4]12 ข้อมูลงานไม้แบบ'!$W$29</definedName>
    <definedName name="______sb1" localSheetId="4">'[4]12 ข้อมูลงานไม้แบบ'!$W$29</definedName>
    <definedName name="______sb1" localSheetId="85">'[5]12 ข้อมูลงานไม้แบบ'!$W$29</definedName>
    <definedName name="______sb1" localSheetId="86">'[5]12 ข้อมูลงานไม้แบบ'!$W$29</definedName>
    <definedName name="______sb1">'[4]12 ข้อมูลงานไม้แบบ'!$W$29</definedName>
    <definedName name="______sd30" localSheetId="3">#REF!</definedName>
    <definedName name="______sd30" localSheetId="4">#REF!</definedName>
    <definedName name="______sd30" localSheetId="18">#REF!</definedName>
    <definedName name="______sd30" localSheetId="19">#REF!</definedName>
    <definedName name="______sd30" localSheetId="9">#REF!</definedName>
    <definedName name="______sd30" localSheetId="10">#REF!</definedName>
    <definedName name="______sd30" localSheetId="11">#REF!</definedName>
    <definedName name="______sd30" localSheetId="12">#REF!</definedName>
    <definedName name="______sd30" localSheetId="13">#REF!</definedName>
    <definedName name="______sd30" localSheetId="14">#REF!</definedName>
    <definedName name="______sd30" localSheetId="15">#REF!</definedName>
    <definedName name="______sd30" localSheetId="16">#REF!</definedName>
    <definedName name="______sd30" localSheetId="17">#REF!</definedName>
    <definedName name="______sd30" localSheetId="8">#REF!</definedName>
    <definedName name="______sd30" localSheetId="7">#REF!</definedName>
    <definedName name="______sd30" localSheetId="6">#REF!</definedName>
    <definedName name="______sd30" localSheetId="20">#REF!</definedName>
    <definedName name="______sd30" localSheetId="5">#REF!</definedName>
    <definedName name="______sd30" localSheetId="21">#REF!</definedName>
    <definedName name="______sd30" localSheetId="34">#REF!</definedName>
    <definedName name="______sd30" localSheetId="35">#REF!</definedName>
    <definedName name="______sd30" localSheetId="25">#REF!</definedName>
    <definedName name="______sd30" localSheetId="27">#REF!</definedName>
    <definedName name="______sd30" localSheetId="28">#REF!</definedName>
    <definedName name="______sd30" localSheetId="29">#REF!</definedName>
    <definedName name="______sd30" localSheetId="31">#REF!</definedName>
    <definedName name="______sd30" localSheetId="32">#REF!</definedName>
    <definedName name="______sd30" localSheetId="33">#REF!</definedName>
    <definedName name="______sd30" localSheetId="24">#REF!</definedName>
    <definedName name="______sd30" localSheetId="23">#REF!</definedName>
    <definedName name="______sd30" localSheetId="36">#REF!</definedName>
    <definedName name="______sd30" localSheetId="22">#REF!</definedName>
    <definedName name="______sd30" localSheetId="26">#REF!</definedName>
    <definedName name="______sd30" localSheetId="30">#REF!</definedName>
    <definedName name="______sd30" localSheetId="41">#REF!</definedName>
    <definedName name="______sd30" localSheetId="50">#REF!</definedName>
    <definedName name="______sd30" localSheetId="51">#REF!</definedName>
    <definedName name="______sd30" localSheetId="42">#REF!</definedName>
    <definedName name="______sd30" localSheetId="43">#REF!</definedName>
    <definedName name="______sd30" localSheetId="44">#REF!</definedName>
    <definedName name="______sd30" localSheetId="45">#REF!</definedName>
    <definedName name="______sd30" localSheetId="46">#REF!</definedName>
    <definedName name="______sd30" localSheetId="47">#REF!</definedName>
    <definedName name="______sd30" localSheetId="48">#REF!</definedName>
    <definedName name="______sd30" localSheetId="49">#REF!</definedName>
    <definedName name="______sd30" localSheetId="52">#REF!</definedName>
    <definedName name="______sd30" localSheetId="40">#REF!</definedName>
    <definedName name="______sd30" localSheetId="39">#REF!</definedName>
    <definedName name="______sd30" localSheetId="38">#REF!</definedName>
    <definedName name="______sd30" localSheetId="37">#REF!</definedName>
    <definedName name="______sd30" localSheetId="57">#REF!</definedName>
    <definedName name="______sd30" localSheetId="66">#REF!</definedName>
    <definedName name="______sd30" localSheetId="67">#REF!</definedName>
    <definedName name="______sd30" localSheetId="58">#REF!</definedName>
    <definedName name="______sd30" localSheetId="59">#REF!</definedName>
    <definedName name="______sd30" localSheetId="60">#REF!</definedName>
    <definedName name="______sd30" localSheetId="61">#REF!</definedName>
    <definedName name="______sd30" localSheetId="62">#REF!</definedName>
    <definedName name="______sd30" localSheetId="63">#REF!</definedName>
    <definedName name="______sd30" localSheetId="64">#REF!</definedName>
    <definedName name="______sd30" localSheetId="65">#REF!</definedName>
    <definedName name="______sd30" localSheetId="68">#REF!</definedName>
    <definedName name="______sd30" localSheetId="56">#REF!</definedName>
    <definedName name="______sd30" localSheetId="55">#REF!</definedName>
    <definedName name="______sd30" localSheetId="54">#REF!</definedName>
    <definedName name="______sd30" localSheetId="53">#REF!</definedName>
    <definedName name="______sd30" localSheetId="85">#REF!</definedName>
    <definedName name="______sd30" localSheetId="86">#REF!</definedName>
    <definedName name="______sd30" localSheetId="2">#REF!</definedName>
    <definedName name="______sd30">#REF!</definedName>
    <definedName name="______sd40" localSheetId="3">#REF!</definedName>
    <definedName name="______sd40" localSheetId="4">#REF!</definedName>
    <definedName name="______sd40" localSheetId="18">#REF!</definedName>
    <definedName name="______sd40" localSheetId="19">#REF!</definedName>
    <definedName name="______sd40" localSheetId="9">#REF!</definedName>
    <definedName name="______sd40" localSheetId="10">#REF!</definedName>
    <definedName name="______sd40" localSheetId="11">#REF!</definedName>
    <definedName name="______sd40" localSheetId="12">#REF!</definedName>
    <definedName name="______sd40" localSheetId="13">#REF!</definedName>
    <definedName name="______sd40" localSheetId="14">#REF!</definedName>
    <definedName name="______sd40" localSheetId="15">#REF!</definedName>
    <definedName name="______sd40" localSheetId="16">#REF!</definedName>
    <definedName name="______sd40" localSheetId="17">#REF!</definedName>
    <definedName name="______sd40" localSheetId="8">#REF!</definedName>
    <definedName name="______sd40" localSheetId="7">#REF!</definedName>
    <definedName name="______sd40" localSheetId="6">#REF!</definedName>
    <definedName name="______sd40" localSheetId="20">#REF!</definedName>
    <definedName name="______sd40" localSheetId="5">#REF!</definedName>
    <definedName name="______sd40" localSheetId="21">#REF!</definedName>
    <definedName name="______sd40" localSheetId="34">#REF!</definedName>
    <definedName name="______sd40" localSheetId="35">#REF!</definedName>
    <definedName name="______sd40" localSheetId="25">#REF!</definedName>
    <definedName name="______sd40" localSheetId="27">#REF!</definedName>
    <definedName name="______sd40" localSheetId="28">#REF!</definedName>
    <definedName name="______sd40" localSheetId="29">#REF!</definedName>
    <definedName name="______sd40" localSheetId="31">#REF!</definedName>
    <definedName name="______sd40" localSheetId="32">#REF!</definedName>
    <definedName name="______sd40" localSheetId="33">#REF!</definedName>
    <definedName name="______sd40" localSheetId="24">#REF!</definedName>
    <definedName name="______sd40" localSheetId="23">#REF!</definedName>
    <definedName name="______sd40" localSheetId="36">#REF!</definedName>
    <definedName name="______sd40" localSheetId="22">#REF!</definedName>
    <definedName name="______sd40" localSheetId="26">#REF!</definedName>
    <definedName name="______sd40" localSheetId="30">#REF!</definedName>
    <definedName name="______sd40" localSheetId="85">#REF!</definedName>
    <definedName name="______sd40" localSheetId="86">#REF!</definedName>
    <definedName name="______sd40" localSheetId="2">#REF!</definedName>
    <definedName name="______sd40">#REF!</definedName>
    <definedName name="______st1" localSheetId="3">#REF!</definedName>
    <definedName name="______st1" localSheetId="4">#REF!</definedName>
    <definedName name="______st1" localSheetId="18">#REF!</definedName>
    <definedName name="______st1" localSheetId="19">#REF!</definedName>
    <definedName name="______st1" localSheetId="9">#REF!</definedName>
    <definedName name="______st1" localSheetId="10">#REF!</definedName>
    <definedName name="______st1" localSheetId="11">#REF!</definedName>
    <definedName name="______st1" localSheetId="12">#REF!</definedName>
    <definedName name="______st1" localSheetId="13">#REF!</definedName>
    <definedName name="______st1" localSheetId="14">#REF!</definedName>
    <definedName name="______st1" localSheetId="15">#REF!</definedName>
    <definedName name="______st1" localSheetId="16">#REF!</definedName>
    <definedName name="______st1" localSheetId="17">#REF!</definedName>
    <definedName name="______st1" localSheetId="8">#REF!</definedName>
    <definedName name="______st1" localSheetId="7">#REF!</definedName>
    <definedName name="______st1" localSheetId="6">#REF!</definedName>
    <definedName name="______st1" localSheetId="20">#REF!</definedName>
    <definedName name="______st1" localSheetId="5">#REF!</definedName>
    <definedName name="______st1" localSheetId="21">#REF!</definedName>
    <definedName name="______st1" localSheetId="34">#REF!</definedName>
    <definedName name="______st1" localSheetId="35">#REF!</definedName>
    <definedName name="______st1" localSheetId="25">#REF!</definedName>
    <definedName name="______st1" localSheetId="27">#REF!</definedName>
    <definedName name="______st1" localSheetId="28">#REF!</definedName>
    <definedName name="______st1" localSheetId="29">#REF!</definedName>
    <definedName name="______st1" localSheetId="31">#REF!</definedName>
    <definedName name="______st1" localSheetId="32">#REF!</definedName>
    <definedName name="______st1" localSheetId="33">#REF!</definedName>
    <definedName name="______st1" localSheetId="24">#REF!</definedName>
    <definedName name="______st1" localSheetId="23">#REF!</definedName>
    <definedName name="______st1" localSheetId="36">#REF!</definedName>
    <definedName name="______st1" localSheetId="22">#REF!</definedName>
    <definedName name="______st1" localSheetId="26">#REF!</definedName>
    <definedName name="______st1" localSheetId="30">#REF!</definedName>
    <definedName name="______st1" localSheetId="85">#REF!</definedName>
    <definedName name="______st1" localSheetId="86">#REF!</definedName>
    <definedName name="______st1" localSheetId="2">#REF!</definedName>
    <definedName name="______st1">#REF!</definedName>
    <definedName name="______st2" localSheetId="3">#REF!</definedName>
    <definedName name="______st2" localSheetId="2">#REF!</definedName>
    <definedName name="______st2">#REF!</definedName>
    <definedName name="______st3" localSheetId="3">#REF!</definedName>
    <definedName name="______st3" localSheetId="2">#REF!</definedName>
    <definedName name="______st3">#REF!</definedName>
    <definedName name="______wb1" localSheetId="3">'[6]10 ข้อมูลวัสดุ-ค่าดำเนิน'!$X$19</definedName>
    <definedName name="______wb1" localSheetId="4">'[6]10 ข้อมูลวัสดุ-ค่าดำเนิน'!$X$19</definedName>
    <definedName name="______wb1" localSheetId="85">'[7]10 ข้อมูลวัสดุ-ค่าดำเนิน'!$X$19</definedName>
    <definedName name="______wb1" localSheetId="86">'[7]10 ข้อมูลวัสดุ-ค่าดำเนิน'!$X$19</definedName>
    <definedName name="______wb1">'[6]10 ข้อมูลวัสดุ-ค่าดำเนิน'!$X$19</definedName>
    <definedName name="_____con1" localSheetId="3">#REF!</definedName>
    <definedName name="_____con1" localSheetId="4">#REF!</definedName>
    <definedName name="_____con1" localSheetId="18">#REF!</definedName>
    <definedName name="_____con1" localSheetId="19">#REF!</definedName>
    <definedName name="_____con1" localSheetId="9">#REF!</definedName>
    <definedName name="_____con1" localSheetId="10">#REF!</definedName>
    <definedName name="_____con1" localSheetId="11">#REF!</definedName>
    <definedName name="_____con1" localSheetId="12">#REF!</definedName>
    <definedName name="_____con1" localSheetId="13">#REF!</definedName>
    <definedName name="_____con1" localSheetId="14">#REF!</definedName>
    <definedName name="_____con1" localSheetId="15">#REF!</definedName>
    <definedName name="_____con1" localSheetId="16">#REF!</definedName>
    <definedName name="_____con1" localSheetId="17">#REF!</definedName>
    <definedName name="_____con1" localSheetId="8">#REF!</definedName>
    <definedName name="_____con1" localSheetId="7">#REF!</definedName>
    <definedName name="_____con1" localSheetId="6">#REF!</definedName>
    <definedName name="_____con1" localSheetId="20">#REF!</definedName>
    <definedName name="_____con1" localSheetId="5">#REF!</definedName>
    <definedName name="_____con1" localSheetId="21">#REF!</definedName>
    <definedName name="_____con1" localSheetId="34">#REF!</definedName>
    <definedName name="_____con1" localSheetId="35">#REF!</definedName>
    <definedName name="_____con1" localSheetId="25">#REF!</definedName>
    <definedName name="_____con1" localSheetId="27">#REF!</definedName>
    <definedName name="_____con1" localSheetId="28">#REF!</definedName>
    <definedName name="_____con1" localSheetId="29">#REF!</definedName>
    <definedName name="_____con1" localSheetId="31">#REF!</definedName>
    <definedName name="_____con1" localSheetId="32">#REF!</definedName>
    <definedName name="_____con1" localSheetId="33">#REF!</definedName>
    <definedName name="_____con1" localSheetId="24">#REF!</definedName>
    <definedName name="_____con1" localSheetId="23">#REF!</definedName>
    <definedName name="_____con1" localSheetId="36">#REF!</definedName>
    <definedName name="_____con1" localSheetId="22">#REF!</definedName>
    <definedName name="_____con1" localSheetId="26">#REF!</definedName>
    <definedName name="_____con1" localSheetId="30">#REF!</definedName>
    <definedName name="_____con1" localSheetId="41">#REF!</definedName>
    <definedName name="_____con1" localSheetId="50">#REF!</definedName>
    <definedName name="_____con1" localSheetId="51">#REF!</definedName>
    <definedName name="_____con1" localSheetId="42">#REF!</definedName>
    <definedName name="_____con1" localSheetId="43">#REF!</definedName>
    <definedName name="_____con1" localSheetId="44">#REF!</definedName>
    <definedName name="_____con1" localSheetId="45">#REF!</definedName>
    <definedName name="_____con1" localSheetId="46">#REF!</definedName>
    <definedName name="_____con1" localSheetId="47">#REF!</definedName>
    <definedName name="_____con1" localSheetId="48">#REF!</definedName>
    <definedName name="_____con1" localSheetId="49">#REF!</definedName>
    <definedName name="_____con1" localSheetId="52">#REF!</definedName>
    <definedName name="_____con1" localSheetId="40">#REF!</definedName>
    <definedName name="_____con1" localSheetId="39">#REF!</definedName>
    <definedName name="_____con1" localSheetId="38">#REF!</definedName>
    <definedName name="_____con1" localSheetId="37">#REF!</definedName>
    <definedName name="_____con1" localSheetId="57">#REF!</definedName>
    <definedName name="_____con1" localSheetId="66">#REF!</definedName>
    <definedName name="_____con1" localSheetId="67">#REF!</definedName>
    <definedName name="_____con1" localSheetId="58">#REF!</definedName>
    <definedName name="_____con1" localSheetId="59">#REF!</definedName>
    <definedName name="_____con1" localSheetId="60">#REF!</definedName>
    <definedName name="_____con1" localSheetId="61">#REF!</definedName>
    <definedName name="_____con1" localSheetId="62">#REF!</definedName>
    <definedName name="_____con1" localSheetId="63">#REF!</definedName>
    <definedName name="_____con1" localSheetId="64">#REF!</definedName>
    <definedName name="_____con1" localSheetId="65">#REF!</definedName>
    <definedName name="_____con1" localSheetId="68">#REF!</definedName>
    <definedName name="_____con1" localSheetId="56">#REF!</definedName>
    <definedName name="_____con1" localSheetId="55">#REF!</definedName>
    <definedName name="_____con1" localSheetId="54">#REF!</definedName>
    <definedName name="_____con1" localSheetId="53">#REF!</definedName>
    <definedName name="_____con1" localSheetId="85">#REF!</definedName>
    <definedName name="_____con1" localSheetId="86">#REF!</definedName>
    <definedName name="_____con1" localSheetId="2">#REF!</definedName>
    <definedName name="_____con1">#REF!</definedName>
    <definedName name="_____con11" localSheetId="3">#REF!</definedName>
    <definedName name="_____con11" localSheetId="4">#REF!</definedName>
    <definedName name="_____con11" localSheetId="18">#REF!</definedName>
    <definedName name="_____con11" localSheetId="19">#REF!</definedName>
    <definedName name="_____con11" localSheetId="9">#REF!</definedName>
    <definedName name="_____con11" localSheetId="10">#REF!</definedName>
    <definedName name="_____con11" localSheetId="11">#REF!</definedName>
    <definedName name="_____con11" localSheetId="12">#REF!</definedName>
    <definedName name="_____con11" localSheetId="13">#REF!</definedName>
    <definedName name="_____con11" localSheetId="14">#REF!</definedName>
    <definedName name="_____con11" localSheetId="15">#REF!</definedName>
    <definedName name="_____con11" localSheetId="16">#REF!</definedName>
    <definedName name="_____con11" localSheetId="17">#REF!</definedName>
    <definedName name="_____con11" localSheetId="8">#REF!</definedName>
    <definedName name="_____con11" localSheetId="7">#REF!</definedName>
    <definedName name="_____con11" localSheetId="6">#REF!</definedName>
    <definedName name="_____con11" localSheetId="20">#REF!</definedName>
    <definedName name="_____con11" localSheetId="5">#REF!</definedName>
    <definedName name="_____con11" localSheetId="21">#REF!</definedName>
    <definedName name="_____con11" localSheetId="34">#REF!</definedName>
    <definedName name="_____con11" localSheetId="35">#REF!</definedName>
    <definedName name="_____con11" localSheetId="25">#REF!</definedName>
    <definedName name="_____con11" localSheetId="27">#REF!</definedName>
    <definedName name="_____con11" localSheetId="28">#REF!</definedName>
    <definedName name="_____con11" localSheetId="29">#REF!</definedName>
    <definedName name="_____con11" localSheetId="31">#REF!</definedName>
    <definedName name="_____con11" localSheetId="32">#REF!</definedName>
    <definedName name="_____con11" localSheetId="33">#REF!</definedName>
    <definedName name="_____con11" localSheetId="24">#REF!</definedName>
    <definedName name="_____con11" localSheetId="23">#REF!</definedName>
    <definedName name="_____con11" localSheetId="36">#REF!</definedName>
    <definedName name="_____con11" localSheetId="22">#REF!</definedName>
    <definedName name="_____con11" localSheetId="26">#REF!</definedName>
    <definedName name="_____con11" localSheetId="30">#REF!</definedName>
    <definedName name="_____con11" localSheetId="85">#REF!</definedName>
    <definedName name="_____con11" localSheetId="86">#REF!</definedName>
    <definedName name="_____con11" localSheetId="2">#REF!</definedName>
    <definedName name="_____con11">#REF!</definedName>
    <definedName name="_____con2" localSheetId="3">#REF!</definedName>
    <definedName name="_____con2" localSheetId="4">#REF!</definedName>
    <definedName name="_____con2" localSheetId="18">#REF!</definedName>
    <definedName name="_____con2" localSheetId="19">#REF!</definedName>
    <definedName name="_____con2" localSheetId="9">#REF!</definedName>
    <definedName name="_____con2" localSheetId="10">#REF!</definedName>
    <definedName name="_____con2" localSheetId="11">#REF!</definedName>
    <definedName name="_____con2" localSheetId="12">#REF!</definedName>
    <definedName name="_____con2" localSheetId="13">#REF!</definedName>
    <definedName name="_____con2" localSheetId="14">#REF!</definedName>
    <definedName name="_____con2" localSheetId="15">#REF!</definedName>
    <definedName name="_____con2" localSheetId="16">#REF!</definedName>
    <definedName name="_____con2" localSheetId="17">#REF!</definedName>
    <definedName name="_____con2" localSheetId="8">#REF!</definedName>
    <definedName name="_____con2" localSheetId="7">#REF!</definedName>
    <definedName name="_____con2" localSheetId="6">#REF!</definedName>
    <definedName name="_____con2" localSheetId="20">#REF!</definedName>
    <definedName name="_____con2" localSheetId="5">#REF!</definedName>
    <definedName name="_____con2" localSheetId="21">#REF!</definedName>
    <definedName name="_____con2" localSheetId="34">#REF!</definedName>
    <definedName name="_____con2" localSheetId="35">#REF!</definedName>
    <definedName name="_____con2" localSheetId="25">#REF!</definedName>
    <definedName name="_____con2" localSheetId="27">#REF!</definedName>
    <definedName name="_____con2" localSheetId="28">#REF!</definedName>
    <definedName name="_____con2" localSheetId="29">#REF!</definedName>
    <definedName name="_____con2" localSheetId="31">#REF!</definedName>
    <definedName name="_____con2" localSheetId="32">#REF!</definedName>
    <definedName name="_____con2" localSheetId="33">#REF!</definedName>
    <definedName name="_____con2" localSheetId="24">#REF!</definedName>
    <definedName name="_____con2" localSheetId="23">#REF!</definedName>
    <definedName name="_____con2" localSheetId="36">#REF!</definedName>
    <definedName name="_____con2" localSheetId="22">#REF!</definedName>
    <definedName name="_____con2" localSheetId="26">#REF!</definedName>
    <definedName name="_____con2" localSheetId="30">#REF!</definedName>
    <definedName name="_____con2" localSheetId="85">#REF!</definedName>
    <definedName name="_____con2" localSheetId="86">#REF!</definedName>
    <definedName name="_____con2" localSheetId="2">#REF!</definedName>
    <definedName name="_____con2">#REF!</definedName>
    <definedName name="_____con3" localSheetId="3">#REF!</definedName>
    <definedName name="_____con3" localSheetId="2">#REF!</definedName>
    <definedName name="_____con3">#REF!</definedName>
    <definedName name="_____con4" localSheetId="3">#REF!</definedName>
    <definedName name="_____con4" localSheetId="2">#REF!</definedName>
    <definedName name="_____con4">#REF!</definedName>
    <definedName name="_____FAC1" localSheetId="3">[1]สรุป!$C$307</definedName>
    <definedName name="_____FAC1" localSheetId="4">[2]สรุป!$C$307</definedName>
    <definedName name="_____FAC1" localSheetId="86">[2]สรุป!$C$307</definedName>
    <definedName name="_____FAC1">[3]สรุป!$C$307</definedName>
    <definedName name="_____fws1" localSheetId="3">'[4]11 ข้อมูลงานCon'!$AB$30</definedName>
    <definedName name="_____fws1" localSheetId="4">'[4]11 ข้อมูลงานCon'!$AB$30</definedName>
    <definedName name="_____fws1" localSheetId="85">'[5]11 ข้อมูลงานCon'!$AB$30</definedName>
    <definedName name="_____fws1" localSheetId="86">'[5]11 ข้อมูลงานCon'!$AB$30</definedName>
    <definedName name="_____fws1">'[4]11 ข้อมูลงานCon'!$AB$30</definedName>
    <definedName name="_____rb1" localSheetId="3">'[6]10 ข้อมูลวัสดุ-ค่าดำเนิน'!$X$15</definedName>
    <definedName name="_____rb1" localSheetId="4">'[6]10 ข้อมูลวัสดุ-ค่าดำเนิน'!$X$15</definedName>
    <definedName name="_____rb1" localSheetId="85">'[7]10 ข้อมูลวัสดุ-ค่าดำเนิน'!$X$15</definedName>
    <definedName name="_____rb1" localSheetId="86">'[7]10 ข้อมูลวัสดุ-ค่าดำเนิน'!$X$15</definedName>
    <definedName name="_____rb1">'[6]10 ข้อมูลวัสดุ-ค่าดำเนิน'!$X$15</definedName>
    <definedName name="_____sb1" localSheetId="3">'[4]12 ข้อมูลงานไม้แบบ'!$W$29</definedName>
    <definedName name="_____sb1" localSheetId="4">'[4]12 ข้อมูลงานไม้แบบ'!$W$29</definedName>
    <definedName name="_____sb1" localSheetId="85">'[5]12 ข้อมูลงานไม้แบบ'!$W$29</definedName>
    <definedName name="_____sb1" localSheetId="86">'[5]12 ข้อมูลงานไม้แบบ'!$W$29</definedName>
    <definedName name="_____sb1">'[4]12 ข้อมูลงานไม้แบบ'!$W$29</definedName>
    <definedName name="_____sd30" localSheetId="3">#REF!</definedName>
    <definedName name="_____sd30" localSheetId="4">#REF!</definedName>
    <definedName name="_____sd30" localSheetId="18">#REF!</definedName>
    <definedName name="_____sd30" localSheetId="19">#REF!</definedName>
    <definedName name="_____sd30" localSheetId="9">#REF!</definedName>
    <definedName name="_____sd30" localSheetId="10">#REF!</definedName>
    <definedName name="_____sd30" localSheetId="11">#REF!</definedName>
    <definedName name="_____sd30" localSheetId="12">#REF!</definedName>
    <definedName name="_____sd30" localSheetId="13">#REF!</definedName>
    <definedName name="_____sd30" localSheetId="14">#REF!</definedName>
    <definedName name="_____sd30" localSheetId="15">#REF!</definedName>
    <definedName name="_____sd30" localSheetId="16">#REF!</definedName>
    <definedName name="_____sd30" localSheetId="17">#REF!</definedName>
    <definedName name="_____sd30" localSheetId="8">#REF!</definedName>
    <definedName name="_____sd30" localSheetId="7">#REF!</definedName>
    <definedName name="_____sd30" localSheetId="6">#REF!</definedName>
    <definedName name="_____sd30" localSheetId="20">#REF!</definedName>
    <definedName name="_____sd30" localSheetId="5">#REF!</definedName>
    <definedName name="_____sd30" localSheetId="21">#REF!</definedName>
    <definedName name="_____sd30" localSheetId="34">#REF!</definedName>
    <definedName name="_____sd30" localSheetId="35">#REF!</definedName>
    <definedName name="_____sd30" localSheetId="25">#REF!</definedName>
    <definedName name="_____sd30" localSheetId="27">#REF!</definedName>
    <definedName name="_____sd30" localSheetId="28">#REF!</definedName>
    <definedName name="_____sd30" localSheetId="29">#REF!</definedName>
    <definedName name="_____sd30" localSheetId="31">#REF!</definedName>
    <definedName name="_____sd30" localSheetId="32">#REF!</definedName>
    <definedName name="_____sd30" localSheetId="33">#REF!</definedName>
    <definedName name="_____sd30" localSheetId="24">#REF!</definedName>
    <definedName name="_____sd30" localSheetId="23">#REF!</definedName>
    <definedName name="_____sd30" localSheetId="36">#REF!</definedName>
    <definedName name="_____sd30" localSheetId="22">#REF!</definedName>
    <definedName name="_____sd30" localSheetId="26">#REF!</definedName>
    <definedName name="_____sd30" localSheetId="30">#REF!</definedName>
    <definedName name="_____sd30" localSheetId="41">#REF!</definedName>
    <definedName name="_____sd30" localSheetId="50">#REF!</definedName>
    <definedName name="_____sd30" localSheetId="51">#REF!</definedName>
    <definedName name="_____sd30" localSheetId="42">#REF!</definedName>
    <definedName name="_____sd30" localSheetId="43">#REF!</definedName>
    <definedName name="_____sd30" localSheetId="44">#REF!</definedName>
    <definedName name="_____sd30" localSheetId="45">#REF!</definedName>
    <definedName name="_____sd30" localSheetId="46">#REF!</definedName>
    <definedName name="_____sd30" localSheetId="47">#REF!</definedName>
    <definedName name="_____sd30" localSheetId="48">#REF!</definedName>
    <definedName name="_____sd30" localSheetId="49">#REF!</definedName>
    <definedName name="_____sd30" localSheetId="52">#REF!</definedName>
    <definedName name="_____sd30" localSheetId="40">#REF!</definedName>
    <definedName name="_____sd30" localSheetId="39">#REF!</definedName>
    <definedName name="_____sd30" localSheetId="38">#REF!</definedName>
    <definedName name="_____sd30" localSheetId="37">#REF!</definedName>
    <definedName name="_____sd30" localSheetId="57">#REF!</definedName>
    <definedName name="_____sd30" localSheetId="66">#REF!</definedName>
    <definedName name="_____sd30" localSheetId="67">#REF!</definedName>
    <definedName name="_____sd30" localSheetId="58">#REF!</definedName>
    <definedName name="_____sd30" localSheetId="59">#REF!</definedName>
    <definedName name="_____sd30" localSheetId="60">#REF!</definedName>
    <definedName name="_____sd30" localSheetId="61">#REF!</definedName>
    <definedName name="_____sd30" localSheetId="62">#REF!</definedName>
    <definedName name="_____sd30" localSheetId="63">#REF!</definedName>
    <definedName name="_____sd30" localSheetId="64">#REF!</definedName>
    <definedName name="_____sd30" localSheetId="65">#REF!</definedName>
    <definedName name="_____sd30" localSheetId="68">#REF!</definedName>
    <definedName name="_____sd30" localSheetId="56">#REF!</definedName>
    <definedName name="_____sd30" localSheetId="55">#REF!</definedName>
    <definedName name="_____sd30" localSheetId="54">#REF!</definedName>
    <definedName name="_____sd30" localSheetId="53">#REF!</definedName>
    <definedName name="_____sd30" localSheetId="85">#REF!</definedName>
    <definedName name="_____sd30" localSheetId="86">#REF!</definedName>
    <definedName name="_____sd30" localSheetId="2">#REF!</definedName>
    <definedName name="_____sd30">#REF!</definedName>
    <definedName name="_____sd40" localSheetId="3">#REF!</definedName>
    <definedName name="_____sd40" localSheetId="4">#REF!</definedName>
    <definedName name="_____sd40" localSheetId="18">#REF!</definedName>
    <definedName name="_____sd40" localSheetId="19">#REF!</definedName>
    <definedName name="_____sd40" localSheetId="9">#REF!</definedName>
    <definedName name="_____sd40" localSheetId="10">#REF!</definedName>
    <definedName name="_____sd40" localSheetId="11">#REF!</definedName>
    <definedName name="_____sd40" localSheetId="12">#REF!</definedName>
    <definedName name="_____sd40" localSheetId="13">#REF!</definedName>
    <definedName name="_____sd40" localSheetId="14">#REF!</definedName>
    <definedName name="_____sd40" localSheetId="15">#REF!</definedName>
    <definedName name="_____sd40" localSheetId="16">#REF!</definedName>
    <definedName name="_____sd40" localSheetId="17">#REF!</definedName>
    <definedName name="_____sd40" localSheetId="8">#REF!</definedName>
    <definedName name="_____sd40" localSheetId="7">#REF!</definedName>
    <definedName name="_____sd40" localSheetId="6">#REF!</definedName>
    <definedName name="_____sd40" localSheetId="20">#REF!</definedName>
    <definedName name="_____sd40" localSheetId="5">#REF!</definedName>
    <definedName name="_____sd40" localSheetId="21">#REF!</definedName>
    <definedName name="_____sd40" localSheetId="34">#REF!</definedName>
    <definedName name="_____sd40" localSheetId="35">#REF!</definedName>
    <definedName name="_____sd40" localSheetId="25">#REF!</definedName>
    <definedName name="_____sd40" localSheetId="27">#REF!</definedName>
    <definedName name="_____sd40" localSheetId="28">#REF!</definedName>
    <definedName name="_____sd40" localSheetId="29">#REF!</definedName>
    <definedName name="_____sd40" localSheetId="31">#REF!</definedName>
    <definedName name="_____sd40" localSheetId="32">#REF!</definedName>
    <definedName name="_____sd40" localSheetId="33">#REF!</definedName>
    <definedName name="_____sd40" localSheetId="24">#REF!</definedName>
    <definedName name="_____sd40" localSheetId="23">#REF!</definedName>
    <definedName name="_____sd40" localSheetId="36">#REF!</definedName>
    <definedName name="_____sd40" localSheetId="22">#REF!</definedName>
    <definedName name="_____sd40" localSheetId="26">#REF!</definedName>
    <definedName name="_____sd40" localSheetId="30">#REF!</definedName>
    <definedName name="_____sd40" localSheetId="85">#REF!</definedName>
    <definedName name="_____sd40" localSheetId="86">#REF!</definedName>
    <definedName name="_____sd40" localSheetId="2">#REF!</definedName>
    <definedName name="_____sd40">#REF!</definedName>
    <definedName name="_____st1" localSheetId="3">#REF!</definedName>
    <definedName name="_____st1" localSheetId="4">#REF!</definedName>
    <definedName name="_____st1" localSheetId="18">#REF!</definedName>
    <definedName name="_____st1" localSheetId="19">#REF!</definedName>
    <definedName name="_____st1" localSheetId="9">#REF!</definedName>
    <definedName name="_____st1" localSheetId="10">#REF!</definedName>
    <definedName name="_____st1" localSheetId="11">#REF!</definedName>
    <definedName name="_____st1" localSheetId="12">#REF!</definedName>
    <definedName name="_____st1" localSheetId="13">#REF!</definedName>
    <definedName name="_____st1" localSheetId="14">#REF!</definedName>
    <definedName name="_____st1" localSheetId="15">#REF!</definedName>
    <definedName name="_____st1" localSheetId="16">#REF!</definedName>
    <definedName name="_____st1" localSheetId="17">#REF!</definedName>
    <definedName name="_____st1" localSheetId="8">#REF!</definedName>
    <definedName name="_____st1" localSheetId="7">#REF!</definedName>
    <definedName name="_____st1" localSheetId="6">#REF!</definedName>
    <definedName name="_____st1" localSheetId="20">#REF!</definedName>
    <definedName name="_____st1" localSheetId="5">#REF!</definedName>
    <definedName name="_____st1" localSheetId="21">#REF!</definedName>
    <definedName name="_____st1" localSheetId="34">#REF!</definedName>
    <definedName name="_____st1" localSheetId="35">#REF!</definedName>
    <definedName name="_____st1" localSheetId="25">#REF!</definedName>
    <definedName name="_____st1" localSheetId="27">#REF!</definedName>
    <definedName name="_____st1" localSheetId="28">#REF!</definedName>
    <definedName name="_____st1" localSheetId="29">#REF!</definedName>
    <definedName name="_____st1" localSheetId="31">#REF!</definedName>
    <definedName name="_____st1" localSheetId="32">#REF!</definedName>
    <definedName name="_____st1" localSheetId="33">#REF!</definedName>
    <definedName name="_____st1" localSheetId="24">#REF!</definedName>
    <definedName name="_____st1" localSheetId="23">#REF!</definedName>
    <definedName name="_____st1" localSheetId="36">#REF!</definedName>
    <definedName name="_____st1" localSheetId="22">#REF!</definedName>
    <definedName name="_____st1" localSheetId="26">#REF!</definedName>
    <definedName name="_____st1" localSheetId="30">#REF!</definedName>
    <definedName name="_____st1" localSheetId="85">#REF!</definedName>
    <definedName name="_____st1" localSheetId="86">#REF!</definedName>
    <definedName name="_____st1" localSheetId="2">#REF!</definedName>
    <definedName name="_____st1">#REF!</definedName>
    <definedName name="_____st2" localSheetId="3">#REF!</definedName>
    <definedName name="_____st2" localSheetId="2">#REF!</definedName>
    <definedName name="_____st2">#REF!</definedName>
    <definedName name="_____st3" localSheetId="3">#REF!</definedName>
    <definedName name="_____st3" localSheetId="2">#REF!</definedName>
    <definedName name="_____st3">#REF!</definedName>
    <definedName name="_____wb1" localSheetId="3">'[6]10 ข้อมูลวัสดุ-ค่าดำเนิน'!$X$19</definedName>
    <definedName name="_____wb1" localSheetId="4">'[6]10 ข้อมูลวัสดุ-ค่าดำเนิน'!$X$19</definedName>
    <definedName name="_____wb1" localSheetId="85">'[7]10 ข้อมูลวัสดุ-ค่าดำเนิน'!$X$19</definedName>
    <definedName name="_____wb1" localSheetId="86">'[7]10 ข้อมูลวัสดุ-ค่าดำเนิน'!$X$19</definedName>
    <definedName name="_____wb1">'[6]10 ข้อมูลวัสดุ-ค่าดำเนิน'!$X$19</definedName>
    <definedName name="____con1" localSheetId="3">#REF!</definedName>
    <definedName name="____con1" localSheetId="4">#REF!</definedName>
    <definedName name="____con1" localSheetId="18">#REF!</definedName>
    <definedName name="____con1" localSheetId="19">#REF!</definedName>
    <definedName name="____con1" localSheetId="9">#REF!</definedName>
    <definedName name="____con1" localSheetId="10">#REF!</definedName>
    <definedName name="____con1" localSheetId="11">#REF!</definedName>
    <definedName name="____con1" localSheetId="12">#REF!</definedName>
    <definedName name="____con1" localSheetId="13">#REF!</definedName>
    <definedName name="____con1" localSheetId="14">#REF!</definedName>
    <definedName name="____con1" localSheetId="15">#REF!</definedName>
    <definedName name="____con1" localSheetId="16">#REF!</definedName>
    <definedName name="____con1" localSheetId="17">#REF!</definedName>
    <definedName name="____con1" localSheetId="8">#REF!</definedName>
    <definedName name="____con1" localSheetId="7">#REF!</definedName>
    <definedName name="____con1" localSheetId="6">#REF!</definedName>
    <definedName name="____con1" localSheetId="20">#REF!</definedName>
    <definedName name="____con1" localSheetId="5">#REF!</definedName>
    <definedName name="____con1" localSheetId="21">#REF!</definedName>
    <definedName name="____con1" localSheetId="34">#REF!</definedName>
    <definedName name="____con1" localSheetId="35">#REF!</definedName>
    <definedName name="____con1" localSheetId="25">#REF!</definedName>
    <definedName name="____con1" localSheetId="27">#REF!</definedName>
    <definedName name="____con1" localSheetId="28">#REF!</definedName>
    <definedName name="____con1" localSheetId="29">#REF!</definedName>
    <definedName name="____con1" localSheetId="31">#REF!</definedName>
    <definedName name="____con1" localSheetId="32">#REF!</definedName>
    <definedName name="____con1" localSheetId="33">#REF!</definedName>
    <definedName name="____con1" localSheetId="24">#REF!</definedName>
    <definedName name="____con1" localSheetId="23">#REF!</definedName>
    <definedName name="____con1" localSheetId="36">#REF!</definedName>
    <definedName name="____con1" localSheetId="22">#REF!</definedName>
    <definedName name="____con1" localSheetId="26">#REF!</definedName>
    <definedName name="____con1" localSheetId="30">#REF!</definedName>
    <definedName name="____con1" localSheetId="41">#REF!</definedName>
    <definedName name="____con1" localSheetId="50">#REF!</definedName>
    <definedName name="____con1" localSheetId="51">#REF!</definedName>
    <definedName name="____con1" localSheetId="42">#REF!</definedName>
    <definedName name="____con1" localSheetId="43">#REF!</definedName>
    <definedName name="____con1" localSheetId="44">#REF!</definedName>
    <definedName name="____con1" localSheetId="45">#REF!</definedName>
    <definedName name="____con1" localSheetId="46">#REF!</definedName>
    <definedName name="____con1" localSheetId="47">#REF!</definedName>
    <definedName name="____con1" localSheetId="48">#REF!</definedName>
    <definedName name="____con1" localSheetId="49">#REF!</definedName>
    <definedName name="____con1" localSheetId="52">#REF!</definedName>
    <definedName name="____con1" localSheetId="40">#REF!</definedName>
    <definedName name="____con1" localSheetId="39">#REF!</definedName>
    <definedName name="____con1" localSheetId="38">#REF!</definedName>
    <definedName name="____con1" localSheetId="37">#REF!</definedName>
    <definedName name="____con1" localSheetId="57">#REF!</definedName>
    <definedName name="____con1" localSheetId="66">#REF!</definedName>
    <definedName name="____con1" localSheetId="67">#REF!</definedName>
    <definedName name="____con1" localSheetId="58">#REF!</definedName>
    <definedName name="____con1" localSheetId="59">#REF!</definedName>
    <definedName name="____con1" localSheetId="60">#REF!</definedName>
    <definedName name="____con1" localSheetId="61">#REF!</definedName>
    <definedName name="____con1" localSheetId="62">#REF!</definedName>
    <definedName name="____con1" localSheetId="63">#REF!</definedName>
    <definedName name="____con1" localSheetId="64">#REF!</definedName>
    <definedName name="____con1" localSheetId="65">#REF!</definedName>
    <definedName name="____con1" localSheetId="68">#REF!</definedName>
    <definedName name="____con1" localSheetId="56">#REF!</definedName>
    <definedName name="____con1" localSheetId="55">#REF!</definedName>
    <definedName name="____con1" localSheetId="54">#REF!</definedName>
    <definedName name="____con1" localSheetId="53">#REF!</definedName>
    <definedName name="____con1" localSheetId="85">#REF!</definedName>
    <definedName name="____con1" localSheetId="86">#REF!</definedName>
    <definedName name="____con1" localSheetId="2">#REF!</definedName>
    <definedName name="____con1">#REF!</definedName>
    <definedName name="____con11" localSheetId="3">#REF!</definedName>
    <definedName name="____con11" localSheetId="4">#REF!</definedName>
    <definedName name="____con11" localSheetId="18">#REF!</definedName>
    <definedName name="____con11" localSheetId="19">#REF!</definedName>
    <definedName name="____con11" localSheetId="9">#REF!</definedName>
    <definedName name="____con11" localSheetId="10">#REF!</definedName>
    <definedName name="____con11" localSheetId="11">#REF!</definedName>
    <definedName name="____con11" localSheetId="12">#REF!</definedName>
    <definedName name="____con11" localSheetId="13">#REF!</definedName>
    <definedName name="____con11" localSheetId="14">#REF!</definedName>
    <definedName name="____con11" localSheetId="15">#REF!</definedName>
    <definedName name="____con11" localSheetId="16">#REF!</definedName>
    <definedName name="____con11" localSheetId="17">#REF!</definedName>
    <definedName name="____con11" localSheetId="8">#REF!</definedName>
    <definedName name="____con11" localSheetId="7">#REF!</definedName>
    <definedName name="____con11" localSheetId="6">#REF!</definedName>
    <definedName name="____con11" localSheetId="20">#REF!</definedName>
    <definedName name="____con11" localSheetId="5">#REF!</definedName>
    <definedName name="____con11" localSheetId="21">#REF!</definedName>
    <definedName name="____con11" localSheetId="34">#REF!</definedName>
    <definedName name="____con11" localSheetId="35">#REF!</definedName>
    <definedName name="____con11" localSheetId="25">#REF!</definedName>
    <definedName name="____con11" localSheetId="27">#REF!</definedName>
    <definedName name="____con11" localSheetId="28">#REF!</definedName>
    <definedName name="____con11" localSheetId="29">#REF!</definedName>
    <definedName name="____con11" localSheetId="31">#REF!</definedName>
    <definedName name="____con11" localSheetId="32">#REF!</definedName>
    <definedName name="____con11" localSheetId="33">#REF!</definedName>
    <definedName name="____con11" localSheetId="24">#REF!</definedName>
    <definedName name="____con11" localSheetId="23">#REF!</definedName>
    <definedName name="____con11" localSheetId="36">#REF!</definedName>
    <definedName name="____con11" localSheetId="22">#REF!</definedName>
    <definedName name="____con11" localSheetId="26">#REF!</definedName>
    <definedName name="____con11" localSheetId="30">#REF!</definedName>
    <definedName name="____con11" localSheetId="85">#REF!</definedName>
    <definedName name="____con11" localSheetId="86">#REF!</definedName>
    <definedName name="____con11" localSheetId="2">#REF!</definedName>
    <definedName name="____con11">#REF!</definedName>
    <definedName name="____con2" localSheetId="3">#REF!</definedName>
    <definedName name="____con2" localSheetId="4">#REF!</definedName>
    <definedName name="____con2" localSheetId="18">#REF!</definedName>
    <definedName name="____con2" localSheetId="19">#REF!</definedName>
    <definedName name="____con2" localSheetId="9">#REF!</definedName>
    <definedName name="____con2" localSheetId="10">#REF!</definedName>
    <definedName name="____con2" localSheetId="11">#REF!</definedName>
    <definedName name="____con2" localSheetId="12">#REF!</definedName>
    <definedName name="____con2" localSheetId="13">#REF!</definedName>
    <definedName name="____con2" localSheetId="14">#REF!</definedName>
    <definedName name="____con2" localSheetId="15">#REF!</definedName>
    <definedName name="____con2" localSheetId="16">#REF!</definedName>
    <definedName name="____con2" localSheetId="17">#REF!</definedName>
    <definedName name="____con2" localSheetId="8">#REF!</definedName>
    <definedName name="____con2" localSheetId="7">#REF!</definedName>
    <definedName name="____con2" localSheetId="6">#REF!</definedName>
    <definedName name="____con2" localSheetId="20">#REF!</definedName>
    <definedName name="____con2" localSheetId="5">#REF!</definedName>
    <definedName name="____con2" localSheetId="21">#REF!</definedName>
    <definedName name="____con2" localSheetId="34">#REF!</definedName>
    <definedName name="____con2" localSheetId="35">#REF!</definedName>
    <definedName name="____con2" localSheetId="25">#REF!</definedName>
    <definedName name="____con2" localSheetId="27">#REF!</definedName>
    <definedName name="____con2" localSheetId="28">#REF!</definedName>
    <definedName name="____con2" localSheetId="29">#REF!</definedName>
    <definedName name="____con2" localSheetId="31">#REF!</definedName>
    <definedName name="____con2" localSheetId="32">#REF!</definedName>
    <definedName name="____con2" localSheetId="33">#REF!</definedName>
    <definedName name="____con2" localSheetId="24">#REF!</definedName>
    <definedName name="____con2" localSheetId="23">#REF!</definedName>
    <definedName name="____con2" localSheetId="36">#REF!</definedName>
    <definedName name="____con2" localSheetId="22">#REF!</definedName>
    <definedName name="____con2" localSheetId="26">#REF!</definedName>
    <definedName name="____con2" localSheetId="30">#REF!</definedName>
    <definedName name="____con2" localSheetId="85">#REF!</definedName>
    <definedName name="____con2" localSheetId="86">#REF!</definedName>
    <definedName name="____con2" localSheetId="2">#REF!</definedName>
    <definedName name="____con2">#REF!</definedName>
    <definedName name="____con3" localSheetId="3">#REF!</definedName>
    <definedName name="____con3" localSheetId="2">#REF!</definedName>
    <definedName name="____con3">#REF!</definedName>
    <definedName name="____con4" localSheetId="3">#REF!</definedName>
    <definedName name="____con4" localSheetId="2">#REF!</definedName>
    <definedName name="____con4">#REF!</definedName>
    <definedName name="____FAC1" localSheetId="3">[1]สรุป!$C$307</definedName>
    <definedName name="____FAC1" localSheetId="4">[2]สรุป!$C$307</definedName>
    <definedName name="____FAC1" localSheetId="86">[2]สรุป!$C$307</definedName>
    <definedName name="____FAC1">[3]สรุป!$C$307</definedName>
    <definedName name="____fws1" localSheetId="3">'[4]11 ข้อมูลงานCon'!$AB$30</definedName>
    <definedName name="____fws1" localSheetId="4">'[4]11 ข้อมูลงานCon'!$AB$30</definedName>
    <definedName name="____fws1" localSheetId="85">'[5]11 ข้อมูลงานCon'!$AB$30</definedName>
    <definedName name="____fws1" localSheetId="86">'[5]11 ข้อมูลงานCon'!$AB$30</definedName>
    <definedName name="____fws1">'[4]11 ข้อมูลงานCon'!$AB$30</definedName>
    <definedName name="____rb1" localSheetId="3">'[6]10 ข้อมูลวัสดุ-ค่าดำเนิน'!$X$15</definedName>
    <definedName name="____rb1" localSheetId="4">'[6]10 ข้อมูลวัสดุ-ค่าดำเนิน'!$X$15</definedName>
    <definedName name="____rb1" localSheetId="85">'[7]10 ข้อมูลวัสดุ-ค่าดำเนิน'!$X$15</definedName>
    <definedName name="____rb1" localSheetId="86">'[7]10 ข้อมูลวัสดุ-ค่าดำเนิน'!$X$15</definedName>
    <definedName name="____rb1">'[6]10 ข้อมูลวัสดุ-ค่าดำเนิน'!$X$15</definedName>
    <definedName name="____sb1" localSheetId="3">'[4]12 ข้อมูลงานไม้แบบ'!$W$29</definedName>
    <definedName name="____sb1" localSheetId="4">'[4]12 ข้อมูลงานไม้แบบ'!$W$29</definedName>
    <definedName name="____sb1" localSheetId="85">'[5]12 ข้อมูลงานไม้แบบ'!$W$29</definedName>
    <definedName name="____sb1" localSheetId="86">'[5]12 ข้อมูลงานไม้แบบ'!$W$29</definedName>
    <definedName name="____sb1">'[4]12 ข้อมูลงานไม้แบบ'!$W$29</definedName>
    <definedName name="____sd30" localSheetId="3">#REF!</definedName>
    <definedName name="____sd30" localSheetId="4">#REF!</definedName>
    <definedName name="____sd30" localSheetId="18">#REF!</definedName>
    <definedName name="____sd30" localSheetId="19">#REF!</definedName>
    <definedName name="____sd30" localSheetId="9">#REF!</definedName>
    <definedName name="____sd30" localSheetId="10">#REF!</definedName>
    <definedName name="____sd30" localSheetId="11">#REF!</definedName>
    <definedName name="____sd30" localSheetId="12">#REF!</definedName>
    <definedName name="____sd30" localSheetId="13">#REF!</definedName>
    <definedName name="____sd30" localSheetId="14">#REF!</definedName>
    <definedName name="____sd30" localSheetId="15">#REF!</definedName>
    <definedName name="____sd30" localSheetId="16">#REF!</definedName>
    <definedName name="____sd30" localSheetId="17">#REF!</definedName>
    <definedName name="____sd30" localSheetId="8">#REF!</definedName>
    <definedName name="____sd30" localSheetId="7">#REF!</definedName>
    <definedName name="____sd30" localSheetId="6">#REF!</definedName>
    <definedName name="____sd30" localSheetId="20">#REF!</definedName>
    <definedName name="____sd30" localSheetId="5">#REF!</definedName>
    <definedName name="____sd30" localSheetId="21">#REF!</definedName>
    <definedName name="____sd30" localSheetId="34">#REF!</definedName>
    <definedName name="____sd30" localSheetId="35">#REF!</definedName>
    <definedName name="____sd30" localSheetId="25">#REF!</definedName>
    <definedName name="____sd30" localSheetId="27">#REF!</definedName>
    <definedName name="____sd30" localSheetId="28">#REF!</definedName>
    <definedName name="____sd30" localSheetId="29">#REF!</definedName>
    <definedName name="____sd30" localSheetId="31">#REF!</definedName>
    <definedName name="____sd30" localSheetId="32">#REF!</definedName>
    <definedName name="____sd30" localSheetId="33">#REF!</definedName>
    <definedName name="____sd30" localSheetId="24">#REF!</definedName>
    <definedName name="____sd30" localSheetId="23">#REF!</definedName>
    <definedName name="____sd30" localSheetId="36">#REF!</definedName>
    <definedName name="____sd30" localSheetId="22">#REF!</definedName>
    <definedName name="____sd30" localSheetId="26">#REF!</definedName>
    <definedName name="____sd30" localSheetId="30">#REF!</definedName>
    <definedName name="____sd30" localSheetId="41">#REF!</definedName>
    <definedName name="____sd30" localSheetId="50">#REF!</definedName>
    <definedName name="____sd30" localSheetId="51">#REF!</definedName>
    <definedName name="____sd30" localSheetId="42">#REF!</definedName>
    <definedName name="____sd30" localSheetId="43">#REF!</definedName>
    <definedName name="____sd30" localSheetId="44">#REF!</definedName>
    <definedName name="____sd30" localSheetId="45">#REF!</definedName>
    <definedName name="____sd30" localSheetId="46">#REF!</definedName>
    <definedName name="____sd30" localSheetId="47">#REF!</definedName>
    <definedName name="____sd30" localSheetId="48">#REF!</definedName>
    <definedName name="____sd30" localSheetId="49">#REF!</definedName>
    <definedName name="____sd30" localSheetId="52">#REF!</definedName>
    <definedName name="____sd30" localSheetId="40">#REF!</definedName>
    <definedName name="____sd30" localSheetId="39">#REF!</definedName>
    <definedName name="____sd30" localSheetId="38">#REF!</definedName>
    <definedName name="____sd30" localSheetId="37">#REF!</definedName>
    <definedName name="____sd30" localSheetId="57">#REF!</definedName>
    <definedName name="____sd30" localSheetId="66">#REF!</definedName>
    <definedName name="____sd30" localSheetId="67">#REF!</definedName>
    <definedName name="____sd30" localSheetId="58">#REF!</definedName>
    <definedName name="____sd30" localSheetId="59">#REF!</definedName>
    <definedName name="____sd30" localSheetId="60">#REF!</definedName>
    <definedName name="____sd30" localSheetId="61">#REF!</definedName>
    <definedName name="____sd30" localSheetId="62">#REF!</definedName>
    <definedName name="____sd30" localSheetId="63">#REF!</definedName>
    <definedName name="____sd30" localSheetId="64">#REF!</definedName>
    <definedName name="____sd30" localSheetId="65">#REF!</definedName>
    <definedName name="____sd30" localSheetId="68">#REF!</definedName>
    <definedName name="____sd30" localSheetId="56">#REF!</definedName>
    <definedName name="____sd30" localSheetId="55">#REF!</definedName>
    <definedName name="____sd30" localSheetId="54">#REF!</definedName>
    <definedName name="____sd30" localSheetId="53">#REF!</definedName>
    <definedName name="____sd30" localSheetId="85">#REF!</definedName>
    <definedName name="____sd30" localSheetId="86">#REF!</definedName>
    <definedName name="____sd30" localSheetId="2">#REF!</definedName>
    <definedName name="____sd30">#REF!</definedName>
    <definedName name="____sd40" localSheetId="3">#REF!</definedName>
    <definedName name="____sd40" localSheetId="4">#REF!</definedName>
    <definedName name="____sd40" localSheetId="18">#REF!</definedName>
    <definedName name="____sd40" localSheetId="19">#REF!</definedName>
    <definedName name="____sd40" localSheetId="9">#REF!</definedName>
    <definedName name="____sd40" localSheetId="10">#REF!</definedName>
    <definedName name="____sd40" localSheetId="11">#REF!</definedName>
    <definedName name="____sd40" localSheetId="12">#REF!</definedName>
    <definedName name="____sd40" localSheetId="13">#REF!</definedName>
    <definedName name="____sd40" localSheetId="14">#REF!</definedName>
    <definedName name="____sd40" localSheetId="15">#REF!</definedName>
    <definedName name="____sd40" localSheetId="16">#REF!</definedName>
    <definedName name="____sd40" localSheetId="17">#REF!</definedName>
    <definedName name="____sd40" localSheetId="8">#REF!</definedName>
    <definedName name="____sd40" localSheetId="7">#REF!</definedName>
    <definedName name="____sd40" localSheetId="6">#REF!</definedName>
    <definedName name="____sd40" localSheetId="20">#REF!</definedName>
    <definedName name="____sd40" localSheetId="5">#REF!</definedName>
    <definedName name="____sd40" localSheetId="21">#REF!</definedName>
    <definedName name="____sd40" localSheetId="34">#REF!</definedName>
    <definedName name="____sd40" localSheetId="35">#REF!</definedName>
    <definedName name="____sd40" localSheetId="25">#REF!</definedName>
    <definedName name="____sd40" localSheetId="27">#REF!</definedName>
    <definedName name="____sd40" localSheetId="28">#REF!</definedName>
    <definedName name="____sd40" localSheetId="29">#REF!</definedName>
    <definedName name="____sd40" localSheetId="31">#REF!</definedName>
    <definedName name="____sd40" localSheetId="32">#REF!</definedName>
    <definedName name="____sd40" localSheetId="33">#REF!</definedName>
    <definedName name="____sd40" localSheetId="24">#REF!</definedName>
    <definedName name="____sd40" localSheetId="23">#REF!</definedName>
    <definedName name="____sd40" localSheetId="36">#REF!</definedName>
    <definedName name="____sd40" localSheetId="22">#REF!</definedName>
    <definedName name="____sd40" localSheetId="26">#REF!</definedName>
    <definedName name="____sd40" localSheetId="30">#REF!</definedName>
    <definedName name="____sd40" localSheetId="85">#REF!</definedName>
    <definedName name="____sd40" localSheetId="86">#REF!</definedName>
    <definedName name="____sd40" localSheetId="2">#REF!</definedName>
    <definedName name="____sd40">#REF!</definedName>
    <definedName name="____st1" localSheetId="3">#REF!</definedName>
    <definedName name="____st1" localSheetId="4">#REF!</definedName>
    <definedName name="____st1" localSheetId="18">#REF!</definedName>
    <definedName name="____st1" localSheetId="19">#REF!</definedName>
    <definedName name="____st1" localSheetId="9">#REF!</definedName>
    <definedName name="____st1" localSheetId="10">#REF!</definedName>
    <definedName name="____st1" localSheetId="11">#REF!</definedName>
    <definedName name="____st1" localSheetId="12">#REF!</definedName>
    <definedName name="____st1" localSheetId="13">#REF!</definedName>
    <definedName name="____st1" localSheetId="14">#REF!</definedName>
    <definedName name="____st1" localSheetId="15">#REF!</definedName>
    <definedName name="____st1" localSheetId="16">#REF!</definedName>
    <definedName name="____st1" localSheetId="17">#REF!</definedName>
    <definedName name="____st1" localSheetId="8">#REF!</definedName>
    <definedName name="____st1" localSheetId="7">#REF!</definedName>
    <definedName name="____st1" localSheetId="6">#REF!</definedName>
    <definedName name="____st1" localSheetId="20">#REF!</definedName>
    <definedName name="____st1" localSheetId="5">#REF!</definedName>
    <definedName name="____st1" localSheetId="21">#REF!</definedName>
    <definedName name="____st1" localSheetId="34">#REF!</definedName>
    <definedName name="____st1" localSheetId="35">#REF!</definedName>
    <definedName name="____st1" localSheetId="25">#REF!</definedName>
    <definedName name="____st1" localSheetId="27">#REF!</definedName>
    <definedName name="____st1" localSheetId="28">#REF!</definedName>
    <definedName name="____st1" localSheetId="29">#REF!</definedName>
    <definedName name="____st1" localSheetId="31">#REF!</definedName>
    <definedName name="____st1" localSheetId="32">#REF!</definedName>
    <definedName name="____st1" localSheetId="33">#REF!</definedName>
    <definedName name="____st1" localSheetId="24">#REF!</definedName>
    <definedName name="____st1" localSheetId="23">#REF!</definedName>
    <definedName name="____st1" localSheetId="36">#REF!</definedName>
    <definedName name="____st1" localSheetId="22">#REF!</definedName>
    <definedName name="____st1" localSheetId="26">#REF!</definedName>
    <definedName name="____st1" localSheetId="30">#REF!</definedName>
    <definedName name="____st1" localSheetId="85">#REF!</definedName>
    <definedName name="____st1" localSheetId="86">#REF!</definedName>
    <definedName name="____st1" localSheetId="2">#REF!</definedName>
    <definedName name="____st1">#REF!</definedName>
    <definedName name="____st2" localSheetId="3">#REF!</definedName>
    <definedName name="____st2" localSheetId="2">#REF!</definedName>
    <definedName name="____st2">#REF!</definedName>
    <definedName name="____st3" localSheetId="3">#REF!</definedName>
    <definedName name="____st3" localSheetId="2">#REF!</definedName>
    <definedName name="____st3">#REF!</definedName>
    <definedName name="____wb1" localSheetId="3">'[6]10 ข้อมูลวัสดุ-ค่าดำเนิน'!$X$19</definedName>
    <definedName name="____wb1" localSheetId="4">'[6]10 ข้อมูลวัสดุ-ค่าดำเนิน'!$X$19</definedName>
    <definedName name="____wb1" localSheetId="85">'[7]10 ข้อมูลวัสดุ-ค่าดำเนิน'!$X$19</definedName>
    <definedName name="____wb1" localSheetId="86">'[7]10 ข้อมูลวัสดุ-ค่าดำเนิน'!$X$19</definedName>
    <definedName name="____wb1">'[6]10 ข้อมูลวัสดุ-ค่าดำเนิน'!$X$19</definedName>
    <definedName name="___con1" localSheetId="3">#REF!</definedName>
    <definedName name="___con1" localSheetId="4">#REF!</definedName>
    <definedName name="___con1" localSheetId="18">#REF!</definedName>
    <definedName name="___con1" localSheetId="19">#REF!</definedName>
    <definedName name="___con1" localSheetId="9">#REF!</definedName>
    <definedName name="___con1" localSheetId="10">#REF!</definedName>
    <definedName name="___con1" localSheetId="11">#REF!</definedName>
    <definedName name="___con1" localSheetId="12">#REF!</definedName>
    <definedName name="___con1" localSheetId="13">#REF!</definedName>
    <definedName name="___con1" localSheetId="14">#REF!</definedName>
    <definedName name="___con1" localSheetId="15">#REF!</definedName>
    <definedName name="___con1" localSheetId="16">#REF!</definedName>
    <definedName name="___con1" localSheetId="17">#REF!</definedName>
    <definedName name="___con1" localSheetId="8">#REF!</definedName>
    <definedName name="___con1" localSheetId="7">#REF!</definedName>
    <definedName name="___con1" localSheetId="6">#REF!</definedName>
    <definedName name="___con1" localSheetId="20">#REF!</definedName>
    <definedName name="___con1" localSheetId="5">#REF!</definedName>
    <definedName name="___con1" localSheetId="21">#REF!</definedName>
    <definedName name="___con1" localSheetId="34">#REF!</definedName>
    <definedName name="___con1" localSheetId="35">#REF!</definedName>
    <definedName name="___con1" localSheetId="25">#REF!</definedName>
    <definedName name="___con1" localSheetId="27">#REF!</definedName>
    <definedName name="___con1" localSheetId="28">#REF!</definedName>
    <definedName name="___con1" localSheetId="29">#REF!</definedName>
    <definedName name="___con1" localSheetId="31">#REF!</definedName>
    <definedName name="___con1" localSheetId="32">#REF!</definedName>
    <definedName name="___con1" localSheetId="33">#REF!</definedName>
    <definedName name="___con1" localSheetId="24">#REF!</definedName>
    <definedName name="___con1" localSheetId="23">#REF!</definedName>
    <definedName name="___con1" localSheetId="36">#REF!</definedName>
    <definedName name="___con1" localSheetId="22">#REF!</definedName>
    <definedName name="___con1" localSheetId="26">#REF!</definedName>
    <definedName name="___con1" localSheetId="30">#REF!</definedName>
    <definedName name="___con1" localSheetId="41">#REF!</definedName>
    <definedName name="___con1" localSheetId="50">#REF!</definedName>
    <definedName name="___con1" localSheetId="51">#REF!</definedName>
    <definedName name="___con1" localSheetId="42">#REF!</definedName>
    <definedName name="___con1" localSheetId="43">#REF!</definedName>
    <definedName name="___con1" localSheetId="44">#REF!</definedName>
    <definedName name="___con1" localSheetId="45">#REF!</definedName>
    <definedName name="___con1" localSheetId="46">#REF!</definedName>
    <definedName name="___con1" localSheetId="47">#REF!</definedName>
    <definedName name="___con1" localSheetId="48">#REF!</definedName>
    <definedName name="___con1" localSheetId="49">#REF!</definedName>
    <definedName name="___con1" localSheetId="52">#REF!</definedName>
    <definedName name="___con1" localSheetId="40">#REF!</definedName>
    <definedName name="___con1" localSheetId="39">#REF!</definedName>
    <definedName name="___con1" localSheetId="38">#REF!</definedName>
    <definedName name="___con1" localSheetId="37">#REF!</definedName>
    <definedName name="___con1" localSheetId="57">#REF!</definedName>
    <definedName name="___con1" localSheetId="66">#REF!</definedName>
    <definedName name="___con1" localSheetId="67">#REF!</definedName>
    <definedName name="___con1" localSheetId="58">#REF!</definedName>
    <definedName name="___con1" localSheetId="59">#REF!</definedName>
    <definedName name="___con1" localSheetId="60">#REF!</definedName>
    <definedName name="___con1" localSheetId="61">#REF!</definedName>
    <definedName name="___con1" localSheetId="62">#REF!</definedName>
    <definedName name="___con1" localSheetId="63">#REF!</definedName>
    <definedName name="___con1" localSheetId="64">#REF!</definedName>
    <definedName name="___con1" localSheetId="65">#REF!</definedName>
    <definedName name="___con1" localSheetId="68">#REF!</definedName>
    <definedName name="___con1" localSheetId="56">#REF!</definedName>
    <definedName name="___con1" localSheetId="55">#REF!</definedName>
    <definedName name="___con1" localSheetId="54">#REF!</definedName>
    <definedName name="___con1" localSheetId="53">#REF!</definedName>
    <definedName name="___con1" localSheetId="85">#REF!</definedName>
    <definedName name="___con1" localSheetId="86">#REF!</definedName>
    <definedName name="___con1" localSheetId="2">#REF!</definedName>
    <definedName name="___con1">#REF!</definedName>
    <definedName name="___con11" localSheetId="3">#REF!</definedName>
    <definedName name="___con11" localSheetId="4">#REF!</definedName>
    <definedName name="___con11" localSheetId="18">#REF!</definedName>
    <definedName name="___con11" localSheetId="19">#REF!</definedName>
    <definedName name="___con11" localSheetId="9">#REF!</definedName>
    <definedName name="___con11" localSheetId="10">#REF!</definedName>
    <definedName name="___con11" localSheetId="11">#REF!</definedName>
    <definedName name="___con11" localSheetId="12">#REF!</definedName>
    <definedName name="___con11" localSheetId="13">#REF!</definedName>
    <definedName name="___con11" localSheetId="14">#REF!</definedName>
    <definedName name="___con11" localSheetId="15">#REF!</definedName>
    <definedName name="___con11" localSheetId="16">#REF!</definedName>
    <definedName name="___con11" localSheetId="17">#REF!</definedName>
    <definedName name="___con11" localSheetId="8">#REF!</definedName>
    <definedName name="___con11" localSheetId="7">#REF!</definedName>
    <definedName name="___con11" localSheetId="6">#REF!</definedName>
    <definedName name="___con11" localSheetId="20">#REF!</definedName>
    <definedName name="___con11" localSheetId="5">#REF!</definedName>
    <definedName name="___con11" localSheetId="21">#REF!</definedName>
    <definedName name="___con11" localSheetId="34">#REF!</definedName>
    <definedName name="___con11" localSheetId="35">#REF!</definedName>
    <definedName name="___con11" localSheetId="25">#REF!</definedName>
    <definedName name="___con11" localSheetId="27">#REF!</definedName>
    <definedName name="___con11" localSheetId="28">#REF!</definedName>
    <definedName name="___con11" localSheetId="29">#REF!</definedName>
    <definedName name="___con11" localSheetId="31">#REF!</definedName>
    <definedName name="___con11" localSheetId="32">#REF!</definedName>
    <definedName name="___con11" localSheetId="33">#REF!</definedName>
    <definedName name="___con11" localSheetId="24">#REF!</definedName>
    <definedName name="___con11" localSheetId="23">#REF!</definedName>
    <definedName name="___con11" localSheetId="36">#REF!</definedName>
    <definedName name="___con11" localSheetId="22">#REF!</definedName>
    <definedName name="___con11" localSheetId="26">#REF!</definedName>
    <definedName name="___con11" localSheetId="30">#REF!</definedName>
    <definedName name="___con11" localSheetId="85">#REF!</definedName>
    <definedName name="___con11" localSheetId="86">#REF!</definedName>
    <definedName name="___con11" localSheetId="2">#REF!</definedName>
    <definedName name="___con11">#REF!</definedName>
    <definedName name="___con2" localSheetId="3">#REF!</definedName>
    <definedName name="___con2" localSheetId="4">#REF!</definedName>
    <definedName name="___con2" localSheetId="18">#REF!</definedName>
    <definedName name="___con2" localSheetId="19">#REF!</definedName>
    <definedName name="___con2" localSheetId="9">#REF!</definedName>
    <definedName name="___con2" localSheetId="10">#REF!</definedName>
    <definedName name="___con2" localSheetId="11">#REF!</definedName>
    <definedName name="___con2" localSheetId="12">#REF!</definedName>
    <definedName name="___con2" localSheetId="13">#REF!</definedName>
    <definedName name="___con2" localSheetId="14">#REF!</definedName>
    <definedName name="___con2" localSheetId="15">#REF!</definedName>
    <definedName name="___con2" localSheetId="16">#REF!</definedName>
    <definedName name="___con2" localSheetId="17">#REF!</definedName>
    <definedName name="___con2" localSheetId="8">#REF!</definedName>
    <definedName name="___con2" localSheetId="7">#REF!</definedName>
    <definedName name="___con2" localSheetId="6">#REF!</definedName>
    <definedName name="___con2" localSheetId="20">#REF!</definedName>
    <definedName name="___con2" localSheetId="5">#REF!</definedName>
    <definedName name="___con2" localSheetId="21">#REF!</definedName>
    <definedName name="___con2" localSheetId="34">#REF!</definedName>
    <definedName name="___con2" localSheetId="35">#REF!</definedName>
    <definedName name="___con2" localSheetId="25">#REF!</definedName>
    <definedName name="___con2" localSheetId="27">#REF!</definedName>
    <definedName name="___con2" localSheetId="28">#REF!</definedName>
    <definedName name="___con2" localSheetId="29">#REF!</definedName>
    <definedName name="___con2" localSheetId="31">#REF!</definedName>
    <definedName name="___con2" localSheetId="32">#REF!</definedName>
    <definedName name="___con2" localSheetId="33">#REF!</definedName>
    <definedName name="___con2" localSheetId="24">#REF!</definedName>
    <definedName name="___con2" localSheetId="23">#REF!</definedName>
    <definedName name="___con2" localSheetId="36">#REF!</definedName>
    <definedName name="___con2" localSheetId="22">#REF!</definedName>
    <definedName name="___con2" localSheetId="26">#REF!</definedName>
    <definedName name="___con2" localSheetId="30">#REF!</definedName>
    <definedName name="___con2" localSheetId="85">#REF!</definedName>
    <definedName name="___con2" localSheetId="86">#REF!</definedName>
    <definedName name="___con2" localSheetId="2">#REF!</definedName>
    <definedName name="___con2">#REF!</definedName>
    <definedName name="___con3" localSheetId="3">#REF!</definedName>
    <definedName name="___con3" localSheetId="2">#REF!</definedName>
    <definedName name="___con3">#REF!</definedName>
    <definedName name="___con4" localSheetId="3">#REF!</definedName>
    <definedName name="___con4" localSheetId="2">#REF!</definedName>
    <definedName name="___con4">#REF!</definedName>
    <definedName name="___FAC1" localSheetId="3">[1]สรุป!$C$307</definedName>
    <definedName name="___FAC1" localSheetId="4">[2]สรุป!$C$307</definedName>
    <definedName name="___FAC1" localSheetId="86">[2]สรุป!$C$307</definedName>
    <definedName name="___FAC1">[3]สรุป!$C$307</definedName>
    <definedName name="___fws1" localSheetId="3">'[4]11 ข้อมูลงานCon'!$AB$30</definedName>
    <definedName name="___fws1" localSheetId="4">'[4]11 ข้อมูลงานCon'!$AB$30</definedName>
    <definedName name="___fws1" localSheetId="85">'[5]11 ข้อมูลงานCon'!$AB$30</definedName>
    <definedName name="___fws1" localSheetId="86">'[5]11 ข้อมูลงานCon'!$AB$30</definedName>
    <definedName name="___fws1">'[4]11 ข้อมูลงานCon'!$AB$30</definedName>
    <definedName name="___rb1" localSheetId="3">'[6]10 ข้อมูลวัสดุ-ค่าดำเนิน'!$X$15</definedName>
    <definedName name="___rb1" localSheetId="4">'[6]10 ข้อมูลวัสดุ-ค่าดำเนิน'!$X$15</definedName>
    <definedName name="___rb1" localSheetId="85">'[7]10 ข้อมูลวัสดุ-ค่าดำเนิน'!$X$15</definedName>
    <definedName name="___rb1" localSheetId="86">'[7]10 ข้อมูลวัสดุ-ค่าดำเนิน'!$X$15</definedName>
    <definedName name="___rb1">'[6]10 ข้อมูลวัสดุ-ค่าดำเนิน'!$X$15</definedName>
    <definedName name="___sb1" localSheetId="3">'[4]12 ข้อมูลงานไม้แบบ'!$W$29</definedName>
    <definedName name="___sb1" localSheetId="4">'[4]12 ข้อมูลงานไม้แบบ'!$W$29</definedName>
    <definedName name="___sb1" localSheetId="85">'[5]12 ข้อมูลงานไม้แบบ'!$W$29</definedName>
    <definedName name="___sb1" localSheetId="86">'[5]12 ข้อมูลงานไม้แบบ'!$W$29</definedName>
    <definedName name="___sb1">'[4]12 ข้อมูลงานไม้แบบ'!$W$29</definedName>
    <definedName name="___sd30" localSheetId="3">#REF!</definedName>
    <definedName name="___sd30" localSheetId="4">#REF!</definedName>
    <definedName name="___sd30" localSheetId="18">#REF!</definedName>
    <definedName name="___sd30" localSheetId="19">#REF!</definedName>
    <definedName name="___sd30" localSheetId="9">#REF!</definedName>
    <definedName name="___sd30" localSheetId="10">#REF!</definedName>
    <definedName name="___sd30" localSheetId="11">#REF!</definedName>
    <definedName name="___sd30" localSheetId="12">#REF!</definedName>
    <definedName name="___sd30" localSheetId="13">#REF!</definedName>
    <definedName name="___sd30" localSheetId="14">#REF!</definedName>
    <definedName name="___sd30" localSheetId="15">#REF!</definedName>
    <definedName name="___sd30" localSheetId="16">#REF!</definedName>
    <definedName name="___sd30" localSheetId="17">#REF!</definedName>
    <definedName name="___sd30" localSheetId="8">#REF!</definedName>
    <definedName name="___sd30" localSheetId="7">#REF!</definedName>
    <definedName name="___sd30" localSheetId="6">#REF!</definedName>
    <definedName name="___sd30" localSheetId="20">#REF!</definedName>
    <definedName name="___sd30" localSheetId="5">#REF!</definedName>
    <definedName name="___sd30" localSheetId="21">#REF!</definedName>
    <definedName name="___sd30" localSheetId="34">#REF!</definedName>
    <definedName name="___sd30" localSheetId="35">#REF!</definedName>
    <definedName name="___sd30" localSheetId="25">#REF!</definedName>
    <definedName name="___sd30" localSheetId="27">#REF!</definedName>
    <definedName name="___sd30" localSheetId="28">#REF!</definedName>
    <definedName name="___sd30" localSheetId="29">#REF!</definedName>
    <definedName name="___sd30" localSheetId="31">#REF!</definedName>
    <definedName name="___sd30" localSheetId="32">#REF!</definedName>
    <definedName name="___sd30" localSheetId="33">#REF!</definedName>
    <definedName name="___sd30" localSheetId="24">#REF!</definedName>
    <definedName name="___sd30" localSheetId="23">#REF!</definedName>
    <definedName name="___sd30" localSheetId="36">#REF!</definedName>
    <definedName name="___sd30" localSheetId="22">#REF!</definedName>
    <definedName name="___sd30" localSheetId="26">#REF!</definedName>
    <definedName name="___sd30" localSheetId="30">#REF!</definedName>
    <definedName name="___sd30" localSheetId="41">#REF!</definedName>
    <definedName name="___sd30" localSheetId="50">#REF!</definedName>
    <definedName name="___sd30" localSheetId="51">#REF!</definedName>
    <definedName name="___sd30" localSheetId="42">#REF!</definedName>
    <definedName name="___sd30" localSheetId="43">#REF!</definedName>
    <definedName name="___sd30" localSheetId="44">#REF!</definedName>
    <definedName name="___sd30" localSheetId="45">#REF!</definedName>
    <definedName name="___sd30" localSheetId="46">#REF!</definedName>
    <definedName name="___sd30" localSheetId="47">#REF!</definedName>
    <definedName name="___sd30" localSheetId="48">#REF!</definedName>
    <definedName name="___sd30" localSheetId="49">#REF!</definedName>
    <definedName name="___sd30" localSheetId="52">#REF!</definedName>
    <definedName name="___sd30" localSheetId="40">#REF!</definedName>
    <definedName name="___sd30" localSheetId="39">#REF!</definedName>
    <definedName name="___sd30" localSheetId="38">#REF!</definedName>
    <definedName name="___sd30" localSheetId="37">#REF!</definedName>
    <definedName name="___sd30" localSheetId="57">#REF!</definedName>
    <definedName name="___sd30" localSheetId="66">#REF!</definedName>
    <definedName name="___sd30" localSheetId="67">#REF!</definedName>
    <definedName name="___sd30" localSheetId="58">#REF!</definedName>
    <definedName name="___sd30" localSheetId="59">#REF!</definedName>
    <definedName name="___sd30" localSheetId="60">#REF!</definedName>
    <definedName name="___sd30" localSheetId="61">#REF!</definedName>
    <definedName name="___sd30" localSheetId="62">#REF!</definedName>
    <definedName name="___sd30" localSheetId="63">#REF!</definedName>
    <definedName name="___sd30" localSheetId="64">#REF!</definedName>
    <definedName name="___sd30" localSheetId="65">#REF!</definedName>
    <definedName name="___sd30" localSheetId="68">#REF!</definedName>
    <definedName name="___sd30" localSheetId="56">#REF!</definedName>
    <definedName name="___sd30" localSheetId="55">#REF!</definedName>
    <definedName name="___sd30" localSheetId="54">#REF!</definedName>
    <definedName name="___sd30" localSheetId="53">#REF!</definedName>
    <definedName name="___sd30" localSheetId="85">#REF!</definedName>
    <definedName name="___sd30" localSheetId="86">#REF!</definedName>
    <definedName name="___sd30" localSheetId="2">#REF!</definedName>
    <definedName name="___sd30">#REF!</definedName>
    <definedName name="___sd40" localSheetId="3">#REF!</definedName>
    <definedName name="___sd40" localSheetId="4">#REF!</definedName>
    <definedName name="___sd40" localSheetId="18">#REF!</definedName>
    <definedName name="___sd40" localSheetId="19">#REF!</definedName>
    <definedName name="___sd40" localSheetId="9">#REF!</definedName>
    <definedName name="___sd40" localSheetId="10">#REF!</definedName>
    <definedName name="___sd40" localSheetId="11">#REF!</definedName>
    <definedName name="___sd40" localSheetId="12">#REF!</definedName>
    <definedName name="___sd40" localSheetId="13">#REF!</definedName>
    <definedName name="___sd40" localSheetId="14">#REF!</definedName>
    <definedName name="___sd40" localSheetId="15">#REF!</definedName>
    <definedName name="___sd40" localSheetId="16">#REF!</definedName>
    <definedName name="___sd40" localSheetId="17">#REF!</definedName>
    <definedName name="___sd40" localSheetId="8">#REF!</definedName>
    <definedName name="___sd40" localSheetId="7">#REF!</definedName>
    <definedName name="___sd40" localSheetId="6">#REF!</definedName>
    <definedName name="___sd40" localSheetId="20">#REF!</definedName>
    <definedName name="___sd40" localSheetId="5">#REF!</definedName>
    <definedName name="___sd40" localSheetId="21">#REF!</definedName>
    <definedName name="___sd40" localSheetId="34">#REF!</definedName>
    <definedName name="___sd40" localSheetId="35">#REF!</definedName>
    <definedName name="___sd40" localSheetId="25">#REF!</definedName>
    <definedName name="___sd40" localSheetId="27">#REF!</definedName>
    <definedName name="___sd40" localSheetId="28">#REF!</definedName>
    <definedName name="___sd40" localSheetId="29">#REF!</definedName>
    <definedName name="___sd40" localSheetId="31">#REF!</definedName>
    <definedName name="___sd40" localSheetId="32">#REF!</definedName>
    <definedName name="___sd40" localSheetId="33">#REF!</definedName>
    <definedName name="___sd40" localSheetId="24">#REF!</definedName>
    <definedName name="___sd40" localSheetId="23">#REF!</definedName>
    <definedName name="___sd40" localSheetId="36">#REF!</definedName>
    <definedName name="___sd40" localSheetId="22">#REF!</definedName>
    <definedName name="___sd40" localSheetId="26">#REF!</definedName>
    <definedName name="___sd40" localSheetId="30">#REF!</definedName>
    <definedName name="___sd40" localSheetId="85">#REF!</definedName>
    <definedName name="___sd40" localSheetId="86">#REF!</definedName>
    <definedName name="___sd40" localSheetId="2">#REF!</definedName>
    <definedName name="___sd40">#REF!</definedName>
    <definedName name="___st1" localSheetId="3">#REF!</definedName>
    <definedName name="___st1" localSheetId="4">#REF!</definedName>
    <definedName name="___st1" localSheetId="18">#REF!</definedName>
    <definedName name="___st1" localSheetId="19">#REF!</definedName>
    <definedName name="___st1" localSheetId="9">#REF!</definedName>
    <definedName name="___st1" localSheetId="10">#REF!</definedName>
    <definedName name="___st1" localSheetId="11">#REF!</definedName>
    <definedName name="___st1" localSheetId="12">#REF!</definedName>
    <definedName name="___st1" localSheetId="13">#REF!</definedName>
    <definedName name="___st1" localSheetId="14">#REF!</definedName>
    <definedName name="___st1" localSheetId="15">#REF!</definedName>
    <definedName name="___st1" localSheetId="16">#REF!</definedName>
    <definedName name="___st1" localSheetId="17">#REF!</definedName>
    <definedName name="___st1" localSheetId="8">#REF!</definedName>
    <definedName name="___st1" localSheetId="7">#REF!</definedName>
    <definedName name="___st1" localSheetId="6">#REF!</definedName>
    <definedName name="___st1" localSheetId="20">#REF!</definedName>
    <definedName name="___st1" localSheetId="5">#REF!</definedName>
    <definedName name="___st1" localSheetId="21">#REF!</definedName>
    <definedName name="___st1" localSheetId="34">#REF!</definedName>
    <definedName name="___st1" localSheetId="35">#REF!</definedName>
    <definedName name="___st1" localSheetId="25">#REF!</definedName>
    <definedName name="___st1" localSheetId="27">#REF!</definedName>
    <definedName name="___st1" localSheetId="28">#REF!</definedName>
    <definedName name="___st1" localSheetId="29">#REF!</definedName>
    <definedName name="___st1" localSheetId="31">#REF!</definedName>
    <definedName name="___st1" localSheetId="32">#REF!</definedName>
    <definedName name="___st1" localSheetId="33">#REF!</definedName>
    <definedName name="___st1" localSheetId="24">#REF!</definedName>
    <definedName name="___st1" localSheetId="23">#REF!</definedName>
    <definedName name="___st1" localSheetId="36">#REF!</definedName>
    <definedName name="___st1" localSheetId="22">#REF!</definedName>
    <definedName name="___st1" localSheetId="26">#REF!</definedName>
    <definedName name="___st1" localSheetId="30">#REF!</definedName>
    <definedName name="___st1" localSheetId="85">#REF!</definedName>
    <definedName name="___st1" localSheetId="86">#REF!</definedName>
    <definedName name="___st1" localSheetId="2">#REF!</definedName>
    <definedName name="___st1">#REF!</definedName>
    <definedName name="___st2" localSheetId="3">#REF!</definedName>
    <definedName name="___st2" localSheetId="2">#REF!</definedName>
    <definedName name="___st2">#REF!</definedName>
    <definedName name="___st3" localSheetId="3">#REF!</definedName>
    <definedName name="___st3" localSheetId="2">#REF!</definedName>
    <definedName name="___st3">#REF!</definedName>
    <definedName name="___wb1" localSheetId="3">'[6]10 ข้อมูลวัสดุ-ค่าดำเนิน'!$X$19</definedName>
    <definedName name="___wb1" localSheetId="4">'[6]10 ข้อมูลวัสดุ-ค่าดำเนิน'!$X$19</definedName>
    <definedName name="___wb1" localSheetId="85">'[7]10 ข้อมูลวัสดุ-ค่าดำเนิน'!$X$19</definedName>
    <definedName name="___wb1" localSheetId="86">'[7]10 ข้อมูลวัสดุ-ค่าดำเนิน'!$X$19</definedName>
    <definedName name="___wb1">'[6]10 ข้อมูลวัสดุ-ค่าดำเนิน'!$X$19</definedName>
    <definedName name="__con1" localSheetId="3">#REF!</definedName>
    <definedName name="__con1" localSheetId="4">#REF!</definedName>
    <definedName name="__con1" localSheetId="18">#REF!</definedName>
    <definedName name="__con1" localSheetId="19">#REF!</definedName>
    <definedName name="__con1" localSheetId="9">#REF!</definedName>
    <definedName name="__con1" localSheetId="10">#REF!</definedName>
    <definedName name="__con1" localSheetId="11">#REF!</definedName>
    <definedName name="__con1" localSheetId="12">#REF!</definedName>
    <definedName name="__con1" localSheetId="13">#REF!</definedName>
    <definedName name="__con1" localSheetId="14">#REF!</definedName>
    <definedName name="__con1" localSheetId="15">#REF!</definedName>
    <definedName name="__con1" localSheetId="16">#REF!</definedName>
    <definedName name="__con1" localSheetId="17">#REF!</definedName>
    <definedName name="__con1" localSheetId="8">#REF!</definedName>
    <definedName name="__con1" localSheetId="7">#REF!</definedName>
    <definedName name="__con1" localSheetId="6">#REF!</definedName>
    <definedName name="__con1" localSheetId="20">#REF!</definedName>
    <definedName name="__con1" localSheetId="5">#REF!</definedName>
    <definedName name="__con1" localSheetId="21">#REF!</definedName>
    <definedName name="__con1" localSheetId="34">#REF!</definedName>
    <definedName name="__con1" localSheetId="35">#REF!</definedName>
    <definedName name="__con1" localSheetId="25">#REF!</definedName>
    <definedName name="__con1" localSheetId="27">#REF!</definedName>
    <definedName name="__con1" localSheetId="28">#REF!</definedName>
    <definedName name="__con1" localSheetId="29">#REF!</definedName>
    <definedName name="__con1" localSheetId="31">#REF!</definedName>
    <definedName name="__con1" localSheetId="32">#REF!</definedName>
    <definedName name="__con1" localSheetId="33">#REF!</definedName>
    <definedName name="__con1" localSheetId="24">#REF!</definedName>
    <definedName name="__con1" localSheetId="23">#REF!</definedName>
    <definedName name="__con1" localSheetId="36">#REF!</definedName>
    <definedName name="__con1" localSheetId="22">#REF!</definedName>
    <definedName name="__con1" localSheetId="26">#REF!</definedName>
    <definedName name="__con1" localSheetId="30">#REF!</definedName>
    <definedName name="__con1" localSheetId="41">#REF!</definedName>
    <definedName name="__con1" localSheetId="50">#REF!</definedName>
    <definedName name="__con1" localSheetId="51">#REF!</definedName>
    <definedName name="__con1" localSheetId="42">#REF!</definedName>
    <definedName name="__con1" localSheetId="43">#REF!</definedName>
    <definedName name="__con1" localSheetId="44">#REF!</definedName>
    <definedName name="__con1" localSheetId="45">#REF!</definedName>
    <definedName name="__con1" localSheetId="46">#REF!</definedName>
    <definedName name="__con1" localSheetId="47">#REF!</definedName>
    <definedName name="__con1" localSheetId="48">#REF!</definedName>
    <definedName name="__con1" localSheetId="49">#REF!</definedName>
    <definedName name="__con1" localSheetId="52">#REF!</definedName>
    <definedName name="__con1" localSheetId="40">#REF!</definedName>
    <definedName name="__con1" localSheetId="39">#REF!</definedName>
    <definedName name="__con1" localSheetId="38">#REF!</definedName>
    <definedName name="__con1" localSheetId="37">#REF!</definedName>
    <definedName name="__con1" localSheetId="57">#REF!</definedName>
    <definedName name="__con1" localSheetId="66">#REF!</definedName>
    <definedName name="__con1" localSheetId="67">#REF!</definedName>
    <definedName name="__con1" localSheetId="58">#REF!</definedName>
    <definedName name="__con1" localSheetId="59">#REF!</definedName>
    <definedName name="__con1" localSheetId="60">#REF!</definedName>
    <definedName name="__con1" localSheetId="61">#REF!</definedName>
    <definedName name="__con1" localSheetId="62">#REF!</definedName>
    <definedName name="__con1" localSheetId="63">#REF!</definedName>
    <definedName name="__con1" localSheetId="64">#REF!</definedName>
    <definedName name="__con1" localSheetId="65">#REF!</definedName>
    <definedName name="__con1" localSheetId="68">#REF!</definedName>
    <definedName name="__con1" localSheetId="56">#REF!</definedName>
    <definedName name="__con1" localSheetId="55">#REF!</definedName>
    <definedName name="__con1" localSheetId="54">#REF!</definedName>
    <definedName name="__con1" localSheetId="53">#REF!</definedName>
    <definedName name="__con1" localSheetId="85">#REF!</definedName>
    <definedName name="__con1" localSheetId="86">#REF!</definedName>
    <definedName name="__con1" localSheetId="2">#REF!</definedName>
    <definedName name="__con1">#REF!</definedName>
    <definedName name="__con11" localSheetId="3">#REF!</definedName>
    <definedName name="__con11" localSheetId="4">#REF!</definedName>
    <definedName name="__con11" localSheetId="18">#REF!</definedName>
    <definedName name="__con11" localSheetId="19">#REF!</definedName>
    <definedName name="__con11" localSheetId="9">#REF!</definedName>
    <definedName name="__con11" localSheetId="10">#REF!</definedName>
    <definedName name="__con11" localSheetId="11">#REF!</definedName>
    <definedName name="__con11" localSheetId="12">#REF!</definedName>
    <definedName name="__con11" localSheetId="13">#REF!</definedName>
    <definedName name="__con11" localSheetId="14">#REF!</definedName>
    <definedName name="__con11" localSheetId="15">#REF!</definedName>
    <definedName name="__con11" localSheetId="16">#REF!</definedName>
    <definedName name="__con11" localSheetId="17">#REF!</definedName>
    <definedName name="__con11" localSheetId="8">#REF!</definedName>
    <definedName name="__con11" localSheetId="7">#REF!</definedName>
    <definedName name="__con11" localSheetId="6">#REF!</definedName>
    <definedName name="__con11" localSheetId="20">#REF!</definedName>
    <definedName name="__con11" localSheetId="5">#REF!</definedName>
    <definedName name="__con11" localSheetId="21">#REF!</definedName>
    <definedName name="__con11" localSheetId="34">#REF!</definedName>
    <definedName name="__con11" localSheetId="35">#REF!</definedName>
    <definedName name="__con11" localSheetId="25">#REF!</definedName>
    <definedName name="__con11" localSheetId="27">#REF!</definedName>
    <definedName name="__con11" localSheetId="28">#REF!</definedName>
    <definedName name="__con11" localSheetId="29">#REF!</definedName>
    <definedName name="__con11" localSheetId="31">#REF!</definedName>
    <definedName name="__con11" localSheetId="32">#REF!</definedName>
    <definedName name="__con11" localSheetId="33">#REF!</definedName>
    <definedName name="__con11" localSheetId="24">#REF!</definedName>
    <definedName name="__con11" localSheetId="23">#REF!</definedName>
    <definedName name="__con11" localSheetId="36">#REF!</definedName>
    <definedName name="__con11" localSheetId="22">#REF!</definedName>
    <definedName name="__con11" localSheetId="26">#REF!</definedName>
    <definedName name="__con11" localSheetId="30">#REF!</definedName>
    <definedName name="__con11" localSheetId="85">#REF!</definedName>
    <definedName name="__con11" localSheetId="86">#REF!</definedName>
    <definedName name="__con11" localSheetId="2">#REF!</definedName>
    <definedName name="__con11">#REF!</definedName>
    <definedName name="__con2" localSheetId="3">#REF!</definedName>
    <definedName name="__con2" localSheetId="4">#REF!</definedName>
    <definedName name="__con2" localSheetId="18">#REF!</definedName>
    <definedName name="__con2" localSheetId="19">#REF!</definedName>
    <definedName name="__con2" localSheetId="9">#REF!</definedName>
    <definedName name="__con2" localSheetId="10">#REF!</definedName>
    <definedName name="__con2" localSheetId="11">#REF!</definedName>
    <definedName name="__con2" localSheetId="12">#REF!</definedName>
    <definedName name="__con2" localSheetId="13">#REF!</definedName>
    <definedName name="__con2" localSheetId="14">#REF!</definedName>
    <definedName name="__con2" localSheetId="15">#REF!</definedName>
    <definedName name="__con2" localSheetId="16">#REF!</definedName>
    <definedName name="__con2" localSheetId="17">#REF!</definedName>
    <definedName name="__con2" localSheetId="8">#REF!</definedName>
    <definedName name="__con2" localSheetId="7">#REF!</definedName>
    <definedName name="__con2" localSheetId="6">#REF!</definedName>
    <definedName name="__con2" localSheetId="20">#REF!</definedName>
    <definedName name="__con2" localSheetId="5">#REF!</definedName>
    <definedName name="__con2" localSheetId="21">#REF!</definedName>
    <definedName name="__con2" localSheetId="34">#REF!</definedName>
    <definedName name="__con2" localSheetId="35">#REF!</definedName>
    <definedName name="__con2" localSheetId="25">#REF!</definedName>
    <definedName name="__con2" localSheetId="27">#REF!</definedName>
    <definedName name="__con2" localSheetId="28">#REF!</definedName>
    <definedName name="__con2" localSheetId="29">#REF!</definedName>
    <definedName name="__con2" localSheetId="31">#REF!</definedName>
    <definedName name="__con2" localSheetId="32">#REF!</definedName>
    <definedName name="__con2" localSheetId="33">#REF!</definedName>
    <definedName name="__con2" localSheetId="24">#REF!</definedName>
    <definedName name="__con2" localSheetId="23">#REF!</definedName>
    <definedName name="__con2" localSheetId="36">#REF!</definedName>
    <definedName name="__con2" localSheetId="22">#REF!</definedName>
    <definedName name="__con2" localSheetId="26">#REF!</definedName>
    <definedName name="__con2" localSheetId="30">#REF!</definedName>
    <definedName name="__con2" localSheetId="85">#REF!</definedName>
    <definedName name="__con2" localSheetId="86">#REF!</definedName>
    <definedName name="__con2" localSheetId="2">#REF!</definedName>
    <definedName name="__con2">#REF!</definedName>
    <definedName name="__con3" localSheetId="3">#REF!</definedName>
    <definedName name="__con3" localSheetId="2">#REF!</definedName>
    <definedName name="__con3">#REF!</definedName>
    <definedName name="__con4" localSheetId="3">#REF!</definedName>
    <definedName name="__con4" localSheetId="2">#REF!</definedName>
    <definedName name="__con4">#REF!</definedName>
    <definedName name="__FAC1" localSheetId="3">[1]สรุป!$C$307</definedName>
    <definedName name="__FAC1" localSheetId="4">[2]สรุป!$C$307</definedName>
    <definedName name="__FAC1" localSheetId="86">[2]สรุป!$C$307</definedName>
    <definedName name="__FAC1">[3]สรุป!$C$307</definedName>
    <definedName name="__fws1" localSheetId="3">'[4]11 ข้อมูลงานCon'!$AB$30</definedName>
    <definedName name="__fws1" localSheetId="4">'[4]11 ข้อมูลงานCon'!$AB$30</definedName>
    <definedName name="__fws1" localSheetId="85">'[5]11 ข้อมูลงานCon'!$AB$30</definedName>
    <definedName name="__fws1" localSheetId="86">'[5]11 ข้อมูลงานCon'!$AB$30</definedName>
    <definedName name="__fws1">'[4]11 ข้อมูลงานCon'!$AB$30</definedName>
    <definedName name="__rb1" localSheetId="3">'[6]10 ข้อมูลวัสดุ-ค่าดำเนิน'!$X$15</definedName>
    <definedName name="__rb1" localSheetId="4">'[6]10 ข้อมูลวัสดุ-ค่าดำเนิน'!$X$15</definedName>
    <definedName name="__rb1" localSheetId="85">'[7]10 ข้อมูลวัสดุ-ค่าดำเนิน'!$X$15</definedName>
    <definedName name="__rb1" localSheetId="86">'[7]10 ข้อมูลวัสดุ-ค่าดำเนิน'!$X$15</definedName>
    <definedName name="__rb1">'[6]10 ข้อมูลวัสดุ-ค่าดำเนิน'!$X$15</definedName>
    <definedName name="__sb1" localSheetId="3">'[4]12 ข้อมูลงานไม้แบบ'!$W$29</definedName>
    <definedName name="__sb1" localSheetId="4">'[4]12 ข้อมูลงานไม้แบบ'!$W$29</definedName>
    <definedName name="__sb1" localSheetId="85">'[5]12 ข้อมูลงานไม้แบบ'!$W$29</definedName>
    <definedName name="__sb1" localSheetId="86">'[5]12 ข้อมูลงานไม้แบบ'!$W$29</definedName>
    <definedName name="__sb1">'[4]12 ข้อมูลงานไม้แบบ'!$W$29</definedName>
    <definedName name="__sd30" localSheetId="3">#REF!</definedName>
    <definedName name="__sd30" localSheetId="4">#REF!</definedName>
    <definedName name="__sd30" localSheetId="18">#REF!</definedName>
    <definedName name="__sd30" localSheetId="19">#REF!</definedName>
    <definedName name="__sd30" localSheetId="9">#REF!</definedName>
    <definedName name="__sd30" localSheetId="10">#REF!</definedName>
    <definedName name="__sd30" localSheetId="11">#REF!</definedName>
    <definedName name="__sd30" localSheetId="12">#REF!</definedName>
    <definedName name="__sd30" localSheetId="13">#REF!</definedName>
    <definedName name="__sd30" localSheetId="14">#REF!</definedName>
    <definedName name="__sd30" localSheetId="15">#REF!</definedName>
    <definedName name="__sd30" localSheetId="16">#REF!</definedName>
    <definedName name="__sd30" localSheetId="17">#REF!</definedName>
    <definedName name="__sd30" localSheetId="8">#REF!</definedName>
    <definedName name="__sd30" localSheetId="7">#REF!</definedName>
    <definedName name="__sd30" localSheetId="6">#REF!</definedName>
    <definedName name="__sd30" localSheetId="20">#REF!</definedName>
    <definedName name="__sd30" localSheetId="5">#REF!</definedName>
    <definedName name="__sd30" localSheetId="21">#REF!</definedName>
    <definedName name="__sd30" localSheetId="34">#REF!</definedName>
    <definedName name="__sd30" localSheetId="35">#REF!</definedName>
    <definedName name="__sd30" localSheetId="25">#REF!</definedName>
    <definedName name="__sd30" localSheetId="27">#REF!</definedName>
    <definedName name="__sd30" localSheetId="28">#REF!</definedName>
    <definedName name="__sd30" localSheetId="29">#REF!</definedName>
    <definedName name="__sd30" localSheetId="31">#REF!</definedName>
    <definedName name="__sd30" localSheetId="32">#REF!</definedName>
    <definedName name="__sd30" localSheetId="33">#REF!</definedName>
    <definedName name="__sd30" localSheetId="24">#REF!</definedName>
    <definedName name="__sd30" localSheetId="23">#REF!</definedName>
    <definedName name="__sd30" localSheetId="36">#REF!</definedName>
    <definedName name="__sd30" localSheetId="22">#REF!</definedName>
    <definedName name="__sd30" localSheetId="26">#REF!</definedName>
    <definedName name="__sd30" localSheetId="30">#REF!</definedName>
    <definedName name="__sd30" localSheetId="41">#REF!</definedName>
    <definedName name="__sd30" localSheetId="50">#REF!</definedName>
    <definedName name="__sd30" localSheetId="51">#REF!</definedName>
    <definedName name="__sd30" localSheetId="42">#REF!</definedName>
    <definedName name="__sd30" localSheetId="43">#REF!</definedName>
    <definedName name="__sd30" localSheetId="44">#REF!</definedName>
    <definedName name="__sd30" localSheetId="45">#REF!</definedName>
    <definedName name="__sd30" localSheetId="46">#REF!</definedName>
    <definedName name="__sd30" localSheetId="47">#REF!</definedName>
    <definedName name="__sd30" localSheetId="48">#REF!</definedName>
    <definedName name="__sd30" localSheetId="49">#REF!</definedName>
    <definedName name="__sd30" localSheetId="52">#REF!</definedName>
    <definedName name="__sd30" localSheetId="40">#REF!</definedName>
    <definedName name="__sd30" localSheetId="39">#REF!</definedName>
    <definedName name="__sd30" localSheetId="38">#REF!</definedName>
    <definedName name="__sd30" localSheetId="37">#REF!</definedName>
    <definedName name="__sd30" localSheetId="57">#REF!</definedName>
    <definedName name="__sd30" localSheetId="66">#REF!</definedName>
    <definedName name="__sd30" localSheetId="67">#REF!</definedName>
    <definedName name="__sd30" localSheetId="58">#REF!</definedName>
    <definedName name="__sd30" localSheetId="59">#REF!</definedName>
    <definedName name="__sd30" localSheetId="60">#REF!</definedName>
    <definedName name="__sd30" localSheetId="61">#REF!</definedName>
    <definedName name="__sd30" localSheetId="62">#REF!</definedName>
    <definedName name="__sd30" localSheetId="63">#REF!</definedName>
    <definedName name="__sd30" localSheetId="64">#REF!</definedName>
    <definedName name="__sd30" localSheetId="65">#REF!</definedName>
    <definedName name="__sd30" localSheetId="68">#REF!</definedName>
    <definedName name="__sd30" localSheetId="56">#REF!</definedName>
    <definedName name="__sd30" localSheetId="55">#REF!</definedName>
    <definedName name="__sd30" localSheetId="54">#REF!</definedName>
    <definedName name="__sd30" localSheetId="53">#REF!</definedName>
    <definedName name="__sd30" localSheetId="85">#REF!</definedName>
    <definedName name="__sd30" localSheetId="86">#REF!</definedName>
    <definedName name="__sd30" localSheetId="2">#REF!</definedName>
    <definedName name="__sd30">#REF!</definedName>
    <definedName name="__sd40" localSheetId="3">#REF!</definedName>
    <definedName name="__sd40" localSheetId="4">#REF!</definedName>
    <definedName name="__sd40" localSheetId="18">#REF!</definedName>
    <definedName name="__sd40" localSheetId="19">#REF!</definedName>
    <definedName name="__sd40" localSheetId="9">#REF!</definedName>
    <definedName name="__sd40" localSheetId="10">#REF!</definedName>
    <definedName name="__sd40" localSheetId="11">#REF!</definedName>
    <definedName name="__sd40" localSheetId="12">#REF!</definedName>
    <definedName name="__sd40" localSheetId="13">#REF!</definedName>
    <definedName name="__sd40" localSheetId="14">#REF!</definedName>
    <definedName name="__sd40" localSheetId="15">#REF!</definedName>
    <definedName name="__sd40" localSheetId="16">#REF!</definedName>
    <definedName name="__sd40" localSheetId="17">#REF!</definedName>
    <definedName name="__sd40" localSheetId="8">#REF!</definedName>
    <definedName name="__sd40" localSheetId="7">#REF!</definedName>
    <definedName name="__sd40" localSheetId="6">#REF!</definedName>
    <definedName name="__sd40" localSheetId="20">#REF!</definedName>
    <definedName name="__sd40" localSheetId="5">#REF!</definedName>
    <definedName name="__sd40" localSheetId="21">#REF!</definedName>
    <definedName name="__sd40" localSheetId="34">#REF!</definedName>
    <definedName name="__sd40" localSheetId="35">#REF!</definedName>
    <definedName name="__sd40" localSheetId="25">#REF!</definedName>
    <definedName name="__sd40" localSheetId="27">#REF!</definedName>
    <definedName name="__sd40" localSheetId="28">#REF!</definedName>
    <definedName name="__sd40" localSheetId="29">#REF!</definedName>
    <definedName name="__sd40" localSheetId="31">#REF!</definedName>
    <definedName name="__sd40" localSheetId="32">#REF!</definedName>
    <definedName name="__sd40" localSheetId="33">#REF!</definedName>
    <definedName name="__sd40" localSheetId="24">#REF!</definedName>
    <definedName name="__sd40" localSheetId="23">#REF!</definedName>
    <definedName name="__sd40" localSheetId="36">#REF!</definedName>
    <definedName name="__sd40" localSheetId="22">#REF!</definedName>
    <definedName name="__sd40" localSheetId="26">#REF!</definedName>
    <definedName name="__sd40" localSheetId="30">#REF!</definedName>
    <definedName name="__sd40" localSheetId="85">#REF!</definedName>
    <definedName name="__sd40" localSheetId="86">#REF!</definedName>
    <definedName name="__sd40" localSheetId="2">#REF!</definedName>
    <definedName name="__sd40">#REF!</definedName>
    <definedName name="__st1" localSheetId="3">#REF!</definedName>
    <definedName name="__st1" localSheetId="4">#REF!</definedName>
    <definedName name="__st1" localSheetId="18">#REF!</definedName>
    <definedName name="__st1" localSheetId="19">#REF!</definedName>
    <definedName name="__st1" localSheetId="9">#REF!</definedName>
    <definedName name="__st1" localSheetId="10">#REF!</definedName>
    <definedName name="__st1" localSheetId="11">#REF!</definedName>
    <definedName name="__st1" localSheetId="12">#REF!</definedName>
    <definedName name="__st1" localSheetId="13">#REF!</definedName>
    <definedName name="__st1" localSheetId="14">#REF!</definedName>
    <definedName name="__st1" localSheetId="15">#REF!</definedName>
    <definedName name="__st1" localSheetId="16">#REF!</definedName>
    <definedName name="__st1" localSheetId="17">#REF!</definedName>
    <definedName name="__st1" localSheetId="8">#REF!</definedName>
    <definedName name="__st1" localSheetId="7">#REF!</definedName>
    <definedName name="__st1" localSheetId="6">#REF!</definedName>
    <definedName name="__st1" localSheetId="20">#REF!</definedName>
    <definedName name="__st1" localSheetId="5">#REF!</definedName>
    <definedName name="__st1" localSheetId="21">#REF!</definedName>
    <definedName name="__st1" localSheetId="34">#REF!</definedName>
    <definedName name="__st1" localSheetId="35">#REF!</definedName>
    <definedName name="__st1" localSheetId="25">#REF!</definedName>
    <definedName name="__st1" localSheetId="27">#REF!</definedName>
    <definedName name="__st1" localSheetId="28">#REF!</definedName>
    <definedName name="__st1" localSheetId="29">#REF!</definedName>
    <definedName name="__st1" localSheetId="31">#REF!</definedName>
    <definedName name="__st1" localSheetId="32">#REF!</definedName>
    <definedName name="__st1" localSheetId="33">#REF!</definedName>
    <definedName name="__st1" localSheetId="24">#REF!</definedName>
    <definedName name="__st1" localSheetId="23">#REF!</definedName>
    <definedName name="__st1" localSheetId="36">#REF!</definedName>
    <definedName name="__st1" localSheetId="22">#REF!</definedName>
    <definedName name="__st1" localSheetId="26">#REF!</definedName>
    <definedName name="__st1" localSheetId="30">#REF!</definedName>
    <definedName name="__st1" localSheetId="85">#REF!</definedName>
    <definedName name="__st1" localSheetId="86">#REF!</definedName>
    <definedName name="__st1" localSheetId="2">#REF!</definedName>
    <definedName name="__st1">#REF!</definedName>
    <definedName name="__st2" localSheetId="3">#REF!</definedName>
    <definedName name="__st2" localSheetId="2">#REF!</definedName>
    <definedName name="__st2">#REF!</definedName>
    <definedName name="__st3" localSheetId="3">#REF!</definedName>
    <definedName name="__st3" localSheetId="2">#REF!</definedName>
    <definedName name="__st3">#REF!</definedName>
    <definedName name="__wb1" localSheetId="3">'[6]10 ข้อมูลวัสดุ-ค่าดำเนิน'!$X$19</definedName>
    <definedName name="__wb1" localSheetId="4">'[6]10 ข้อมูลวัสดุ-ค่าดำเนิน'!$X$19</definedName>
    <definedName name="__wb1" localSheetId="85">'[7]10 ข้อมูลวัสดุ-ค่าดำเนิน'!$X$19</definedName>
    <definedName name="__wb1" localSheetId="86">'[7]10 ข้อมูลวัสดุ-ค่าดำเนิน'!$X$19</definedName>
    <definedName name="__wb1">'[6]10 ข้อมูลวัสดุ-ค่าดำเนิน'!$X$19</definedName>
    <definedName name="_10Excel_BuiltIn_Print_Titles_22_1_1_1" localSheetId="3">#REF!</definedName>
    <definedName name="_10Excel_BuiltIn_Print_Titles_22_1_1_1" localSheetId="4">#REF!</definedName>
    <definedName name="_10Excel_BuiltIn_Print_Titles_22_1_1_1" localSheetId="38">#REF!</definedName>
    <definedName name="_10Excel_BuiltIn_Print_Titles_22_1_1_1" localSheetId="86">#REF!</definedName>
    <definedName name="_10Excel_BuiltIn_Print_Titles_22_1_1_1">#REF!</definedName>
    <definedName name="_con1" localSheetId="3">#REF!</definedName>
    <definedName name="_con1" localSheetId="18">#REF!</definedName>
    <definedName name="_con1" localSheetId="19">#REF!</definedName>
    <definedName name="_con1" localSheetId="9">#REF!</definedName>
    <definedName name="_con1" localSheetId="10">#REF!</definedName>
    <definedName name="_con1" localSheetId="11">#REF!</definedName>
    <definedName name="_con1" localSheetId="12">#REF!</definedName>
    <definedName name="_con1" localSheetId="13">#REF!</definedName>
    <definedName name="_con1" localSheetId="14">#REF!</definedName>
    <definedName name="_con1" localSheetId="15">#REF!</definedName>
    <definedName name="_con1" localSheetId="16">#REF!</definedName>
    <definedName name="_con1" localSheetId="17">#REF!</definedName>
    <definedName name="_con1" localSheetId="8">#REF!</definedName>
    <definedName name="_con1" localSheetId="7">#REF!</definedName>
    <definedName name="_con1" localSheetId="6">#REF!</definedName>
    <definedName name="_con1" localSheetId="20">#REF!</definedName>
    <definedName name="_con1" localSheetId="5">#REF!</definedName>
    <definedName name="_con1" localSheetId="21">#REF!</definedName>
    <definedName name="_con1" localSheetId="34">#REF!</definedName>
    <definedName name="_con1" localSheetId="35">#REF!</definedName>
    <definedName name="_con1" localSheetId="25">#REF!</definedName>
    <definedName name="_con1" localSheetId="27">#REF!</definedName>
    <definedName name="_con1" localSheetId="28">#REF!</definedName>
    <definedName name="_con1" localSheetId="29">#REF!</definedName>
    <definedName name="_con1" localSheetId="31">#REF!</definedName>
    <definedName name="_con1" localSheetId="32">#REF!</definedName>
    <definedName name="_con1" localSheetId="33">#REF!</definedName>
    <definedName name="_con1" localSheetId="24">#REF!</definedName>
    <definedName name="_con1" localSheetId="23">#REF!</definedName>
    <definedName name="_con1" localSheetId="36">#REF!</definedName>
    <definedName name="_con1" localSheetId="22">#REF!</definedName>
    <definedName name="_con1" localSheetId="26">#REF!</definedName>
    <definedName name="_con1" localSheetId="30">#REF!</definedName>
    <definedName name="_con1" localSheetId="41">#REF!</definedName>
    <definedName name="_con1" localSheetId="50">#REF!</definedName>
    <definedName name="_con1" localSheetId="51">#REF!</definedName>
    <definedName name="_con1" localSheetId="42">#REF!</definedName>
    <definedName name="_con1" localSheetId="43">#REF!</definedName>
    <definedName name="_con1" localSheetId="44">#REF!</definedName>
    <definedName name="_con1" localSheetId="45">#REF!</definedName>
    <definedName name="_con1" localSheetId="46">#REF!</definedName>
    <definedName name="_con1" localSheetId="47">#REF!</definedName>
    <definedName name="_con1" localSheetId="48">#REF!</definedName>
    <definedName name="_con1" localSheetId="49">#REF!</definedName>
    <definedName name="_con1" localSheetId="52">#REF!</definedName>
    <definedName name="_con1" localSheetId="40">#REF!</definedName>
    <definedName name="_con1" localSheetId="39">#REF!</definedName>
    <definedName name="_con1" localSheetId="38">#REF!</definedName>
    <definedName name="_con1" localSheetId="37">#REF!</definedName>
    <definedName name="_con1" localSheetId="57">#REF!</definedName>
    <definedName name="_con1" localSheetId="66">#REF!</definedName>
    <definedName name="_con1" localSheetId="67">#REF!</definedName>
    <definedName name="_con1" localSheetId="58">#REF!</definedName>
    <definedName name="_con1" localSheetId="59">#REF!</definedName>
    <definedName name="_con1" localSheetId="60">#REF!</definedName>
    <definedName name="_con1" localSheetId="61">#REF!</definedName>
    <definedName name="_con1" localSheetId="62">#REF!</definedName>
    <definedName name="_con1" localSheetId="63">#REF!</definedName>
    <definedName name="_con1" localSheetId="64">#REF!</definedName>
    <definedName name="_con1" localSheetId="65">#REF!</definedName>
    <definedName name="_con1" localSheetId="68">#REF!</definedName>
    <definedName name="_con1" localSheetId="56">#REF!</definedName>
    <definedName name="_con1" localSheetId="55">#REF!</definedName>
    <definedName name="_con1" localSheetId="54">#REF!</definedName>
    <definedName name="_con1" localSheetId="53">#REF!</definedName>
    <definedName name="_con1" localSheetId="85">#REF!</definedName>
    <definedName name="_con1" localSheetId="86">#REF!</definedName>
    <definedName name="_con1" localSheetId="2">#REF!</definedName>
    <definedName name="_con1">#REF!</definedName>
    <definedName name="_con11" localSheetId="3">#REF!</definedName>
    <definedName name="_con11" localSheetId="18">#REF!</definedName>
    <definedName name="_con11" localSheetId="19">#REF!</definedName>
    <definedName name="_con11" localSheetId="9">#REF!</definedName>
    <definedName name="_con11" localSheetId="10">#REF!</definedName>
    <definedName name="_con11" localSheetId="11">#REF!</definedName>
    <definedName name="_con11" localSheetId="12">#REF!</definedName>
    <definedName name="_con11" localSheetId="13">#REF!</definedName>
    <definedName name="_con11" localSheetId="14">#REF!</definedName>
    <definedName name="_con11" localSheetId="15">#REF!</definedName>
    <definedName name="_con11" localSheetId="16">#REF!</definedName>
    <definedName name="_con11" localSheetId="17">#REF!</definedName>
    <definedName name="_con11" localSheetId="8">#REF!</definedName>
    <definedName name="_con11" localSheetId="7">#REF!</definedName>
    <definedName name="_con11" localSheetId="6">#REF!</definedName>
    <definedName name="_con11" localSheetId="20">#REF!</definedName>
    <definedName name="_con11" localSheetId="5">#REF!</definedName>
    <definedName name="_con11" localSheetId="21">#REF!</definedName>
    <definedName name="_con11" localSheetId="34">#REF!</definedName>
    <definedName name="_con11" localSheetId="35">#REF!</definedName>
    <definedName name="_con11" localSheetId="25">#REF!</definedName>
    <definedName name="_con11" localSheetId="27">#REF!</definedName>
    <definedName name="_con11" localSheetId="28">#REF!</definedName>
    <definedName name="_con11" localSheetId="29">#REF!</definedName>
    <definedName name="_con11" localSheetId="31">#REF!</definedName>
    <definedName name="_con11" localSheetId="32">#REF!</definedName>
    <definedName name="_con11" localSheetId="33">#REF!</definedName>
    <definedName name="_con11" localSheetId="24">#REF!</definedName>
    <definedName name="_con11" localSheetId="23">#REF!</definedName>
    <definedName name="_con11" localSheetId="36">#REF!</definedName>
    <definedName name="_con11" localSheetId="22">#REF!</definedName>
    <definedName name="_con11" localSheetId="26">#REF!</definedName>
    <definedName name="_con11" localSheetId="30">#REF!</definedName>
    <definedName name="_con11" localSheetId="85">#REF!</definedName>
    <definedName name="_con11" localSheetId="86">#REF!</definedName>
    <definedName name="_con11" localSheetId="2">#REF!</definedName>
    <definedName name="_con11">#REF!</definedName>
    <definedName name="_con2" localSheetId="3">#REF!</definedName>
    <definedName name="_con2" localSheetId="18">#REF!</definedName>
    <definedName name="_con2" localSheetId="19">#REF!</definedName>
    <definedName name="_con2" localSheetId="9">#REF!</definedName>
    <definedName name="_con2" localSheetId="10">#REF!</definedName>
    <definedName name="_con2" localSheetId="11">#REF!</definedName>
    <definedName name="_con2" localSheetId="12">#REF!</definedName>
    <definedName name="_con2" localSheetId="13">#REF!</definedName>
    <definedName name="_con2" localSheetId="14">#REF!</definedName>
    <definedName name="_con2" localSheetId="15">#REF!</definedName>
    <definedName name="_con2" localSheetId="16">#REF!</definedName>
    <definedName name="_con2" localSheetId="17">#REF!</definedName>
    <definedName name="_con2" localSheetId="8">#REF!</definedName>
    <definedName name="_con2" localSheetId="7">#REF!</definedName>
    <definedName name="_con2" localSheetId="6">#REF!</definedName>
    <definedName name="_con2" localSheetId="20">#REF!</definedName>
    <definedName name="_con2" localSheetId="5">#REF!</definedName>
    <definedName name="_con2" localSheetId="21">#REF!</definedName>
    <definedName name="_con2" localSheetId="34">#REF!</definedName>
    <definedName name="_con2" localSheetId="35">#REF!</definedName>
    <definedName name="_con2" localSheetId="25">#REF!</definedName>
    <definedName name="_con2" localSheetId="27">#REF!</definedName>
    <definedName name="_con2" localSheetId="28">#REF!</definedName>
    <definedName name="_con2" localSheetId="29">#REF!</definedName>
    <definedName name="_con2" localSheetId="31">#REF!</definedName>
    <definedName name="_con2" localSheetId="32">#REF!</definedName>
    <definedName name="_con2" localSheetId="33">#REF!</definedName>
    <definedName name="_con2" localSheetId="24">#REF!</definedName>
    <definedName name="_con2" localSheetId="23">#REF!</definedName>
    <definedName name="_con2" localSheetId="36">#REF!</definedName>
    <definedName name="_con2" localSheetId="22">#REF!</definedName>
    <definedName name="_con2" localSheetId="26">#REF!</definedName>
    <definedName name="_con2" localSheetId="30">#REF!</definedName>
    <definedName name="_con2" localSheetId="85">#REF!</definedName>
    <definedName name="_con2" localSheetId="86">#REF!</definedName>
    <definedName name="_con2" localSheetId="2">#REF!</definedName>
    <definedName name="_con2">#REF!</definedName>
    <definedName name="_con3" localSheetId="3">#REF!</definedName>
    <definedName name="_con3" localSheetId="2">#REF!</definedName>
    <definedName name="_con3">#REF!</definedName>
    <definedName name="_con4" localSheetId="3">#REF!</definedName>
    <definedName name="_con4" localSheetId="2">#REF!</definedName>
    <definedName name="_con4">#REF!</definedName>
    <definedName name="_day1">#REF!</definedName>
    <definedName name="_day10">#REF!</definedName>
    <definedName name="_day11">#REF!</definedName>
    <definedName name="_day12">#REF!</definedName>
    <definedName name="_day13">#REF!</definedName>
    <definedName name="_day19">#REF!</definedName>
    <definedName name="_day2">#REF!</definedName>
    <definedName name="_day3">#REF!</definedName>
    <definedName name="_day4">#REF!</definedName>
    <definedName name="_day5">#REF!</definedName>
    <definedName name="_day6">#REF!</definedName>
    <definedName name="_day7">#REF!</definedName>
    <definedName name="_day8">#REF!</definedName>
    <definedName name="_day9">#REF!</definedName>
    <definedName name="_dig3" localSheetId="3">#REF!</definedName>
    <definedName name="_dig3" localSheetId="2">#REF!</definedName>
    <definedName name="_dig3">#REF!</definedName>
    <definedName name="_FAC1" localSheetId="3">[1]สรุป!$C$307</definedName>
    <definedName name="_FAC1" localSheetId="4">[2]สรุป!$C$307</definedName>
    <definedName name="_FAC1" localSheetId="86">[2]สรุป!$C$307</definedName>
    <definedName name="_FAC1">[3]สรุป!$C$307</definedName>
    <definedName name="_xlnm._FilterDatabase" localSheetId="4" hidden="1">'02.AR อาคารทิศตะวันตก'!$A$1602:$Y$1652</definedName>
    <definedName name="_xlnm._FilterDatabase" localSheetId="6" hidden="1">'03.EE-ทิศตะวันตก (Main)'!$A$1:$L$816</definedName>
    <definedName name="_rb1" localSheetId="3">'[6]10 ข้อมูลวัสดุ-ค่าดำเนิน'!$X$15</definedName>
    <definedName name="_rb1" localSheetId="4">'[6]10 ข้อมูลวัสดุ-ค่าดำเนิน'!$X$15</definedName>
    <definedName name="_rb1" localSheetId="85">'[7]10 ข้อมูลวัสดุ-ค่าดำเนิน'!$X$15</definedName>
    <definedName name="_rb1" localSheetId="86">'[7]10 ข้อมูลวัสดุ-ค่าดำเนิน'!$X$15</definedName>
    <definedName name="_rb1">'[6]10 ข้อมูลวัสดุ-ค่าดำเนิน'!$X$15</definedName>
    <definedName name="_RB12" localSheetId="3">#REF!</definedName>
    <definedName name="_RB12" localSheetId="4">#REF!</definedName>
    <definedName name="_RB12" localSheetId="18">#REF!</definedName>
    <definedName name="_RB12" localSheetId="19">#REF!</definedName>
    <definedName name="_RB12" localSheetId="9">#REF!</definedName>
    <definedName name="_RB12" localSheetId="10">#REF!</definedName>
    <definedName name="_RB12" localSheetId="11">#REF!</definedName>
    <definedName name="_RB12" localSheetId="12">#REF!</definedName>
    <definedName name="_RB12" localSheetId="13">#REF!</definedName>
    <definedName name="_RB12" localSheetId="14">#REF!</definedName>
    <definedName name="_RB12" localSheetId="15">#REF!</definedName>
    <definedName name="_RB12" localSheetId="16">#REF!</definedName>
    <definedName name="_RB12" localSheetId="17">#REF!</definedName>
    <definedName name="_RB12" localSheetId="8">#REF!</definedName>
    <definedName name="_RB12" localSheetId="7">#REF!</definedName>
    <definedName name="_RB12" localSheetId="6">#REF!</definedName>
    <definedName name="_RB12" localSheetId="20">#REF!</definedName>
    <definedName name="_RB12" localSheetId="5">#REF!</definedName>
    <definedName name="_RB12" localSheetId="21">#REF!</definedName>
    <definedName name="_RB12" localSheetId="34">#REF!</definedName>
    <definedName name="_RB12" localSheetId="35">#REF!</definedName>
    <definedName name="_RB12" localSheetId="25">#REF!</definedName>
    <definedName name="_RB12" localSheetId="27">#REF!</definedName>
    <definedName name="_RB12" localSheetId="28">#REF!</definedName>
    <definedName name="_RB12" localSheetId="29">#REF!</definedName>
    <definedName name="_RB12" localSheetId="31">#REF!</definedName>
    <definedName name="_RB12" localSheetId="32">#REF!</definedName>
    <definedName name="_RB12" localSheetId="33">#REF!</definedName>
    <definedName name="_RB12" localSheetId="24">#REF!</definedName>
    <definedName name="_RB12" localSheetId="23">#REF!</definedName>
    <definedName name="_RB12" localSheetId="36">#REF!</definedName>
    <definedName name="_RB12" localSheetId="22">#REF!</definedName>
    <definedName name="_RB12" localSheetId="26">#REF!</definedName>
    <definedName name="_RB12" localSheetId="30">#REF!</definedName>
    <definedName name="_RB12" localSheetId="41">#REF!</definedName>
    <definedName name="_RB12" localSheetId="50">#REF!</definedName>
    <definedName name="_RB12" localSheetId="51">#REF!</definedName>
    <definedName name="_RB12" localSheetId="42">#REF!</definedName>
    <definedName name="_RB12" localSheetId="43">#REF!</definedName>
    <definedName name="_RB12" localSheetId="44">#REF!</definedName>
    <definedName name="_RB12" localSheetId="45">#REF!</definedName>
    <definedName name="_RB12" localSheetId="46">#REF!</definedName>
    <definedName name="_RB12" localSheetId="47">#REF!</definedName>
    <definedName name="_RB12" localSheetId="48">#REF!</definedName>
    <definedName name="_RB12" localSheetId="49">#REF!</definedName>
    <definedName name="_RB12" localSheetId="52">#REF!</definedName>
    <definedName name="_RB12" localSheetId="40">#REF!</definedName>
    <definedName name="_RB12" localSheetId="39">#REF!</definedName>
    <definedName name="_RB12" localSheetId="38">#REF!</definedName>
    <definedName name="_RB12" localSheetId="37">#REF!</definedName>
    <definedName name="_RB12" localSheetId="57">#REF!</definedName>
    <definedName name="_RB12" localSheetId="66">#REF!</definedName>
    <definedName name="_RB12" localSheetId="67">#REF!</definedName>
    <definedName name="_RB12" localSheetId="58">#REF!</definedName>
    <definedName name="_RB12" localSheetId="59">#REF!</definedName>
    <definedName name="_RB12" localSheetId="60">#REF!</definedName>
    <definedName name="_RB12" localSheetId="61">#REF!</definedName>
    <definedName name="_RB12" localSheetId="62">#REF!</definedName>
    <definedName name="_RB12" localSheetId="63">#REF!</definedName>
    <definedName name="_RB12" localSheetId="64">#REF!</definedName>
    <definedName name="_RB12" localSheetId="65">#REF!</definedName>
    <definedName name="_RB12" localSheetId="68">#REF!</definedName>
    <definedName name="_RB12" localSheetId="56">#REF!</definedName>
    <definedName name="_RB12" localSheetId="55">#REF!</definedName>
    <definedName name="_RB12" localSheetId="54">#REF!</definedName>
    <definedName name="_RB12" localSheetId="53">#REF!</definedName>
    <definedName name="_RB12" localSheetId="85">#REF!</definedName>
    <definedName name="_RB12" localSheetId="86">#REF!</definedName>
    <definedName name="_RB12" localSheetId="2">#REF!</definedName>
    <definedName name="_RB12">#REF!</definedName>
    <definedName name="_RB15" localSheetId="3">#REF!</definedName>
    <definedName name="_RB15" localSheetId="4">#REF!</definedName>
    <definedName name="_RB15" localSheetId="18">#REF!</definedName>
    <definedName name="_RB15" localSheetId="19">#REF!</definedName>
    <definedName name="_RB15" localSheetId="9">#REF!</definedName>
    <definedName name="_RB15" localSheetId="10">#REF!</definedName>
    <definedName name="_RB15" localSheetId="11">#REF!</definedName>
    <definedName name="_RB15" localSheetId="12">#REF!</definedName>
    <definedName name="_RB15" localSheetId="13">#REF!</definedName>
    <definedName name="_RB15" localSheetId="14">#REF!</definedName>
    <definedName name="_RB15" localSheetId="15">#REF!</definedName>
    <definedName name="_RB15" localSheetId="16">#REF!</definedName>
    <definedName name="_RB15" localSheetId="17">#REF!</definedName>
    <definedName name="_RB15" localSheetId="8">#REF!</definedName>
    <definedName name="_RB15" localSheetId="7">#REF!</definedName>
    <definedName name="_RB15" localSheetId="6">#REF!</definedName>
    <definedName name="_RB15" localSheetId="20">#REF!</definedName>
    <definedName name="_RB15" localSheetId="5">#REF!</definedName>
    <definedName name="_RB15" localSheetId="21">#REF!</definedName>
    <definedName name="_RB15" localSheetId="34">#REF!</definedName>
    <definedName name="_RB15" localSheetId="35">#REF!</definedName>
    <definedName name="_RB15" localSheetId="25">#REF!</definedName>
    <definedName name="_RB15" localSheetId="27">#REF!</definedName>
    <definedName name="_RB15" localSheetId="28">#REF!</definedName>
    <definedName name="_RB15" localSheetId="29">#REF!</definedName>
    <definedName name="_RB15" localSheetId="31">#REF!</definedName>
    <definedName name="_RB15" localSheetId="32">#REF!</definedName>
    <definedName name="_RB15" localSheetId="33">#REF!</definedName>
    <definedName name="_RB15" localSheetId="24">#REF!</definedName>
    <definedName name="_RB15" localSheetId="23">#REF!</definedName>
    <definedName name="_RB15" localSheetId="36">#REF!</definedName>
    <definedName name="_RB15" localSheetId="22">#REF!</definedName>
    <definedName name="_RB15" localSheetId="26">#REF!</definedName>
    <definedName name="_RB15" localSheetId="30">#REF!</definedName>
    <definedName name="_RB15" localSheetId="85">#REF!</definedName>
    <definedName name="_RB15" localSheetId="86">#REF!</definedName>
    <definedName name="_RB15" localSheetId="2">#REF!</definedName>
    <definedName name="_RB15">#REF!</definedName>
    <definedName name="_RB19" localSheetId="3">#REF!</definedName>
    <definedName name="_RB19" localSheetId="4">#REF!</definedName>
    <definedName name="_RB19" localSheetId="18">#REF!</definedName>
    <definedName name="_RB19" localSheetId="19">#REF!</definedName>
    <definedName name="_RB19" localSheetId="9">#REF!</definedName>
    <definedName name="_RB19" localSheetId="10">#REF!</definedName>
    <definedName name="_RB19" localSheetId="11">#REF!</definedName>
    <definedName name="_RB19" localSheetId="12">#REF!</definedName>
    <definedName name="_RB19" localSheetId="13">#REF!</definedName>
    <definedName name="_RB19" localSheetId="14">#REF!</definedName>
    <definedName name="_RB19" localSheetId="15">#REF!</definedName>
    <definedName name="_RB19" localSheetId="16">#REF!</definedName>
    <definedName name="_RB19" localSheetId="17">#REF!</definedName>
    <definedName name="_RB19" localSheetId="8">#REF!</definedName>
    <definedName name="_RB19" localSheetId="7">#REF!</definedName>
    <definedName name="_RB19" localSheetId="6">#REF!</definedName>
    <definedName name="_RB19" localSheetId="20">#REF!</definedName>
    <definedName name="_RB19" localSheetId="5">#REF!</definedName>
    <definedName name="_RB19" localSheetId="21">#REF!</definedName>
    <definedName name="_RB19" localSheetId="34">#REF!</definedName>
    <definedName name="_RB19" localSheetId="35">#REF!</definedName>
    <definedName name="_RB19" localSheetId="25">#REF!</definedName>
    <definedName name="_RB19" localSheetId="27">#REF!</definedName>
    <definedName name="_RB19" localSheetId="28">#REF!</definedName>
    <definedName name="_RB19" localSheetId="29">#REF!</definedName>
    <definedName name="_RB19" localSheetId="31">#REF!</definedName>
    <definedName name="_RB19" localSheetId="32">#REF!</definedName>
    <definedName name="_RB19" localSheetId="33">#REF!</definedName>
    <definedName name="_RB19" localSheetId="24">#REF!</definedName>
    <definedName name="_RB19" localSheetId="23">#REF!</definedName>
    <definedName name="_RB19" localSheetId="36">#REF!</definedName>
    <definedName name="_RB19" localSheetId="22">#REF!</definedName>
    <definedName name="_RB19" localSheetId="26">#REF!</definedName>
    <definedName name="_RB19" localSheetId="30">#REF!</definedName>
    <definedName name="_RB19" localSheetId="85">#REF!</definedName>
    <definedName name="_RB19" localSheetId="86">#REF!</definedName>
    <definedName name="_RB19" localSheetId="2">#REF!</definedName>
    <definedName name="_RB19">#REF!</definedName>
    <definedName name="_RB25" localSheetId="3">#REF!</definedName>
    <definedName name="_RB25" localSheetId="2">#REF!</definedName>
    <definedName name="_RB25">#REF!</definedName>
    <definedName name="_RB6" localSheetId="3">#REF!</definedName>
    <definedName name="_RB6" localSheetId="2">#REF!</definedName>
    <definedName name="_RB6">#REF!</definedName>
    <definedName name="_RB9" localSheetId="3">#REF!</definedName>
    <definedName name="_RB9" localSheetId="2">#REF!</definedName>
    <definedName name="_RB9">#REF!</definedName>
    <definedName name="_Regression_Int">1</definedName>
    <definedName name="_sb1" localSheetId="3">'[4]12 ข้อมูลงานไม้แบบ'!$W$29</definedName>
    <definedName name="_sb1" localSheetId="4">'[4]12 ข้อมูลงานไม้แบบ'!$W$29</definedName>
    <definedName name="_sb1" localSheetId="85">'[5]12 ข้อมูลงานไม้แบบ'!$W$29</definedName>
    <definedName name="_sb1" localSheetId="86">'[5]12 ข้อมูลงานไม้แบบ'!$W$29</definedName>
    <definedName name="_sb1">'[4]12 ข้อมูลงานไม้แบบ'!$W$29</definedName>
    <definedName name="_sd30" localSheetId="3">#REF!</definedName>
    <definedName name="_sd30" localSheetId="4">#REF!</definedName>
    <definedName name="_sd30" localSheetId="18">#REF!</definedName>
    <definedName name="_sd30" localSheetId="19">#REF!</definedName>
    <definedName name="_sd30" localSheetId="9">#REF!</definedName>
    <definedName name="_sd30" localSheetId="10">#REF!</definedName>
    <definedName name="_sd30" localSheetId="11">#REF!</definedName>
    <definedName name="_sd30" localSheetId="12">#REF!</definedName>
    <definedName name="_sd30" localSheetId="13">#REF!</definedName>
    <definedName name="_sd30" localSheetId="14">#REF!</definedName>
    <definedName name="_sd30" localSheetId="15">#REF!</definedName>
    <definedName name="_sd30" localSheetId="16">#REF!</definedName>
    <definedName name="_sd30" localSheetId="17">#REF!</definedName>
    <definedName name="_sd30" localSheetId="8">#REF!</definedName>
    <definedName name="_sd30" localSheetId="7">#REF!</definedName>
    <definedName name="_sd30" localSheetId="6">#REF!</definedName>
    <definedName name="_sd30" localSheetId="20">#REF!</definedName>
    <definedName name="_sd30" localSheetId="5">#REF!</definedName>
    <definedName name="_sd30" localSheetId="21">#REF!</definedName>
    <definedName name="_sd30" localSheetId="34">#REF!</definedName>
    <definedName name="_sd30" localSheetId="35">#REF!</definedName>
    <definedName name="_sd30" localSheetId="25">#REF!</definedName>
    <definedName name="_sd30" localSheetId="27">#REF!</definedName>
    <definedName name="_sd30" localSheetId="28">#REF!</definedName>
    <definedName name="_sd30" localSheetId="29">#REF!</definedName>
    <definedName name="_sd30" localSheetId="31">#REF!</definedName>
    <definedName name="_sd30" localSheetId="32">#REF!</definedName>
    <definedName name="_sd30" localSheetId="33">#REF!</definedName>
    <definedName name="_sd30" localSheetId="24">#REF!</definedName>
    <definedName name="_sd30" localSheetId="23">#REF!</definedName>
    <definedName name="_sd30" localSheetId="36">#REF!</definedName>
    <definedName name="_sd30" localSheetId="22">#REF!</definedName>
    <definedName name="_sd30" localSheetId="26">#REF!</definedName>
    <definedName name="_sd30" localSheetId="30">#REF!</definedName>
    <definedName name="_sd30" localSheetId="41">#REF!</definedName>
    <definedName name="_sd30" localSheetId="50">#REF!</definedName>
    <definedName name="_sd30" localSheetId="51">#REF!</definedName>
    <definedName name="_sd30" localSheetId="42">#REF!</definedName>
    <definedName name="_sd30" localSheetId="43">#REF!</definedName>
    <definedName name="_sd30" localSheetId="44">#REF!</definedName>
    <definedName name="_sd30" localSheetId="45">#REF!</definedName>
    <definedName name="_sd30" localSheetId="46">#REF!</definedName>
    <definedName name="_sd30" localSheetId="47">#REF!</definedName>
    <definedName name="_sd30" localSheetId="48">#REF!</definedName>
    <definedName name="_sd30" localSheetId="49">#REF!</definedName>
    <definedName name="_sd30" localSheetId="52">#REF!</definedName>
    <definedName name="_sd30" localSheetId="40">#REF!</definedName>
    <definedName name="_sd30" localSheetId="39">#REF!</definedName>
    <definedName name="_sd30" localSheetId="38">#REF!</definedName>
    <definedName name="_sd30" localSheetId="37">#REF!</definedName>
    <definedName name="_sd30" localSheetId="57">#REF!</definedName>
    <definedName name="_sd30" localSheetId="66">#REF!</definedName>
    <definedName name="_sd30" localSheetId="67">#REF!</definedName>
    <definedName name="_sd30" localSheetId="58">#REF!</definedName>
    <definedName name="_sd30" localSheetId="59">#REF!</definedName>
    <definedName name="_sd30" localSheetId="60">#REF!</definedName>
    <definedName name="_sd30" localSheetId="61">#REF!</definedName>
    <definedName name="_sd30" localSheetId="62">#REF!</definedName>
    <definedName name="_sd30" localSheetId="63">#REF!</definedName>
    <definedName name="_sd30" localSheetId="64">#REF!</definedName>
    <definedName name="_sd30" localSheetId="65">#REF!</definedName>
    <definedName name="_sd30" localSheetId="68">#REF!</definedName>
    <definedName name="_sd30" localSheetId="56">#REF!</definedName>
    <definedName name="_sd30" localSheetId="55">#REF!</definedName>
    <definedName name="_sd30" localSheetId="54">#REF!</definedName>
    <definedName name="_sd30" localSheetId="53">#REF!</definedName>
    <definedName name="_sd30" localSheetId="85">#REF!</definedName>
    <definedName name="_sd30" localSheetId="86">#REF!</definedName>
    <definedName name="_sd30" localSheetId="2">#REF!</definedName>
    <definedName name="_sd30">#REF!</definedName>
    <definedName name="_sd40" localSheetId="3">#REF!</definedName>
    <definedName name="_sd40" localSheetId="4">#REF!</definedName>
    <definedName name="_sd40" localSheetId="18">#REF!</definedName>
    <definedName name="_sd40" localSheetId="19">#REF!</definedName>
    <definedName name="_sd40" localSheetId="9">#REF!</definedName>
    <definedName name="_sd40" localSheetId="10">#REF!</definedName>
    <definedName name="_sd40" localSheetId="11">#REF!</definedName>
    <definedName name="_sd40" localSheetId="12">#REF!</definedName>
    <definedName name="_sd40" localSheetId="13">#REF!</definedName>
    <definedName name="_sd40" localSheetId="14">#REF!</definedName>
    <definedName name="_sd40" localSheetId="15">#REF!</definedName>
    <definedName name="_sd40" localSheetId="16">#REF!</definedName>
    <definedName name="_sd40" localSheetId="17">#REF!</definedName>
    <definedName name="_sd40" localSheetId="8">#REF!</definedName>
    <definedName name="_sd40" localSheetId="7">#REF!</definedName>
    <definedName name="_sd40" localSheetId="6">#REF!</definedName>
    <definedName name="_sd40" localSheetId="20">#REF!</definedName>
    <definedName name="_sd40" localSheetId="5">#REF!</definedName>
    <definedName name="_sd40" localSheetId="21">#REF!</definedName>
    <definedName name="_sd40" localSheetId="34">#REF!</definedName>
    <definedName name="_sd40" localSheetId="35">#REF!</definedName>
    <definedName name="_sd40" localSheetId="25">#REF!</definedName>
    <definedName name="_sd40" localSheetId="27">#REF!</definedName>
    <definedName name="_sd40" localSheetId="28">#REF!</definedName>
    <definedName name="_sd40" localSheetId="29">#REF!</definedName>
    <definedName name="_sd40" localSheetId="31">#REF!</definedName>
    <definedName name="_sd40" localSheetId="32">#REF!</definedName>
    <definedName name="_sd40" localSheetId="33">#REF!</definedName>
    <definedName name="_sd40" localSheetId="24">#REF!</definedName>
    <definedName name="_sd40" localSheetId="23">#REF!</definedName>
    <definedName name="_sd40" localSheetId="36">#REF!</definedName>
    <definedName name="_sd40" localSheetId="22">#REF!</definedName>
    <definedName name="_sd40" localSheetId="26">#REF!</definedName>
    <definedName name="_sd40" localSheetId="30">#REF!</definedName>
    <definedName name="_sd40" localSheetId="85">#REF!</definedName>
    <definedName name="_sd40" localSheetId="86">#REF!</definedName>
    <definedName name="_sd40" localSheetId="2">#REF!</definedName>
    <definedName name="_sd40">#REF!</definedName>
    <definedName name="_ST1" localSheetId="3">#REF!</definedName>
    <definedName name="_ST1" localSheetId="4">#REF!</definedName>
    <definedName name="_ST1" localSheetId="18">#REF!</definedName>
    <definedName name="_ST1" localSheetId="19">#REF!</definedName>
    <definedName name="_ST1" localSheetId="9">#REF!</definedName>
    <definedName name="_ST1" localSheetId="10">#REF!</definedName>
    <definedName name="_ST1" localSheetId="11">#REF!</definedName>
    <definedName name="_ST1" localSheetId="12">#REF!</definedName>
    <definedName name="_ST1" localSheetId="13">#REF!</definedName>
    <definedName name="_ST1" localSheetId="14">#REF!</definedName>
    <definedName name="_ST1" localSheetId="15">#REF!</definedName>
    <definedName name="_ST1" localSheetId="16">#REF!</definedName>
    <definedName name="_ST1" localSheetId="17">#REF!</definedName>
    <definedName name="_ST1" localSheetId="8">#REF!</definedName>
    <definedName name="_ST1" localSheetId="7">#REF!</definedName>
    <definedName name="_ST1" localSheetId="6">#REF!</definedName>
    <definedName name="_ST1" localSheetId="20">#REF!</definedName>
    <definedName name="_ST1" localSheetId="5">#REF!</definedName>
    <definedName name="_ST1" localSheetId="21">#REF!</definedName>
    <definedName name="_ST1" localSheetId="34">#REF!</definedName>
    <definedName name="_ST1" localSheetId="35">#REF!</definedName>
    <definedName name="_ST1" localSheetId="25">#REF!</definedName>
    <definedName name="_ST1" localSheetId="27">#REF!</definedName>
    <definedName name="_ST1" localSheetId="28">#REF!</definedName>
    <definedName name="_ST1" localSheetId="29">#REF!</definedName>
    <definedName name="_ST1" localSheetId="31">#REF!</definedName>
    <definedName name="_ST1" localSheetId="32">#REF!</definedName>
    <definedName name="_ST1" localSheetId="33">#REF!</definedName>
    <definedName name="_ST1" localSheetId="24">#REF!</definedName>
    <definedName name="_ST1" localSheetId="23">#REF!</definedName>
    <definedName name="_ST1" localSheetId="36">#REF!</definedName>
    <definedName name="_ST1" localSheetId="22">#REF!</definedName>
    <definedName name="_ST1" localSheetId="26">#REF!</definedName>
    <definedName name="_ST1" localSheetId="30">#REF!</definedName>
    <definedName name="_ST1" localSheetId="85">#REF!</definedName>
    <definedName name="_ST1" localSheetId="86">#REF!</definedName>
    <definedName name="_ST1" localSheetId="2">#REF!</definedName>
    <definedName name="_ST1">#REF!</definedName>
    <definedName name="_ST2" localSheetId="3">#REF!</definedName>
    <definedName name="_ST2" localSheetId="2">#REF!</definedName>
    <definedName name="_ST2">#REF!</definedName>
    <definedName name="_st3" localSheetId="3">#REF!</definedName>
    <definedName name="_st3" localSheetId="2">#REF!</definedName>
    <definedName name="_st3">#REF!</definedName>
    <definedName name="a">#REF!</definedName>
    <definedName name="aaaa" localSheetId="3" hidden="1">{"'SUMMATION'!$B$2:$I$2"}</definedName>
    <definedName name="aaaa" localSheetId="4" hidden="1">{"'SUMMATION'!$B$2:$I$2"}</definedName>
    <definedName name="aaaa" localSheetId="38" hidden="1">{"'SUMMATION'!$B$2:$I$2"}</definedName>
    <definedName name="aaaa" localSheetId="86" hidden="1">{"'SUMMATION'!$B$2:$I$2"}</definedName>
    <definedName name="aaaa" hidden="1">{"'SUMMATION'!$B$2:$I$2"}</definedName>
    <definedName name="AAAAA">#REF!</definedName>
    <definedName name="AC.60_70" localSheetId="3">#REF!</definedName>
    <definedName name="AC.60_70" localSheetId="2">#REF!</definedName>
    <definedName name="AC.60_70">#REF!</definedName>
    <definedName name="AC.60_70ไม่รวมขนส่ง" localSheetId="3">#REF!</definedName>
    <definedName name="AC.60_70ไม่รวมขนส่ง" localSheetId="2">#REF!</definedName>
    <definedName name="AC.60_70ไม่รวมขนส่ง">#REF!</definedName>
    <definedName name="AC_Shoulder">'[8]4'!$J$103</definedName>
    <definedName name="AC_สี" localSheetId="3">#REF!</definedName>
    <definedName name="AC_สี" localSheetId="4">#REF!</definedName>
    <definedName name="AC_สี" localSheetId="18">#REF!</definedName>
    <definedName name="AC_สี" localSheetId="19">#REF!</definedName>
    <definedName name="AC_สี" localSheetId="9">#REF!</definedName>
    <definedName name="AC_สี" localSheetId="10">#REF!</definedName>
    <definedName name="AC_สี" localSheetId="11">#REF!</definedName>
    <definedName name="AC_สี" localSheetId="12">#REF!</definedName>
    <definedName name="AC_สี" localSheetId="13">#REF!</definedName>
    <definedName name="AC_สี" localSheetId="14">#REF!</definedName>
    <definedName name="AC_สี" localSheetId="15">#REF!</definedName>
    <definedName name="AC_สี" localSheetId="16">#REF!</definedName>
    <definedName name="AC_สี" localSheetId="17">#REF!</definedName>
    <definedName name="AC_สี" localSheetId="8">#REF!</definedName>
    <definedName name="AC_สี" localSheetId="7">#REF!</definedName>
    <definedName name="AC_สี" localSheetId="6">#REF!</definedName>
    <definedName name="AC_สี" localSheetId="20">#REF!</definedName>
    <definedName name="AC_สี" localSheetId="5">#REF!</definedName>
    <definedName name="AC_สี" localSheetId="21">#REF!</definedName>
    <definedName name="AC_สี" localSheetId="34">#REF!</definedName>
    <definedName name="AC_สี" localSheetId="35">#REF!</definedName>
    <definedName name="AC_สี" localSheetId="25">#REF!</definedName>
    <definedName name="AC_สี" localSheetId="27">#REF!</definedName>
    <definedName name="AC_สี" localSheetId="28">#REF!</definedName>
    <definedName name="AC_สี" localSheetId="29">#REF!</definedName>
    <definedName name="AC_สี" localSheetId="31">#REF!</definedName>
    <definedName name="AC_สี" localSheetId="32">#REF!</definedName>
    <definedName name="AC_สี" localSheetId="33">#REF!</definedName>
    <definedName name="AC_สี" localSheetId="24">#REF!</definedName>
    <definedName name="AC_สี" localSheetId="23">#REF!</definedName>
    <definedName name="AC_สี" localSheetId="36">#REF!</definedName>
    <definedName name="AC_สี" localSheetId="22">#REF!</definedName>
    <definedName name="AC_สี" localSheetId="26">#REF!</definedName>
    <definedName name="AC_สี" localSheetId="30">#REF!</definedName>
    <definedName name="AC_สี" localSheetId="41">#REF!</definedName>
    <definedName name="AC_สี" localSheetId="50">#REF!</definedName>
    <definedName name="AC_สี" localSheetId="51">#REF!</definedName>
    <definedName name="AC_สี" localSheetId="42">#REF!</definedName>
    <definedName name="AC_สี" localSheetId="43">#REF!</definedName>
    <definedName name="AC_สี" localSheetId="44">#REF!</definedName>
    <definedName name="AC_สี" localSheetId="45">#REF!</definedName>
    <definedName name="AC_สี" localSheetId="46">#REF!</definedName>
    <definedName name="AC_สี" localSheetId="47">#REF!</definedName>
    <definedName name="AC_สี" localSheetId="48">#REF!</definedName>
    <definedName name="AC_สี" localSheetId="49">#REF!</definedName>
    <definedName name="AC_สี" localSheetId="52">#REF!</definedName>
    <definedName name="AC_สี" localSheetId="40">#REF!</definedName>
    <definedName name="AC_สี" localSheetId="39">#REF!</definedName>
    <definedName name="AC_สี" localSheetId="38">#REF!</definedName>
    <definedName name="AC_สี" localSheetId="37">#REF!</definedName>
    <definedName name="AC_สี" localSheetId="57">#REF!</definedName>
    <definedName name="AC_สี" localSheetId="66">#REF!</definedName>
    <definedName name="AC_สี" localSheetId="67">#REF!</definedName>
    <definedName name="AC_สี" localSheetId="58">#REF!</definedName>
    <definedName name="AC_สี" localSheetId="59">#REF!</definedName>
    <definedName name="AC_สี" localSheetId="60">#REF!</definedName>
    <definedName name="AC_สี" localSheetId="61">#REF!</definedName>
    <definedName name="AC_สี" localSheetId="62">#REF!</definedName>
    <definedName name="AC_สี" localSheetId="63">#REF!</definedName>
    <definedName name="AC_สี" localSheetId="64">#REF!</definedName>
    <definedName name="AC_สี" localSheetId="65">#REF!</definedName>
    <definedName name="AC_สี" localSheetId="68">#REF!</definedName>
    <definedName name="AC_สี" localSheetId="56">#REF!</definedName>
    <definedName name="AC_สี" localSheetId="55">#REF!</definedName>
    <definedName name="AC_สี" localSheetId="54">#REF!</definedName>
    <definedName name="AC_สี" localSheetId="53">#REF!</definedName>
    <definedName name="AC_สี" localSheetId="85">#REF!</definedName>
    <definedName name="AC_สี" localSheetId="86">#REF!</definedName>
    <definedName name="AC_สี" localSheetId="2">#REF!</definedName>
    <definedName name="AC_สี">#REF!</definedName>
    <definedName name="AccessDatabase" hidden="1">"C:\My Documents\MRTA\COST\VO\BS\L_subway.mdb"</definedName>
    <definedName name="ACชนิดสีใส" localSheetId="3">#REF!</definedName>
    <definedName name="ACชนิดสีใส" localSheetId="4">#REF!</definedName>
    <definedName name="ACชนิดสีใส" localSheetId="18">#REF!</definedName>
    <definedName name="ACชนิดสีใส" localSheetId="19">#REF!</definedName>
    <definedName name="ACชนิดสีใส" localSheetId="9">#REF!</definedName>
    <definedName name="ACชนิดสีใส" localSheetId="10">#REF!</definedName>
    <definedName name="ACชนิดสีใส" localSheetId="11">#REF!</definedName>
    <definedName name="ACชนิดสีใส" localSheetId="12">#REF!</definedName>
    <definedName name="ACชนิดสีใส" localSheetId="13">#REF!</definedName>
    <definedName name="ACชนิดสีใส" localSheetId="14">#REF!</definedName>
    <definedName name="ACชนิดสีใส" localSheetId="15">#REF!</definedName>
    <definedName name="ACชนิดสีใส" localSheetId="16">#REF!</definedName>
    <definedName name="ACชนิดสีใส" localSheetId="17">#REF!</definedName>
    <definedName name="ACชนิดสีใส" localSheetId="8">#REF!</definedName>
    <definedName name="ACชนิดสีใส" localSheetId="7">#REF!</definedName>
    <definedName name="ACชนิดสีใส" localSheetId="6">#REF!</definedName>
    <definedName name="ACชนิดสีใส" localSheetId="20">#REF!</definedName>
    <definedName name="ACชนิดสีใส" localSheetId="5">#REF!</definedName>
    <definedName name="ACชนิดสีใส" localSheetId="21">#REF!</definedName>
    <definedName name="ACชนิดสีใส" localSheetId="34">#REF!</definedName>
    <definedName name="ACชนิดสีใส" localSheetId="35">#REF!</definedName>
    <definedName name="ACชนิดสีใส" localSheetId="25">#REF!</definedName>
    <definedName name="ACชนิดสีใส" localSheetId="27">#REF!</definedName>
    <definedName name="ACชนิดสีใส" localSheetId="28">#REF!</definedName>
    <definedName name="ACชนิดสีใส" localSheetId="29">#REF!</definedName>
    <definedName name="ACชนิดสีใส" localSheetId="31">#REF!</definedName>
    <definedName name="ACชนิดสีใส" localSheetId="32">#REF!</definedName>
    <definedName name="ACชนิดสีใส" localSheetId="33">#REF!</definedName>
    <definedName name="ACชนิดสีใส" localSheetId="24">#REF!</definedName>
    <definedName name="ACชนิดสีใส" localSheetId="23">#REF!</definedName>
    <definedName name="ACชนิดสีใส" localSheetId="36">#REF!</definedName>
    <definedName name="ACชนิดสีใส" localSheetId="22">#REF!</definedName>
    <definedName name="ACชนิดสีใส" localSheetId="26">#REF!</definedName>
    <definedName name="ACชนิดสีใส" localSheetId="30">#REF!</definedName>
    <definedName name="ACชนิดสีใส" localSheetId="41">#REF!</definedName>
    <definedName name="ACชนิดสีใส" localSheetId="50">#REF!</definedName>
    <definedName name="ACชนิดสีใส" localSheetId="51">#REF!</definedName>
    <definedName name="ACชนิดสีใส" localSheetId="42">#REF!</definedName>
    <definedName name="ACชนิดสีใส" localSheetId="43">#REF!</definedName>
    <definedName name="ACชนิดสีใส" localSheetId="44">#REF!</definedName>
    <definedName name="ACชนิดสีใส" localSheetId="45">#REF!</definedName>
    <definedName name="ACชนิดสีใส" localSheetId="46">#REF!</definedName>
    <definedName name="ACชนิดสีใส" localSheetId="47">#REF!</definedName>
    <definedName name="ACชนิดสีใส" localSheetId="48">#REF!</definedName>
    <definedName name="ACชนิดสีใส" localSheetId="49">#REF!</definedName>
    <definedName name="ACชนิดสีใส" localSheetId="52">#REF!</definedName>
    <definedName name="ACชนิดสีใส" localSheetId="40">#REF!</definedName>
    <definedName name="ACชนิดสีใส" localSheetId="39">#REF!</definedName>
    <definedName name="ACชนิดสีใส" localSheetId="38">#REF!</definedName>
    <definedName name="ACชนิดสีใส" localSheetId="37">#REF!</definedName>
    <definedName name="ACชนิดสีใส" localSheetId="57">#REF!</definedName>
    <definedName name="ACชนิดสีใส" localSheetId="66">#REF!</definedName>
    <definedName name="ACชนิดสีใส" localSheetId="67">#REF!</definedName>
    <definedName name="ACชนิดสีใส" localSheetId="58">#REF!</definedName>
    <definedName name="ACชนิดสีใส" localSheetId="59">#REF!</definedName>
    <definedName name="ACชนิดสีใส" localSheetId="60">#REF!</definedName>
    <definedName name="ACชนิดสีใส" localSheetId="61">#REF!</definedName>
    <definedName name="ACชนิดสีใส" localSheetId="62">#REF!</definedName>
    <definedName name="ACชนิดสีใส" localSheetId="63">#REF!</definedName>
    <definedName name="ACชนิดสีใส" localSheetId="64">#REF!</definedName>
    <definedName name="ACชนิดสีใส" localSheetId="65">#REF!</definedName>
    <definedName name="ACชนิดสีใส" localSheetId="68">#REF!</definedName>
    <definedName name="ACชนิดสีใส" localSheetId="56">#REF!</definedName>
    <definedName name="ACชนิดสีใส" localSheetId="55">#REF!</definedName>
    <definedName name="ACชนิดสีใส" localSheetId="54">#REF!</definedName>
    <definedName name="ACชนิดสีใส" localSheetId="53">#REF!</definedName>
    <definedName name="ACชนิดสีใส" localSheetId="85">#REF!</definedName>
    <definedName name="ACชนิดสีใส" localSheetId="86">#REF!</definedName>
    <definedName name="ACชนิดสีใส" localSheetId="2">#REF!</definedName>
    <definedName name="ACชนิดสีใส">#REF!</definedName>
    <definedName name="ACชนิดสีใสไม่รวมขนส่ง" localSheetId="3">#REF!</definedName>
    <definedName name="ACชนิดสีใสไม่รวมขนส่ง" localSheetId="4">#REF!</definedName>
    <definedName name="ACชนิดสีใสไม่รวมขนส่ง" localSheetId="18">#REF!</definedName>
    <definedName name="ACชนิดสีใสไม่รวมขนส่ง" localSheetId="19">#REF!</definedName>
    <definedName name="ACชนิดสีใสไม่รวมขนส่ง" localSheetId="9">#REF!</definedName>
    <definedName name="ACชนิดสีใสไม่รวมขนส่ง" localSheetId="10">#REF!</definedName>
    <definedName name="ACชนิดสีใสไม่รวมขนส่ง" localSheetId="11">#REF!</definedName>
    <definedName name="ACชนิดสีใสไม่รวมขนส่ง" localSheetId="12">#REF!</definedName>
    <definedName name="ACชนิดสีใสไม่รวมขนส่ง" localSheetId="13">#REF!</definedName>
    <definedName name="ACชนิดสีใสไม่รวมขนส่ง" localSheetId="14">#REF!</definedName>
    <definedName name="ACชนิดสีใสไม่รวมขนส่ง" localSheetId="15">#REF!</definedName>
    <definedName name="ACชนิดสีใสไม่รวมขนส่ง" localSheetId="16">#REF!</definedName>
    <definedName name="ACชนิดสีใสไม่รวมขนส่ง" localSheetId="17">#REF!</definedName>
    <definedName name="ACชนิดสีใสไม่รวมขนส่ง" localSheetId="8">#REF!</definedName>
    <definedName name="ACชนิดสีใสไม่รวมขนส่ง" localSheetId="7">#REF!</definedName>
    <definedName name="ACชนิดสีใสไม่รวมขนส่ง" localSheetId="6">#REF!</definedName>
    <definedName name="ACชนิดสีใสไม่รวมขนส่ง" localSheetId="20">#REF!</definedName>
    <definedName name="ACชนิดสีใสไม่รวมขนส่ง" localSheetId="5">#REF!</definedName>
    <definedName name="ACชนิดสีใสไม่รวมขนส่ง" localSheetId="21">#REF!</definedName>
    <definedName name="ACชนิดสีใสไม่รวมขนส่ง" localSheetId="34">#REF!</definedName>
    <definedName name="ACชนิดสีใสไม่รวมขนส่ง" localSheetId="35">#REF!</definedName>
    <definedName name="ACชนิดสีใสไม่รวมขนส่ง" localSheetId="25">#REF!</definedName>
    <definedName name="ACชนิดสีใสไม่รวมขนส่ง" localSheetId="27">#REF!</definedName>
    <definedName name="ACชนิดสีใสไม่รวมขนส่ง" localSheetId="28">#REF!</definedName>
    <definedName name="ACชนิดสีใสไม่รวมขนส่ง" localSheetId="29">#REF!</definedName>
    <definedName name="ACชนิดสีใสไม่รวมขนส่ง" localSheetId="31">#REF!</definedName>
    <definedName name="ACชนิดสีใสไม่รวมขนส่ง" localSheetId="32">#REF!</definedName>
    <definedName name="ACชนิดสีใสไม่รวมขนส่ง" localSheetId="33">#REF!</definedName>
    <definedName name="ACชนิดสีใสไม่รวมขนส่ง" localSheetId="24">#REF!</definedName>
    <definedName name="ACชนิดสีใสไม่รวมขนส่ง" localSheetId="23">#REF!</definedName>
    <definedName name="ACชนิดสีใสไม่รวมขนส่ง" localSheetId="36">#REF!</definedName>
    <definedName name="ACชนิดสีใสไม่รวมขนส่ง" localSheetId="22">#REF!</definedName>
    <definedName name="ACชนิดสีใสไม่รวมขนส่ง" localSheetId="26">#REF!</definedName>
    <definedName name="ACชนิดสีใสไม่รวมขนส่ง" localSheetId="30">#REF!</definedName>
    <definedName name="ACชนิดสีใสไม่รวมขนส่ง" localSheetId="85">#REF!</definedName>
    <definedName name="ACชนิดสีใสไม่รวมขนส่ง" localSheetId="86">#REF!</definedName>
    <definedName name="ACชนิดสีใสไม่รวมขนส่ง" localSheetId="2">#REF!</definedName>
    <definedName name="ACชนิดสีใสไม่รวมขนส่ง">#REF!</definedName>
    <definedName name="Approach_A">'[8]6'!$J$1599</definedName>
    <definedName name="Approach_B">'[8]6'!$J$1616</definedName>
    <definedName name="Approach_C">'[8]6'!$J$1633</definedName>
    <definedName name="Approach_D">'[8]6'!$J$1651</definedName>
    <definedName name="Approach_E">'[8]6'!$J$1670</definedName>
    <definedName name="archi" localSheetId="3">#REF!</definedName>
    <definedName name="archi" localSheetId="4">#REF!</definedName>
    <definedName name="archi" localSheetId="38">#REF!</definedName>
    <definedName name="archi" localSheetId="86">#REF!</definedName>
    <definedName name="archi">#REF!</definedName>
    <definedName name="ASPHALT_CONDRETE_LEVELING_COURSE">'[8]4'!$J$62</definedName>
    <definedName name="Asphalt_Prime_Coat" localSheetId="3">#REF!</definedName>
    <definedName name="Asphalt_Prime_Coat" localSheetId="4">#REF!</definedName>
    <definedName name="Asphalt_Prime_Coat" localSheetId="18">#REF!</definedName>
    <definedName name="Asphalt_Prime_Coat" localSheetId="19">#REF!</definedName>
    <definedName name="Asphalt_Prime_Coat" localSheetId="9">#REF!</definedName>
    <definedName name="Asphalt_Prime_Coat" localSheetId="10">#REF!</definedName>
    <definedName name="Asphalt_Prime_Coat" localSheetId="11">#REF!</definedName>
    <definedName name="Asphalt_Prime_Coat" localSheetId="12">#REF!</definedName>
    <definedName name="Asphalt_Prime_Coat" localSheetId="13">#REF!</definedName>
    <definedName name="Asphalt_Prime_Coat" localSheetId="14">#REF!</definedName>
    <definedName name="Asphalt_Prime_Coat" localSheetId="15">#REF!</definedName>
    <definedName name="Asphalt_Prime_Coat" localSheetId="16">#REF!</definedName>
    <definedName name="Asphalt_Prime_Coat" localSheetId="17">#REF!</definedName>
    <definedName name="Asphalt_Prime_Coat" localSheetId="8">#REF!</definedName>
    <definedName name="Asphalt_Prime_Coat" localSheetId="7">#REF!</definedName>
    <definedName name="Asphalt_Prime_Coat" localSheetId="6">#REF!</definedName>
    <definedName name="Asphalt_Prime_Coat" localSheetId="20">#REF!</definedName>
    <definedName name="Asphalt_Prime_Coat" localSheetId="5">#REF!</definedName>
    <definedName name="Asphalt_Prime_Coat" localSheetId="21">#REF!</definedName>
    <definedName name="Asphalt_Prime_Coat" localSheetId="34">#REF!</definedName>
    <definedName name="Asphalt_Prime_Coat" localSheetId="35">#REF!</definedName>
    <definedName name="Asphalt_Prime_Coat" localSheetId="25">#REF!</definedName>
    <definedName name="Asphalt_Prime_Coat" localSheetId="27">#REF!</definedName>
    <definedName name="Asphalt_Prime_Coat" localSheetId="28">#REF!</definedName>
    <definedName name="Asphalt_Prime_Coat" localSheetId="29">#REF!</definedName>
    <definedName name="Asphalt_Prime_Coat" localSheetId="31">#REF!</definedName>
    <definedName name="Asphalt_Prime_Coat" localSheetId="32">#REF!</definedName>
    <definedName name="Asphalt_Prime_Coat" localSheetId="33">#REF!</definedName>
    <definedName name="Asphalt_Prime_Coat" localSheetId="24">#REF!</definedName>
    <definedName name="Asphalt_Prime_Coat" localSheetId="23">#REF!</definedName>
    <definedName name="Asphalt_Prime_Coat" localSheetId="36">#REF!</definedName>
    <definedName name="Asphalt_Prime_Coat" localSheetId="22">#REF!</definedName>
    <definedName name="Asphalt_Prime_Coat" localSheetId="26">#REF!</definedName>
    <definedName name="Asphalt_Prime_Coat" localSheetId="30">#REF!</definedName>
    <definedName name="Asphalt_Prime_Coat" localSheetId="41">#REF!</definedName>
    <definedName name="Asphalt_Prime_Coat" localSheetId="50">#REF!</definedName>
    <definedName name="Asphalt_Prime_Coat" localSheetId="51">#REF!</definedName>
    <definedName name="Asphalt_Prime_Coat" localSheetId="42">#REF!</definedName>
    <definedName name="Asphalt_Prime_Coat" localSheetId="43">#REF!</definedName>
    <definedName name="Asphalt_Prime_Coat" localSheetId="44">#REF!</definedName>
    <definedName name="Asphalt_Prime_Coat" localSheetId="45">#REF!</definedName>
    <definedName name="Asphalt_Prime_Coat" localSheetId="46">#REF!</definedName>
    <definedName name="Asphalt_Prime_Coat" localSheetId="47">#REF!</definedName>
    <definedName name="Asphalt_Prime_Coat" localSheetId="48">#REF!</definedName>
    <definedName name="Asphalt_Prime_Coat" localSheetId="49">#REF!</definedName>
    <definedName name="Asphalt_Prime_Coat" localSheetId="52">#REF!</definedName>
    <definedName name="Asphalt_Prime_Coat" localSheetId="40">#REF!</definedName>
    <definedName name="Asphalt_Prime_Coat" localSheetId="39">#REF!</definedName>
    <definedName name="Asphalt_Prime_Coat" localSheetId="38">#REF!</definedName>
    <definedName name="Asphalt_Prime_Coat" localSheetId="37">#REF!</definedName>
    <definedName name="Asphalt_Prime_Coat" localSheetId="57">#REF!</definedName>
    <definedName name="Asphalt_Prime_Coat" localSheetId="66">#REF!</definedName>
    <definedName name="Asphalt_Prime_Coat" localSheetId="67">#REF!</definedName>
    <definedName name="Asphalt_Prime_Coat" localSheetId="58">#REF!</definedName>
    <definedName name="Asphalt_Prime_Coat" localSheetId="59">#REF!</definedName>
    <definedName name="Asphalt_Prime_Coat" localSheetId="60">#REF!</definedName>
    <definedName name="Asphalt_Prime_Coat" localSheetId="61">#REF!</definedName>
    <definedName name="Asphalt_Prime_Coat" localSheetId="62">#REF!</definedName>
    <definedName name="Asphalt_Prime_Coat" localSheetId="63">#REF!</definedName>
    <definedName name="Asphalt_Prime_Coat" localSheetId="64">#REF!</definedName>
    <definedName name="Asphalt_Prime_Coat" localSheetId="65">#REF!</definedName>
    <definedName name="Asphalt_Prime_Coat" localSheetId="68">#REF!</definedName>
    <definedName name="Asphalt_Prime_Coat" localSheetId="56">#REF!</definedName>
    <definedName name="Asphalt_Prime_Coat" localSheetId="55">#REF!</definedName>
    <definedName name="Asphalt_Prime_Coat" localSheetId="54">#REF!</definedName>
    <definedName name="Asphalt_Prime_Coat" localSheetId="53">#REF!</definedName>
    <definedName name="Asphalt_Prime_Coat" localSheetId="85">#REF!</definedName>
    <definedName name="Asphalt_Prime_Coat" localSheetId="86">#REF!</definedName>
    <definedName name="Asphalt_Prime_Coat" localSheetId="2">#REF!</definedName>
    <definedName name="Asphalt_Prime_Coat">#REF!</definedName>
    <definedName name="Asphalt_Tack_Coat" localSheetId="3">#REF!</definedName>
    <definedName name="Asphalt_Tack_Coat" localSheetId="4">#REF!</definedName>
    <definedName name="Asphalt_Tack_Coat" localSheetId="18">#REF!</definedName>
    <definedName name="Asphalt_Tack_Coat" localSheetId="19">#REF!</definedName>
    <definedName name="Asphalt_Tack_Coat" localSheetId="9">#REF!</definedName>
    <definedName name="Asphalt_Tack_Coat" localSheetId="10">#REF!</definedName>
    <definedName name="Asphalt_Tack_Coat" localSheetId="11">#REF!</definedName>
    <definedName name="Asphalt_Tack_Coat" localSheetId="12">#REF!</definedName>
    <definedName name="Asphalt_Tack_Coat" localSheetId="13">#REF!</definedName>
    <definedName name="Asphalt_Tack_Coat" localSheetId="14">#REF!</definedName>
    <definedName name="Asphalt_Tack_Coat" localSheetId="15">#REF!</definedName>
    <definedName name="Asphalt_Tack_Coat" localSheetId="16">#REF!</definedName>
    <definedName name="Asphalt_Tack_Coat" localSheetId="17">#REF!</definedName>
    <definedName name="Asphalt_Tack_Coat" localSheetId="8">#REF!</definedName>
    <definedName name="Asphalt_Tack_Coat" localSheetId="7">#REF!</definedName>
    <definedName name="Asphalt_Tack_Coat" localSheetId="6">#REF!</definedName>
    <definedName name="Asphalt_Tack_Coat" localSheetId="20">#REF!</definedName>
    <definedName name="Asphalt_Tack_Coat" localSheetId="5">#REF!</definedName>
    <definedName name="Asphalt_Tack_Coat" localSheetId="21">#REF!</definedName>
    <definedName name="Asphalt_Tack_Coat" localSheetId="34">#REF!</definedName>
    <definedName name="Asphalt_Tack_Coat" localSheetId="35">#REF!</definedName>
    <definedName name="Asphalt_Tack_Coat" localSheetId="25">#REF!</definedName>
    <definedName name="Asphalt_Tack_Coat" localSheetId="27">#REF!</definedName>
    <definedName name="Asphalt_Tack_Coat" localSheetId="28">#REF!</definedName>
    <definedName name="Asphalt_Tack_Coat" localSheetId="29">#REF!</definedName>
    <definedName name="Asphalt_Tack_Coat" localSheetId="31">#REF!</definedName>
    <definedName name="Asphalt_Tack_Coat" localSheetId="32">#REF!</definedName>
    <definedName name="Asphalt_Tack_Coat" localSheetId="33">#REF!</definedName>
    <definedName name="Asphalt_Tack_Coat" localSheetId="24">#REF!</definedName>
    <definedName name="Asphalt_Tack_Coat" localSheetId="23">#REF!</definedName>
    <definedName name="Asphalt_Tack_Coat" localSheetId="36">#REF!</definedName>
    <definedName name="Asphalt_Tack_Coat" localSheetId="22">#REF!</definedName>
    <definedName name="Asphalt_Tack_Coat" localSheetId="26">#REF!</definedName>
    <definedName name="Asphalt_Tack_Coat" localSheetId="30">#REF!</definedName>
    <definedName name="Asphalt_Tack_Coat" localSheetId="85">#REF!</definedName>
    <definedName name="Asphalt_Tack_Coat" localSheetId="86">#REF!</definedName>
    <definedName name="Asphalt_Tack_Coat" localSheetId="2">#REF!</definedName>
    <definedName name="Asphalt_Tack_Coat">#REF!</definedName>
    <definedName name="AT" localSheetId="3">#REF!</definedName>
    <definedName name="AT" localSheetId="4">#REF!</definedName>
    <definedName name="AT" localSheetId="18">#REF!</definedName>
    <definedName name="AT" localSheetId="19">#REF!</definedName>
    <definedName name="AT" localSheetId="9">#REF!</definedName>
    <definedName name="AT" localSheetId="10">#REF!</definedName>
    <definedName name="AT" localSheetId="11">#REF!</definedName>
    <definedName name="AT" localSheetId="12">#REF!</definedName>
    <definedName name="AT" localSheetId="13">#REF!</definedName>
    <definedName name="AT" localSheetId="14">#REF!</definedName>
    <definedName name="AT" localSheetId="15">#REF!</definedName>
    <definedName name="AT" localSheetId="16">#REF!</definedName>
    <definedName name="AT" localSheetId="17">#REF!</definedName>
    <definedName name="AT" localSheetId="8">#REF!</definedName>
    <definedName name="AT" localSheetId="7">#REF!</definedName>
    <definedName name="AT" localSheetId="6">#REF!</definedName>
    <definedName name="AT" localSheetId="20">#REF!</definedName>
    <definedName name="AT" localSheetId="5">#REF!</definedName>
    <definedName name="AT" localSheetId="21">#REF!</definedName>
    <definedName name="AT" localSheetId="34">#REF!</definedName>
    <definedName name="AT" localSheetId="35">#REF!</definedName>
    <definedName name="AT" localSheetId="25">#REF!</definedName>
    <definedName name="AT" localSheetId="27">#REF!</definedName>
    <definedName name="AT" localSheetId="28">#REF!</definedName>
    <definedName name="AT" localSheetId="29">#REF!</definedName>
    <definedName name="AT" localSheetId="31">#REF!</definedName>
    <definedName name="AT" localSheetId="32">#REF!</definedName>
    <definedName name="AT" localSheetId="33">#REF!</definedName>
    <definedName name="AT" localSheetId="24">#REF!</definedName>
    <definedName name="AT" localSheetId="23">#REF!</definedName>
    <definedName name="AT" localSheetId="36">#REF!</definedName>
    <definedName name="AT" localSheetId="22">#REF!</definedName>
    <definedName name="AT" localSheetId="26">#REF!</definedName>
    <definedName name="AT" localSheetId="30">#REF!</definedName>
    <definedName name="AT" localSheetId="85">#REF!</definedName>
    <definedName name="AT" localSheetId="86">#REF!</definedName>
    <definedName name="AT" localSheetId="2">#REF!</definedName>
    <definedName name="AT">#REF!</definedName>
    <definedName name="b" localSheetId="3">#REF!</definedName>
    <definedName name="b" localSheetId="2">#REF!</definedName>
    <definedName name="b">#REF!</definedName>
    <definedName name="BARRIER_CURB">'[8]6'!$J$1445</definedName>
    <definedName name="BARRIER_CURB_AND_GUTTER">'[8]6'!$J$1433</definedName>
    <definedName name="Barrier_TypeI">'[8]6'!$J$1484</definedName>
    <definedName name="Barrier_TypeI_For">'[8]6'!$J$1504</definedName>
    <definedName name="Barrier_TypeII">'[8]6'!$J$1524</definedName>
    <definedName name="bb">'[9]10 ข้อมูลวัสดุ-ค่าดำเนิน'!$X$19</definedName>
    <definedName name="BBBB" localSheetId="3">#REF!</definedName>
    <definedName name="BBBB" localSheetId="4">#REF!</definedName>
    <definedName name="BBBB" localSheetId="38">#REF!</definedName>
    <definedName name="BBBB" localSheetId="86">#REF!</definedName>
    <definedName name="BBBB">#REF!</definedName>
    <definedName name="BEARING_PAD" localSheetId="3">#REF!</definedName>
    <definedName name="BEARING_PAD" localSheetId="18">#REF!</definedName>
    <definedName name="BEARING_PAD" localSheetId="19">#REF!</definedName>
    <definedName name="BEARING_PAD" localSheetId="9">#REF!</definedName>
    <definedName name="BEARING_PAD" localSheetId="10">#REF!</definedName>
    <definedName name="BEARING_PAD" localSheetId="11">#REF!</definedName>
    <definedName name="BEARING_PAD" localSheetId="12">#REF!</definedName>
    <definedName name="BEARING_PAD" localSheetId="13">#REF!</definedName>
    <definedName name="BEARING_PAD" localSheetId="14">#REF!</definedName>
    <definedName name="BEARING_PAD" localSheetId="15">#REF!</definedName>
    <definedName name="BEARING_PAD" localSheetId="16">#REF!</definedName>
    <definedName name="BEARING_PAD" localSheetId="17">#REF!</definedName>
    <definedName name="BEARING_PAD" localSheetId="8">#REF!</definedName>
    <definedName name="BEARING_PAD" localSheetId="7">#REF!</definedName>
    <definedName name="BEARING_PAD" localSheetId="6">#REF!</definedName>
    <definedName name="BEARING_PAD" localSheetId="20">#REF!</definedName>
    <definedName name="BEARING_PAD" localSheetId="5">#REF!</definedName>
    <definedName name="BEARING_PAD" localSheetId="21">#REF!</definedName>
    <definedName name="BEARING_PAD" localSheetId="34">#REF!</definedName>
    <definedName name="BEARING_PAD" localSheetId="35">#REF!</definedName>
    <definedName name="BEARING_PAD" localSheetId="25">#REF!</definedName>
    <definedName name="BEARING_PAD" localSheetId="27">#REF!</definedName>
    <definedName name="BEARING_PAD" localSheetId="28">#REF!</definedName>
    <definedName name="BEARING_PAD" localSheetId="29">#REF!</definedName>
    <definedName name="BEARING_PAD" localSheetId="31">#REF!</definedName>
    <definedName name="BEARING_PAD" localSheetId="32">#REF!</definedName>
    <definedName name="BEARING_PAD" localSheetId="33">#REF!</definedName>
    <definedName name="BEARING_PAD" localSheetId="24">#REF!</definedName>
    <definedName name="BEARING_PAD" localSheetId="23">#REF!</definedName>
    <definedName name="BEARING_PAD" localSheetId="36">#REF!</definedName>
    <definedName name="BEARING_PAD" localSheetId="22">#REF!</definedName>
    <definedName name="BEARING_PAD" localSheetId="26">#REF!</definedName>
    <definedName name="BEARING_PAD" localSheetId="30">#REF!</definedName>
    <definedName name="BEARING_PAD" localSheetId="41">#REF!</definedName>
    <definedName name="BEARING_PAD" localSheetId="50">#REF!</definedName>
    <definedName name="BEARING_PAD" localSheetId="51">#REF!</definedName>
    <definedName name="BEARING_PAD" localSheetId="42">#REF!</definedName>
    <definedName name="BEARING_PAD" localSheetId="43">#REF!</definedName>
    <definedName name="BEARING_PAD" localSheetId="44">#REF!</definedName>
    <definedName name="BEARING_PAD" localSheetId="45">#REF!</definedName>
    <definedName name="BEARING_PAD" localSheetId="46">#REF!</definedName>
    <definedName name="BEARING_PAD" localSheetId="47">#REF!</definedName>
    <definedName name="BEARING_PAD" localSheetId="48">#REF!</definedName>
    <definedName name="BEARING_PAD" localSheetId="49">#REF!</definedName>
    <definedName name="BEARING_PAD" localSheetId="52">#REF!</definedName>
    <definedName name="BEARING_PAD" localSheetId="40">#REF!</definedName>
    <definedName name="BEARING_PAD" localSheetId="39">#REF!</definedName>
    <definedName name="BEARING_PAD" localSheetId="38">#REF!</definedName>
    <definedName name="BEARING_PAD" localSheetId="37">#REF!</definedName>
    <definedName name="BEARING_PAD" localSheetId="57">#REF!</definedName>
    <definedName name="BEARING_PAD" localSheetId="66">#REF!</definedName>
    <definedName name="BEARING_PAD" localSheetId="67">#REF!</definedName>
    <definedName name="BEARING_PAD" localSheetId="58">#REF!</definedName>
    <definedName name="BEARING_PAD" localSheetId="59">#REF!</definedName>
    <definedName name="BEARING_PAD" localSheetId="60">#REF!</definedName>
    <definedName name="BEARING_PAD" localSheetId="61">#REF!</definedName>
    <definedName name="BEARING_PAD" localSheetId="62">#REF!</definedName>
    <definedName name="BEARING_PAD" localSheetId="63">#REF!</definedName>
    <definedName name="BEARING_PAD" localSheetId="64">#REF!</definedName>
    <definedName name="BEARING_PAD" localSheetId="65">#REF!</definedName>
    <definedName name="BEARING_PAD" localSheetId="68">#REF!</definedName>
    <definedName name="BEARING_PAD" localSheetId="56">#REF!</definedName>
    <definedName name="BEARING_PAD" localSheetId="55">#REF!</definedName>
    <definedName name="BEARING_PAD" localSheetId="54">#REF!</definedName>
    <definedName name="BEARING_PAD" localSheetId="53">#REF!</definedName>
    <definedName name="BEARING_PAD" localSheetId="85">#REF!</definedName>
    <definedName name="BEARING_PAD" localSheetId="86">#REF!</definedName>
    <definedName name="BEARING_PAD" localSheetId="2">#REF!</definedName>
    <definedName name="BEARING_PAD">#REF!</definedName>
    <definedName name="BEARING_PADไม่รวมขนส่ง" localSheetId="3">#REF!</definedName>
    <definedName name="BEARING_PADไม่รวมขนส่ง" localSheetId="18">#REF!</definedName>
    <definedName name="BEARING_PADไม่รวมขนส่ง" localSheetId="19">#REF!</definedName>
    <definedName name="BEARING_PADไม่รวมขนส่ง" localSheetId="9">#REF!</definedName>
    <definedName name="BEARING_PADไม่รวมขนส่ง" localSheetId="10">#REF!</definedName>
    <definedName name="BEARING_PADไม่รวมขนส่ง" localSheetId="11">#REF!</definedName>
    <definedName name="BEARING_PADไม่รวมขนส่ง" localSheetId="12">#REF!</definedName>
    <definedName name="BEARING_PADไม่รวมขนส่ง" localSheetId="13">#REF!</definedName>
    <definedName name="BEARING_PADไม่รวมขนส่ง" localSheetId="14">#REF!</definedName>
    <definedName name="BEARING_PADไม่รวมขนส่ง" localSheetId="15">#REF!</definedName>
    <definedName name="BEARING_PADไม่รวมขนส่ง" localSheetId="16">#REF!</definedName>
    <definedName name="BEARING_PADไม่รวมขนส่ง" localSheetId="17">#REF!</definedName>
    <definedName name="BEARING_PADไม่รวมขนส่ง" localSheetId="8">#REF!</definedName>
    <definedName name="BEARING_PADไม่รวมขนส่ง" localSheetId="7">#REF!</definedName>
    <definedName name="BEARING_PADไม่รวมขนส่ง" localSheetId="6">#REF!</definedName>
    <definedName name="BEARING_PADไม่รวมขนส่ง" localSheetId="20">#REF!</definedName>
    <definedName name="BEARING_PADไม่รวมขนส่ง" localSheetId="5">#REF!</definedName>
    <definedName name="BEARING_PADไม่รวมขนส่ง" localSheetId="21">#REF!</definedName>
    <definedName name="BEARING_PADไม่รวมขนส่ง" localSheetId="34">#REF!</definedName>
    <definedName name="BEARING_PADไม่รวมขนส่ง" localSheetId="35">#REF!</definedName>
    <definedName name="BEARING_PADไม่รวมขนส่ง" localSheetId="25">#REF!</definedName>
    <definedName name="BEARING_PADไม่รวมขนส่ง" localSheetId="27">#REF!</definedName>
    <definedName name="BEARING_PADไม่รวมขนส่ง" localSheetId="28">#REF!</definedName>
    <definedName name="BEARING_PADไม่รวมขนส่ง" localSheetId="29">#REF!</definedName>
    <definedName name="BEARING_PADไม่รวมขนส่ง" localSheetId="31">#REF!</definedName>
    <definedName name="BEARING_PADไม่รวมขนส่ง" localSheetId="32">#REF!</definedName>
    <definedName name="BEARING_PADไม่รวมขนส่ง" localSheetId="33">#REF!</definedName>
    <definedName name="BEARING_PADไม่รวมขนส่ง" localSheetId="24">#REF!</definedName>
    <definedName name="BEARING_PADไม่รวมขนส่ง" localSheetId="23">#REF!</definedName>
    <definedName name="BEARING_PADไม่รวมขนส่ง" localSheetId="36">#REF!</definedName>
    <definedName name="BEARING_PADไม่รวมขนส่ง" localSheetId="22">#REF!</definedName>
    <definedName name="BEARING_PADไม่รวมขนส่ง" localSheetId="26">#REF!</definedName>
    <definedName name="BEARING_PADไม่รวมขนส่ง" localSheetId="30">#REF!</definedName>
    <definedName name="BEARING_PADไม่รวมขนส่ง" localSheetId="85">#REF!</definedName>
    <definedName name="BEARING_PADไม่รวมขนส่ง" localSheetId="86">#REF!</definedName>
    <definedName name="BEARING_PADไม่รวมขนส่ง" localSheetId="2">#REF!</definedName>
    <definedName name="BEARING_PADไม่รวมขนส่ง">#REF!</definedName>
    <definedName name="Bi_Direction">'[8]6'!$J$2710</definedName>
    <definedName name="BINDER_COURSE">'[8]4'!$J$75</definedName>
    <definedName name="BLOCK_SODDING">'[8]6'!$J$1721</definedName>
    <definedName name="Bolt_25" localSheetId="3">#REF!</definedName>
    <definedName name="Bolt_25" localSheetId="4">#REF!</definedName>
    <definedName name="Bolt_25" localSheetId="18">#REF!</definedName>
    <definedName name="Bolt_25" localSheetId="19">#REF!</definedName>
    <definedName name="Bolt_25" localSheetId="9">#REF!</definedName>
    <definedName name="Bolt_25" localSheetId="10">#REF!</definedName>
    <definedName name="Bolt_25" localSheetId="11">#REF!</definedName>
    <definedName name="Bolt_25" localSheetId="12">#REF!</definedName>
    <definedName name="Bolt_25" localSheetId="13">#REF!</definedName>
    <definedName name="Bolt_25" localSheetId="14">#REF!</definedName>
    <definedName name="Bolt_25" localSheetId="15">#REF!</definedName>
    <definedName name="Bolt_25" localSheetId="16">#REF!</definedName>
    <definedName name="Bolt_25" localSheetId="17">#REF!</definedName>
    <definedName name="Bolt_25" localSheetId="8">#REF!</definedName>
    <definedName name="Bolt_25" localSheetId="7">#REF!</definedName>
    <definedName name="Bolt_25" localSheetId="6">#REF!</definedName>
    <definedName name="Bolt_25" localSheetId="20">#REF!</definedName>
    <definedName name="Bolt_25" localSheetId="5">#REF!</definedName>
    <definedName name="Bolt_25" localSheetId="21">#REF!</definedName>
    <definedName name="Bolt_25" localSheetId="34">#REF!</definedName>
    <definedName name="Bolt_25" localSheetId="35">#REF!</definedName>
    <definedName name="Bolt_25" localSheetId="25">#REF!</definedName>
    <definedName name="Bolt_25" localSheetId="27">#REF!</definedName>
    <definedName name="Bolt_25" localSheetId="28">#REF!</definedName>
    <definedName name="Bolt_25" localSheetId="29">#REF!</definedName>
    <definedName name="Bolt_25" localSheetId="31">#REF!</definedName>
    <definedName name="Bolt_25" localSheetId="32">#REF!</definedName>
    <definedName name="Bolt_25" localSheetId="33">#REF!</definedName>
    <definedName name="Bolt_25" localSheetId="24">#REF!</definedName>
    <definedName name="Bolt_25" localSheetId="23">#REF!</definedName>
    <definedName name="Bolt_25" localSheetId="36">#REF!</definedName>
    <definedName name="Bolt_25" localSheetId="22">#REF!</definedName>
    <definedName name="Bolt_25" localSheetId="26">#REF!</definedName>
    <definedName name="Bolt_25" localSheetId="30">#REF!</definedName>
    <definedName name="Bolt_25" localSheetId="41">#REF!</definedName>
    <definedName name="Bolt_25" localSheetId="50">#REF!</definedName>
    <definedName name="Bolt_25" localSheetId="51">#REF!</definedName>
    <definedName name="Bolt_25" localSheetId="42">#REF!</definedName>
    <definedName name="Bolt_25" localSheetId="43">#REF!</definedName>
    <definedName name="Bolt_25" localSheetId="44">#REF!</definedName>
    <definedName name="Bolt_25" localSheetId="45">#REF!</definedName>
    <definedName name="Bolt_25" localSheetId="46">#REF!</definedName>
    <definedName name="Bolt_25" localSheetId="47">#REF!</definedName>
    <definedName name="Bolt_25" localSheetId="48">#REF!</definedName>
    <definedName name="Bolt_25" localSheetId="49">#REF!</definedName>
    <definedName name="Bolt_25" localSheetId="52">#REF!</definedName>
    <definedName name="Bolt_25" localSheetId="40">#REF!</definedName>
    <definedName name="Bolt_25" localSheetId="39">#REF!</definedName>
    <definedName name="Bolt_25" localSheetId="38">#REF!</definedName>
    <definedName name="Bolt_25" localSheetId="37">#REF!</definedName>
    <definedName name="Bolt_25" localSheetId="57">#REF!</definedName>
    <definedName name="Bolt_25" localSheetId="66">#REF!</definedName>
    <definedName name="Bolt_25" localSheetId="67">#REF!</definedName>
    <definedName name="Bolt_25" localSheetId="58">#REF!</definedName>
    <definedName name="Bolt_25" localSheetId="59">#REF!</definedName>
    <definedName name="Bolt_25" localSheetId="60">#REF!</definedName>
    <definedName name="Bolt_25" localSheetId="61">#REF!</definedName>
    <definedName name="Bolt_25" localSheetId="62">#REF!</definedName>
    <definedName name="Bolt_25" localSheetId="63">#REF!</definedName>
    <definedName name="Bolt_25" localSheetId="64">#REF!</definedName>
    <definedName name="Bolt_25" localSheetId="65">#REF!</definedName>
    <definedName name="Bolt_25" localSheetId="68">#REF!</definedName>
    <definedName name="Bolt_25" localSheetId="56">#REF!</definedName>
    <definedName name="Bolt_25" localSheetId="55">#REF!</definedName>
    <definedName name="Bolt_25" localSheetId="54">#REF!</definedName>
    <definedName name="Bolt_25" localSheetId="53">#REF!</definedName>
    <definedName name="Bolt_25" localSheetId="85">#REF!</definedName>
    <definedName name="Bolt_25" localSheetId="86">#REF!</definedName>
    <definedName name="Bolt_25" localSheetId="2">#REF!</definedName>
    <definedName name="Bolt_25">#REF!</definedName>
    <definedName name="BOQ" localSheetId="4">#REF!</definedName>
    <definedName name="BOQ">#REF!</definedName>
    <definedName name="Box_D" localSheetId="3">#REF!</definedName>
    <definedName name="Box_D" localSheetId="4">#REF!</definedName>
    <definedName name="Box_D" localSheetId="18">#REF!</definedName>
    <definedName name="Box_D" localSheetId="19">#REF!</definedName>
    <definedName name="Box_D" localSheetId="9">#REF!</definedName>
    <definedName name="Box_D" localSheetId="10">#REF!</definedName>
    <definedName name="Box_D" localSheetId="11">#REF!</definedName>
    <definedName name="Box_D" localSheetId="12">#REF!</definedName>
    <definedName name="Box_D" localSheetId="13">#REF!</definedName>
    <definedName name="Box_D" localSheetId="14">#REF!</definedName>
    <definedName name="Box_D" localSheetId="15">#REF!</definedName>
    <definedName name="Box_D" localSheetId="16">#REF!</definedName>
    <definedName name="Box_D" localSheetId="17">#REF!</definedName>
    <definedName name="Box_D" localSheetId="8">#REF!</definedName>
    <definedName name="Box_D" localSheetId="7">#REF!</definedName>
    <definedName name="Box_D" localSheetId="6">#REF!</definedName>
    <definedName name="Box_D" localSheetId="20">#REF!</definedName>
    <definedName name="Box_D" localSheetId="5">#REF!</definedName>
    <definedName name="Box_D" localSheetId="21">#REF!</definedName>
    <definedName name="Box_D" localSheetId="34">#REF!</definedName>
    <definedName name="Box_D" localSheetId="35">#REF!</definedName>
    <definedName name="Box_D" localSheetId="25">#REF!</definedName>
    <definedName name="Box_D" localSheetId="27">#REF!</definedName>
    <definedName name="Box_D" localSheetId="28">#REF!</definedName>
    <definedName name="Box_D" localSheetId="29">#REF!</definedName>
    <definedName name="Box_D" localSheetId="31">#REF!</definedName>
    <definedName name="Box_D" localSheetId="32">#REF!</definedName>
    <definedName name="Box_D" localSheetId="33">#REF!</definedName>
    <definedName name="Box_D" localSheetId="24">#REF!</definedName>
    <definedName name="Box_D" localSheetId="23">#REF!</definedName>
    <definedName name="Box_D" localSheetId="36">#REF!</definedName>
    <definedName name="Box_D" localSheetId="22">#REF!</definedName>
    <definedName name="Box_D" localSheetId="26">#REF!</definedName>
    <definedName name="Box_D" localSheetId="30">#REF!</definedName>
    <definedName name="Box_D" localSheetId="85">#REF!</definedName>
    <definedName name="Box_D" localSheetId="86">#REF!</definedName>
    <definedName name="Box_D" localSheetId="2">#REF!</definedName>
    <definedName name="Box_D">#REF!</definedName>
    <definedName name="Box_S" localSheetId="3">#REF!</definedName>
    <definedName name="Box_S" localSheetId="18">#REF!</definedName>
    <definedName name="Box_S" localSheetId="19">#REF!</definedName>
    <definedName name="Box_S" localSheetId="9">#REF!</definedName>
    <definedName name="Box_S" localSheetId="10">#REF!</definedName>
    <definedName name="Box_S" localSheetId="11">#REF!</definedName>
    <definedName name="Box_S" localSheetId="12">#REF!</definedName>
    <definedName name="Box_S" localSheetId="13">#REF!</definedName>
    <definedName name="Box_S" localSheetId="14">#REF!</definedName>
    <definedName name="Box_S" localSheetId="15">#REF!</definedName>
    <definedName name="Box_S" localSheetId="16">#REF!</definedName>
    <definedName name="Box_S" localSheetId="17">#REF!</definedName>
    <definedName name="Box_S" localSheetId="8">#REF!</definedName>
    <definedName name="Box_S" localSheetId="7">#REF!</definedName>
    <definedName name="Box_S" localSheetId="6">#REF!</definedName>
    <definedName name="Box_S" localSheetId="20">#REF!</definedName>
    <definedName name="Box_S" localSheetId="5">#REF!</definedName>
    <definedName name="Box_S" localSheetId="21">#REF!</definedName>
    <definedName name="Box_S" localSheetId="34">#REF!</definedName>
    <definedName name="Box_S" localSheetId="35">#REF!</definedName>
    <definedName name="Box_S" localSheetId="25">#REF!</definedName>
    <definedName name="Box_S" localSheetId="27">#REF!</definedName>
    <definedName name="Box_S" localSheetId="28">#REF!</definedName>
    <definedName name="Box_S" localSheetId="29">#REF!</definedName>
    <definedName name="Box_S" localSheetId="31">#REF!</definedName>
    <definedName name="Box_S" localSheetId="32">#REF!</definedName>
    <definedName name="Box_S" localSheetId="33">#REF!</definedName>
    <definedName name="Box_S" localSheetId="24">#REF!</definedName>
    <definedName name="Box_S" localSheetId="23">#REF!</definedName>
    <definedName name="Box_S" localSheetId="36">#REF!</definedName>
    <definedName name="Box_S" localSheetId="22">#REF!</definedName>
    <definedName name="Box_S" localSheetId="26">#REF!</definedName>
    <definedName name="Box_S" localSheetId="30">#REF!</definedName>
    <definedName name="Box_S" localSheetId="85">#REF!</definedName>
    <definedName name="Box_S" localSheetId="86">#REF!</definedName>
    <definedName name="Box_S" localSheetId="2">#REF!</definedName>
    <definedName name="Box_S">#REF!</definedName>
    <definedName name="Box_T" localSheetId="3">#REF!</definedName>
    <definedName name="Box_T" localSheetId="2">#REF!</definedName>
    <definedName name="Box_T">#REF!</definedName>
    <definedName name="Box_W" localSheetId="3">#REF!</definedName>
    <definedName name="Box_W" localSheetId="2">#REF!</definedName>
    <definedName name="Box_W">#REF!</definedName>
    <definedName name="Bridge_Drainage">'[8]6'!$J$3019</definedName>
    <definedName name="Bus_StopA">'[8]6'!$J$2778</definedName>
    <definedName name="Bus_StopB">'[8]6'!$J$2800</definedName>
    <definedName name="Bus_StopC">'[8]6'!$J$2824</definedName>
    <definedName name="Bus_StopD">'[8]6'!$J$2845</definedName>
    <definedName name="Bus_StopE">'[8]6'!$J$2869</definedName>
    <definedName name="Bus_StopF">'[8]6'!$J$2899</definedName>
    <definedName name="BZ" localSheetId="3">#REF!</definedName>
    <definedName name="BZ" localSheetId="4">#REF!</definedName>
    <definedName name="BZ" localSheetId="18">#REF!</definedName>
    <definedName name="BZ" localSheetId="19">#REF!</definedName>
    <definedName name="BZ" localSheetId="9">#REF!</definedName>
    <definedName name="BZ" localSheetId="10">#REF!</definedName>
    <definedName name="BZ" localSheetId="11">#REF!</definedName>
    <definedName name="BZ" localSheetId="12">#REF!</definedName>
    <definedName name="BZ" localSheetId="13">#REF!</definedName>
    <definedName name="BZ" localSheetId="14">#REF!</definedName>
    <definedName name="BZ" localSheetId="15">#REF!</definedName>
    <definedName name="BZ" localSheetId="16">#REF!</definedName>
    <definedName name="BZ" localSheetId="17">#REF!</definedName>
    <definedName name="BZ" localSheetId="8">#REF!</definedName>
    <definedName name="BZ" localSheetId="7">#REF!</definedName>
    <definedName name="BZ" localSheetId="6">#REF!</definedName>
    <definedName name="BZ" localSheetId="20">#REF!</definedName>
    <definedName name="BZ" localSheetId="5">#REF!</definedName>
    <definedName name="BZ" localSheetId="21">#REF!</definedName>
    <definedName name="BZ" localSheetId="34">#REF!</definedName>
    <definedName name="BZ" localSheetId="35">#REF!</definedName>
    <definedName name="BZ" localSheetId="25">#REF!</definedName>
    <definedName name="BZ" localSheetId="27">#REF!</definedName>
    <definedName name="BZ" localSheetId="28">#REF!</definedName>
    <definedName name="BZ" localSheetId="29">#REF!</definedName>
    <definedName name="BZ" localSheetId="31">#REF!</definedName>
    <definedName name="BZ" localSheetId="32">#REF!</definedName>
    <definedName name="BZ" localSheetId="33">#REF!</definedName>
    <definedName name="BZ" localSheetId="24">#REF!</definedName>
    <definedName name="BZ" localSheetId="23">#REF!</definedName>
    <definedName name="BZ" localSheetId="36">#REF!</definedName>
    <definedName name="BZ" localSheetId="22">#REF!</definedName>
    <definedName name="BZ" localSheetId="26">#REF!</definedName>
    <definedName name="BZ" localSheetId="30">#REF!</definedName>
    <definedName name="BZ" localSheetId="41">#REF!</definedName>
    <definedName name="BZ" localSheetId="50">#REF!</definedName>
    <definedName name="BZ" localSheetId="5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49">#REF!</definedName>
    <definedName name="BZ" localSheetId="52">#REF!</definedName>
    <definedName name="BZ" localSheetId="40">#REF!</definedName>
    <definedName name="BZ" localSheetId="39">#REF!</definedName>
    <definedName name="BZ" localSheetId="38">#REF!</definedName>
    <definedName name="BZ" localSheetId="37">#REF!</definedName>
    <definedName name="BZ" localSheetId="57">#REF!</definedName>
    <definedName name="BZ" localSheetId="66">#REF!</definedName>
    <definedName name="BZ" localSheetId="67">#REF!</definedName>
    <definedName name="BZ" localSheetId="58">#REF!</definedName>
    <definedName name="BZ" localSheetId="59">#REF!</definedName>
    <definedName name="BZ" localSheetId="60">#REF!</definedName>
    <definedName name="BZ" localSheetId="61">#REF!</definedName>
    <definedName name="BZ" localSheetId="62">#REF!</definedName>
    <definedName name="BZ" localSheetId="63">#REF!</definedName>
    <definedName name="BZ" localSheetId="64">#REF!</definedName>
    <definedName name="BZ" localSheetId="65">#REF!</definedName>
    <definedName name="BZ" localSheetId="68">#REF!</definedName>
    <definedName name="BZ" localSheetId="56">#REF!</definedName>
    <definedName name="BZ" localSheetId="55">#REF!</definedName>
    <definedName name="BZ" localSheetId="54">#REF!</definedName>
    <definedName name="BZ" localSheetId="53">#REF!</definedName>
    <definedName name="BZ" localSheetId="85">#REF!</definedName>
    <definedName name="BZ" localSheetId="86">#REF!</definedName>
    <definedName name="BZ" localSheetId="2">#REF!</definedName>
    <definedName name="BZ">#REF!</definedName>
    <definedName name="CATCH_BASIN">'[8]6'!$J$777</definedName>
    <definedName name="CCCCC" localSheetId="3">#REF!</definedName>
    <definedName name="CCCCC" localSheetId="4">#REF!</definedName>
    <definedName name="CCCCC" localSheetId="38">#REF!</definedName>
    <definedName name="CCCCC" localSheetId="86">#REF!</definedName>
    <definedName name="CCCCC">#REF!</definedName>
    <definedName name="CementT1" localSheetId="3">#REF!</definedName>
    <definedName name="CementT1" localSheetId="18">#REF!</definedName>
    <definedName name="CementT1" localSheetId="19">#REF!</definedName>
    <definedName name="CementT1" localSheetId="9">#REF!</definedName>
    <definedName name="CementT1" localSheetId="10">#REF!</definedName>
    <definedName name="CementT1" localSheetId="11">#REF!</definedName>
    <definedName name="CementT1" localSheetId="12">#REF!</definedName>
    <definedName name="CementT1" localSheetId="13">#REF!</definedName>
    <definedName name="CementT1" localSheetId="14">#REF!</definedName>
    <definedName name="CementT1" localSheetId="15">#REF!</definedName>
    <definedName name="CementT1" localSheetId="16">#REF!</definedName>
    <definedName name="CementT1" localSheetId="17">#REF!</definedName>
    <definedName name="CementT1" localSheetId="8">#REF!</definedName>
    <definedName name="CementT1" localSheetId="7">#REF!</definedName>
    <definedName name="CementT1" localSheetId="6">#REF!</definedName>
    <definedName name="CementT1" localSheetId="20">#REF!</definedName>
    <definedName name="CementT1" localSheetId="5">#REF!</definedName>
    <definedName name="CementT1" localSheetId="21">#REF!</definedName>
    <definedName name="CementT1" localSheetId="34">#REF!</definedName>
    <definedName name="CementT1" localSheetId="35">#REF!</definedName>
    <definedName name="CementT1" localSheetId="25">#REF!</definedName>
    <definedName name="CementT1" localSheetId="27">#REF!</definedName>
    <definedName name="CementT1" localSheetId="28">#REF!</definedName>
    <definedName name="CementT1" localSheetId="29">#REF!</definedName>
    <definedName name="CementT1" localSheetId="31">#REF!</definedName>
    <definedName name="CementT1" localSheetId="32">#REF!</definedName>
    <definedName name="CementT1" localSheetId="33">#REF!</definedName>
    <definedName name="CementT1" localSheetId="24">#REF!</definedName>
    <definedName name="CementT1" localSheetId="23">#REF!</definedName>
    <definedName name="CementT1" localSheetId="36">#REF!</definedName>
    <definedName name="CementT1" localSheetId="22">#REF!</definedName>
    <definedName name="CementT1" localSheetId="26">#REF!</definedName>
    <definedName name="CementT1" localSheetId="30">#REF!</definedName>
    <definedName name="CementT1" localSheetId="41">#REF!</definedName>
    <definedName name="CementT1" localSheetId="50">#REF!</definedName>
    <definedName name="CementT1" localSheetId="51">#REF!</definedName>
    <definedName name="CementT1" localSheetId="42">#REF!</definedName>
    <definedName name="CementT1" localSheetId="43">#REF!</definedName>
    <definedName name="CementT1" localSheetId="44">#REF!</definedName>
    <definedName name="CementT1" localSheetId="45">#REF!</definedName>
    <definedName name="CementT1" localSheetId="46">#REF!</definedName>
    <definedName name="CementT1" localSheetId="47">#REF!</definedName>
    <definedName name="CementT1" localSheetId="48">#REF!</definedName>
    <definedName name="CementT1" localSheetId="49">#REF!</definedName>
    <definedName name="CementT1" localSheetId="52">#REF!</definedName>
    <definedName name="CementT1" localSheetId="40">#REF!</definedName>
    <definedName name="CementT1" localSheetId="39">#REF!</definedName>
    <definedName name="CementT1" localSheetId="38">#REF!</definedName>
    <definedName name="CementT1" localSheetId="37">#REF!</definedName>
    <definedName name="CementT1" localSheetId="57">#REF!</definedName>
    <definedName name="CementT1" localSheetId="66">#REF!</definedName>
    <definedName name="CementT1" localSheetId="67">#REF!</definedName>
    <definedName name="CementT1" localSheetId="58">#REF!</definedName>
    <definedName name="CementT1" localSheetId="59">#REF!</definedName>
    <definedName name="CementT1" localSheetId="60">#REF!</definedName>
    <definedName name="CementT1" localSheetId="61">#REF!</definedName>
    <definedName name="CementT1" localSheetId="62">#REF!</definedName>
    <definedName name="CementT1" localSheetId="63">#REF!</definedName>
    <definedName name="CementT1" localSheetId="64">#REF!</definedName>
    <definedName name="CementT1" localSheetId="65">#REF!</definedName>
    <definedName name="CementT1" localSheetId="68">#REF!</definedName>
    <definedName name="CementT1" localSheetId="56">#REF!</definedName>
    <definedName name="CementT1" localSheetId="55">#REF!</definedName>
    <definedName name="CementT1" localSheetId="54">#REF!</definedName>
    <definedName name="CementT1" localSheetId="53">#REF!</definedName>
    <definedName name="CementT1" localSheetId="85">#REF!</definedName>
    <definedName name="CementT1" localSheetId="86">#REF!</definedName>
    <definedName name="CementT1" localSheetId="2">#REF!</definedName>
    <definedName name="CementT1">#REF!</definedName>
    <definedName name="CementT1ไม่รวมขนส่ง" localSheetId="3">#REF!</definedName>
    <definedName name="CementT1ไม่รวมขนส่ง" localSheetId="18">#REF!</definedName>
    <definedName name="CementT1ไม่รวมขนส่ง" localSheetId="19">#REF!</definedName>
    <definedName name="CementT1ไม่รวมขนส่ง" localSheetId="9">#REF!</definedName>
    <definedName name="CementT1ไม่รวมขนส่ง" localSheetId="10">#REF!</definedName>
    <definedName name="CementT1ไม่รวมขนส่ง" localSheetId="11">#REF!</definedName>
    <definedName name="CementT1ไม่รวมขนส่ง" localSheetId="12">#REF!</definedName>
    <definedName name="CementT1ไม่รวมขนส่ง" localSheetId="13">#REF!</definedName>
    <definedName name="CementT1ไม่รวมขนส่ง" localSheetId="14">#REF!</definedName>
    <definedName name="CementT1ไม่รวมขนส่ง" localSheetId="15">#REF!</definedName>
    <definedName name="CementT1ไม่รวมขนส่ง" localSheetId="16">#REF!</definedName>
    <definedName name="CementT1ไม่รวมขนส่ง" localSheetId="17">#REF!</definedName>
    <definedName name="CementT1ไม่รวมขนส่ง" localSheetId="8">#REF!</definedName>
    <definedName name="CementT1ไม่รวมขนส่ง" localSheetId="7">#REF!</definedName>
    <definedName name="CementT1ไม่รวมขนส่ง" localSheetId="6">#REF!</definedName>
    <definedName name="CementT1ไม่รวมขนส่ง" localSheetId="20">#REF!</definedName>
    <definedName name="CementT1ไม่รวมขนส่ง" localSheetId="5">#REF!</definedName>
    <definedName name="CementT1ไม่รวมขนส่ง" localSheetId="21">#REF!</definedName>
    <definedName name="CementT1ไม่รวมขนส่ง" localSheetId="34">#REF!</definedName>
    <definedName name="CementT1ไม่รวมขนส่ง" localSheetId="35">#REF!</definedName>
    <definedName name="CementT1ไม่รวมขนส่ง" localSheetId="25">#REF!</definedName>
    <definedName name="CementT1ไม่รวมขนส่ง" localSheetId="27">#REF!</definedName>
    <definedName name="CementT1ไม่รวมขนส่ง" localSheetId="28">#REF!</definedName>
    <definedName name="CementT1ไม่รวมขนส่ง" localSheetId="29">#REF!</definedName>
    <definedName name="CementT1ไม่รวมขนส่ง" localSheetId="31">#REF!</definedName>
    <definedName name="CementT1ไม่รวมขนส่ง" localSheetId="32">#REF!</definedName>
    <definedName name="CementT1ไม่รวมขนส่ง" localSheetId="33">#REF!</definedName>
    <definedName name="CementT1ไม่รวมขนส่ง" localSheetId="24">#REF!</definedName>
    <definedName name="CementT1ไม่รวมขนส่ง" localSheetId="23">#REF!</definedName>
    <definedName name="CementT1ไม่รวมขนส่ง" localSheetId="36">#REF!</definedName>
    <definedName name="CementT1ไม่รวมขนส่ง" localSheetId="22">#REF!</definedName>
    <definedName name="CementT1ไม่รวมขนส่ง" localSheetId="26">#REF!</definedName>
    <definedName name="CementT1ไม่รวมขนส่ง" localSheetId="30">#REF!</definedName>
    <definedName name="CementT1ไม่รวมขนส่ง" localSheetId="85">#REF!</definedName>
    <definedName name="CementT1ไม่รวมขนส่ง" localSheetId="86">#REF!</definedName>
    <definedName name="CementT1ไม่รวมขนส่ง" localSheetId="2">#REF!</definedName>
    <definedName name="CementT1ไม่รวมขนส่ง">#REF!</definedName>
    <definedName name="CementT3" localSheetId="3">#REF!</definedName>
    <definedName name="CementT3" localSheetId="18">#REF!</definedName>
    <definedName name="CementT3" localSheetId="19">#REF!</definedName>
    <definedName name="CementT3" localSheetId="9">#REF!</definedName>
    <definedName name="CementT3" localSheetId="10">#REF!</definedName>
    <definedName name="CementT3" localSheetId="11">#REF!</definedName>
    <definedName name="CementT3" localSheetId="12">#REF!</definedName>
    <definedName name="CementT3" localSheetId="13">#REF!</definedName>
    <definedName name="CementT3" localSheetId="14">#REF!</definedName>
    <definedName name="CementT3" localSheetId="15">#REF!</definedName>
    <definedName name="CementT3" localSheetId="16">#REF!</definedName>
    <definedName name="CementT3" localSheetId="17">#REF!</definedName>
    <definedName name="CementT3" localSheetId="8">#REF!</definedName>
    <definedName name="CementT3" localSheetId="7">#REF!</definedName>
    <definedName name="CementT3" localSheetId="6">#REF!</definedName>
    <definedName name="CementT3" localSheetId="20">#REF!</definedName>
    <definedName name="CementT3" localSheetId="5">#REF!</definedName>
    <definedName name="CementT3" localSheetId="21">#REF!</definedName>
    <definedName name="CementT3" localSheetId="34">#REF!</definedName>
    <definedName name="CementT3" localSheetId="35">#REF!</definedName>
    <definedName name="CementT3" localSheetId="25">#REF!</definedName>
    <definedName name="CementT3" localSheetId="27">#REF!</definedName>
    <definedName name="CementT3" localSheetId="28">#REF!</definedName>
    <definedName name="CementT3" localSheetId="29">#REF!</definedName>
    <definedName name="CementT3" localSheetId="31">#REF!</definedName>
    <definedName name="CementT3" localSheetId="32">#REF!</definedName>
    <definedName name="CementT3" localSheetId="33">#REF!</definedName>
    <definedName name="CementT3" localSheetId="24">#REF!</definedName>
    <definedName name="CementT3" localSheetId="23">#REF!</definedName>
    <definedName name="CementT3" localSheetId="36">#REF!</definedName>
    <definedName name="CementT3" localSheetId="22">#REF!</definedName>
    <definedName name="CementT3" localSheetId="26">#REF!</definedName>
    <definedName name="CementT3" localSheetId="30">#REF!</definedName>
    <definedName name="CementT3" localSheetId="85">#REF!</definedName>
    <definedName name="CementT3" localSheetId="86">#REF!</definedName>
    <definedName name="CementT3" localSheetId="2">#REF!</definedName>
    <definedName name="CementT3">#REF!</definedName>
    <definedName name="CementT3ไม่รวมขนส่ง" localSheetId="3">#REF!</definedName>
    <definedName name="CementT3ไม่รวมขนส่ง" localSheetId="2">#REF!</definedName>
    <definedName name="CementT3ไม่รวมขนส่ง">#REF!</definedName>
    <definedName name="CementT5" localSheetId="3">#REF!</definedName>
    <definedName name="CementT5" localSheetId="2">#REF!</definedName>
    <definedName name="CementT5">#REF!</definedName>
    <definedName name="CementT5ไม่รวมขนส่ง" localSheetId="3">#REF!</definedName>
    <definedName name="CementT5ไม่รวมขนส่ง" localSheetId="2">#REF!</definedName>
    <definedName name="CementT5ไม่รวมขนส่ง">#REF!</definedName>
    <definedName name="Chatter_Bar_Bi">'[8]6'!$J$2721</definedName>
    <definedName name="Chatter_Bar_Uni">'[8]6'!$J$2716</definedName>
    <definedName name="CLAY">'[8]6'!$J$1745</definedName>
    <definedName name="con" localSheetId="3">#REF!</definedName>
    <definedName name="con" localSheetId="4">#REF!</definedName>
    <definedName name="con" localSheetId="18">#REF!</definedName>
    <definedName name="con" localSheetId="19">#REF!</definedName>
    <definedName name="con" localSheetId="9">#REF!</definedName>
    <definedName name="con" localSheetId="10">#REF!</definedName>
    <definedName name="con" localSheetId="11">#REF!</definedName>
    <definedName name="con" localSheetId="12">#REF!</definedName>
    <definedName name="con" localSheetId="13">#REF!</definedName>
    <definedName name="con" localSheetId="14">#REF!</definedName>
    <definedName name="con" localSheetId="15">#REF!</definedName>
    <definedName name="con" localSheetId="16">#REF!</definedName>
    <definedName name="con" localSheetId="17">#REF!</definedName>
    <definedName name="con" localSheetId="8">#REF!</definedName>
    <definedName name="con" localSheetId="7">#REF!</definedName>
    <definedName name="con" localSheetId="6">#REF!</definedName>
    <definedName name="con" localSheetId="20">#REF!</definedName>
    <definedName name="con" localSheetId="5">#REF!</definedName>
    <definedName name="con" localSheetId="21">#REF!</definedName>
    <definedName name="con" localSheetId="34">#REF!</definedName>
    <definedName name="con" localSheetId="35">#REF!</definedName>
    <definedName name="con" localSheetId="25">#REF!</definedName>
    <definedName name="con" localSheetId="27">#REF!</definedName>
    <definedName name="con" localSheetId="28">#REF!</definedName>
    <definedName name="con" localSheetId="29">#REF!</definedName>
    <definedName name="con" localSheetId="31">#REF!</definedName>
    <definedName name="con" localSheetId="32">#REF!</definedName>
    <definedName name="con" localSheetId="33">#REF!</definedName>
    <definedName name="con" localSheetId="24">#REF!</definedName>
    <definedName name="con" localSheetId="23">#REF!</definedName>
    <definedName name="con" localSheetId="36">#REF!</definedName>
    <definedName name="con" localSheetId="22">#REF!</definedName>
    <definedName name="con" localSheetId="26">#REF!</definedName>
    <definedName name="con" localSheetId="30">#REF!</definedName>
    <definedName name="con" localSheetId="41">#REF!</definedName>
    <definedName name="con" localSheetId="50">#REF!</definedName>
    <definedName name="con" localSheetId="51">#REF!</definedName>
    <definedName name="con" localSheetId="42">#REF!</definedName>
    <definedName name="con" localSheetId="43">#REF!</definedName>
    <definedName name="con" localSheetId="44">#REF!</definedName>
    <definedName name="con" localSheetId="45">#REF!</definedName>
    <definedName name="con" localSheetId="46">#REF!</definedName>
    <definedName name="con" localSheetId="47">#REF!</definedName>
    <definedName name="con" localSheetId="48">#REF!</definedName>
    <definedName name="con" localSheetId="49">#REF!</definedName>
    <definedName name="con" localSheetId="52">#REF!</definedName>
    <definedName name="con" localSheetId="40">#REF!</definedName>
    <definedName name="con" localSheetId="39">#REF!</definedName>
    <definedName name="con" localSheetId="38">#REF!</definedName>
    <definedName name="con" localSheetId="37">#REF!</definedName>
    <definedName name="con" localSheetId="57">#REF!</definedName>
    <definedName name="con" localSheetId="66">#REF!</definedName>
    <definedName name="con" localSheetId="67">#REF!</definedName>
    <definedName name="con" localSheetId="58">#REF!</definedName>
    <definedName name="con" localSheetId="59">#REF!</definedName>
    <definedName name="con" localSheetId="60">#REF!</definedName>
    <definedName name="con" localSheetId="61">#REF!</definedName>
    <definedName name="con" localSheetId="62">#REF!</definedName>
    <definedName name="con" localSheetId="63">#REF!</definedName>
    <definedName name="con" localSheetId="64">#REF!</definedName>
    <definedName name="con" localSheetId="65">#REF!</definedName>
    <definedName name="con" localSheetId="68">#REF!</definedName>
    <definedName name="con" localSheetId="56">#REF!</definedName>
    <definedName name="con" localSheetId="55">#REF!</definedName>
    <definedName name="con" localSheetId="54">#REF!</definedName>
    <definedName name="con" localSheetId="53">#REF!</definedName>
    <definedName name="con" localSheetId="85">#REF!</definedName>
    <definedName name="con" localSheetId="86">#REF!</definedName>
    <definedName name="con" localSheetId="2">#REF!</definedName>
    <definedName name="con">#REF!</definedName>
    <definedName name="Con_B" localSheetId="3">#REF!</definedName>
    <definedName name="Con_B" localSheetId="4">#REF!</definedName>
    <definedName name="Con_B" localSheetId="18">#REF!</definedName>
    <definedName name="Con_B" localSheetId="19">#REF!</definedName>
    <definedName name="Con_B" localSheetId="9">#REF!</definedName>
    <definedName name="Con_B" localSheetId="10">#REF!</definedName>
    <definedName name="Con_B" localSheetId="11">#REF!</definedName>
    <definedName name="Con_B" localSheetId="12">#REF!</definedName>
    <definedName name="Con_B" localSheetId="13">#REF!</definedName>
    <definedName name="Con_B" localSheetId="14">#REF!</definedName>
    <definedName name="Con_B" localSheetId="15">#REF!</definedName>
    <definedName name="Con_B" localSheetId="16">#REF!</definedName>
    <definedName name="Con_B" localSheetId="17">#REF!</definedName>
    <definedName name="Con_B" localSheetId="8">#REF!</definedName>
    <definedName name="Con_B" localSheetId="7">#REF!</definedName>
    <definedName name="Con_B" localSheetId="6">#REF!</definedName>
    <definedName name="Con_B" localSheetId="20">#REF!</definedName>
    <definedName name="Con_B" localSheetId="5">#REF!</definedName>
    <definedName name="Con_B" localSheetId="21">#REF!</definedName>
    <definedName name="Con_B" localSheetId="34">#REF!</definedName>
    <definedName name="Con_B" localSheetId="35">#REF!</definedName>
    <definedName name="Con_B" localSheetId="25">#REF!</definedName>
    <definedName name="Con_B" localSheetId="27">#REF!</definedName>
    <definedName name="Con_B" localSheetId="28">#REF!</definedName>
    <definedName name="Con_B" localSheetId="29">#REF!</definedName>
    <definedName name="Con_B" localSheetId="31">#REF!</definedName>
    <definedName name="Con_B" localSheetId="32">#REF!</definedName>
    <definedName name="Con_B" localSheetId="33">#REF!</definedName>
    <definedName name="Con_B" localSheetId="24">#REF!</definedName>
    <definedName name="Con_B" localSheetId="23">#REF!</definedName>
    <definedName name="Con_B" localSheetId="36">#REF!</definedName>
    <definedName name="Con_B" localSheetId="22">#REF!</definedName>
    <definedName name="Con_B" localSheetId="26">#REF!</definedName>
    <definedName name="Con_B" localSheetId="30">#REF!</definedName>
    <definedName name="Con_B" localSheetId="85">#REF!</definedName>
    <definedName name="Con_B" localSheetId="86">#REF!</definedName>
    <definedName name="Con_B" localSheetId="2">#REF!</definedName>
    <definedName name="Con_B">#REF!</definedName>
    <definedName name="Concrete">[10]FCalSH!$G$18</definedName>
    <definedName name="CONCRETE_CURB" localSheetId="3">'[11]หมวด 6(2)'!#REF!</definedName>
    <definedName name="CONCRETE_CURB" localSheetId="4">'[11]หมวด 6(2)'!#REF!</definedName>
    <definedName name="CONCRETE_CURB" localSheetId="18">'[11]หมวด 6(2)'!#REF!</definedName>
    <definedName name="CONCRETE_CURB" localSheetId="19">'[11]หมวด 6(2)'!#REF!</definedName>
    <definedName name="CONCRETE_CURB" localSheetId="9">'[11]หมวด 6(2)'!#REF!</definedName>
    <definedName name="CONCRETE_CURB" localSheetId="10">'[11]หมวด 6(2)'!#REF!</definedName>
    <definedName name="CONCRETE_CURB" localSheetId="11">'[11]หมวด 6(2)'!#REF!</definedName>
    <definedName name="CONCRETE_CURB" localSheetId="12">'[11]หมวด 6(2)'!#REF!</definedName>
    <definedName name="CONCRETE_CURB" localSheetId="13">'[11]หมวด 6(2)'!#REF!</definedName>
    <definedName name="CONCRETE_CURB" localSheetId="14">'[11]หมวด 6(2)'!#REF!</definedName>
    <definedName name="CONCRETE_CURB" localSheetId="15">'[11]หมวด 6(2)'!#REF!</definedName>
    <definedName name="CONCRETE_CURB" localSheetId="16">'[11]หมวด 6(2)'!#REF!</definedName>
    <definedName name="CONCRETE_CURB" localSheetId="17">'[11]หมวด 6(2)'!#REF!</definedName>
    <definedName name="CONCRETE_CURB" localSheetId="8">'[11]หมวด 6(2)'!#REF!</definedName>
    <definedName name="CONCRETE_CURB" localSheetId="7">'[11]หมวด 6(2)'!#REF!</definedName>
    <definedName name="CONCRETE_CURB" localSheetId="6">'[11]หมวด 6(2)'!#REF!</definedName>
    <definedName name="CONCRETE_CURB" localSheetId="20">'[11]หมวด 6(2)'!#REF!</definedName>
    <definedName name="CONCRETE_CURB" localSheetId="5">'[11]หมวด 6(2)'!#REF!</definedName>
    <definedName name="CONCRETE_CURB" localSheetId="21">'[11]หมวด 6(2)'!#REF!</definedName>
    <definedName name="CONCRETE_CURB" localSheetId="34">'[11]หมวด 6(2)'!#REF!</definedName>
    <definedName name="CONCRETE_CURB" localSheetId="35">'[11]หมวด 6(2)'!#REF!</definedName>
    <definedName name="CONCRETE_CURB" localSheetId="25">'[11]หมวด 6(2)'!#REF!</definedName>
    <definedName name="CONCRETE_CURB" localSheetId="27">'[11]หมวด 6(2)'!#REF!</definedName>
    <definedName name="CONCRETE_CURB" localSheetId="28">'[11]หมวด 6(2)'!#REF!</definedName>
    <definedName name="CONCRETE_CURB" localSheetId="29">'[11]หมวด 6(2)'!#REF!</definedName>
    <definedName name="CONCRETE_CURB" localSheetId="31">'[11]หมวด 6(2)'!#REF!</definedName>
    <definedName name="CONCRETE_CURB" localSheetId="32">'[11]หมวด 6(2)'!#REF!</definedName>
    <definedName name="CONCRETE_CURB" localSheetId="33">'[11]หมวด 6(2)'!#REF!</definedName>
    <definedName name="CONCRETE_CURB" localSheetId="24">'[11]หมวด 6(2)'!#REF!</definedName>
    <definedName name="CONCRETE_CURB" localSheetId="23">'[11]หมวด 6(2)'!#REF!</definedName>
    <definedName name="CONCRETE_CURB" localSheetId="36">'[11]หมวด 6(2)'!#REF!</definedName>
    <definedName name="CONCRETE_CURB" localSheetId="22">'[11]หมวด 6(2)'!#REF!</definedName>
    <definedName name="CONCRETE_CURB" localSheetId="26">'[11]หมวด 6(2)'!#REF!</definedName>
    <definedName name="CONCRETE_CURB" localSheetId="30">'[11]หมวด 6(2)'!#REF!</definedName>
    <definedName name="CONCRETE_CURB" localSheetId="41">'[11]หมวด 6(2)'!#REF!</definedName>
    <definedName name="CONCRETE_CURB" localSheetId="50">'[11]หมวด 6(2)'!#REF!</definedName>
    <definedName name="CONCRETE_CURB" localSheetId="51">'[11]หมวด 6(2)'!#REF!</definedName>
    <definedName name="CONCRETE_CURB" localSheetId="42">'[11]หมวด 6(2)'!#REF!</definedName>
    <definedName name="CONCRETE_CURB" localSheetId="43">'[11]หมวด 6(2)'!#REF!</definedName>
    <definedName name="CONCRETE_CURB" localSheetId="44">'[11]หมวด 6(2)'!#REF!</definedName>
    <definedName name="CONCRETE_CURB" localSheetId="45">'[11]หมวด 6(2)'!#REF!</definedName>
    <definedName name="CONCRETE_CURB" localSheetId="46">'[11]หมวด 6(2)'!#REF!</definedName>
    <definedName name="CONCRETE_CURB" localSheetId="47">'[11]หมวด 6(2)'!#REF!</definedName>
    <definedName name="CONCRETE_CURB" localSheetId="48">'[11]หมวด 6(2)'!#REF!</definedName>
    <definedName name="CONCRETE_CURB" localSheetId="49">'[11]หมวด 6(2)'!#REF!</definedName>
    <definedName name="CONCRETE_CURB" localSheetId="52">'[11]หมวด 6(2)'!#REF!</definedName>
    <definedName name="CONCRETE_CURB" localSheetId="40">'[11]หมวด 6(2)'!#REF!</definedName>
    <definedName name="CONCRETE_CURB" localSheetId="39">'[11]หมวด 6(2)'!#REF!</definedName>
    <definedName name="CONCRETE_CURB" localSheetId="38">'[11]หมวด 6(2)'!#REF!</definedName>
    <definedName name="CONCRETE_CURB" localSheetId="37">'[11]หมวด 6(2)'!#REF!</definedName>
    <definedName name="CONCRETE_CURB" localSheetId="57">'[11]หมวด 6(2)'!#REF!</definedName>
    <definedName name="CONCRETE_CURB" localSheetId="66">'[11]หมวด 6(2)'!#REF!</definedName>
    <definedName name="CONCRETE_CURB" localSheetId="67">'[11]หมวด 6(2)'!#REF!</definedName>
    <definedName name="CONCRETE_CURB" localSheetId="58">'[11]หมวด 6(2)'!#REF!</definedName>
    <definedName name="CONCRETE_CURB" localSheetId="59">'[11]หมวด 6(2)'!#REF!</definedName>
    <definedName name="CONCRETE_CURB" localSheetId="60">'[11]หมวด 6(2)'!#REF!</definedName>
    <definedName name="CONCRETE_CURB" localSheetId="61">'[11]หมวด 6(2)'!#REF!</definedName>
    <definedName name="CONCRETE_CURB" localSheetId="62">'[11]หมวด 6(2)'!#REF!</definedName>
    <definedName name="CONCRETE_CURB" localSheetId="63">'[11]หมวด 6(2)'!#REF!</definedName>
    <definedName name="CONCRETE_CURB" localSheetId="64">'[11]หมวด 6(2)'!#REF!</definedName>
    <definedName name="CONCRETE_CURB" localSheetId="65">'[11]หมวด 6(2)'!#REF!</definedName>
    <definedName name="CONCRETE_CURB" localSheetId="68">'[11]หมวด 6(2)'!#REF!</definedName>
    <definedName name="CONCRETE_CURB" localSheetId="56">'[11]หมวด 6(2)'!#REF!</definedName>
    <definedName name="CONCRETE_CURB" localSheetId="55">'[11]หมวด 6(2)'!#REF!</definedName>
    <definedName name="CONCRETE_CURB" localSheetId="54">'[11]หมวด 6(2)'!#REF!</definedName>
    <definedName name="CONCRETE_CURB" localSheetId="53">'[11]หมวด 6(2)'!#REF!</definedName>
    <definedName name="CONCRETE_CURB" localSheetId="85">'[11]หมวด 6(2)'!#REF!</definedName>
    <definedName name="CONCRETE_CURB" localSheetId="86">'[11]หมวด 6(2)'!#REF!</definedName>
    <definedName name="CONCRETE_CURB" localSheetId="2">'[11]หมวด 6(2)'!#REF!</definedName>
    <definedName name="CONCRETE_CURB">'[11]หมวด 6(2)'!#REF!</definedName>
    <definedName name="Concrete_in_Terceptor">'[8]6'!$J$1150</definedName>
    <definedName name="Concrete_pavement">'[8]4'!$J$143</definedName>
    <definedName name="CONCRETE_PAVING_BLOCK">'[8]6'!$J$1715</definedName>
    <definedName name="CONTRACTION_JOINT">'[8]4'!$J$248</definedName>
    <definedName name="cost1" localSheetId="3">#REF!</definedName>
    <definedName name="cost1" localSheetId="4">#REF!</definedName>
    <definedName name="cost1" localSheetId="38">#REF!</definedName>
    <definedName name="cost1" localSheetId="86">#REF!</definedName>
    <definedName name="cost1">#REF!</definedName>
    <definedName name="cost10" localSheetId="3">#REF!</definedName>
    <definedName name="cost10" localSheetId="4">#REF!</definedName>
    <definedName name="cost10" localSheetId="38">#REF!</definedName>
    <definedName name="cost10">#REF!</definedName>
    <definedName name="cost11" localSheetId="3">#REF!</definedName>
    <definedName name="cost11" localSheetId="4">#REF!</definedName>
    <definedName name="cost11" localSheetId="38">#REF!</definedName>
    <definedName name="cost11">#REF!</definedName>
    <definedName name="cost12">#REF!</definedName>
    <definedName name="cost13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pac2" localSheetId="3">#REF!</definedName>
    <definedName name="cpac2" localSheetId="18">#REF!</definedName>
    <definedName name="cpac2" localSheetId="19">#REF!</definedName>
    <definedName name="cpac2" localSheetId="9">#REF!</definedName>
    <definedName name="cpac2" localSheetId="10">#REF!</definedName>
    <definedName name="cpac2" localSheetId="11">#REF!</definedName>
    <definedName name="cpac2" localSheetId="12">#REF!</definedName>
    <definedName name="cpac2" localSheetId="13">#REF!</definedName>
    <definedName name="cpac2" localSheetId="14">#REF!</definedName>
    <definedName name="cpac2" localSheetId="15">#REF!</definedName>
    <definedName name="cpac2" localSheetId="16">#REF!</definedName>
    <definedName name="cpac2" localSheetId="17">#REF!</definedName>
    <definedName name="cpac2" localSheetId="8">#REF!</definedName>
    <definedName name="cpac2" localSheetId="7">#REF!</definedName>
    <definedName name="cpac2" localSheetId="6">#REF!</definedName>
    <definedName name="cpac2" localSheetId="20">#REF!</definedName>
    <definedName name="cpac2" localSheetId="5">#REF!</definedName>
    <definedName name="cpac2" localSheetId="21">#REF!</definedName>
    <definedName name="cpac2" localSheetId="34">#REF!</definedName>
    <definedName name="cpac2" localSheetId="35">#REF!</definedName>
    <definedName name="cpac2" localSheetId="25">#REF!</definedName>
    <definedName name="cpac2" localSheetId="27">#REF!</definedName>
    <definedName name="cpac2" localSheetId="28">#REF!</definedName>
    <definedName name="cpac2" localSheetId="29">#REF!</definedName>
    <definedName name="cpac2" localSheetId="31">#REF!</definedName>
    <definedName name="cpac2" localSheetId="32">#REF!</definedName>
    <definedName name="cpac2" localSheetId="33">#REF!</definedName>
    <definedName name="cpac2" localSheetId="24">#REF!</definedName>
    <definedName name="cpac2" localSheetId="23">#REF!</definedName>
    <definedName name="cpac2" localSheetId="36">#REF!</definedName>
    <definedName name="cpac2" localSheetId="22">#REF!</definedName>
    <definedName name="cpac2" localSheetId="26">#REF!</definedName>
    <definedName name="cpac2" localSheetId="30">#REF!</definedName>
    <definedName name="cpac2" localSheetId="41">#REF!</definedName>
    <definedName name="cpac2" localSheetId="50">#REF!</definedName>
    <definedName name="cpac2" localSheetId="51">#REF!</definedName>
    <definedName name="cpac2" localSheetId="42">#REF!</definedName>
    <definedName name="cpac2" localSheetId="43">#REF!</definedName>
    <definedName name="cpac2" localSheetId="44">#REF!</definedName>
    <definedName name="cpac2" localSheetId="45">#REF!</definedName>
    <definedName name="cpac2" localSheetId="46">#REF!</definedName>
    <definedName name="cpac2" localSheetId="47">#REF!</definedName>
    <definedName name="cpac2" localSheetId="48">#REF!</definedName>
    <definedName name="cpac2" localSheetId="49">#REF!</definedName>
    <definedName name="cpac2" localSheetId="52">#REF!</definedName>
    <definedName name="cpac2" localSheetId="40">#REF!</definedName>
    <definedName name="cpac2" localSheetId="39">#REF!</definedName>
    <definedName name="cpac2" localSheetId="38">#REF!</definedName>
    <definedName name="cpac2" localSheetId="37">#REF!</definedName>
    <definedName name="cpac2" localSheetId="57">#REF!</definedName>
    <definedName name="cpac2" localSheetId="66">#REF!</definedName>
    <definedName name="cpac2" localSheetId="67">#REF!</definedName>
    <definedName name="cpac2" localSheetId="58">#REF!</definedName>
    <definedName name="cpac2" localSheetId="59">#REF!</definedName>
    <definedName name="cpac2" localSheetId="60">#REF!</definedName>
    <definedName name="cpac2" localSheetId="61">#REF!</definedName>
    <definedName name="cpac2" localSheetId="62">#REF!</definedName>
    <definedName name="cpac2" localSheetId="63">#REF!</definedName>
    <definedName name="cpac2" localSheetId="64">#REF!</definedName>
    <definedName name="cpac2" localSheetId="65">#REF!</definedName>
    <definedName name="cpac2" localSheetId="68">#REF!</definedName>
    <definedName name="cpac2" localSheetId="56">#REF!</definedName>
    <definedName name="cpac2" localSheetId="55">#REF!</definedName>
    <definedName name="cpac2" localSheetId="54">#REF!</definedName>
    <definedName name="cpac2" localSheetId="53">#REF!</definedName>
    <definedName name="cpac2" localSheetId="85">#REF!</definedName>
    <definedName name="cpac2" localSheetId="86">#REF!</definedName>
    <definedName name="cpac2" localSheetId="2">#REF!</definedName>
    <definedName name="cpac2">#REF!</definedName>
    <definedName name="cpac3">[12]ปร4!$E$15</definedName>
    <definedName name="cpac4">[12]ปร4!$E$16</definedName>
    <definedName name="CR" localSheetId="3">#REF!</definedName>
    <definedName name="CR" localSheetId="4">#REF!</definedName>
    <definedName name="CR" localSheetId="18">#REF!</definedName>
    <definedName name="CR" localSheetId="19">#REF!</definedName>
    <definedName name="CR" localSheetId="9">#REF!</definedName>
    <definedName name="CR" localSheetId="10">#REF!</definedName>
    <definedName name="CR" localSheetId="11">#REF!</definedName>
    <definedName name="CR" localSheetId="12">#REF!</definedName>
    <definedName name="CR" localSheetId="13">#REF!</definedName>
    <definedName name="CR" localSheetId="14">#REF!</definedName>
    <definedName name="CR" localSheetId="15">#REF!</definedName>
    <definedName name="CR" localSheetId="16">#REF!</definedName>
    <definedName name="CR" localSheetId="17">#REF!</definedName>
    <definedName name="CR" localSheetId="8">#REF!</definedName>
    <definedName name="CR" localSheetId="7">#REF!</definedName>
    <definedName name="CR" localSheetId="6">#REF!</definedName>
    <definedName name="CR" localSheetId="20">#REF!</definedName>
    <definedName name="CR" localSheetId="5">#REF!</definedName>
    <definedName name="CR" localSheetId="21">#REF!</definedName>
    <definedName name="CR" localSheetId="34">#REF!</definedName>
    <definedName name="CR" localSheetId="35">#REF!</definedName>
    <definedName name="CR" localSheetId="25">#REF!</definedName>
    <definedName name="CR" localSheetId="27">#REF!</definedName>
    <definedName name="CR" localSheetId="28">#REF!</definedName>
    <definedName name="CR" localSheetId="29">#REF!</definedName>
    <definedName name="CR" localSheetId="31">#REF!</definedName>
    <definedName name="CR" localSheetId="32">#REF!</definedName>
    <definedName name="CR" localSheetId="33">#REF!</definedName>
    <definedName name="CR" localSheetId="24">#REF!</definedName>
    <definedName name="CR" localSheetId="23">#REF!</definedName>
    <definedName name="CR" localSheetId="36">#REF!</definedName>
    <definedName name="CR" localSheetId="22">#REF!</definedName>
    <definedName name="CR" localSheetId="26">#REF!</definedName>
    <definedName name="CR" localSheetId="30">#REF!</definedName>
    <definedName name="CR" localSheetId="41">#REF!</definedName>
    <definedName name="CR" localSheetId="50">#REF!</definedName>
    <definedName name="CR" localSheetId="51">#REF!</definedName>
    <definedName name="CR" localSheetId="42">#REF!</definedName>
    <definedName name="CR" localSheetId="43">#REF!</definedName>
    <definedName name="CR" localSheetId="44">#REF!</definedName>
    <definedName name="CR" localSheetId="45">#REF!</definedName>
    <definedName name="CR" localSheetId="46">#REF!</definedName>
    <definedName name="CR" localSheetId="47">#REF!</definedName>
    <definedName name="CR" localSheetId="48">#REF!</definedName>
    <definedName name="CR" localSheetId="49">#REF!</definedName>
    <definedName name="CR" localSheetId="52">#REF!</definedName>
    <definedName name="CR" localSheetId="40">#REF!</definedName>
    <definedName name="CR" localSheetId="39">#REF!</definedName>
    <definedName name="CR" localSheetId="38">#REF!</definedName>
    <definedName name="CR" localSheetId="37">#REF!</definedName>
    <definedName name="CR" localSheetId="57">#REF!</definedName>
    <definedName name="CR" localSheetId="66">#REF!</definedName>
    <definedName name="CR" localSheetId="67">#REF!</definedName>
    <definedName name="CR" localSheetId="58">#REF!</definedName>
    <definedName name="CR" localSheetId="59">#REF!</definedName>
    <definedName name="CR" localSheetId="60">#REF!</definedName>
    <definedName name="CR" localSheetId="61">#REF!</definedName>
    <definedName name="CR" localSheetId="62">#REF!</definedName>
    <definedName name="CR" localSheetId="63">#REF!</definedName>
    <definedName name="CR" localSheetId="64">#REF!</definedName>
    <definedName name="CR" localSheetId="65">#REF!</definedName>
    <definedName name="CR" localSheetId="68">#REF!</definedName>
    <definedName name="CR" localSheetId="56">#REF!</definedName>
    <definedName name="CR" localSheetId="55">#REF!</definedName>
    <definedName name="CR" localSheetId="54">#REF!</definedName>
    <definedName name="CR" localSheetId="53">#REF!</definedName>
    <definedName name="CR" localSheetId="85">#REF!</definedName>
    <definedName name="CR" localSheetId="86">#REF!</definedName>
    <definedName name="CR" localSheetId="2">#REF!</definedName>
    <definedName name="CR">#REF!</definedName>
    <definedName name="CRS_2" localSheetId="3">#REF!</definedName>
    <definedName name="CRS_2" localSheetId="4">#REF!</definedName>
    <definedName name="CRS_2" localSheetId="18">#REF!</definedName>
    <definedName name="CRS_2" localSheetId="19">#REF!</definedName>
    <definedName name="CRS_2" localSheetId="9">#REF!</definedName>
    <definedName name="CRS_2" localSheetId="10">#REF!</definedName>
    <definedName name="CRS_2" localSheetId="11">#REF!</definedName>
    <definedName name="CRS_2" localSheetId="12">#REF!</definedName>
    <definedName name="CRS_2" localSheetId="13">#REF!</definedName>
    <definedName name="CRS_2" localSheetId="14">#REF!</definedName>
    <definedName name="CRS_2" localSheetId="15">#REF!</definedName>
    <definedName name="CRS_2" localSheetId="16">#REF!</definedName>
    <definedName name="CRS_2" localSheetId="17">#REF!</definedName>
    <definedName name="CRS_2" localSheetId="8">#REF!</definedName>
    <definedName name="CRS_2" localSheetId="7">#REF!</definedName>
    <definedName name="CRS_2" localSheetId="6">#REF!</definedName>
    <definedName name="CRS_2" localSheetId="20">#REF!</definedName>
    <definedName name="CRS_2" localSheetId="5">#REF!</definedName>
    <definedName name="CRS_2" localSheetId="21">#REF!</definedName>
    <definedName name="CRS_2" localSheetId="34">#REF!</definedName>
    <definedName name="CRS_2" localSheetId="35">#REF!</definedName>
    <definedName name="CRS_2" localSheetId="25">#REF!</definedName>
    <definedName name="CRS_2" localSheetId="27">#REF!</definedName>
    <definedName name="CRS_2" localSheetId="28">#REF!</definedName>
    <definedName name="CRS_2" localSheetId="29">#REF!</definedName>
    <definedName name="CRS_2" localSheetId="31">#REF!</definedName>
    <definedName name="CRS_2" localSheetId="32">#REF!</definedName>
    <definedName name="CRS_2" localSheetId="33">#REF!</definedName>
    <definedName name="CRS_2" localSheetId="24">#REF!</definedName>
    <definedName name="CRS_2" localSheetId="23">#REF!</definedName>
    <definedName name="CRS_2" localSheetId="36">#REF!</definedName>
    <definedName name="CRS_2" localSheetId="22">#REF!</definedName>
    <definedName name="CRS_2" localSheetId="26">#REF!</definedName>
    <definedName name="CRS_2" localSheetId="30">#REF!</definedName>
    <definedName name="CRS_2" localSheetId="85">#REF!</definedName>
    <definedName name="CRS_2" localSheetId="86">#REF!</definedName>
    <definedName name="CRS_2" localSheetId="2">#REF!</definedName>
    <definedName name="CRS_2">#REF!</definedName>
    <definedName name="CRS_2ไม่รวมขนส่ง" localSheetId="3">#REF!</definedName>
    <definedName name="CRS_2ไม่รวมขนส่ง" localSheetId="4">#REF!</definedName>
    <definedName name="CRS_2ไม่รวมขนส่ง" localSheetId="18">#REF!</definedName>
    <definedName name="CRS_2ไม่รวมขนส่ง" localSheetId="19">#REF!</definedName>
    <definedName name="CRS_2ไม่รวมขนส่ง" localSheetId="9">#REF!</definedName>
    <definedName name="CRS_2ไม่รวมขนส่ง" localSheetId="10">#REF!</definedName>
    <definedName name="CRS_2ไม่รวมขนส่ง" localSheetId="11">#REF!</definedName>
    <definedName name="CRS_2ไม่รวมขนส่ง" localSheetId="12">#REF!</definedName>
    <definedName name="CRS_2ไม่รวมขนส่ง" localSheetId="13">#REF!</definedName>
    <definedName name="CRS_2ไม่รวมขนส่ง" localSheetId="14">#REF!</definedName>
    <definedName name="CRS_2ไม่รวมขนส่ง" localSheetId="15">#REF!</definedName>
    <definedName name="CRS_2ไม่รวมขนส่ง" localSheetId="16">#REF!</definedName>
    <definedName name="CRS_2ไม่รวมขนส่ง" localSheetId="17">#REF!</definedName>
    <definedName name="CRS_2ไม่รวมขนส่ง" localSheetId="8">#REF!</definedName>
    <definedName name="CRS_2ไม่รวมขนส่ง" localSheetId="7">#REF!</definedName>
    <definedName name="CRS_2ไม่รวมขนส่ง" localSheetId="6">#REF!</definedName>
    <definedName name="CRS_2ไม่รวมขนส่ง" localSheetId="20">#REF!</definedName>
    <definedName name="CRS_2ไม่รวมขนส่ง" localSheetId="5">#REF!</definedName>
    <definedName name="CRS_2ไม่รวมขนส่ง" localSheetId="21">#REF!</definedName>
    <definedName name="CRS_2ไม่รวมขนส่ง" localSheetId="34">#REF!</definedName>
    <definedName name="CRS_2ไม่รวมขนส่ง" localSheetId="35">#REF!</definedName>
    <definedName name="CRS_2ไม่รวมขนส่ง" localSheetId="25">#REF!</definedName>
    <definedName name="CRS_2ไม่รวมขนส่ง" localSheetId="27">#REF!</definedName>
    <definedName name="CRS_2ไม่รวมขนส่ง" localSheetId="28">#REF!</definedName>
    <definedName name="CRS_2ไม่รวมขนส่ง" localSheetId="29">#REF!</definedName>
    <definedName name="CRS_2ไม่รวมขนส่ง" localSheetId="31">#REF!</definedName>
    <definedName name="CRS_2ไม่รวมขนส่ง" localSheetId="32">#REF!</definedName>
    <definedName name="CRS_2ไม่รวมขนส่ง" localSheetId="33">#REF!</definedName>
    <definedName name="CRS_2ไม่รวมขนส่ง" localSheetId="24">#REF!</definedName>
    <definedName name="CRS_2ไม่รวมขนส่ง" localSheetId="23">#REF!</definedName>
    <definedName name="CRS_2ไม่รวมขนส่ง" localSheetId="36">#REF!</definedName>
    <definedName name="CRS_2ไม่รวมขนส่ง" localSheetId="22">#REF!</definedName>
    <definedName name="CRS_2ไม่รวมขนส่ง" localSheetId="26">#REF!</definedName>
    <definedName name="CRS_2ไม่รวมขนส่ง" localSheetId="30">#REF!</definedName>
    <definedName name="CRS_2ไม่รวมขนส่ง" localSheetId="85">#REF!</definedName>
    <definedName name="CRS_2ไม่รวมขนส่ง" localSheetId="86">#REF!</definedName>
    <definedName name="CRS_2ไม่รวมขนส่ง" localSheetId="2">#REF!</definedName>
    <definedName name="CRS_2ไม่รวมขนส่ง">#REF!</definedName>
    <definedName name="Crushed_Rock">'[8]3'!$J$59</definedName>
    <definedName name="Crushed_rock_under">'[8]3'!$J$138</definedName>
    <definedName name="cs" localSheetId="3">#REF!</definedName>
    <definedName name="cs" localSheetId="4">#REF!</definedName>
    <definedName name="cs" localSheetId="18">#REF!</definedName>
    <definedName name="cs" localSheetId="19">#REF!</definedName>
    <definedName name="cs" localSheetId="9">#REF!</definedName>
    <definedName name="cs" localSheetId="10">#REF!</definedName>
    <definedName name="cs" localSheetId="11">#REF!</definedName>
    <definedName name="cs" localSheetId="12">#REF!</definedName>
    <definedName name="cs" localSheetId="13">#REF!</definedName>
    <definedName name="cs" localSheetId="14">#REF!</definedName>
    <definedName name="cs" localSheetId="15">#REF!</definedName>
    <definedName name="cs" localSheetId="16">#REF!</definedName>
    <definedName name="cs" localSheetId="17">#REF!</definedName>
    <definedName name="cs" localSheetId="8">#REF!</definedName>
    <definedName name="cs" localSheetId="7">#REF!</definedName>
    <definedName name="cs" localSheetId="6">#REF!</definedName>
    <definedName name="cs" localSheetId="20">#REF!</definedName>
    <definedName name="cs" localSheetId="5">#REF!</definedName>
    <definedName name="cs" localSheetId="21">#REF!</definedName>
    <definedName name="cs" localSheetId="34">#REF!</definedName>
    <definedName name="cs" localSheetId="35">#REF!</definedName>
    <definedName name="cs" localSheetId="25">#REF!</definedName>
    <definedName name="cs" localSheetId="27">#REF!</definedName>
    <definedName name="cs" localSheetId="28">#REF!</definedName>
    <definedName name="cs" localSheetId="29">#REF!</definedName>
    <definedName name="cs" localSheetId="31">#REF!</definedName>
    <definedName name="cs" localSheetId="32">#REF!</definedName>
    <definedName name="cs" localSheetId="33">#REF!</definedName>
    <definedName name="cs" localSheetId="24">#REF!</definedName>
    <definedName name="cs" localSheetId="23">#REF!</definedName>
    <definedName name="cs" localSheetId="36">#REF!</definedName>
    <definedName name="cs" localSheetId="22">#REF!</definedName>
    <definedName name="cs" localSheetId="26">#REF!</definedName>
    <definedName name="cs" localSheetId="30">#REF!</definedName>
    <definedName name="cs" localSheetId="41">#REF!</definedName>
    <definedName name="cs" localSheetId="50">#REF!</definedName>
    <definedName name="cs" localSheetId="51">#REF!</definedName>
    <definedName name="cs" localSheetId="42">#REF!</definedName>
    <definedName name="cs" localSheetId="43">#REF!</definedName>
    <definedName name="cs" localSheetId="44">#REF!</definedName>
    <definedName name="cs" localSheetId="45">#REF!</definedName>
    <definedName name="cs" localSheetId="46">#REF!</definedName>
    <definedName name="cs" localSheetId="47">#REF!</definedName>
    <definedName name="cs" localSheetId="48">#REF!</definedName>
    <definedName name="cs" localSheetId="49">#REF!</definedName>
    <definedName name="cs" localSheetId="52">#REF!</definedName>
    <definedName name="cs" localSheetId="40">#REF!</definedName>
    <definedName name="cs" localSheetId="39">#REF!</definedName>
    <definedName name="cs" localSheetId="38">#REF!</definedName>
    <definedName name="cs" localSheetId="37">#REF!</definedName>
    <definedName name="cs" localSheetId="57">#REF!</definedName>
    <definedName name="cs" localSheetId="66">#REF!</definedName>
    <definedName name="cs" localSheetId="67">#REF!</definedName>
    <definedName name="cs" localSheetId="58">#REF!</definedName>
    <definedName name="cs" localSheetId="59">#REF!</definedName>
    <definedName name="cs" localSheetId="60">#REF!</definedName>
    <definedName name="cs" localSheetId="61">#REF!</definedName>
    <definedName name="cs" localSheetId="62">#REF!</definedName>
    <definedName name="cs" localSheetId="63">#REF!</definedName>
    <definedName name="cs" localSheetId="64">#REF!</definedName>
    <definedName name="cs" localSheetId="65">#REF!</definedName>
    <definedName name="cs" localSheetId="68">#REF!</definedName>
    <definedName name="cs" localSheetId="56">#REF!</definedName>
    <definedName name="cs" localSheetId="55">#REF!</definedName>
    <definedName name="cs" localSheetId="54">#REF!</definedName>
    <definedName name="cs" localSheetId="53">#REF!</definedName>
    <definedName name="cs" localSheetId="85">#REF!</definedName>
    <definedName name="cs" localSheetId="86">#REF!</definedName>
    <definedName name="cs" localSheetId="2">#REF!</definedName>
    <definedName name="cs">#REF!</definedName>
    <definedName name="CSS_1" localSheetId="3">#REF!</definedName>
    <definedName name="CSS_1" localSheetId="4">#REF!</definedName>
    <definedName name="CSS_1" localSheetId="18">#REF!</definedName>
    <definedName name="CSS_1" localSheetId="19">#REF!</definedName>
    <definedName name="CSS_1" localSheetId="9">#REF!</definedName>
    <definedName name="CSS_1" localSheetId="10">#REF!</definedName>
    <definedName name="CSS_1" localSheetId="11">#REF!</definedName>
    <definedName name="CSS_1" localSheetId="12">#REF!</definedName>
    <definedName name="CSS_1" localSheetId="13">#REF!</definedName>
    <definedName name="CSS_1" localSheetId="14">#REF!</definedName>
    <definedName name="CSS_1" localSheetId="15">#REF!</definedName>
    <definedName name="CSS_1" localSheetId="16">#REF!</definedName>
    <definedName name="CSS_1" localSheetId="17">#REF!</definedName>
    <definedName name="CSS_1" localSheetId="8">#REF!</definedName>
    <definedName name="CSS_1" localSheetId="7">#REF!</definedName>
    <definedName name="CSS_1" localSheetId="6">#REF!</definedName>
    <definedName name="CSS_1" localSheetId="20">#REF!</definedName>
    <definedName name="CSS_1" localSheetId="5">#REF!</definedName>
    <definedName name="CSS_1" localSheetId="21">#REF!</definedName>
    <definedName name="CSS_1" localSheetId="34">#REF!</definedName>
    <definedName name="CSS_1" localSheetId="35">#REF!</definedName>
    <definedName name="CSS_1" localSheetId="25">#REF!</definedName>
    <definedName name="CSS_1" localSheetId="27">#REF!</definedName>
    <definedName name="CSS_1" localSheetId="28">#REF!</definedName>
    <definedName name="CSS_1" localSheetId="29">#REF!</definedName>
    <definedName name="CSS_1" localSheetId="31">#REF!</definedName>
    <definedName name="CSS_1" localSheetId="32">#REF!</definedName>
    <definedName name="CSS_1" localSheetId="33">#REF!</definedName>
    <definedName name="CSS_1" localSheetId="24">#REF!</definedName>
    <definedName name="CSS_1" localSheetId="23">#REF!</definedName>
    <definedName name="CSS_1" localSheetId="36">#REF!</definedName>
    <definedName name="CSS_1" localSheetId="22">#REF!</definedName>
    <definedName name="CSS_1" localSheetId="26">#REF!</definedName>
    <definedName name="CSS_1" localSheetId="30">#REF!</definedName>
    <definedName name="CSS_1" localSheetId="85">#REF!</definedName>
    <definedName name="CSS_1" localSheetId="86">#REF!</definedName>
    <definedName name="CSS_1" localSheetId="2">#REF!</definedName>
    <definedName name="CSS_1">#REF!</definedName>
    <definedName name="CSS_1h" localSheetId="3">#REF!</definedName>
    <definedName name="CSS_1h" localSheetId="4">#REF!</definedName>
    <definedName name="CSS_1h" localSheetId="18">#REF!</definedName>
    <definedName name="CSS_1h" localSheetId="19">#REF!</definedName>
    <definedName name="CSS_1h" localSheetId="9">#REF!</definedName>
    <definedName name="CSS_1h" localSheetId="10">#REF!</definedName>
    <definedName name="CSS_1h" localSheetId="11">#REF!</definedName>
    <definedName name="CSS_1h" localSheetId="12">#REF!</definedName>
    <definedName name="CSS_1h" localSheetId="13">#REF!</definedName>
    <definedName name="CSS_1h" localSheetId="14">#REF!</definedName>
    <definedName name="CSS_1h" localSheetId="15">#REF!</definedName>
    <definedName name="CSS_1h" localSheetId="16">#REF!</definedName>
    <definedName name="CSS_1h" localSheetId="17">#REF!</definedName>
    <definedName name="CSS_1h" localSheetId="8">#REF!</definedName>
    <definedName name="CSS_1h" localSheetId="7">#REF!</definedName>
    <definedName name="CSS_1h" localSheetId="6">#REF!</definedName>
    <definedName name="CSS_1h" localSheetId="20">#REF!</definedName>
    <definedName name="CSS_1h" localSheetId="5">#REF!</definedName>
    <definedName name="CSS_1h" localSheetId="21">#REF!</definedName>
    <definedName name="CSS_1h" localSheetId="34">#REF!</definedName>
    <definedName name="CSS_1h" localSheetId="35">#REF!</definedName>
    <definedName name="CSS_1h" localSheetId="25">#REF!</definedName>
    <definedName name="CSS_1h" localSheetId="27">#REF!</definedName>
    <definedName name="CSS_1h" localSheetId="28">#REF!</definedName>
    <definedName name="CSS_1h" localSheetId="29">#REF!</definedName>
    <definedName name="CSS_1h" localSheetId="31">#REF!</definedName>
    <definedName name="CSS_1h" localSheetId="32">#REF!</definedName>
    <definedName name="CSS_1h" localSheetId="33">#REF!</definedName>
    <definedName name="CSS_1h" localSheetId="24">#REF!</definedName>
    <definedName name="CSS_1h" localSheetId="23">#REF!</definedName>
    <definedName name="CSS_1h" localSheetId="36">#REF!</definedName>
    <definedName name="CSS_1h" localSheetId="22">#REF!</definedName>
    <definedName name="CSS_1h" localSheetId="26">#REF!</definedName>
    <definedName name="CSS_1h" localSheetId="30">#REF!</definedName>
    <definedName name="CSS_1h" localSheetId="85">#REF!</definedName>
    <definedName name="CSS_1h" localSheetId="86">#REF!</definedName>
    <definedName name="CSS_1h" localSheetId="2">#REF!</definedName>
    <definedName name="CSS_1h">#REF!</definedName>
    <definedName name="CSS_1hไม่รวมขนส่ง" localSheetId="3">#REF!</definedName>
    <definedName name="CSS_1hไม่รวมขนส่ง" localSheetId="2">#REF!</definedName>
    <definedName name="CSS_1hไม่รวมขนส่ง">#REF!</definedName>
    <definedName name="CSS_1ไม่รวมขนส่ง" localSheetId="3">#REF!</definedName>
    <definedName name="CSS_1ไม่รวมขนส่ง" localSheetId="2">#REF!</definedName>
    <definedName name="CSS_1ไม่รวมขนส่ง">#REF!</definedName>
    <definedName name="CT" localSheetId="3">#REF!</definedName>
    <definedName name="CT" localSheetId="2">#REF!</definedName>
    <definedName name="CT">#REF!</definedName>
    <definedName name="CulvertSkew_L1" localSheetId="3">#REF!</definedName>
    <definedName name="CulvertSkew_L1" localSheetId="2">#REF!</definedName>
    <definedName name="CulvertSkew_L1">#REF!</definedName>
    <definedName name="CulvertSkew_S1" localSheetId="3">#REF!</definedName>
    <definedName name="CulvertSkew_S1" localSheetId="2">#REF!</definedName>
    <definedName name="CulvertSkew_S1">#REF!</definedName>
    <definedName name="CulvertSkew_S2" localSheetId="3">#REF!</definedName>
    <definedName name="CulvertSkew_S2" localSheetId="2">#REF!</definedName>
    <definedName name="CulvertSkew_S2">#REF!</definedName>
    <definedName name="Curb_Gutter" localSheetId="3">#REF!</definedName>
    <definedName name="Curb_Gutter" localSheetId="2">#REF!</definedName>
    <definedName name="Curb_Gutter">#REF!</definedName>
    <definedName name="CURB_MARKINGS">'[8]6'!$J$2732</definedName>
    <definedName name="curb_เกาะกลาง" localSheetId="3">'[11]หมวด 6(2)'!#REF!</definedName>
    <definedName name="curb_เกาะกลาง" localSheetId="4">'[11]หมวด 6(2)'!#REF!</definedName>
    <definedName name="curb_เกาะกลาง" localSheetId="18">'[11]หมวด 6(2)'!#REF!</definedName>
    <definedName name="curb_เกาะกลาง" localSheetId="19">'[11]หมวด 6(2)'!#REF!</definedName>
    <definedName name="curb_เกาะกลาง" localSheetId="9">'[11]หมวด 6(2)'!#REF!</definedName>
    <definedName name="curb_เกาะกลาง" localSheetId="10">'[11]หมวด 6(2)'!#REF!</definedName>
    <definedName name="curb_เกาะกลาง" localSheetId="11">'[11]หมวด 6(2)'!#REF!</definedName>
    <definedName name="curb_เกาะกลาง" localSheetId="12">'[11]หมวด 6(2)'!#REF!</definedName>
    <definedName name="curb_เกาะกลาง" localSheetId="13">'[11]หมวด 6(2)'!#REF!</definedName>
    <definedName name="curb_เกาะกลาง" localSheetId="14">'[11]หมวด 6(2)'!#REF!</definedName>
    <definedName name="curb_เกาะกลาง" localSheetId="15">'[11]หมวด 6(2)'!#REF!</definedName>
    <definedName name="curb_เกาะกลาง" localSheetId="16">'[11]หมวด 6(2)'!#REF!</definedName>
    <definedName name="curb_เกาะกลาง" localSheetId="17">'[11]หมวด 6(2)'!#REF!</definedName>
    <definedName name="curb_เกาะกลาง" localSheetId="8">'[11]หมวด 6(2)'!#REF!</definedName>
    <definedName name="curb_เกาะกลาง" localSheetId="7">'[11]หมวด 6(2)'!#REF!</definedName>
    <definedName name="curb_เกาะกลาง" localSheetId="6">'[11]หมวด 6(2)'!#REF!</definedName>
    <definedName name="curb_เกาะกลาง" localSheetId="20">'[11]หมวด 6(2)'!#REF!</definedName>
    <definedName name="curb_เกาะกลาง" localSheetId="5">'[11]หมวด 6(2)'!#REF!</definedName>
    <definedName name="curb_เกาะกลาง" localSheetId="21">'[11]หมวด 6(2)'!#REF!</definedName>
    <definedName name="curb_เกาะกลาง" localSheetId="34">'[11]หมวด 6(2)'!#REF!</definedName>
    <definedName name="curb_เกาะกลาง" localSheetId="35">'[11]หมวด 6(2)'!#REF!</definedName>
    <definedName name="curb_เกาะกลาง" localSheetId="25">'[11]หมวด 6(2)'!#REF!</definedName>
    <definedName name="curb_เกาะกลาง" localSheetId="27">'[11]หมวด 6(2)'!#REF!</definedName>
    <definedName name="curb_เกาะกลาง" localSheetId="28">'[11]หมวด 6(2)'!#REF!</definedName>
    <definedName name="curb_เกาะกลาง" localSheetId="29">'[11]หมวด 6(2)'!#REF!</definedName>
    <definedName name="curb_เกาะกลาง" localSheetId="31">'[11]หมวด 6(2)'!#REF!</definedName>
    <definedName name="curb_เกาะกลาง" localSheetId="32">'[11]หมวด 6(2)'!#REF!</definedName>
    <definedName name="curb_เกาะกลาง" localSheetId="33">'[11]หมวด 6(2)'!#REF!</definedName>
    <definedName name="curb_เกาะกลาง" localSheetId="24">'[11]หมวด 6(2)'!#REF!</definedName>
    <definedName name="curb_เกาะกลาง" localSheetId="23">'[11]หมวด 6(2)'!#REF!</definedName>
    <definedName name="curb_เกาะกลาง" localSheetId="36">'[11]หมวด 6(2)'!#REF!</definedName>
    <definedName name="curb_เกาะกลาง" localSheetId="22">'[11]หมวด 6(2)'!#REF!</definedName>
    <definedName name="curb_เกาะกลาง" localSheetId="26">'[11]หมวด 6(2)'!#REF!</definedName>
    <definedName name="curb_เกาะกลาง" localSheetId="30">'[11]หมวด 6(2)'!#REF!</definedName>
    <definedName name="curb_เกาะกลาง" localSheetId="41">'[11]หมวด 6(2)'!#REF!</definedName>
    <definedName name="curb_เกาะกลาง" localSheetId="50">'[11]หมวด 6(2)'!#REF!</definedName>
    <definedName name="curb_เกาะกลาง" localSheetId="51">'[11]หมวด 6(2)'!#REF!</definedName>
    <definedName name="curb_เกาะกลาง" localSheetId="42">'[11]หมวด 6(2)'!#REF!</definedName>
    <definedName name="curb_เกาะกลาง" localSheetId="43">'[11]หมวด 6(2)'!#REF!</definedName>
    <definedName name="curb_เกาะกลาง" localSheetId="44">'[11]หมวด 6(2)'!#REF!</definedName>
    <definedName name="curb_เกาะกลาง" localSheetId="45">'[11]หมวด 6(2)'!#REF!</definedName>
    <definedName name="curb_เกาะกลาง" localSheetId="46">'[11]หมวด 6(2)'!#REF!</definedName>
    <definedName name="curb_เกาะกลาง" localSheetId="47">'[11]หมวด 6(2)'!#REF!</definedName>
    <definedName name="curb_เกาะกลาง" localSheetId="48">'[11]หมวด 6(2)'!#REF!</definedName>
    <definedName name="curb_เกาะกลาง" localSheetId="49">'[11]หมวด 6(2)'!#REF!</definedName>
    <definedName name="curb_เกาะกลาง" localSheetId="52">'[11]หมวด 6(2)'!#REF!</definedName>
    <definedName name="curb_เกาะกลาง" localSheetId="40">'[11]หมวด 6(2)'!#REF!</definedName>
    <definedName name="curb_เกาะกลาง" localSheetId="39">'[11]หมวด 6(2)'!#REF!</definedName>
    <definedName name="curb_เกาะกลาง" localSheetId="38">'[11]หมวด 6(2)'!#REF!</definedName>
    <definedName name="curb_เกาะกลาง" localSheetId="37">'[11]หมวด 6(2)'!#REF!</definedName>
    <definedName name="curb_เกาะกลาง" localSheetId="57">'[11]หมวด 6(2)'!#REF!</definedName>
    <definedName name="curb_เกาะกลาง" localSheetId="66">'[11]หมวด 6(2)'!#REF!</definedName>
    <definedName name="curb_เกาะกลาง" localSheetId="67">'[11]หมวด 6(2)'!#REF!</definedName>
    <definedName name="curb_เกาะกลาง" localSheetId="58">'[11]หมวด 6(2)'!#REF!</definedName>
    <definedName name="curb_เกาะกลาง" localSheetId="59">'[11]หมวด 6(2)'!#REF!</definedName>
    <definedName name="curb_เกาะกลาง" localSheetId="60">'[11]หมวด 6(2)'!#REF!</definedName>
    <definedName name="curb_เกาะกลาง" localSheetId="61">'[11]หมวด 6(2)'!#REF!</definedName>
    <definedName name="curb_เกาะกลาง" localSheetId="62">'[11]หมวด 6(2)'!#REF!</definedName>
    <definedName name="curb_เกาะกลาง" localSheetId="63">'[11]หมวด 6(2)'!#REF!</definedName>
    <definedName name="curb_เกาะกลาง" localSheetId="64">'[11]หมวด 6(2)'!#REF!</definedName>
    <definedName name="curb_เกาะกลาง" localSheetId="65">'[11]หมวด 6(2)'!#REF!</definedName>
    <definedName name="curb_เกาะกลาง" localSheetId="68">'[11]หมวด 6(2)'!#REF!</definedName>
    <definedName name="curb_เกาะกลาง" localSheetId="56">'[11]หมวด 6(2)'!#REF!</definedName>
    <definedName name="curb_เกาะกลาง" localSheetId="55">'[11]หมวด 6(2)'!#REF!</definedName>
    <definedName name="curb_เกาะกลาง" localSheetId="54">'[11]หมวด 6(2)'!#REF!</definedName>
    <definedName name="curb_เกาะกลาง" localSheetId="53">'[11]หมวด 6(2)'!#REF!</definedName>
    <definedName name="curb_เกาะกลาง" localSheetId="85">'[11]หมวด 6(2)'!#REF!</definedName>
    <definedName name="curb_เกาะกลาง" localSheetId="86">'[11]หมวด 6(2)'!#REF!</definedName>
    <definedName name="curb_เกาะกลาง" localSheetId="2">'[11]หมวด 6(2)'!#REF!</definedName>
    <definedName name="curb_เกาะกลาง">'[11]หมวด 6(2)'!#REF!</definedName>
    <definedName name="curb_ขอบทาง" localSheetId="3">'[11]หมวด 6(2)'!#REF!</definedName>
    <definedName name="curb_ขอบทาง" localSheetId="4">'[11]หมวด 6(2)'!#REF!</definedName>
    <definedName name="curb_ขอบทาง" localSheetId="18">'[11]หมวด 6(2)'!#REF!</definedName>
    <definedName name="curb_ขอบทาง" localSheetId="19">'[11]หมวด 6(2)'!#REF!</definedName>
    <definedName name="curb_ขอบทาง" localSheetId="9">'[11]หมวด 6(2)'!#REF!</definedName>
    <definedName name="curb_ขอบทาง" localSheetId="10">'[11]หมวด 6(2)'!#REF!</definedName>
    <definedName name="curb_ขอบทาง" localSheetId="11">'[11]หมวด 6(2)'!#REF!</definedName>
    <definedName name="curb_ขอบทาง" localSheetId="12">'[11]หมวด 6(2)'!#REF!</definedName>
    <definedName name="curb_ขอบทาง" localSheetId="13">'[11]หมวด 6(2)'!#REF!</definedName>
    <definedName name="curb_ขอบทาง" localSheetId="14">'[11]หมวด 6(2)'!#REF!</definedName>
    <definedName name="curb_ขอบทาง" localSheetId="15">'[11]หมวด 6(2)'!#REF!</definedName>
    <definedName name="curb_ขอบทาง" localSheetId="16">'[11]หมวด 6(2)'!#REF!</definedName>
    <definedName name="curb_ขอบทาง" localSheetId="17">'[11]หมวด 6(2)'!#REF!</definedName>
    <definedName name="curb_ขอบทาง" localSheetId="8">'[11]หมวด 6(2)'!#REF!</definedName>
    <definedName name="curb_ขอบทาง" localSheetId="7">'[11]หมวด 6(2)'!#REF!</definedName>
    <definedName name="curb_ขอบทาง" localSheetId="6">'[11]หมวด 6(2)'!#REF!</definedName>
    <definedName name="curb_ขอบทาง" localSheetId="20">'[11]หมวด 6(2)'!#REF!</definedName>
    <definedName name="curb_ขอบทาง" localSheetId="5">'[11]หมวด 6(2)'!#REF!</definedName>
    <definedName name="curb_ขอบทาง" localSheetId="21">'[11]หมวด 6(2)'!#REF!</definedName>
    <definedName name="curb_ขอบทาง" localSheetId="34">'[11]หมวด 6(2)'!#REF!</definedName>
    <definedName name="curb_ขอบทาง" localSheetId="35">'[11]หมวด 6(2)'!#REF!</definedName>
    <definedName name="curb_ขอบทาง" localSheetId="25">'[11]หมวด 6(2)'!#REF!</definedName>
    <definedName name="curb_ขอบทาง" localSheetId="27">'[11]หมวด 6(2)'!#REF!</definedName>
    <definedName name="curb_ขอบทาง" localSheetId="28">'[11]หมวด 6(2)'!#REF!</definedName>
    <definedName name="curb_ขอบทาง" localSheetId="29">'[11]หมวด 6(2)'!#REF!</definedName>
    <definedName name="curb_ขอบทาง" localSheetId="31">'[11]หมวด 6(2)'!#REF!</definedName>
    <definedName name="curb_ขอบทาง" localSheetId="32">'[11]หมวด 6(2)'!#REF!</definedName>
    <definedName name="curb_ขอบทาง" localSheetId="33">'[11]หมวด 6(2)'!#REF!</definedName>
    <definedName name="curb_ขอบทาง" localSheetId="24">'[11]หมวด 6(2)'!#REF!</definedName>
    <definedName name="curb_ขอบทาง" localSheetId="23">'[11]หมวด 6(2)'!#REF!</definedName>
    <definedName name="curb_ขอบทาง" localSheetId="36">'[11]หมวด 6(2)'!#REF!</definedName>
    <definedName name="curb_ขอบทาง" localSheetId="22">'[11]หมวด 6(2)'!#REF!</definedName>
    <definedName name="curb_ขอบทาง" localSheetId="26">'[11]หมวด 6(2)'!#REF!</definedName>
    <definedName name="curb_ขอบทาง" localSheetId="30">'[11]หมวด 6(2)'!#REF!</definedName>
    <definedName name="curb_ขอบทาง" localSheetId="41">'[11]หมวด 6(2)'!#REF!</definedName>
    <definedName name="curb_ขอบทาง" localSheetId="50">'[11]หมวด 6(2)'!#REF!</definedName>
    <definedName name="curb_ขอบทาง" localSheetId="51">'[11]หมวด 6(2)'!#REF!</definedName>
    <definedName name="curb_ขอบทาง" localSheetId="42">'[11]หมวด 6(2)'!#REF!</definedName>
    <definedName name="curb_ขอบทาง" localSheetId="43">'[11]หมวด 6(2)'!#REF!</definedName>
    <definedName name="curb_ขอบทาง" localSheetId="44">'[11]หมวด 6(2)'!#REF!</definedName>
    <definedName name="curb_ขอบทาง" localSheetId="45">'[11]หมวด 6(2)'!#REF!</definedName>
    <definedName name="curb_ขอบทาง" localSheetId="46">'[11]หมวด 6(2)'!#REF!</definedName>
    <definedName name="curb_ขอบทาง" localSheetId="47">'[11]หมวด 6(2)'!#REF!</definedName>
    <definedName name="curb_ขอบทาง" localSheetId="48">'[11]หมวด 6(2)'!#REF!</definedName>
    <definedName name="curb_ขอบทาง" localSheetId="49">'[11]หมวด 6(2)'!#REF!</definedName>
    <definedName name="curb_ขอบทาง" localSheetId="52">'[11]หมวด 6(2)'!#REF!</definedName>
    <definedName name="curb_ขอบทาง" localSheetId="40">'[11]หมวด 6(2)'!#REF!</definedName>
    <definedName name="curb_ขอบทาง" localSheetId="39">'[11]หมวด 6(2)'!#REF!</definedName>
    <definedName name="curb_ขอบทาง" localSheetId="38">'[11]หมวด 6(2)'!#REF!</definedName>
    <definedName name="curb_ขอบทาง" localSheetId="37">'[11]หมวด 6(2)'!#REF!</definedName>
    <definedName name="curb_ขอบทาง" localSheetId="57">'[11]หมวด 6(2)'!#REF!</definedName>
    <definedName name="curb_ขอบทาง" localSheetId="66">'[11]หมวด 6(2)'!#REF!</definedName>
    <definedName name="curb_ขอบทาง" localSheetId="67">'[11]หมวด 6(2)'!#REF!</definedName>
    <definedName name="curb_ขอบทาง" localSheetId="58">'[11]หมวด 6(2)'!#REF!</definedName>
    <definedName name="curb_ขอบทาง" localSheetId="59">'[11]หมวด 6(2)'!#REF!</definedName>
    <definedName name="curb_ขอบทาง" localSheetId="60">'[11]หมวด 6(2)'!#REF!</definedName>
    <definedName name="curb_ขอบทาง" localSheetId="61">'[11]หมวด 6(2)'!#REF!</definedName>
    <definedName name="curb_ขอบทาง" localSheetId="62">'[11]หมวด 6(2)'!#REF!</definedName>
    <definedName name="curb_ขอบทาง" localSheetId="63">'[11]หมวด 6(2)'!#REF!</definedName>
    <definedName name="curb_ขอบทาง" localSheetId="64">'[11]หมวด 6(2)'!#REF!</definedName>
    <definedName name="curb_ขอบทาง" localSheetId="65">'[11]หมวด 6(2)'!#REF!</definedName>
    <definedName name="curb_ขอบทาง" localSheetId="68">'[11]หมวด 6(2)'!#REF!</definedName>
    <definedName name="curb_ขอบทาง" localSheetId="56">'[11]หมวด 6(2)'!#REF!</definedName>
    <definedName name="curb_ขอบทาง" localSheetId="55">'[11]หมวด 6(2)'!#REF!</definedName>
    <definedName name="curb_ขอบทาง" localSheetId="54">'[11]หมวด 6(2)'!#REF!</definedName>
    <definedName name="curb_ขอบทาง" localSheetId="53">'[11]หมวด 6(2)'!#REF!</definedName>
    <definedName name="curb_ขอบทาง" localSheetId="85">'[11]หมวด 6(2)'!#REF!</definedName>
    <definedName name="curb_ขอบทาง" localSheetId="86">'[11]หมวด 6(2)'!#REF!</definedName>
    <definedName name="curb_ขอบทาง">'[11]หมวด 6(2)'!#REF!</definedName>
    <definedName name="CV" localSheetId="3">#REF!</definedName>
    <definedName name="CV" localSheetId="4">#REF!</definedName>
    <definedName name="CV" localSheetId="18">#REF!</definedName>
    <definedName name="CV" localSheetId="19">#REF!</definedName>
    <definedName name="CV" localSheetId="9">#REF!</definedName>
    <definedName name="CV" localSheetId="10">#REF!</definedName>
    <definedName name="CV" localSheetId="11">#REF!</definedName>
    <definedName name="CV" localSheetId="12">#REF!</definedName>
    <definedName name="CV" localSheetId="13">#REF!</definedName>
    <definedName name="CV" localSheetId="14">#REF!</definedName>
    <definedName name="CV" localSheetId="15">#REF!</definedName>
    <definedName name="CV" localSheetId="16">#REF!</definedName>
    <definedName name="CV" localSheetId="17">#REF!</definedName>
    <definedName name="CV" localSheetId="8">#REF!</definedName>
    <definedName name="CV" localSheetId="7">#REF!</definedName>
    <definedName name="CV" localSheetId="6">#REF!</definedName>
    <definedName name="CV" localSheetId="20">#REF!</definedName>
    <definedName name="CV" localSheetId="5">#REF!</definedName>
    <definedName name="CV" localSheetId="21">#REF!</definedName>
    <definedName name="CV" localSheetId="34">#REF!</definedName>
    <definedName name="CV" localSheetId="35">#REF!</definedName>
    <definedName name="CV" localSheetId="25">#REF!</definedName>
    <definedName name="CV" localSheetId="27">#REF!</definedName>
    <definedName name="CV" localSheetId="28">#REF!</definedName>
    <definedName name="CV" localSheetId="29">#REF!</definedName>
    <definedName name="CV" localSheetId="31">#REF!</definedName>
    <definedName name="CV" localSheetId="32">#REF!</definedName>
    <definedName name="CV" localSheetId="33">#REF!</definedName>
    <definedName name="CV" localSheetId="24">#REF!</definedName>
    <definedName name="CV" localSheetId="23">#REF!</definedName>
    <definedName name="CV" localSheetId="36">#REF!</definedName>
    <definedName name="CV" localSheetId="22">#REF!</definedName>
    <definedName name="CV" localSheetId="26">#REF!</definedName>
    <definedName name="CV" localSheetId="30">#REF!</definedName>
    <definedName name="CV" localSheetId="41">#REF!</definedName>
    <definedName name="CV" localSheetId="50">#REF!</definedName>
    <definedName name="CV" localSheetId="51">#REF!</definedName>
    <definedName name="CV" localSheetId="42">#REF!</definedName>
    <definedName name="CV" localSheetId="43">#REF!</definedName>
    <definedName name="CV" localSheetId="44">#REF!</definedName>
    <definedName name="CV" localSheetId="45">#REF!</definedName>
    <definedName name="CV" localSheetId="46">#REF!</definedName>
    <definedName name="CV" localSheetId="47">#REF!</definedName>
    <definedName name="CV" localSheetId="48">#REF!</definedName>
    <definedName name="CV" localSheetId="49">#REF!</definedName>
    <definedName name="CV" localSheetId="52">#REF!</definedName>
    <definedName name="CV" localSheetId="40">#REF!</definedName>
    <definedName name="CV" localSheetId="39">#REF!</definedName>
    <definedName name="CV" localSheetId="38">#REF!</definedName>
    <definedName name="CV" localSheetId="37">#REF!</definedName>
    <definedName name="CV" localSheetId="57">#REF!</definedName>
    <definedName name="CV" localSheetId="66">#REF!</definedName>
    <definedName name="CV" localSheetId="67">#REF!</definedName>
    <definedName name="CV" localSheetId="58">#REF!</definedName>
    <definedName name="CV" localSheetId="59">#REF!</definedName>
    <definedName name="CV" localSheetId="60">#REF!</definedName>
    <definedName name="CV" localSheetId="61">#REF!</definedName>
    <definedName name="CV" localSheetId="62">#REF!</definedName>
    <definedName name="CV" localSheetId="63">#REF!</definedName>
    <definedName name="CV" localSheetId="64">#REF!</definedName>
    <definedName name="CV" localSheetId="65">#REF!</definedName>
    <definedName name="CV" localSheetId="68">#REF!</definedName>
    <definedName name="CV" localSheetId="56">#REF!</definedName>
    <definedName name="CV" localSheetId="55">#REF!</definedName>
    <definedName name="CV" localSheetId="54">#REF!</definedName>
    <definedName name="CV" localSheetId="53">#REF!</definedName>
    <definedName name="CV" localSheetId="85">#REF!</definedName>
    <definedName name="CV" localSheetId="86">#REF!</definedName>
    <definedName name="CV" localSheetId="2">#REF!</definedName>
    <definedName name="CV">#REF!</definedName>
    <definedName name="_xlnm.Database" localSheetId="3">#REF!</definedName>
    <definedName name="_xlnm.Database" localSheetId="4">#REF!</definedName>
    <definedName name="_xlnm.Database" localSheetId="18">#REF!</definedName>
    <definedName name="_xlnm.Database" localSheetId="19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20">#REF!</definedName>
    <definedName name="_xlnm.Database" localSheetId="5">#REF!</definedName>
    <definedName name="_xlnm.Database" localSheetId="21">#REF!</definedName>
    <definedName name="_xlnm.Database" localSheetId="34">#REF!</definedName>
    <definedName name="_xlnm.Database" localSheetId="35">#REF!</definedName>
    <definedName name="_xlnm.Database" localSheetId="25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24">#REF!</definedName>
    <definedName name="_xlnm.Database" localSheetId="23">#REF!</definedName>
    <definedName name="_xlnm.Database" localSheetId="36">#REF!</definedName>
    <definedName name="_xlnm.Database" localSheetId="22">#REF!</definedName>
    <definedName name="_xlnm.Database" localSheetId="26">#REF!</definedName>
    <definedName name="_xlnm.Database" localSheetId="30">#REF!</definedName>
    <definedName name="_xlnm.Database" localSheetId="85">#REF!</definedName>
    <definedName name="_xlnm.Database" localSheetId="86">#REF!</definedName>
    <definedName name="_xlnm.Database" localSheetId="2">#REF!</definedName>
    <definedName name="_xlnm.Database">#REF!</definedName>
    <definedName name="DATE">[13]รายละเอียดโครงการ!$B$4</definedName>
    <definedName name="DB_12" localSheetId="3">#REF!</definedName>
    <definedName name="DB_12" localSheetId="4">#REF!</definedName>
    <definedName name="DB_12" localSheetId="18">#REF!</definedName>
    <definedName name="DB_12" localSheetId="19">#REF!</definedName>
    <definedName name="DB_12" localSheetId="9">#REF!</definedName>
    <definedName name="DB_12" localSheetId="10">#REF!</definedName>
    <definedName name="DB_12" localSheetId="11">#REF!</definedName>
    <definedName name="DB_12" localSheetId="12">#REF!</definedName>
    <definedName name="DB_12" localSheetId="13">#REF!</definedName>
    <definedName name="DB_12" localSheetId="14">#REF!</definedName>
    <definedName name="DB_12" localSheetId="15">#REF!</definedName>
    <definedName name="DB_12" localSheetId="16">#REF!</definedName>
    <definedName name="DB_12" localSheetId="17">#REF!</definedName>
    <definedName name="DB_12" localSheetId="8">#REF!</definedName>
    <definedName name="DB_12" localSheetId="7">#REF!</definedName>
    <definedName name="DB_12" localSheetId="6">#REF!</definedName>
    <definedName name="DB_12" localSheetId="20">#REF!</definedName>
    <definedName name="DB_12" localSheetId="5">#REF!</definedName>
    <definedName name="DB_12" localSheetId="21">#REF!</definedName>
    <definedName name="DB_12" localSheetId="34">#REF!</definedName>
    <definedName name="DB_12" localSheetId="35">#REF!</definedName>
    <definedName name="DB_12" localSheetId="25">#REF!</definedName>
    <definedName name="DB_12" localSheetId="27">#REF!</definedName>
    <definedName name="DB_12" localSheetId="28">#REF!</definedName>
    <definedName name="DB_12" localSheetId="29">#REF!</definedName>
    <definedName name="DB_12" localSheetId="31">#REF!</definedName>
    <definedName name="DB_12" localSheetId="32">#REF!</definedName>
    <definedName name="DB_12" localSheetId="33">#REF!</definedName>
    <definedName name="DB_12" localSheetId="24">#REF!</definedName>
    <definedName name="DB_12" localSheetId="23">#REF!</definedName>
    <definedName name="DB_12" localSheetId="36">#REF!</definedName>
    <definedName name="DB_12" localSheetId="22">#REF!</definedName>
    <definedName name="DB_12" localSheetId="26">#REF!</definedName>
    <definedName name="DB_12" localSheetId="30">#REF!</definedName>
    <definedName name="DB_12" localSheetId="41">#REF!</definedName>
    <definedName name="DB_12" localSheetId="50">#REF!</definedName>
    <definedName name="DB_12" localSheetId="51">#REF!</definedName>
    <definedName name="DB_12" localSheetId="42">#REF!</definedName>
    <definedName name="DB_12" localSheetId="43">#REF!</definedName>
    <definedName name="DB_12" localSheetId="44">#REF!</definedName>
    <definedName name="DB_12" localSheetId="45">#REF!</definedName>
    <definedName name="DB_12" localSheetId="46">#REF!</definedName>
    <definedName name="DB_12" localSheetId="47">#REF!</definedName>
    <definedName name="DB_12" localSheetId="48">#REF!</definedName>
    <definedName name="DB_12" localSheetId="49">#REF!</definedName>
    <definedName name="DB_12" localSheetId="52">#REF!</definedName>
    <definedName name="DB_12" localSheetId="40">#REF!</definedName>
    <definedName name="DB_12" localSheetId="39">#REF!</definedName>
    <definedName name="DB_12" localSheetId="38">#REF!</definedName>
    <definedName name="DB_12" localSheetId="37">#REF!</definedName>
    <definedName name="DB_12" localSheetId="57">#REF!</definedName>
    <definedName name="DB_12" localSheetId="66">#REF!</definedName>
    <definedName name="DB_12" localSheetId="67">#REF!</definedName>
    <definedName name="DB_12" localSheetId="58">#REF!</definedName>
    <definedName name="DB_12" localSheetId="59">#REF!</definedName>
    <definedName name="DB_12" localSheetId="60">#REF!</definedName>
    <definedName name="DB_12" localSheetId="61">#REF!</definedName>
    <definedName name="DB_12" localSheetId="62">#REF!</definedName>
    <definedName name="DB_12" localSheetId="63">#REF!</definedName>
    <definedName name="DB_12" localSheetId="64">#REF!</definedName>
    <definedName name="DB_12" localSheetId="65">#REF!</definedName>
    <definedName name="DB_12" localSheetId="68">#REF!</definedName>
    <definedName name="DB_12" localSheetId="56">#REF!</definedName>
    <definedName name="DB_12" localSheetId="55">#REF!</definedName>
    <definedName name="DB_12" localSheetId="54">#REF!</definedName>
    <definedName name="DB_12" localSheetId="53">#REF!</definedName>
    <definedName name="DB_12" localSheetId="85">#REF!</definedName>
    <definedName name="DB_12" localSheetId="86">#REF!</definedName>
    <definedName name="DB_12" localSheetId="2">#REF!</definedName>
    <definedName name="DB_12">#REF!</definedName>
    <definedName name="DB_12UP" localSheetId="3">[14]BOQ!#REF!</definedName>
    <definedName name="DB_12UP" localSheetId="4">[14]BOQ!#REF!</definedName>
    <definedName name="DB_12UP" localSheetId="18">[14]BOQ!#REF!</definedName>
    <definedName name="DB_12UP" localSheetId="19">[14]BOQ!#REF!</definedName>
    <definedName name="DB_12UP" localSheetId="9">[14]BOQ!#REF!</definedName>
    <definedName name="DB_12UP" localSheetId="10">[14]BOQ!#REF!</definedName>
    <definedName name="DB_12UP" localSheetId="11">[14]BOQ!#REF!</definedName>
    <definedName name="DB_12UP" localSheetId="12">[14]BOQ!#REF!</definedName>
    <definedName name="DB_12UP" localSheetId="13">[14]BOQ!#REF!</definedName>
    <definedName name="DB_12UP" localSheetId="14">[14]BOQ!#REF!</definedName>
    <definedName name="DB_12UP" localSheetId="15">[14]BOQ!#REF!</definedName>
    <definedName name="DB_12UP" localSheetId="16">[14]BOQ!#REF!</definedName>
    <definedName name="DB_12UP" localSheetId="17">[14]BOQ!#REF!</definedName>
    <definedName name="DB_12UP" localSheetId="8">[14]BOQ!#REF!</definedName>
    <definedName name="DB_12UP" localSheetId="7">[14]BOQ!#REF!</definedName>
    <definedName name="DB_12UP" localSheetId="6">[14]BOQ!#REF!</definedName>
    <definedName name="DB_12UP" localSheetId="20">[14]BOQ!#REF!</definedName>
    <definedName name="DB_12UP" localSheetId="5">[14]BOQ!#REF!</definedName>
    <definedName name="DB_12UP" localSheetId="21">[14]BOQ!#REF!</definedName>
    <definedName name="DB_12UP" localSheetId="34">[14]BOQ!#REF!</definedName>
    <definedName name="DB_12UP" localSheetId="35">[14]BOQ!#REF!</definedName>
    <definedName name="DB_12UP" localSheetId="25">[14]BOQ!#REF!</definedName>
    <definedName name="DB_12UP" localSheetId="27">[14]BOQ!#REF!</definedName>
    <definedName name="DB_12UP" localSheetId="28">[14]BOQ!#REF!</definedName>
    <definedName name="DB_12UP" localSheetId="29">[14]BOQ!#REF!</definedName>
    <definedName name="DB_12UP" localSheetId="31">[14]BOQ!#REF!</definedName>
    <definedName name="DB_12UP" localSheetId="32">[14]BOQ!#REF!</definedName>
    <definedName name="DB_12UP" localSheetId="33">[14]BOQ!#REF!</definedName>
    <definedName name="DB_12UP" localSheetId="24">[14]BOQ!#REF!</definedName>
    <definedName name="DB_12UP" localSheetId="23">[14]BOQ!#REF!</definedName>
    <definedName name="DB_12UP" localSheetId="36">[14]BOQ!#REF!</definedName>
    <definedName name="DB_12UP" localSheetId="22">[14]BOQ!#REF!</definedName>
    <definedName name="DB_12UP" localSheetId="26">[14]BOQ!#REF!</definedName>
    <definedName name="DB_12UP" localSheetId="30">[14]BOQ!#REF!</definedName>
    <definedName name="DB_12UP" localSheetId="41">[14]BOQ!#REF!</definedName>
    <definedName name="DB_12UP" localSheetId="50">[14]BOQ!#REF!</definedName>
    <definedName name="DB_12UP" localSheetId="51">[14]BOQ!#REF!</definedName>
    <definedName name="DB_12UP" localSheetId="42">[14]BOQ!#REF!</definedName>
    <definedName name="DB_12UP" localSheetId="43">[14]BOQ!#REF!</definedName>
    <definedName name="DB_12UP" localSheetId="44">[14]BOQ!#REF!</definedName>
    <definedName name="DB_12UP" localSheetId="45">[14]BOQ!#REF!</definedName>
    <definedName name="DB_12UP" localSheetId="46">[14]BOQ!#REF!</definedName>
    <definedName name="DB_12UP" localSheetId="47">[14]BOQ!#REF!</definedName>
    <definedName name="DB_12UP" localSheetId="48">[14]BOQ!#REF!</definedName>
    <definedName name="DB_12UP" localSheetId="49">[14]BOQ!#REF!</definedName>
    <definedName name="DB_12UP" localSheetId="52">[14]BOQ!#REF!</definedName>
    <definedName name="DB_12UP" localSheetId="40">[14]BOQ!#REF!</definedName>
    <definedName name="DB_12UP" localSheetId="39">[14]BOQ!#REF!</definedName>
    <definedName name="DB_12UP" localSheetId="38">[14]BOQ!#REF!</definedName>
    <definedName name="DB_12UP" localSheetId="37">[14]BOQ!#REF!</definedName>
    <definedName name="DB_12UP" localSheetId="57">[14]BOQ!#REF!</definedName>
    <definedName name="DB_12UP" localSheetId="66">[14]BOQ!#REF!</definedName>
    <definedName name="DB_12UP" localSheetId="67">[14]BOQ!#REF!</definedName>
    <definedName name="DB_12UP" localSheetId="58">[14]BOQ!#REF!</definedName>
    <definedName name="DB_12UP" localSheetId="59">[14]BOQ!#REF!</definedName>
    <definedName name="DB_12UP" localSheetId="60">[14]BOQ!#REF!</definedName>
    <definedName name="DB_12UP" localSheetId="61">[14]BOQ!#REF!</definedName>
    <definedName name="DB_12UP" localSheetId="62">[14]BOQ!#REF!</definedName>
    <definedName name="DB_12UP" localSheetId="63">[14]BOQ!#REF!</definedName>
    <definedName name="DB_12UP" localSheetId="64">[14]BOQ!#REF!</definedName>
    <definedName name="DB_12UP" localSheetId="65">[14]BOQ!#REF!</definedName>
    <definedName name="DB_12UP" localSheetId="68">[14]BOQ!#REF!</definedName>
    <definedName name="DB_12UP" localSheetId="56">[14]BOQ!#REF!</definedName>
    <definedName name="DB_12UP" localSheetId="55">[14]BOQ!#REF!</definedName>
    <definedName name="DB_12UP" localSheetId="54">[14]BOQ!#REF!</definedName>
    <definedName name="DB_12UP" localSheetId="53">[14]BOQ!#REF!</definedName>
    <definedName name="DB_12UP" localSheetId="85">[14]BOQ!#REF!</definedName>
    <definedName name="DB_12UP" localSheetId="86">[14]BOQ!#REF!</definedName>
    <definedName name="DB_12UP" localSheetId="2">[14]BOQ!#REF!</definedName>
    <definedName name="DB_12UP">[14]BOQ!#REF!</definedName>
    <definedName name="DB_12ไม่รวมขนส่ง" localSheetId="3">#REF!</definedName>
    <definedName name="DB_12ไม่รวมขนส่ง" localSheetId="4">#REF!</definedName>
    <definedName name="DB_12ไม่รวมขนส่ง" localSheetId="18">#REF!</definedName>
    <definedName name="DB_12ไม่รวมขนส่ง" localSheetId="19">#REF!</definedName>
    <definedName name="DB_12ไม่รวมขนส่ง" localSheetId="9">#REF!</definedName>
    <definedName name="DB_12ไม่รวมขนส่ง" localSheetId="10">#REF!</definedName>
    <definedName name="DB_12ไม่รวมขนส่ง" localSheetId="11">#REF!</definedName>
    <definedName name="DB_12ไม่รวมขนส่ง" localSheetId="12">#REF!</definedName>
    <definedName name="DB_12ไม่รวมขนส่ง" localSheetId="13">#REF!</definedName>
    <definedName name="DB_12ไม่รวมขนส่ง" localSheetId="14">#REF!</definedName>
    <definedName name="DB_12ไม่รวมขนส่ง" localSheetId="15">#REF!</definedName>
    <definedName name="DB_12ไม่รวมขนส่ง" localSheetId="16">#REF!</definedName>
    <definedName name="DB_12ไม่รวมขนส่ง" localSheetId="17">#REF!</definedName>
    <definedName name="DB_12ไม่รวมขนส่ง" localSheetId="8">#REF!</definedName>
    <definedName name="DB_12ไม่รวมขนส่ง" localSheetId="7">#REF!</definedName>
    <definedName name="DB_12ไม่รวมขนส่ง" localSheetId="6">#REF!</definedName>
    <definedName name="DB_12ไม่รวมขนส่ง" localSheetId="20">#REF!</definedName>
    <definedName name="DB_12ไม่รวมขนส่ง" localSheetId="5">#REF!</definedName>
    <definedName name="DB_12ไม่รวมขนส่ง" localSheetId="21">#REF!</definedName>
    <definedName name="DB_12ไม่รวมขนส่ง" localSheetId="34">#REF!</definedName>
    <definedName name="DB_12ไม่รวมขนส่ง" localSheetId="35">#REF!</definedName>
    <definedName name="DB_12ไม่รวมขนส่ง" localSheetId="25">#REF!</definedName>
    <definedName name="DB_12ไม่รวมขนส่ง" localSheetId="27">#REF!</definedName>
    <definedName name="DB_12ไม่รวมขนส่ง" localSheetId="28">#REF!</definedName>
    <definedName name="DB_12ไม่รวมขนส่ง" localSheetId="29">#REF!</definedName>
    <definedName name="DB_12ไม่รวมขนส่ง" localSheetId="31">#REF!</definedName>
    <definedName name="DB_12ไม่รวมขนส่ง" localSheetId="32">#REF!</definedName>
    <definedName name="DB_12ไม่รวมขนส่ง" localSheetId="33">#REF!</definedName>
    <definedName name="DB_12ไม่รวมขนส่ง" localSheetId="24">#REF!</definedName>
    <definedName name="DB_12ไม่รวมขนส่ง" localSheetId="23">#REF!</definedName>
    <definedName name="DB_12ไม่รวมขนส่ง" localSheetId="36">#REF!</definedName>
    <definedName name="DB_12ไม่รวมขนส่ง" localSheetId="22">#REF!</definedName>
    <definedName name="DB_12ไม่รวมขนส่ง" localSheetId="26">#REF!</definedName>
    <definedName name="DB_12ไม่รวมขนส่ง" localSheetId="30">#REF!</definedName>
    <definedName name="DB_12ไม่รวมขนส่ง" localSheetId="41">#REF!</definedName>
    <definedName name="DB_12ไม่รวมขนส่ง" localSheetId="50">#REF!</definedName>
    <definedName name="DB_12ไม่รวมขนส่ง" localSheetId="51">#REF!</definedName>
    <definedName name="DB_12ไม่รวมขนส่ง" localSheetId="42">#REF!</definedName>
    <definedName name="DB_12ไม่รวมขนส่ง" localSheetId="43">#REF!</definedName>
    <definedName name="DB_12ไม่รวมขนส่ง" localSheetId="44">#REF!</definedName>
    <definedName name="DB_12ไม่รวมขนส่ง" localSheetId="45">#REF!</definedName>
    <definedName name="DB_12ไม่รวมขนส่ง" localSheetId="46">#REF!</definedName>
    <definedName name="DB_12ไม่รวมขนส่ง" localSheetId="47">#REF!</definedName>
    <definedName name="DB_12ไม่รวมขนส่ง" localSheetId="48">#REF!</definedName>
    <definedName name="DB_12ไม่รวมขนส่ง" localSheetId="49">#REF!</definedName>
    <definedName name="DB_12ไม่รวมขนส่ง" localSheetId="52">#REF!</definedName>
    <definedName name="DB_12ไม่รวมขนส่ง" localSheetId="40">#REF!</definedName>
    <definedName name="DB_12ไม่รวมขนส่ง" localSheetId="39">#REF!</definedName>
    <definedName name="DB_12ไม่รวมขนส่ง" localSheetId="38">#REF!</definedName>
    <definedName name="DB_12ไม่รวมขนส่ง" localSheetId="37">#REF!</definedName>
    <definedName name="DB_12ไม่รวมขนส่ง" localSheetId="57">#REF!</definedName>
    <definedName name="DB_12ไม่รวมขนส่ง" localSheetId="66">#REF!</definedName>
    <definedName name="DB_12ไม่รวมขนส่ง" localSheetId="67">#REF!</definedName>
    <definedName name="DB_12ไม่รวมขนส่ง" localSheetId="58">#REF!</definedName>
    <definedName name="DB_12ไม่รวมขนส่ง" localSheetId="59">#REF!</definedName>
    <definedName name="DB_12ไม่รวมขนส่ง" localSheetId="60">#REF!</definedName>
    <definedName name="DB_12ไม่รวมขนส่ง" localSheetId="61">#REF!</definedName>
    <definedName name="DB_12ไม่รวมขนส่ง" localSheetId="62">#REF!</definedName>
    <definedName name="DB_12ไม่รวมขนส่ง" localSheetId="63">#REF!</definedName>
    <definedName name="DB_12ไม่รวมขนส่ง" localSheetId="64">#REF!</definedName>
    <definedName name="DB_12ไม่รวมขนส่ง" localSheetId="65">#REF!</definedName>
    <definedName name="DB_12ไม่รวมขนส่ง" localSheetId="68">#REF!</definedName>
    <definedName name="DB_12ไม่รวมขนส่ง" localSheetId="56">#REF!</definedName>
    <definedName name="DB_12ไม่รวมขนส่ง" localSheetId="55">#REF!</definedName>
    <definedName name="DB_12ไม่รวมขนส่ง" localSheetId="54">#REF!</definedName>
    <definedName name="DB_12ไม่รวมขนส่ง" localSheetId="53">#REF!</definedName>
    <definedName name="DB_12ไม่รวมขนส่ง" localSheetId="85">#REF!</definedName>
    <definedName name="DB_12ไม่รวมขนส่ง" localSheetId="86">#REF!</definedName>
    <definedName name="DB_12ไม่รวมขนส่ง" localSheetId="2">#REF!</definedName>
    <definedName name="DB_12ไม่รวมขนส่ง">#REF!</definedName>
    <definedName name="DB_16" localSheetId="3">#REF!</definedName>
    <definedName name="DB_16" localSheetId="4">#REF!</definedName>
    <definedName name="DB_16" localSheetId="18">#REF!</definedName>
    <definedName name="DB_16" localSheetId="19">#REF!</definedName>
    <definedName name="DB_16" localSheetId="9">#REF!</definedName>
    <definedName name="DB_16" localSheetId="10">#REF!</definedName>
    <definedName name="DB_16" localSheetId="11">#REF!</definedName>
    <definedName name="DB_16" localSheetId="12">#REF!</definedName>
    <definedName name="DB_16" localSheetId="13">#REF!</definedName>
    <definedName name="DB_16" localSheetId="14">#REF!</definedName>
    <definedName name="DB_16" localSheetId="15">#REF!</definedName>
    <definedName name="DB_16" localSheetId="16">#REF!</definedName>
    <definedName name="DB_16" localSheetId="17">#REF!</definedName>
    <definedName name="DB_16" localSheetId="8">#REF!</definedName>
    <definedName name="DB_16" localSheetId="7">#REF!</definedName>
    <definedName name="DB_16" localSheetId="6">#REF!</definedName>
    <definedName name="DB_16" localSheetId="20">#REF!</definedName>
    <definedName name="DB_16" localSheetId="5">#REF!</definedName>
    <definedName name="DB_16" localSheetId="21">#REF!</definedName>
    <definedName name="DB_16" localSheetId="34">#REF!</definedName>
    <definedName name="DB_16" localSheetId="35">#REF!</definedName>
    <definedName name="DB_16" localSheetId="25">#REF!</definedName>
    <definedName name="DB_16" localSheetId="27">#REF!</definedName>
    <definedName name="DB_16" localSheetId="28">#REF!</definedName>
    <definedName name="DB_16" localSheetId="29">#REF!</definedName>
    <definedName name="DB_16" localSheetId="31">#REF!</definedName>
    <definedName name="DB_16" localSheetId="32">#REF!</definedName>
    <definedName name="DB_16" localSheetId="33">#REF!</definedName>
    <definedName name="DB_16" localSheetId="24">#REF!</definedName>
    <definedName name="DB_16" localSheetId="23">#REF!</definedName>
    <definedName name="DB_16" localSheetId="36">#REF!</definedName>
    <definedName name="DB_16" localSheetId="22">#REF!</definedName>
    <definedName name="DB_16" localSheetId="26">#REF!</definedName>
    <definedName name="DB_16" localSheetId="30">#REF!</definedName>
    <definedName name="DB_16" localSheetId="85">#REF!</definedName>
    <definedName name="DB_16" localSheetId="86">#REF!</definedName>
    <definedName name="DB_16" localSheetId="2">#REF!</definedName>
    <definedName name="DB_16">#REF!</definedName>
    <definedName name="DB_16ไม่รวมขนส่ง" localSheetId="3">#REF!</definedName>
    <definedName name="DB_16ไม่รวมขนส่ง" localSheetId="4">#REF!</definedName>
    <definedName name="DB_16ไม่รวมขนส่ง" localSheetId="18">#REF!</definedName>
    <definedName name="DB_16ไม่รวมขนส่ง" localSheetId="19">#REF!</definedName>
    <definedName name="DB_16ไม่รวมขนส่ง" localSheetId="9">#REF!</definedName>
    <definedName name="DB_16ไม่รวมขนส่ง" localSheetId="10">#REF!</definedName>
    <definedName name="DB_16ไม่รวมขนส่ง" localSheetId="11">#REF!</definedName>
    <definedName name="DB_16ไม่รวมขนส่ง" localSheetId="12">#REF!</definedName>
    <definedName name="DB_16ไม่รวมขนส่ง" localSheetId="13">#REF!</definedName>
    <definedName name="DB_16ไม่รวมขนส่ง" localSheetId="14">#REF!</definedName>
    <definedName name="DB_16ไม่รวมขนส่ง" localSheetId="15">#REF!</definedName>
    <definedName name="DB_16ไม่รวมขนส่ง" localSheetId="16">#REF!</definedName>
    <definedName name="DB_16ไม่รวมขนส่ง" localSheetId="17">#REF!</definedName>
    <definedName name="DB_16ไม่รวมขนส่ง" localSheetId="8">#REF!</definedName>
    <definedName name="DB_16ไม่รวมขนส่ง" localSheetId="7">#REF!</definedName>
    <definedName name="DB_16ไม่รวมขนส่ง" localSheetId="6">#REF!</definedName>
    <definedName name="DB_16ไม่รวมขนส่ง" localSheetId="20">#REF!</definedName>
    <definedName name="DB_16ไม่รวมขนส่ง" localSheetId="5">#REF!</definedName>
    <definedName name="DB_16ไม่รวมขนส่ง" localSheetId="21">#REF!</definedName>
    <definedName name="DB_16ไม่รวมขนส่ง" localSheetId="34">#REF!</definedName>
    <definedName name="DB_16ไม่รวมขนส่ง" localSheetId="35">#REF!</definedName>
    <definedName name="DB_16ไม่รวมขนส่ง" localSheetId="25">#REF!</definedName>
    <definedName name="DB_16ไม่รวมขนส่ง" localSheetId="27">#REF!</definedName>
    <definedName name="DB_16ไม่รวมขนส่ง" localSheetId="28">#REF!</definedName>
    <definedName name="DB_16ไม่รวมขนส่ง" localSheetId="29">#REF!</definedName>
    <definedName name="DB_16ไม่รวมขนส่ง" localSheetId="31">#REF!</definedName>
    <definedName name="DB_16ไม่รวมขนส่ง" localSheetId="32">#REF!</definedName>
    <definedName name="DB_16ไม่รวมขนส่ง" localSheetId="33">#REF!</definedName>
    <definedName name="DB_16ไม่รวมขนส่ง" localSheetId="24">#REF!</definedName>
    <definedName name="DB_16ไม่รวมขนส่ง" localSheetId="23">#REF!</definedName>
    <definedName name="DB_16ไม่รวมขนส่ง" localSheetId="36">#REF!</definedName>
    <definedName name="DB_16ไม่รวมขนส่ง" localSheetId="22">#REF!</definedName>
    <definedName name="DB_16ไม่รวมขนส่ง" localSheetId="26">#REF!</definedName>
    <definedName name="DB_16ไม่รวมขนส่ง" localSheetId="30">#REF!</definedName>
    <definedName name="DB_16ไม่รวมขนส่ง" localSheetId="85">#REF!</definedName>
    <definedName name="DB_16ไม่รวมขนส่ง" localSheetId="86">#REF!</definedName>
    <definedName name="DB_16ไม่รวมขนส่ง" localSheetId="2">#REF!</definedName>
    <definedName name="DB_16ไม่รวมขนส่ง">#REF!</definedName>
    <definedName name="DB_20" localSheetId="3">#REF!</definedName>
    <definedName name="DB_20" localSheetId="2">#REF!</definedName>
    <definedName name="DB_20">#REF!</definedName>
    <definedName name="DB_20ไม่รวมขนส่ง" localSheetId="3">#REF!</definedName>
    <definedName name="DB_20ไม่รวมขนส่ง" localSheetId="2">#REF!</definedName>
    <definedName name="DB_20ไม่รวมขนส่ง">#REF!</definedName>
    <definedName name="DB_25" localSheetId="3">#REF!</definedName>
    <definedName name="DB_25" localSheetId="2">#REF!</definedName>
    <definedName name="DB_25">#REF!</definedName>
    <definedName name="DB_25ไม่รวมขนส่ง" localSheetId="3">#REF!</definedName>
    <definedName name="DB_25ไม่รวมขนส่ง" localSheetId="2">#REF!</definedName>
    <definedName name="DB_25ไม่รวมขนส่ง">#REF!</definedName>
    <definedName name="DB_28" localSheetId="3">#REF!</definedName>
    <definedName name="DB_28" localSheetId="2">#REF!</definedName>
    <definedName name="DB_28">#REF!</definedName>
    <definedName name="DB_28ไม่รวมขนส่ง" localSheetId="3">#REF!</definedName>
    <definedName name="DB_28ไม่รวมขนส่ง" localSheetId="2">#REF!</definedName>
    <definedName name="DB_28ไม่รวมขนส่ง">#REF!</definedName>
    <definedName name="DDDDD">#REF!</definedName>
    <definedName name="dia0.40m." localSheetId="3">#REF!</definedName>
    <definedName name="dia0.40m." localSheetId="2">#REF!</definedName>
    <definedName name="dia0.40m.">#REF!</definedName>
    <definedName name="dia0.60m." localSheetId="3">#REF!</definedName>
    <definedName name="dia0.60m." localSheetId="2">#REF!</definedName>
    <definedName name="dia0.60m.">#REF!</definedName>
    <definedName name="dia0.80m." localSheetId="3">#REF!</definedName>
    <definedName name="dia0.80m." localSheetId="2">#REF!</definedName>
    <definedName name="dia0.80m.">#REF!</definedName>
    <definedName name="dia1.00m." localSheetId="3">#REF!</definedName>
    <definedName name="dia1.00m." localSheetId="2">#REF!</definedName>
    <definedName name="dia1.00m.">#REF!</definedName>
    <definedName name="dia1.20m." localSheetId="3">#REF!</definedName>
    <definedName name="dia1.20m." localSheetId="2">#REF!</definedName>
    <definedName name="dia1.20m.">#REF!</definedName>
    <definedName name="digdoh" localSheetId="3">#REF!</definedName>
    <definedName name="digdoh" localSheetId="2">#REF!</definedName>
    <definedName name="digdoh">#REF!</definedName>
    <definedName name="DitchLining_I">'[8]6'!$J$1272</definedName>
    <definedName name="DitchLining_II">'[8]6'!$J$1286</definedName>
    <definedName name="DitchLining_III">'[8]6'!$J$1296</definedName>
    <definedName name="Double_Post">'[8]6'!$J$2669</definedName>
    <definedName name="DOWELED_CONSTRUCTION_JOINT" localSheetId="3">#REF!</definedName>
    <definedName name="DOWELED_CONSTRUCTION_JOINT" localSheetId="4">#REF!</definedName>
    <definedName name="DOWELED_CONSTRUCTION_JOINT" localSheetId="18">#REF!</definedName>
    <definedName name="DOWELED_CONSTRUCTION_JOINT" localSheetId="19">#REF!</definedName>
    <definedName name="DOWELED_CONSTRUCTION_JOINT" localSheetId="9">#REF!</definedName>
    <definedName name="DOWELED_CONSTRUCTION_JOINT" localSheetId="10">#REF!</definedName>
    <definedName name="DOWELED_CONSTRUCTION_JOINT" localSheetId="11">#REF!</definedName>
    <definedName name="DOWELED_CONSTRUCTION_JOINT" localSheetId="12">#REF!</definedName>
    <definedName name="DOWELED_CONSTRUCTION_JOINT" localSheetId="13">#REF!</definedName>
    <definedName name="DOWELED_CONSTRUCTION_JOINT" localSheetId="14">#REF!</definedName>
    <definedName name="DOWELED_CONSTRUCTION_JOINT" localSheetId="15">#REF!</definedName>
    <definedName name="DOWELED_CONSTRUCTION_JOINT" localSheetId="16">#REF!</definedName>
    <definedName name="DOWELED_CONSTRUCTION_JOINT" localSheetId="17">#REF!</definedName>
    <definedName name="DOWELED_CONSTRUCTION_JOINT" localSheetId="8">#REF!</definedName>
    <definedName name="DOWELED_CONSTRUCTION_JOINT" localSheetId="7">#REF!</definedName>
    <definedName name="DOWELED_CONSTRUCTION_JOINT" localSheetId="6">#REF!</definedName>
    <definedName name="DOWELED_CONSTRUCTION_JOINT" localSheetId="20">#REF!</definedName>
    <definedName name="DOWELED_CONSTRUCTION_JOINT" localSheetId="5">#REF!</definedName>
    <definedName name="DOWELED_CONSTRUCTION_JOINT" localSheetId="21">#REF!</definedName>
    <definedName name="DOWELED_CONSTRUCTION_JOINT" localSheetId="34">#REF!</definedName>
    <definedName name="DOWELED_CONSTRUCTION_JOINT" localSheetId="35">#REF!</definedName>
    <definedName name="DOWELED_CONSTRUCTION_JOINT" localSheetId="25">#REF!</definedName>
    <definedName name="DOWELED_CONSTRUCTION_JOINT" localSheetId="27">#REF!</definedName>
    <definedName name="DOWELED_CONSTRUCTION_JOINT" localSheetId="28">#REF!</definedName>
    <definedName name="DOWELED_CONSTRUCTION_JOINT" localSheetId="29">#REF!</definedName>
    <definedName name="DOWELED_CONSTRUCTION_JOINT" localSheetId="31">#REF!</definedName>
    <definedName name="DOWELED_CONSTRUCTION_JOINT" localSheetId="32">#REF!</definedName>
    <definedName name="DOWELED_CONSTRUCTION_JOINT" localSheetId="33">#REF!</definedName>
    <definedName name="DOWELED_CONSTRUCTION_JOINT" localSheetId="24">#REF!</definedName>
    <definedName name="DOWELED_CONSTRUCTION_JOINT" localSheetId="23">#REF!</definedName>
    <definedName name="DOWELED_CONSTRUCTION_JOINT" localSheetId="36">#REF!</definedName>
    <definedName name="DOWELED_CONSTRUCTION_JOINT" localSheetId="22">#REF!</definedName>
    <definedName name="DOWELED_CONSTRUCTION_JOINT" localSheetId="26">#REF!</definedName>
    <definedName name="DOWELED_CONSTRUCTION_JOINT" localSheetId="30">#REF!</definedName>
    <definedName name="DOWELED_CONSTRUCTION_JOINT" localSheetId="41">#REF!</definedName>
    <definedName name="DOWELED_CONSTRUCTION_JOINT" localSheetId="50">#REF!</definedName>
    <definedName name="DOWELED_CONSTRUCTION_JOINT" localSheetId="51">#REF!</definedName>
    <definedName name="DOWELED_CONSTRUCTION_JOINT" localSheetId="42">#REF!</definedName>
    <definedName name="DOWELED_CONSTRUCTION_JOINT" localSheetId="43">#REF!</definedName>
    <definedName name="DOWELED_CONSTRUCTION_JOINT" localSheetId="44">#REF!</definedName>
    <definedName name="DOWELED_CONSTRUCTION_JOINT" localSheetId="45">#REF!</definedName>
    <definedName name="DOWELED_CONSTRUCTION_JOINT" localSheetId="46">#REF!</definedName>
    <definedName name="DOWELED_CONSTRUCTION_JOINT" localSheetId="47">#REF!</definedName>
    <definedName name="DOWELED_CONSTRUCTION_JOINT" localSheetId="48">#REF!</definedName>
    <definedName name="DOWELED_CONSTRUCTION_JOINT" localSheetId="49">#REF!</definedName>
    <definedName name="DOWELED_CONSTRUCTION_JOINT" localSheetId="52">#REF!</definedName>
    <definedName name="DOWELED_CONSTRUCTION_JOINT" localSheetId="40">#REF!</definedName>
    <definedName name="DOWELED_CONSTRUCTION_JOINT" localSheetId="39">#REF!</definedName>
    <definedName name="DOWELED_CONSTRUCTION_JOINT" localSheetId="38">#REF!</definedName>
    <definedName name="DOWELED_CONSTRUCTION_JOINT" localSheetId="37">#REF!</definedName>
    <definedName name="DOWELED_CONSTRUCTION_JOINT" localSheetId="57">#REF!</definedName>
    <definedName name="DOWELED_CONSTRUCTION_JOINT" localSheetId="66">#REF!</definedName>
    <definedName name="DOWELED_CONSTRUCTION_JOINT" localSheetId="67">#REF!</definedName>
    <definedName name="DOWELED_CONSTRUCTION_JOINT" localSheetId="58">#REF!</definedName>
    <definedName name="DOWELED_CONSTRUCTION_JOINT" localSheetId="59">#REF!</definedName>
    <definedName name="DOWELED_CONSTRUCTION_JOINT" localSheetId="60">#REF!</definedName>
    <definedName name="DOWELED_CONSTRUCTION_JOINT" localSheetId="61">#REF!</definedName>
    <definedName name="DOWELED_CONSTRUCTION_JOINT" localSheetId="62">#REF!</definedName>
    <definedName name="DOWELED_CONSTRUCTION_JOINT" localSheetId="63">#REF!</definedName>
    <definedName name="DOWELED_CONSTRUCTION_JOINT" localSheetId="64">#REF!</definedName>
    <definedName name="DOWELED_CONSTRUCTION_JOINT" localSheetId="65">#REF!</definedName>
    <definedName name="DOWELED_CONSTRUCTION_JOINT" localSheetId="68">#REF!</definedName>
    <definedName name="DOWELED_CONSTRUCTION_JOINT" localSheetId="56">#REF!</definedName>
    <definedName name="DOWELED_CONSTRUCTION_JOINT" localSheetId="55">#REF!</definedName>
    <definedName name="DOWELED_CONSTRUCTION_JOINT" localSheetId="54">#REF!</definedName>
    <definedName name="DOWELED_CONSTRUCTION_JOINT" localSheetId="53">#REF!</definedName>
    <definedName name="DOWELED_CONSTRUCTION_JOINT" localSheetId="85">#REF!</definedName>
    <definedName name="DOWELED_CONSTRUCTION_JOINT" localSheetId="86">#REF!</definedName>
    <definedName name="DOWELED_CONSTRUCTION_JOINT" localSheetId="2">#REF!</definedName>
    <definedName name="DOWELED_CONSTRUCTION_JOINT">#REF!</definedName>
    <definedName name="DOWELED_CONTRACTION_JOINT" localSheetId="3">#REF!</definedName>
    <definedName name="DOWELED_CONTRACTION_JOINT" localSheetId="4">#REF!</definedName>
    <definedName name="DOWELED_CONTRACTION_JOINT" localSheetId="18">#REF!</definedName>
    <definedName name="DOWELED_CONTRACTION_JOINT" localSheetId="19">#REF!</definedName>
    <definedName name="DOWELED_CONTRACTION_JOINT" localSheetId="9">#REF!</definedName>
    <definedName name="DOWELED_CONTRACTION_JOINT" localSheetId="10">#REF!</definedName>
    <definedName name="DOWELED_CONTRACTION_JOINT" localSheetId="11">#REF!</definedName>
    <definedName name="DOWELED_CONTRACTION_JOINT" localSheetId="12">#REF!</definedName>
    <definedName name="DOWELED_CONTRACTION_JOINT" localSheetId="13">#REF!</definedName>
    <definedName name="DOWELED_CONTRACTION_JOINT" localSheetId="14">#REF!</definedName>
    <definedName name="DOWELED_CONTRACTION_JOINT" localSheetId="15">#REF!</definedName>
    <definedName name="DOWELED_CONTRACTION_JOINT" localSheetId="16">#REF!</definedName>
    <definedName name="DOWELED_CONTRACTION_JOINT" localSheetId="17">#REF!</definedName>
    <definedName name="DOWELED_CONTRACTION_JOINT" localSheetId="8">#REF!</definedName>
    <definedName name="DOWELED_CONTRACTION_JOINT" localSheetId="7">#REF!</definedName>
    <definedName name="DOWELED_CONTRACTION_JOINT" localSheetId="6">#REF!</definedName>
    <definedName name="DOWELED_CONTRACTION_JOINT" localSheetId="20">#REF!</definedName>
    <definedName name="DOWELED_CONTRACTION_JOINT" localSheetId="5">#REF!</definedName>
    <definedName name="DOWELED_CONTRACTION_JOINT" localSheetId="21">#REF!</definedName>
    <definedName name="DOWELED_CONTRACTION_JOINT" localSheetId="34">#REF!</definedName>
    <definedName name="DOWELED_CONTRACTION_JOINT" localSheetId="35">#REF!</definedName>
    <definedName name="DOWELED_CONTRACTION_JOINT" localSheetId="25">#REF!</definedName>
    <definedName name="DOWELED_CONTRACTION_JOINT" localSheetId="27">#REF!</definedName>
    <definedName name="DOWELED_CONTRACTION_JOINT" localSheetId="28">#REF!</definedName>
    <definedName name="DOWELED_CONTRACTION_JOINT" localSheetId="29">#REF!</definedName>
    <definedName name="DOWELED_CONTRACTION_JOINT" localSheetId="31">#REF!</definedName>
    <definedName name="DOWELED_CONTRACTION_JOINT" localSheetId="32">#REF!</definedName>
    <definedName name="DOWELED_CONTRACTION_JOINT" localSheetId="33">#REF!</definedName>
    <definedName name="DOWELED_CONTRACTION_JOINT" localSheetId="24">#REF!</definedName>
    <definedName name="DOWELED_CONTRACTION_JOINT" localSheetId="23">#REF!</definedName>
    <definedName name="DOWELED_CONTRACTION_JOINT" localSheetId="36">#REF!</definedName>
    <definedName name="DOWELED_CONTRACTION_JOINT" localSheetId="22">#REF!</definedName>
    <definedName name="DOWELED_CONTRACTION_JOINT" localSheetId="26">#REF!</definedName>
    <definedName name="DOWELED_CONTRACTION_JOINT" localSheetId="30">#REF!</definedName>
    <definedName name="DOWELED_CONTRACTION_JOINT" localSheetId="85">#REF!</definedName>
    <definedName name="DOWELED_CONTRACTION_JOINT" localSheetId="86">#REF!</definedName>
    <definedName name="DOWELED_CONTRACTION_JOINT" localSheetId="2">#REF!</definedName>
    <definedName name="DOWELED_CONTRACTION_JOINT">#REF!</definedName>
    <definedName name="Drop_Inlet">'[8]6'!$J$1236</definedName>
    <definedName name="DS" localSheetId="3">#REF!</definedName>
    <definedName name="DS" localSheetId="4">#REF!</definedName>
    <definedName name="DS" localSheetId="18">#REF!</definedName>
    <definedName name="DS" localSheetId="19">#REF!</definedName>
    <definedName name="DS" localSheetId="9">#REF!</definedName>
    <definedName name="DS" localSheetId="1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7">#REF!</definedName>
    <definedName name="DS" localSheetId="8">#REF!</definedName>
    <definedName name="DS" localSheetId="7">#REF!</definedName>
    <definedName name="DS" localSheetId="6">#REF!</definedName>
    <definedName name="DS" localSheetId="20">#REF!</definedName>
    <definedName name="DS" localSheetId="5">#REF!</definedName>
    <definedName name="DS" localSheetId="21">#REF!</definedName>
    <definedName name="DS" localSheetId="34">#REF!</definedName>
    <definedName name="DS" localSheetId="35">#REF!</definedName>
    <definedName name="DS" localSheetId="25">#REF!</definedName>
    <definedName name="DS" localSheetId="27">#REF!</definedName>
    <definedName name="DS" localSheetId="28">#REF!</definedName>
    <definedName name="DS" localSheetId="29">#REF!</definedName>
    <definedName name="DS" localSheetId="31">#REF!</definedName>
    <definedName name="DS" localSheetId="32">#REF!</definedName>
    <definedName name="DS" localSheetId="33">#REF!</definedName>
    <definedName name="DS" localSheetId="24">#REF!</definedName>
    <definedName name="DS" localSheetId="23">#REF!</definedName>
    <definedName name="DS" localSheetId="36">#REF!</definedName>
    <definedName name="DS" localSheetId="22">#REF!</definedName>
    <definedName name="DS" localSheetId="26">#REF!</definedName>
    <definedName name="DS" localSheetId="30">#REF!</definedName>
    <definedName name="DS" localSheetId="41">#REF!</definedName>
    <definedName name="DS" localSheetId="50">#REF!</definedName>
    <definedName name="DS" localSheetId="51">#REF!</definedName>
    <definedName name="DS" localSheetId="42">#REF!</definedName>
    <definedName name="DS" localSheetId="43">#REF!</definedName>
    <definedName name="DS" localSheetId="44">#REF!</definedName>
    <definedName name="DS" localSheetId="45">#REF!</definedName>
    <definedName name="DS" localSheetId="46">#REF!</definedName>
    <definedName name="DS" localSheetId="47">#REF!</definedName>
    <definedName name="DS" localSheetId="48">#REF!</definedName>
    <definedName name="DS" localSheetId="49">#REF!</definedName>
    <definedName name="DS" localSheetId="52">#REF!</definedName>
    <definedName name="DS" localSheetId="40">#REF!</definedName>
    <definedName name="DS" localSheetId="39">#REF!</definedName>
    <definedName name="DS" localSheetId="38">#REF!</definedName>
    <definedName name="DS" localSheetId="37">#REF!</definedName>
    <definedName name="DS" localSheetId="57">#REF!</definedName>
    <definedName name="DS" localSheetId="66">#REF!</definedName>
    <definedName name="DS" localSheetId="67">#REF!</definedName>
    <definedName name="DS" localSheetId="58">#REF!</definedName>
    <definedName name="DS" localSheetId="59">#REF!</definedName>
    <definedName name="DS" localSheetId="60">#REF!</definedName>
    <definedName name="DS" localSheetId="61">#REF!</definedName>
    <definedName name="DS" localSheetId="62">#REF!</definedName>
    <definedName name="DS" localSheetId="63">#REF!</definedName>
    <definedName name="DS" localSheetId="64">#REF!</definedName>
    <definedName name="DS" localSheetId="65">#REF!</definedName>
    <definedName name="DS" localSheetId="68">#REF!</definedName>
    <definedName name="DS" localSheetId="56">#REF!</definedName>
    <definedName name="DS" localSheetId="55">#REF!</definedName>
    <definedName name="DS" localSheetId="54">#REF!</definedName>
    <definedName name="DS" localSheetId="53">#REF!</definedName>
    <definedName name="DS" localSheetId="85">#REF!</definedName>
    <definedName name="DS" localSheetId="86">#REF!</definedName>
    <definedName name="DS" localSheetId="2">#REF!</definedName>
    <definedName name="DS">#REF!</definedName>
    <definedName name="DT" localSheetId="3">#REF!</definedName>
    <definedName name="DT" localSheetId="4">#REF!</definedName>
    <definedName name="DT" localSheetId="18">#REF!</definedName>
    <definedName name="DT" localSheetId="19">#REF!</definedName>
    <definedName name="DT" localSheetId="9">#REF!</definedName>
    <definedName name="DT" localSheetId="10">#REF!</definedName>
    <definedName name="DT" localSheetId="11">#REF!</definedName>
    <definedName name="DT" localSheetId="12">#REF!</definedName>
    <definedName name="DT" localSheetId="13">#REF!</definedName>
    <definedName name="DT" localSheetId="14">#REF!</definedName>
    <definedName name="DT" localSheetId="15">#REF!</definedName>
    <definedName name="DT" localSheetId="16">#REF!</definedName>
    <definedName name="DT" localSheetId="17">#REF!</definedName>
    <definedName name="DT" localSheetId="8">#REF!</definedName>
    <definedName name="DT" localSheetId="7">#REF!</definedName>
    <definedName name="DT" localSheetId="6">#REF!</definedName>
    <definedName name="DT" localSheetId="20">#REF!</definedName>
    <definedName name="DT" localSheetId="5">#REF!</definedName>
    <definedName name="DT" localSheetId="21">#REF!</definedName>
    <definedName name="DT" localSheetId="34">#REF!</definedName>
    <definedName name="DT" localSheetId="35">#REF!</definedName>
    <definedName name="DT" localSheetId="25">#REF!</definedName>
    <definedName name="DT" localSheetId="27">#REF!</definedName>
    <definedName name="DT" localSheetId="28">#REF!</definedName>
    <definedName name="DT" localSheetId="29">#REF!</definedName>
    <definedName name="DT" localSheetId="31">#REF!</definedName>
    <definedName name="DT" localSheetId="32">#REF!</definedName>
    <definedName name="DT" localSheetId="33">#REF!</definedName>
    <definedName name="DT" localSheetId="24">#REF!</definedName>
    <definedName name="DT" localSheetId="23">#REF!</definedName>
    <definedName name="DT" localSheetId="36">#REF!</definedName>
    <definedName name="DT" localSheetId="22">#REF!</definedName>
    <definedName name="DT" localSheetId="26">#REF!</definedName>
    <definedName name="DT" localSheetId="30">#REF!</definedName>
    <definedName name="DT" localSheetId="85">#REF!</definedName>
    <definedName name="DT" localSheetId="86">#REF!</definedName>
    <definedName name="DT" localSheetId="2">#REF!</definedName>
    <definedName name="DT">#REF!</definedName>
    <definedName name="DUMMY_CONSTRACTION_JOINT" localSheetId="3">#REF!</definedName>
    <definedName name="DUMMY_CONSTRACTION_JOINT" localSheetId="4">#REF!</definedName>
    <definedName name="DUMMY_CONSTRACTION_JOINT" localSheetId="18">#REF!</definedName>
    <definedName name="DUMMY_CONSTRACTION_JOINT" localSheetId="19">#REF!</definedName>
    <definedName name="DUMMY_CONSTRACTION_JOINT" localSheetId="9">#REF!</definedName>
    <definedName name="DUMMY_CONSTRACTION_JOINT" localSheetId="10">#REF!</definedName>
    <definedName name="DUMMY_CONSTRACTION_JOINT" localSheetId="11">#REF!</definedName>
    <definedName name="DUMMY_CONSTRACTION_JOINT" localSheetId="12">#REF!</definedName>
    <definedName name="DUMMY_CONSTRACTION_JOINT" localSheetId="13">#REF!</definedName>
    <definedName name="DUMMY_CONSTRACTION_JOINT" localSheetId="14">#REF!</definedName>
    <definedName name="DUMMY_CONSTRACTION_JOINT" localSheetId="15">#REF!</definedName>
    <definedName name="DUMMY_CONSTRACTION_JOINT" localSheetId="16">#REF!</definedName>
    <definedName name="DUMMY_CONSTRACTION_JOINT" localSheetId="17">#REF!</definedName>
    <definedName name="DUMMY_CONSTRACTION_JOINT" localSheetId="8">#REF!</definedName>
    <definedName name="DUMMY_CONSTRACTION_JOINT" localSheetId="7">#REF!</definedName>
    <definedName name="DUMMY_CONSTRACTION_JOINT" localSheetId="6">#REF!</definedName>
    <definedName name="DUMMY_CONSTRACTION_JOINT" localSheetId="20">#REF!</definedName>
    <definedName name="DUMMY_CONSTRACTION_JOINT" localSheetId="5">#REF!</definedName>
    <definedName name="DUMMY_CONSTRACTION_JOINT" localSheetId="21">#REF!</definedName>
    <definedName name="DUMMY_CONSTRACTION_JOINT" localSheetId="34">#REF!</definedName>
    <definedName name="DUMMY_CONSTRACTION_JOINT" localSheetId="35">#REF!</definedName>
    <definedName name="DUMMY_CONSTRACTION_JOINT" localSheetId="25">#REF!</definedName>
    <definedName name="DUMMY_CONSTRACTION_JOINT" localSheetId="27">#REF!</definedName>
    <definedName name="DUMMY_CONSTRACTION_JOINT" localSheetId="28">#REF!</definedName>
    <definedName name="DUMMY_CONSTRACTION_JOINT" localSheetId="29">#REF!</definedName>
    <definedName name="DUMMY_CONSTRACTION_JOINT" localSheetId="31">#REF!</definedName>
    <definedName name="DUMMY_CONSTRACTION_JOINT" localSheetId="32">#REF!</definedName>
    <definedName name="DUMMY_CONSTRACTION_JOINT" localSheetId="33">#REF!</definedName>
    <definedName name="DUMMY_CONSTRACTION_JOINT" localSheetId="24">#REF!</definedName>
    <definedName name="DUMMY_CONSTRACTION_JOINT" localSheetId="23">#REF!</definedName>
    <definedName name="DUMMY_CONSTRACTION_JOINT" localSheetId="36">#REF!</definedName>
    <definedName name="DUMMY_CONSTRACTION_JOINT" localSheetId="22">#REF!</definedName>
    <definedName name="DUMMY_CONSTRACTION_JOINT" localSheetId="26">#REF!</definedName>
    <definedName name="DUMMY_CONSTRACTION_JOINT" localSheetId="30">#REF!</definedName>
    <definedName name="DUMMY_CONSTRACTION_JOINT" localSheetId="85">#REF!</definedName>
    <definedName name="DUMMY_CONSTRACTION_JOINT" localSheetId="86">#REF!</definedName>
    <definedName name="DUMMY_CONSTRACTION_JOINT" localSheetId="2">#REF!</definedName>
    <definedName name="DUMMY_CONSTRACTION_JOINT">#REF!</definedName>
    <definedName name="DUMMY_JOINT">'[8]4'!$J$278</definedName>
    <definedName name="E" localSheetId="3">#REF!</definedName>
    <definedName name="E" localSheetId="4">#REF!</definedName>
    <definedName name="E" localSheetId="38">#REF!</definedName>
    <definedName name="E" localSheetId="86">#REF!</definedName>
    <definedName name="E">#REF!</definedName>
    <definedName name="EarthFill_in_Sidewalk">'[8]2'!$J$102</definedName>
    <definedName name="Earthwork_Accessroad" localSheetId="3">[15]Summary!#REF!</definedName>
    <definedName name="Earthwork_Accessroad" localSheetId="4">[15]Summary!#REF!</definedName>
    <definedName name="Earthwork_Accessroad" localSheetId="18">[15]Summary!#REF!</definedName>
    <definedName name="Earthwork_Accessroad" localSheetId="19">[15]Summary!#REF!</definedName>
    <definedName name="Earthwork_Accessroad" localSheetId="9">[15]Summary!#REF!</definedName>
    <definedName name="Earthwork_Accessroad" localSheetId="10">[15]Summary!#REF!</definedName>
    <definedName name="Earthwork_Accessroad" localSheetId="11">[15]Summary!#REF!</definedName>
    <definedName name="Earthwork_Accessroad" localSheetId="12">[15]Summary!#REF!</definedName>
    <definedName name="Earthwork_Accessroad" localSheetId="13">[15]Summary!#REF!</definedName>
    <definedName name="Earthwork_Accessroad" localSheetId="14">[15]Summary!#REF!</definedName>
    <definedName name="Earthwork_Accessroad" localSheetId="15">[15]Summary!#REF!</definedName>
    <definedName name="Earthwork_Accessroad" localSheetId="16">[15]Summary!#REF!</definedName>
    <definedName name="Earthwork_Accessroad" localSheetId="17">[15]Summary!#REF!</definedName>
    <definedName name="Earthwork_Accessroad" localSheetId="8">[15]Summary!#REF!</definedName>
    <definedName name="Earthwork_Accessroad" localSheetId="7">[15]Summary!#REF!</definedName>
    <definedName name="Earthwork_Accessroad" localSheetId="6">[15]Summary!#REF!</definedName>
    <definedName name="Earthwork_Accessroad" localSheetId="20">[15]Summary!#REF!</definedName>
    <definedName name="Earthwork_Accessroad" localSheetId="5">[15]Summary!#REF!</definedName>
    <definedName name="Earthwork_Accessroad" localSheetId="21">[15]Summary!#REF!</definedName>
    <definedName name="Earthwork_Accessroad" localSheetId="34">[15]Summary!#REF!</definedName>
    <definedName name="Earthwork_Accessroad" localSheetId="35">[15]Summary!#REF!</definedName>
    <definedName name="Earthwork_Accessroad" localSheetId="25">[15]Summary!#REF!</definedName>
    <definedName name="Earthwork_Accessroad" localSheetId="27">[15]Summary!#REF!</definedName>
    <definedName name="Earthwork_Accessroad" localSheetId="28">[15]Summary!#REF!</definedName>
    <definedName name="Earthwork_Accessroad" localSheetId="29">[15]Summary!#REF!</definedName>
    <definedName name="Earthwork_Accessroad" localSheetId="31">[15]Summary!#REF!</definedName>
    <definedName name="Earthwork_Accessroad" localSheetId="32">[15]Summary!#REF!</definedName>
    <definedName name="Earthwork_Accessroad" localSheetId="33">[15]Summary!#REF!</definedName>
    <definedName name="Earthwork_Accessroad" localSheetId="24">[15]Summary!#REF!</definedName>
    <definedName name="Earthwork_Accessroad" localSheetId="23">[15]Summary!#REF!</definedName>
    <definedName name="Earthwork_Accessroad" localSheetId="36">[15]Summary!#REF!</definedName>
    <definedName name="Earthwork_Accessroad" localSheetId="22">[15]Summary!#REF!</definedName>
    <definedName name="Earthwork_Accessroad" localSheetId="26">[15]Summary!#REF!</definedName>
    <definedName name="Earthwork_Accessroad" localSheetId="30">[15]Summary!#REF!</definedName>
    <definedName name="Earthwork_Accessroad" localSheetId="41">[15]Summary!#REF!</definedName>
    <definedName name="Earthwork_Accessroad" localSheetId="50">[15]Summary!#REF!</definedName>
    <definedName name="Earthwork_Accessroad" localSheetId="51">[15]Summary!#REF!</definedName>
    <definedName name="Earthwork_Accessroad" localSheetId="42">[15]Summary!#REF!</definedName>
    <definedName name="Earthwork_Accessroad" localSheetId="43">[15]Summary!#REF!</definedName>
    <definedName name="Earthwork_Accessroad" localSheetId="44">[15]Summary!#REF!</definedName>
    <definedName name="Earthwork_Accessroad" localSheetId="45">[15]Summary!#REF!</definedName>
    <definedName name="Earthwork_Accessroad" localSheetId="46">[15]Summary!#REF!</definedName>
    <definedName name="Earthwork_Accessroad" localSheetId="47">[15]Summary!#REF!</definedName>
    <definedName name="Earthwork_Accessroad" localSheetId="48">[15]Summary!#REF!</definedName>
    <definedName name="Earthwork_Accessroad" localSheetId="49">[15]Summary!#REF!</definedName>
    <definedName name="Earthwork_Accessroad" localSheetId="52">[15]Summary!#REF!</definedName>
    <definedName name="Earthwork_Accessroad" localSheetId="40">[15]Summary!#REF!</definedName>
    <definedName name="Earthwork_Accessroad" localSheetId="39">[15]Summary!#REF!</definedName>
    <definedName name="Earthwork_Accessroad" localSheetId="38">[15]Summary!#REF!</definedName>
    <definedName name="Earthwork_Accessroad" localSheetId="37">[15]Summary!#REF!</definedName>
    <definedName name="Earthwork_Accessroad" localSheetId="57">[15]Summary!#REF!</definedName>
    <definedName name="Earthwork_Accessroad" localSheetId="66">[15]Summary!#REF!</definedName>
    <definedName name="Earthwork_Accessroad" localSheetId="67">[15]Summary!#REF!</definedName>
    <definedName name="Earthwork_Accessroad" localSheetId="58">[15]Summary!#REF!</definedName>
    <definedName name="Earthwork_Accessroad" localSheetId="59">[15]Summary!#REF!</definedName>
    <definedName name="Earthwork_Accessroad" localSheetId="60">[15]Summary!#REF!</definedName>
    <definedName name="Earthwork_Accessroad" localSheetId="61">[15]Summary!#REF!</definedName>
    <definedName name="Earthwork_Accessroad" localSheetId="62">[15]Summary!#REF!</definedName>
    <definedName name="Earthwork_Accessroad" localSheetId="63">[15]Summary!#REF!</definedName>
    <definedName name="Earthwork_Accessroad" localSheetId="64">[15]Summary!#REF!</definedName>
    <definedName name="Earthwork_Accessroad" localSheetId="65">[15]Summary!#REF!</definedName>
    <definedName name="Earthwork_Accessroad" localSheetId="68">[15]Summary!#REF!</definedName>
    <definedName name="Earthwork_Accessroad" localSheetId="56">[15]Summary!#REF!</definedName>
    <definedName name="Earthwork_Accessroad" localSheetId="55">[15]Summary!#REF!</definedName>
    <definedName name="Earthwork_Accessroad" localSheetId="54">[15]Summary!#REF!</definedName>
    <definedName name="Earthwork_Accessroad" localSheetId="53">[15]Summary!#REF!</definedName>
    <definedName name="Earthwork_Accessroad" localSheetId="85">[15]Summary!#REF!</definedName>
    <definedName name="Earthwork_Accessroad" localSheetId="86">[15]Summary!#REF!</definedName>
    <definedName name="Earthwork_Accessroad" localSheetId="2">[15]Summary!#REF!</definedName>
    <definedName name="Earthwork_Accessroad">[15]Summary!#REF!</definedName>
    <definedName name="Earthwork_Crossing" localSheetId="3">[15]Summary!#REF!</definedName>
    <definedName name="Earthwork_Crossing" localSheetId="4">[15]Summary!#REF!</definedName>
    <definedName name="Earthwork_Crossing" localSheetId="18">[15]Summary!#REF!</definedName>
    <definedName name="Earthwork_Crossing" localSheetId="19">[15]Summary!#REF!</definedName>
    <definedName name="Earthwork_Crossing" localSheetId="9">[15]Summary!#REF!</definedName>
    <definedName name="Earthwork_Crossing" localSheetId="10">[15]Summary!#REF!</definedName>
    <definedName name="Earthwork_Crossing" localSheetId="11">[15]Summary!#REF!</definedName>
    <definedName name="Earthwork_Crossing" localSheetId="12">[15]Summary!#REF!</definedName>
    <definedName name="Earthwork_Crossing" localSheetId="13">[15]Summary!#REF!</definedName>
    <definedName name="Earthwork_Crossing" localSheetId="14">[15]Summary!#REF!</definedName>
    <definedName name="Earthwork_Crossing" localSheetId="15">[15]Summary!#REF!</definedName>
    <definedName name="Earthwork_Crossing" localSheetId="16">[15]Summary!#REF!</definedName>
    <definedName name="Earthwork_Crossing" localSheetId="17">[15]Summary!#REF!</definedName>
    <definedName name="Earthwork_Crossing" localSheetId="8">[15]Summary!#REF!</definedName>
    <definedName name="Earthwork_Crossing" localSheetId="7">[15]Summary!#REF!</definedName>
    <definedName name="Earthwork_Crossing" localSheetId="6">[15]Summary!#REF!</definedName>
    <definedName name="Earthwork_Crossing" localSheetId="20">[15]Summary!#REF!</definedName>
    <definedName name="Earthwork_Crossing" localSheetId="5">[15]Summary!#REF!</definedName>
    <definedName name="Earthwork_Crossing" localSheetId="21">[15]Summary!#REF!</definedName>
    <definedName name="Earthwork_Crossing" localSheetId="34">[15]Summary!#REF!</definedName>
    <definedName name="Earthwork_Crossing" localSheetId="35">[15]Summary!#REF!</definedName>
    <definedName name="Earthwork_Crossing" localSheetId="25">[15]Summary!#REF!</definedName>
    <definedName name="Earthwork_Crossing" localSheetId="27">[15]Summary!#REF!</definedName>
    <definedName name="Earthwork_Crossing" localSheetId="28">[15]Summary!#REF!</definedName>
    <definedName name="Earthwork_Crossing" localSheetId="29">[15]Summary!#REF!</definedName>
    <definedName name="Earthwork_Crossing" localSheetId="31">[15]Summary!#REF!</definedName>
    <definedName name="Earthwork_Crossing" localSheetId="32">[15]Summary!#REF!</definedName>
    <definedName name="Earthwork_Crossing" localSheetId="33">[15]Summary!#REF!</definedName>
    <definedName name="Earthwork_Crossing" localSheetId="24">[15]Summary!#REF!</definedName>
    <definedName name="Earthwork_Crossing" localSheetId="23">[15]Summary!#REF!</definedName>
    <definedName name="Earthwork_Crossing" localSheetId="36">[15]Summary!#REF!</definedName>
    <definedName name="Earthwork_Crossing" localSheetId="22">[15]Summary!#REF!</definedName>
    <definedName name="Earthwork_Crossing" localSheetId="26">[15]Summary!#REF!</definedName>
    <definedName name="Earthwork_Crossing" localSheetId="30">[15]Summary!#REF!</definedName>
    <definedName name="Earthwork_Crossing" localSheetId="41">[15]Summary!#REF!</definedName>
    <definedName name="Earthwork_Crossing" localSheetId="50">[15]Summary!#REF!</definedName>
    <definedName name="Earthwork_Crossing" localSheetId="51">[15]Summary!#REF!</definedName>
    <definedName name="Earthwork_Crossing" localSheetId="42">[15]Summary!#REF!</definedName>
    <definedName name="Earthwork_Crossing" localSheetId="43">[15]Summary!#REF!</definedName>
    <definedName name="Earthwork_Crossing" localSheetId="44">[15]Summary!#REF!</definedName>
    <definedName name="Earthwork_Crossing" localSheetId="45">[15]Summary!#REF!</definedName>
    <definedName name="Earthwork_Crossing" localSheetId="46">[15]Summary!#REF!</definedName>
    <definedName name="Earthwork_Crossing" localSheetId="47">[15]Summary!#REF!</definedName>
    <definedName name="Earthwork_Crossing" localSheetId="48">[15]Summary!#REF!</definedName>
    <definedName name="Earthwork_Crossing" localSheetId="49">[15]Summary!#REF!</definedName>
    <definedName name="Earthwork_Crossing" localSheetId="52">[15]Summary!#REF!</definedName>
    <definedName name="Earthwork_Crossing" localSheetId="40">[15]Summary!#REF!</definedName>
    <definedName name="Earthwork_Crossing" localSheetId="39">[15]Summary!#REF!</definedName>
    <definedName name="Earthwork_Crossing" localSheetId="38">[15]Summary!#REF!</definedName>
    <definedName name="Earthwork_Crossing" localSheetId="37">[15]Summary!#REF!</definedName>
    <definedName name="Earthwork_Crossing" localSheetId="57">[15]Summary!#REF!</definedName>
    <definedName name="Earthwork_Crossing" localSheetId="66">[15]Summary!#REF!</definedName>
    <definedName name="Earthwork_Crossing" localSheetId="67">[15]Summary!#REF!</definedName>
    <definedName name="Earthwork_Crossing" localSheetId="58">[15]Summary!#REF!</definedName>
    <definedName name="Earthwork_Crossing" localSheetId="59">[15]Summary!#REF!</definedName>
    <definedName name="Earthwork_Crossing" localSheetId="60">[15]Summary!#REF!</definedName>
    <definedName name="Earthwork_Crossing" localSheetId="61">[15]Summary!#REF!</definedName>
    <definedName name="Earthwork_Crossing" localSheetId="62">[15]Summary!#REF!</definedName>
    <definedName name="Earthwork_Crossing" localSheetId="63">[15]Summary!#REF!</definedName>
    <definedName name="Earthwork_Crossing" localSheetId="64">[15]Summary!#REF!</definedName>
    <definedName name="Earthwork_Crossing" localSheetId="65">[15]Summary!#REF!</definedName>
    <definedName name="Earthwork_Crossing" localSheetId="68">[15]Summary!#REF!</definedName>
    <definedName name="Earthwork_Crossing" localSheetId="56">[15]Summary!#REF!</definedName>
    <definedName name="Earthwork_Crossing" localSheetId="55">[15]Summary!#REF!</definedName>
    <definedName name="Earthwork_Crossing" localSheetId="54">[15]Summary!#REF!</definedName>
    <definedName name="Earthwork_Crossing" localSheetId="53">[15]Summary!#REF!</definedName>
    <definedName name="Earthwork_Crossing" localSheetId="85">[15]Summary!#REF!</definedName>
    <definedName name="Earthwork_Crossing" localSheetId="86">[15]Summary!#REF!</definedName>
    <definedName name="Earthwork_Crossing">[15]Summary!#REF!</definedName>
    <definedName name="Earthwork_LOCAL" localSheetId="3">[15]Summary!#REF!</definedName>
    <definedName name="Earthwork_LOCAL" localSheetId="4">[15]Summary!#REF!</definedName>
    <definedName name="Earthwork_LOCAL" localSheetId="18">[15]Summary!#REF!</definedName>
    <definedName name="Earthwork_LOCAL" localSheetId="19">[15]Summary!#REF!</definedName>
    <definedName name="Earthwork_LOCAL" localSheetId="9">[15]Summary!#REF!</definedName>
    <definedName name="Earthwork_LOCAL" localSheetId="10">[15]Summary!#REF!</definedName>
    <definedName name="Earthwork_LOCAL" localSheetId="11">[15]Summary!#REF!</definedName>
    <definedName name="Earthwork_LOCAL" localSheetId="12">[15]Summary!#REF!</definedName>
    <definedName name="Earthwork_LOCAL" localSheetId="13">[15]Summary!#REF!</definedName>
    <definedName name="Earthwork_LOCAL" localSheetId="14">[15]Summary!#REF!</definedName>
    <definedName name="Earthwork_LOCAL" localSheetId="15">[15]Summary!#REF!</definedName>
    <definedName name="Earthwork_LOCAL" localSheetId="16">[15]Summary!#REF!</definedName>
    <definedName name="Earthwork_LOCAL" localSheetId="17">[15]Summary!#REF!</definedName>
    <definedName name="Earthwork_LOCAL" localSheetId="8">[15]Summary!#REF!</definedName>
    <definedName name="Earthwork_LOCAL" localSheetId="7">[15]Summary!#REF!</definedName>
    <definedName name="Earthwork_LOCAL" localSheetId="6">[15]Summary!#REF!</definedName>
    <definedName name="Earthwork_LOCAL" localSheetId="20">[15]Summary!#REF!</definedName>
    <definedName name="Earthwork_LOCAL" localSheetId="5">[15]Summary!#REF!</definedName>
    <definedName name="Earthwork_LOCAL" localSheetId="21">[15]Summary!#REF!</definedName>
    <definedName name="Earthwork_LOCAL" localSheetId="34">[15]Summary!#REF!</definedName>
    <definedName name="Earthwork_LOCAL" localSheetId="35">[15]Summary!#REF!</definedName>
    <definedName name="Earthwork_LOCAL" localSheetId="25">[15]Summary!#REF!</definedName>
    <definedName name="Earthwork_LOCAL" localSheetId="27">[15]Summary!#REF!</definedName>
    <definedName name="Earthwork_LOCAL" localSheetId="28">[15]Summary!#REF!</definedName>
    <definedName name="Earthwork_LOCAL" localSheetId="29">[15]Summary!#REF!</definedName>
    <definedName name="Earthwork_LOCAL" localSheetId="31">[15]Summary!#REF!</definedName>
    <definedName name="Earthwork_LOCAL" localSheetId="32">[15]Summary!#REF!</definedName>
    <definedName name="Earthwork_LOCAL" localSheetId="33">[15]Summary!#REF!</definedName>
    <definedName name="Earthwork_LOCAL" localSheetId="24">[15]Summary!#REF!</definedName>
    <definedName name="Earthwork_LOCAL" localSheetId="23">[15]Summary!#REF!</definedName>
    <definedName name="Earthwork_LOCAL" localSheetId="36">[15]Summary!#REF!</definedName>
    <definedName name="Earthwork_LOCAL" localSheetId="22">[15]Summary!#REF!</definedName>
    <definedName name="Earthwork_LOCAL" localSheetId="26">[15]Summary!#REF!</definedName>
    <definedName name="Earthwork_LOCAL" localSheetId="30">[15]Summary!#REF!</definedName>
    <definedName name="Earthwork_LOCAL" localSheetId="41">[15]Summary!#REF!</definedName>
    <definedName name="Earthwork_LOCAL" localSheetId="50">[15]Summary!#REF!</definedName>
    <definedName name="Earthwork_LOCAL" localSheetId="51">[15]Summary!#REF!</definedName>
    <definedName name="Earthwork_LOCAL" localSheetId="42">[15]Summary!#REF!</definedName>
    <definedName name="Earthwork_LOCAL" localSheetId="43">[15]Summary!#REF!</definedName>
    <definedName name="Earthwork_LOCAL" localSheetId="44">[15]Summary!#REF!</definedName>
    <definedName name="Earthwork_LOCAL" localSheetId="45">[15]Summary!#REF!</definedName>
    <definedName name="Earthwork_LOCAL" localSheetId="46">[15]Summary!#REF!</definedName>
    <definedName name="Earthwork_LOCAL" localSheetId="47">[15]Summary!#REF!</definedName>
    <definedName name="Earthwork_LOCAL" localSheetId="48">[15]Summary!#REF!</definedName>
    <definedName name="Earthwork_LOCAL" localSheetId="49">[15]Summary!#REF!</definedName>
    <definedName name="Earthwork_LOCAL" localSheetId="52">[15]Summary!#REF!</definedName>
    <definedName name="Earthwork_LOCAL" localSheetId="40">[15]Summary!#REF!</definedName>
    <definedName name="Earthwork_LOCAL" localSheetId="39">[15]Summary!#REF!</definedName>
    <definedName name="Earthwork_LOCAL" localSheetId="38">[15]Summary!#REF!</definedName>
    <definedName name="Earthwork_LOCAL" localSheetId="37">[15]Summary!#REF!</definedName>
    <definedName name="Earthwork_LOCAL" localSheetId="57">[15]Summary!#REF!</definedName>
    <definedName name="Earthwork_LOCAL" localSheetId="66">[15]Summary!#REF!</definedName>
    <definedName name="Earthwork_LOCAL" localSheetId="67">[15]Summary!#REF!</definedName>
    <definedName name="Earthwork_LOCAL" localSheetId="58">[15]Summary!#REF!</definedName>
    <definedName name="Earthwork_LOCAL" localSheetId="59">[15]Summary!#REF!</definedName>
    <definedName name="Earthwork_LOCAL" localSheetId="60">[15]Summary!#REF!</definedName>
    <definedName name="Earthwork_LOCAL" localSheetId="61">[15]Summary!#REF!</definedName>
    <definedName name="Earthwork_LOCAL" localSheetId="62">[15]Summary!#REF!</definedName>
    <definedName name="Earthwork_LOCAL" localSheetId="63">[15]Summary!#REF!</definedName>
    <definedName name="Earthwork_LOCAL" localSheetId="64">[15]Summary!#REF!</definedName>
    <definedName name="Earthwork_LOCAL" localSheetId="65">[15]Summary!#REF!</definedName>
    <definedName name="Earthwork_LOCAL" localSheetId="68">[15]Summary!#REF!</definedName>
    <definedName name="Earthwork_LOCAL" localSheetId="56">[15]Summary!#REF!</definedName>
    <definedName name="Earthwork_LOCAL" localSheetId="55">[15]Summary!#REF!</definedName>
    <definedName name="Earthwork_LOCAL" localSheetId="54">[15]Summary!#REF!</definedName>
    <definedName name="Earthwork_LOCAL" localSheetId="53">[15]Summary!#REF!</definedName>
    <definedName name="Earthwork_LOCAL" localSheetId="85">[15]Summary!#REF!</definedName>
    <definedName name="Earthwork_LOCAL" localSheetId="86">[15]Summary!#REF!</definedName>
    <definedName name="Earthwork_LOCAL">[15]Summary!#REF!</definedName>
    <definedName name="Earthwork_Overpass" localSheetId="3">[15]Summary!#REF!</definedName>
    <definedName name="Earthwork_Overpass" localSheetId="4">[15]Summary!#REF!</definedName>
    <definedName name="Earthwork_Overpass" localSheetId="18">[15]Summary!#REF!</definedName>
    <definedName name="Earthwork_Overpass" localSheetId="19">[15]Summary!#REF!</definedName>
    <definedName name="Earthwork_Overpass" localSheetId="9">[15]Summary!#REF!</definedName>
    <definedName name="Earthwork_Overpass" localSheetId="10">[15]Summary!#REF!</definedName>
    <definedName name="Earthwork_Overpass" localSheetId="11">[15]Summary!#REF!</definedName>
    <definedName name="Earthwork_Overpass" localSheetId="12">[15]Summary!#REF!</definedName>
    <definedName name="Earthwork_Overpass" localSheetId="13">[15]Summary!#REF!</definedName>
    <definedName name="Earthwork_Overpass" localSheetId="14">[15]Summary!#REF!</definedName>
    <definedName name="Earthwork_Overpass" localSheetId="15">[15]Summary!#REF!</definedName>
    <definedName name="Earthwork_Overpass" localSheetId="16">[15]Summary!#REF!</definedName>
    <definedName name="Earthwork_Overpass" localSheetId="17">[15]Summary!#REF!</definedName>
    <definedName name="Earthwork_Overpass" localSheetId="8">[15]Summary!#REF!</definedName>
    <definedName name="Earthwork_Overpass" localSheetId="7">[15]Summary!#REF!</definedName>
    <definedName name="Earthwork_Overpass" localSheetId="6">[15]Summary!#REF!</definedName>
    <definedName name="Earthwork_Overpass" localSheetId="20">[15]Summary!#REF!</definedName>
    <definedName name="Earthwork_Overpass" localSheetId="5">[15]Summary!#REF!</definedName>
    <definedName name="Earthwork_Overpass" localSheetId="21">[15]Summary!#REF!</definedName>
    <definedName name="Earthwork_Overpass" localSheetId="34">[15]Summary!#REF!</definedName>
    <definedName name="Earthwork_Overpass" localSheetId="35">[15]Summary!#REF!</definedName>
    <definedName name="Earthwork_Overpass" localSheetId="25">[15]Summary!#REF!</definedName>
    <definedName name="Earthwork_Overpass" localSheetId="27">[15]Summary!#REF!</definedName>
    <definedName name="Earthwork_Overpass" localSheetId="28">[15]Summary!#REF!</definedName>
    <definedName name="Earthwork_Overpass" localSheetId="29">[15]Summary!#REF!</definedName>
    <definedName name="Earthwork_Overpass" localSheetId="31">[15]Summary!#REF!</definedName>
    <definedName name="Earthwork_Overpass" localSheetId="32">[15]Summary!#REF!</definedName>
    <definedName name="Earthwork_Overpass" localSheetId="33">[15]Summary!#REF!</definedName>
    <definedName name="Earthwork_Overpass" localSheetId="24">[15]Summary!#REF!</definedName>
    <definedName name="Earthwork_Overpass" localSheetId="23">[15]Summary!#REF!</definedName>
    <definedName name="Earthwork_Overpass" localSheetId="36">[15]Summary!#REF!</definedName>
    <definedName name="Earthwork_Overpass" localSheetId="22">[15]Summary!#REF!</definedName>
    <definedName name="Earthwork_Overpass" localSheetId="26">[15]Summary!#REF!</definedName>
    <definedName name="Earthwork_Overpass" localSheetId="30">[15]Summary!#REF!</definedName>
    <definedName name="Earthwork_Overpass" localSheetId="85">[15]Summary!#REF!</definedName>
    <definedName name="Earthwork_Overpass" localSheetId="86">[15]Summary!#REF!</definedName>
    <definedName name="Earthwork_Overpass">[15]Summary!#REF!</definedName>
    <definedName name="Earthwork_PAKCHONG" localSheetId="3">[15]Summary!#REF!</definedName>
    <definedName name="Earthwork_PAKCHONG">[15]Summary!#REF!</definedName>
    <definedName name="Earthwork_Serviceroad" localSheetId="3">[15]Summary!#REF!</definedName>
    <definedName name="Earthwork_Serviceroad">[15]Summary!#REF!</definedName>
    <definedName name="Earthwork_Sikhio" localSheetId="3">[15]Summary!#REF!</definedName>
    <definedName name="Earthwork_Sikhio">[15]Summary!#REF!</definedName>
    <definedName name="Earthwork_โคราช" localSheetId="3">[15]Summary!#REF!</definedName>
    <definedName name="Earthwork_โคราช">[15]Summary!#REF!</definedName>
    <definedName name="EDGE_JOINT">'[8]4'!$J$290</definedName>
    <definedName name="eec" localSheetId="3">#REF!</definedName>
    <definedName name="eec" localSheetId="4">#REF!</definedName>
    <definedName name="eec" localSheetId="38">#REF!</definedName>
    <definedName name="eec" localSheetId="86">#REF!</definedName>
    <definedName name="eec">#REF!</definedName>
    <definedName name="EEEEE" localSheetId="3">#REF!</definedName>
    <definedName name="EEEEE" localSheetId="4">#REF!</definedName>
    <definedName name="EEEEE" localSheetId="38">#REF!</definedName>
    <definedName name="EEEEE">#REF!</definedName>
    <definedName name="Excel_BuiltIn_Print_Area_0" localSheetId="3">#REF!</definedName>
    <definedName name="Excel_BuiltIn_Print_Area_0" localSheetId="4">#REF!</definedName>
    <definedName name="Excel_BuiltIn_Print_Area_0" localSheetId="38">#REF!</definedName>
    <definedName name="Excel_BuiltIn_Print_Area_0">#REF!</definedName>
    <definedName name="Excel_BuiltIn_Print_Area_0___0">#REF!</definedName>
    <definedName name="Excel_BuiltIn_Print_Area_0___0___0">#REF!</definedName>
    <definedName name="Excel_BuiltIn_Print_Area_0___11">#REF!</definedName>
    <definedName name="Excel_BuiltIn_Print_Area_0___12">#REF!</definedName>
    <definedName name="Excel_BuiltIn_Print_Area_0___13">#REF!</definedName>
    <definedName name="Excel_BuiltIn_Print_Area_0___14">#REF!</definedName>
    <definedName name="Excel_BuiltIn_Print_Area_0___15">#REF!</definedName>
    <definedName name="Excel_BuiltIn_Print_Area_0___16">#REF!</definedName>
    <definedName name="Excel_BuiltIn_Print_Area_0___8">#REF!</definedName>
    <definedName name="Excel_BuiltIn_Print_Area_0___9">#REF!</definedName>
    <definedName name="Excel_BuiltIn_Print_Area_1_1">#REF!</definedName>
    <definedName name="Excel_BuiltIn_Print_Area_10_1">#REF!</definedName>
    <definedName name="Excel_BuiltIn_Print_Area_10_1_1">#REF!</definedName>
    <definedName name="Excel_BuiltIn_Print_Area_10_1_1_1">#REF!</definedName>
    <definedName name="Excel_BuiltIn_Print_Area_10_1_1_1_1">#REF!</definedName>
    <definedName name="Excel_BuiltIn_Print_Area_10_1_1_1_1_1">#REF!</definedName>
    <definedName name="Excel_BuiltIn_Print_Area_11_1">#REF!</definedName>
    <definedName name="Excel_BuiltIn_Print_Area_11_1_1">#REF!</definedName>
    <definedName name="Excel_BuiltIn_Print_Area_11_1_1_1">#REF!</definedName>
    <definedName name="Excel_BuiltIn_Print_Area_11_1_1_1_1">#REF!</definedName>
    <definedName name="Excel_BuiltIn_Print_Area_12_1">#REF!</definedName>
    <definedName name="Excel_BuiltIn_Print_Area_12_1_1_1">#REF!</definedName>
    <definedName name="Excel_BuiltIn_Print_Area_12_1_1_1_1">#REF!</definedName>
    <definedName name="Excel_BuiltIn_Print_Area_12_1_1_1_1_1">#REF!</definedName>
    <definedName name="Excel_BuiltIn_Print_Area_12_1_1_1_1_1_1">#REF!</definedName>
    <definedName name="Excel_BuiltIn_Print_Area_12_1_1_1_1_1_1_1">#REF!</definedName>
    <definedName name="Excel_BuiltIn_Print_Area_12_1_1_1_1_1_1_1_1">#REF!</definedName>
    <definedName name="Excel_BuiltIn_Print_Area_13_1">#REF!</definedName>
    <definedName name="Excel_BuiltIn_Print_Area_13_1_1">#REF!</definedName>
    <definedName name="Excel_BuiltIn_Print_Area_13_1_1_1">#REF!</definedName>
    <definedName name="Excel_BuiltIn_Print_Area_13_1_1_1_1">#REF!</definedName>
    <definedName name="Excel_BuiltIn_Print_Area_13_1_1_1_1_1">#REF!</definedName>
    <definedName name="Excel_BuiltIn_Print_Area_13_1_1_1_1_1_1">#REF!</definedName>
    <definedName name="Excel_BuiltIn_Print_Area_13_1_1_1_1_1_1_1">#REF!</definedName>
    <definedName name="Excel_BuiltIn_Print_Area_13_1_1_1_1_1_1_1_1">#REF!</definedName>
    <definedName name="Excel_BuiltIn_Print_Area_13_1_1_1_1_1_1_1_1_1">#REF!</definedName>
    <definedName name="Excel_BuiltIn_Print_Area_14_1">#REF!</definedName>
    <definedName name="Excel_BuiltIn_Print_Area_14_1_1">#REF!</definedName>
    <definedName name="Excel_BuiltIn_Print_Area_14_1_1_1">#REF!</definedName>
    <definedName name="Excel_BuiltIn_Print_Area_14_1_1_1_1">#REF!</definedName>
    <definedName name="Excel_BuiltIn_Print_Area_14_1_1_1_1_1">#REF!</definedName>
    <definedName name="Excel_BuiltIn_Print_Area_15_1_1">#REF!</definedName>
    <definedName name="Excel_BuiltIn_Print_Area_15_1_1_1">#REF!</definedName>
    <definedName name="Excel_BuiltIn_Print_Area_15_1_1_1_1">#REF!</definedName>
    <definedName name="Excel_BuiltIn_Print_Area_15_1_1_1_1_1">#REF!</definedName>
    <definedName name="Excel_BuiltIn_Print_Area_15_1_1_1_1_1_1">#REF!</definedName>
    <definedName name="Excel_BuiltIn_Print_Area_15_1_1_1_1_1_1_1">#REF!</definedName>
    <definedName name="Excel_BuiltIn_Print_Area_15_1_1_1_1_1_1_1_1">#REF!</definedName>
    <definedName name="Excel_BuiltIn_Print_Area_16_1">#REF!</definedName>
    <definedName name="Excel_BuiltIn_Print_Area_16_1_1">#REF!</definedName>
    <definedName name="Excel_BuiltIn_Print_Area_16_1_1_1">#REF!</definedName>
    <definedName name="Excel_BuiltIn_Print_Area_16_1_1_1_1">#REF!</definedName>
    <definedName name="Excel_BuiltIn_Print_Area_16_1_1_1_1_1">#REF!</definedName>
    <definedName name="Excel_BuiltIn_Print_Area_16_1_1_1_1_1_1">#REF!</definedName>
    <definedName name="Excel_BuiltIn_Print_Area_16_1_1_1_1_1_1_1">#REF!</definedName>
    <definedName name="Excel_BuiltIn_Print_Area_17_1">#REF!</definedName>
    <definedName name="Excel_BuiltIn_Print_Area_17_1_1">#REF!</definedName>
    <definedName name="Excel_BuiltIn_Print_Area_17_1_1_1">#REF!</definedName>
    <definedName name="Excel_BuiltIn_Print_Area_17_1_1_1_1">#REF!</definedName>
    <definedName name="Excel_BuiltIn_Print_Area_17_1_1_1_1_1">#REF!</definedName>
    <definedName name="Excel_BuiltIn_Print_Area_17_1_1_1_1_1_1">#REF!</definedName>
    <definedName name="Excel_BuiltIn_Print_Area_17_1_1_1_1_1_1_1">#REF!</definedName>
    <definedName name="Excel_BuiltIn_Print_Area_17_1_1_1_1_1_1_1_1">#REF!</definedName>
    <definedName name="Excel_BuiltIn_Print_Area_18_1">#REF!</definedName>
    <definedName name="Excel_BuiltIn_Print_Area_18_1_1">#REF!</definedName>
    <definedName name="Excel_BuiltIn_Print_Area_19_1">#REF!</definedName>
    <definedName name="Excel_BuiltIn_Print_Area_19_1_1">#REF!</definedName>
    <definedName name="Excel_BuiltIn_Print_Area_19_1_1_1">#REF!</definedName>
    <definedName name="Excel_BuiltIn_Print_Area_19_1_1_1_1">#REF!</definedName>
    <definedName name="Excel_BuiltIn_Print_Area_19_1_1_1_1_1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0_1">#REF!</definedName>
    <definedName name="Excel_BuiltIn_Print_Area_22_1">#REF!</definedName>
    <definedName name="Excel_BuiltIn_Print_Area_23_1">#REF!</definedName>
    <definedName name="Excel_BuiltIn_Print_Area_24_1">#REF!</definedName>
    <definedName name="Excel_BuiltIn_Print_Area_24_1_1">#REF!</definedName>
    <definedName name="Excel_BuiltIn_Print_Area_25_1">#REF!</definedName>
    <definedName name="Excel_BuiltIn_Print_Area_25_1_1">#REF!</definedName>
    <definedName name="Excel_BuiltIn_Print_Area_25_1_1_1">#REF!</definedName>
    <definedName name="Excel_BuiltIn_Print_Area_27_1">#REF!</definedName>
    <definedName name="Excel_BuiltIn_Print_Area_3_1">#REF!</definedName>
    <definedName name="Excel_BuiltIn_Print_Area_3_1_1">#REF!</definedName>
    <definedName name="Excel_BuiltIn_Print_Area_4_1">#REF!</definedName>
    <definedName name="Excel_BuiltIn_Print_Area_4_1_1">#REF!</definedName>
    <definedName name="Excel_BuiltIn_Print_Area_4_1_1_1">#REF!</definedName>
    <definedName name="Excel_BuiltIn_Print_Area_4_1_1_1_1">#REF!</definedName>
    <definedName name="Excel_BuiltIn_Print_Area_4_1_1_1_1_1">#REF!</definedName>
    <definedName name="Excel_BuiltIn_Print_Area_4_1_1_1_1_1_1">#REF!</definedName>
    <definedName name="Excel_BuiltIn_Print_Area_5_1">#REF!</definedName>
    <definedName name="Excel_BuiltIn_Print_Area_5_1_1">#REF!</definedName>
    <definedName name="Excel_BuiltIn_Print_Area_5_1_1_1">#REF!</definedName>
    <definedName name="Excel_BuiltIn_Print_Area_5_1_1_1_1">#REF!</definedName>
    <definedName name="Excel_BuiltIn_Print_Area_5_1_1_1_1_1">#REF!</definedName>
    <definedName name="Excel_BuiltIn_Print_Area_5_1_1_1_1_1_1">#REF!</definedName>
    <definedName name="Excel_BuiltIn_Print_Area_5_1_1_1_1_1_1_1">#REF!</definedName>
    <definedName name="Excel_BuiltIn_Print_Area_6_1">#REF!</definedName>
    <definedName name="Excel_BuiltIn_Print_Area_6_1_1">#REF!</definedName>
    <definedName name="Excel_BuiltIn_Print_Area_6_1_1_1">#REF!</definedName>
    <definedName name="Excel_BuiltIn_Print_Area_6_1_1_1_1">#REF!</definedName>
    <definedName name="Excel_BuiltIn_Print_Area_6_1_1_1_1_1">#REF!</definedName>
    <definedName name="Excel_BuiltIn_Print_Area_7_1">#REF!</definedName>
    <definedName name="Excel_BuiltIn_Print_Area_7_1_1">#REF!</definedName>
    <definedName name="Excel_BuiltIn_Print_Area_7_1_1_1">#REF!</definedName>
    <definedName name="Excel_BuiltIn_Print_Area_7_1_1_1_1">#REF!</definedName>
    <definedName name="Excel_BuiltIn_Print_Area_7_1_1_1_1_1">#REF!</definedName>
    <definedName name="Excel_BuiltIn_Print_Area_8_1">#REF!</definedName>
    <definedName name="Excel_BuiltIn_Print_Area_8_1_1">#REF!</definedName>
    <definedName name="Excel_BuiltIn_Print_Area_8_1_1_1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Area_9_1_1_1_1">#REF!</definedName>
    <definedName name="Excel_BuiltIn_Print_Titles_1_1">#REF!</definedName>
    <definedName name="Excel_BuiltIn_Print_Titles_10_1">#REF!</definedName>
    <definedName name="Excel_BuiltIn_Print_Titles_11_1">#REF!</definedName>
    <definedName name="Excel_BuiltIn_Print_Titles_12_1">#REF!</definedName>
    <definedName name="Excel_BuiltIn_Print_Titles_12_1_1">#REF!</definedName>
    <definedName name="Excel_BuiltIn_Print_Titles_12_1_1_1">#REF!</definedName>
    <definedName name="Excel_BuiltIn_Print_Titles_13_1">#REF!</definedName>
    <definedName name="Excel_BuiltIn_Print_Titles_14_1">#REF!</definedName>
    <definedName name="Excel_BuiltIn_Print_Titles_15_1">#REF!</definedName>
    <definedName name="Excel_BuiltIn_Print_Titles_16_1">#REF!</definedName>
    <definedName name="Excel_BuiltIn_Print_Titles_17_1">#REF!</definedName>
    <definedName name="Excel_BuiltIn_Print_Titles_17_1_1">#REF!</definedName>
    <definedName name="Excel_BuiltIn_Print_Titles_18_1">#REF!</definedName>
    <definedName name="Excel_BuiltIn_Print_Titles_18_1_1">#REF!</definedName>
    <definedName name="Excel_BuiltIn_Print_Titles_19_1">#REF!</definedName>
    <definedName name="Excel_BuiltIn_Print_Titles_2_1">#REF!</definedName>
    <definedName name="Excel_BuiltIn_Print_Titles_20_1">#REF!</definedName>
    <definedName name="Excel_BuiltIn_Print_Titles_21_1">#REF!</definedName>
    <definedName name="Excel_BuiltIn_Print_Titles_22_1">#REF!</definedName>
    <definedName name="Excel_BuiltIn_Print_Titles_22_1_1">#REF!</definedName>
    <definedName name="Excel_BuiltIn_Print_Titles_23_1">#REF!</definedName>
    <definedName name="Excel_BuiltIn_Print_Titles_23_1_1">#REF!</definedName>
    <definedName name="Excel_BuiltIn_Print_Titles_24_1">#REF!</definedName>
    <definedName name="Excel_BuiltIn_Print_Titles_24_1_1">#REF!</definedName>
    <definedName name="Excel_BuiltIn_Print_Titles_25_1">#REF!</definedName>
    <definedName name="Excel_BuiltIn_Print_Titles_26_1">#REF!</definedName>
    <definedName name="Excel_BuiltIn_Print_Titles_27_1">#REF!</definedName>
    <definedName name="Excel_BuiltIn_Print_Titles_3_1">#REF!</definedName>
    <definedName name="Excel_BuiltIn_Print_Titles_3_1_1">#REF!</definedName>
    <definedName name="Excel_BuiltIn_Print_Titles_4_1">#REF!</definedName>
    <definedName name="Excel_BuiltIn_Print_Titles_4_1_1">#REF!</definedName>
    <definedName name="Excel_BuiltIn_Print_Titles_5_1">#REF!</definedName>
    <definedName name="Excel_BuiltIn_Print_Titles_5_1_1">#REF!</definedName>
    <definedName name="Excel_BuiltIn_Print_Titles_6_1">#REF!</definedName>
    <definedName name="Excel_BuiltIn_Print_Titles_7_1">#REF!</definedName>
    <definedName name="Excel_BuiltIn_Print_Titles_7_1_1">#REF!</definedName>
    <definedName name="Excel_BuiltIn_Print_Titles_8_1">#REF!</definedName>
    <definedName name="Excel_BuiltIn_Print_Titles_9_1">#REF!</definedName>
    <definedName name="Expansion_Joint">'[8]4'!$J$222</definedName>
    <definedName name="f" localSheetId="3">#REF!</definedName>
    <definedName name="f" localSheetId="4">#REF!</definedName>
    <definedName name="f" localSheetId="38">#REF!</definedName>
    <definedName name="f" localSheetId="86">#REF!</definedName>
    <definedName name="f">#REF!</definedName>
    <definedName name="fa" localSheetId="3">#REF!</definedName>
    <definedName name="fa" localSheetId="4">#REF!</definedName>
    <definedName name="fa" localSheetId="38">#REF!</definedName>
    <definedName name="fa">#REF!</definedName>
    <definedName name="Factor__F_B15" localSheetId="3">#REF!</definedName>
    <definedName name="Factor__F_B15" localSheetId="18">#REF!</definedName>
    <definedName name="Factor__F_B15" localSheetId="19">#REF!</definedName>
    <definedName name="Factor__F_B15" localSheetId="9">#REF!</definedName>
    <definedName name="Factor__F_B15" localSheetId="10">#REF!</definedName>
    <definedName name="Factor__F_B15" localSheetId="11">#REF!</definedName>
    <definedName name="Factor__F_B15" localSheetId="12">#REF!</definedName>
    <definedName name="Factor__F_B15" localSheetId="13">#REF!</definedName>
    <definedName name="Factor__F_B15" localSheetId="14">#REF!</definedName>
    <definedName name="Factor__F_B15" localSheetId="15">#REF!</definedName>
    <definedName name="Factor__F_B15" localSheetId="16">#REF!</definedName>
    <definedName name="Factor__F_B15" localSheetId="17">#REF!</definedName>
    <definedName name="Factor__F_B15" localSheetId="8">#REF!</definedName>
    <definedName name="Factor__F_B15" localSheetId="7">#REF!</definedName>
    <definedName name="Factor__F_B15" localSheetId="6">#REF!</definedName>
    <definedName name="Factor__F_B15" localSheetId="20">#REF!</definedName>
    <definedName name="Factor__F_B15" localSheetId="5">#REF!</definedName>
    <definedName name="Factor__F_B15" localSheetId="21">#REF!</definedName>
    <definedName name="Factor__F_B15" localSheetId="34">#REF!</definedName>
    <definedName name="Factor__F_B15" localSheetId="35">#REF!</definedName>
    <definedName name="Factor__F_B15" localSheetId="25">#REF!</definedName>
    <definedName name="Factor__F_B15" localSheetId="27">#REF!</definedName>
    <definedName name="Factor__F_B15" localSheetId="28">#REF!</definedName>
    <definedName name="Factor__F_B15" localSheetId="29">#REF!</definedName>
    <definedName name="Factor__F_B15" localSheetId="31">#REF!</definedName>
    <definedName name="Factor__F_B15" localSheetId="32">#REF!</definedName>
    <definedName name="Factor__F_B15" localSheetId="33">#REF!</definedName>
    <definedName name="Factor__F_B15" localSheetId="24">#REF!</definedName>
    <definedName name="Factor__F_B15" localSheetId="23">#REF!</definedName>
    <definedName name="Factor__F_B15" localSheetId="36">#REF!</definedName>
    <definedName name="Factor__F_B15" localSheetId="22">#REF!</definedName>
    <definedName name="Factor__F_B15" localSheetId="26">#REF!</definedName>
    <definedName name="Factor__F_B15" localSheetId="30">#REF!</definedName>
    <definedName name="Factor__F_B15" localSheetId="41">#REF!</definedName>
    <definedName name="Factor__F_B15" localSheetId="50">#REF!</definedName>
    <definedName name="Factor__F_B15" localSheetId="51">#REF!</definedName>
    <definedName name="Factor__F_B15" localSheetId="42">#REF!</definedName>
    <definedName name="Factor__F_B15" localSheetId="43">#REF!</definedName>
    <definedName name="Factor__F_B15" localSheetId="44">#REF!</definedName>
    <definedName name="Factor__F_B15" localSheetId="45">#REF!</definedName>
    <definedName name="Factor__F_B15" localSheetId="46">#REF!</definedName>
    <definedName name="Factor__F_B15" localSheetId="47">#REF!</definedName>
    <definedName name="Factor__F_B15" localSheetId="48">#REF!</definedName>
    <definedName name="Factor__F_B15" localSheetId="49">#REF!</definedName>
    <definedName name="Factor__F_B15" localSheetId="52">#REF!</definedName>
    <definedName name="Factor__F_B15" localSheetId="40">#REF!</definedName>
    <definedName name="Factor__F_B15" localSheetId="39">#REF!</definedName>
    <definedName name="Factor__F_B15" localSheetId="38">#REF!</definedName>
    <definedName name="Factor__F_B15" localSheetId="37">#REF!</definedName>
    <definedName name="Factor__F_B15" localSheetId="57">#REF!</definedName>
    <definedName name="Factor__F_B15" localSheetId="66">#REF!</definedName>
    <definedName name="Factor__F_B15" localSheetId="67">#REF!</definedName>
    <definedName name="Factor__F_B15" localSheetId="58">#REF!</definedName>
    <definedName name="Factor__F_B15" localSheetId="59">#REF!</definedName>
    <definedName name="Factor__F_B15" localSheetId="60">#REF!</definedName>
    <definedName name="Factor__F_B15" localSheetId="61">#REF!</definedName>
    <definedName name="Factor__F_B15" localSheetId="62">#REF!</definedName>
    <definedName name="Factor__F_B15" localSheetId="63">#REF!</definedName>
    <definedName name="Factor__F_B15" localSheetId="64">#REF!</definedName>
    <definedName name="Factor__F_B15" localSheetId="65">#REF!</definedName>
    <definedName name="Factor__F_B15" localSheetId="68">#REF!</definedName>
    <definedName name="Factor__F_B15" localSheetId="56">#REF!</definedName>
    <definedName name="Factor__F_B15" localSheetId="55">#REF!</definedName>
    <definedName name="Factor__F_B15" localSheetId="54">#REF!</definedName>
    <definedName name="Factor__F_B15" localSheetId="53">#REF!</definedName>
    <definedName name="Factor__F_B15" localSheetId="85">#REF!</definedName>
    <definedName name="Factor__F_B15" localSheetId="86">#REF!</definedName>
    <definedName name="Factor__F_B15" localSheetId="2">#REF!</definedName>
    <definedName name="Factor__F_B15">#REF!</definedName>
    <definedName name="Factor__F_B16" localSheetId="3">#REF!</definedName>
    <definedName name="Factor__F_B16" localSheetId="18">#REF!</definedName>
    <definedName name="Factor__F_B16" localSheetId="19">#REF!</definedName>
    <definedName name="Factor__F_B16" localSheetId="9">#REF!</definedName>
    <definedName name="Factor__F_B16" localSheetId="10">#REF!</definedName>
    <definedName name="Factor__F_B16" localSheetId="11">#REF!</definedName>
    <definedName name="Factor__F_B16" localSheetId="12">#REF!</definedName>
    <definedName name="Factor__F_B16" localSheetId="13">#REF!</definedName>
    <definedName name="Factor__F_B16" localSheetId="14">#REF!</definedName>
    <definedName name="Factor__F_B16" localSheetId="15">#REF!</definedName>
    <definedName name="Factor__F_B16" localSheetId="16">#REF!</definedName>
    <definedName name="Factor__F_B16" localSheetId="17">#REF!</definedName>
    <definedName name="Factor__F_B16" localSheetId="8">#REF!</definedName>
    <definedName name="Factor__F_B16" localSheetId="7">#REF!</definedName>
    <definedName name="Factor__F_B16" localSheetId="6">#REF!</definedName>
    <definedName name="Factor__F_B16" localSheetId="20">#REF!</definedName>
    <definedName name="Factor__F_B16" localSheetId="5">#REF!</definedName>
    <definedName name="Factor__F_B16" localSheetId="21">#REF!</definedName>
    <definedName name="Factor__F_B16" localSheetId="34">#REF!</definedName>
    <definedName name="Factor__F_B16" localSheetId="35">#REF!</definedName>
    <definedName name="Factor__F_B16" localSheetId="25">#REF!</definedName>
    <definedName name="Factor__F_B16" localSheetId="27">#REF!</definedName>
    <definedName name="Factor__F_B16" localSheetId="28">#REF!</definedName>
    <definedName name="Factor__F_B16" localSheetId="29">#REF!</definedName>
    <definedName name="Factor__F_B16" localSheetId="31">#REF!</definedName>
    <definedName name="Factor__F_B16" localSheetId="32">#REF!</definedName>
    <definedName name="Factor__F_B16" localSheetId="33">#REF!</definedName>
    <definedName name="Factor__F_B16" localSheetId="24">#REF!</definedName>
    <definedName name="Factor__F_B16" localSheetId="23">#REF!</definedName>
    <definedName name="Factor__F_B16" localSheetId="36">#REF!</definedName>
    <definedName name="Factor__F_B16" localSheetId="22">#REF!</definedName>
    <definedName name="Factor__F_B16" localSheetId="26">#REF!</definedName>
    <definedName name="Factor__F_B16" localSheetId="30">#REF!</definedName>
    <definedName name="Factor__F_B16" localSheetId="85">#REF!</definedName>
    <definedName name="Factor__F_B16" localSheetId="86">#REF!</definedName>
    <definedName name="Factor__F_B16" localSheetId="2">#REF!</definedName>
    <definedName name="Factor__F_B16">#REF!</definedName>
    <definedName name="Factor__F_B17" localSheetId="3">#REF!</definedName>
    <definedName name="Factor__F_B17" localSheetId="18">#REF!</definedName>
    <definedName name="Factor__F_B17" localSheetId="19">#REF!</definedName>
    <definedName name="Factor__F_B17" localSheetId="9">#REF!</definedName>
    <definedName name="Factor__F_B17" localSheetId="10">#REF!</definedName>
    <definedName name="Factor__F_B17" localSheetId="11">#REF!</definedName>
    <definedName name="Factor__F_B17" localSheetId="12">#REF!</definedName>
    <definedName name="Factor__F_B17" localSheetId="13">#REF!</definedName>
    <definedName name="Factor__F_B17" localSheetId="14">#REF!</definedName>
    <definedName name="Factor__F_B17" localSheetId="15">#REF!</definedName>
    <definedName name="Factor__F_B17" localSheetId="16">#REF!</definedName>
    <definedName name="Factor__F_B17" localSheetId="17">#REF!</definedName>
    <definedName name="Factor__F_B17" localSheetId="8">#REF!</definedName>
    <definedName name="Factor__F_B17" localSheetId="7">#REF!</definedName>
    <definedName name="Factor__F_B17" localSheetId="6">#REF!</definedName>
    <definedName name="Factor__F_B17" localSheetId="20">#REF!</definedName>
    <definedName name="Factor__F_B17" localSheetId="5">#REF!</definedName>
    <definedName name="Factor__F_B17" localSheetId="21">#REF!</definedName>
    <definedName name="Factor__F_B17" localSheetId="34">#REF!</definedName>
    <definedName name="Factor__F_B17" localSheetId="35">#REF!</definedName>
    <definedName name="Factor__F_B17" localSheetId="25">#REF!</definedName>
    <definedName name="Factor__F_B17" localSheetId="27">#REF!</definedName>
    <definedName name="Factor__F_B17" localSheetId="28">#REF!</definedName>
    <definedName name="Factor__F_B17" localSheetId="29">#REF!</definedName>
    <definedName name="Factor__F_B17" localSheetId="31">#REF!</definedName>
    <definedName name="Factor__F_B17" localSheetId="32">#REF!</definedName>
    <definedName name="Factor__F_B17" localSheetId="33">#REF!</definedName>
    <definedName name="Factor__F_B17" localSheetId="24">#REF!</definedName>
    <definedName name="Factor__F_B17" localSheetId="23">#REF!</definedName>
    <definedName name="Factor__F_B17" localSheetId="36">#REF!</definedName>
    <definedName name="Factor__F_B17" localSheetId="22">#REF!</definedName>
    <definedName name="Factor__F_B17" localSheetId="26">#REF!</definedName>
    <definedName name="Factor__F_B17" localSheetId="30">#REF!</definedName>
    <definedName name="Factor__F_B17" localSheetId="85">#REF!</definedName>
    <definedName name="Factor__F_B17" localSheetId="86">#REF!</definedName>
    <definedName name="Factor__F_B17" localSheetId="2">#REF!</definedName>
    <definedName name="Factor__F_B17">#REF!</definedName>
    <definedName name="Factor__F_B18" localSheetId="3">#REF!</definedName>
    <definedName name="Factor__F_B18" localSheetId="2">#REF!</definedName>
    <definedName name="Factor__F_B18">#REF!</definedName>
    <definedName name="Factor__F_B19" localSheetId="3">#REF!</definedName>
    <definedName name="Factor__F_B19" localSheetId="2">#REF!</definedName>
    <definedName name="Factor__F_B19">#REF!</definedName>
    <definedName name="Factor__F_B2_11Boots">'[16]อาคาร 2 11Boots'!$I$4</definedName>
    <definedName name="Factor__F_B2_14Boots">'[16]อาคาร 2 14Boots'!$I$4</definedName>
    <definedName name="Factor__F_B2_5Boots">'[16]อาคาร 2 5Boots'!$I$4</definedName>
    <definedName name="Factor__F_B2_6Boots">'[16]อาคาร 2 6Boots'!$I$4</definedName>
    <definedName name="Factor__F_B20" localSheetId="3">#REF!</definedName>
    <definedName name="Factor__F_B20" localSheetId="4">#REF!</definedName>
    <definedName name="Factor__F_B20" localSheetId="18">#REF!</definedName>
    <definedName name="Factor__F_B20" localSheetId="19">#REF!</definedName>
    <definedName name="Factor__F_B20" localSheetId="9">#REF!</definedName>
    <definedName name="Factor__F_B20" localSheetId="10">#REF!</definedName>
    <definedName name="Factor__F_B20" localSheetId="11">#REF!</definedName>
    <definedName name="Factor__F_B20" localSheetId="12">#REF!</definedName>
    <definedName name="Factor__F_B20" localSheetId="13">#REF!</definedName>
    <definedName name="Factor__F_B20" localSheetId="14">#REF!</definedName>
    <definedName name="Factor__F_B20" localSheetId="15">#REF!</definedName>
    <definedName name="Factor__F_B20" localSheetId="16">#REF!</definedName>
    <definedName name="Factor__F_B20" localSheetId="17">#REF!</definedName>
    <definedName name="Factor__F_B20" localSheetId="8">#REF!</definedName>
    <definedName name="Factor__F_B20" localSheetId="7">#REF!</definedName>
    <definedName name="Factor__F_B20" localSheetId="6">#REF!</definedName>
    <definedName name="Factor__F_B20" localSheetId="20">#REF!</definedName>
    <definedName name="Factor__F_B20" localSheetId="5">#REF!</definedName>
    <definedName name="Factor__F_B20" localSheetId="21">#REF!</definedName>
    <definedName name="Factor__F_B20" localSheetId="34">#REF!</definedName>
    <definedName name="Factor__F_B20" localSheetId="35">#REF!</definedName>
    <definedName name="Factor__F_B20" localSheetId="25">#REF!</definedName>
    <definedName name="Factor__F_B20" localSheetId="27">#REF!</definedName>
    <definedName name="Factor__F_B20" localSheetId="28">#REF!</definedName>
    <definedName name="Factor__F_B20" localSheetId="29">#REF!</definedName>
    <definedName name="Factor__F_B20" localSheetId="31">#REF!</definedName>
    <definedName name="Factor__F_B20" localSheetId="32">#REF!</definedName>
    <definedName name="Factor__F_B20" localSheetId="33">#REF!</definedName>
    <definedName name="Factor__F_B20" localSheetId="24">#REF!</definedName>
    <definedName name="Factor__F_B20" localSheetId="23">#REF!</definedName>
    <definedName name="Factor__F_B20" localSheetId="36">#REF!</definedName>
    <definedName name="Factor__F_B20" localSheetId="22">#REF!</definedName>
    <definedName name="Factor__F_B20" localSheetId="26">#REF!</definedName>
    <definedName name="Factor__F_B20" localSheetId="30">#REF!</definedName>
    <definedName name="Factor__F_B20" localSheetId="41">#REF!</definedName>
    <definedName name="Factor__F_B20" localSheetId="50">#REF!</definedName>
    <definedName name="Factor__F_B20" localSheetId="51">#REF!</definedName>
    <definedName name="Factor__F_B20" localSheetId="42">#REF!</definedName>
    <definedName name="Factor__F_B20" localSheetId="43">#REF!</definedName>
    <definedName name="Factor__F_B20" localSheetId="44">#REF!</definedName>
    <definedName name="Factor__F_B20" localSheetId="45">#REF!</definedName>
    <definedName name="Factor__F_B20" localSheetId="46">#REF!</definedName>
    <definedName name="Factor__F_B20" localSheetId="47">#REF!</definedName>
    <definedName name="Factor__F_B20" localSheetId="48">#REF!</definedName>
    <definedName name="Factor__F_B20" localSheetId="49">#REF!</definedName>
    <definedName name="Factor__F_B20" localSheetId="52">#REF!</definedName>
    <definedName name="Factor__F_B20" localSheetId="40">#REF!</definedName>
    <definedName name="Factor__F_B20" localSheetId="39">#REF!</definedName>
    <definedName name="Factor__F_B20" localSheetId="38">#REF!</definedName>
    <definedName name="Factor__F_B20" localSheetId="37">#REF!</definedName>
    <definedName name="Factor__F_B20" localSheetId="57">#REF!</definedName>
    <definedName name="Factor__F_B20" localSheetId="66">#REF!</definedName>
    <definedName name="Factor__F_B20" localSheetId="67">#REF!</definedName>
    <definedName name="Factor__F_B20" localSheetId="58">#REF!</definedName>
    <definedName name="Factor__F_B20" localSheetId="59">#REF!</definedName>
    <definedName name="Factor__F_B20" localSheetId="60">#REF!</definedName>
    <definedName name="Factor__F_B20" localSheetId="61">#REF!</definedName>
    <definedName name="Factor__F_B20" localSheetId="62">#REF!</definedName>
    <definedName name="Factor__F_B20" localSheetId="63">#REF!</definedName>
    <definedName name="Factor__F_B20" localSheetId="64">#REF!</definedName>
    <definedName name="Factor__F_B20" localSheetId="65">#REF!</definedName>
    <definedName name="Factor__F_B20" localSheetId="68">#REF!</definedName>
    <definedName name="Factor__F_B20" localSheetId="56">#REF!</definedName>
    <definedName name="Factor__F_B20" localSheetId="55">#REF!</definedName>
    <definedName name="Factor__F_B20" localSheetId="54">#REF!</definedName>
    <definedName name="Factor__F_B20" localSheetId="53">#REF!</definedName>
    <definedName name="Factor__F_B20" localSheetId="85">#REF!</definedName>
    <definedName name="Factor__F_B20" localSheetId="86">#REF!</definedName>
    <definedName name="Factor__F_B20" localSheetId="2">#REF!</definedName>
    <definedName name="Factor__F_B20">#REF!</definedName>
    <definedName name="Factor__F_B21" localSheetId="3">#REF!</definedName>
    <definedName name="Factor__F_B21" localSheetId="4">#REF!</definedName>
    <definedName name="Factor__F_B21" localSheetId="18">#REF!</definedName>
    <definedName name="Factor__F_B21" localSheetId="19">#REF!</definedName>
    <definedName name="Factor__F_B21" localSheetId="9">#REF!</definedName>
    <definedName name="Factor__F_B21" localSheetId="10">#REF!</definedName>
    <definedName name="Factor__F_B21" localSheetId="11">#REF!</definedName>
    <definedName name="Factor__F_B21" localSheetId="12">#REF!</definedName>
    <definedName name="Factor__F_B21" localSheetId="13">#REF!</definedName>
    <definedName name="Factor__F_B21" localSheetId="14">#REF!</definedName>
    <definedName name="Factor__F_B21" localSheetId="15">#REF!</definedName>
    <definedName name="Factor__F_B21" localSheetId="16">#REF!</definedName>
    <definedName name="Factor__F_B21" localSheetId="17">#REF!</definedName>
    <definedName name="Factor__F_B21" localSheetId="8">#REF!</definedName>
    <definedName name="Factor__F_B21" localSheetId="7">#REF!</definedName>
    <definedName name="Factor__F_B21" localSheetId="6">#REF!</definedName>
    <definedName name="Factor__F_B21" localSheetId="20">#REF!</definedName>
    <definedName name="Factor__F_B21" localSheetId="5">#REF!</definedName>
    <definedName name="Factor__F_B21" localSheetId="21">#REF!</definedName>
    <definedName name="Factor__F_B21" localSheetId="34">#REF!</definedName>
    <definedName name="Factor__F_B21" localSheetId="35">#REF!</definedName>
    <definedName name="Factor__F_B21" localSheetId="25">#REF!</definedName>
    <definedName name="Factor__F_B21" localSheetId="27">#REF!</definedName>
    <definedName name="Factor__F_B21" localSheetId="28">#REF!</definedName>
    <definedName name="Factor__F_B21" localSheetId="29">#REF!</definedName>
    <definedName name="Factor__F_B21" localSheetId="31">#REF!</definedName>
    <definedName name="Factor__F_B21" localSheetId="32">#REF!</definedName>
    <definedName name="Factor__F_B21" localSheetId="33">#REF!</definedName>
    <definedName name="Factor__F_B21" localSheetId="24">#REF!</definedName>
    <definedName name="Factor__F_B21" localSheetId="23">#REF!</definedName>
    <definedName name="Factor__F_B21" localSheetId="36">#REF!</definedName>
    <definedName name="Factor__F_B21" localSheetId="22">#REF!</definedName>
    <definedName name="Factor__F_B21" localSheetId="26">#REF!</definedName>
    <definedName name="Factor__F_B21" localSheetId="30">#REF!</definedName>
    <definedName name="Factor__F_B21" localSheetId="85">#REF!</definedName>
    <definedName name="Factor__F_B21" localSheetId="86">#REF!</definedName>
    <definedName name="Factor__F_B21" localSheetId="2">#REF!</definedName>
    <definedName name="Factor__F_B21">#REF!</definedName>
    <definedName name="Factor__F_B22" localSheetId="3">#REF!</definedName>
    <definedName name="Factor__F_B22" localSheetId="4">#REF!</definedName>
    <definedName name="Factor__F_B22" localSheetId="18">#REF!</definedName>
    <definedName name="Factor__F_B22" localSheetId="19">#REF!</definedName>
    <definedName name="Factor__F_B22" localSheetId="9">#REF!</definedName>
    <definedName name="Factor__F_B22" localSheetId="10">#REF!</definedName>
    <definedName name="Factor__F_B22" localSheetId="11">#REF!</definedName>
    <definedName name="Factor__F_B22" localSheetId="12">#REF!</definedName>
    <definedName name="Factor__F_B22" localSheetId="13">#REF!</definedName>
    <definedName name="Factor__F_B22" localSheetId="14">#REF!</definedName>
    <definedName name="Factor__F_B22" localSheetId="15">#REF!</definedName>
    <definedName name="Factor__F_B22" localSheetId="16">#REF!</definedName>
    <definedName name="Factor__F_B22" localSheetId="17">#REF!</definedName>
    <definedName name="Factor__F_B22" localSheetId="8">#REF!</definedName>
    <definedName name="Factor__F_B22" localSheetId="7">#REF!</definedName>
    <definedName name="Factor__F_B22" localSheetId="6">#REF!</definedName>
    <definedName name="Factor__F_B22" localSheetId="20">#REF!</definedName>
    <definedName name="Factor__F_B22" localSheetId="5">#REF!</definedName>
    <definedName name="Factor__F_B22" localSheetId="21">#REF!</definedName>
    <definedName name="Factor__F_B22" localSheetId="34">#REF!</definedName>
    <definedName name="Factor__F_B22" localSheetId="35">#REF!</definedName>
    <definedName name="Factor__F_B22" localSheetId="25">#REF!</definedName>
    <definedName name="Factor__F_B22" localSheetId="27">#REF!</definedName>
    <definedName name="Factor__F_B22" localSheetId="28">#REF!</definedName>
    <definedName name="Factor__F_B22" localSheetId="29">#REF!</definedName>
    <definedName name="Factor__F_B22" localSheetId="31">#REF!</definedName>
    <definedName name="Factor__F_B22" localSheetId="32">#REF!</definedName>
    <definedName name="Factor__F_B22" localSheetId="33">#REF!</definedName>
    <definedName name="Factor__F_B22" localSheetId="24">#REF!</definedName>
    <definedName name="Factor__F_B22" localSheetId="23">#REF!</definedName>
    <definedName name="Factor__F_B22" localSheetId="36">#REF!</definedName>
    <definedName name="Factor__F_B22" localSheetId="22">#REF!</definedName>
    <definedName name="Factor__F_B22" localSheetId="26">#REF!</definedName>
    <definedName name="Factor__F_B22" localSheetId="30">#REF!</definedName>
    <definedName name="Factor__F_B22" localSheetId="85">#REF!</definedName>
    <definedName name="Factor__F_B22" localSheetId="86">#REF!</definedName>
    <definedName name="Factor__F_B22" localSheetId="2">#REF!</definedName>
    <definedName name="Factor__F_B22">#REF!</definedName>
    <definedName name="Factor__F_B23" localSheetId="3">#REF!</definedName>
    <definedName name="Factor__F_B23" localSheetId="2">#REF!</definedName>
    <definedName name="Factor__F_B23">#REF!</definedName>
    <definedName name="Factor__F_KhamThaleSo" localSheetId="3">#REF!</definedName>
    <definedName name="Factor__F_KhamThaleSo" localSheetId="2">#REF!</definedName>
    <definedName name="Factor__F_KhamThaleSo">#REF!</definedName>
    <definedName name="Factor__F_PakChong" localSheetId="3">#REF!</definedName>
    <definedName name="Factor__F_PakChong" localSheetId="2">#REF!</definedName>
    <definedName name="Factor__F_PakChong">#REF!</definedName>
    <definedName name="Factor__F_RestArea_122" localSheetId="3">#REF!</definedName>
    <definedName name="Factor__F_RestArea_122" localSheetId="2">#REF!</definedName>
    <definedName name="Factor__F_RestArea_122">#REF!</definedName>
    <definedName name="Factor__F_RestArea_173" localSheetId="3">#REF!</definedName>
    <definedName name="Factor__F_RestArea_173" localSheetId="2">#REF!</definedName>
    <definedName name="Factor__F_RestArea_173">#REF!</definedName>
    <definedName name="Factor__F_ServiceArea" localSheetId="3">#REF!</definedName>
    <definedName name="Factor__F_ServiceArea" localSheetId="2">#REF!</definedName>
    <definedName name="Factor__F_ServiceArea">#REF!</definedName>
    <definedName name="Factor__F_ServiceCenter" localSheetId="3">#REF!</definedName>
    <definedName name="Factor__F_ServiceCenter" localSheetId="2">#REF!</definedName>
    <definedName name="Factor__F_ServiceCenter">#REF!</definedName>
    <definedName name="Factor__F_SiKhui" localSheetId="3">#REF!</definedName>
    <definedName name="Factor__F_SiKhui" localSheetId="2">#REF!</definedName>
    <definedName name="Factor__F_SiKhui">#REF!</definedName>
    <definedName name="Factor_F_B10" localSheetId="3">#REF!</definedName>
    <definedName name="Factor_F_B10" localSheetId="2">#REF!</definedName>
    <definedName name="Factor_F_B10">#REF!</definedName>
    <definedName name="Factor_F_B11" localSheetId="3">#REF!</definedName>
    <definedName name="Factor_F_B11" localSheetId="2">#REF!</definedName>
    <definedName name="Factor_F_B11">#REF!</definedName>
    <definedName name="Factor_F_B12" localSheetId="3">#REF!</definedName>
    <definedName name="Factor_F_B12" localSheetId="2">#REF!</definedName>
    <definedName name="Factor_F_B12">#REF!</definedName>
    <definedName name="Factor_F_B14" localSheetId="3">#REF!</definedName>
    <definedName name="Factor_F_B14" localSheetId="2">#REF!</definedName>
    <definedName name="Factor_F_B14">#REF!</definedName>
    <definedName name="Factor_F_B2" localSheetId="3">#REF!</definedName>
    <definedName name="Factor_F_B2" localSheetId="2">#REF!</definedName>
    <definedName name="Factor_F_B2">#REF!</definedName>
    <definedName name="Factor_F_B3" localSheetId="3">#REF!</definedName>
    <definedName name="Factor_F_B3" localSheetId="2">#REF!</definedName>
    <definedName name="Factor_F_B3">#REF!</definedName>
    <definedName name="Factor_F_B4" localSheetId="3">#REF!</definedName>
    <definedName name="Factor_F_B4" localSheetId="2">#REF!</definedName>
    <definedName name="Factor_F_B4">#REF!</definedName>
    <definedName name="Factor_F_B5" localSheetId="3">#REF!</definedName>
    <definedName name="Factor_F_B5" localSheetId="2">#REF!</definedName>
    <definedName name="Factor_F_B5">#REF!</definedName>
    <definedName name="Factor_F_B6" localSheetId="3">#REF!</definedName>
    <definedName name="Factor_F_B6" localSheetId="2">#REF!</definedName>
    <definedName name="Factor_F_B6">#REF!</definedName>
    <definedName name="Factor_F_B7" localSheetId="3">#REF!</definedName>
    <definedName name="Factor_F_B7" localSheetId="2">#REF!</definedName>
    <definedName name="Factor_F_B7">#REF!</definedName>
    <definedName name="Factor_F_B8" localSheetId="3">#REF!</definedName>
    <definedName name="Factor_F_B8" localSheetId="2">#REF!</definedName>
    <definedName name="Factor_F_B8">#REF!</definedName>
    <definedName name="Factor_F_B9" localSheetId="3">#REF!</definedName>
    <definedName name="Factor_F_B9" localSheetId="2">#REF!</definedName>
    <definedName name="Factor_F_B9">#REF!</definedName>
    <definedName name="FactorF_road" localSheetId="3">#REF!</definedName>
    <definedName name="FactorF_road" localSheetId="2">#REF!</definedName>
    <definedName name="FactorF_road">#REF!</definedName>
    <definedName name="FactorF_ทั่วไป" localSheetId="3">#REF!</definedName>
    <definedName name="FactorF_ทั่วไป" localSheetId="2">#REF!</definedName>
    <definedName name="FactorF_ทั่วไป">#REF!</definedName>
    <definedName name="FactorF_สะพาน" localSheetId="3">#REF!</definedName>
    <definedName name="FactorF_สะพาน" localSheetId="2">#REF!</definedName>
    <definedName name="FactorF_สะพาน">#REF!</definedName>
    <definedName name="FactorF_สาธาณูปโภค" localSheetId="3">#REF!</definedName>
    <definedName name="FactorF_สาธาณูปโภค" localSheetId="2">#REF!</definedName>
    <definedName name="FactorF_สาธาณูปโภค">#REF!</definedName>
    <definedName name="FactorF_สาธารณูปโภค" localSheetId="3">#REF!</definedName>
    <definedName name="FactorF_สาธารณูปโภค" localSheetId="2">#REF!</definedName>
    <definedName name="FactorF_สาธารณูปโภค">#REF!</definedName>
    <definedName name="FactorF_อาคาร" localSheetId="3">#REF!</definedName>
    <definedName name="FactorF_อาคาร" localSheetId="2">#REF!</definedName>
    <definedName name="FactorF_อาคาร">#REF!</definedName>
    <definedName name="FACTORF1.1" localSheetId="3">#REF!</definedName>
    <definedName name="FACTORF1.1" localSheetId="2">#REF!</definedName>
    <definedName name="FACTORF1.1">#REF!</definedName>
    <definedName name="FACTORF1.2" localSheetId="3">#REF!</definedName>
    <definedName name="FACTORF1.2" localSheetId="2">#REF!</definedName>
    <definedName name="FACTORF1.2">#REF!</definedName>
    <definedName name="FACTORF1.3.1" localSheetId="3">#REF!</definedName>
    <definedName name="FACTORF1.3.1" localSheetId="2">#REF!</definedName>
    <definedName name="FACTORF1.3.1">#REF!</definedName>
    <definedName name="FACTORF1.3.2" localSheetId="3">#REF!</definedName>
    <definedName name="FACTORF1.3.2" localSheetId="2">#REF!</definedName>
    <definedName name="FACTORF1.3.2">#REF!</definedName>
    <definedName name="FACTORF1.3.3" localSheetId="3">#REF!</definedName>
    <definedName name="FACTORF1.3.3" localSheetId="2">#REF!</definedName>
    <definedName name="FACTORF1.3.3">#REF!</definedName>
    <definedName name="FACTORF1.3.4" localSheetId="3">#REF!</definedName>
    <definedName name="FACTORF1.3.4" localSheetId="2">#REF!</definedName>
    <definedName name="FACTORF1.3.4">#REF!</definedName>
    <definedName name="FACTORF1.4.1" localSheetId="3">#REF!</definedName>
    <definedName name="FACTORF1.4.1" localSheetId="2">#REF!</definedName>
    <definedName name="FACTORF1.4.1">#REF!</definedName>
    <definedName name="FACTORF1.4.2" localSheetId="3">#REF!</definedName>
    <definedName name="FACTORF1.4.2" localSheetId="2">#REF!</definedName>
    <definedName name="FACTORF1.4.2">#REF!</definedName>
    <definedName name="FACTORF1.4.3" localSheetId="3">#REF!</definedName>
    <definedName name="FACTORF1.4.3" localSheetId="2">#REF!</definedName>
    <definedName name="FACTORF1.4.3">#REF!</definedName>
    <definedName name="FACTORF1.5" localSheetId="3">#REF!</definedName>
    <definedName name="FACTORF1.5" localSheetId="2">#REF!</definedName>
    <definedName name="FACTORF1.5">#REF!</definedName>
    <definedName name="FACTORF1.6.1" localSheetId="3">#REF!</definedName>
    <definedName name="FACTORF1.6.1" localSheetId="2">#REF!</definedName>
    <definedName name="FACTORF1.6.1">#REF!</definedName>
    <definedName name="FACTORF1.6.2" localSheetId="3">#REF!</definedName>
    <definedName name="FACTORF1.6.2" localSheetId="2">#REF!</definedName>
    <definedName name="FACTORF1.6.2">#REF!</definedName>
    <definedName name="FACTORF2.1" localSheetId="3">#REF!</definedName>
    <definedName name="FACTORF2.1" localSheetId="2">#REF!</definedName>
    <definedName name="FACTORF2.1">#REF!</definedName>
    <definedName name="FACTORF2.2_1" localSheetId="3">#REF!</definedName>
    <definedName name="FACTORF2.2_1" localSheetId="2">#REF!</definedName>
    <definedName name="FACTORF2.2_1">#REF!</definedName>
    <definedName name="FACTORF2.2_2" localSheetId="3">#REF!</definedName>
    <definedName name="FACTORF2.2_2" localSheetId="2">#REF!</definedName>
    <definedName name="FACTORF2.2_2">#REF!</definedName>
    <definedName name="FACTORF2.2_3" localSheetId="3">#REF!</definedName>
    <definedName name="FACTORF2.2_3" localSheetId="2">#REF!</definedName>
    <definedName name="FACTORF2.2_3">#REF!</definedName>
    <definedName name="FACTORF2.2_4" localSheetId="3">#REF!</definedName>
    <definedName name="FACTORF2.2_4" localSheetId="2">#REF!</definedName>
    <definedName name="FACTORF2.2_4">#REF!</definedName>
    <definedName name="FACTORF2.2_5" localSheetId="3">#REF!</definedName>
    <definedName name="FACTORF2.2_5" localSheetId="2">#REF!</definedName>
    <definedName name="FACTORF2.2_5">#REF!</definedName>
    <definedName name="FACTORF2.3_1" localSheetId="3">#REF!</definedName>
    <definedName name="FACTORF2.3_1" localSheetId="2">#REF!</definedName>
    <definedName name="FACTORF2.3_1">#REF!</definedName>
    <definedName name="FACTORF2.3_10.1" localSheetId="3">#REF!</definedName>
    <definedName name="FACTORF2.3_10.1" localSheetId="2">#REF!</definedName>
    <definedName name="FACTORF2.3_10.1">#REF!</definedName>
    <definedName name="FACTORF2.3_10.2" localSheetId="3">#REF!</definedName>
    <definedName name="FACTORF2.3_10.2" localSheetId="2">#REF!</definedName>
    <definedName name="FACTORF2.3_10.2">#REF!</definedName>
    <definedName name="FACTORF2.3_2" localSheetId="3">#REF!</definedName>
    <definedName name="FACTORF2.3_2" localSheetId="2">#REF!</definedName>
    <definedName name="FACTORF2.3_2">#REF!</definedName>
    <definedName name="FACTORF2.3_3" localSheetId="3">#REF!</definedName>
    <definedName name="FACTORF2.3_3" localSheetId="2">#REF!</definedName>
    <definedName name="FACTORF2.3_3">#REF!</definedName>
    <definedName name="FACTORF2.3_4" localSheetId="3">#REF!</definedName>
    <definedName name="FACTORF2.3_4" localSheetId="2">#REF!</definedName>
    <definedName name="FACTORF2.3_4">#REF!</definedName>
    <definedName name="FACTORF2.3_5" localSheetId="3">#REF!</definedName>
    <definedName name="FACTORF2.3_5" localSheetId="2">#REF!</definedName>
    <definedName name="FACTORF2.3_5">#REF!</definedName>
    <definedName name="FACTORF2.3_6" localSheetId="3">#REF!</definedName>
    <definedName name="FACTORF2.3_6" localSheetId="2">#REF!</definedName>
    <definedName name="FACTORF2.3_6">#REF!</definedName>
    <definedName name="FACTORF2.3_7" localSheetId="3">#REF!</definedName>
    <definedName name="FACTORF2.3_7" localSheetId="2">#REF!</definedName>
    <definedName name="FACTORF2.3_7">#REF!</definedName>
    <definedName name="FACTORF2.3_8" localSheetId="3">#REF!</definedName>
    <definedName name="FACTORF2.3_8" localSheetId="2">#REF!</definedName>
    <definedName name="FACTORF2.3_8">#REF!</definedName>
    <definedName name="FACTORF2.3_9" localSheetId="3">#REF!</definedName>
    <definedName name="FACTORF2.3_9" localSheetId="2">#REF!</definedName>
    <definedName name="FACTORF2.3_9">#REF!</definedName>
    <definedName name="FACTORF2.4_1" localSheetId="3">#REF!</definedName>
    <definedName name="FACTORF2.4_1" localSheetId="2">#REF!</definedName>
    <definedName name="FACTORF2.4_1">#REF!</definedName>
    <definedName name="FACTORF2.4_2" localSheetId="3">#REF!</definedName>
    <definedName name="FACTORF2.4_2" localSheetId="2">#REF!</definedName>
    <definedName name="FACTORF2.4_2">#REF!</definedName>
    <definedName name="FACTORF3.1_1" localSheetId="3">#REF!</definedName>
    <definedName name="FACTORF3.1_1" localSheetId="2">#REF!</definedName>
    <definedName name="FACTORF3.1_1">#REF!</definedName>
    <definedName name="FACTORF3.1_2" localSheetId="3">#REF!</definedName>
    <definedName name="FACTORF3.1_2" localSheetId="2">#REF!</definedName>
    <definedName name="FACTORF3.1_2">#REF!</definedName>
    <definedName name="FACTORF3.2_1" localSheetId="3">#REF!</definedName>
    <definedName name="FACTORF3.2_1" localSheetId="2">#REF!</definedName>
    <definedName name="FACTORF3.2_1">#REF!</definedName>
    <definedName name="FACTORF3.2_2" localSheetId="3">#REF!</definedName>
    <definedName name="FACTORF3.2_2" localSheetId="2">#REF!</definedName>
    <definedName name="FACTORF3.2_2">#REF!</definedName>
    <definedName name="FACTORF3.2_3" localSheetId="3">#REF!</definedName>
    <definedName name="FACTORF3.2_3" localSheetId="2">#REF!</definedName>
    <definedName name="FACTORF3.2_3">#REF!</definedName>
    <definedName name="FACTORF3.2_4" localSheetId="3">#REF!</definedName>
    <definedName name="FACTORF3.2_4" localSheetId="2">#REF!</definedName>
    <definedName name="FACTORF3.2_4">#REF!</definedName>
    <definedName name="FACTORF3.3_1" localSheetId="3">#REF!</definedName>
    <definedName name="FACTORF3.3_1" localSheetId="2">#REF!</definedName>
    <definedName name="FACTORF3.3_1">#REF!</definedName>
    <definedName name="FACTORF3.4_1" localSheetId="3">#REF!</definedName>
    <definedName name="FACTORF3.4_1" localSheetId="2">#REF!</definedName>
    <definedName name="FACTORF3.4_1">#REF!</definedName>
    <definedName name="FACTORF3.4_2" localSheetId="3">#REF!</definedName>
    <definedName name="FACTORF3.4_2" localSheetId="2">#REF!</definedName>
    <definedName name="FACTORF3.4_2">#REF!</definedName>
    <definedName name="FACTORF3.5" localSheetId="3">#REF!</definedName>
    <definedName name="FACTORF3.5" localSheetId="2">#REF!</definedName>
    <definedName name="FACTORF3.5">#REF!</definedName>
    <definedName name="FACTORF3.6" localSheetId="3">#REF!</definedName>
    <definedName name="FACTORF3.6" localSheetId="2">#REF!</definedName>
    <definedName name="FACTORF3.6">#REF!</definedName>
    <definedName name="FACTORF3.7_1" localSheetId="3">#REF!</definedName>
    <definedName name="FACTORF3.7_1" localSheetId="2">#REF!</definedName>
    <definedName name="FACTORF3.7_1">#REF!</definedName>
    <definedName name="FACTORF3.7_2" localSheetId="3">#REF!</definedName>
    <definedName name="FACTORF3.7_2" localSheetId="2">#REF!</definedName>
    <definedName name="FACTORF3.7_2">#REF!</definedName>
    <definedName name="FACTORF4.1_1" localSheetId="3">#REF!</definedName>
    <definedName name="FACTORF4.1_1" localSheetId="2">#REF!</definedName>
    <definedName name="FACTORF4.1_1">#REF!</definedName>
    <definedName name="FACTORF4.1_2" localSheetId="3">#REF!</definedName>
    <definedName name="FACTORF4.1_2" localSheetId="2">#REF!</definedName>
    <definedName name="FACTORF4.1_2">#REF!</definedName>
    <definedName name="FACTORF4.2_1" localSheetId="3">#REF!</definedName>
    <definedName name="FACTORF4.2_1" localSheetId="2">#REF!</definedName>
    <definedName name="FACTORF4.2_1">#REF!</definedName>
    <definedName name="FACTORF4.2_2" localSheetId="3">#REF!</definedName>
    <definedName name="FACTORF4.2_2" localSheetId="2">#REF!</definedName>
    <definedName name="FACTORF4.2_2">#REF!</definedName>
    <definedName name="FACTORF4.3" localSheetId="3">#REF!</definedName>
    <definedName name="FACTORF4.3" localSheetId="2">#REF!</definedName>
    <definedName name="FACTORF4.3">#REF!</definedName>
    <definedName name="FACTORF4.4_1" localSheetId="3">#REF!</definedName>
    <definedName name="FACTORF4.4_1" localSheetId="2">#REF!</definedName>
    <definedName name="FACTORF4.4_1">#REF!</definedName>
    <definedName name="FACTORF4.4_2" localSheetId="3">#REF!</definedName>
    <definedName name="FACTORF4.4_2" localSheetId="2">#REF!</definedName>
    <definedName name="FACTORF4.4_2">#REF!</definedName>
    <definedName name="FACTORF4.4_3" localSheetId="3">#REF!</definedName>
    <definedName name="FACTORF4.4_3" localSheetId="2">#REF!</definedName>
    <definedName name="FACTORF4.4_3">#REF!</definedName>
    <definedName name="FACTORF4.4_4" localSheetId="3">#REF!</definedName>
    <definedName name="FACTORF4.4_4" localSheetId="2">#REF!</definedName>
    <definedName name="FACTORF4.4_4">#REF!</definedName>
    <definedName name="FACTORF4.4_5" localSheetId="3">#REF!</definedName>
    <definedName name="FACTORF4.4_5" localSheetId="2">#REF!</definedName>
    <definedName name="FACTORF4.4_5">#REF!</definedName>
    <definedName name="FACTORF4.4_6" localSheetId="3">#REF!</definedName>
    <definedName name="FACTORF4.4_6" localSheetId="2">#REF!</definedName>
    <definedName name="FACTORF4.4_6">#REF!</definedName>
    <definedName name="FACTORF4.4_7" localSheetId="3">#REF!</definedName>
    <definedName name="FACTORF4.4_7" localSheetId="2">#REF!</definedName>
    <definedName name="FACTORF4.4_7">#REF!</definedName>
    <definedName name="FACTORF4.5" localSheetId="3">#REF!</definedName>
    <definedName name="FACTORF4.5" localSheetId="2">#REF!</definedName>
    <definedName name="FACTORF4.5">#REF!</definedName>
    <definedName name="FACTORF4.6" localSheetId="3">#REF!</definedName>
    <definedName name="FACTORF4.6" localSheetId="2">#REF!</definedName>
    <definedName name="FACTORF4.6">#REF!</definedName>
    <definedName name="FACTORF4.7_1" localSheetId="3">#REF!</definedName>
    <definedName name="FACTORF4.7_1" localSheetId="2">#REF!</definedName>
    <definedName name="FACTORF4.7_1">#REF!</definedName>
    <definedName name="FACTORF4.7_2" localSheetId="3">#REF!</definedName>
    <definedName name="FACTORF4.7_2" localSheetId="2">#REF!</definedName>
    <definedName name="FACTORF4.7_2">#REF!</definedName>
    <definedName name="FACTORF4.7_3" localSheetId="3">#REF!</definedName>
    <definedName name="FACTORF4.7_3" localSheetId="2">#REF!</definedName>
    <definedName name="FACTORF4.7_3">#REF!</definedName>
    <definedName name="FACTORF4.8_1" localSheetId="3">#REF!</definedName>
    <definedName name="FACTORF4.8_1" localSheetId="2">#REF!</definedName>
    <definedName name="FACTORF4.8_1">#REF!</definedName>
    <definedName name="FACTORF4.8_2" localSheetId="3">#REF!</definedName>
    <definedName name="FACTORF4.8_2" localSheetId="2">#REF!</definedName>
    <definedName name="FACTORF4.8_2">#REF!</definedName>
    <definedName name="FACTORF4.9_1" localSheetId="3">#REF!</definedName>
    <definedName name="FACTORF4.9_1" localSheetId="2">#REF!</definedName>
    <definedName name="FACTORF4.9_1">#REF!</definedName>
    <definedName name="FACTORF4.9_2" localSheetId="3">#REF!</definedName>
    <definedName name="FACTORF4.9_2" localSheetId="2">#REF!</definedName>
    <definedName name="FACTORF4.9_2">#REF!</definedName>
    <definedName name="FACTORF4.9_3" localSheetId="3">#REF!</definedName>
    <definedName name="FACTORF4.9_3" localSheetId="2">#REF!</definedName>
    <definedName name="FACTORF4.9_3">#REF!</definedName>
    <definedName name="FACTORF4.9_4" localSheetId="3">#REF!</definedName>
    <definedName name="FACTORF4.9_4" localSheetId="2">#REF!</definedName>
    <definedName name="FACTORF4.9_4">#REF!</definedName>
    <definedName name="FACTORF4.9_5" localSheetId="3">#REF!</definedName>
    <definedName name="FACTORF4.9_5" localSheetId="2">#REF!</definedName>
    <definedName name="FACTORF4.9_5">#REF!</definedName>
    <definedName name="FACTORF4.9_6" localSheetId="3">#REF!</definedName>
    <definedName name="FACTORF4.9_6" localSheetId="2">#REF!</definedName>
    <definedName name="FACTORF4.9_6">#REF!</definedName>
    <definedName name="FACTORF4.9_7" localSheetId="3">#REF!</definedName>
    <definedName name="FACTORF4.9_7" localSheetId="2">#REF!</definedName>
    <definedName name="FACTORF4.9_7">#REF!</definedName>
    <definedName name="FACTORF5.1_1.1" localSheetId="3">#REF!</definedName>
    <definedName name="FACTORF5.1_1.1" localSheetId="2">#REF!</definedName>
    <definedName name="FACTORF5.1_1.1">#REF!</definedName>
    <definedName name="FACTORF5.1_1.2" localSheetId="3">#REF!</definedName>
    <definedName name="FACTORF5.1_1.2" localSheetId="2">#REF!</definedName>
    <definedName name="FACTORF5.1_1.2">#REF!</definedName>
    <definedName name="FACTORF5.1_1.3" localSheetId="3">#REF!</definedName>
    <definedName name="FACTORF5.1_1.3" localSheetId="2">#REF!</definedName>
    <definedName name="FACTORF5.1_1.3">#REF!</definedName>
    <definedName name="FACTORF5.1_1.4" localSheetId="3">#REF!</definedName>
    <definedName name="FACTORF5.1_1.4" localSheetId="2">#REF!</definedName>
    <definedName name="FACTORF5.1_1.4">#REF!</definedName>
    <definedName name="FACTORF5.1_1.5" localSheetId="3">#REF!</definedName>
    <definedName name="FACTORF5.1_1.5" localSheetId="2">#REF!</definedName>
    <definedName name="FACTORF5.1_1.5">#REF!</definedName>
    <definedName name="FACTORF5.1_1.6" localSheetId="3">#REF!</definedName>
    <definedName name="FACTORF5.1_1.6" localSheetId="2">#REF!</definedName>
    <definedName name="FACTORF5.1_1.6">#REF!</definedName>
    <definedName name="FACTORF5.1_2.1.1" localSheetId="3">#REF!</definedName>
    <definedName name="FACTORF5.1_2.1.1" localSheetId="2">#REF!</definedName>
    <definedName name="FACTORF5.1_2.1.1">#REF!</definedName>
    <definedName name="FACTORF5.1_2.1.2" localSheetId="3">#REF!</definedName>
    <definedName name="FACTORF5.1_2.1.2" localSheetId="2">#REF!</definedName>
    <definedName name="FACTORF5.1_2.1.2">#REF!</definedName>
    <definedName name="FACTORF5.1_2.2.1" localSheetId="3">#REF!</definedName>
    <definedName name="FACTORF5.1_2.2.1" localSheetId="2">#REF!</definedName>
    <definedName name="FACTORF5.1_2.2.1">#REF!</definedName>
    <definedName name="FACTORF5.1_2.2.2" localSheetId="3">#REF!</definedName>
    <definedName name="FACTORF5.1_2.2.2" localSheetId="2">#REF!</definedName>
    <definedName name="FACTORF5.1_2.2.2">#REF!</definedName>
    <definedName name="FACTORF5.1_3.1" localSheetId="3">#REF!</definedName>
    <definedName name="FACTORF5.1_3.1" localSheetId="2">#REF!</definedName>
    <definedName name="FACTORF5.1_3.1">#REF!</definedName>
    <definedName name="FACTORF5.1_3.2" localSheetId="3">#REF!</definedName>
    <definedName name="FACTORF5.1_3.2" localSheetId="2">#REF!</definedName>
    <definedName name="FACTORF5.1_3.2">#REF!</definedName>
    <definedName name="FACTORF5.1_4" localSheetId="3">#REF!</definedName>
    <definedName name="FACTORF5.1_4" localSheetId="2">#REF!</definedName>
    <definedName name="FACTORF5.1_4">#REF!</definedName>
    <definedName name="FACTORF5.1_5" localSheetId="3">#REF!</definedName>
    <definedName name="FACTORF5.1_5" localSheetId="2">#REF!</definedName>
    <definedName name="FACTORF5.1_5">#REF!</definedName>
    <definedName name="FACTORF5.1_6" localSheetId="3">#REF!</definedName>
    <definedName name="FACTORF5.1_6" localSheetId="2">#REF!</definedName>
    <definedName name="FACTORF5.1_6">#REF!</definedName>
    <definedName name="FACTORF5.1_7.1" localSheetId="3">#REF!</definedName>
    <definedName name="FACTORF5.1_7.1" localSheetId="2">#REF!</definedName>
    <definedName name="FACTORF5.1_7.1">#REF!</definedName>
    <definedName name="FACTORF5.1_7.2" localSheetId="3">#REF!</definedName>
    <definedName name="FACTORF5.1_7.2" localSheetId="2">#REF!</definedName>
    <definedName name="FACTORF5.1_7.2">#REF!</definedName>
    <definedName name="FACTORF5.2_1.1" localSheetId="3">#REF!</definedName>
    <definedName name="FACTORF5.2_1.1" localSheetId="2">#REF!</definedName>
    <definedName name="FACTORF5.2_1.1">#REF!</definedName>
    <definedName name="FACTORF5.2_1.2" localSheetId="3">#REF!</definedName>
    <definedName name="FACTORF5.2_1.2" localSheetId="2">#REF!</definedName>
    <definedName name="FACTORF5.2_1.2">#REF!</definedName>
    <definedName name="FACTORF5.2_1.3" localSheetId="3">#REF!</definedName>
    <definedName name="FACTORF5.2_1.3" localSheetId="2">#REF!</definedName>
    <definedName name="FACTORF5.2_1.3">#REF!</definedName>
    <definedName name="FACTORF5.2_1.4" localSheetId="3">#REF!</definedName>
    <definedName name="FACTORF5.2_1.4" localSheetId="2">#REF!</definedName>
    <definedName name="FACTORF5.2_1.4">#REF!</definedName>
    <definedName name="FACTORF5.2_1.5" localSheetId="3">#REF!</definedName>
    <definedName name="FACTORF5.2_1.5" localSheetId="2">#REF!</definedName>
    <definedName name="FACTORF5.2_1.5">#REF!</definedName>
    <definedName name="FACTORF5.2_1.6" localSheetId="3">#REF!</definedName>
    <definedName name="FACTORF5.2_1.6" localSheetId="2">#REF!</definedName>
    <definedName name="FACTORF5.2_1.6">#REF!</definedName>
    <definedName name="FACTORF5.2_2.1" localSheetId="3">#REF!</definedName>
    <definedName name="FACTORF5.2_2.1" localSheetId="2">#REF!</definedName>
    <definedName name="FACTORF5.2_2.1">#REF!</definedName>
    <definedName name="FACTORF5.2_2.2" localSheetId="3">#REF!</definedName>
    <definedName name="FACTORF5.2_2.2" localSheetId="2">#REF!</definedName>
    <definedName name="FACTORF5.2_2.2">#REF!</definedName>
    <definedName name="FACTORF5.2_2.3" localSheetId="3">#REF!</definedName>
    <definedName name="FACTORF5.2_2.3" localSheetId="2">#REF!</definedName>
    <definedName name="FACTORF5.2_2.3">#REF!</definedName>
    <definedName name="FACTORF5.2_2.4" localSheetId="3">#REF!</definedName>
    <definedName name="FACTORF5.2_2.4" localSheetId="2">#REF!</definedName>
    <definedName name="FACTORF5.2_2.4">#REF!</definedName>
    <definedName name="FACTORF5.2_2.5" localSheetId="3">#REF!</definedName>
    <definedName name="FACTORF5.2_2.5" localSheetId="2">#REF!</definedName>
    <definedName name="FACTORF5.2_2.5">#REF!</definedName>
    <definedName name="FACTORF5.2_2.6" localSheetId="3">#REF!</definedName>
    <definedName name="FACTORF5.2_2.6" localSheetId="2">#REF!</definedName>
    <definedName name="FACTORF5.2_2.6">#REF!</definedName>
    <definedName name="FACTORF5.2_3.1" localSheetId="3">#REF!</definedName>
    <definedName name="FACTORF5.2_3.1" localSheetId="2">#REF!</definedName>
    <definedName name="FACTORF5.2_3.1">#REF!</definedName>
    <definedName name="FACTORF5.2_3.2" localSheetId="3">#REF!</definedName>
    <definedName name="FACTORF5.2_3.2" localSheetId="2">#REF!</definedName>
    <definedName name="FACTORF5.2_3.2">#REF!</definedName>
    <definedName name="FACTORF5.3_100.2" localSheetId="3">#REF!</definedName>
    <definedName name="FACTORF5.3_100.2" localSheetId="2">#REF!</definedName>
    <definedName name="FACTORF5.3_100.2">#REF!</definedName>
    <definedName name="FACTORF5.3_100.3" localSheetId="3">#REF!</definedName>
    <definedName name="FACTORF5.3_100.3" localSheetId="2">#REF!</definedName>
    <definedName name="FACTORF5.3_100.3">#REF!</definedName>
    <definedName name="FACTORF5.3_120.2" localSheetId="3">#REF!</definedName>
    <definedName name="FACTORF5.3_120.2" localSheetId="2">#REF!</definedName>
    <definedName name="FACTORF5.3_120.2">#REF!</definedName>
    <definedName name="FACTORF5.3_120.3" localSheetId="3">#REF!</definedName>
    <definedName name="FACTORF5.3_120.3" localSheetId="2">#REF!</definedName>
    <definedName name="FACTORF5.3_120.3">#REF!</definedName>
    <definedName name="FACTORF5.3_150.2" localSheetId="3">#REF!</definedName>
    <definedName name="FACTORF5.3_150.2" localSheetId="2">#REF!</definedName>
    <definedName name="FACTORF5.3_150.2">#REF!</definedName>
    <definedName name="FACTORF5.3_150.3" localSheetId="3">#REF!</definedName>
    <definedName name="FACTORF5.3_150.3" localSheetId="2">#REF!</definedName>
    <definedName name="FACTORF5.3_150.3">#REF!</definedName>
    <definedName name="FACTORF5.3_30.2" localSheetId="3">#REF!</definedName>
    <definedName name="FACTORF5.3_30.2" localSheetId="2">#REF!</definedName>
    <definedName name="FACTORF5.3_30.2">#REF!</definedName>
    <definedName name="FACTORF5.3_30.3" localSheetId="3">#REF!</definedName>
    <definedName name="FACTORF5.3_30.3" localSheetId="2">#REF!</definedName>
    <definedName name="FACTORF5.3_30.3">#REF!</definedName>
    <definedName name="FACTORF5.3_40.2" localSheetId="3">#REF!</definedName>
    <definedName name="FACTORF5.3_40.2" localSheetId="2">#REF!</definedName>
    <definedName name="FACTORF5.3_40.2">#REF!</definedName>
    <definedName name="FACTORF5.3_40.3" localSheetId="3">#REF!</definedName>
    <definedName name="FACTORF5.3_40.3" localSheetId="2">#REF!</definedName>
    <definedName name="FACTORF5.3_40.3">#REF!</definedName>
    <definedName name="FACTORF5.3_60.2" localSheetId="3">#REF!</definedName>
    <definedName name="FACTORF5.3_60.2" localSheetId="2">#REF!</definedName>
    <definedName name="FACTORF5.3_60.2">#REF!</definedName>
    <definedName name="FACTORF5.3_60.3" localSheetId="3">#REF!</definedName>
    <definedName name="FACTORF5.3_60.3" localSheetId="2">#REF!</definedName>
    <definedName name="FACTORF5.3_60.3">#REF!</definedName>
    <definedName name="FACTORF5.3_80.2" localSheetId="3">#REF!</definedName>
    <definedName name="FACTORF5.3_80.2" localSheetId="2">#REF!</definedName>
    <definedName name="FACTORF5.3_80.2">#REF!</definedName>
    <definedName name="FACTORF5.3_80.3" localSheetId="3">#REF!</definedName>
    <definedName name="FACTORF5.3_80.3" localSheetId="2">#REF!</definedName>
    <definedName name="FACTORF5.3_80.3">#REF!</definedName>
    <definedName name="FACTORF6.1_1" localSheetId="3">#REF!</definedName>
    <definedName name="FACTORF6.1_1" localSheetId="2">#REF!</definedName>
    <definedName name="FACTORF6.1_1">#REF!</definedName>
    <definedName name="FACTORF6.1_10" localSheetId="3">#REF!</definedName>
    <definedName name="FACTORF6.1_10" localSheetId="2">#REF!</definedName>
    <definedName name="FACTORF6.1_10">#REF!</definedName>
    <definedName name="FACTORF6.1_11" localSheetId="3">#REF!</definedName>
    <definedName name="FACTORF6.1_11" localSheetId="2">#REF!</definedName>
    <definedName name="FACTORF6.1_11">#REF!</definedName>
    <definedName name="FACTORF6.1_12" localSheetId="3">#REF!</definedName>
    <definedName name="FACTORF6.1_12" localSheetId="2">#REF!</definedName>
    <definedName name="FACTORF6.1_12">#REF!</definedName>
    <definedName name="FACTORF6.1_13" localSheetId="3">#REF!</definedName>
    <definedName name="FACTORF6.1_13" localSheetId="2">#REF!</definedName>
    <definedName name="FACTORF6.1_13">#REF!</definedName>
    <definedName name="FACTORF6.1_14" localSheetId="3">#REF!</definedName>
    <definedName name="FACTORF6.1_14" localSheetId="2">#REF!</definedName>
    <definedName name="FACTORF6.1_14">#REF!</definedName>
    <definedName name="FACTORF6.1_15" localSheetId="3">#REF!</definedName>
    <definedName name="FACTORF6.1_15" localSheetId="2">#REF!</definedName>
    <definedName name="FACTORF6.1_15">#REF!</definedName>
    <definedName name="FACTORF6.1_16" localSheetId="3">#REF!</definedName>
    <definedName name="FACTORF6.1_16" localSheetId="2">#REF!</definedName>
    <definedName name="FACTORF6.1_16">#REF!</definedName>
    <definedName name="FACTORF6.1_17" localSheetId="3">#REF!</definedName>
    <definedName name="FACTORF6.1_17" localSheetId="2">#REF!</definedName>
    <definedName name="FACTORF6.1_17">#REF!</definedName>
    <definedName name="FACTORF6.1_18" localSheetId="3">#REF!</definedName>
    <definedName name="FACTORF6.1_18" localSheetId="2">#REF!</definedName>
    <definedName name="FACTORF6.1_18">#REF!</definedName>
    <definedName name="FACTORF6.1_19" localSheetId="3">#REF!</definedName>
    <definedName name="FACTORF6.1_19" localSheetId="2">#REF!</definedName>
    <definedName name="FACTORF6.1_19">#REF!</definedName>
    <definedName name="FACTORF6.1_2" localSheetId="3">#REF!</definedName>
    <definedName name="FACTORF6.1_2" localSheetId="2">#REF!</definedName>
    <definedName name="FACTORF6.1_2">#REF!</definedName>
    <definedName name="FACTORF6.1_20" localSheetId="3">#REF!</definedName>
    <definedName name="FACTORF6.1_20" localSheetId="2">#REF!</definedName>
    <definedName name="FACTORF6.1_20">#REF!</definedName>
    <definedName name="FACTORF6.1_3" localSheetId="3">#REF!</definedName>
    <definedName name="FACTORF6.1_3" localSheetId="2">#REF!</definedName>
    <definedName name="FACTORF6.1_3">#REF!</definedName>
    <definedName name="FACTORF6.1_4.1" localSheetId="3">#REF!</definedName>
    <definedName name="FACTORF6.1_4.1" localSheetId="2">#REF!</definedName>
    <definedName name="FACTORF6.1_4.1">#REF!</definedName>
    <definedName name="FACTORF6.1_4.2" localSheetId="3">#REF!</definedName>
    <definedName name="FACTORF6.1_4.2" localSheetId="2">#REF!</definedName>
    <definedName name="FACTORF6.1_4.2">#REF!</definedName>
    <definedName name="FACTORF6.1_5" localSheetId="3">#REF!</definedName>
    <definedName name="FACTORF6.1_5" localSheetId="2">#REF!</definedName>
    <definedName name="FACTORF6.1_5">#REF!</definedName>
    <definedName name="FACTORF6.1_6" localSheetId="3">#REF!</definedName>
    <definedName name="FACTORF6.1_6" localSheetId="2">#REF!</definedName>
    <definedName name="FACTORF6.1_6">#REF!</definedName>
    <definedName name="FACTORF6.1_7" localSheetId="3">#REF!</definedName>
    <definedName name="FACTORF6.1_7" localSheetId="2">#REF!</definedName>
    <definedName name="FACTORF6.1_7">#REF!</definedName>
    <definedName name="FACTORF6.1_8" localSheetId="3">#REF!</definedName>
    <definedName name="FACTORF6.1_8" localSheetId="2">#REF!</definedName>
    <definedName name="FACTORF6.1_8">#REF!</definedName>
    <definedName name="FACTORF6.1_9" localSheetId="3">#REF!</definedName>
    <definedName name="FACTORF6.1_9" localSheetId="2">#REF!</definedName>
    <definedName name="FACTORF6.1_9">#REF!</definedName>
    <definedName name="FACTORF6.10_1" localSheetId="3">#REF!</definedName>
    <definedName name="FACTORF6.10_1" localSheetId="2">#REF!</definedName>
    <definedName name="FACTORF6.10_1">#REF!</definedName>
    <definedName name="FACTORF6.10_2" localSheetId="3">#REF!</definedName>
    <definedName name="FACTORF6.10_2" localSheetId="2">#REF!</definedName>
    <definedName name="FACTORF6.10_2">#REF!</definedName>
    <definedName name="FACTORF6.10_3" localSheetId="3">#REF!</definedName>
    <definedName name="FACTORF6.10_3" localSheetId="2">#REF!</definedName>
    <definedName name="FACTORF6.10_3">#REF!</definedName>
    <definedName name="FACTORF6.10_4.1" localSheetId="3">#REF!</definedName>
    <definedName name="FACTORF6.10_4.1" localSheetId="2">#REF!</definedName>
    <definedName name="FACTORF6.10_4.1">#REF!</definedName>
    <definedName name="FACTORF6.10_4.2" localSheetId="3">#REF!</definedName>
    <definedName name="FACTORF6.10_4.2" localSheetId="2">#REF!</definedName>
    <definedName name="FACTORF6.10_4.2">#REF!</definedName>
    <definedName name="FACTORF6.10_4.3" localSheetId="3">#REF!</definedName>
    <definedName name="FACTORF6.10_4.3" localSheetId="2">#REF!</definedName>
    <definedName name="FACTORF6.10_4.3">#REF!</definedName>
    <definedName name="FACTORF6.10_5" localSheetId="3">#REF!</definedName>
    <definedName name="FACTORF6.10_5" localSheetId="2">#REF!</definedName>
    <definedName name="FACTORF6.10_5">#REF!</definedName>
    <definedName name="FACTORF6.10_6" localSheetId="3">#REF!</definedName>
    <definedName name="FACTORF6.10_6" localSheetId="2">#REF!</definedName>
    <definedName name="FACTORF6.10_6">#REF!</definedName>
    <definedName name="FACTORF6.11_1" localSheetId="3">#REF!</definedName>
    <definedName name="FACTORF6.11_1" localSheetId="2">#REF!</definedName>
    <definedName name="FACTORF6.11_1">#REF!</definedName>
    <definedName name="FACTORF6.11_2.1" localSheetId="3">#REF!</definedName>
    <definedName name="FACTORF6.11_2.1" localSheetId="2">#REF!</definedName>
    <definedName name="FACTORF6.11_2.1">#REF!</definedName>
    <definedName name="FACTORF6.11_2.2" localSheetId="3">#REF!</definedName>
    <definedName name="FACTORF6.11_2.2" localSheetId="2">#REF!</definedName>
    <definedName name="FACTORF6.11_2.2">#REF!</definedName>
    <definedName name="FACTORF6.11_2.3" localSheetId="3">#REF!</definedName>
    <definedName name="FACTORF6.11_2.3" localSheetId="2">#REF!</definedName>
    <definedName name="FACTORF6.11_2.3">#REF!</definedName>
    <definedName name="FACTORF6.11_3.1" localSheetId="3">#REF!</definedName>
    <definedName name="FACTORF6.11_3.1" localSheetId="2">#REF!</definedName>
    <definedName name="FACTORF6.11_3.1">#REF!</definedName>
    <definedName name="FACTORF6.11_3.2" localSheetId="3">#REF!</definedName>
    <definedName name="FACTORF6.11_3.2" localSheetId="2">#REF!</definedName>
    <definedName name="FACTORF6.11_3.2">#REF!</definedName>
    <definedName name="FACTORF6.11_4.1" localSheetId="3">#REF!</definedName>
    <definedName name="FACTORF6.11_4.1" localSheetId="2">#REF!</definedName>
    <definedName name="FACTORF6.11_4.1">#REF!</definedName>
    <definedName name="FACTORF6.11_4.2" localSheetId="3">#REF!</definedName>
    <definedName name="FACTORF6.11_4.2" localSheetId="2">#REF!</definedName>
    <definedName name="FACTORF6.11_4.2">#REF!</definedName>
    <definedName name="FACTORF6.11_4.3" localSheetId="3">#REF!</definedName>
    <definedName name="FACTORF6.11_4.3" localSheetId="2">#REF!</definedName>
    <definedName name="FACTORF6.11_4.3">#REF!</definedName>
    <definedName name="FACTORF6.11_5.1" localSheetId="3">#REF!</definedName>
    <definedName name="FACTORF6.11_5.1" localSheetId="2">#REF!</definedName>
    <definedName name="FACTORF6.11_5.1">#REF!</definedName>
    <definedName name="FACTORF6.11_5.2" localSheetId="3">#REF!</definedName>
    <definedName name="FACTORF6.11_5.2" localSheetId="2">#REF!</definedName>
    <definedName name="FACTORF6.11_5.2">#REF!</definedName>
    <definedName name="FACTORF6.11_6.1" localSheetId="3">#REF!</definedName>
    <definedName name="FACTORF6.11_6.1" localSheetId="2">#REF!</definedName>
    <definedName name="FACTORF6.11_6.1">#REF!</definedName>
    <definedName name="FACTORF6.11_6.2" localSheetId="3">#REF!</definedName>
    <definedName name="FACTORF6.11_6.2" localSheetId="2">#REF!</definedName>
    <definedName name="FACTORF6.11_6.2">#REF!</definedName>
    <definedName name="FACTORF6.11_7" localSheetId="3">#REF!</definedName>
    <definedName name="FACTORF6.11_7" localSheetId="2">#REF!</definedName>
    <definedName name="FACTORF6.11_7">#REF!</definedName>
    <definedName name="FACTORF6.11_8" localSheetId="3">#REF!</definedName>
    <definedName name="FACTORF6.11_8" localSheetId="2">#REF!</definedName>
    <definedName name="FACTORF6.11_8">#REF!</definedName>
    <definedName name="FACTORF6.12_1" localSheetId="3">#REF!</definedName>
    <definedName name="FACTORF6.12_1" localSheetId="2">#REF!</definedName>
    <definedName name="FACTORF6.12_1">#REF!</definedName>
    <definedName name="FACTORF6.12_10.1" localSheetId="3">#REF!</definedName>
    <definedName name="FACTORF6.12_10.1" localSheetId="2">#REF!</definedName>
    <definedName name="FACTORF6.12_10.1">#REF!</definedName>
    <definedName name="FACTORF6.12_10.2" localSheetId="3">#REF!</definedName>
    <definedName name="FACTORF6.12_10.2" localSheetId="2">#REF!</definedName>
    <definedName name="FACTORF6.12_10.2">#REF!</definedName>
    <definedName name="FACTORF6.12_10.3" localSheetId="3">#REF!</definedName>
    <definedName name="FACTORF6.12_10.3" localSheetId="2">#REF!</definedName>
    <definedName name="FACTORF6.12_10.3">#REF!</definedName>
    <definedName name="FACTORF6.12_11.1" localSheetId="3">#REF!</definedName>
    <definedName name="FACTORF6.12_11.1" localSheetId="2">#REF!</definedName>
    <definedName name="FACTORF6.12_11.1">#REF!</definedName>
    <definedName name="FACTORF6.12_11.2" localSheetId="3">#REF!</definedName>
    <definedName name="FACTORF6.12_11.2" localSheetId="2">#REF!</definedName>
    <definedName name="FACTORF6.12_11.2">#REF!</definedName>
    <definedName name="FACTORF6.12_11.3" localSheetId="3">#REF!</definedName>
    <definedName name="FACTORF6.12_11.3" localSheetId="2">#REF!</definedName>
    <definedName name="FACTORF6.12_11.3">#REF!</definedName>
    <definedName name="FACTORF6.12_2" localSheetId="3">#REF!</definedName>
    <definedName name="FACTORF6.12_2" localSheetId="2">#REF!</definedName>
    <definedName name="FACTORF6.12_2">#REF!</definedName>
    <definedName name="FACTORF6.12_3" localSheetId="3">#REF!</definedName>
    <definedName name="FACTORF6.12_3" localSheetId="2">#REF!</definedName>
    <definedName name="FACTORF6.12_3">#REF!</definedName>
    <definedName name="FACTORF6.12_4" localSheetId="3">#REF!</definedName>
    <definedName name="FACTORF6.12_4" localSheetId="2">#REF!</definedName>
    <definedName name="FACTORF6.12_4">#REF!</definedName>
    <definedName name="FACTORF6.12_5.1" localSheetId="3">#REF!</definedName>
    <definedName name="FACTORF6.12_5.1" localSheetId="2">#REF!</definedName>
    <definedName name="FACTORF6.12_5.1">#REF!</definedName>
    <definedName name="FACTORF6.12_5.2" localSheetId="3">#REF!</definedName>
    <definedName name="FACTORF6.12_5.2" localSheetId="2">#REF!</definedName>
    <definedName name="FACTORF6.12_5.2">#REF!</definedName>
    <definedName name="FACTORF6.12_5.3" localSheetId="3">#REF!</definedName>
    <definedName name="FACTORF6.12_5.3" localSheetId="2">#REF!</definedName>
    <definedName name="FACTORF6.12_5.3">#REF!</definedName>
    <definedName name="FACTORF6.12_6" localSheetId="3">#REF!</definedName>
    <definedName name="FACTORF6.12_6" localSheetId="2">#REF!</definedName>
    <definedName name="FACTORF6.12_6">#REF!</definedName>
    <definedName name="FACTORF6.12_7" localSheetId="3">#REF!</definedName>
    <definedName name="FACTORF6.12_7" localSheetId="2">#REF!</definedName>
    <definedName name="FACTORF6.12_7">#REF!</definedName>
    <definedName name="FACTORF6.12_8" localSheetId="3">#REF!</definedName>
    <definedName name="FACTORF6.12_8" localSheetId="2">#REF!</definedName>
    <definedName name="FACTORF6.12_8">#REF!</definedName>
    <definedName name="FACTORF6.12_9" localSheetId="3">#REF!</definedName>
    <definedName name="FACTORF6.12_9" localSheetId="2">#REF!</definedName>
    <definedName name="FACTORF6.12_9">#REF!</definedName>
    <definedName name="FACTORF6.13_1.1" localSheetId="3">#REF!</definedName>
    <definedName name="FACTORF6.13_1.1" localSheetId="2">#REF!</definedName>
    <definedName name="FACTORF6.13_1.1">#REF!</definedName>
    <definedName name="FACTORF6.13_1.2" localSheetId="3">#REF!</definedName>
    <definedName name="FACTORF6.13_1.2" localSheetId="2">#REF!</definedName>
    <definedName name="FACTORF6.13_1.2">#REF!</definedName>
    <definedName name="FACTORF6.13_2.1" localSheetId="3">#REF!</definedName>
    <definedName name="FACTORF6.13_2.1" localSheetId="2">#REF!</definedName>
    <definedName name="FACTORF6.13_2.1">#REF!</definedName>
    <definedName name="FACTORF6.13_2.2" localSheetId="3">#REF!</definedName>
    <definedName name="FACTORF6.13_2.2" localSheetId="2">#REF!</definedName>
    <definedName name="FACTORF6.13_2.2">#REF!</definedName>
    <definedName name="FACTORF6.14_1.1" localSheetId="3">#REF!</definedName>
    <definedName name="FACTORF6.14_1.1" localSheetId="2">#REF!</definedName>
    <definedName name="FACTORF6.14_1.1">#REF!</definedName>
    <definedName name="FACTORF6.14_1.2" localSheetId="3">#REF!</definedName>
    <definedName name="FACTORF6.14_1.2" localSheetId="2">#REF!</definedName>
    <definedName name="FACTORF6.14_1.2">#REF!</definedName>
    <definedName name="FACTORF6.14_2.1" localSheetId="3">#REF!</definedName>
    <definedName name="FACTORF6.14_2.1" localSheetId="2">#REF!</definedName>
    <definedName name="FACTORF6.14_2.1">#REF!</definedName>
    <definedName name="FACTORF6.14_2.2" localSheetId="3">#REF!</definedName>
    <definedName name="FACTORF6.14_2.2" localSheetId="2">#REF!</definedName>
    <definedName name="FACTORF6.14_2.2">#REF!</definedName>
    <definedName name="FACTORF6.15_1.1" localSheetId="3">#REF!</definedName>
    <definedName name="FACTORF6.15_1.1" localSheetId="2">#REF!</definedName>
    <definedName name="FACTORF6.15_1.1">#REF!</definedName>
    <definedName name="FACTORF6.15_1.2" localSheetId="3">#REF!</definedName>
    <definedName name="FACTORF6.15_1.2" localSheetId="2">#REF!</definedName>
    <definedName name="FACTORF6.15_1.2">#REF!</definedName>
    <definedName name="FACTORF6.15_2.1" localSheetId="3">#REF!</definedName>
    <definedName name="FACTORF6.15_2.1" localSheetId="2">#REF!</definedName>
    <definedName name="FACTORF6.15_2.1">#REF!</definedName>
    <definedName name="FACTORF6.15_2.2" localSheetId="3">#REF!</definedName>
    <definedName name="FACTORF6.15_2.2" localSheetId="2">#REF!</definedName>
    <definedName name="FACTORF6.15_2.2">#REF!</definedName>
    <definedName name="FACTORF6.15_3.1" localSheetId="3">#REF!</definedName>
    <definedName name="FACTORF6.15_3.1" localSheetId="2">#REF!</definedName>
    <definedName name="FACTORF6.15_3.1">#REF!</definedName>
    <definedName name="FACTORF6.15_3.2" localSheetId="3">#REF!</definedName>
    <definedName name="FACTORF6.15_3.2" localSheetId="2">#REF!</definedName>
    <definedName name="FACTORF6.15_3.2">#REF!</definedName>
    <definedName name="FACTORF6.15_4.1" localSheetId="3">#REF!</definedName>
    <definedName name="FACTORF6.15_4.1" localSheetId="2">#REF!</definedName>
    <definedName name="FACTORF6.15_4.1">#REF!</definedName>
    <definedName name="FACTORF6.15_4.2" localSheetId="3">#REF!</definedName>
    <definedName name="FACTORF6.15_4.2" localSheetId="2">#REF!</definedName>
    <definedName name="FACTORF6.15_4.2">#REF!</definedName>
    <definedName name="FACTORF6.15_5.1" localSheetId="3">#REF!</definedName>
    <definedName name="FACTORF6.15_5.1" localSheetId="2">#REF!</definedName>
    <definedName name="FACTORF6.15_5.1">#REF!</definedName>
    <definedName name="FACTORF6.15_5.2" localSheetId="3">#REF!</definedName>
    <definedName name="FACTORF6.15_5.2" localSheetId="2">#REF!</definedName>
    <definedName name="FACTORF6.15_5.2">#REF!</definedName>
    <definedName name="FACTORF6.15_6" localSheetId="3">#REF!</definedName>
    <definedName name="FACTORF6.15_6" localSheetId="2">#REF!</definedName>
    <definedName name="FACTORF6.15_6">#REF!</definedName>
    <definedName name="FACTORF6.15_7" localSheetId="3">#REF!</definedName>
    <definedName name="FACTORF6.15_7" localSheetId="2">#REF!</definedName>
    <definedName name="FACTORF6.15_7">#REF!</definedName>
    <definedName name="FACTORF6.16" localSheetId="3">#REF!</definedName>
    <definedName name="FACTORF6.16" localSheetId="2">#REF!</definedName>
    <definedName name="FACTORF6.16">#REF!</definedName>
    <definedName name="FACTORF6.17_1" localSheetId="3">#REF!</definedName>
    <definedName name="FACTORF6.17_1" localSheetId="2">#REF!</definedName>
    <definedName name="FACTORF6.17_1">#REF!</definedName>
    <definedName name="FACTORF6.17_10" localSheetId="3">#REF!</definedName>
    <definedName name="FACTORF6.17_10" localSheetId="2">#REF!</definedName>
    <definedName name="FACTORF6.17_10">#REF!</definedName>
    <definedName name="FACTORF6.17_11" localSheetId="3">#REF!</definedName>
    <definedName name="FACTORF6.17_11" localSheetId="2">#REF!</definedName>
    <definedName name="FACTORF6.17_11">#REF!</definedName>
    <definedName name="FACTORF6.17_12" localSheetId="3">#REF!</definedName>
    <definedName name="FACTORF6.17_12" localSheetId="2">#REF!</definedName>
    <definedName name="FACTORF6.17_12">#REF!</definedName>
    <definedName name="FACTORF6.17_2" localSheetId="3">#REF!</definedName>
    <definedName name="FACTORF6.17_2" localSheetId="2">#REF!</definedName>
    <definedName name="FACTORF6.17_2">#REF!</definedName>
    <definedName name="FACTORF6.17_3" localSheetId="3">#REF!</definedName>
    <definedName name="FACTORF6.17_3" localSheetId="2">#REF!</definedName>
    <definedName name="FACTORF6.17_3">#REF!</definedName>
    <definedName name="FACTORF6.17_4" localSheetId="3">#REF!</definedName>
    <definedName name="FACTORF6.17_4" localSheetId="2">#REF!</definedName>
    <definedName name="FACTORF6.17_4">#REF!</definedName>
    <definedName name="FACTORF6.17_5" localSheetId="3">#REF!</definedName>
    <definedName name="FACTORF6.17_5" localSheetId="2">#REF!</definedName>
    <definedName name="FACTORF6.17_5">#REF!</definedName>
    <definedName name="FACTORF6.17_6" localSheetId="3">#REF!</definedName>
    <definedName name="FACTORF6.17_6" localSheetId="2">#REF!</definedName>
    <definedName name="FACTORF6.17_6">#REF!</definedName>
    <definedName name="FACTORF6.17_7" localSheetId="3">#REF!</definedName>
    <definedName name="FACTORF6.17_7" localSheetId="2">#REF!</definedName>
    <definedName name="FACTORF6.17_7">#REF!</definedName>
    <definedName name="FACTORF6.17_8" localSheetId="3">#REF!</definedName>
    <definedName name="FACTORF6.17_8" localSheetId="2">#REF!</definedName>
    <definedName name="FACTORF6.17_8">#REF!</definedName>
    <definedName name="FACTORF6.17_9" localSheetId="3">#REF!</definedName>
    <definedName name="FACTORF6.17_9" localSheetId="2">#REF!</definedName>
    <definedName name="FACTORF6.17_9">#REF!</definedName>
    <definedName name="FACTORF6.18_1.1" localSheetId="3">#REF!</definedName>
    <definedName name="FACTORF6.18_1.1" localSheetId="2">#REF!</definedName>
    <definedName name="FACTORF6.18_1.1">#REF!</definedName>
    <definedName name="FACTORF6.18_1.2" localSheetId="3">#REF!</definedName>
    <definedName name="FACTORF6.18_1.2" localSheetId="2">#REF!</definedName>
    <definedName name="FACTORF6.18_1.2">#REF!</definedName>
    <definedName name="FACTORF6.18_1.3" localSheetId="3">#REF!</definedName>
    <definedName name="FACTORF6.18_1.3" localSheetId="2">#REF!</definedName>
    <definedName name="FACTORF6.18_1.3">#REF!</definedName>
    <definedName name="FACTORF6.18_2" localSheetId="3">#REF!</definedName>
    <definedName name="FACTORF6.18_2" localSheetId="2">#REF!</definedName>
    <definedName name="FACTORF6.18_2">#REF!</definedName>
    <definedName name="FACTORF6.18_3" localSheetId="3">#REF!</definedName>
    <definedName name="FACTORF6.18_3" localSheetId="2">#REF!</definedName>
    <definedName name="FACTORF6.18_3">#REF!</definedName>
    <definedName name="FACTORF6.18_4.1" localSheetId="3">#REF!</definedName>
    <definedName name="FACTORF6.18_4.1" localSheetId="2">#REF!</definedName>
    <definedName name="FACTORF6.18_4.1">#REF!</definedName>
    <definedName name="FACTORF6.18_4.2" localSheetId="3">#REF!</definedName>
    <definedName name="FACTORF6.18_4.2" localSheetId="2">#REF!</definedName>
    <definedName name="FACTORF6.18_4.2">#REF!</definedName>
    <definedName name="FACTORF6.18_4.3" localSheetId="3">#REF!</definedName>
    <definedName name="FACTORF6.18_4.3" localSheetId="2">#REF!</definedName>
    <definedName name="FACTORF6.18_4.3">#REF!</definedName>
    <definedName name="FACTORF6.18_5" localSheetId="3">#REF!</definedName>
    <definedName name="FACTORF6.18_5" localSheetId="2">#REF!</definedName>
    <definedName name="FACTORF6.18_5">#REF!</definedName>
    <definedName name="FACTORF6.19_1" localSheetId="3">#REF!</definedName>
    <definedName name="FACTORF6.19_1" localSheetId="2">#REF!</definedName>
    <definedName name="FACTORF6.19_1">#REF!</definedName>
    <definedName name="FACTORF6.19_2" localSheetId="3">#REF!</definedName>
    <definedName name="FACTORF6.19_2" localSheetId="2">#REF!</definedName>
    <definedName name="FACTORF6.19_2">#REF!</definedName>
    <definedName name="FACTORF6.19_3" localSheetId="3">#REF!</definedName>
    <definedName name="FACTORF6.19_3" localSheetId="2">#REF!</definedName>
    <definedName name="FACTORF6.19_3">#REF!</definedName>
    <definedName name="FACTORF6.19_4" localSheetId="3">#REF!</definedName>
    <definedName name="FACTORF6.19_4" localSheetId="2">#REF!</definedName>
    <definedName name="FACTORF6.19_4">#REF!</definedName>
    <definedName name="FACTORF6.2_1" localSheetId="3">#REF!</definedName>
    <definedName name="FACTORF6.2_1" localSheetId="2">#REF!</definedName>
    <definedName name="FACTORF6.2_1">#REF!</definedName>
    <definedName name="FACTORF6.2_2" localSheetId="3">#REF!</definedName>
    <definedName name="FACTORF6.2_2" localSheetId="2">#REF!</definedName>
    <definedName name="FACTORF6.2_2">#REF!</definedName>
    <definedName name="FACTORF6.3_1.1" localSheetId="3">#REF!</definedName>
    <definedName name="FACTORF6.3_1.1" localSheetId="2">#REF!</definedName>
    <definedName name="FACTORF6.3_1.1">#REF!</definedName>
    <definedName name="FACTORF6.3_1.2" localSheetId="3">#REF!</definedName>
    <definedName name="FACTORF6.3_1.2" localSheetId="2">#REF!</definedName>
    <definedName name="FACTORF6.3_1.2">#REF!</definedName>
    <definedName name="FACTORF6.3_1.3" localSheetId="3">#REF!</definedName>
    <definedName name="FACTORF6.3_1.3" localSheetId="2">#REF!</definedName>
    <definedName name="FACTORF6.3_1.3">#REF!</definedName>
    <definedName name="FACTORF6.3_1.4" localSheetId="3">#REF!</definedName>
    <definedName name="FACTORF6.3_1.4" localSheetId="2">#REF!</definedName>
    <definedName name="FACTORF6.3_1.4">#REF!</definedName>
    <definedName name="FACTORF6.3_1.5" localSheetId="3">#REF!</definedName>
    <definedName name="FACTORF6.3_1.5" localSheetId="2">#REF!</definedName>
    <definedName name="FACTORF6.3_1.5">#REF!</definedName>
    <definedName name="FACTORF6.3_1.6" localSheetId="3">#REF!</definedName>
    <definedName name="FACTORF6.3_1.6" localSheetId="2">#REF!</definedName>
    <definedName name="FACTORF6.3_1.6">#REF!</definedName>
    <definedName name="FACTORF6.3_1.7" localSheetId="3">#REF!</definedName>
    <definedName name="FACTORF6.3_1.7" localSheetId="2">#REF!</definedName>
    <definedName name="FACTORF6.3_1.7">#REF!</definedName>
    <definedName name="FACTORF6.3_10" localSheetId="3">#REF!</definedName>
    <definedName name="FACTORF6.3_10" localSheetId="2">#REF!</definedName>
    <definedName name="FACTORF6.3_10">#REF!</definedName>
    <definedName name="FACTORF6.3_11" localSheetId="3">#REF!</definedName>
    <definedName name="FACTORF6.3_11" localSheetId="2">#REF!</definedName>
    <definedName name="FACTORF6.3_11">#REF!</definedName>
    <definedName name="FACTORF6.3_12.1" localSheetId="3">#REF!</definedName>
    <definedName name="FACTORF6.3_12.1" localSheetId="2">#REF!</definedName>
    <definedName name="FACTORF6.3_12.1">#REF!</definedName>
    <definedName name="FACTORF6.3_12.2" localSheetId="3">#REF!</definedName>
    <definedName name="FACTORF6.3_12.2" localSheetId="2">#REF!</definedName>
    <definedName name="FACTORF6.3_12.2">#REF!</definedName>
    <definedName name="FACTORF6.3_12.3" localSheetId="3">#REF!</definedName>
    <definedName name="FACTORF6.3_12.3" localSheetId="2">#REF!</definedName>
    <definedName name="FACTORF6.3_12.3">#REF!</definedName>
    <definedName name="FACTORF6.3_13.1" localSheetId="3">#REF!</definedName>
    <definedName name="FACTORF6.3_13.1" localSheetId="2">#REF!</definedName>
    <definedName name="FACTORF6.3_13.1">#REF!</definedName>
    <definedName name="FACTORF6.3_13.2" localSheetId="3">#REF!</definedName>
    <definedName name="FACTORF6.3_13.2" localSheetId="2">#REF!</definedName>
    <definedName name="FACTORF6.3_13.2">#REF!</definedName>
    <definedName name="FACTORF6.3_14.1" localSheetId="3">#REF!</definedName>
    <definedName name="FACTORF6.3_14.1" localSheetId="2">#REF!</definedName>
    <definedName name="FACTORF6.3_14.1">#REF!</definedName>
    <definedName name="FACTORF6.3_14.2" localSheetId="3">#REF!</definedName>
    <definedName name="FACTORF6.3_14.2" localSheetId="2">#REF!</definedName>
    <definedName name="FACTORF6.3_14.2">#REF!</definedName>
    <definedName name="FACTORF6.3_14.3" localSheetId="3">#REF!</definedName>
    <definedName name="FACTORF6.3_14.3" localSheetId="2">#REF!</definedName>
    <definedName name="FACTORF6.3_14.3">#REF!</definedName>
    <definedName name="FACTORF6.3_14.4" localSheetId="3">#REF!</definedName>
    <definedName name="FACTORF6.3_14.4" localSheetId="2">#REF!</definedName>
    <definedName name="FACTORF6.3_14.4">#REF!</definedName>
    <definedName name="FACTORF6.3_14.5.1" localSheetId="3">#REF!</definedName>
    <definedName name="FACTORF6.3_14.5.1" localSheetId="2">#REF!</definedName>
    <definedName name="FACTORF6.3_14.5.1">#REF!</definedName>
    <definedName name="FACTORF6.3_14.5.2" localSheetId="3">#REF!</definedName>
    <definedName name="FACTORF6.3_14.5.2" localSheetId="2">#REF!</definedName>
    <definedName name="FACTORF6.3_14.5.2">#REF!</definedName>
    <definedName name="FACTORF6.3_14.5.3" localSheetId="3">#REF!</definedName>
    <definedName name="FACTORF6.3_14.5.3" localSheetId="2">#REF!</definedName>
    <definedName name="FACTORF6.3_14.5.3">#REF!</definedName>
    <definedName name="FACTORF6.3_2" localSheetId="3">#REF!</definedName>
    <definedName name="FACTORF6.3_2" localSheetId="2">#REF!</definedName>
    <definedName name="FACTORF6.3_2">#REF!</definedName>
    <definedName name="FACTORF6.3_3.1" localSheetId="3">#REF!</definedName>
    <definedName name="FACTORF6.3_3.1" localSheetId="2">#REF!</definedName>
    <definedName name="FACTORF6.3_3.1">#REF!</definedName>
    <definedName name="FACTORF6.3_3.2" localSheetId="3">#REF!</definedName>
    <definedName name="FACTORF6.3_3.2" localSheetId="2">#REF!</definedName>
    <definedName name="FACTORF6.3_3.2">#REF!</definedName>
    <definedName name="FACTORF6.3_4" localSheetId="3">#REF!</definedName>
    <definedName name="FACTORF6.3_4" localSheetId="2">#REF!</definedName>
    <definedName name="FACTORF6.3_4">#REF!</definedName>
    <definedName name="FACTORF6.3_5.1" localSheetId="3">#REF!</definedName>
    <definedName name="FACTORF6.3_5.1" localSheetId="2">#REF!</definedName>
    <definedName name="FACTORF6.3_5.1">#REF!</definedName>
    <definedName name="FACTORF6.3_5.2" localSheetId="3">#REF!</definedName>
    <definedName name="FACTORF6.3_5.2" localSheetId="2">#REF!</definedName>
    <definedName name="FACTORF6.3_5.2">#REF!</definedName>
    <definedName name="FACTORF6.3_6.1.1" localSheetId="3">#REF!</definedName>
    <definedName name="FACTORF6.3_6.1.1" localSheetId="2">#REF!</definedName>
    <definedName name="FACTORF6.3_6.1.1">#REF!</definedName>
    <definedName name="FACTORF6.3_6.2.1" localSheetId="3">#REF!</definedName>
    <definedName name="FACTORF6.3_6.2.1" localSheetId="2">#REF!</definedName>
    <definedName name="FACTORF6.3_6.2.1">#REF!</definedName>
    <definedName name="FACTORF6.3_7" localSheetId="3">#REF!</definedName>
    <definedName name="FACTORF6.3_7" localSheetId="2">#REF!</definedName>
    <definedName name="FACTORF6.3_7">#REF!</definedName>
    <definedName name="FACTORF6.3_8.1" localSheetId="3">#REF!</definedName>
    <definedName name="FACTORF6.3_8.1" localSheetId="2">#REF!</definedName>
    <definedName name="FACTORF6.3_8.1">#REF!</definedName>
    <definedName name="FACTORF6.3_8.2" localSheetId="3">#REF!</definedName>
    <definedName name="FACTORF6.3_8.2" localSheetId="2">#REF!</definedName>
    <definedName name="FACTORF6.3_8.2">#REF!</definedName>
    <definedName name="FACTORF6.3_8.3" localSheetId="3">#REF!</definedName>
    <definedName name="FACTORF6.3_8.3" localSheetId="2">#REF!</definedName>
    <definedName name="FACTORF6.3_8.3">#REF!</definedName>
    <definedName name="FACTORF6.3_9" localSheetId="3">#REF!</definedName>
    <definedName name="FACTORF6.3_9" localSheetId="2">#REF!</definedName>
    <definedName name="FACTORF6.3_9">#REF!</definedName>
    <definedName name="FACTORF6.4_1" localSheetId="3">#REF!</definedName>
    <definedName name="FACTORF6.4_1" localSheetId="2">#REF!</definedName>
    <definedName name="FACTORF6.4_1">#REF!</definedName>
    <definedName name="FACTORF6.4_2" localSheetId="3">#REF!</definedName>
    <definedName name="FACTORF6.4_2" localSheetId="2">#REF!</definedName>
    <definedName name="FACTORF6.4_2">#REF!</definedName>
    <definedName name="FACTORF6.4_3" localSheetId="3">#REF!</definedName>
    <definedName name="FACTORF6.4_3" localSheetId="2">#REF!</definedName>
    <definedName name="FACTORF6.4_3">#REF!</definedName>
    <definedName name="FACTORF6.4_4" localSheetId="3">#REF!</definedName>
    <definedName name="FACTORF6.4_4" localSheetId="2">#REF!</definedName>
    <definedName name="FACTORF6.4_4">#REF!</definedName>
    <definedName name="FACTORF6.4_5.1" localSheetId="3">#REF!</definedName>
    <definedName name="FACTORF6.4_5.1" localSheetId="2">#REF!</definedName>
    <definedName name="FACTORF6.4_5.1">#REF!</definedName>
    <definedName name="FACTORF6.4_5.2" localSheetId="3">#REF!</definedName>
    <definedName name="FACTORF6.4_5.2" localSheetId="2">#REF!</definedName>
    <definedName name="FACTORF6.4_5.2">#REF!</definedName>
    <definedName name="FACTORF6.4_5.3" localSheetId="3">#REF!</definedName>
    <definedName name="FACTORF6.4_5.3" localSheetId="2">#REF!</definedName>
    <definedName name="FACTORF6.4_5.3">#REF!</definedName>
    <definedName name="FACTORF6.4_5.4" localSheetId="3">#REF!</definedName>
    <definedName name="FACTORF6.4_5.4" localSheetId="2">#REF!</definedName>
    <definedName name="FACTORF6.4_5.4">#REF!</definedName>
    <definedName name="FACTORF6.4_6.1" localSheetId="3">#REF!</definedName>
    <definedName name="FACTORF6.4_6.1" localSheetId="2">#REF!</definedName>
    <definedName name="FACTORF6.4_6.1">#REF!</definedName>
    <definedName name="FACTORF6.4_6.2" localSheetId="3">#REF!</definedName>
    <definedName name="FACTORF6.4_6.2" localSheetId="2">#REF!</definedName>
    <definedName name="FACTORF6.4_6.2">#REF!</definedName>
    <definedName name="FACTORF6.4_6.3" localSheetId="3">#REF!</definedName>
    <definedName name="FACTORF6.4_6.3" localSheetId="2">#REF!</definedName>
    <definedName name="FACTORF6.4_6.3">#REF!</definedName>
    <definedName name="FACTORF6.4_6.4" localSheetId="3">#REF!</definedName>
    <definedName name="FACTORF6.4_6.4" localSheetId="2">#REF!</definedName>
    <definedName name="FACTORF6.4_6.4">#REF!</definedName>
    <definedName name="FACTORF6.4_6.5" localSheetId="3">#REF!</definedName>
    <definedName name="FACTORF6.4_6.5" localSheetId="2">#REF!</definedName>
    <definedName name="FACTORF6.4_6.5">#REF!</definedName>
    <definedName name="FACTORF6.5_1" localSheetId="3">#REF!</definedName>
    <definedName name="FACTORF6.5_1" localSheetId="2">#REF!</definedName>
    <definedName name="FACTORF6.5_1">#REF!</definedName>
    <definedName name="FACTORF6.5_2" localSheetId="3">#REF!</definedName>
    <definedName name="FACTORF6.5_2" localSheetId="2">#REF!</definedName>
    <definedName name="FACTORF6.5_2">#REF!</definedName>
    <definedName name="FACTORF6.6_1" localSheetId="3">#REF!</definedName>
    <definedName name="FACTORF6.6_1" localSheetId="2">#REF!</definedName>
    <definedName name="FACTORF6.6_1">#REF!</definedName>
    <definedName name="FACTORF6.6_2" localSheetId="3">#REF!</definedName>
    <definedName name="FACTORF6.6_2" localSheetId="2">#REF!</definedName>
    <definedName name="FACTORF6.6_2">#REF!</definedName>
    <definedName name="FACTORF6.7_1" localSheetId="3">#REF!</definedName>
    <definedName name="FACTORF6.7_1" localSheetId="2">#REF!</definedName>
    <definedName name="FACTORF6.7_1">#REF!</definedName>
    <definedName name="FACTORF6.7_2" localSheetId="3">#REF!</definedName>
    <definedName name="FACTORF6.7_2" localSheetId="2">#REF!</definedName>
    <definedName name="FACTORF6.7_2">#REF!</definedName>
    <definedName name="FACTORF6.8_1.1" localSheetId="3">#REF!</definedName>
    <definedName name="FACTORF6.8_1.1" localSheetId="2">#REF!</definedName>
    <definedName name="FACTORF6.8_1.1">#REF!</definedName>
    <definedName name="FACTORF6.8_1.2" localSheetId="3">#REF!</definedName>
    <definedName name="FACTORF6.8_1.2" localSheetId="2">#REF!</definedName>
    <definedName name="FACTORF6.8_1.2">#REF!</definedName>
    <definedName name="FACTORF6.8_2" localSheetId="3">#REF!</definedName>
    <definedName name="FACTORF6.8_2" localSheetId="2">#REF!</definedName>
    <definedName name="FACTORF6.8_2">#REF!</definedName>
    <definedName name="FACTORF6.8_3" localSheetId="3">#REF!</definedName>
    <definedName name="FACTORF6.8_3" localSheetId="2">#REF!</definedName>
    <definedName name="FACTORF6.8_3">#REF!</definedName>
    <definedName name="FACTORF6.9_1" localSheetId="3">#REF!</definedName>
    <definedName name="FACTORF6.9_1" localSheetId="2">#REF!</definedName>
    <definedName name="FACTORF6.9_1">#REF!</definedName>
    <definedName name="FACTORF6.9_2" localSheetId="3">#REF!</definedName>
    <definedName name="FACTORF6.9_2" localSheetId="2">#REF!</definedName>
    <definedName name="FACTORF6.9_2">#REF!</definedName>
    <definedName name="factorFงานอาคาร" localSheetId="3">#REF!</definedName>
    <definedName name="factorFงานอาคาร" localSheetId="2">#REF!</definedName>
    <definedName name="factorFงานอาคาร">#REF!</definedName>
    <definedName name="fbridge">'[17]หา FACTOR F'!$J$31</definedName>
    <definedName name="Fence_TypeII">'[8]6'!$J$1787</definedName>
    <definedName name="ff">'[18]F(ของเรา)'!$G$27</definedName>
    <definedName name="fff">'[19]11 ข้อมูลงานCon'!$AB$30</definedName>
    <definedName name="FFFFFF" localSheetId="3">#REF!</definedName>
    <definedName name="FFFFFF" localSheetId="4">#REF!</definedName>
    <definedName name="FFFFFF" localSheetId="38">#REF!</definedName>
    <definedName name="FFFFFF" localSheetId="86">#REF!</definedName>
    <definedName name="FFFFFF">#REF!</definedName>
    <definedName name="fgeneral">'[17]หา FACTOR F'!$J$11</definedName>
    <definedName name="FormWork">[10]FCalSH!$G$19</definedName>
    <definedName name="FWS">'[20]11 ข้อมูลงานCon'!$AB$30</definedName>
    <definedName name="FWSS">'[20]11 ข้อมูลงานCon'!$AB$30</definedName>
    <definedName name="fกรรมการ" localSheetId="3">#REF!</definedName>
    <definedName name="fกรรมการ" localSheetId="4">#REF!</definedName>
    <definedName name="fกรรมการ" localSheetId="18">#REF!</definedName>
    <definedName name="fกรรมการ" localSheetId="19">#REF!</definedName>
    <definedName name="fกรรมการ" localSheetId="9">#REF!</definedName>
    <definedName name="fกรรมการ" localSheetId="10">#REF!</definedName>
    <definedName name="fกรรมการ" localSheetId="11">#REF!</definedName>
    <definedName name="fกรรมการ" localSheetId="12">#REF!</definedName>
    <definedName name="fกรรมการ" localSheetId="13">#REF!</definedName>
    <definedName name="fกรรมการ" localSheetId="14">#REF!</definedName>
    <definedName name="fกรรมการ" localSheetId="15">#REF!</definedName>
    <definedName name="fกรรมการ" localSheetId="16">#REF!</definedName>
    <definedName name="fกรรมการ" localSheetId="17">#REF!</definedName>
    <definedName name="fกรรมการ" localSheetId="8">#REF!</definedName>
    <definedName name="fกรรมการ" localSheetId="7">#REF!</definedName>
    <definedName name="fกรรมการ" localSheetId="6">#REF!</definedName>
    <definedName name="fกรรมการ" localSheetId="20">#REF!</definedName>
    <definedName name="fกรรมการ" localSheetId="5">#REF!</definedName>
    <definedName name="fกรรมการ" localSheetId="21">#REF!</definedName>
    <definedName name="fกรรมการ" localSheetId="34">#REF!</definedName>
    <definedName name="fกรรมการ" localSheetId="35">#REF!</definedName>
    <definedName name="fกรรมการ" localSheetId="25">#REF!</definedName>
    <definedName name="fกรรมการ" localSheetId="27">#REF!</definedName>
    <definedName name="fกรรมการ" localSheetId="28">#REF!</definedName>
    <definedName name="fกรรมการ" localSheetId="29">#REF!</definedName>
    <definedName name="fกรรมการ" localSheetId="31">#REF!</definedName>
    <definedName name="fกรรมการ" localSheetId="32">#REF!</definedName>
    <definedName name="fกรรมการ" localSheetId="33">#REF!</definedName>
    <definedName name="fกรรมการ" localSheetId="24">#REF!</definedName>
    <definedName name="fกรรมการ" localSheetId="23">#REF!</definedName>
    <definedName name="fกรรมการ" localSheetId="36">#REF!</definedName>
    <definedName name="fกรรมการ" localSheetId="22">#REF!</definedName>
    <definedName name="fกรรมการ" localSheetId="26">#REF!</definedName>
    <definedName name="fกรรมการ" localSheetId="30">#REF!</definedName>
    <definedName name="fกรรมการ" localSheetId="41">#REF!</definedName>
    <definedName name="fกรรมการ" localSheetId="50">#REF!</definedName>
    <definedName name="fกรรมการ" localSheetId="51">#REF!</definedName>
    <definedName name="fกรรมการ" localSheetId="42">#REF!</definedName>
    <definedName name="fกรรมการ" localSheetId="43">#REF!</definedName>
    <definedName name="fกรรมการ" localSheetId="44">#REF!</definedName>
    <definedName name="fกรรมการ" localSheetId="45">#REF!</definedName>
    <definedName name="fกรรมการ" localSheetId="46">#REF!</definedName>
    <definedName name="fกรรมการ" localSheetId="47">#REF!</definedName>
    <definedName name="fกรรมการ" localSheetId="48">#REF!</definedName>
    <definedName name="fกรรมการ" localSheetId="49">#REF!</definedName>
    <definedName name="fกรรมการ" localSheetId="52">#REF!</definedName>
    <definedName name="fกรรมการ" localSheetId="40">#REF!</definedName>
    <definedName name="fกรรมการ" localSheetId="39">#REF!</definedName>
    <definedName name="fกรรมการ" localSheetId="38">#REF!</definedName>
    <definedName name="fกรรมการ" localSheetId="37">#REF!</definedName>
    <definedName name="fกรรมการ" localSheetId="57">#REF!</definedName>
    <definedName name="fกรรมการ" localSheetId="66">#REF!</definedName>
    <definedName name="fกรรมการ" localSheetId="67">#REF!</definedName>
    <definedName name="fกรรมการ" localSheetId="58">#REF!</definedName>
    <definedName name="fกรรมการ" localSheetId="59">#REF!</definedName>
    <definedName name="fกรรมการ" localSheetId="60">#REF!</definedName>
    <definedName name="fกรรมการ" localSheetId="61">#REF!</definedName>
    <definedName name="fกรรมการ" localSheetId="62">#REF!</definedName>
    <definedName name="fกรรมการ" localSheetId="63">#REF!</definedName>
    <definedName name="fกรรมการ" localSheetId="64">#REF!</definedName>
    <definedName name="fกรรมการ" localSheetId="65">#REF!</definedName>
    <definedName name="fกรรมการ" localSheetId="68">#REF!</definedName>
    <definedName name="fกรรมการ" localSheetId="56">#REF!</definedName>
    <definedName name="fกรรมการ" localSheetId="55">#REF!</definedName>
    <definedName name="fกรรมการ" localSheetId="54">#REF!</definedName>
    <definedName name="fกรรมการ" localSheetId="53">#REF!</definedName>
    <definedName name="fกรรมการ" localSheetId="85">#REF!</definedName>
    <definedName name="fกรรมการ" localSheetId="86">#REF!</definedName>
    <definedName name="fกรรมการ" localSheetId="2">#REF!</definedName>
    <definedName name="fกรรมการ">#REF!</definedName>
    <definedName name="g" localSheetId="4">#REF!</definedName>
    <definedName name="g">#REF!</definedName>
    <definedName name="Geogrid_TypicalIII">'[21]6'!$J$382</definedName>
    <definedName name="Geogrid_TypicalIV">'[21]6'!$J$409</definedName>
    <definedName name="GGGGG" localSheetId="3">#REF!</definedName>
    <definedName name="GGGGG" localSheetId="4">#REF!</definedName>
    <definedName name="GGGGG" localSheetId="38">#REF!</definedName>
    <definedName name="GGGGG" localSheetId="86">#REF!</definedName>
    <definedName name="GGGGG">#REF!</definedName>
    <definedName name="Hauling_from_bkk">[22]Input!$E$6</definedName>
    <definedName name="HDPE25">[23]backup!$K$72</definedName>
    <definedName name="HDPE40">[23]backup!$K$77</definedName>
    <definedName name="hdpe50">'[24]Local road Backup'!$I$10</definedName>
    <definedName name="HEADWALL_BOX1.50x1.50_1" localSheetId="3">'[25]6'!$I$1226</definedName>
    <definedName name="HEADWALL_BOX1.50x1.50_1" localSheetId="4">'[26]6'!$I$1226</definedName>
    <definedName name="HEADWALL_BOX1.50x1.50_1" localSheetId="86">'[26]6'!$I$1226</definedName>
    <definedName name="HEADWALL_BOX1.50x1.50_1">'[27]6'!$I$1226</definedName>
    <definedName name="HEADWALL_BOX1.50x1.50_2" localSheetId="3">'[25]6'!$I$1236</definedName>
    <definedName name="HEADWALL_BOX1.50x1.50_2" localSheetId="4">'[26]6'!$I$1236</definedName>
    <definedName name="HEADWALL_BOX1.50x1.50_2" localSheetId="86">'[26]6'!$I$1236</definedName>
    <definedName name="HEADWALL_BOX1.50x1.50_2">'[27]6'!$I$1236</definedName>
    <definedName name="HEADWALL_BOX1.80x1.80_1" localSheetId="3">'[25]6'!$I$1246</definedName>
    <definedName name="HEADWALL_BOX1.80x1.80_1" localSheetId="4">'[26]6'!$I$1246</definedName>
    <definedName name="HEADWALL_BOX1.80x1.80_1" localSheetId="86">'[26]6'!$I$1246</definedName>
    <definedName name="HEADWALL_BOX1.80x1.80_1">'[27]6'!$I$1246</definedName>
    <definedName name="HEADWALL_BOX1.80x1.80_2" localSheetId="3">'[25]6'!$I$1256</definedName>
    <definedName name="HEADWALL_BOX1.80x1.80_2" localSheetId="4">'[26]6'!$I$1256</definedName>
    <definedName name="HEADWALL_BOX1.80x1.80_2" localSheetId="86">'[26]6'!$I$1256</definedName>
    <definedName name="HEADWALL_BOX1.80x1.80_2">'[27]6'!$I$1256</definedName>
    <definedName name="HHHHHH" localSheetId="3">#REF!</definedName>
    <definedName name="HHHHHH" localSheetId="4">#REF!</definedName>
    <definedName name="HHHHHH" localSheetId="38">#REF!</definedName>
    <definedName name="HHHHHH" localSheetId="86">#REF!</definedName>
    <definedName name="HHHHHH">#REF!</definedName>
    <definedName name="HTML_CodePage" hidden="1">874</definedName>
    <definedName name="HTML_Control" localSheetId="3" hidden="1">{"'SUMMATION'!$B$2:$I$2"}</definedName>
    <definedName name="HTML_Control" localSheetId="4" hidden="1">{"'SUMMATION'!$B$2:$I$2"}</definedName>
    <definedName name="HTML_Control" localSheetId="38" hidden="1">{"'SUMMATION'!$B$2:$I$2"}</definedName>
    <definedName name="HTML_Control" localSheetId="86" hidden="1">{"'SUMMATION'!$B$2:$I$2"}</definedName>
    <definedName name="HTML_Control" hidden="1">{"'SUMMATION'!$B$2:$I$2"}</definedName>
    <definedName name="HTML_Description" hidden="1">""</definedName>
    <definedName name="HTML_Email" hidden="1">""</definedName>
    <definedName name="HTML_Header" hidden="1">"SUMMATION"</definedName>
    <definedName name="HTML_LastUpdate" hidden="1">"21/3/02"</definedName>
    <definedName name="HTML_LineAfter" hidden="1">FALSE</definedName>
    <definedName name="HTML_LineBefore" hidden="1">FALSE</definedName>
    <definedName name="HTML_Name" hidden="1">"Estimate_5"</definedName>
    <definedName name="HTML_OBDlg2" hidden="1">TRUE</definedName>
    <definedName name="HTML_OBDlg4" hidden="1">TRUE</definedName>
    <definedName name="HTML_OS" hidden="1">0</definedName>
    <definedName name="HTML_PathFile" hidden="1">"C:\SAni.htm"</definedName>
    <definedName name="HTML_Title" hidden="1">"อาคารเรียนรวม"</definedName>
    <definedName name="ie" localSheetId="3">#REF!</definedName>
    <definedName name="ie" localSheetId="4">#REF!</definedName>
    <definedName name="ie" localSheetId="38">#REF!</definedName>
    <definedName name="ie">#REF!</definedName>
    <definedName name="ITEM1.2" localSheetId="3">#REF!</definedName>
    <definedName name="ITEM1.2" localSheetId="18">#REF!</definedName>
    <definedName name="ITEM1.2" localSheetId="19">#REF!</definedName>
    <definedName name="ITEM1.2" localSheetId="9">#REF!</definedName>
    <definedName name="ITEM1.2" localSheetId="10">#REF!</definedName>
    <definedName name="ITEM1.2" localSheetId="11">#REF!</definedName>
    <definedName name="ITEM1.2" localSheetId="12">#REF!</definedName>
    <definedName name="ITEM1.2" localSheetId="13">#REF!</definedName>
    <definedName name="ITEM1.2" localSheetId="14">#REF!</definedName>
    <definedName name="ITEM1.2" localSheetId="15">#REF!</definedName>
    <definedName name="ITEM1.2" localSheetId="16">#REF!</definedName>
    <definedName name="ITEM1.2" localSheetId="17">#REF!</definedName>
    <definedName name="ITEM1.2" localSheetId="8">#REF!</definedName>
    <definedName name="ITEM1.2" localSheetId="7">#REF!</definedName>
    <definedName name="ITEM1.2" localSheetId="6">#REF!</definedName>
    <definedName name="ITEM1.2" localSheetId="20">#REF!</definedName>
    <definedName name="ITEM1.2" localSheetId="5">#REF!</definedName>
    <definedName name="ITEM1.2" localSheetId="21">#REF!</definedName>
    <definedName name="ITEM1.2" localSheetId="34">#REF!</definedName>
    <definedName name="ITEM1.2" localSheetId="35">#REF!</definedName>
    <definedName name="ITEM1.2" localSheetId="25">#REF!</definedName>
    <definedName name="ITEM1.2" localSheetId="27">#REF!</definedName>
    <definedName name="ITEM1.2" localSheetId="28">#REF!</definedName>
    <definedName name="ITEM1.2" localSheetId="29">#REF!</definedName>
    <definedName name="ITEM1.2" localSheetId="31">#REF!</definedName>
    <definedName name="ITEM1.2" localSheetId="32">#REF!</definedName>
    <definedName name="ITEM1.2" localSheetId="33">#REF!</definedName>
    <definedName name="ITEM1.2" localSheetId="24">#REF!</definedName>
    <definedName name="ITEM1.2" localSheetId="23">#REF!</definedName>
    <definedName name="ITEM1.2" localSheetId="36">#REF!</definedName>
    <definedName name="ITEM1.2" localSheetId="22">#REF!</definedName>
    <definedName name="ITEM1.2" localSheetId="26">#REF!</definedName>
    <definedName name="ITEM1.2" localSheetId="30">#REF!</definedName>
    <definedName name="ITEM1.2" localSheetId="41">#REF!</definedName>
    <definedName name="ITEM1.2" localSheetId="50">#REF!</definedName>
    <definedName name="ITEM1.2" localSheetId="51">#REF!</definedName>
    <definedName name="ITEM1.2" localSheetId="42">#REF!</definedName>
    <definedName name="ITEM1.2" localSheetId="43">#REF!</definedName>
    <definedName name="ITEM1.2" localSheetId="44">#REF!</definedName>
    <definedName name="ITEM1.2" localSheetId="45">#REF!</definedName>
    <definedName name="ITEM1.2" localSheetId="46">#REF!</definedName>
    <definedName name="ITEM1.2" localSheetId="47">#REF!</definedName>
    <definedName name="ITEM1.2" localSheetId="48">#REF!</definedName>
    <definedName name="ITEM1.2" localSheetId="49">#REF!</definedName>
    <definedName name="ITEM1.2" localSheetId="52">#REF!</definedName>
    <definedName name="ITEM1.2" localSheetId="40">#REF!</definedName>
    <definedName name="ITEM1.2" localSheetId="39">#REF!</definedName>
    <definedName name="ITEM1.2" localSheetId="38">#REF!</definedName>
    <definedName name="ITEM1.2" localSheetId="37">#REF!</definedName>
    <definedName name="ITEM1.2" localSheetId="57">#REF!</definedName>
    <definedName name="ITEM1.2" localSheetId="66">#REF!</definedName>
    <definedName name="ITEM1.2" localSheetId="67">#REF!</definedName>
    <definedName name="ITEM1.2" localSheetId="58">#REF!</definedName>
    <definedName name="ITEM1.2" localSheetId="59">#REF!</definedName>
    <definedName name="ITEM1.2" localSheetId="60">#REF!</definedName>
    <definedName name="ITEM1.2" localSheetId="61">#REF!</definedName>
    <definedName name="ITEM1.2" localSheetId="62">#REF!</definedName>
    <definedName name="ITEM1.2" localSheetId="63">#REF!</definedName>
    <definedName name="ITEM1.2" localSheetId="64">#REF!</definedName>
    <definedName name="ITEM1.2" localSheetId="65">#REF!</definedName>
    <definedName name="ITEM1.2" localSheetId="68">#REF!</definedName>
    <definedName name="ITEM1.2" localSheetId="56">#REF!</definedName>
    <definedName name="ITEM1.2" localSheetId="55">#REF!</definedName>
    <definedName name="ITEM1.2" localSheetId="54">#REF!</definedName>
    <definedName name="ITEM1.2" localSheetId="53">#REF!</definedName>
    <definedName name="ITEM1.2" localSheetId="85">#REF!</definedName>
    <definedName name="ITEM1.2" localSheetId="86">#REF!</definedName>
    <definedName name="ITEM1.2" localSheetId="2">#REF!</definedName>
    <definedName name="ITEM1.2">#REF!</definedName>
    <definedName name="ITEM1.3.1" localSheetId="3">#REF!</definedName>
    <definedName name="ITEM1.3.1" localSheetId="18">#REF!</definedName>
    <definedName name="ITEM1.3.1" localSheetId="19">#REF!</definedName>
    <definedName name="ITEM1.3.1" localSheetId="9">#REF!</definedName>
    <definedName name="ITEM1.3.1" localSheetId="10">#REF!</definedName>
    <definedName name="ITEM1.3.1" localSheetId="11">#REF!</definedName>
    <definedName name="ITEM1.3.1" localSheetId="12">#REF!</definedName>
    <definedName name="ITEM1.3.1" localSheetId="13">#REF!</definedName>
    <definedName name="ITEM1.3.1" localSheetId="14">#REF!</definedName>
    <definedName name="ITEM1.3.1" localSheetId="15">#REF!</definedName>
    <definedName name="ITEM1.3.1" localSheetId="16">#REF!</definedName>
    <definedName name="ITEM1.3.1" localSheetId="17">#REF!</definedName>
    <definedName name="ITEM1.3.1" localSheetId="8">#REF!</definedName>
    <definedName name="ITEM1.3.1" localSheetId="7">#REF!</definedName>
    <definedName name="ITEM1.3.1" localSheetId="6">#REF!</definedName>
    <definedName name="ITEM1.3.1" localSheetId="20">#REF!</definedName>
    <definedName name="ITEM1.3.1" localSheetId="5">#REF!</definedName>
    <definedName name="ITEM1.3.1" localSheetId="21">#REF!</definedName>
    <definedName name="ITEM1.3.1" localSheetId="34">#REF!</definedName>
    <definedName name="ITEM1.3.1" localSheetId="35">#REF!</definedName>
    <definedName name="ITEM1.3.1" localSheetId="25">#REF!</definedName>
    <definedName name="ITEM1.3.1" localSheetId="27">#REF!</definedName>
    <definedName name="ITEM1.3.1" localSheetId="28">#REF!</definedName>
    <definedName name="ITEM1.3.1" localSheetId="29">#REF!</definedName>
    <definedName name="ITEM1.3.1" localSheetId="31">#REF!</definedName>
    <definedName name="ITEM1.3.1" localSheetId="32">#REF!</definedName>
    <definedName name="ITEM1.3.1" localSheetId="33">#REF!</definedName>
    <definedName name="ITEM1.3.1" localSheetId="24">#REF!</definedName>
    <definedName name="ITEM1.3.1" localSheetId="23">#REF!</definedName>
    <definedName name="ITEM1.3.1" localSheetId="36">#REF!</definedName>
    <definedName name="ITEM1.3.1" localSheetId="22">#REF!</definedName>
    <definedName name="ITEM1.3.1" localSheetId="26">#REF!</definedName>
    <definedName name="ITEM1.3.1" localSheetId="30">#REF!</definedName>
    <definedName name="ITEM1.3.1" localSheetId="85">#REF!</definedName>
    <definedName name="ITEM1.3.1" localSheetId="86">#REF!</definedName>
    <definedName name="ITEM1.3.1" localSheetId="2">#REF!</definedName>
    <definedName name="ITEM1.3.1">#REF!</definedName>
    <definedName name="ITEM1.3.2" localSheetId="3">#REF!</definedName>
    <definedName name="ITEM1.3.2" localSheetId="18">#REF!</definedName>
    <definedName name="ITEM1.3.2" localSheetId="19">#REF!</definedName>
    <definedName name="ITEM1.3.2" localSheetId="9">#REF!</definedName>
    <definedName name="ITEM1.3.2" localSheetId="10">#REF!</definedName>
    <definedName name="ITEM1.3.2" localSheetId="11">#REF!</definedName>
    <definedName name="ITEM1.3.2" localSheetId="12">#REF!</definedName>
    <definedName name="ITEM1.3.2" localSheetId="13">#REF!</definedName>
    <definedName name="ITEM1.3.2" localSheetId="14">#REF!</definedName>
    <definedName name="ITEM1.3.2" localSheetId="15">#REF!</definedName>
    <definedName name="ITEM1.3.2" localSheetId="16">#REF!</definedName>
    <definedName name="ITEM1.3.2" localSheetId="17">#REF!</definedName>
    <definedName name="ITEM1.3.2" localSheetId="8">#REF!</definedName>
    <definedName name="ITEM1.3.2" localSheetId="7">#REF!</definedName>
    <definedName name="ITEM1.3.2" localSheetId="6">#REF!</definedName>
    <definedName name="ITEM1.3.2" localSheetId="20">#REF!</definedName>
    <definedName name="ITEM1.3.2" localSheetId="5">#REF!</definedName>
    <definedName name="ITEM1.3.2" localSheetId="21">#REF!</definedName>
    <definedName name="ITEM1.3.2" localSheetId="34">#REF!</definedName>
    <definedName name="ITEM1.3.2" localSheetId="35">#REF!</definedName>
    <definedName name="ITEM1.3.2" localSheetId="25">#REF!</definedName>
    <definedName name="ITEM1.3.2" localSheetId="27">#REF!</definedName>
    <definedName name="ITEM1.3.2" localSheetId="28">#REF!</definedName>
    <definedName name="ITEM1.3.2" localSheetId="29">#REF!</definedName>
    <definedName name="ITEM1.3.2" localSheetId="31">#REF!</definedName>
    <definedName name="ITEM1.3.2" localSheetId="32">#REF!</definedName>
    <definedName name="ITEM1.3.2" localSheetId="33">#REF!</definedName>
    <definedName name="ITEM1.3.2" localSheetId="24">#REF!</definedName>
    <definedName name="ITEM1.3.2" localSheetId="23">#REF!</definedName>
    <definedName name="ITEM1.3.2" localSheetId="36">#REF!</definedName>
    <definedName name="ITEM1.3.2" localSheetId="22">#REF!</definedName>
    <definedName name="ITEM1.3.2" localSheetId="26">#REF!</definedName>
    <definedName name="ITEM1.3.2" localSheetId="30">#REF!</definedName>
    <definedName name="ITEM1.3.2" localSheetId="85">#REF!</definedName>
    <definedName name="ITEM1.3.2" localSheetId="86">#REF!</definedName>
    <definedName name="ITEM1.3.2" localSheetId="2">#REF!</definedName>
    <definedName name="ITEM1.3.2">#REF!</definedName>
    <definedName name="ITEM1.3.3" localSheetId="3">#REF!</definedName>
    <definedName name="ITEM1.3.3" localSheetId="2">#REF!</definedName>
    <definedName name="ITEM1.3.3">#REF!</definedName>
    <definedName name="ITEM1.3.4" localSheetId="3">#REF!</definedName>
    <definedName name="ITEM1.3.4" localSheetId="2">#REF!</definedName>
    <definedName name="ITEM1.3.4">#REF!</definedName>
    <definedName name="ITEM1.3.5" localSheetId="3">#REF!</definedName>
    <definedName name="ITEM1.3.5" localSheetId="2">#REF!</definedName>
    <definedName name="ITEM1.3.5">#REF!</definedName>
    <definedName name="ITEM1.3.6" localSheetId="3">#REF!</definedName>
    <definedName name="ITEM1.3.6" localSheetId="2">#REF!</definedName>
    <definedName name="ITEM1.3.6">#REF!</definedName>
    <definedName name="ITEM1.3.7" localSheetId="3">#REF!</definedName>
    <definedName name="ITEM1.3.7" localSheetId="2">#REF!</definedName>
    <definedName name="ITEM1.3.7">#REF!</definedName>
    <definedName name="ITEM1.3.8" localSheetId="3">#REF!</definedName>
    <definedName name="ITEM1.3.8" localSheetId="2">#REF!</definedName>
    <definedName name="ITEM1.3.8">#REF!</definedName>
    <definedName name="ITEM2.1" localSheetId="3">#REF!</definedName>
    <definedName name="ITEM2.1" localSheetId="2">#REF!</definedName>
    <definedName name="ITEM2.1">#REF!</definedName>
    <definedName name="ITEM2.2.1" localSheetId="3">#REF!</definedName>
    <definedName name="ITEM2.2.1" localSheetId="2">#REF!</definedName>
    <definedName name="ITEM2.2.1">#REF!</definedName>
    <definedName name="ITEM2.2.2" localSheetId="3">#REF!</definedName>
    <definedName name="ITEM2.2.2" localSheetId="2">#REF!</definedName>
    <definedName name="ITEM2.2.2">#REF!</definedName>
    <definedName name="ITEM2.2.3" localSheetId="3">#REF!</definedName>
    <definedName name="ITEM2.2.3" localSheetId="2">#REF!</definedName>
    <definedName name="ITEM2.2.3">#REF!</definedName>
    <definedName name="ITEM2.2.3.4" localSheetId="3">'[28]41.EXCAVATION'!#REF!</definedName>
    <definedName name="ITEM2.2.3.4" localSheetId="4">'[28]41.EXCAVATION'!#REF!</definedName>
    <definedName name="ITEM2.2.3.4" localSheetId="18">'[28]41.EXCAVATION'!#REF!</definedName>
    <definedName name="ITEM2.2.3.4" localSheetId="19">'[28]41.EXCAVATION'!#REF!</definedName>
    <definedName name="ITEM2.2.3.4" localSheetId="9">'[28]41.EXCAVATION'!#REF!</definedName>
    <definedName name="ITEM2.2.3.4" localSheetId="10">'[28]41.EXCAVATION'!#REF!</definedName>
    <definedName name="ITEM2.2.3.4" localSheetId="11">'[28]41.EXCAVATION'!#REF!</definedName>
    <definedName name="ITEM2.2.3.4" localSheetId="12">'[28]41.EXCAVATION'!#REF!</definedName>
    <definedName name="ITEM2.2.3.4" localSheetId="13">'[28]41.EXCAVATION'!#REF!</definedName>
    <definedName name="ITEM2.2.3.4" localSheetId="14">'[28]41.EXCAVATION'!#REF!</definedName>
    <definedName name="ITEM2.2.3.4" localSheetId="15">'[28]41.EXCAVATION'!#REF!</definedName>
    <definedName name="ITEM2.2.3.4" localSheetId="16">'[28]41.EXCAVATION'!#REF!</definedName>
    <definedName name="ITEM2.2.3.4" localSheetId="17">'[28]41.EXCAVATION'!#REF!</definedName>
    <definedName name="ITEM2.2.3.4" localSheetId="8">'[28]41.EXCAVATION'!#REF!</definedName>
    <definedName name="ITEM2.2.3.4" localSheetId="7">'[28]41.EXCAVATION'!#REF!</definedName>
    <definedName name="ITEM2.2.3.4" localSheetId="6">'[28]41.EXCAVATION'!#REF!</definedName>
    <definedName name="ITEM2.2.3.4" localSheetId="20">'[28]41.EXCAVATION'!#REF!</definedName>
    <definedName name="ITEM2.2.3.4" localSheetId="5">'[28]41.EXCAVATION'!#REF!</definedName>
    <definedName name="ITEM2.2.3.4" localSheetId="21">'[28]41.EXCAVATION'!#REF!</definedName>
    <definedName name="ITEM2.2.3.4" localSheetId="34">'[28]41.EXCAVATION'!#REF!</definedName>
    <definedName name="ITEM2.2.3.4" localSheetId="35">'[28]41.EXCAVATION'!#REF!</definedName>
    <definedName name="ITEM2.2.3.4" localSheetId="25">'[28]41.EXCAVATION'!#REF!</definedName>
    <definedName name="ITEM2.2.3.4" localSheetId="27">'[28]41.EXCAVATION'!#REF!</definedName>
    <definedName name="ITEM2.2.3.4" localSheetId="28">'[28]41.EXCAVATION'!#REF!</definedName>
    <definedName name="ITEM2.2.3.4" localSheetId="29">'[28]41.EXCAVATION'!#REF!</definedName>
    <definedName name="ITEM2.2.3.4" localSheetId="31">'[28]41.EXCAVATION'!#REF!</definedName>
    <definedName name="ITEM2.2.3.4" localSheetId="32">'[28]41.EXCAVATION'!#REF!</definedName>
    <definedName name="ITEM2.2.3.4" localSheetId="33">'[28]41.EXCAVATION'!#REF!</definedName>
    <definedName name="ITEM2.2.3.4" localSheetId="24">'[28]41.EXCAVATION'!#REF!</definedName>
    <definedName name="ITEM2.2.3.4" localSheetId="23">'[28]41.EXCAVATION'!#REF!</definedName>
    <definedName name="ITEM2.2.3.4" localSheetId="36">'[28]41.EXCAVATION'!#REF!</definedName>
    <definedName name="ITEM2.2.3.4" localSheetId="22">'[28]41.EXCAVATION'!#REF!</definedName>
    <definedName name="ITEM2.2.3.4" localSheetId="26">'[28]41.EXCAVATION'!#REF!</definedName>
    <definedName name="ITEM2.2.3.4" localSheetId="30">'[28]41.EXCAVATION'!#REF!</definedName>
    <definedName name="ITEM2.2.3.4" localSheetId="41">'[28]41.EXCAVATION'!#REF!</definedName>
    <definedName name="ITEM2.2.3.4" localSheetId="50">'[28]41.EXCAVATION'!#REF!</definedName>
    <definedName name="ITEM2.2.3.4" localSheetId="51">'[28]41.EXCAVATION'!#REF!</definedName>
    <definedName name="ITEM2.2.3.4" localSheetId="42">'[28]41.EXCAVATION'!#REF!</definedName>
    <definedName name="ITEM2.2.3.4" localSheetId="43">'[28]41.EXCAVATION'!#REF!</definedName>
    <definedName name="ITEM2.2.3.4" localSheetId="44">'[28]41.EXCAVATION'!#REF!</definedName>
    <definedName name="ITEM2.2.3.4" localSheetId="45">'[28]41.EXCAVATION'!#REF!</definedName>
    <definedName name="ITEM2.2.3.4" localSheetId="46">'[28]41.EXCAVATION'!#REF!</definedName>
    <definedName name="ITEM2.2.3.4" localSheetId="47">'[28]41.EXCAVATION'!#REF!</definedName>
    <definedName name="ITEM2.2.3.4" localSheetId="48">'[28]41.EXCAVATION'!#REF!</definedName>
    <definedName name="ITEM2.2.3.4" localSheetId="49">'[28]41.EXCAVATION'!#REF!</definedName>
    <definedName name="ITEM2.2.3.4" localSheetId="52">'[28]41.EXCAVATION'!#REF!</definedName>
    <definedName name="ITEM2.2.3.4" localSheetId="40">'[28]41.EXCAVATION'!#REF!</definedName>
    <definedName name="ITEM2.2.3.4" localSheetId="39">'[28]41.EXCAVATION'!#REF!</definedName>
    <definedName name="ITEM2.2.3.4" localSheetId="38">'[28]41.EXCAVATION'!#REF!</definedName>
    <definedName name="ITEM2.2.3.4" localSheetId="37">'[28]41.EXCAVATION'!#REF!</definedName>
    <definedName name="ITEM2.2.3.4" localSheetId="57">'[28]41.EXCAVATION'!#REF!</definedName>
    <definedName name="ITEM2.2.3.4" localSheetId="66">'[28]41.EXCAVATION'!#REF!</definedName>
    <definedName name="ITEM2.2.3.4" localSheetId="67">'[28]41.EXCAVATION'!#REF!</definedName>
    <definedName name="ITEM2.2.3.4" localSheetId="58">'[28]41.EXCAVATION'!#REF!</definedName>
    <definedName name="ITEM2.2.3.4" localSheetId="59">'[28]41.EXCAVATION'!#REF!</definedName>
    <definedName name="ITEM2.2.3.4" localSheetId="60">'[28]41.EXCAVATION'!#REF!</definedName>
    <definedName name="ITEM2.2.3.4" localSheetId="61">'[28]41.EXCAVATION'!#REF!</definedName>
    <definedName name="ITEM2.2.3.4" localSheetId="62">'[28]41.EXCAVATION'!#REF!</definedName>
    <definedName name="ITEM2.2.3.4" localSheetId="63">'[28]41.EXCAVATION'!#REF!</definedName>
    <definedName name="ITEM2.2.3.4" localSheetId="64">'[28]41.EXCAVATION'!#REF!</definedName>
    <definedName name="ITEM2.2.3.4" localSheetId="65">'[28]41.EXCAVATION'!#REF!</definedName>
    <definedName name="ITEM2.2.3.4" localSheetId="68">'[28]41.EXCAVATION'!#REF!</definedName>
    <definedName name="ITEM2.2.3.4" localSheetId="56">'[28]41.EXCAVATION'!#REF!</definedName>
    <definedName name="ITEM2.2.3.4" localSheetId="55">'[28]41.EXCAVATION'!#REF!</definedName>
    <definedName name="ITEM2.2.3.4" localSheetId="54">'[28]41.EXCAVATION'!#REF!</definedName>
    <definedName name="ITEM2.2.3.4" localSheetId="53">'[28]41.EXCAVATION'!#REF!</definedName>
    <definedName name="ITEM2.2.3.4" localSheetId="85">'[28]41.EXCAVATION'!#REF!</definedName>
    <definedName name="ITEM2.2.3.4" localSheetId="86">'[28]41.EXCAVATION'!#REF!</definedName>
    <definedName name="ITEM2.2.3.4" localSheetId="2">'[28]41.EXCAVATION'!#REF!</definedName>
    <definedName name="ITEM2.2.3.4">'[28]41.EXCAVATION'!#REF!</definedName>
    <definedName name="ITEM2.2.4" localSheetId="3">#REF!</definedName>
    <definedName name="ITEM2.2.4" localSheetId="4">#REF!</definedName>
    <definedName name="ITEM2.2.4" localSheetId="18">#REF!</definedName>
    <definedName name="ITEM2.2.4" localSheetId="19">#REF!</definedName>
    <definedName name="ITEM2.2.4" localSheetId="9">#REF!</definedName>
    <definedName name="ITEM2.2.4" localSheetId="10">#REF!</definedName>
    <definedName name="ITEM2.2.4" localSheetId="11">#REF!</definedName>
    <definedName name="ITEM2.2.4" localSheetId="12">#REF!</definedName>
    <definedName name="ITEM2.2.4" localSheetId="13">#REF!</definedName>
    <definedName name="ITEM2.2.4" localSheetId="14">#REF!</definedName>
    <definedName name="ITEM2.2.4" localSheetId="15">#REF!</definedName>
    <definedName name="ITEM2.2.4" localSheetId="16">#REF!</definedName>
    <definedName name="ITEM2.2.4" localSheetId="17">#REF!</definedName>
    <definedName name="ITEM2.2.4" localSheetId="8">#REF!</definedName>
    <definedName name="ITEM2.2.4" localSheetId="7">#REF!</definedName>
    <definedName name="ITEM2.2.4" localSheetId="6">#REF!</definedName>
    <definedName name="ITEM2.2.4" localSheetId="20">#REF!</definedName>
    <definedName name="ITEM2.2.4" localSheetId="5">#REF!</definedName>
    <definedName name="ITEM2.2.4" localSheetId="21">#REF!</definedName>
    <definedName name="ITEM2.2.4" localSheetId="34">#REF!</definedName>
    <definedName name="ITEM2.2.4" localSheetId="35">#REF!</definedName>
    <definedName name="ITEM2.2.4" localSheetId="25">#REF!</definedName>
    <definedName name="ITEM2.2.4" localSheetId="27">#REF!</definedName>
    <definedName name="ITEM2.2.4" localSheetId="28">#REF!</definedName>
    <definedName name="ITEM2.2.4" localSheetId="29">#REF!</definedName>
    <definedName name="ITEM2.2.4" localSheetId="31">#REF!</definedName>
    <definedName name="ITEM2.2.4" localSheetId="32">#REF!</definedName>
    <definedName name="ITEM2.2.4" localSheetId="33">#REF!</definedName>
    <definedName name="ITEM2.2.4" localSheetId="24">#REF!</definedName>
    <definedName name="ITEM2.2.4" localSheetId="23">#REF!</definedName>
    <definedName name="ITEM2.2.4" localSheetId="36">#REF!</definedName>
    <definedName name="ITEM2.2.4" localSheetId="22">#REF!</definedName>
    <definedName name="ITEM2.2.4" localSheetId="26">#REF!</definedName>
    <definedName name="ITEM2.2.4" localSheetId="30">#REF!</definedName>
    <definedName name="ITEM2.2.4" localSheetId="41">#REF!</definedName>
    <definedName name="ITEM2.2.4" localSheetId="50">#REF!</definedName>
    <definedName name="ITEM2.2.4" localSheetId="51">#REF!</definedName>
    <definedName name="ITEM2.2.4" localSheetId="42">#REF!</definedName>
    <definedName name="ITEM2.2.4" localSheetId="43">#REF!</definedName>
    <definedName name="ITEM2.2.4" localSheetId="44">#REF!</definedName>
    <definedName name="ITEM2.2.4" localSheetId="45">#REF!</definedName>
    <definedName name="ITEM2.2.4" localSheetId="46">#REF!</definedName>
    <definedName name="ITEM2.2.4" localSheetId="47">#REF!</definedName>
    <definedName name="ITEM2.2.4" localSheetId="48">#REF!</definedName>
    <definedName name="ITEM2.2.4" localSheetId="49">#REF!</definedName>
    <definedName name="ITEM2.2.4" localSheetId="52">#REF!</definedName>
    <definedName name="ITEM2.2.4" localSheetId="40">#REF!</definedName>
    <definedName name="ITEM2.2.4" localSheetId="39">#REF!</definedName>
    <definedName name="ITEM2.2.4" localSheetId="38">#REF!</definedName>
    <definedName name="ITEM2.2.4" localSheetId="37">#REF!</definedName>
    <definedName name="ITEM2.2.4" localSheetId="57">#REF!</definedName>
    <definedName name="ITEM2.2.4" localSheetId="66">#REF!</definedName>
    <definedName name="ITEM2.2.4" localSheetId="67">#REF!</definedName>
    <definedName name="ITEM2.2.4" localSheetId="58">#REF!</definedName>
    <definedName name="ITEM2.2.4" localSheetId="59">#REF!</definedName>
    <definedName name="ITEM2.2.4" localSheetId="60">#REF!</definedName>
    <definedName name="ITEM2.2.4" localSheetId="61">#REF!</definedName>
    <definedName name="ITEM2.2.4" localSheetId="62">#REF!</definedName>
    <definedName name="ITEM2.2.4" localSheetId="63">#REF!</definedName>
    <definedName name="ITEM2.2.4" localSheetId="64">#REF!</definedName>
    <definedName name="ITEM2.2.4" localSheetId="65">#REF!</definedName>
    <definedName name="ITEM2.2.4" localSheetId="68">#REF!</definedName>
    <definedName name="ITEM2.2.4" localSheetId="56">#REF!</definedName>
    <definedName name="ITEM2.2.4" localSheetId="55">#REF!</definedName>
    <definedName name="ITEM2.2.4" localSheetId="54">#REF!</definedName>
    <definedName name="ITEM2.2.4" localSheetId="53">#REF!</definedName>
    <definedName name="ITEM2.2.4" localSheetId="85">#REF!</definedName>
    <definedName name="ITEM2.2.4" localSheetId="86">#REF!</definedName>
    <definedName name="ITEM2.2.4" localSheetId="2">#REF!</definedName>
    <definedName name="ITEM2.2.4">#REF!</definedName>
    <definedName name="ITEM2.2.5" localSheetId="3">#REF!</definedName>
    <definedName name="ITEM2.2.5" localSheetId="4">#REF!</definedName>
    <definedName name="ITEM2.2.5" localSheetId="18">#REF!</definedName>
    <definedName name="ITEM2.2.5" localSheetId="19">#REF!</definedName>
    <definedName name="ITEM2.2.5" localSheetId="9">#REF!</definedName>
    <definedName name="ITEM2.2.5" localSheetId="10">#REF!</definedName>
    <definedName name="ITEM2.2.5" localSheetId="11">#REF!</definedName>
    <definedName name="ITEM2.2.5" localSheetId="12">#REF!</definedName>
    <definedName name="ITEM2.2.5" localSheetId="13">#REF!</definedName>
    <definedName name="ITEM2.2.5" localSheetId="14">#REF!</definedName>
    <definedName name="ITEM2.2.5" localSheetId="15">#REF!</definedName>
    <definedName name="ITEM2.2.5" localSheetId="16">#REF!</definedName>
    <definedName name="ITEM2.2.5" localSheetId="17">#REF!</definedName>
    <definedName name="ITEM2.2.5" localSheetId="8">#REF!</definedName>
    <definedName name="ITEM2.2.5" localSheetId="7">#REF!</definedName>
    <definedName name="ITEM2.2.5" localSheetId="6">#REF!</definedName>
    <definedName name="ITEM2.2.5" localSheetId="20">#REF!</definedName>
    <definedName name="ITEM2.2.5" localSheetId="5">#REF!</definedName>
    <definedName name="ITEM2.2.5" localSheetId="21">#REF!</definedName>
    <definedName name="ITEM2.2.5" localSheetId="34">#REF!</definedName>
    <definedName name="ITEM2.2.5" localSheetId="35">#REF!</definedName>
    <definedName name="ITEM2.2.5" localSheetId="25">#REF!</definedName>
    <definedName name="ITEM2.2.5" localSheetId="27">#REF!</definedName>
    <definedName name="ITEM2.2.5" localSheetId="28">#REF!</definedName>
    <definedName name="ITEM2.2.5" localSheetId="29">#REF!</definedName>
    <definedName name="ITEM2.2.5" localSheetId="31">#REF!</definedName>
    <definedName name="ITEM2.2.5" localSheetId="32">#REF!</definedName>
    <definedName name="ITEM2.2.5" localSheetId="33">#REF!</definedName>
    <definedName name="ITEM2.2.5" localSheetId="24">#REF!</definedName>
    <definedName name="ITEM2.2.5" localSheetId="23">#REF!</definedName>
    <definedName name="ITEM2.2.5" localSheetId="36">#REF!</definedName>
    <definedName name="ITEM2.2.5" localSheetId="22">#REF!</definedName>
    <definedName name="ITEM2.2.5" localSheetId="26">#REF!</definedName>
    <definedName name="ITEM2.2.5" localSheetId="30">#REF!</definedName>
    <definedName name="ITEM2.2.5" localSheetId="85">#REF!</definedName>
    <definedName name="ITEM2.2.5" localSheetId="86">#REF!</definedName>
    <definedName name="ITEM2.2.5" localSheetId="2">#REF!</definedName>
    <definedName name="ITEM2.2.5">#REF!</definedName>
    <definedName name="ITEM2.3.1" localSheetId="3">'[29]8Unsui+Soft'!#REF!</definedName>
    <definedName name="ITEM2.3.1" localSheetId="4">'[29]8Unsui+Soft'!#REF!</definedName>
    <definedName name="ITEM2.3.1" localSheetId="18">'[29]8Unsui+Soft'!#REF!</definedName>
    <definedName name="ITEM2.3.1" localSheetId="19">'[29]8Unsui+Soft'!#REF!</definedName>
    <definedName name="ITEM2.3.1" localSheetId="9">'[29]8Unsui+Soft'!#REF!</definedName>
    <definedName name="ITEM2.3.1" localSheetId="10">'[29]8Unsui+Soft'!#REF!</definedName>
    <definedName name="ITEM2.3.1" localSheetId="11">'[29]8Unsui+Soft'!#REF!</definedName>
    <definedName name="ITEM2.3.1" localSheetId="12">'[29]8Unsui+Soft'!#REF!</definedName>
    <definedName name="ITEM2.3.1" localSheetId="13">'[29]8Unsui+Soft'!#REF!</definedName>
    <definedName name="ITEM2.3.1" localSheetId="14">'[29]8Unsui+Soft'!#REF!</definedName>
    <definedName name="ITEM2.3.1" localSheetId="15">'[29]8Unsui+Soft'!#REF!</definedName>
    <definedName name="ITEM2.3.1" localSheetId="16">'[29]8Unsui+Soft'!#REF!</definedName>
    <definedName name="ITEM2.3.1" localSheetId="17">'[29]8Unsui+Soft'!#REF!</definedName>
    <definedName name="ITEM2.3.1" localSheetId="8">'[29]8Unsui+Soft'!#REF!</definedName>
    <definedName name="ITEM2.3.1" localSheetId="7">'[29]8Unsui+Soft'!#REF!</definedName>
    <definedName name="ITEM2.3.1" localSheetId="6">'[29]8Unsui+Soft'!#REF!</definedName>
    <definedName name="ITEM2.3.1" localSheetId="20">'[29]8Unsui+Soft'!#REF!</definedName>
    <definedName name="ITEM2.3.1" localSheetId="5">'[29]8Unsui+Soft'!#REF!</definedName>
    <definedName name="ITEM2.3.1" localSheetId="21">'[29]8Unsui+Soft'!#REF!</definedName>
    <definedName name="ITEM2.3.1" localSheetId="34">'[29]8Unsui+Soft'!#REF!</definedName>
    <definedName name="ITEM2.3.1" localSheetId="35">'[29]8Unsui+Soft'!#REF!</definedName>
    <definedName name="ITEM2.3.1" localSheetId="25">'[29]8Unsui+Soft'!#REF!</definedName>
    <definedName name="ITEM2.3.1" localSheetId="27">'[29]8Unsui+Soft'!#REF!</definedName>
    <definedName name="ITEM2.3.1" localSheetId="28">'[29]8Unsui+Soft'!#REF!</definedName>
    <definedName name="ITEM2.3.1" localSheetId="29">'[29]8Unsui+Soft'!#REF!</definedName>
    <definedName name="ITEM2.3.1" localSheetId="31">'[29]8Unsui+Soft'!#REF!</definedName>
    <definedName name="ITEM2.3.1" localSheetId="32">'[29]8Unsui+Soft'!#REF!</definedName>
    <definedName name="ITEM2.3.1" localSheetId="33">'[29]8Unsui+Soft'!#REF!</definedName>
    <definedName name="ITEM2.3.1" localSheetId="24">'[29]8Unsui+Soft'!#REF!</definedName>
    <definedName name="ITEM2.3.1" localSheetId="23">'[29]8Unsui+Soft'!#REF!</definedName>
    <definedName name="ITEM2.3.1" localSheetId="36">'[29]8Unsui+Soft'!#REF!</definedName>
    <definedName name="ITEM2.3.1" localSheetId="22">'[29]8Unsui+Soft'!#REF!</definedName>
    <definedName name="ITEM2.3.1" localSheetId="26">'[29]8Unsui+Soft'!#REF!</definedName>
    <definedName name="ITEM2.3.1" localSheetId="30">'[29]8Unsui+Soft'!#REF!</definedName>
    <definedName name="ITEM2.3.1" localSheetId="41">'[29]8Unsui+Soft'!#REF!</definedName>
    <definedName name="ITEM2.3.1" localSheetId="50">'[29]8Unsui+Soft'!#REF!</definedName>
    <definedName name="ITEM2.3.1" localSheetId="51">'[29]8Unsui+Soft'!#REF!</definedName>
    <definedName name="ITEM2.3.1" localSheetId="42">'[29]8Unsui+Soft'!#REF!</definedName>
    <definedName name="ITEM2.3.1" localSheetId="43">'[29]8Unsui+Soft'!#REF!</definedName>
    <definedName name="ITEM2.3.1" localSheetId="44">'[29]8Unsui+Soft'!#REF!</definedName>
    <definedName name="ITEM2.3.1" localSheetId="45">'[29]8Unsui+Soft'!#REF!</definedName>
    <definedName name="ITEM2.3.1" localSheetId="46">'[29]8Unsui+Soft'!#REF!</definedName>
    <definedName name="ITEM2.3.1" localSheetId="47">'[29]8Unsui+Soft'!#REF!</definedName>
    <definedName name="ITEM2.3.1" localSheetId="48">'[29]8Unsui+Soft'!#REF!</definedName>
    <definedName name="ITEM2.3.1" localSheetId="49">'[29]8Unsui+Soft'!#REF!</definedName>
    <definedName name="ITEM2.3.1" localSheetId="52">'[29]8Unsui+Soft'!#REF!</definedName>
    <definedName name="ITEM2.3.1" localSheetId="40">'[29]8Unsui+Soft'!#REF!</definedName>
    <definedName name="ITEM2.3.1" localSheetId="39">'[29]8Unsui+Soft'!#REF!</definedName>
    <definedName name="ITEM2.3.1" localSheetId="38">'[29]8Unsui+Soft'!#REF!</definedName>
    <definedName name="ITEM2.3.1" localSheetId="37">'[29]8Unsui+Soft'!#REF!</definedName>
    <definedName name="ITEM2.3.1" localSheetId="57">'[29]8Unsui+Soft'!#REF!</definedName>
    <definedName name="ITEM2.3.1" localSheetId="66">'[29]8Unsui+Soft'!#REF!</definedName>
    <definedName name="ITEM2.3.1" localSheetId="67">'[29]8Unsui+Soft'!#REF!</definedName>
    <definedName name="ITEM2.3.1" localSheetId="58">'[29]8Unsui+Soft'!#REF!</definedName>
    <definedName name="ITEM2.3.1" localSheetId="59">'[29]8Unsui+Soft'!#REF!</definedName>
    <definedName name="ITEM2.3.1" localSheetId="60">'[29]8Unsui+Soft'!#REF!</definedName>
    <definedName name="ITEM2.3.1" localSheetId="61">'[29]8Unsui+Soft'!#REF!</definedName>
    <definedName name="ITEM2.3.1" localSheetId="62">'[29]8Unsui+Soft'!#REF!</definedName>
    <definedName name="ITEM2.3.1" localSheetId="63">'[29]8Unsui+Soft'!#REF!</definedName>
    <definedName name="ITEM2.3.1" localSheetId="64">'[29]8Unsui+Soft'!#REF!</definedName>
    <definedName name="ITEM2.3.1" localSheetId="65">'[29]8Unsui+Soft'!#REF!</definedName>
    <definedName name="ITEM2.3.1" localSheetId="68">'[29]8Unsui+Soft'!#REF!</definedName>
    <definedName name="ITEM2.3.1" localSheetId="56">'[29]8Unsui+Soft'!#REF!</definedName>
    <definedName name="ITEM2.3.1" localSheetId="55">'[29]8Unsui+Soft'!#REF!</definedName>
    <definedName name="ITEM2.3.1" localSheetId="54">'[29]8Unsui+Soft'!#REF!</definedName>
    <definedName name="ITEM2.3.1" localSheetId="53">'[29]8Unsui+Soft'!#REF!</definedName>
    <definedName name="ITEM2.3.1" localSheetId="85">'[29]8Unsui+Soft'!#REF!</definedName>
    <definedName name="ITEM2.3.1" localSheetId="86">'[29]8Unsui+Soft'!#REF!</definedName>
    <definedName name="ITEM2.3.1" localSheetId="2">'[29]8Unsui+Soft'!#REF!</definedName>
    <definedName name="ITEM2.3.1">'[29]8Unsui+Soft'!#REF!</definedName>
    <definedName name="ITEM2.3.2" localSheetId="3">#REF!</definedName>
    <definedName name="ITEM2.3.2" localSheetId="4">#REF!</definedName>
    <definedName name="ITEM2.3.2" localSheetId="18">#REF!</definedName>
    <definedName name="ITEM2.3.2" localSheetId="19">#REF!</definedName>
    <definedName name="ITEM2.3.2" localSheetId="9">#REF!</definedName>
    <definedName name="ITEM2.3.2" localSheetId="10">#REF!</definedName>
    <definedName name="ITEM2.3.2" localSheetId="11">#REF!</definedName>
    <definedName name="ITEM2.3.2" localSheetId="12">#REF!</definedName>
    <definedName name="ITEM2.3.2" localSheetId="13">#REF!</definedName>
    <definedName name="ITEM2.3.2" localSheetId="14">#REF!</definedName>
    <definedName name="ITEM2.3.2" localSheetId="15">#REF!</definedName>
    <definedName name="ITEM2.3.2" localSheetId="16">#REF!</definedName>
    <definedName name="ITEM2.3.2" localSheetId="17">#REF!</definedName>
    <definedName name="ITEM2.3.2" localSheetId="8">#REF!</definedName>
    <definedName name="ITEM2.3.2" localSheetId="7">#REF!</definedName>
    <definedName name="ITEM2.3.2" localSheetId="6">#REF!</definedName>
    <definedName name="ITEM2.3.2" localSheetId="20">#REF!</definedName>
    <definedName name="ITEM2.3.2" localSheetId="5">#REF!</definedName>
    <definedName name="ITEM2.3.2" localSheetId="21">#REF!</definedName>
    <definedName name="ITEM2.3.2" localSheetId="34">#REF!</definedName>
    <definedName name="ITEM2.3.2" localSheetId="35">#REF!</definedName>
    <definedName name="ITEM2.3.2" localSheetId="25">#REF!</definedName>
    <definedName name="ITEM2.3.2" localSheetId="27">#REF!</definedName>
    <definedName name="ITEM2.3.2" localSheetId="28">#REF!</definedName>
    <definedName name="ITEM2.3.2" localSheetId="29">#REF!</definedName>
    <definedName name="ITEM2.3.2" localSheetId="31">#REF!</definedName>
    <definedName name="ITEM2.3.2" localSheetId="32">#REF!</definedName>
    <definedName name="ITEM2.3.2" localSheetId="33">#REF!</definedName>
    <definedName name="ITEM2.3.2" localSheetId="24">#REF!</definedName>
    <definedName name="ITEM2.3.2" localSheetId="23">#REF!</definedName>
    <definedName name="ITEM2.3.2" localSheetId="36">#REF!</definedName>
    <definedName name="ITEM2.3.2" localSheetId="22">#REF!</definedName>
    <definedName name="ITEM2.3.2" localSheetId="26">#REF!</definedName>
    <definedName name="ITEM2.3.2" localSheetId="30">#REF!</definedName>
    <definedName name="ITEM2.3.2" localSheetId="41">#REF!</definedName>
    <definedName name="ITEM2.3.2" localSheetId="50">#REF!</definedName>
    <definedName name="ITEM2.3.2" localSheetId="51">#REF!</definedName>
    <definedName name="ITEM2.3.2" localSheetId="42">#REF!</definedName>
    <definedName name="ITEM2.3.2" localSheetId="43">#REF!</definedName>
    <definedName name="ITEM2.3.2" localSheetId="44">#REF!</definedName>
    <definedName name="ITEM2.3.2" localSheetId="45">#REF!</definedName>
    <definedName name="ITEM2.3.2" localSheetId="46">#REF!</definedName>
    <definedName name="ITEM2.3.2" localSheetId="47">#REF!</definedName>
    <definedName name="ITEM2.3.2" localSheetId="48">#REF!</definedName>
    <definedName name="ITEM2.3.2" localSheetId="49">#REF!</definedName>
    <definedName name="ITEM2.3.2" localSheetId="52">#REF!</definedName>
    <definedName name="ITEM2.3.2" localSheetId="40">#REF!</definedName>
    <definedName name="ITEM2.3.2" localSheetId="39">#REF!</definedName>
    <definedName name="ITEM2.3.2" localSheetId="38">#REF!</definedName>
    <definedName name="ITEM2.3.2" localSheetId="37">#REF!</definedName>
    <definedName name="ITEM2.3.2" localSheetId="57">#REF!</definedName>
    <definedName name="ITEM2.3.2" localSheetId="66">#REF!</definedName>
    <definedName name="ITEM2.3.2" localSheetId="67">#REF!</definedName>
    <definedName name="ITEM2.3.2" localSheetId="58">#REF!</definedName>
    <definedName name="ITEM2.3.2" localSheetId="59">#REF!</definedName>
    <definedName name="ITEM2.3.2" localSheetId="60">#REF!</definedName>
    <definedName name="ITEM2.3.2" localSheetId="61">#REF!</definedName>
    <definedName name="ITEM2.3.2" localSheetId="62">#REF!</definedName>
    <definedName name="ITEM2.3.2" localSheetId="63">#REF!</definedName>
    <definedName name="ITEM2.3.2" localSheetId="64">#REF!</definedName>
    <definedName name="ITEM2.3.2" localSheetId="65">#REF!</definedName>
    <definedName name="ITEM2.3.2" localSheetId="68">#REF!</definedName>
    <definedName name="ITEM2.3.2" localSheetId="56">#REF!</definedName>
    <definedName name="ITEM2.3.2" localSheetId="55">#REF!</definedName>
    <definedName name="ITEM2.3.2" localSheetId="54">#REF!</definedName>
    <definedName name="ITEM2.3.2" localSheetId="53">#REF!</definedName>
    <definedName name="ITEM2.3.2" localSheetId="85">#REF!</definedName>
    <definedName name="ITEM2.3.2" localSheetId="86">#REF!</definedName>
    <definedName name="ITEM2.3.2" localSheetId="2">#REF!</definedName>
    <definedName name="ITEM2.3.2">#REF!</definedName>
    <definedName name="ITEM2.3.4" localSheetId="3">#REF!</definedName>
    <definedName name="ITEM2.3.4" localSheetId="4">#REF!</definedName>
    <definedName name="ITEM2.3.4" localSheetId="18">#REF!</definedName>
    <definedName name="ITEM2.3.4" localSheetId="19">#REF!</definedName>
    <definedName name="ITEM2.3.4" localSheetId="9">#REF!</definedName>
    <definedName name="ITEM2.3.4" localSheetId="10">#REF!</definedName>
    <definedName name="ITEM2.3.4" localSheetId="11">#REF!</definedName>
    <definedName name="ITEM2.3.4" localSheetId="12">#REF!</definedName>
    <definedName name="ITEM2.3.4" localSheetId="13">#REF!</definedName>
    <definedName name="ITEM2.3.4" localSheetId="14">#REF!</definedName>
    <definedName name="ITEM2.3.4" localSheetId="15">#REF!</definedName>
    <definedName name="ITEM2.3.4" localSheetId="16">#REF!</definedName>
    <definedName name="ITEM2.3.4" localSheetId="17">#REF!</definedName>
    <definedName name="ITEM2.3.4" localSheetId="8">#REF!</definedName>
    <definedName name="ITEM2.3.4" localSheetId="7">#REF!</definedName>
    <definedName name="ITEM2.3.4" localSheetId="6">#REF!</definedName>
    <definedName name="ITEM2.3.4" localSheetId="20">#REF!</definedName>
    <definedName name="ITEM2.3.4" localSheetId="5">#REF!</definedName>
    <definedName name="ITEM2.3.4" localSheetId="21">#REF!</definedName>
    <definedName name="ITEM2.3.4" localSheetId="34">#REF!</definedName>
    <definedName name="ITEM2.3.4" localSheetId="35">#REF!</definedName>
    <definedName name="ITEM2.3.4" localSheetId="25">#REF!</definedName>
    <definedName name="ITEM2.3.4" localSheetId="27">#REF!</definedName>
    <definedName name="ITEM2.3.4" localSheetId="28">#REF!</definedName>
    <definedName name="ITEM2.3.4" localSheetId="29">#REF!</definedName>
    <definedName name="ITEM2.3.4" localSheetId="31">#REF!</definedName>
    <definedName name="ITEM2.3.4" localSheetId="32">#REF!</definedName>
    <definedName name="ITEM2.3.4" localSheetId="33">#REF!</definedName>
    <definedName name="ITEM2.3.4" localSheetId="24">#REF!</definedName>
    <definedName name="ITEM2.3.4" localSheetId="23">#REF!</definedName>
    <definedName name="ITEM2.3.4" localSheetId="36">#REF!</definedName>
    <definedName name="ITEM2.3.4" localSheetId="22">#REF!</definedName>
    <definedName name="ITEM2.3.4" localSheetId="26">#REF!</definedName>
    <definedName name="ITEM2.3.4" localSheetId="30">#REF!</definedName>
    <definedName name="ITEM2.3.4" localSheetId="85">#REF!</definedName>
    <definedName name="ITEM2.3.4" localSheetId="86">#REF!</definedName>
    <definedName name="ITEM2.3.4" localSheetId="2">#REF!</definedName>
    <definedName name="ITEM2.3.4">#REF!</definedName>
    <definedName name="ITEM2.3.5" localSheetId="3">#REF!</definedName>
    <definedName name="ITEM2.3.5" localSheetId="4">#REF!</definedName>
    <definedName name="ITEM2.3.5" localSheetId="18">#REF!</definedName>
    <definedName name="ITEM2.3.5" localSheetId="19">#REF!</definedName>
    <definedName name="ITEM2.3.5" localSheetId="9">#REF!</definedName>
    <definedName name="ITEM2.3.5" localSheetId="10">#REF!</definedName>
    <definedName name="ITEM2.3.5" localSheetId="11">#REF!</definedName>
    <definedName name="ITEM2.3.5" localSheetId="12">#REF!</definedName>
    <definedName name="ITEM2.3.5" localSheetId="13">#REF!</definedName>
    <definedName name="ITEM2.3.5" localSheetId="14">#REF!</definedName>
    <definedName name="ITEM2.3.5" localSheetId="15">#REF!</definedName>
    <definedName name="ITEM2.3.5" localSheetId="16">#REF!</definedName>
    <definedName name="ITEM2.3.5" localSheetId="17">#REF!</definedName>
    <definedName name="ITEM2.3.5" localSheetId="8">#REF!</definedName>
    <definedName name="ITEM2.3.5" localSheetId="7">#REF!</definedName>
    <definedName name="ITEM2.3.5" localSheetId="6">#REF!</definedName>
    <definedName name="ITEM2.3.5" localSheetId="20">#REF!</definedName>
    <definedName name="ITEM2.3.5" localSheetId="5">#REF!</definedName>
    <definedName name="ITEM2.3.5" localSheetId="21">#REF!</definedName>
    <definedName name="ITEM2.3.5" localSheetId="34">#REF!</definedName>
    <definedName name="ITEM2.3.5" localSheetId="35">#REF!</definedName>
    <definedName name="ITEM2.3.5" localSheetId="25">#REF!</definedName>
    <definedName name="ITEM2.3.5" localSheetId="27">#REF!</definedName>
    <definedName name="ITEM2.3.5" localSheetId="28">#REF!</definedName>
    <definedName name="ITEM2.3.5" localSheetId="29">#REF!</definedName>
    <definedName name="ITEM2.3.5" localSheetId="31">#REF!</definedName>
    <definedName name="ITEM2.3.5" localSheetId="32">#REF!</definedName>
    <definedName name="ITEM2.3.5" localSheetId="33">#REF!</definedName>
    <definedName name="ITEM2.3.5" localSheetId="24">#REF!</definedName>
    <definedName name="ITEM2.3.5" localSheetId="23">#REF!</definedName>
    <definedName name="ITEM2.3.5" localSheetId="36">#REF!</definedName>
    <definedName name="ITEM2.3.5" localSheetId="22">#REF!</definedName>
    <definedName name="ITEM2.3.5" localSheetId="26">#REF!</definedName>
    <definedName name="ITEM2.3.5" localSheetId="30">#REF!</definedName>
    <definedName name="ITEM2.3.5" localSheetId="85">#REF!</definedName>
    <definedName name="ITEM2.3.5" localSheetId="86">#REF!</definedName>
    <definedName name="ITEM2.3.5" localSheetId="2">#REF!</definedName>
    <definedName name="ITEM2.3.5">#REF!</definedName>
    <definedName name="ITEM2.3.6" localSheetId="3">#REF!</definedName>
    <definedName name="ITEM2.3.6" localSheetId="2">#REF!</definedName>
    <definedName name="ITEM2.3.6">#REF!</definedName>
    <definedName name="ITEM2.4.1" localSheetId="3">#REF!</definedName>
    <definedName name="ITEM2.4.1" localSheetId="2">#REF!</definedName>
    <definedName name="ITEM2.4.1">#REF!</definedName>
    <definedName name="ITEM2.4.2" localSheetId="3">#REF!</definedName>
    <definedName name="ITEM2.4.2" localSheetId="2">#REF!</definedName>
    <definedName name="ITEM2.4.2">#REF!</definedName>
    <definedName name="ITEM3.1.1" localSheetId="3">#REF!</definedName>
    <definedName name="ITEM3.1.1" localSheetId="2">#REF!</definedName>
    <definedName name="ITEM3.1.1">#REF!</definedName>
    <definedName name="ITEM3.2.1" localSheetId="3">#REF!</definedName>
    <definedName name="ITEM3.2.1" localSheetId="2">#REF!</definedName>
    <definedName name="ITEM3.2.1">#REF!</definedName>
    <definedName name="ITEM3.2.2" localSheetId="3">#REF!</definedName>
    <definedName name="ITEM3.2.2" localSheetId="2">#REF!</definedName>
    <definedName name="ITEM3.2.2">#REF!</definedName>
    <definedName name="ITEM3.2.3" localSheetId="3">#REF!</definedName>
    <definedName name="ITEM3.2.3" localSheetId="2">#REF!</definedName>
    <definedName name="ITEM3.2.3">#REF!</definedName>
    <definedName name="ITEM3.2.4" localSheetId="3">#REF!</definedName>
    <definedName name="ITEM3.2.4" localSheetId="2">#REF!</definedName>
    <definedName name="ITEM3.2.4">#REF!</definedName>
    <definedName name="ITEM3.3.1" localSheetId="3">#REF!</definedName>
    <definedName name="ITEM3.3.1" localSheetId="2">#REF!</definedName>
    <definedName name="ITEM3.3.1">#REF!</definedName>
    <definedName name="ITEM3.4.1" localSheetId="3">#REF!</definedName>
    <definedName name="ITEM3.4.1" localSheetId="2">#REF!</definedName>
    <definedName name="ITEM3.4.1">#REF!</definedName>
    <definedName name="ITEM3.4.2" localSheetId="3">#REF!</definedName>
    <definedName name="ITEM3.4.2" localSheetId="2">#REF!</definedName>
    <definedName name="ITEM3.4.2">#REF!</definedName>
    <definedName name="ITEM3.5" localSheetId="3">#REF!</definedName>
    <definedName name="ITEM3.5" localSheetId="2">#REF!</definedName>
    <definedName name="ITEM3.5">#REF!</definedName>
    <definedName name="ITEM3.6" localSheetId="3">#REF!</definedName>
    <definedName name="ITEM3.6" localSheetId="2">#REF!</definedName>
    <definedName name="ITEM3.6">#REF!</definedName>
    <definedName name="ITEM4.2.2" localSheetId="3">#REF!</definedName>
    <definedName name="ITEM4.2.2" localSheetId="2">#REF!</definedName>
    <definedName name="ITEM4.2.2">#REF!</definedName>
    <definedName name="ITEM4.4.3" localSheetId="3">#REF!</definedName>
    <definedName name="ITEM4.4.3" localSheetId="2">#REF!</definedName>
    <definedName name="ITEM4.4.3">#REF!</definedName>
    <definedName name="ITEM4.4.4" localSheetId="3">#REF!</definedName>
    <definedName name="ITEM4.4.4" localSheetId="2">#REF!</definedName>
    <definedName name="ITEM4.4.4">#REF!</definedName>
    <definedName name="ITEM4.4.5" localSheetId="3">#REF!</definedName>
    <definedName name="ITEM4.4.5" localSheetId="2">#REF!</definedName>
    <definedName name="ITEM4.4.5">#REF!</definedName>
    <definedName name="ITEM4.4.6" localSheetId="3">#REF!</definedName>
    <definedName name="ITEM4.4.6" localSheetId="2">#REF!</definedName>
    <definedName name="ITEM4.4.6">#REF!</definedName>
    <definedName name="ITEM4.5" localSheetId="3">#REF!</definedName>
    <definedName name="ITEM4.5" localSheetId="2">#REF!</definedName>
    <definedName name="ITEM4.5">#REF!</definedName>
    <definedName name="ITEM4.9.1" localSheetId="3">#REF!</definedName>
    <definedName name="ITEM4.9.1" localSheetId="2">#REF!</definedName>
    <definedName name="ITEM4.9.1">#REF!</definedName>
    <definedName name="ITEM4.9.5" localSheetId="3">#REF!</definedName>
    <definedName name="ITEM4.9.5" localSheetId="2">#REF!</definedName>
    <definedName name="ITEM4.9.5">#REF!</definedName>
    <definedName name="ITEM4.9.6" localSheetId="3">#REF!</definedName>
    <definedName name="ITEM4.9.6" localSheetId="2">#REF!</definedName>
    <definedName name="ITEM4.9.6">#REF!</definedName>
    <definedName name="ITEM5.1.1.1" localSheetId="3">#REF!</definedName>
    <definedName name="ITEM5.1.1.1" localSheetId="2">#REF!</definedName>
    <definedName name="ITEM5.1.1.1">#REF!</definedName>
    <definedName name="ITEM5.1.1.2" localSheetId="3">#REF!</definedName>
    <definedName name="ITEM5.1.1.2" localSheetId="2">#REF!</definedName>
    <definedName name="ITEM5.1.1.2">#REF!</definedName>
    <definedName name="ITEM5.1.1.3" localSheetId="3">#REF!</definedName>
    <definedName name="ITEM5.1.1.3" localSheetId="2">#REF!</definedName>
    <definedName name="ITEM5.1.1.3">#REF!</definedName>
    <definedName name="ITEM5.1.1.4" localSheetId="3">#REF!</definedName>
    <definedName name="ITEM5.1.1.4" localSheetId="2">#REF!</definedName>
    <definedName name="ITEM5.1.1.4">#REF!</definedName>
    <definedName name="ITEM5.1.1.5" localSheetId="3">#REF!</definedName>
    <definedName name="ITEM5.1.1.5" localSheetId="2">#REF!</definedName>
    <definedName name="ITEM5.1.1.5">#REF!</definedName>
    <definedName name="ITEM5.1.1.6" localSheetId="3">#REF!</definedName>
    <definedName name="ITEM5.1.1.6" localSheetId="2">#REF!</definedName>
    <definedName name="ITEM5.1.1.6">#REF!</definedName>
    <definedName name="ITEM5.1.1.7" localSheetId="3">#REF!</definedName>
    <definedName name="ITEM5.1.1.7" localSheetId="2">#REF!</definedName>
    <definedName name="ITEM5.1.1.7">#REF!</definedName>
    <definedName name="ITEM5.1.2.3" localSheetId="3">#REF!</definedName>
    <definedName name="ITEM5.1.2.3" localSheetId="2">#REF!</definedName>
    <definedName name="ITEM5.1.2.3">#REF!</definedName>
    <definedName name="ITEM5.1.2.4" localSheetId="3">#REF!</definedName>
    <definedName name="ITEM5.1.2.4" localSheetId="2">#REF!</definedName>
    <definedName name="ITEM5.1.2.4">#REF!</definedName>
    <definedName name="ITEM5.1.2.5" localSheetId="3">#REF!</definedName>
    <definedName name="ITEM5.1.2.5" localSheetId="2">#REF!</definedName>
    <definedName name="ITEM5.1.2.5">#REF!</definedName>
    <definedName name="ITEM5.1.2.6" localSheetId="3">#REF!</definedName>
    <definedName name="ITEM5.1.2.6" localSheetId="2">#REF!</definedName>
    <definedName name="ITEM5.1.2.6">#REF!</definedName>
    <definedName name="ITEM5.1.2.7" localSheetId="3">#REF!</definedName>
    <definedName name="ITEM5.1.2.7" localSheetId="2">#REF!</definedName>
    <definedName name="ITEM5.1.2.7">#REF!</definedName>
    <definedName name="ITEM5.1.2.8" localSheetId="3">#REF!</definedName>
    <definedName name="ITEM5.1.2.8" localSheetId="2">#REF!</definedName>
    <definedName name="ITEM5.1.2.8">#REF!</definedName>
    <definedName name="ITEM5.1.2.9" localSheetId="3">#REF!</definedName>
    <definedName name="ITEM5.1.2.9" localSheetId="2">#REF!</definedName>
    <definedName name="ITEM5.1.2.9">#REF!</definedName>
    <definedName name="ITEM5.1.4" localSheetId="3">#REF!</definedName>
    <definedName name="ITEM5.1.4" localSheetId="2">#REF!</definedName>
    <definedName name="ITEM5.1.4">#REF!</definedName>
    <definedName name="ITEM5.1.5" localSheetId="3">#REF!</definedName>
    <definedName name="ITEM5.1.5" localSheetId="2">#REF!</definedName>
    <definedName name="ITEM5.1.5">#REF!</definedName>
    <definedName name="ITEM5.1.6" localSheetId="3">#REF!</definedName>
    <definedName name="ITEM5.1.6" localSheetId="2">#REF!</definedName>
    <definedName name="ITEM5.1.6">#REF!</definedName>
    <definedName name="ITEM5.1.7" localSheetId="3">#REF!</definedName>
    <definedName name="ITEM5.1.7" localSheetId="2">#REF!</definedName>
    <definedName name="ITEM5.1.7">#REF!</definedName>
    <definedName name="ITEM5.1.7.1" localSheetId="3">#REF!</definedName>
    <definedName name="ITEM5.1.7.1" localSheetId="2">#REF!</definedName>
    <definedName name="ITEM5.1.7.1">#REF!</definedName>
    <definedName name="ITEM5.2.2.1" localSheetId="3">#REF!</definedName>
    <definedName name="ITEM5.2.2.1" localSheetId="2">#REF!</definedName>
    <definedName name="ITEM5.2.2.1">#REF!</definedName>
    <definedName name="ITEM5.2.2.2" localSheetId="3">#REF!</definedName>
    <definedName name="ITEM5.2.2.2" localSheetId="2">#REF!</definedName>
    <definedName name="ITEM5.2.2.2">#REF!</definedName>
    <definedName name="ITEM5.2.2.3" localSheetId="3">#REF!</definedName>
    <definedName name="ITEM5.2.2.3" localSheetId="2">#REF!</definedName>
    <definedName name="ITEM5.2.2.3">#REF!</definedName>
    <definedName name="ITEM5.2.2.4" localSheetId="3">#REF!</definedName>
    <definedName name="ITEM5.2.2.4" localSheetId="2">#REF!</definedName>
    <definedName name="ITEM5.2.2.4">#REF!</definedName>
    <definedName name="ITEM5.2.2.5" localSheetId="3">#REF!</definedName>
    <definedName name="ITEM5.2.2.5" localSheetId="2">#REF!</definedName>
    <definedName name="ITEM5.2.2.5">#REF!</definedName>
    <definedName name="ITEM5.2.2.6" localSheetId="3">#REF!</definedName>
    <definedName name="ITEM5.2.2.6" localSheetId="2">#REF!</definedName>
    <definedName name="ITEM5.2.2.6">#REF!</definedName>
    <definedName name="ITEM5.3.1" localSheetId="3">'[29]25-27RC. PIPE(3หน้า)'!#REF!</definedName>
    <definedName name="ITEM5.3.1" localSheetId="4">'[29]25-27RC. PIPE(3หน้า)'!#REF!</definedName>
    <definedName name="ITEM5.3.1" localSheetId="18">'[29]25-27RC. PIPE(3หน้า)'!#REF!</definedName>
    <definedName name="ITEM5.3.1" localSheetId="19">'[29]25-27RC. PIPE(3หน้า)'!#REF!</definedName>
    <definedName name="ITEM5.3.1" localSheetId="9">'[29]25-27RC. PIPE(3หน้า)'!#REF!</definedName>
    <definedName name="ITEM5.3.1" localSheetId="10">'[29]25-27RC. PIPE(3หน้า)'!#REF!</definedName>
    <definedName name="ITEM5.3.1" localSheetId="11">'[29]25-27RC. PIPE(3หน้า)'!#REF!</definedName>
    <definedName name="ITEM5.3.1" localSheetId="12">'[29]25-27RC. PIPE(3หน้า)'!#REF!</definedName>
    <definedName name="ITEM5.3.1" localSheetId="13">'[29]25-27RC. PIPE(3หน้า)'!#REF!</definedName>
    <definedName name="ITEM5.3.1" localSheetId="14">'[29]25-27RC. PIPE(3หน้า)'!#REF!</definedName>
    <definedName name="ITEM5.3.1" localSheetId="15">'[29]25-27RC. PIPE(3หน้า)'!#REF!</definedName>
    <definedName name="ITEM5.3.1" localSheetId="16">'[29]25-27RC. PIPE(3หน้า)'!#REF!</definedName>
    <definedName name="ITEM5.3.1" localSheetId="17">'[29]25-27RC. PIPE(3หน้า)'!#REF!</definedName>
    <definedName name="ITEM5.3.1" localSheetId="8">'[29]25-27RC. PIPE(3หน้า)'!#REF!</definedName>
    <definedName name="ITEM5.3.1" localSheetId="7">'[29]25-27RC. PIPE(3หน้า)'!#REF!</definedName>
    <definedName name="ITEM5.3.1" localSheetId="6">'[29]25-27RC. PIPE(3หน้า)'!#REF!</definedName>
    <definedName name="ITEM5.3.1" localSheetId="20">'[29]25-27RC. PIPE(3หน้า)'!#REF!</definedName>
    <definedName name="ITEM5.3.1" localSheetId="5">'[29]25-27RC. PIPE(3หน้า)'!#REF!</definedName>
    <definedName name="ITEM5.3.1" localSheetId="21">'[29]25-27RC. PIPE(3หน้า)'!#REF!</definedName>
    <definedName name="ITEM5.3.1" localSheetId="34">'[29]25-27RC. PIPE(3หน้า)'!#REF!</definedName>
    <definedName name="ITEM5.3.1" localSheetId="35">'[29]25-27RC. PIPE(3หน้า)'!#REF!</definedName>
    <definedName name="ITEM5.3.1" localSheetId="25">'[29]25-27RC. PIPE(3หน้า)'!#REF!</definedName>
    <definedName name="ITEM5.3.1" localSheetId="27">'[29]25-27RC. PIPE(3หน้า)'!#REF!</definedName>
    <definedName name="ITEM5.3.1" localSheetId="28">'[29]25-27RC. PIPE(3หน้า)'!#REF!</definedName>
    <definedName name="ITEM5.3.1" localSheetId="29">'[29]25-27RC. PIPE(3หน้า)'!#REF!</definedName>
    <definedName name="ITEM5.3.1" localSheetId="31">'[29]25-27RC. PIPE(3หน้า)'!#REF!</definedName>
    <definedName name="ITEM5.3.1" localSheetId="32">'[29]25-27RC. PIPE(3หน้า)'!#REF!</definedName>
    <definedName name="ITEM5.3.1" localSheetId="33">'[29]25-27RC. PIPE(3หน้า)'!#REF!</definedName>
    <definedName name="ITEM5.3.1" localSheetId="24">'[29]25-27RC. PIPE(3หน้า)'!#REF!</definedName>
    <definedName name="ITEM5.3.1" localSheetId="23">'[29]25-27RC. PIPE(3หน้า)'!#REF!</definedName>
    <definedName name="ITEM5.3.1" localSheetId="36">'[29]25-27RC. PIPE(3หน้า)'!#REF!</definedName>
    <definedName name="ITEM5.3.1" localSheetId="22">'[29]25-27RC. PIPE(3หน้า)'!#REF!</definedName>
    <definedName name="ITEM5.3.1" localSheetId="26">'[29]25-27RC. PIPE(3หน้า)'!#REF!</definedName>
    <definedName name="ITEM5.3.1" localSheetId="30">'[29]25-27RC. PIPE(3หน้า)'!#REF!</definedName>
    <definedName name="ITEM5.3.1" localSheetId="41">'[29]25-27RC. PIPE(3หน้า)'!#REF!</definedName>
    <definedName name="ITEM5.3.1" localSheetId="50">'[29]25-27RC. PIPE(3หน้า)'!#REF!</definedName>
    <definedName name="ITEM5.3.1" localSheetId="51">'[29]25-27RC. PIPE(3หน้า)'!#REF!</definedName>
    <definedName name="ITEM5.3.1" localSheetId="42">'[29]25-27RC. PIPE(3หน้า)'!#REF!</definedName>
    <definedName name="ITEM5.3.1" localSheetId="43">'[29]25-27RC. PIPE(3หน้า)'!#REF!</definedName>
    <definedName name="ITEM5.3.1" localSheetId="44">'[29]25-27RC. PIPE(3หน้า)'!#REF!</definedName>
    <definedName name="ITEM5.3.1" localSheetId="45">'[29]25-27RC. PIPE(3หน้า)'!#REF!</definedName>
    <definedName name="ITEM5.3.1" localSheetId="46">'[29]25-27RC. PIPE(3หน้า)'!#REF!</definedName>
    <definedName name="ITEM5.3.1" localSheetId="47">'[29]25-27RC. PIPE(3หน้า)'!#REF!</definedName>
    <definedName name="ITEM5.3.1" localSheetId="48">'[29]25-27RC. PIPE(3หน้า)'!#REF!</definedName>
    <definedName name="ITEM5.3.1" localSheetId="49">'[29]25-27RC. PIPE(3หน้า)'!#REF!</definedName>
    <definedName name="ITEM5.3.1" localSheetId="52">'[29]25-27RC. PIPE(3หน้า)'!#REF!</definedName>
    <definedName name="ITEM5.3.1" localSheetId="40">'[29]25-27RC. PIPE(3หน้า)'!#REF!</definedName>
    <definedName name="ITEM5.3.1" localSheetId="39">'[29]25-27RC. PIPE(3หน้า)'!#REF!</definedName>
    <definedName name="ITEM5.3.1" localSheetId="38">'[29]25-27RC. PIPE(3หน้า)'!#REF!</definedName>
    <definedName name="ITEM5.3.1" localSheetId="37">'[29]25-27RC. PIPE(3หน้า)'!#REF!</definedName>
    <definedName name="ITEM5.3.1" localSheetId="57">'[29]25-27RC. PIPE(3หน้า)'!#REF!</definedName>
    <definedName name="ITEM5.3.1" localSheetId="66">'[29]25-27RC. PIPE(3หน้า)'!#REF!</definedName>
    <definedName name="ITEM5.3.1" localSheetId="67">'[29]25-27RC. PIPE(3หน้า)'!#REF!</definedName>
    <definedName name="ITEM5.3.1" localSheetId="58">'[29]25-27RC. PIPE(3หน้า)'!#REF!</definedName>
    <definedName name="ITEM5.3.1" localSheetId="59">'[29]25-27RC. PIPE(3หน้า)'!#REF!</definedName>
    <definedName name="ITEM5.3.1" localSheetId="60">'[29]25-27RC. PIPE(3หน้า)'!#REF!</definedName>
    <definedName name="ITEM5.3.1" localSheetId="61">'[29]25-27RC. PIPE(3หน้า)'!#REF!</definedName>
    <definedName name="ITEM5.3.1" localSheetId="62">'[29]25-27RC. PIPE(3หน้า)'!#REF!</definedName>
    <definedName name="ITEM5.3.1" localSheetId="63">'[29]25-27RC. PIPE(3หน้า)'!#REF!</definedName>
    <definedName name="ITEM5.3.1" localSheetId="64">'[29]25-27RC. PIPE(3หน้า)'!#REF!</definedName>
    <definedName name="ITEM5.3.1" localSheetId="65">'[29]25-27RC. PIPE(3หน้า)'!#REF!</definedName>
    <definedName name="ITEM5.3.1" localSheetId="68">'[29]25-27RC. PIPE(3หน้า)'!#REF!</definedName>
    <definedName name="ITEM5.3.1" localSheetId="56">'[29]25-27RC. PIPE(3หน้า)'!#REF!</definedName>
    <definedName name="ITEM5.3.1" localSheetId="55">'[29]25-27RC. PIPE(3หน้า)'!#REF!</definedName>
    <definedName name="ITEM5.3.1" localSheetId="54">'[29]25-27RC. PIPE(3หน้า)'!#REF!</definedName>
    <definedName name="ITEM5.3.1" localSheetId="53">'[29]25-27RC. PIPE(3หน้า)'!#REF!</definedName>
    <definedName name="ITEM5.3.1" localSheetId="85">'[29]25-27RC. PIPE(3หน้า)'!#REF!</definedName>
    <definedName name="ITEM5.3.1" localSheetId="86">'[29]25-27RC. PIPE(3หน้า)'!#REF!</definedName>
    <definedName name="ITEM5.3.1" localSheetId="2">'[29]25-27RC. PIPE(3หน้า)'!#REF!</definedName>
    <definedName name="ITEM5.3.1">'[29]25-27RC. PIPE(3หน้า)'!#REF!</definedName>
    <definedName name="ITEM5.3.2" localSheetId="3">'[29]25-27RC. PIPE(3หน้า)'!#REF!</definedName>
    <definedName name="ITEM5.3.2" localSheetId="4">'[29]25-27RC. PIPE(3หน้า)'!#REF!</definedName>
    <definedName name="ITEM5.3.2" localSheetId="18">'[29]25-27RC. PIPE(3หน้า)'!#REF!</definedName>
    <definedName name="ITEM5.3.2" localSheetId="19">'[29]25-27RC. PIPE(3หน้า)'!#REF!</definedName>
    <definedName name="ITEM5.3.2" localSheetId="9">'[29]25-27RC. PIPE(3หน้า)'!#REF!</definedName>
    <definedName name="ITEM5.3.2" localSheetId="10">'[29]25-27RC. PIPE(3หน้า)'!#REF!</definedName>
    <definedName name="ITEM5.3.2" localSheetId="11">'[29]25-27RC. PIPE(3หน้า)'!#REF!</definedName>
    <definedName name="ITEM5.3.2" localSheetId="12">'[29]25-27RC. PIPE(3หน้า)'!#REF!</definedName>
    <definedName name="ITEM5.3.2" localSheetId="13">'[29]25-27RC. PIPE(3หน้า)'!#REF!</definedName>
    <definedName name="ITEM5.3.2" localSheetId="14">'[29]25-27RC. PIPE(3หน้า)'!#REF!</definedName>
    <definedName name="ITEM5.3.2" localSheetId="15">'[29]25-27RC. PIPE(3หน้า)'!#REF!</definedName>
    <definedName name="ITEM5.3.2" localSheetId="16">'[29]25-27RC. PIPE(3หน้า)'!#REF!</definedName>
    <definedName name="ITEM5.3.2" localSheetId="17">'[29]25-27RC. PIPE(3หน้า)'!#REF!</definedName>
    <definedName name="ITEM5.3.2" localSheetId="8">'[29]25-27RC. PIPE(3หน้า)'!#REF!</definedName>
    <definedName name="ITEM5.3.2" localSheetId="7">'[29]25-27RC. PIPE(3หน้า)'!#REF!</definedName>
    <definedName name="ITEM5.3.2" localSheetId="6">'[29]25-27RC. PIPE(3หน้า)'!#REF!</definedName>
    <definedName name="ITEM5.3.2" localSheetId="20">'[29]25-27RC. PIPE(3หน้า)'!#REF!</definedName>
    <definedName name="ITEM5.3.2" localSheetId="5">'[29]25-27RC. PIPE(3หน้า)'!#REF!</definedName>
    <definedName name="ITEM5.3.2" localSheetId="21">'[29]25-27RC. PIPE(3หน้า)'!#REF!</definedName>
    <definedName name="ITEM5.3.2" localSheetId="34">'[29]25-27RC. PIPE(3หน้า)'!#REF!</definedName>
    <definedName name="ITEM5.3.2" localSheetId="35">'[29]25-27RC. PIPE(3หน้า)'!#REF!</definedName>
    <definedName name="ITEM5.3.2" localSheetId="25">'[29]25-27RC. PIPE(3หน้า)'!#REF!</definedName>
    <definedName name="ITEM5.3.2" localSheetId="27">'[29]25-27RC. PIPE(3หน้า)'!#REF!</definedName>
    <definedName name="ITEM5.3.2" localSheetId="28">'[29]25-27RC. PIPE(3หน้า)'!#REF!</definedName>
    <definedName name="ITEM5.3.2" localSheetId="29">'[29]25-27RC. PIPE(3หน้า)'!#REF!</definedName>
    <definedName name="ITEM5.3.2" localSheetId="31">'[29]25-27RC. PIPE(3หน้า)'!#REF!</definedName>
    <definedName name="ITEM5.3.2" localSheetId="32">'[29]25-27RC. PIPE(3หน้า)'!#REF!</definedName>
    <definedName name="ITEM5.3.2" localSheetId="33">'[29]25-27RC. PIPE(3หน้า)'!#REF!</definedName>
    <definedName name="ITEM5.3.2" localSheetId="24">'[29]25-27RC. PIPE(3หน้า)'!#REF!</definedName>
    <definedName name="ITEM5.3.2" localSheetId="23">'[29]25-27RC. PIPE(3หน้า)'!#REF!</definedName>
    <definedName name="ITEM5.3.2" localSheetId="36">'[29]25-27RC. PIPE(3หน้า)'!#REF!</definedName>
    <definedName name="ITEM5.3.2" localSheetId="22">'[29]25-27RC. PIPE(3หน้า)'!#REF!</definedName>
    <definedName name="ITEM5.3.2" localSheetId="26">'[29]25-27RC. PIPE(3หน้า)'!#REF!</definedName>
    <definedName name="ITEM5.3.2" localSheetId="30">'[29]25-27RC. PIPE(3หน้า)'!#REF!</definedName>
    <definedName name="ITEM5.3.2" localSheetId="41">'[29]25-27RC. PIPE(3หน้า)'!#REF!</definedName>
    <definedName name="ITEM5.3.2" localSheetId="50">'[29]25-27RC. PIPE(3หน้า)'!#REF!</definedName>
    <definedName name="ITEM5.3.2" localSheetId="51">'[29]25-27RC. PIPE(3หน้า)'!#REF!</definedName>
    <definedName name="ITEM5.3.2" localSheetId="42">'[29]25-27RC. PIPE(3หน้า)'!#REF!</definedName>
    <definedName name="ITEM5.3.2" localSheetId="43">'[29]25-27RC. PIPE(3หน้า)'!#REF!</definedName>
    <definedName name="ITEM5.3.2" localSheetId="44">'[29]25-27RC. PIPE(3หน้า)'!#REF!</definedName>
    <definedName name="ITEM5.3.2" localSheetId="45">'[29]25-27RC. PIPE(3หน้า)'!#REF!</definedName>
    <definedName name="ITEM5.3.2" localSheetId="46">'[29]25-27RC. PIPE(3หน้า)'!#REF!</definedName>
    <definedName name="ITEM5.3.2" localSheetId="47">'[29]25-27RC. PIPE(3หน้า)'!#REF!</definedName>
    <definedName name="ITEM5.3.2" localSheetId="48">'[29]25-27RC. PIPE(3หน้า)'!#REF!</definedName>
    <definedName name="ITEM5.3.2" localSheetId="49">'[29]25-27RC. PIPE(3หน้า)'!#REF!</definedName>
    <definedName name="ITEM5.3.2" localSheetId="52">'[29]25-27RC. PIPE(3หน้า)'!#REF!</definedName>
    <definedName name="ITEM5.3.2" localSheetId="40">'[29]25-27RC. PIPE(3หน้า)'!#REF!</definedName>
    <definedName name="ITEM5.3.2" localSheetId="39">'[29]25-27RC. PIPE(3หน้า)'!#REF!</definedName>
    <definedName name="ITEM5.3.2" localSheetId="38">'[29]25-27RC. PIPE(3หน้า)'!#REF!</definedName>
    <definedName name="ITEM5.3.2" localSheetId="37">'[29]25-27RC. PIPE(3หน้า)'!#REF!</definedName>
    <definedName name="ITEM5.3.2" localSheetId="57">'[29]25-27RC. PIPE(3หน้า)'!#REF!</definedName>
    <definedName name="ITEM5.3.2" localSheetId="66">'[29]25-27RC. PIPE(3หน้า)'!#REF!</definedName>
    <definedName name="ITEM5.3.2" localSheetId="67">'[29]25-27RC. PIPE(3หน้า)'!#REF!</definedName>
    <definedName name="ITEM5.3.2" localSheetId="58">'[29]25-27RC. PIPE(3หน้า)'!#REF!</definedName>
    <definedName name="ITEM5.3.2" localSheetId="59">'[29]25-27RC. PIPE(3หน้า)'!#REF!</definedName>
    <definedName name="ITEM5.3.2" localSheetId="60">'[29]25-27RC. PIPE(3หน้า)'!#REF!</definedName>
    <definedName name="ITEM5.3.2" localSheetId="61">'[29]25-27RC. PIPE(3หน้า)'!#REF!</definedName>
    <definedName name="ITEM5.3.2" localSheetId="62">'[29]25-27RC. PIPE(3หน้า)'!#REF!</definedName>
    <definedName name="ITEM5.3.2" localSheetId="63">'[29]25-27RC. PIPE(3หน้า)'!#REF!</definedName>
    <definedName name="ITEM5.3.2" localSheetId="64">'[29]25-27RC. PIPE(3หน้า)'!#REF!</definedName>
    <definedName name="ITEM5.3.2" localSheetId="65">'[29]25-27RC. PIPE(3หน้า)'!#REF!</definedName>
    <definedName name="ITEM5.3.2" localSheetId="68">'[29]25-27RC. PIPE(3หน้า)'!#REF!</definedName>
    <definedName name="ITEM5.3.2" localSheetId="56">'[29]25-27RC. PIPE(3หน้า)'!#REF!</definedName>
    <definedName name="ITEM5.3.2" localSheetId="55">'[29]25-27RC. PIPE(3หน้า)'!#REF!</definedName>
    <definedName name="ITEM5.3.2" localSheetId="54">'[29]25-27RC. PIPE(3หน้า)'!#REF!</definedName>
    <definedName name="ITEM5.3.2" localSheetId="53">'[29]25-27RC. PIPE(3หน้า)'!#REF!</definedName>
    <definedName name="ITEM5.3.2" localSheetId="85">'[29]25-27RC. PIPE(3หน้า)'!#REF!</definedName>
    <definedName name="ITEM5.3.2" localSheetId="86">'[29]25-27RC. PIPE(3หน้า)'!#REF!</definedName>
    <definedName name="ITEM5.3.2" localSheetId="2">'[29]25-27RC. PIPE(3หน้า)'!#REF!</definedName>
    <definedName name="ITEM5.3.2">'[29]25-27RC. PIPE(3หน้า)'!#REF!</definedName>
    <definedName name="ITEM5.3.3" localSheetId="3">'[29]25-27RC. PIPE(3หน้า)'!#REF!</definedName>
    <definedName name="ITEM5.3.3" localSheetId="4">'[29]25-27RC. PIPE(3หน้า)'!#REF!</definedName>
    <definedName name="ITEM5.3.3" localSheetId="18">'[29]25-27RC. PIPE(3หน้า)'!#REF!</definedName>
    <definedName name="ITEM5.3.3" localSheetId="19">'[29]25-27RC. PIPE(3หน้า)'!#REF!</definedName>
    <definedName name="ITEM5.3.3" localSheetId="9">'[29]25-27RC. PIPE(3หน้า)'!#REF!</definedName>
    <definedName name="ITEM5.3.3" localSheetId="10">'[29]25-27RC. PIPE(3หน้า)'!#REF!</definedName>
    <definedName name="ITEM5.3.3" localSheetId="11">'[29]25-27RC. PIPE(3หน้า)'!#REF!</definedName>
    <definedName name="ITEM5.3.3" localSheetId="12">'[29]25-27RC. PIPE(3หน้า)'!#REF!</definedName>
    <definedName name="ITEM5.3.3" localSheetId="13">'[29]25-27RC. PIPE(3หน้า)'!#REF!</definedName>
    <definedName name="ITEM5.3.3" localSheetId="14">'[29]25-27RC. PIPE(3หน้า)'!#REF!</definedName>
    <definedName name="ITEM5.3.3" localSheetId="15">'[29]25-27RC. PIPE(3หน้า)'!#REF!</definedName>
    <definedName name="ITEM5.3.3" localSheetId="16">'[29]25-27RC. PIPE(3หน้า)'!#REF!</definedName>
    <definedName name="ITEM5.3.3" localSheetId="17">'[29]25-27RC. PIPE(3หน้า)'!#REF!</definedName>
    <definedName name="ITEM5.3.3" localSheetId="8">'[29]25-27RC. PIPE(3หน้า)'!#REF!</definedName>
    <definedName name="ITEM5.3.3" localSheetId="7">'[29]25-27RC. PIPE(3หน้า)'!#REF!</definedName>
    <definedName name="ITEM5.3.3" localSheetId="6">'[29]25-27RC. PIPE(3หน้า)'!#REF!</definedName>
    <definedName name="ITEM5.3.3" localSheetId="20">'[29]25-27RC. PIPE(3หน้า)'!#REF!</definedName>
    <definedName name="ITEM5.3.3" localSheetId="5">'[29]25-27RC. PIPE(3หน้า)'!#REF!</definedName>
    <definedName name="ITEM5.3.3" localSheetId="21">'[29]25-27RC. PIPE(3หน้า)'!#REF!</definedName>
    <definedName name="ITEM5.3.3" localSheetId="34">'[29]25-27RC. PIPE(3หน้า)'!#REF!</definedName>
    <definedName name="ITEM5.3.3" localSheetId="35">'[29]25-27RC. PIPE(3หน้า)'!#REF!</definedName>
    <definedName name="ITEM5.3.3" localSheetId="25">'[29]25-27RC. PIPE(3หน้า)'!#REF!</definedName>
    <definedName name="ITEM5.3.3" localSheetId="27">'[29]25-27RC. PIPE(3หน้า)'!#REF!</definedName>
    <definedName name="ITEM5.3.3" localSheetId="28">'[29]25-27RC. PIPE(3หน้า)'!#REF!</definedName>
    <definedName name="ITEM5.3.3" localSheetId="29">'[29]25-27RC. PIPE(3หน้า)'!#REF!</definedName>
    <definedName name="ITEM5.3.3" localSheetId="31">'[29]25-27RC. PIPE(3หน้า)'!#REF!</definedName>
    <definedName name="ITEM5.3.3" localSheetId="32">'[29]25-27RC. PIPE(3หน้า)'!#REF!</definedName>
    <definedName name="ITEM5.3.3" localSheetId="33">'[29]25-27RC. PIPE(3หน้า)'!#REF!</definedName>
    <definedName name="ITEM5.3.3" localSheetId="24">'[29]25-27RC. PIPE(3หน้า)'!#REF!</definedName>
    <definedName name="ITEM5.3.3" localSheetId="23">'[29]25-27RC. PIPE(3หน้า)'!#REF!</definedName>
    <definedName name="ITEM5.3.3" localSheetId="36">'[29]25-27RC. PIPE(3หน้า)'!#REF!</definedName>
    <definedName name="ITEM5.3.3" localSheetId="22">'[29]25-27RC. PIPE(3หน้า)'!#REF!</definedName>
    <definedName name="ITEM5.3.3" localSheetId="26">'[29]25-27RC. PIPE(3หน้า)'!#REF!</definedName>
    <definedName name="ITEM5.3.3" localSheetId="30">'[29]25-27RC. PIPE(3หน้า)'!#REF!</definedName>
    <definedName name="ITEM5.3.3" localSheetId="85">'[29]25-27RC. PIPE(3หน้า)'!#REF!</definedName>
    <definedName name="ITEM5.3.3" localSheetId="86">'[29]25-27RC. PIPE(3หน้า)'!#REF!</definedName>
    <definedName name="ITEM5.3.3" localSheetId="2">'[29]25-27RC. PIPE(3หน้า)'!#REF!</definedName>
    <definedName name="ITEM5.3.3">'[29]25-27RC. PIPE(3หน้า)'!#REF!</definedName>
    <definedName name="ITEM5.4.1" localSheetId="3">'[29]25-27RC. PIPE(3หน้า)'!#REF!</definedName>
    <definedName name="ITEM5.4.1" localSheetId="18">'[29]25-27RC. PIPE(3หน้า)'!#REF!</definedName>
    <definedName name="ITEM5.4.1" localSheetId="19">'[29]25-27RC. PIPE(3หน้า)'!#REF!</definedName>
    <definedName name="ITEM5.4.1" localSheetId="9">'[29]25-27RC. PIPE(3หน้า)'!#REF!</definedName>
    <definedName name="ITEM5.4.1" localSheetId="10">'[29]25-27RC. PIPE(3หน้า)'!#REF!</definedName>
    <definedName name="ITEM5.4.1" localSheetId="11">'[29]25-27RC. PIPE(3หน้า)'!#REF!</definedName>
    <definedName name="ITEM5.4.1" localSheetId="12">'[29]25-27RC. PIPE(3หน้า)'!#REF!</definedName>
    <definedName name="ITEM5.4.1" localSheetId="13">'[29]25-27RC. PIPE(3หน้า)'!#REF!</definedName>
    <definedName name="ITEM5.4.1" localSheetId="14">'[29]25-27RC. PIPE(3หน้า)'!#REF!</definedName>
    <definedName name="ITEM5.4.1" localSheetId="15">'[29]25-27RC. PIPE(3หน้า)'!#REF!</definedName>
    <definedName name="ITEM5.4.1" localSheetId="16">'[29]25-27RC. PIPE(3หน้า)'!#REF!</definedName>
    <definedName name="ITEM5.4.1" localSheetId="17">'[29]25-27RC. PIPE(3หน้า)'!#REF!</definedName>
    <definedName name="ITEM5.4.1" localSheetId="8">'[29]25-27RC. PIPE(3หน้า)'!#REF!</definedName>
    <definedName name="ITEM5.4.1" localSheetId="7">'[29]25-27RC. PIPE(3หน้า)'!#REF!</definedName>
    <definedName name="ITEM5.4.1" localSheetId="6">'[29]25-27RC. PIPE(3หน้า)'!#REF!</definedName>
    <definedName name="ITEM5.4.1" localSheetId="20">'[29]25-27RC. PIPE(3หน้า)'!#REF!</definedName>
    <definedName name="ITEM5.4.1" localSheetId="5">'[29]25-27RC. PIPE(3หน้า)'!#REF!</definedName>
    <definedName name="ITEM5.4.1" localSheetId="21">'[29]25-27RC. PIPE(3หน้า)'!#REF!</definedName>
    <definedName name="ITEM5.4.1" localSheetId="34">'[29]25-27RC. PIPE(3หน้า)'!#REF!</definedName>
    <definedName name="ITEM5.4.1" localSheetId="35">'[29]25-27RC. PIPE(3หน้า)'!#REF!</definedName>
    <definedName name="ITEM5.4.1" localSheetId="25">'[29]25-27RC. PIPE(3หน้า)'!#REF!</definedName>
    <definedName name="ITEM5.4.1" localSheetId="27">'[29]25-27RC. PIPE(3หน้า)'!#REF!</definedName>
    <definedName name="ITEM5.4.1" localSheetId="28">'[29]25-27RC. PIPE(3หน้า)'!#REF!</definedName>
    <definedName name="ITEM5.4.1" localSheetId="29">'[29]25-27RC. PIPE(3หน้า)'!#REF!</definedName>
    <definedName name="ITEM5.4.1" localSheetId="31">'[29]25-27RC. PIPE(3หน้า)'!#REF!</definedName>
    <definedName name="ITEM5.4.1" localSheetId="32">'[29]25-27RC. PIPE(3หน้า)'!#REF!</definedName>
    <definedName name="ITEM5.4.1" localSheetId="33">'[29]25-27RC. PIPE(3หน้า)'!#REF!</definedName>
    <definedName name="ITEM5.4.1" localSheetId="24">'[29]25-27RC. PIPE(3หน้า)'!#REF!</definedName>
    <definedName name="ITEM5.4.1" localSheetId="23">'[29]25-27RC. PIPE(3หน้า)'!#REF!</definedName>
    <definedName name="ITEM5.4.1" localSheetId="36">'[29]25-27RC. PIPE(3หน้า)'!#REF!</definedName>
    <definedName name="ITEM5.4.1" localSheetId="22">'[29]25-27RC. PIPE(3หน้า)'!#REF!</definedName>
    <definedName name="ITEM5.4.1" localSheetId="26">'[29]25-27RC. PIPE(3หน้า)'!#REF!</definedName>
    <definedName name="ITEM5.4.1" localSheetId="30">'[29]25-27RC. PIPE(3หน้า)'!#REF!</definedName>
    <definedName name="ITEM5.4.1" localSheetId="85">'[29]25-27RC. PIPE(3หน้า)'!#REF!</definedName>
    <definedName name="ITEM5.4.1" localSheetId="86">'[29]25-27RC. PIPE(3หน้า)'!#REF!</definedName>
    <definedName name="ITEM5.4.1">'[29]25-27RC. PIPE(3หน้า)'!#REF!</definedName>
    <definedName name="ITEM5.4.2" localSheetId="3">'[29]25-27RC. PIPE(3หน้า)'!#REF!</definedName>
    <definedName name="ITEM5.4.2" localSheetId="18">'[29]25-27RC. PIPE(3หน้า)'!#REF!</definedName>
    <definedName name="ITEM5.4.2" localSheetId="19">'[29]25-27RC. PIPE(3หน้า)'!#REF!</definedName>
    <definedName name="ITEM5.4.2" localSheetId="9">'[29]25-27RC. PIPE(3หน้า)'!#REF!</definedName>
    <definedName name="ITEM5.4.2" localSheetId="10">'[29]25-27RC. PIPE(3หน้า)'!#REF!</definedName>
    <definedName name="ITEM5.4.2" localSheetId="11">'[29]25-27RC. PIPE(3หน้า)'!#REF!</definedName>
    <definedName name="ITEM5.4.2" localSheetId="12">'[29]25-27RC. PIPE(3หน้า)'!#REF!</definedName>
    <definedName name="ITEM5.4.2" localSheetId="13">'[29]25-27RC. PIPE(3หน้า)'!#REF!</definedName>
    <definedName name="ITEM5.4.2" localSheetId="14">'[29]25-27RC. PIPE(3หน้า)'!#REF!</definedName>
    <definedName name="ITEM5.4.2" localSheetId="15">'[29]25-27RC. PIPE(3หน้า)'!#REF!</definedName>
    <definedName name="ITEM5.4.2" localSheetId="16">'[29]25-27RC. PIPE(3หน้า)'!#REF!</definedName>
    <definedName name="ITEM5.4.2" localSheetId="17">'[29]25-27RC. PIPE(3หน้า)'!#REF!</definedName>
    <definedName name="ITEM5.4.2" localSheetId="8">'[29]25-27RC. PIPE(3หน้า)'!#REF!</definedName>
    <definedName name="ITEM5.4.2" localSheetId="7">'[29]25-27RC. PIPE(3หน้า)'!#REF!</definedName>
    <definedName name="ITEM5.4.2" localSheetId="6">'[29]25-27RC. PIPE(3หน้า)'!#REF!</definedName>
    <definedName name="ITEM5.4.2" localSheetId="20">'[29]25-27RC. PIPE(3หน้า)'!#REF!</definedName>
    <definedName name="ITEM5.4.2" localSheetId="5">'[29]25-27RC. PIPE(3หน้า)'!#REF!</definedName>
    <definedName name="ITEM5.4.2" localSheetId="21">'[29]25-27RC. PIPE(3หน้า)'!#REF!</definedName>
    <definedName name="ITEM5.4.2" localSheetId="34">'[29]25-27RC. PIPE(3หน้า)'!#REF!</definedName>
    <definedName name="ITEM5.4.2" localSheetId="35">'[29]25-27RC. PIPE(3หน้า)'!#REF!</definedName>
    <definedName name="ITEM5.4.2" localSheetId="25">'[29]25-27RC. PIPE(3หน้า)'!#REF!</definedName>
    <definedName name="ITEM5.4.2" localSheetId="27">'[29]25-27RC. PIPE(3หน้า)'!#REF!</definedName>
    <definedName name="ITEM5.4.2" localSheetId="28">'[29]25-27RC. PIPE(3หน้า)'!#REF!</definedName>
    <definedName name="ITEM5.4.2" localSheetId="29">'[29]25-27RC. PIPE(3หน้า)'!#REF!</definedName>
    <definedName name="ITEM5.4.2" localSheetId="31">'[29]25-27RC. PIPE(3หน้า)'!#REF!</definedName>
    <definedName name="ITEM5.4.2" localSheetId="32">'[29]25-27RC. PIPE(3หน้า)'!#REF!</definedName>
    <definedName name="ITEM5.4.2" localSheetId="33">'[29]25-27RC. PIPE(3หน้า)'!#REF!</definedName>
    <definedName name="ITEM5.4.2" localSheetId="24">'[29]25-27RC. PIPE(3หน้า)'!#REF!</definedName>
    <definedName name="ITEM5.4.2" localSheetId="23">'[29]25-27RC. PIPE(3หน้า)'!#REF!</definedName>
    <definedName name="ITEM5.4.2" localSheetId="36">'[29]25-27RC. PIPE(3หน้า)'!#REF!</definedName>
    <definedName name="ITEM5.4.2" localSheetId="22">'[29]25-27RC. PIPE(3หน้า)'!#REF!</definedName>
    <definedName name="ITEM5.4.2" localSheetId="26">'[29]25-27RC. PIPE(3หน้า)'!#REF!</definedName>
    <definedName name="ITEM5.4.2" localSheetId="30">'[29]25-27RC. PIPE(3หน้า)'!#REF!</definedName>
    <definedName name="ITEM5.4.2" localSheetId="85">'[29]25-27RC. PIPE(3หน้า)'!#REF!</definedName>
    <definedName name="ITEM5.4.2" localSheetId="86">'[29]25-27RC. PIPE(3หน้า)'!#REF!</definedName>
    <definedName name="ITEM5.4.2">'[29]25-27RC. PIPE(3หน้า)'!#REF!</definedName>
    <definedName name="ITEM5.4.3" localSheetId="3">'[29]25-27RC. PIPE(3หน้า)'!#REF!</definedName>
    <definedName name="ITEM5.4.3" localSheetId="2">'[29]25-27RC. PIPE(3หน้า)'!#REF!</definedName>
    <definedName name="ITEM5.4.3">'[29]25-27RC. PIPE(3หน้า)'!#REF!</definedName>
    <definedName name="ITEM6.1.1" localSheetId="3">#REF!</definedName>
    <definedName name="ITEM6.1.1" localSheetId="4">#REF!</definedName>
    <definedName name="ITEM6.1.1" localSheetId="18">#REF!</definedName>
    <definedName name="ITEM6.1.1" localSheetId="19">#REF!</definedName>
    <definedName name="ITEM6.1.1" localSheetId="9">#REF!</definedName>
    <definedName name="ITEM6.1.1" localSheetId="10">#REF!</definedName>
    <definedName name="ITEM6.1.1" localSheetId="11">#REF!</definedName>
    <definedName name="ITEM6.1.1" localSheetId="12">#REF!</definedName>
    <definedName name="ITEM6.1.1" localSheetId="13">#REF!</definedName>
    <definedName name="ITEM6.1.1" localSheetId="14">#REF!</definedName>
    <definedName name="ITEM6.1.1" localSheetId="15">#REF!</definedName>
    <definedName name="ITEM6.1.1" localSheetId="16">#REF!</definedName>
    <definedName name="ITEM6.1.1" localSheetId="17">#REF!</definedName>
    <definedName name="ITEM6.1.1" localSheetId="8">#REF!</definedName>
    <definedName name="ITEM6.1.1" localSheetId="7">#REF!</definedName>
    <definedName name="ITEM6.1.1" localSheetId="6">#REF!</definedName>
    <definedName name="ITEM6.1.1" localSheetId="20">#REF!</definedName>
    <definedName name="ITEM6.1.1" localSheetId="5">#REF!</definedName>
    <definedName name="ITEM6.1.1" localSheetId="21">#REF!</definedName>
    <definedName name="ITEM6.1.1" localSheetId="34">#REF!</definedName>
    <definedName name="ITEM6.1.1" localSheetId="35">#REF!</definedName>
    <definedName name="ITEM6.1.1" localSheetId="25">#REF!</definedName>
    <definedName name="ITEM6.1.1" localSheetId="27">#REF!</definedName>
    <definedName name="ITEM6.1.1" localSheetId="28">#REF!</definedName>
    <definedName name="ITEM6.1.1" localSheetId="29">#REF!</definedName>
    <definedName name="ITEM6.1.1" localSheetId="31">#REF!</definedName>
    <definedName name="ITEM6.1.1" localSheetId="32">#REF!</definedName>
    <definedName name="ITEM6.1.1" localSheetId="33">#REF!</definedName>
    <definedName name="ITEM6.1.1" localSheetId="24">#REF!</definedName>
    <definedName name="ITEM6.1.1" localSheetId="23">#REF!</definedName>
    <definedName name="ITEM6.1.1" localSheetId="36">#REF!</definedName>
    <definedName name="ITEM6.1.1" localSheetId="22">#REF!</definedName>
    <definedName name="ITEM6.1.1" localSheetId="26">#REF!</definedName>
    <definedName name="ITEM6.1.1" localSheetId="30">#REF!</definedName>
    <definedName name="ITEM6.1.1" localSheetId="41">#REF!</definedName>
    <definedName name="ITEM6.1.1" localSheetId="50">#REF!</definedName>
    <definedName name="ITEM6.1.1" localSheetId="51">#REF!</definedName>
    <definedName name="ITEM6.1.1" localSheetId="42">#REF!</definedName>
    <definedName name="ITEM6.1.1" localSheetId="43">#REF!</definedName>
    <definedName name="ITEM6.1.1" localSheetId="44">#REF!</definedName>
    <definedName name="ITEM6.1.1" localSheetId="45">#REF!</definedName>
    <definedName name="ITEM6.1.1" localSheetId="46">#REF!</definedName>
    <definedName name="ITEM6.1.1" localSheetId="47">#REF!</definedName>
    <definedName name="ITEM6.1.1" localSheetId="48">#REF!</definedName>
    <definedName name="ITEM6.1.1" localSheetId="49">#REF!</definedName>
    <definedName name="ITEM6.1.1" localSheetId="52">#REF!</definedName>
    <definedName name="ITEM6.1.1" localSheetId="40">#REF!</definedName>
    <definedName name="ITEM6.1.1" localSheetId="39">#REF!</definedName>
    <definedName name="ITEM6.1.1" localSheetId="38">#REF!</definedName>
    <definedName name="ITEM6.1.1" localSheetId="37">#REF!</definedName>
    <definedName name="ITEM6.1.1" localSheetId="57">#REF!</definedName>
    <definedName name="ITEM6.1.1" localSheetId="66">#REF!</definedName>
    <definedName name="ITEM6.1.1" localSheetId="67">#REF!</definedName>
    <definedName name="ITEM6.1.1" localSheetId="58">#REF!</definedName>
    <definedName name="ITEM6.1.1" localSheetId="59">#REF!</definedName>
    <definedName name="ITEM6.1.1" localSheetId="60">#REF!</definedName>
    <definedName name="ITEM6.1.1" localSheetId="61">#REF!</definedName>
    <definedName name="ITEM6.1.1" localSheetId="62">#REF!</definedName>
    <definedName name="ITEM6.1.1" localSheetId="63">#REF!</definedName>
    <definedName name="ITEM6.1.1" localSheetId="64">#REF!</definedName>
    <definedName name="ITEM6.1.1" localSheetId="65">#REF!</definedName>
    <definedName name="ITEM6.1.1" localSheetId="68">#REF!</definedName>
    <definedName name="ITEM6.1.1" localSheetId="56">#REF!</definedName>
    <definedName name="ITEM6.1.1" localSheetId="55">#REF!</definedName>
    <definedName name="ITEM6.1.1" localSheetId="54">#REF!</definedName>
    <definedName name="ITEM6.1.1" localSheetId="53">#REF!</definedName>
    <definedName name="ITEM6.1.1" localSheetId="85">#REF!</definedName>
    <definedName name="ITEM6.1.1" localSheetId="86">#REF!</definedName>
    <definedName name="ITEM6.1.1" localSheetId="2">#REF!</definedName>
    <definedName name="ITEM6.1.1">#REF!</definedName>
    <definedName name="ITEM6.1.10" localSheetId="3">#REF!</definedName>
    <definedName name="ITEM6.1.10" localSheetId="4">#REF!</definedName>
    <definedName name="ITEM6.1.10" localSheetId="18">#REF!</definedName>
    <definedName name="ITEM6.1.10" localSheetId="19">#REF!</definedName>
    <definedName name="ITEM6.1.10" localSheetId="9">#REF!</definedName>
    <definedName name="ITEM6.1.10" localSheetId="10">#REF!</definedName>
    <definedName name="ITEM6.1.10" localSheetId="11">#REF!</definedName>
    <definedName name="ITEM6.1.10" localSheetId="12">#REF!</definedName>
    <definedName name="ITEM6.1.10" localSheetId="13">#REF!</definedName>
    <definedName name="ITEM6.1.10" localSheetId="14">#REF!</definedName>
    <definedName name="ITEM6.1.10" localSheetId="15">#REF!</definedName>
    <definedName name="ITEM6.1.10" localSheetId="16">#REF!</definedName>
    <definedName name="ITEM6.1.10" localSheetId="17">#REF!</definedName>
    <definedName name="ITEM6.1.10" localSheetId="8">#REF!</definedName>
    <definedName name="ITEM6.1.10" localSheetId="7">#REF!</definedName>
    <definedName name="ITEM6.1.10" localSheetId="6">#REF!</definedName>
    <definedName name="ITEM6.1.10" localSheetId="20">#REF!</definedName>
    <definedName name="ITEM6.1.10" localSheetId="5">#REF!</definedName>
    <definedName name="ITEM6.1.10" localSheetId="21">#REF!</definedName>
    <definedName name="ITEM6.1.10" localSheetId="34">#REF!</definedName>
    <definedName name="ITEM6.1.10" localSheetId="35">#REF!</definedName>
    <definedName name="ITEM6.1.10" localSheetId="25">#REF!</definedName>
    <definedName name="ITEM6.1.10" localSheetId="27">#REF!</definedName>
    <definedName name="ITEM6.1.10" localSheetId="28">#REF!</definedName>
    <definedName name="ITEM6.1.10" localSheetId="29">#REF!</definedName>
    <definedName name="ITEM6.1.10" localSheetId="31">#REF!</definedName>
    <definedName name="ITEM6.1.10" localSheetId="32">#REF!</definedName>
    <definedName name="ITEM6.1.10" localSheetId="33">#REF!</definedName>
    <definedName name="ITEM6.1.10" localSheetId="24">#REF!</definedName>
    <definedName name="ITEM6.1.10" localSheetId="23">#REF!</definedName>
    <definedName name="ITEM6.1.10" localSheetId="36">#REF!</definedName>
    <definedName name="ITEM6.1.10" localSheetId="22">#REF!</definedName>
    <definedName name="ITEM6.1.10" localSheetId="26">#REF!</definedName>
    <definedName name="ITEM6.1.10" localSheetId="30">#REF!</definedName>
    <definedName name="ITEM6.1.10" localSheetId="85">#REF!</definedName>
    <definedName name="ITEM6.1.10" localSheetId="86">#REF!</definedName>
    <definedName name="ITEM6.1.10" localSheetId="2">#REF!</definedName>
    <definedName name="ITEM6.1.10">#REF!</definedName>
    <definedName name="ITEM6.1.11" localSheetId="3">#REF!</definedName>
    <definedName name="ITEM6.1.11" localSheetId="4">#REF!</definedName>
    <definedName name="ITEM6.1.11" localSheetId="18">#REF!</definedName>
    <definedName name="ITEM6.1.11" localSheetId="19">#REF!</definedName>
    <definedName name="ITEM6.1.11" localSheetId="9">#REF!</definedName>
    <definedName name="ITEM6.1.11" localSheetId="10">#REF!</definedName>
    <definedName name="ITEM6.1.11" localSheetId="11">#REF!</definedName>
    <definedName name="ITEM6.1.11" localSheetId="12">#REF!</definedName>
    <definedName name="ITEM6.1.11" localSheetId="13">#REF!</definedName>
    <definedName name="ITEM6.1.11" localSheetId="14">#REF!</definedName>
    <definedName name="ITEM6.1.11" localSheetId="15">#REF!</definedName>
    <definedName name="ITEM6.1.11" localSheetId="16">#REF!</definedName>
    <definedName name="ITEM6.1.11" localSheetId="17">#REF!</definedName>
    <definedName name="ITEM6.1.11" localSheetId="8">#REF!</definedName>
    <definedName name="ITEM6.1.11" localSheetId="7">#REF!</definedName>
    <definedName name="ITEM6.1.11" localSheetId="6">#REF!</definedName>
    <definedName name="ITEM6.1.11" localSheetId="20">#REF!</definedName>
    <definedName name="ITEM6.1.11" localSheetId="5">#REF!</definedName>
    <definedName name="ITEM6.1.11" localSheetId="21">#REF!</definedName>
    <definedName name="ITEM6.1.11" localSheetId="34">#REF!</definedName>
    <definedName name="ITEM6.1.11" localSheetId="35">#REF!</definedName>
    <definedName name="ITEM6.1.11" localSheetId="25">#REF!</definedName>
    <definedName name="ITEM6.1.11" localSheetId="27">#REF!</definedName>
    <definedName name="ITEM6.1.11" localSheetId="28">#REF!</definedName>
    <definedName name="ITEM6.1.11" localSheetId="29">#REF!</definedName>
    <definedName name="ITEM6.1.11" localSheetId="31">#REF!</definedName>
    <definedName name="ITEM6.1.11" localSheetId="32">#REF!</definedName>
    <definedName name="ITEM6.1.11" localSheetId="33">#REF!</definedName>
    <definedName name="ITEM6.1.11" localSheetId="24">#REF!</definedName>
    <definedName name="ITEM6.1.11" localSheetId="23">#REF!</definedName>
    <definedName name="ITEM6.1.11" localSheetId="36">#REF!</definedName>
    <definedName name="ITEM6.1.11" localSheetId="22">#REF!</definedName>
    <definedName name="ITEM6.1.11" localSheetId="26">#REF!</definedName>
    <definedName name="ITEM6.1.11" localSheetId="30">#REF!</definedName>
    <definedName name="ITEM6.1.11" localSheetId="85">#REF!</definedName>
    <definedName name="ITEM6.1.11" localSheetId="86">#REF!</definedName>
    <definedName name="ITEM6.1.11" localSheetId="2">#REF!</definedName>
    <definedName name="ITEM6.1.11">#REF!</definedName>
    <definedName name="ITEM6.1.12" localSheetId="3">#REF!</definedName>
    <definedName name="ITEM6.1.12" localSheetId="2">#REF!</definedName>
    <definedName name="ITEM6.1.12">#REF!</definedName>
    <definedName name="ITEM6.1.13" localSheetId="3">#REF!</definedName>
    <definedName name="ITEM6.1.13" localSheetId="2">#REF!</definedName>
    <definedName name="ITEM6.1.13">#REF!</definedName>
    <definedName name="ITEM6.1.14" localSheetId="3">#REF!</definedName>
    <definedName name="ITEM6.1.14" localSheetId="2">#REF!</definedName>
    <definedName name="ITEM6.1.14">#REF!</definedName>
    <definedName name="ITEM6.1.15" localSheetId="3">#REF!</definedName>
    <definedName name="ITEM6.1.15" localSheetId="2">#REF!</definedName>
    <definedName name="ITEM6.1.15">#REF!</definedName>
    <definedName name="ITEM6.1.16" localSheetId="3">#REF!</definedName>
    <definedName name="ITEM6.1.16" localSheetId="2">#REF!</definedName>
    <definedName name="ITEM6.1.16">#REF!</definedName>
    <definedName name="ITEM6.1.17" localSheetId="3">#REF!</definedName>
    <definedName name="ITEM6.1.17" localSheetId="2">#REF!</definedName>
    <definedName name="ITEM6.1.17">#REF!</definedName>
    <definedName name="ITEM6.1.18" localSheetId="3">#REF!</definedName>
    <definedName name="ITEM6.1.18" localSheetId="2">#REF!</definedName>
    <definedName name="ITEM6.1.18">#REF!</definedName>
    <definedName name="ITEM6.1.2.2" localSheetId="3">#REF!</definedName>
    <definedName name="ITEM6.1.2.2" localSheetId="2">#REF!</definedName>
    <definedName name="ITEM6.1.2.2">#REF!</definedName>
    <definedName name="ITEM6.1.3" localSheetId="3">#REF!</definedName>
    <definedName name="ITEM6.1.3" localSheetId="2">#REF!</definedName>
    <definedName name="ITEM6.1.3">#REF!</definedName>
    <definedName name="ITEM6.1.4.1" localSheetId="3">#REF!</definedName>
    <definedName name="ITEM6.1.4.1" localSheetId="2">#REF!</definedName>
    <definedName name="ITEM6.1.4.1">#REF!</definedName>
    <definedName name="ITEM6.1.4.2" localSheetId="3">#REF!</definedName>
    <definedName name="ITEM6.1.4.2" localSheetId="2">#REF!</definedName>
    <definedName name="ITEM6.1.4.2">#REF!</definedName>
    <definedName name="ITEM6.1.8" localSheetId="3">#REF!</definedName>
    <definedName name="ITEM6.1.8" localSheetId="2">#REF!</definedName>
    <definedName name="ITEM6.1.8">#REF!</definedName>
    <definedName name="ITEM6.1.9" localSheetId="3">#REF!</definedName>
    <definedName name="ITEM6.1.9" localSheetId="2">#REF!</definedName>
    <definedName name="ITEM6.1.9">#REF!</definedName>
    <definedName name="ITEM6.10.1" localSheetId="3">#REF!</definedName>
    <definedName name="ITEM6.10.1" localSheetId="2">#REF!</definedName>
    <definedName name="ITEM6.10.1">#REF!</definedName>
    <definedName name="ITEM6.10.4.1" localSheetId="3">'[29]42หลักกิโล'!#REF!</definedName>
    <definedName name="ITEM6.10.4.1" localSheetId="4">'[29]42หลักกิโล'!#REF!</definedName>
    <definedName name="ITEM6.10.4.1" localSheetId="18">'[29]42หลักกิโล'!#REF!</definedName>
    <definedName name="ITEM6.10.4.1" localSheetId="19">'[29]42หลักกิโล'!#REF!</definedName>
    <definedName name="ITEM6.10.4.1" localSheetId="9">'[29]42หลักกิโล'!#REF!</definedName>
    <definedName name="ITEM6.10.4.1" localSheetId="10">'[29]42หลักกิโล'!#REF!</definedName>
    <definedName name="ITEM6.10.4.1" localSheetId="11">'[29]42หลักกิโล'!#REF!</definedName>
    <definedName name="ITEM6.10.4.1" localSheetId="12">'[29]42หลักกิโล'!#REF!</definedName>
    <definedName name="ITEM6.10.4.1" localSheetId="13">'[29]42หลักกิโล'!#REF!</definedName>
    <definedName name="ITEM6.10.4.1" localSheetId="14">'[29]42หลักกิโล'!#REF!</definedName>
    <definedName name="ITEM6.10.4.1" localSheetId="15">'[29]42หลักกิโล'!#REF!</definedName>
    <definedName name="ITEM6.10.4.1" localSheetId="16">'[29]42หลักกิโล'!#REF!</definedName>
    <definedName name="ITEM6.10.4.1" localSheetId="17">'[29]42หลักกิโล'!#REF!</definedName>
    <definedName name="ITEM6.10.4.1" localSheetId="8">'[29]42หลักกิโล'!#REF!</definedName>
    <definedName name="ITEM6.10.4.1" localSheetId="7">'[29]42หลักกิโล'!#REF!</definedName>
    <definedName name="ITEM6.10.4.1" localSheetId="6">'[29]42หลักกิโล'!#REF!</definedName>
    <definedName name="ITEM6.10.4.1" localSheetId="20">'[29]42หลักกิโล'!#REF!</definedName>
    <definedName name="ITEM6.10.4.1" localSheetId="5">'[29]42หลักกิโล'!#REF!</definedName>
    <definedName name="ITEM6.10.4.1" localSheetId="21">'[29]42หลักกิโล'!#REF!</definedName>
    <definedName name="ITEM6.10.4.1" localSheetId="34">'[29]42หลักกิโล'!#REF!</definedName>
    <definedName name="ITEM6.10.4.1" localSheetId="35">'[29]42หลักกิโล'!#REF!</definedName>
    <definedName name="ITEM6.10.4.1" localSheetId="25">'[29]42หลักกิโล'!#REF!</definedName>
    <definedName name="ITEM6.10.4.1" localSheetId="27">'[29]42หลักกิโล'!#REF!</definedName>
    <definedName name="ITEM6.10.4.1" localSheetId="28">'[29]42หลักกิโล'!#REF!</definedName>
    <definedName name="ITEM6.10.4.1" localSheetId="29">'[29]42หลักกิโล'!#REF!</definedName>
    <definedName name="ITEM6.10.4.1" localSheetId="31">'[29]42หลักกิโล'!#REF!</definedName>
    <definedName name="ITEM6.10.4.1" localSheetId="32">'[29]42หลักกิโล'!#REF!</definedName>
    <definedName name="ITEM6.10.4.1" localSheetId="33">'[29]42หลักกิโล'!#REF!</definedName>
    <definedName name="ITEM6.10.4.1" localSheetId="24">'[29]42หลักกิโล'!#REF!</definedName>
    <definedName name="ITEM6.10.4.1" localSheetId="23">'[29]42หลักกิโล'!#REF!</definedName>
    <definedName name="ITEM6.10.4.1" localSheetId="36">'[29]42หลักกิโล'!#REF!</definedName>
    <definedName name="ITEM6.10.4.1" localSheetId="22">'[29]42หลักกิโล'!#REF!</definedName>
    <definedName name="ITEM6.10.4.1" localSheetId="26">'[29]42หลักกิโล'!#REF!</definedName>
    <definedName name="ITEM6.10.4.1" localSheetId="30">'[29]42หลักกิโล'!#REF!</definedName>
    <definedName name="ITEM6.10.4.1" localSheetId="41">'[29]42หลักกิโล'!#REF!</definedName>
    <definedName name="ITEM6.10.4.1" localSheetId="50">'[29]42หลักกิโล'!#REF!</definedName>
    <definedName name="ITEM6.10.4.1" localSheetId="51">'[29]42หลักกิโล'!#REF!</definedName>
    <definedName name="ITEM6.10.4.1" localSheetId="42">'[29]42หลักกิโล'!#REF!</definedName>
    <definedName name="ITEM6.10.4.1" localSheetId="43">'[29]42หลักกิโล'!#REF!</definedName>
    <definedName name="ITEM6.10.4.1" localSheetId="44">'[29]42หลักกิโล'!#REF!</definedName>
    <definedName name="ITEM6.10.4.1" localSheetId="45">'[29]42หลักกิโล'!#REF!</definedName>
    <definedName name="ITEM6.10.4.1" localSheetId="46">'[29]42หลักกิโล'!#REF!</definedName>
    <definedName name="ITEM6.10.4.1" localSheetId="47">'[29]42หลักกิโล'!#REF!</definedName>
    <definedName name="ITEM6.10.4.1" localSheetId="48">'[29]42หลักกิโล'!#REF!</definedName>
    <definedName name="ITEM6.10.4.1" localSheetId="49">'[29]42หลักกิโล'!#REF!</definedName>
    <definedName name="ITEM6.10.4.1" localSheetId="52">'[29]42หลักกิโล'!#REF!</definedName>
    <definedName name="ITEM6.10.4.1" localSheetId="40">'[29]42หลักกิโล'!#REF!</definedName>
    <definedName name="ITEM6.10.4.1" localSheetId="39">'[29]42หลักกิโล'!#REF!</definedName>
    <definedName name="ITEM6.10.4.1" localSheetId="38">'[29]42หลักกิโล'!#REF!</definedName>
    <definedName name="ITEM6.10.4.1" localSheetId="37">'[29]42หลักกิโล'!#REF!</definedName>
    <definedName name="ITEM6.10.4.1" localSheetId="57">'[29]42หลักกิโล'!#REF!</definedName>
    <definedName name="ITEM6.10.4.1" localSheetId="66">'[29]42หลักกิโล'!#REF!</definedName>
    <definedName name="ITEM6.10.4.1" localSheetId="67">'[29]42หลักกิโล'!#REF!</definedName>
    <definedName name="ITEM6.10.4.1" localSheetId="58">'[29]42หลักกิโล'!#REF!</definedName>
    <definedName name="ITEM6.10.4.1" localSheetId="59">'[29]42หลักกิโล'!#REF!</definedName>
    <definedName name="ITEM6.10.4.1" localSheetId="60">'[29]42หลักกิโล'!#REF!</definedName>
    <definedName name="ITEM6.10.4.1" localSheetId="61">'[29]42หลักกิโล'!#REF!</definedName>
    <definedName name="ITEM6.10.4.1" localSheetId="62">'[29]42หลักกิโล'!#REF!</definedName>
    <definedName name="ITEM6.10.4.1" localSheetId="63">'[29]42หลักกิโล'!#REF!</definedName>
    <definedName name="ITEM6.10.4.1" localSheetId="64">'[29]42หลักกิโล'!#REF!</definedName>
    <definedName name="ITEM6.10.4.1" localSheetId="65">'[29]42หลักกิโล'!#REF!</definedName>
    <definedName name="ITEM6.10.4.1" localSheetId="68">'[29]42หลักกิโล'!#REF!</definedName>
    <definedName name="ITEM6.10.4.1" localSheetId="56">'[29]42หลักกิโล'!#REF!</definedName>
    <definedName name="ITEM6.10.4.1" localSheetId="55">'[29]42หลักกิโล'!#REF!</definedName>
    <definedName name="ITEM6.10.4.1" localSheetId="54">'[29]42หลักกิโล'!#REF!</definedName>
    <definedName name="ITEM6.10.4.1" localSheetId="53">'[29]42หลักกิโล'!#REF!</definedName>
    <definedName name="ITEM6.10.4.1" localSheetId="85">'[29]42หลักกิโล'!#REF!</definedName>
    <definedName name="ITEM6.10.4.1" localSheetId="86">'[29]42หลักกิโล'!#REF!</definedName>
    <definedName name="ITEM6.10.4.1" localSheetId="2">'[29]42หลักกิโล'!#REF!</definedName>
    <definedName name="ITEM6.10.4.1">'[29]42หลักกิโล'!#REF!</definedName>
    <definedName name="ITEM6.10.4.2" localSheetId="3">'[29]42หลักกิโล'!#REF!</definedName>
    <definedName name="ITEM6.10.4.2" localSheetId="4">'[29]42หลักกิโล'!#REF!</definedName>
    <definedName name="ITEM6.10.4.2" localSheetId="18">'[29]42หลักกิโล'!#REF!</definedName>
    <definedName name="ITEM6.10.4.2" localSheetId="19">'[29]42หลักกิโล'!#REF!</definedName>
    <definedName name="ITEM6.10.4.2" localSheetId="9">'[29]42หลักกิโล'!#REF!</definedName>
    <definedName name="ITEM6.10.4.2" localSheetId="10">'[29]42หลักกิโล'!#REF!</definedName>
    <definedName name="ITEM6.10.4.2" localSheetId="11">'[29]42หลักกิโล'!#REF!</definedName>
    <definedName name="ITEM6.10.4.2" localSheetId="12">'[29]42หลักกิโล'!#REF!</definedName>
    <definedName name="ITEM6.10.4.2" localSheetId="13">'[29]42หลักกิโล'!#REF!</definedName>
    <definedName name="ITEM6.10.4.2" localSheetId="14">'[29]42หลักกิโล'!#REF!</definedName>
    <definedName name="ITEM6.10.4.2" localSheetId="15">'[29]42หลักกิโล'!#REF!</definedName>
    <definedName name="ITEM6.10.4.2" localSheetId="16">'[29]42หลักกิโล'!#REF!</definedName>
    <definedName name="ITEM6.10.4.2" localSheetId="17">'[29]42หลักกิโล'!#REF!</definedName>
    <definedName name="ITEM6.10.4.2" localSheetId="8">'[29]42หลักกิโล'!#REF!</definedName>
    <definedName name="ITEM6.10.4.2" localSheetId="7">'[29]42หลักกิโล'!#REF!</definedName>
    <definedName name="ITEM6.10.4.2" localSheetId="6">'[29]42หลักกิโล'!#REF!</definedName>
    <definedName name="ITEM6.10.4.2" localSheetId="20">'[29]42หลักกิโล'!#REF!</definedName>
    <definedName name="ITEM6.10.4.2" localSheetId="5">'[29]42หลักกิโล'!#REF!</definedName>
    <definedName name="ITEM6.10.4.2" localSheetId="21">'[29]42หลักกิโล'!#REF!</definedName>
    <definedName name="ITEM6.10.4.2" localSheetId="34">'[29]42หลักกิโล'!#REF!</definedName>
    <definedName name="ITEM6.10.4.2" localSheetId="35">'[29]42หลักกิโล'!#REF!</definedName>
    <definedName name="ITEM6.10.4.2" localSheetId="25">'[29]42หลักกิโล'!#REF!</definedName>
    <definedName name="ITEM6.10.4.2" localSheetId="27">'[29]42หลักกิโล'!#REF!</definedName>
    <definedName name="ITEM6.10.4.2" localSheetId="28">'[29]42หลักกิโล'!#REF!</definedName>
    <definedName name="ITEM6.10.4.2" localSheetId="29">'[29]42หลักกิโล'!#REF!</definedName>
    <definedName name="ITEM6.10.4.2" localSheetId="31">'[29]42หลักกิโล'!#REF!</definedName>
    <definedName name="ITEM6.10.4.2" localSheetId="32">'[29]42หลักกิโล'!#REF!</definedName>
    <definedName name="ITEM6.10.4.2" localSheetId="33">'[29]42หลักกิโล'!#REF!</definedName>
    <definedName name="ITEM6.10.4.2" localSheetId="24">'[29]42หลักกิโล'!#REF!</definedName>
    <definedName name="ITEM6.10.4.2" localSheetId="23">'[29]42หลักกิโล'!#REF!</definedName>
    <definedName name="ITEM6.10.4.2" localSheetId="36">'[29]42หลักกิโล'!#REF!</definedName>
    <definedName name="ITEM6.10.4.2" localSheetId="22">'[29]42หลักกิโล'!#REF!</definedName>
    <definedName name="ITEM6.10.4.2" localSheetId="26">'[29]42หลักกิโล'!#REF!</definedName>
    <definedName name="ITEM6.10.4.2" localSheetId="30">'[29]42หลักกิโล'!#REF!</definedName>
    <definedName name="ITEM6.10.4.2" localSheetId="41">'[29]42หลักกิโล'!#REF!</definedName>
    <definedName name="ITEM6.10.4.2" localSheetId="50">'[29]42หลักกิโล'!#REF!</definedName>
    <definedName name="ITEM6.10.4.2" localSheetId="51">'[29]42หลักกิโล'!#REF!</definedName>
    <definedName name="ITEM6.10.4.2" localSheetId="42">'[29]42หลักกิโล'!#REF!</definedName>
    <definedName name="ITEM6.10.4.2" localSheetId="43">'[29]42หลักกิโล'!#REF!</definedName>
    <definedName name="ITEM6.10.4.2" localSheetId="44">'[29]42หลักกิโล'!#REF!</definedName>
    <definedName name="ITEM6.10.4.2" localSheetId="45">'[29]42หลักกิโล'!#REF!</definedName>
    <definedName name="ITEM6.10.4.2" localSheetId="46">'[29]42หลักกิโล'!#REF!</definedName>
    <definedName name="ITEM6.10.4.2" localSheetId="47">'[29]42หลักกิโล'!#REF!</definedName>
    <definedName name="ITEM6.10.4.2" localSheetId="48">'[29]42หลักกิโล'!#REF!</definedName>
    <definedName name="ITEM6.10.4.2" localSheetId="49">'[29]42หลักกิโล'!#REF!</definedName>
    <definedName name="ITEM6.10.4.2" localSheetId="52">'[29]42หลักกิโล'!#REF!</definedName>
    <definedName name="ITEM6.10.4.2" localSheetId="40">'[29]42หลักกิโล'!#REF!</definedName>
    <definedName name="ITEM6.10.4.2" localSheetId="39">'[29]42หลักกิโล'!#REF!</definedName>
    <definedName name="ITEM6.10.4.2" localSheetId="38">'[29]42หลักกิโล'!#REF!</definedName>
    <definedName name="ITEM6.10.4.2" localSheetId="37">'[29]42หลักกิโล'!#REF!</definedName>
    <definedName name="ITEM6.10.4.2" localSheetId="57">'[29]42หลักกิโล'!#REF!</definedName>
    <definedName name="ITEM6.10.4.2" localSheetId="66">'[29]42หลักกิโล'!#REF!</definedName>
    <definedName name="ITEM6.10.4.2" localSheetId="67">'[29]42หลักกิโล'!#REF!</definedName>
    <definedName name="ITEM6.10.4.2" localSheetId="58">'[29]42หลักกิโล'!#REF!</definedName>
    <definedName name="ITEM6.10.4.2" localSheetId="59">'[29]42หลักกิโล'!#REF!</definedName>
    <definedName name="ITEM6.10.4.2" localSheetId="60">'[29]42หลักกิโล'!#REF!</definedName>
    <definedName name="ITEM6.10.4.2" localSheetId="61">'[29]42หลักกิโล'!#REF!</definedName>
    <definedName name="ITEM6.10.4.2" localSheetId="62">'[29]42หลักกิโล'!#REF!</definedName>
    <definedName name="ITEM6.10.4.2" localSheetId="63">'[29]42หลักกิโล'!#REF!</definedName>
    <definedName name="ITEM6.10.4.2" localSheetId="64">'[29]42หลักกิโล'!#REF!</definedName>
    <definedName name="ITEM6.10.4.2" localSheetId="65">'[29]42หลักกิโล'!#REF!</definedName>
    <definedName name="ITEM6.10.4.2" localSheetId="68">'[29]42หลักกิโล'!#REF!</definedName>
    <definedName name="ITEM6.10.4.2" localSheetId="56">'[29]42หลักกิโล'!#REF!</definedName>
    <definedName name="ITEM6.10.4.2" localSheetId="55">'[29]42หลักกิโล'!#REF!</definedName>
    <definedName name="ITEM6.10.4.2" localSheetId="54">'[29]42หลักกิโล'!#REF!</definedName>
    <definedName name="ITEM6.10.4.2" localSheetId="53">'[29]42หลักกิโล'!#REF!</definedName>
    <definedName name="ITEM6.10.4.2" localSheetId="85">'[29]42หลักกิโล'!#REF!</definedName>
    <definedName name="ITEM6.10.4.2" localSheetId="86">'[29]42หลักกิโล'!#REF!</definedName>
    <definedName name="ITEM6.10.4.2" localSheetId="2">'[29]42หลักกิโล'!#REF!</definedName>
    <definedName name="ITEM6.10.4.2">'[29]42หลักกิโล'!#REF!</definedName>
    <definedName name="ITEM6.11.2.2" localSheetId="3">#REF!</definedName>
    <definedName name="ITEM6.11.2.2" localSheetId="4">#REF!</definedName>
    <definedName name="ITEM6.11.2.2" localSheetId="18">#REF!</definedName>
    <definedName name="ITEM6.11.2.2" localSheetId="19">#REF!</definedName>
    <definedName name="ITEM6.11.2.2" localSheetId="9">#REF!</definedName>
    <definedName name="ITEM6.11.2.2" localSheetId="10">#REF!</definedName>
    <definedName name="ITEM6.11.2.2" localSheetId="11">#REF!</definedName>
    <definedName name="ITEM6.11.2.2" localSheetId="12">#REF!</definedName>
    <definedName name="ITEM6.11.2.2" localSheetId="13">#REF!</definedName>
    <definedName name="ITEM6.11.2.2" localSheetId="14">#REF!</definedName>
    <definedName name="ITEM6.11.2.2" localSheetId="15">#REF!</definedName>
    <definedName name="ITEM6.11.2.2" localSheetId="16">#REF!</definedName>
    <definedName name="ITEM6.11.2.2" localSheetId="17">#REF!</definedName>
    <definedName name="ITEM6.11.2.2" localSheetId="8">#REF!</definedName>
    <definedName name="ITEM6.11.2.2" localSheetId="7">#REF!</definedName>
    <definedName name="ITEM6.11.2.2" localSheetId="6">#REF!</definedName>
    <definedName name="ITEM6.11.2.2" localSheetId="20">#REF!</definedName>
    <definedName name="ITEM6.11.2.2" localSheetId="5">#REF!</definedName>
    <definedName name="ITEM6.11.2.2" localSheetId="21">#REF!</definedName>
    <definedName name="ITEM6.11.2.2" localSheetId="34">#REF!</definedName>
    <definedName name="ITEM6.11.2.2" localSheetId="35">#REF!</definedName>
    <definedName name="ITEM6.11.2.2" localSheetId="25">#REF!</definedName>
    <definedName name="ITEM6.11.2.2" localSheetId="27">#REF!</definedName>
    <definedName name="ITEM6.11.2.2" localSheetId="28">#REF!</definedName>
    <definedName name="ITEM6.11.2.2" localSheetId="29">#REF!</definedName>
    <definedName name="ITEM6.11.2.2" localSheetId="31">#REF!</definedName>
    <definedName name="ITEM6.11.2.2" localSheetId="32">#REF!</definedName>
    <definedName name="ITEM6.11.2.2" localSheetId="33">#REF!</definedName>
    <definedName name="ITEM6.11.2.2" localSheetId="24">#REF!</definedName>
    <definedName name="ITEM6.11.2.2" localSheetId="23">#REF!</definedName>
    <definedName name="ITEM6.11.2.2" localSheetId="36">#REF!</definedName>
    <definedName name="ITEM6.11.2.2" localSheetId="22">#REF!</definedName>
    <definedName name="ITEM6.11.2.2" localSheetId="26">#REF!</definedName>
    <definedName name="ITEM6.11.2.2" localSheetId="30">#REF!</definedName>
    <definedName name="ITEM6.11.2.2" localSheetId="41">#REF!</definedName>
    <definedName name="ITEM6.11.2.2" localSheetId="50">#REF!</definedName>
    <definedName name="ITEM6.11.2.2" localSheetId="51">#REF!</definedName>
    <definedName name="ITEM6.11.2.2" localSheetId="42">#REF!</definedName>
    <definedName name="ITEM6.11.2.2" localSheetId="43">#REF!</definedName>
    <definedName name="ITEM6.11.2.2" localSheetId="44">#REF!</definedName>
    <definedName name="ITEM6.11.2.2" localSheetId="45">#REF!</definedName>
    <definedName name="ITEM6.11.2.2" localSheetId="46">#REF!</definedName>
    <definedName name="ITEM6.11.2.2" localSheetId="47">#REF!</definedName>
    <definedName name="ITEM6.11.2.2" localSheetId="48">#REF!</definedName>
    <definedName name="ITEM6.11.2.2" localSheetId="49">#REF!</definedName>
    <definedName name="ITEM6.11.2.2" localSheetId="52">#REF!</definedName>
    <definedName name="ITEM6.11.2.2" localSheetId="40">#REF!</definedName>
    <definedName name="ITEM6.11.2.2" localSheetId="39">#REF!</definedName>
    <definedName name="ITEM6.11.2.2" localSheetId="38">#REF!</definedName>
    <definedName name="ITEM6.11.2.2" localSheetId="37">#REF!</definedName>
    <definedName name="ITEM6.11.2.2" localSheetId="57">#REF!</definedName>
    <definedName name="ITEM6.11.2.2" localSheetId="66">#REF!</definedName>
    <definedName name="ITEM6.11.2.2" localSheetId="67">#REF!</definedName>
    <definedName name="ITEM6.11.2.2" localSheetId="58">#REF!</definedName>
    <definedName name="ITEM6.11.2.2" localSheetId="59">#REF!</definedName>
    <definedName name="ITEM6.11.2.2" localSheetId="60">#REF!</definedName>
    <definedName name="ITEM6.11.2.2" localSheetId="61">#REF!</definedName>
    <definedName name="ITEM6.11.2.2" localSheetId="62">#REF!</definedName>
    <definedName name="ITEM6.11.2.2" localSheetId="63">#REF!</definedName>
    <definedName name="ITEM6.11.2.2" localSheetId="64">#REF!</definedName>
    <definedName name="ITEM6.11.2.2" localSheetId="65">#REF!</definedName>
    <definedName name="ITEM6.11.2.2" localSheetId="68">#REF!</definedName>
    <definedName name="ITEM6.11.2.2" localSheetId="56">#REF!</definedName>
    <definedName name="ITEM6.11.2.2" localSheetId="55">#REF!</definedName>
    <definedName name="ITEM6.11.2.2" localSheetId="54">#REF!</definedName>
    <definedName name="ITEM6.11.2.2" localSheetId="53">#REF!</definedName>
    <definedName name="ITEM6.11.2.2" localSheetId="85">#REF!</definedName>
    <definedName name="ITEM6.11.2.2" localSheetId="86">#REF!</definedName>
    <definedName name="ITEM6.11.2.2" localSheetId="2">#REF!</definedName>
    <definedName name="ITEM6.11.2.2">#REF!</definedName>
    <definedName name="ITEM6.11.3.1" localSheetId="3">#REF!</definedName>
    <definedName name="ITEM6.11.3.1" localSheetId="4">#REF!</definedName>
    <definedName name="ITEM6.11.3.1" localSheetId="18">#REF!</definedName>
    <definedName name="ITEM6.11.3.1" localSheetId="19">#REF!</definedName>
    <definedName name="ITEM6.11.3.1" localSheetId="9">#REF!</definedName>
    <definedName name="ITEM6.11.3.1" localSheetId="10">#REF!</definedName>
    <definedName name="ITEM6.11.3.1" localSheetId="11">#REF!</definedName>
    <definedName name="ITEM6.11.3.1" localSheetId="12">#REF!</definedName>
    <definedName name="ITEM6.11.3.1" localSheetId="13">#REF!</definedName>
    <definedName name="ITEM6.11.3.1" localSheetId="14">#REF!</definedName>
    <definedName name="ITEM6.11.3.1" localSheetId="15">#REF!</definedName>
    <definedName name="ITEM6.11.3.1" localSheetId="16">#REF!</definedName>
    <definedName name="ITEM6.11.3.1" localSheetId="17">#REF!</definedName>
    <definedName name="ITEM6.11.3.1" localSheetId="8">#REF!</definedName>
    <definedName name="ITEM6.11.3.1" localSheetId="7">#REF!</definedName>
    <definedName name="ITEM6.11.3.1" localSheetId="6">#REF!</definedName>
    <definedName name="ITEM6.11.3.1" localSheetId="20">#REF!</definedName>
    <definedName name="ITEM6.11.3.1" localSheetId="5">#REF!</definedName>
    <definedName name="ITEM6.11.3.1" localSheetId="21">#REF!</definedName>
    <definedName name="ITEM6.11.3.1" localSheetId="34">#REF!</definedName>
    <definedName name="ITEM6.11.3.1" localSheetId="35">#REF!</definedName>
    <definedName name="ITEM6.11.3.1" localSheetId="25">#REF!</definedName>
    <definedName name="ITEM6.11.3.1" localSheetId="27">#REF!</definedName>
    <definedName name="ITEM6.11.3.1" localSheetId="28">#REF!</definedName>
    <definedName name="ITEM6.11.3.1" localSheetId="29">#REF!</definedName>
    <definedName name="ITEM6.11.3.1" localSheetId="31">#REF!</definedName>
    <definedName name="ITEM6.11.3.1" localSheetId="32">#REF!</definedName>
    <definedName name="ITEM6.11.3.1" localSheetId="33">#REF!</definedName>
    <definedName name="ITEM6.11.3.1" localSheetId="24">#REF!</definedName>
    <definedName name="ITEM6.11.3.1" localSheetId="23">#REF!</definedName>
    <definedName name="ITEM6.11.3.1" localSheetId="36">#REF!</definedName>
    <definedName name="ITEM6.11.3.1" localSheetId="22">#REF!</definedName>
    <definedName name="ITEM6.11.3.1" localSheetId="26">#REF!</definedName>
    <definedName name="ITEM6.11.3.1" localSheetId="30">#REF!</definedName>
    <definedName name="ITEM6.11.3.1" localSheetId="85">#REF!</definedName>
    <definedName name="ITEM6.11.3.1" localSheetId="86">#REF!</definedName>
    <definedName name="ITEM6.11.3.1" localSheetId="2">#REF!</definedName>
    <definedName name="ITEM6.11.3.1">#REF!</definedName>
    <definedName name="ITEM6.11.3.2" localSheetId="3">#REF!</definedName>
    <definedName name="ITEM6.11.3.2" localSheetId="4">#REF!</definedName>
    <definedName name="ITEM6.11.3.2" localSheetId="18">#REF!</definedName>
    <definedName name="ITEM6.11.3.2" localSheetId="19">#REF!</definedName>
    <definedName name="ITEM6.11.3.2" localSheetId="9">#REF!</definedName>
    <definedName name="ITEM6.11.3.2" localSheetId="10">#REF!</definedName>
    <definedName name="ITEM6.11.3.2" localSheetId="11">#REF!</definedName>
    <definedName name="ITEM6.11.3.2" localSheetId="12">#REF!</definedName>
    <definedName name="ITEM6.11.3.2" localSheetId="13">#REF!</definedName>
    <definedName name="ITEM6.11.3.2" localSheetId="14">#REF!</definedName>
    <definedName name="ITEM6.11.3.2" localSheetId="15">#REF!</definedName>
    <definedName name="ITEM6.11.3.2" localSheetId="16">#REF!</definedName>
    <definedName name="ITEM6.11.3.2" localSheetId="17">#REF!</definedName>
    <definedName name="ITEM6.11.3.2" localSheetId="8">#REF!</definedName>
    <definedName name="ITEM6.11.3.2" localSheetId="7">#REF!</definedName>
    <definedName name="ITEM6.11.3.2" localSheetId="6">#REF!</definedName>
    <definedName name="ITEM6.11.3.2" localSheetId="20">#REF!</definedName>
    <definedName name="ITEM6.11.3.2" localSheetId="5">#REF!</definedName>
    <definedName name="ITEM6.11.3.2" localSheetId="21">#REF!</definedName>
    <definedName name="ITEM6.11.3.2" localSheetId="34">#REF!</definedName>
    <definedName name="ITEM6.11.3.2" localSheetId="35">#REF!</definedName>
    <definedName name="ITEM6.11.3.2" localSheetId="25">#REF!</definedName>
    <definedName name="ITEM6.11.3.2" localSheetId="27">#REF!</definedName>
    <definedName name="ITEM6.11.3.2" localSheetId="28">#REF!</definedName>
    <definedName name="ITEM6.11.3.2" localSheetId="29">#REF!</definedName>
    <definedName name="ITEM6.11.3.2" localSheetId="31">#REF!</definedName>
    <definedName name="ITEM6.11.3.2" localSheetId="32">#REF!</definedName>
    <definedName name="ITEM6.11.3.2" localSheetId="33">#REF!</definedName>
    <definedName name="ITEM6.11.3.2" localSheetId="24">#REF!</definedName>
    <definedName name="ITEM6.11.3.2" localSheetId="23">#REF!</definedName>
    <definedName name="ITEM6.11.3.2" localSheetId="36">#REF!</definedName>
    <definedName name="ITEM6.11.3.2" localSheetId="22">#REF!</definedName>
    <definedName name="ITEM6.11.3.2" localSheetId="26">#REF!</definedName>
    <definedName name="ITEM6.11.3.2" localSheetId="30">#REF!</definedName>
    <definedName name="ITEM6.11.3.2" localSheetId="85">#REF!</definedName>
    <definedName name="ITEM6.11.3.2" localSheetId="86">#REF!</definedName>
    <definedName name="ITEM6.11.3.2" localSheetId="2">#REF!</definedName>
    <definedName name="ITEM6.11.3.2">#REF!</definedName>
    <definedName name="ITEM6.11.4.1" localSheetId="3">#REF!</definedName>
    <definedName name="ITEM6.11.4.1" localSheetId="2">#REF!</definedName>
    <definedName name="ITEM6.11.4.1">#REF!</definedName>
    <definedName name="ITEM6.11.4.1.2" localSheetId="3">#REF!</definedName>
    <definedName name="ITEM6.11.4.1.2" localSheetId="2">#REF!</definedName>
    <definedName name="ITEM6.11.4.1.2">#REF!</definedName>
    <definedName name="ITEM6.11.5.1" localSheetId="3">#REF!</definedName>
    <definedName name="ITEM6.11.5.1" localSheetId="2">#REF!</definedName>
    <definedName name="ITEM6.11.5.1">#REF!</definedName>
    <definedName name="ITEM6.12.10.1" localSheetId="3">#REF!</definedName>
    <definedName name="ITEM6.12.10.1" localSheetId="2">#REF!</definedName>
    <definedName name="ITEM6.12.10.1">#REF!</definedName>
    <definedName name="ITEM6.13.2.1" localSheetId="3">#REF!</definedName>
    <definedName name="ITEM6.13.2.1" localSheetId="2">#REF!</definedName>
    <definedName name="ITEM6.13.2.1">#REF!</definedName>
    <definedName name="ITEM6.15.4.2" localSheetId="3">#REF!</definedName>
    <definedName name="ITEM6.15.4.2" localSheetId="2">#REF!</definedName>
    <definedName name="ITEM6.15.4.2">#REF!</definedName>
    <definedName name="ITEM6.15.7" localSheetId="3">#REF!</definedName>
    <definedName name="ITEM6.15.7" localSheetId="2">#REF!</definedName>
    <definedName name="ITEM6.15.7">#REF!</definedName>
    <definedName name="ITEM6.16" localSheetId="3">#REF!</definedName>
    <definedName name="ITEM6.16" localSheetId="2">#REF!</definedName>
    <definedName name="ITEM6.16">#REF!</definedName>
    <definedName name="ITEM6.17.1" localSheetId="3">#REF!</definedName>
    <definedName name="ITEM6.17.1" localSheetId="2">#REF!</definedName>
    <definedName name="ITEM6.17.1">#REF!</definedName>
    <definedName name="ITEM6.17.2" localSheetId="3">#REF!</definedName>
    <definedName name="ITEM6.17.2" localSheetId="2">#REF!</definedName>
    <definedName name="ITEM6.17.2">#REF!</definedName>
    <definedName name="ITEM6.17.3" localSheetId="3">#REF!</definedName>
    <definedName name="ITEM6.17.3" localSheetId="2">#REF!</definedName>
    <definedName name="ITEM6.17.3">#REF!</definedName>
    <definedName name="ITEM6.17.4" localSheetId="3">#REF!</definedName>
    <definedName name="ITEM6.17.4" localSheetId="2">#REF!</definedName>
    <definedName name="ITEM6.17.4">#REF!</definedName>
    <definedName name="ITEM6.17.5" localSheetId="3">#REF!</definedName>
    <definedName name="ITEM6.17.5" localSheetId="2">#REF!</definedName>
    <definedName name="ITEM6.17.5">#REF!</definedName>
    <definedName name="ITEM6.17.6" localSheetId="3">#REF!</definedName>
    <definedName name="ITEM6.17.6" localSheetId="2">#REF!</definedName>
    <definedName name="ITEM6.17.6">#REF!</definedName>
    <definedName name="ITEM6.18.4.1" localSheetId="3">#REF!</definedName>
    <definedName name="ITEM6.18.4.1" localSheetId="2">#REF!</definedName>
    <definedName name="ITEM6.18.4.1">#REF!</definedName>
    <definedName name="ITEM6.2.1" localSheetId="3">#REF!</definedName>
    <definedName name="ITEM6.2.1" localSheetId="2">#REF!</definedName>
    <definedName name="ITEM6.2.1">#REF!</definedName>
    <definedName name="ITEM6.2.2" localSheetId="3">#REF!</definedName>
    <definedName name="ITEM6.2.2" localSheetId="2">#REF!</definedName>
    <definedName name="ITEM6.2.2">#REF!</definedName>
    <definedName name="ITEM6.21" localSheetId="3">'[29]52ป้ายชั่วคราว+ด่าน'!#REF!</definedName>
    <definedName name="ITEM6.21" localSheetId="4">'[29]52ป้ายชั่วคราว+ด่าน'!#REF!</definedName>
    <definedName name="ITEM6.21" localSheetId="18">'[29]52ป้ายชั่วคราว+ด่าน'!#REF!</definedName>
    <definedName name="ITEM6.21" localSheetId="19">'[29]52ป้ายชั่วคราว+ด่าน'!#REF!</definedName>
    <definedName name="ITEM6.21" localSheetId="9">'[29]52ป้ายชั่วคราว+ด่าน'!#REF!</definedName>
    <definedName name="ITEM6.21" localSheetId="10">'[29]52ป้ายชั่วคราว+ด่าน'!#REF!</definedName>
    <definedName name="ITEM6.21" localSheetId="11">'[29]52ป้ายชั่วคราว+ด่าน'!#REF!</definedName>
    <definedName name="ITEM6.21" localSheetId="12">'[29]52ป้ายชั่วคราว+ด่าน'!#REF!</definedName>
    <definedName name="ITEM6.21" localSheetId="13">'[29]52ป้ายชั่วคราว+ด่าน'!#REF!</definedName>
    <definedName name="ITEM6.21" localSheetId="14">'[29]52ป้ายชั่วคราว+ด่าน'!#REF!</definedName>
    <definedName name="ITEM6.21" localSheetId="15">'[29]52ป้ายชั่วคราว+ด่าน'!#REF!</definedName>
    <definedName name="ITEM6.21" localSheetId="16">'[29]52ป้ายชั่วคราว+ด่าน'!#REF!</definedName>
    <definedName name="ITEM6.21" localSheetId="17">'[29]52ป้ายชั่วคราว+ด่าน'!#REF!</definedName>
    <definedName name="ITEM6.21" localSheetId="8">'[29]52ป้ายชั่วคราว+ด่าน'!#REF!</definedName>
    <definedName name="ITEM6.21" localSheetId="7">'[29]52ป้ายชั่วคราว+ด่าน'!#REF!</definedName>
    <definedName name="ITEM6.21" localSheetId="6">'[29]52ป้ายชั่วคราว+ด่าน'!#REF!</definedName>
    <definedName name="ITEM6.21" localSheetId="20">'[29]52ป้ายชั่วคราว+ด่าน'!#REF!</definedName>
    <definedName name="ITEM6.21" localSheetId="5">'[29]52ป้ายชั่วคราว+ด่าน'!#REF!</definedName>
    <definedName name="ITEM6.21" localSheetId="21">'[29]52ป้ายชั่วคราว+ด่าน'!#REF!</definedName>
    <definedName name="ITEM6.21" localSheetId="34">'[29]52ป้ายชั่วคราว+ด่าน'!#REF!</definedName>
    <definedName name="ITEM6.21" localSheetId="35">'[29]52ป้ายชั่วคราว+ด่าน'!#REF!</definedName>
    <definedName name="ITEM6.21" localSheetId="25">'[29]52ป้ายชั่วคราว+ด่าน'!#REF!</definedName>
    <definedName name="ITEM6.21" localSheetId="27">'[29]52ป้ายชั่วคราว+ด่าน'!#REF!</definedName>
    <definedName name="ITEM6.21" localSheetId="28">'[29]52ป้ายชั่วคราว+ด่าน'!#REF!</definedName>
    <definedName name="ITEM6.21" localSheetId="29">'[29]52ป้ายชั่วคราว+ด่าน'!#REF!</definedName>
    <definedName name="ITEM6.21" localSheetId="31">'[29]52ป้ายชั่วคราว+ด่าน'!#REF!</definedName>
    <definedName name="ITEM6.21" localSheetId="32">'[29]52ป้ายชั่วคราว+ด่าน'!#REF!</definedName>
    <definedName name="ITEM6.21" localSheetId="33">'[29]52ป้ายชั่วคราว+ด่าน'!#REF!</definedName>
    <definedName name="ITEM6.21" localSheetId="24">'[29]52ป้ายชั่วคราว+ด่าน'!#REF!</definedName>
    <definedName name="ITEM6.21" localSheetId="23">'[29]52ป้ายชั่วคราว+ด่าน'!#REF!</definedName>
    <definedName name="ITEM6.21" localSheetId="36">'[29]52ป้ายชั่วคราว+ด่าน'!#REF!</definedName>
    <definedName name="ITEM6.21" localSheetId="22">'[29]52ป้ายชั่วคราว+ด่าน'!#REF!</definedName>
    <definedName name="ITEM6.21" localSheetId="26">'[29]52ป้ายชั่วคราว+ด่าน'!#REF!</definedName>
    <definedName name="ITEM6.21" localSheetId="30">'[29]52ป้ายชั่วคราว+ด่าน'!#REF!</definedName>
    <definedName name="ITEM6.21" localSheetId="41">'[29]52ป้ายชั่วคราว+ด่าน'!#REF!</definedName>
    <definedName name="ITEM6.21" localSheetId="50">'[29]52ป้ายชั่วคราว+ด่าน'!#REF!</definedName>
    <definedName name="ITEM6.21" localSheetId="51">'[29]52ป้ายชั่วคราว+ด่าน'!#REF!</definedName>
    <definedName name="ITEM6.21" localSheetId="42">'[29]52ป้ายชั่วคราว+ด่าน'!#REF!</definedName>
    <definedName name="ITEM6.21" localSheetId="43">'[29]52ป้ายชั่วคราว+ด่าน'!#REF!</definedName>
    <definedName name="ITEM6.21" localSheetId="44">'[29]52ป้ายชั่วคราว+ด่าน'!#REF!</definedName>
    <definedName name="ITEM6.21" localSheetId="45">'[29]52ป้ายชั่วคราว+ด่าน'!#REF!</definedName>
    <definedName name="ITEM6.21" localSheetId="46">'[29]52ป้ายชั่วคราว+ด่าน'!#REF!</definedName>
    <definedName name="ITEM6.21" localSheetId="47">'[29]52ป้ายชั่วคราว+ด่าน'!#REF!</definedName>
    <definedName name="ITEM6.21" localSheetId="48">'[29]52ป้ายชั่วคราว+ด่าน'!#REF!</definedName>
    <definedName name="ITEM6.21" localSheetId="49">'[29]52ป้ายชั่วคราว+ด่าน'!#REF!</definedName>
    <definedName name="ITEM6.21" localSheetId="52">'[29]52ป้ายชั่วคราว+ด่าน'!#REF!</definedName>
    <definedName name="ITEM6.21" localSheetId="40">'[29]52ป้ายชั่วคราว+ด่าน'!#REF!</definedName>
    <definedName name="ITEM6.21" localSheetId="39">'[29]52ป้ายชั่วคราว+ด่าน'!#REF!</definedName>
    <definedName name="ITEM6.21" localSheetId="38">'[29]52ป้ายชั่วคราว+ด่าน'!#REF!</definedName>
    <definedName name="ITEM6.21" localSheetId="37">'[29]52ป้ายชั่วคราว+ด่าน'!#REF!</definedName>
    <definedName name="ITEM6.21" localSheetId="57">'[29]52ป้ายชั่วคราว+ด่าน'!#REF!</definedName>
    <definedName name="ITEM6.21" localSheetId="66">'[29]52ป้ายชั่วคราว+ด่าน'!#REF!</definedName>
    <definedName name="ITEM6.21" localSheetId="67">'[29]52ป้ายชั่วคราว+ด่าน'!#REF!</definedName>
    <definedName name="ITEM6.21" localSheetId="58">'[29]52ป้ายชั่วคราว+ด่าน'!#REF!</definedName>
    <definedName name="ITEM6.21" localSheetId="59">'[29]52ป้ายชั่วคราว+ด่าน'!#REF!</definedName>
    <definedName name="ITEM6.21" localSheetId="60">'[29]52ป้ายชั่วคราว+ด่าน'!#REF!</definedName>
    <definedName name="ITEM6.21" localSheetId="61">'[29]52ป้ายชั่วคราว+ด่าน'!#REF!</definedName>
    <definedName name="ITEM6.21" localSheetId="62">'[29]52ป้ายชั่วคราว+ด่าน'!#REF!</definedName>
    <definedName name="ITEM6.21" localSheetId="63">'[29]52ป้ายชั่วคราว+ด่าน'!#REF!</definedName>
    <definedName name="ITEM6.21" localSheetId="64">'[29]52ป้ายชั่วคราว+ด่าน'!#REF!</definedName>
    <definedName name="ITEM6.21" localSheetId="65">'[29]52ป้ายชั่วคราว+ด่าน'!#REF!</definedName>
    <definedName name="ITEM6.21" localSheetId="68">'[29]52ป้ายชั่วคราว+ด่าน'!#REF!</definedName>
    <definedName name="ITEM6.21" localSheetId="56">'[29]52ป้ายชั่วคราว+ด่าน'!#REF!</definedName>
    <definedName name="ITEM6.21" localSheetId="55">'[29]52ป้ายชั่วคราว+ด่าน'!#REF!</definedName>
    <definedName name="ITEM6.21" localSheetId="54">'[29]52ป้ายชั่วคราว+ด่าน'!#REF!</definedName>
    <definedName name="ITEM6.21" localSheetId="53">'[29]52ป้ายชั่วคราว+ด่าน'!#REF!</definedName>
    <definedName name="ITEM6.21" localSheetId="85">'[29]52ป้ายชั่วคราว+ด่าน'!#REF!</definedName>
    <definedName name="ITEM6.21" localSheetId="86">'[29]52ป้ายชั่วคราว+ด่าน'!#REF!</definedName>
    <definedName name="ITEM6.21" localSheetId="2">'[29]52ป้ายชั่วคราว+ด่าน'!#REF!</definedName>
    <definedName name="ITEM6.21">'[29]52ป้ายชั่วคราว+ด่าน'!#REF!</definedName>
    <definedName name="ITEM6.22" localSheetId="3">'[29]52ป้ายชั่วคราว+ด่าน'!#REF!</definedName>
    <definedName name="ITEM6.22" localSheetId="4">'[29]52ป้ายชั่วคราว+ด่าน'!#REF!</definedName>
    <definedName name="ITEM6.22" localSheetId="18">'[29]52ป้ายชั่วคราว+ด่าน'!#REF!</definedName>
    <definedName name="ITEM6.22" localSheetId="19">'[29]52ป้ายชั่วคราว+ด่าน'!#REF!</definedName>
    <definedName name="ITEM6.22" localSheetId="9">'[29]52ป้ายชั่วคราว+ด่าน'!#REF!</definedName>
    <definedName name="ITEM6.22" localSheetId="10">'[29]52ป้ายชั่วคราว+ด่าน'!#REF!</definedName>
    <definedName name="ITEM6.22" localSheetId="11">'[29]52ป้ายชั่วคราว+ด่าน'!#REF!</definedName>
    <definedName name="ITEM6.22" localSheetId="12">'[29]52ป้ายชั่วคราว+ด่าน'!#REF!</definedName>
    <definedName name="ITEM6.22" localSheetId="13">'[29]52ป้ายชั่วคราว+ด่าน'!#REF!</definedName>
    <definedName name="ITEM6.22" localSheetId="14">'[29]52ป้ายชั่วคราว+ด่าน'!#REF!</definedName>
    <definedName name="ITEM6.22" localSheetId="15">'[29]52ป้ายชั่วคราว+ด่าน'!#REF!</definedName>
    <definedName name="ITEM6.22" localSheetId="16">'[29]52ป้ายชั่วคราว+ด่าน'!#REF!</definedName>
    <definedName name="ITEM6.22" localSheetId="17">'[29]52ป้ายชั่วคราว+ด่าน'!#REF!</definedName>
    <definedName name="ITEM6.22" localSheetId="8">'[29]52ป้ายชั่วคราว+ด่าน'!#REF!</definedName>
    <definedName name="ITEM6.22" localSheetId="7">'[29]52ป้ายชั่วคราว+ด่าน'!#REF!</definedName>
    <definedName name="ITEM6.22" localSheetId="6">'[29]52ป้ายชั่วคราว+ด่าน'!#REF!</definedName>
    <definedName name="ITEM6.22" localSheetId="20">'[29]52ป้ายชั่วคราว+ด่าน'!#REF!</definedName>
    <definedName name="ITEM6.22" localSheetId="5">'[29]52ป้ายชั่วคราว+ด่าน'!#REF!</definedName>
    <definedName name="ITEM6.22" localSheetId="21">'[29]52ป้ายชั่วคราว+ด่าน'!#REF!</definedName>
    <definedName name="ITEM6.22" localSheetId="34">'[29]52ป้ายชั่วคราว+ด่าน'!#REF!</definedName>
    <definedName name="ITEM6.22" localSheetId="35">'[29]52ป้ายชั่วคราว+ด่าน'!#REF!</definedName>
    <definedName name="ITEM6.22" localSheetId="25">'[29]52ป้ายชั่วคราว+ด่าน'!#REF!</definedName>
    <definedName name="ITEM6.22" localSheetId="27">'[29]52ป้ายชั่วคราว+ด่าน'!#REF!</definedName>
    <definedName name="ITEM6.22" localSheetId="28">'[29]52ป้ายชั่วคราว+ด่าน'!#REF!</definedName>
    <definedName name="ITEM6.22" localSheetId="29">'[29]52ป้ายชั่วคราว+ด่าน'!#REF!</definedName>
    <definedName name="ITEM6.22" localSheetId="31">'[29]52ป้ายชั่วคราว+ด่าน'!#REF!</definedName>
    <definedName name="ITEM6.22" localSheetId="32">'[29]52ป้ายชั่วคราว+ด่าน'!#REF!</definedName>
    <definedName name="ITEM6.22" localSheetId="33">'[29]52ป้ายชั่วคราว+ด่าน'!#REF!</definedName>
    <definedName name="ITEM6.22" localSheetId="24">'[29]52ป้ายชั่วคราว+ด่าน'!#REF!</definedName>
    <definedName name="ITEM6.22" localSheetId="23">'[29]52ป้ายชั่วคราว+ด่าน'!#REF!</definedName>
    <definedName name="ITEM6.22" localSheetId="36">'[29]52ป้ายชั่วคราว+ด่าน'!#REF!</definedName>
    <definedName name="ITEM6.22" localSheetId="22">'[29]52ป้ายชั่วคราว+ด่าน'!#REF!</definedName>
    <definedName name="ITEM6.22" localSheetId="26">'[29]52ป้ายชั่วคราว+ด่าน'!#REF!</definedName>
    <definedName name="ITEM6.22" localSheetId="30">'[29]52ป้ายชั่วคราว+ด่าน'!#REF!</definedName>
    <definedName name="ITEM6.22" localSheetId="41">'[29]52ป้ายชั่วคราว+ด่าน'!#REF!</definedName>
    <definedName name="ITEM6.22" localSheetId="50">'[29]52ป้ายชั่วคราว+ด่าน'!#REF!</definedName>
    <definedName name="ITEM6.22" localSheetId="51">'[29]52ป้ายชั่วคราว+ด่าน'!#REF!</definedName>
    <definedName name="ITEM6.22" localSheetId="42">'[29]52ป้ายชั่วคราว+ด่าน'!#REF!</definedName>
    <definedName name="ITEM6.22" localSheetId="43">'[29]52ป้ายชั่วคราว+ด่าน'!#REF!</definedName>
    <definedName name="ITEM6.22" localSheetId="44">'[29]52ป้ายชั่วคราว+ด่าน'!#REF!</definedName>
    <definedName name="ITEM6.22" localSheetId="45">'[29]52ป้ายชั่วคราว+ด่าน'!#REF!</definedName>
    <definedName name="ITEM6.22" localSheetId="46">'[29]52ป้ายชั่วคราว+ด่าน'!#REF!</definedName>
    <definedName name="ITEM6.22" localSheetId="47">'[29]52ป้ายชั่วคราว+ด่าน'!#REF!</definedName>
    <definedName name="ITEM6.22" localSheetId="48">'[29]52ป้ายชั่วคราว+ด่าน'!#REF!</definedName>
    <definedName name="ITEM6.22" localSheetId="49">'[29]52ป้ายชั่วคราว+ด่าน'!#REF!</definedName>
    <definedName name="ITEM6.22" localSheetId="52">'[29]52ป้ายชั่วคราว+ด่าน'!#REF!</definedName>
    <definedName name="ITEM6.22" localSheetId="40">'[29]52ป้ายชั่วคราว+ด่าน'!#REF!</definedName>
    <definedName name="ITEM6.22" localSheetId="39">'[29]52ป้ายชั่วคราว+ด่าน'!#REF!</definedName>
    <definedName name="ITEM6.22" localSheetId="38">'[29]52ป้ายชั่วคราว+ด่าน'!#REF!</definedName>
    <definedName name="ITEM6.22" localSheetId="37">'[29]52ป้ายชั่วคราว+ด่าน'!#REF!</definedName>
    <definedName name="ITEM6.22" localSheetId="57">'[29]52ป้ายชั่วคราว+ด่าน'!#REF!</definedName>
    <definedName name="ITEM6.22" localSheetId="66">'[29]52ป้ายชั่วคราว+ด่าน'!#REF!</definedName>
    <definedName name="ITEM6.22" localSheetId="67">'[29]52ป้ายชั่วคราว+ด่าน'!#REF!</definedName>
    <definedName name="ITEM6.22" localSheetId="58">'[29]52ป้ายชั่วคราว+ด่าน'!#REF!</definedName>
    <definedName name="ITEM6.22" localSheetId="59">'[29]52ป้ายชั่วคราว+ด่าน'!#REF!</definedName>
    <definedName name="ITEM6.22" localSheetId="60">'[29]52ป้ายชั่วคราว+ด่าน'!#REF!</definedName>
    <definedName name="ITEM6.22" localSheetId="61">'[29]52ป้ายชั่วคราว+ด่าน'!#REF!</definedName>
    <definedName name="ITEM6.22" localSheetId="62">'[29]52ป้ายชั่วคราว+ด่าน'!#REF!</definedName>
    <definedName name="ITEM6.22" localSheetId="63">'[29]52ป้ายชั่วคราว+ด่าน'!#REF!</definedName>
    <definedName name="ITEM6.22" localSheetId="64">'[29]52ป้ายชั่วคราว+ด่าน'!#REF!</definedName>
    <definedName name="ITEM6.22" localSheetId="65">'[29]52ป้ายชั่วคราว+ด่าน'!#REF!</definedName>
    <definedName name="ITEM6.22" localSheetId="68">'[29]52ป้ายชั่วคราว+ด่าน'!#REF!</definedName>
    <definedName name="ITEM6.22" localSheetId="56">'[29]52ป้ายชั่วคราว+ด่าน'!#REF!</definedName>
    <definedName name="ITEM6.22" localSheetId="55">'[29]52ป้ายชั่วคราว+ด่าน'!#REF!</definedName>
    <definedName name="ITEM6.22" localSheetId="54">'[29]52ป้ายชั่วคราว+ด่าน'!#REF!</definedName>
    <definedName name="ITEM6.22" localSheetId="53">'[29]52ป้ายชั่วคราว+ด่าน'!#REF!</definedName>
    <definedName name="ITEM6.22" localSheetId="85">'[29]52ป้ายชั่วคราว+ด่าน'!#REF!</definedName>
    <definedName name="ITEM6.22" localSheetId="86">'[29]52ป้ายชั่วคราว+ด่าน'!#REF!</definedName>
    <definedName name="ITEM6.22" localSheetId="2">'[29]52ป้ายชั่วคราว+ด่าน'!#REF!</definedName>
    <definedName name="ITEM6.22">'[29]52ป้ายชั่วคราว+ด่าน'!#REF!</definedName>
    <definedName name="ITEM6.3.1.1" localSheetId="3">#REF!</definedName>
    <definedName name="ITEM6.3.1.1" localSheetId="4">#REF!</definedName>
    <definedName name="ITEM6.3.1.1" localSheetId="18">#REF!</definedName>
    <definedName name="ITEM6.3.1.1" localSheetId="19">#REF!</definedName>
    <definedName name="ITEM6.3.1.1" localSheetId="9">#REF!</definedName>
    <definedName name="ITEM6.3.1.1" localSheetId="10">#REF!</definedName>
    <definedName name="ITEM6.3.1.1" localSheetId="11">#REF!</definedName>
    <definedName name="ITEM6.3.1.1" localSheetId="12">#REF!</definedName>
    <definedName name="ITEM6.3.1.1" localSheetId="13">#REF!</definedName>
    <definedName name="ITEM6.3.1.1" localSheetId="14">#REF!</definedName>
    <definedName name="ITEM6.3.1.1" localSheetId="15">#REF!</definedName>
    <definedName name="ITEM6.3.1.1" localSheetId="16">#REF!</definedName>
    <definedName name="ITEM6.3.1.1" localSheetId="17">#REF!</definedName>
    <definedName name="ITEM6.3.1.1" localSheetId="8">#REF!</definedName>
    <definedName name="ITEM6.3.1.1" localSheetId="7">#REF!</definedName>
    <definedName name="ITEM6.3.1.1" localSheetId="6">#REF!</definedName>
    <definedName name="ITEM6.3.1.1" localSheetId="20">#REF!</definedName>
    <definedName name="ITEM6.3.1.1" localSheetId="5">#REF!</definedName>
    <definedName name="ITEM6.3.1.1" localSheetId="21">#REF!</definedName>
    <definedName name="ITEM6.3.1.1" localSheetId="34">#REF!</definedName>
    <definedName name="ITEM6.3.1.1" localSheetId="35">#REF!</definedName>
    <definedName name="ITEM6.3.1.1" localSheetId="25">#REF!</definedName>
    <definedName name="ITEM6.3.1.1" localSheetId="27">#REF!</definedName>
    <definedName name="ITEM6.3.1.1" localSheetId="28">#REF!</definedName>
    <definedName name="ITEM6.3.1.1" localSheetId="29">#REF!</definedName>
    <definedName name="ITEM6.3.1.1" localSheetId="31">#REF!</definedName>
    <definedName name="ITEM6.3.1.1" localSheetId="32">#REF!</definedName>
    <definedName name="ITEM6.3.1.1" localSheetId="33">#REF!</definedName>
    <definedName name="ITEM6.3.1.1" localSheetId="24">#REF!</definedName>
    <definedName name="ITEM6.3.1.1" localSheetId="23">#REF!</definedName>
    <definedName name="ITEM6.3.1.1" localSheetId="36">#REF!</definedName>
    <definedName name="ITEM6.3.1.1" localSheetId="22">#REF!</definedName>
    <definedName name="ITEM6.3.1.1" localSheetId="26">#REF!</definedName>
    <definedName name="ITEM6.3.1.1" localSheetId="30">#REF!</definedName>
    <definedName name="ITEM6.3.1.1" localSheetId="41">#REF!</definedName>
    <definedName name="ITEM6.3.1.1" localSheetId="50">#REF!</definedName>
    <definedName name="ITEM6.3.1.1" localSheetId="51">#REF!</definedName>
    <definedName name="ITEM6.3.1.1" localSheetId="42">#REF!</definedName>
    <definedName name="ITEM6.3.1.1" localSheetId="43">#REF!</definedName>
    <definedName name="ITEM6.3.1.1" localSheetId="44">#REF!</definedName>
    <definedName name="ITEM6.3.1.1" localSheetId="45">#REF!</definedName>
    <definedName name="ITEM6.3.1.1" localSheetId="46">#REF!</definedName>
    <definedName name="ITEM6.3.1.1" localSheetId="47">#REF!</definedName>
    <definedName name="ITEM6.3.1.1" localSheetId="48">#REF!</definedName>
    <definedName name="ITEM6.3.1.1" localSheetId="49">#REF!</definedName>
    <definedName name="ITEM6.3.1.1" localSheetId="52">#REF!</definedName>
    <definedName name="ITEM6.3.1.1" localSheetId="40">#REF!</definedName>
    <definedName name="ITEM6.3.1.1" localSheetId="39">#REF!</definedName>
    <definedName name="ITEM6.3.1.1" localSheetId="38">#REF!</definedName>
    <definedName name="ITEM6.3.1.1" localSheetId="37">#REF!</definedName>
    <definedName name="ITEM6.3.1.1" localSheetId="57">#REF!</definedName>
    <definedName name="ITEM6.3.1.1" localSheetId="66">#REF!</definedName>
    <definedName name="ITEM6.3.1.1" localSheetId="67">#REF!</definedName>
    <definedName name="ITEM6.3.1.1" localSheetId="58">#REF!</definedName>
    <definedName name="ITEM6.3.1.1" localSheetId="59">#REF!</definedName>
    <definedName name="ITEM6.3.1.1" localSheetId="60">#REF!</definedName>
    <definedName name="ITEM6.3.1.1" localSheetId="61">#REF!</definedName>
    <definedName name="ITEM6.3.1.1" localSheetId="62">#REF!</definedName>
    <definedName name="ITEM6.3.1.1" localSheetId="63">#REF!</definedName>
    <definedName name="ITEM6.3.1.1" localSheetId="64">#REF!</definedName>
    <definedName name="ITEM6.3.1.1" localSheetId="65">#REF!</definedName>
    <definedName name="ITEM6.3.1.1" localSheetId="68">#REF!</definedName>
    <definedName name="ITEM6.3.1.1" localSheetId="56">#REF!</definedName>
    <definedName name="ITEM6.3.1.1" localSheetId="55">#REF!</definedName>
    <definedName name="ITEM6.3.1.1" localSheetId="54">#REF!</definedName>
    <definedName name="ITEM6.3.1.1" localSheetId="53">#REF!</definedName>
    <definedName name="ITEM6.3.1.1" localSheetId="85">#REF!</definedName>
    <definedName name="ITEM6.3.1.1" localSheetId="86">#REF!</definedName>
    <definedName name="ITEM6.3.1.1" localSheetId="2">#REF!</definedName>
    <definedName name="ITEM6.3.1.1">#REF!</definedName>
    <definedName name="ITEM6.3.1.2.1" localSheetId="3">#REF!</definedName>
    <definedName name="ITEM6.3.1.2.1" localSheetId="4">#REF!</definedName>
    <definedName name="ITEM6.3.1.2.1" localSheetId="18">#REF!</definedName>
    <definedName name="ITEM6.3.1.2.1" localSheetId="19">#REF!</definedName>
    <definedName name="ITEM6.3.1.2.1" localSheetId="9">#REF!</definedName>
    <definedName name="ITEM6.3.1.2.1" localSheetId="10">#REF!</definedName>
    <definedName name="ITEM6.3.1.2.1" localSheetId="11">#REF!</definedName>
    <definedName name="ITEM6.3.1.2.1" localSheetId="12">#REF!</definedName>
    <definedName name="ITEM6.3.1.2.1" localSheetId="13">#REF!</definedName>
    <definedName name="ITEM6.3.1.2.1" localSheetId="14">#REF!</definedName>
    <definedName name="ITEM6.3.1.2.1" localSheetId="15">#REF!</definedName>
    <definedName name="ITEM6.3.1.2.1" localSheetId="16">#REF!</definedName>
    <definedName name="ITEM6.3.1.2.1" localSheetId="17">#REF!</definedName>
    <definedName name="ITEM6.3.1.2.1" localSheetId="8">#REF!</definedName>
    <definedName name="ITEM6.3.1.2.1" localSheetId="7">#REF!</definedName>
    <definedName name="ITEM6.3.1.2.1" localSheetId="6">#REF!</definedName>
    <definedName name="ITEM6.3.1.2.1" localSheetId="20">#REF!</definedName>
    <definedName name="ITEM6.3.1.2.1" localSheetId="5">#REF!</definedName>
    <definedName name="ITEM6.3.1.2.1" localSheetId="21">#REF!</definedName>
    <definedName name="ITEM6.3.1.2.1" localSheetId="34">#REF!</definedName>
    <definedName name="ITEM6.3.1.2.1" localSheetId="35">#REF!</definedName>
    <definedName name="ITEM6.3.1.2.1" localSheetId="25">#REF!</definedName>
    <definedName name="ITEM6.3.1.2.1" localSheetId="27">#REF!</definedName>
    <definedName name="ITEM6.3.1.2.1" localSheetId="28">#REF!</definedName>
    <definedName name="ITEM6.3.1.2.1" localSheetId="29">#REF!</definedName>
    <definedName name="ITEM6.3.1.2.1" localSheetId="31">#REF!</definedName>
    <definedName name="ITEM6.3.1.2.1" localSheetId="32">#REF!</definedName>
    <definedName name="ITEM6.3.1.2.1" localSheetId="33">#REF!</definedName>
    <definedName name="ITEM6.3.1.2.1" localSheetId="24">#REF!</definedName>
    <definedName name="ITEM6.3.1.2.1" localSheetId="23">#REF!</definedName>
    <definedName name="ITEM6.3.1.2.1" localSheetId="36">#REF!</definedName>
    <definedName name="ITEM6.3.1.2.1" localSheetId="22">#REF!</definedName>
    <definedName name="ITEM6.3.1.2.1" localSheetId="26">#REF!</definedName>
    <definedName name="ITEM6.3.1.2.1" localSheetId="30">#REF!</definedName>
    <definedName name="ITEM6.3.1.2.1" localSheetId="85">#REF!</definedName>
    <definedName name="ITEM6.3.1.2.1" localSheetId="86">#REF!</definedName>
    <definedName name="ITEM6.3.1.2.1" localSheetId="2">#REF!</definedName>
    <definedName name="ITEM6.3.1.2.1">#REF!</definedName>
    <definedName name="ITEM6.3.1.2.2" localSheetId="3">#REF!</definedName>
    <definedName name="ITEM6.3.1.2.2" localSheetId="4">#REF!</definedName>
    <definedName name="ITEM6.3.1.2.2" localSheetId="18">#REF!</definedName>
    <definedName name="ITEM6.3.1.2.2" localSheetId="19">#REF!</definedName>
    <definedName name="ITEM6.3.1.2.2" localSheetId="9">#REF!</definedName>
    <definedName name="ITEM6.3.1.2.2" localSheetId="10">#REF!</definedName>
    <definedName name="ITEM6.3.1.2.2" localSheetId="11">#REF!</definedName>
    <definedName name="ITEM6.3.1.2.2" localSheetId="12">#REF!</definedName>
    <definedName name="ITEM6.3.1.2.2" localSheetId="13">#REF!</definedName>
    <definedName name="ITEM6.3.1.2.2" localSheetId="14">#REF!</definedName>
    <definedName name="ITEM6.3.1.2.2" localSheetId="15">#REF!</definedName>
    <definedName name="ITEM6.3.1.2.2" localSheetId="16">#REF!</definedName>
    <definedName name="ITEM6.3.1.2.2" localSheetId="17">#REF!</definedName>
    <definedName name="ITEM6.3.1.2.2" localSheetId="8">#REF!</definedName>
    <definedName name="ITEM6.3.1.2.2" localSheetId="7">#REF!</definedName>
    <definedName name="ITEM6.3.1.2.2" localSheetId="6">#REF!</definedName>
    <definedName name="ITEM6.3.1.2.2" localSheetId="20">#REF!</definedName>
    <definedName name="ITEM6.3.1.2.2" localSheetId="5">#REF!</definedName>
    <definedName name="ITEM6.3.1.2.2" localSheetId="21">#REF!</definedName>
    <definedName name="ITEM6.3.1.2.2" localSheetId="34">#REF!</definedName>
    <definedName name="ITEM6.3.1.2.2" localSheetId="35">#REF!</definedName>
    <definedName name="ITEM6.3.1.2.2" localSheetId="25">#REF!</definedName>
    <definedName name="ITEM6.3.1.2.2" localSheetId="27">#REF!</definedName>
    <definedName name="ITEM6.3.1.2.2" localSheetId="28">#REF!</definedName>
    <definedName name="ITEM6.3.1.2.2" localSheetId="29">#REF!</definedName>
    <definedName name="ITEM6.3.1.2.2" localSheetId="31">#REF!</definedName>
    <definedName name="ITEM6.3.1.2.2" localSheetId="32">#REF!</definedName>
    <definedName name="ITEM6.3.1.2.2" localSheetId="33">#REF!</definedName>
    <definedName name="ITEM6.3.1.2.2" localSheetId="24">#REF!</definedName>
    <definedName name="ITEM6.3.1.2.2" localSheetId="23">#REF!</definedName>
    <definedName name="ITEM6.3.1.2.2" localSheetId="36">#REF!</definedName>
    <definedName name="ITEM6.3.1.2.2" localSheetId="22">#REF!</definedName>
    <definedName name="ITEM6.3.1.2.2" localSheetId="26">#REF!</definedName>
    <definedName name="ITEM6.3.1.2.2" localSheetId="30">#REF!</definedName>
    <definedName name="ITEM6.3.1.2.2" localSheetId="85">#REF!</definedName>
    <definedName name="ITEM6.3.1.2.2" localSheetId="86">#REF!</definedName>
    <definedName name="ITEM6.3.1.2.2" localSheetId="2">#REF!</definedName>
    <definedName name="ITEM6.3.1.2.2">#REF!</definedName>
    <definedName name="ITEM6.3.1.2.3" localSheetId="3">#REF!</definedName>
    <definedName name="ITEM6.3.1.2.3" localSheetId="2">#REF!</definedName>
    <definedName name="ITEM6.3.1.2.3">#REF!</definedName>
    <definedName name="ITEM6.3.1.2.4" localSheetId="3">#REF!</definedName>
    <definedName name="ITEM6.3.1.2.4" localSheetId="2">#REF!</definedName>
    <definedName name="ITEM6.3.1.2.4">#REF!</definedName>
    <definedName name="ITEM6.3.1.2.5" localSheetId="3">#REF!</definedName>
    <definedName name="ITEM6.3.1.2.5" localSheetId="2">#REF!</definedName>
    <definedName name="ITEM6.3.1.2.5">#REF!</definedName>
    <definedName name="ITEM6.3.1.2.6" localSheetId="3">#REF!</definedName>
    <definedName name="ITEM6.3.1.2.6" localSheetId="2">#REF!</definedName>
    <definedName name="ITEM6.3.1.2.6">#REF!</definedName>
    <definedName name="ITEM6.3.1.2.7" localSheetId="3">#REF!</definedName>
    <definedName name="ITEM6.3.1.2.7" localSheetId="2">#REF!</definedName>
    <definedName name="ITEM6.3.1.2.7">#REF!</definedName>
    <definedName name="ITEM6.3.1.2.8" localSheetId="3">#REF!</definedName>
    <definedName name="ITEM6.3.1.2.8" localSheetId="2">#REF!</definedName>
    <definedName name="ITEM6.3.1.2.8">#REF!</definedName>
    <definedName name="ITEM6.3.1.3.1" localSheetId="3">#REF!</definedName>
    <definedName name="ITEM6.3.1.3.1" localSheetId="2">#REF!</definedName>
    <definedName name="ITEM6.3.1.3.1">#REF!</definedName>
    <definedName name="ITEM6.3.1.3.2" localSheetId="3">#REF!</definedName>
    <definedName name="ITEM6.3.1.3.2" localSheetId="2">#REF!</definedName>
    <definedName name="ITEM6.3.1.3.2">#REF!</definedName>
    <definedName name="ITEM6.3.1.4.1" localSheetId="3">#REF!</definedName>
    <definedName name="ITEM6.3.1.4.1" localSheetId="2">#REF!</definedName>
    <definedName name="ITEM6.3.1.4.1">#REF!</definedName>
    <definedName name="ITEM6.3.1.4.2" localSheetId="3">#REF!</definedName>
    <definedName name="ITEM6.3.1.4.2" localSheetId="2">#REF!</definedName>
    <definedName name="ITEM6.3.1.4.2">#REF!</definedName>
    <definedName name="ITEM6.3.1.4.3" localSheetId="3">#REF!</definedName>
    <definedName name="ITEM6.3.1.4.3" localSheetId="2">#REF!</definedName>
    <definedName name="ITEM6.3.1.4.3">#REF!</definedName>
    <definedName name="ITEM6.3.1.5" localSheetId="3">#REF!</definedName>
    <definedName name="ITEM6.3.1.5" localSheetId="2">#REF!</definedName>
    <definedName name="ITEM6.3.1.5">#REF!</definedName>
    <definedName name="ITEM6.3.1.6" localSheetId="3">#REF!</definedName>
    <definedName name="ITEM6.3.1.6" localSheetId="2">#REF!</definedName>
    <definedName name="ITEM6.3.1.6">#REF!</definedName>
    <definedName name="ITEM6.3.1.7" localSheetId="3">#REF!</definedName>
    <definedName name="ITEM6.3.1.7" localSheetId="2">#REF!</definedName>
    <definedName name="ITEM6.3.1.7">#REF!</definedName>
    <definedName name="ITEM6.3.10" localSheetId="3">#REF!</definedName>
    <definedName name="ITEM6.3.10" localSheetId="2">#REF!</definedName>
    <definedName name="ITEM6.3.10">#REF!</definedName>
    <definedName name="ITEM6.3.11" localSheetId="3">#REF!</definedName>
    <definedName name="ITEM6.3.11" localSheetId="2">#REF!</definedName>
    <definedName name="ITEM6.3.11">#REF!</definedName>
    <definedName name="ITEM6.3.12.1" localSheetId="3">#REF!</definedName>
    <definedName name="ITEM6.3.12.1" localSheetId="2">#REF!</definedName>
    <definedName name="ITEM6.3.12.1">#REF!</definedName>
    <definedName name="ITEM6.3.12.2" localSheetId="3">#REF!</definedName>
    <definedName name="ITEM6.3.12.2" localSheetId="2">#REF!</definedName>
    <definedName name="ITEM6.3.12.2">#REF!</definedName>
    <definedName name="ITEM6.3.12.3" localSheetId="3">#REF!</definedName>
    <definedName name="ITEM6.3.12.3" localSheetId="2">#REF!</definedName>
    <definedName name="ITEM6.3.12.3">#REF!</definedName>
    <definedName name="ITEM6.3.13.1" localSheetId="3">#REF!</definedName>
    <definedName name="ITEM6.3.13.1" localSheetId="2">#REF!</definedName>
    <definedName name="ITEM6.3.13.1">#REF!</definedName>
    <definedName name="ITEM6.3.14.1" localSheetId="3">#REF!</definedName>
    <definedName name="ITEM6.3.14.1" localSheetId="2">#REF!</definedName>
    <definedName name="ITEM6.3.14.1">#REF!</definedName>
    <definedName name="ITEM6.3.14.2" localSheetId="3">#REF!</definedName>
    <definedName name="ITEM6.3.14.2" localSheetId="2">#REF!</definedName>
    <definedName name="ITEM6.3.14.2">#REF!</definedName>
    <definedName name="ITEM6.3.14.3" localSheetId="3">#REF!</definedName>
    <definedName name="ITEM6.3.14.3" localSheetId="2">#REF!</definedName>
    <definedName name="ITEM6.3.14.3">#REF!</definedName>
    <definedName name="ITEM6.3.2" localSheetId="3">#REF!</definedName>
    <definedName name="ITEM6.3.2" localSheetId="2">#REF!</definedName>
    <definedName name="ITEM6.3.2">#REF!</definedName>
    <definedName name="ITEM6.3.3.1.1" localSheetId="3">#REF!</definedName>
    <definedName name="ITEM6.3.3.1.1" localSheetId="2">#REF!</definedName>
    <definedName name="ITEM6.3.3.1.1">#REF!</definedName>
    <definedName name="ITEM6.3.3.1.2" localSheetId="3">#REF!</definedName>
    <definedName name="ITEM6.3.3.1.2" localSheetId="2">#REF!</definedName>
    <definedName name="ITEM6.3.3.1.2">#REF!</definedName>
    <definedName name="ITEM6.3.3.2.1" localSheetId="3">#REF!</definedName>
    <definedName name="ITEM6.3.3.2.1" localSheetId="2">#REF!</definedName>
    <definedName name="ITEM6.3.3.2.1">#REF!</definedName>
    <definedName name="ITEM6.3.3.2.2" localSheetId="3">#REF!</definedName>
    <definedName name="ITEM6.3.3.2.2" localSheetId="2">#REF!</definedName>
    <definedName name="ITEM6.3.3.2.2">#REF!</definedName>
    <definedName name="ITEM6.3.3.2.3" localSheetId="3">#REF!</definedName>
    <definedName name="ITEM6.3.3.2.3" localSheetId="2">#REF!</definedName>
    <definedName name="ITEM6.3.3.2.3">#REF!</definedName>
    <definedName name="ITEM6.3.3.2.4" localSheetId="3">#REF!</definedName>
    <definedName name="ITEM6.3.3.2.4" localSheetId="2">#REF!</definedName>
    <definedName name="ITEM6.3.3.2.4">#REF!</definedName>
    <definedName name="ITEM6.3.3.2.5" localSheetId="3">#REF!</definedName>
    <definedName name="ITEM6.3.3.2.5" localSheetId="2">#REF!</definedName>
    <definedName name="ITEM6.3.3.2.5">#REF!</definedName>
    <definedName name="ITEM6.3.4" localSheetId="3">#REF!</definedName>
    <definedName name="ITEM6.3.4" localSheetId="2">#REF!</definedName>
    <definedName name="ITEM6.3.4">#REF!</definedName>
    <definedName name="ITEM6.3.6.1" localSheetId="3">#REF!</definedName>
    <definedName name="ITEM6.3.6.1" localSheetId="2">#REF!</definedName>
    <definedName name="ITEM6.3.6.1">#REF!</definedName>
    <definedName name="ITEM6.3.6.2" localSheetId="3">#REF!</definedName>
    <definedName name="ITEM6.3.6.2" localSheetId="2">#REF!</definedName>
    <definedName name="ITEM6.3.6.2">#REF!</definedName>
    <definedName name="ITEM6.3.6.3" localSheetId="3">#REF!</definedName>
    <definedName name="ITEM6.3.6.3" localSheetId="2">#REF!</definedName>
    <definedName name="ITEM6.3.6.3">#REF!</definedName>
    <definedName name="ITEM6.3.6.4" localSheetId="3">#REF!</definedName>
    <definedName name="ITEM6.3.6.4" localSheetId="2">#REF!</definedName>
    <definedName name="ITEM6.3.6.4">#REF!</definedName>
    <definedName name="ITEM6.3.7" localSheetId="3">#REF!</definedName>
    <definedName name="ITEM6.3.7" localSheetId="2">#REF!</definedName>
    <definedName name="ITEM6.3.7">#REF!</definedName>
    <definedName name="ITEM6.3.8.1" localSheetId="3">#REF!</definedName>
    <definedName name="ITEM6.3.8.1" localSheetId="2">#REF!</definedName>
    <definedName name="ITEM6.3.8.1">#REF!</definedName>
    <definedName name="ITEM6.3.8.2" localSheetId="3">#REF!</definedName>
    <definedName name="ITEM6.3.8.2" localSheetId="2">#REF!</definedName>
    <definedName name="ITEM6.3.8.2">#REF!</definedName>
    <definedName name="ITEM6.4.1" localSheetId="3">#REF!</definedName>
    <definedName name="ITEM6.4.1" localSheetId="2">#REF!</definedName>
    <definedName name="ITEM6.4.1">#REF!</definedName>
    <definedName name="ITEM6.4.2" localSheetId="3">#REF!</definedName>
    <definedName name="ITEM6.4.2" localSheetId="2">#REF!</definedName>
    <definedName name="ITEM6.4.2">#REF!</definedName>
    <definedName name="ITEM6.4.3" localSheetId="3">#REF!</definedName>
    <definedName name="ITEM6.4.3" localSheetId="2">#REF!</definedName>
    <definedName name="ITEM6.4.3">#REF!</definedName>
    <definedName name="ITEM6.4.4" localSheetId="3">#REF!</definedName>
    <definedName name="ITEM6.4.4" localSheetId="2">#REF!</definedName>
    <definedName name="ITEM6.4.4">#REF!</definedName>
    <definedName name="ITEM6.4.5.1" localSheetId="3">#REF!</definedName>
    <definedName name="ITEM6.4.5.1" localSheetId="2">#REF!</definedName>
    <definedName name="ITEM6.4.5.1">#REF!</definedName>
    <definedName name="ITEM6.4.5.2" localSheetId="3">#REF!</definedName>
    <definedName name="ITEM6.4.5.2" localSheetId="2">#REF!</definedName>
    <definedName name="ITEM6.4.5.2">#REF!</definedName>
    <definedName name="ITEM6.4.5.3" localSheetId="3">#REF!</definedName>
    <definedName name="ITEM6.4.5.3" localSheetId="2">#REF!</definedName>
    <definedName name="ITEM6.4.5.3">#REF!</definedName>
    <definedName name="ITEM6.4.5.4" localSheetId="3">#REF!</definedName>
    <definedName name="ITEM6.4.5.4" localSheetId="2">#REF!</definedName>
    <definedName name="ITEM6.4.5.4">#REF!</definedName>
    <definedName name="ITEM6.4.6.1" localSheetId="3">#REF!</definedName>
    <definedName name="ITEM6.4.6.1" localSheetId="2">#REF!</definedName>
    <definedName name="ITEM6.4.6.1">#REF!</definedName>
    <definedName name="ITEM6.4.6.2" localSheetId="3">#REF!</definedName>
    <definedName name="ITEM6.4.6.2" localSheetId="2">#REF!</definedName>
    <definedName name="ITEM6.4.6.2">#REF!</definedName>
    <definedName name="ITEM6.4.6.3" localSheetId="3">#REF!</definedName>
    <definedName name="ITEM6.4.6.3" localSheetId="2">#REF!</definedName>
    <definedName name="ITEM6.4.6.3">#REF!</definedName>
    <definedName name="ITEM6.4.6.4" localSheetId="3">#REF!</definedName>
    <definedName name="ITEM6.4.6.4" localSheetId="2">#REF!</definedName>
    <definedName name="ITEM6.4.6.4">#REF!</definedName>
    <definedName name="ITEM6.4.6.5" localSheetId="3">#REF!</definedName>
    <definedName name="ITEM6.4.6.5" localSheetId="2">#REF!</definedName>
    <definedName name="ITEM6.4.6.5">#REF!</definedName>
    <definedName name="ITEM6.5.1" localSheetId="3">#REF!</definedName>
    <definedName name="ITEM6.5.1" localSheetId="2">#REF!</definedName>
    <definedName name="ITEM6.5.1">#REF!</definedName>
    <definedName name="ITEM6.5.2" localSheetId="3">#REF!</definedName>
    <definedName name="ITEM6.5.2" localSheetId="2">#REF!</definedName>
    <definedName name="ITEM6.5.2">#REF!</definedName>
    <definedName name="ITEM6.6.1" localSheetId="3">#REF!</definedName>
    <definedName name="ITEM6.6.1" localSheetId="2">#REF!</definedName>
    <definedName name="ITEM6.6.1">#REF!</definedName>
    <definedName name="ITEM6.6.2" localSheetId="3">#REF!</definedName>
    <definedName name="ITEM6.6.2" localSheetId="2">#REF!</definedName>
    <definedName name="ITEM6.6.2">#REF!</definedName>
    <definedName name="ITEM6.7.1" localSheetId="3">#REF!</definedName>
    <definedName name="ITEM6.7.1" localSheetId="2">#REF!</definedName>
    <definedName name="ITEM6.7.1">#REF!</definedName>
    <definedName name="ITEM6.8.1" localSheetId="3">#REF!</definedName>
    <definedName name="ITEM6.8.1" localSheetId="2">#REF!</definedName>
    <definedName name="ITEM6.8.1">#REF!</definedName>
    <definedName name="ITEM6.9.1.1" localSheetId="3">#REF!</definedName>
    <definedName name="ITEM6.9.1.1" localSheetId="2">#REF!</definedName>
    <definedName name="ITEM6.9.1.1">#REF!</definedName>
    <definedName name="ITEM6.9.1.2" localSheetId="3">#REF!</definedName>
    <definedName name="ITEM6.9.1.2" localSheetId="2">#REF!</definedName>
    <definedName name="ITEM6.9.1.2">#REF!</definedName>
    <definedName name="ks" localSheetId="3">[30]unitcost!#REF!</definedName>
    <definedName name="ks" localSheetId="4">[30]unitcost!#REF!</definedName>
    <definedName name="ks" localSheetId="18">[30]unitcost!#REF!</definedName>
    <definedName name="ks" localSheetId="19">[30]unitcost!#REF!</definedName>
    <definedName name="ks" localSheetId="9">[30]unitcost!#REF!</definedName>
    <definedName name="ks" localSheetId="10">[30]unitcost!#REF!</definedName>
    <definedName name="ks" localSheetId="11">[30]unitcost!#REF!</definedName>
    <definedName name="ks" localSheetId="12">[30]unitcost!#REF!</definedName>
    <definedName name="ks" localSheetId="13">[30]unitcost!#REF!</definedName>
    <definedName name="ks" localSheetId="14">[30]unitcost!#REF!</definedName>
    <definedName name="ks" localSheetId="15">[30]unitcost!#REF!</definedName>
    <definedName name="ks" localSheetId="16">[30]unitcost!#REF!</definedName>
    <definedName name="ks" localSheetId="17">[30]unitcost!#REF!</definedName>
    <definedName name="ks" localSheetId="8">[30]unitcost!#REF!</definedName>
    <definedName name="ks" localSheetId="7">[30]unitcost!#REF!</definedName>
    <definedName name="ks" localSheetId="6">[30]unitcost!#REF!</definedName>
    <definedName name="ks" localSheetId="20">[30]unitcost!#REF!</definedName>
    <definedName name="ks" localSheetId="5">[30]unitcost!#REF!</definedName>
    <definedName name="ks" localSheetId="21">[30]unitcost!#REF!</definedName>
    <definedName name="ks" localSheetId="34">[30]unitcost!#REF!</definedName>
    <definedName name="ks" localSheetId="35">[30]unitcost!#REF!</definedName>
    <definedName name="ks" localSheetId="25">[30]unitcost!#REF!</definedName>
    <definedName name="ks" localSheetId="27">[30]unitcost!#REF!</definedName>
    <definedName name="ks" localSheetId="28">[30]unitcost!#REF!</definedName>
    <definedName name="ks" localSheetId="29">[30]unitcost!#REF!</definedName>
    <definedName name="ks" localSheetId="31">[30]unitcost!#REF!</definedName>
    <definedName name="ks" localSheetId="32">[30]unitcost!#REF!</definedName>
    <definedName name="ks" localSheetId="33">[30]unitcost!#REF!</definedName>
    <definedName name="ks" localSheetId="24">[30]unitcost!#REF!</definedName>
    <definedName name="ks" localSheetId="23">[30]unitcost!#REF!</definedName>
    <definedName name="ks" localSheetId="36">[30]unitcost!#REF!</definedName>
    <definedName name="ks" localSheetId="22">[30]unitcost!#REF!</definedName>
    <definedName name="ks" localSheetId="26">[30]unitcost!#REF!</definedName>
    <definedName name="ks" localSheetId="30">[30]unitcost!#REF!</definedName>
    <definedName name="ks" localSheetId="41">[30]unitcost!#REF!</definedName>
    <definedName name="ks" localSheetId="50">[30]unitcost!#REF!</definedName>
    <definedName name="ks" localSheetId="51">[30]unitcost!#REF!</definedName>
    <definedName name="ks" localSheetId="42">[30]unitcost!#REF!</definedName>
    <definedName name="ks" localSheetId="43">[30]unitcost!#REF!</definedName>
    <definedName name="ks" localSheetId="44">[30]unitcost!#REF!</definedName>
    <definedName name="ks" localSheetId="45">[30]unitcost!#REF!</definedName>
    <definedName name="ks" localSheetId="46">[30]unitcost!#REF!</definedName>
    <definedName name="ks" localSheetId="47">[30]unitcost!#REF!</definedName>
    <definedName name="ks" localSheetId="48">[30]unitcost!#REF!</definedName>
    <definedName name="ks" localSheetId="49">[30]unitcost!#REF!</definedName>
    <definedName name="ks" localSheetId="52">[30]unitcost!#REF!</definedName>
    <definedName name="ks" localSheetId="40">[30]unitcost!#REF!</definedName>
    <definedName name="ks" localSheetId="39">[30]unitcost!#REF!</definedName>
    <definedName name="ks" localSheetId="38">[30]unitcost!#REF!</definedName>
    <definedName name="ks" localSheetId="37">[30]unitcost!#REF!</definedName>
    <definedName name="ks" localSheetId="57">[30]unitcost!#REF!</definedName>
    <definedName name="ks" localSheetId="66">[30]unitcost!#REF!</definedName>
    <definedName name="ks" localSheetId="67">[30]unitcost!#REF!</definedName>
    <definedName name="ks" localSheetId="58">[30]unitcost!#REF!</definedName>
    <definedName name="ks" localSheetId="59">[30]unitcost!#REF!</definedName>
    <definedName name="ks" localSheetId="60">[30]unitcost!#REF!</definedName>
    <definedName name="ks" localSheetId="61">[30]unitcost!#REF!</definedName>
    <definedName name="ks" localSheetId="62">[30]unitcost!#REF!</definedName>
    <definedName name="ks" localSheetId="63">[30]unitcost!#REF!</definedName>
    <definedName name="ks" localSheetId="64">[30]unitcost!#REF!</definedName>
    <definedName name="ks" localSheetId="65">[30]unitcost!#REF!</definedName>
    <definedName name="ks" localSheetId="68">[30]unitcost!#REF!</definedName>
    <definedName name="ks" localSheetId="56">[30]unitcost!#REF!</definedName>
    <definedName name="ks" localSheetId="55">[30]unitcost!#REF!</definedName>
    <definedName name="ks" localSheetId="54">[30]unitcost!#REF!</definedName>
    <definedName name="ks" localSheetId="53">[30]unitcost!#REF!</definedName>
    <definedName name="ks" localSheetId="85">[30]unitcost!#REF!</definedName>
    <definedName name="ks" localSheetId="86">[30]unitcost!#REF!</definedName>
    <definedName name="ks" localSheetId="2">[30]unitcost!#REF!</definedName>
    <definedName name="ks">[30]unitcost!#REF!</definedName>
    <definedName name="kt" localSheetId="3">[30]unitcost!#REF!</definedName>
    <definedName name="kt" localSheetId="4">[30]unitcost!#REF!</definedName>
    <definedName name="kt" localSheetId="18">[30]unitcost!#REF!</definedName>
    <definedName name="kt" localSheetId="19">[30]unitcost!#REF!</definedName>
    <definedName name="kt" localSheetId="9">[30]unitcost!#REF!</definedName>
    <definedName name="kt" localSheetId="10">[30]unitcost!#REF!</definedName>
    <definedName name="kt" localSheetId="11">[30]unitcost!#REF!</definedName>
    <definedName name="kt" localSheetId="12">[30]unitcost!#REF!</definedName>
    <definedName name="kt" localSheetId="13">[30]unitcost!#REF!</definedName>
    <definedName name="kt" localSheetId="14">[30]unitcost!#REF!</definedName>
    <definedName name="kt" localSheetId="15">[30]unitcost!#REF!</definedName>
    <definedName name="kt" localSheetId="16">[30]unitcost!#REF!</definedName>
    <definedName name="kt" localSheetId="17">[30]unitcost!#REF!</definedName>
    <definedName name="kt" localSheetId="8">[30]unitcost!#REF!</definedName>
    <definedName name="kt" localSheetId="7">[30]unitcost!#REF!</definedName>
    <definedName name="kt" localSheetId="6">[30]unitcost!#REF!</definedName>
    <definedName name="kt" localSheetId="20">[30]unitcost!#REF!</definedName>
    <definedName name="kt" localSheetId="5">[30]unitcost!#REF!</definedName>
    <definedName name="kt" localSheetId="21">[30]unitcost!#REF!</definedName>
    <definedName name="kt" localSheetId="34">[30]unitcost!#REF!</definedName>
    <definedName name="kt" localSheetId="35">[30]unitcost!#REF!</definedName>
    <definedName name="kt" localSheetId="25">[30]unitcost!#REF!</definedName>
    <definedName name="kt" localSheetId="27">[30]unitcost!#REF!</definedName>
    <definedName name="kt" localSheetId="28">[30]unitcost!#REF!</definedName>
    <definedName name="kt" localSheetId="29">[30]unitcost!#REF!</definedName>
    <definedName name="kt" localSheetId="31">[30]unitcost!#REF!</definedName>
    <definedName name="kt" localSheetId="32">[30]unitcost!#REF!</definedName>
    <definedName name="kt" localSheetId="33">[30]unitcost!#REF!</definedName>
    <definedName name="kt" localSheetId="24">[30]unitcost!#REF!</definedName>
    <definedName name="kt" localSheetId="23">[30]unitcost!#REF!</definedName>
    <definedName name="kt" localSheetId="36">[30]unitcost!#REF!</definedName>
    <definedName name="kt" localSheetId="22">[30]unitcost!#REF!</definedName>
    <definedName name="kt" localSheetId="26">[30]unitcost!#REF!</definedName>
    <definedName name="kt" localSheetId="30">[30]unitcost!#REF!</definedName>
    <definedName name="kt" localSheetId="41">[30]unitcost!#REF!</definedName>
    <definedName name="kt" localSheetId="50">[30]unitcost!#REF!</definedName>
    <definedName name="kt" localSheetId="51">[30]unitcost!#REF!</definedName>
    <definedName name="kt" localSheetId="42">[30]unitcost!#REF!</definedName>
    <definedName name="kt" localSheetId="43">[30]unitcost!#REF!</definedName>
    <definedName name="kt" localSheetId="44">[30]unitcost!#REF!</definedName>
    <definedName name="kt" localSheetId="45">[30]unitcost!#REF!</definedName>
    <definedName name="kt" localSheetId="46">[30]unitcost!#REF!</definedName>
    <definedName name="kt" localSheetId="47">[30]unitcost!#REF!</definedName>
    <definedName name="kt" localSheetId="48">[30]unitcost!#REF!</definedName>
    <definedName name="kt" localSheetId="49">[30]unitcost!#REF!</definedName>
    <definedName name="kt" localSheetId="52">[30]unitcost!#REF!</definedName>
    <definedName name="kt" localSheetId="40">[30]unitcost!#REF!</definedName>
    <definedName name="kt" localSheetId="39">[30]unitcost!#REF!</definedName>
    <definedName name="kt" localSheetId="38">[30]unitcost!#REF!</definedName>
    <definedName name="kt" localSheetId="37">[30]unitcost!#REF!</definedName>
    <definedName name="kt" localSheetId="57">[30]unitcost!#REF!</definedName>
    <definedName name="kt" localSheetId="66">[30]unitcost!#REF!</definedName>
    <definedName name="kt" localSheetId="67">[30]unitcost!#REF!</definedName>
    <definedName name="kt" localSheetId="58">[30]unitcost!#REF!</definedName>
    <definedName name="kt" localSheetId="59">[30]unitcost!#REF!</definedName>
    <definedName name="kt" localSheetId="60">[30]unitcost!#REF!</definedName>
    <definedName name="kt" localSheetId="61">[30]unitcost!#REF!</definedName>
    <definedName name="kt" localSheetId="62">[30]unitcost!#REF!</definedName>
    <definedName name="kt" localSheetId="63">[30]unitcost!#REF!</definedName>
    <definedName name="kt" localSheetId="64">[30]unitcost!#REF!</definedName>
    <definedName name="kt" localSheetId="65">[30]unitcost!#REF!</definedName>
    <definedName name="kt" localSheetId="68">[30]unitcost!#REF!</definedName>
    <definedName name="kt" localSheetId="56">[30]unitcost!#REF!</definedName>
    <definedName name="kt" localSheetId="55">[30]unitcost!#REF!</definedName>
    <definedName name="kt" localSheetId="54">[30]unitcost!#REF!</definedName>
    <definedName name="kt" localSheetId="53">[30]unitcost!#REF!</definedName>
    <definedName name="kt" localSheetId="85">[30]unitcost!#REF!</definedName>
    <definedName name="kt" localSheetId="86">[30]unitcost!#REF!</definedName>
    <definedName name="kt" localSheetId="2">[30]unitcost!#REF!</definedName>
    <definedName name="kt">[30]unitcost!#REF!</definedName>
    <definedName name="kw" localSheetId="3">[30]unitcost!#REF!</definedName>
    <definedName name="kw" localSheetId="4">[30]unitcost!#REF!</definedName>
    <definedName name="kw" localSheetId="18">[30]unitcost!#REF!</definedName>
    <definedName name="kw" localSheetId="19">[30]unitcost!#REF!</definedName>
    <definedName name="kw" localSheetId="9">[30]unitcost!#REF!</definedName>
    <definedName name="kw" localSheetId="10">[30]unitcost!#REF!</definedName>
    <definedName name="kw" localSheetId="11">[30]unitcost!#REF!</definedName>
    <definedName name="kw" localSheetId="12">[30]unitcost!#REF!</definedName>
    <definedName name="kw" localSheetId="13">[30]unitcost!#REF!</definedName>
    <definedName name="kw" localSheetId="14">[30]unitcost!#REF!</definedName>
    <definedName name="kw" localSheetId="15">[30]unitcost!#REF!</definedName>
    <definedName name="kw" localSheetId="16">[30]unitcost!#REF!</definedName>
    <definedName name="kw" localSheetId="17">[30]unitcost!#REF!</definedName>
    <definedName name="kw" localSheetId="8">[30]unitcost!#REF!</definedName>
    <definedName name="kw" localSheetId="7">[30]unitcost!#REF!</definedName>
    <definedName name="kw" localSheetId="6">[30]unitcost!#REF!</definedName>
    <definedName name="kw" localSheetId="20">[30]unitcost!#REF!</definedName>
    <definedName name="kw" localSheetId="5">[30]unitcost!#REF!</definedName>
    <definedName name="kw" localSheetId="21">[30]unitcost!#REF!</definedName>
    <definedName name="kw" localSheetId="34">[30]unitcost!#REF!</definedName>
    <definedName name="kw" localSheetId="35">[30]unitcost!#REF!</definedName>
    <definedName name="kw" localSheetId="25">[30]unitcost!#REF!</definedName>
    <definedName name="kw" localSheetId="27">[30]unitcost!#REF!</definedName>
    <definedName name="kw" localSheetId="28">[30]unitcost!#REF!</definedName>
    <definedName name="kw" localSheetId="29">[30]unitcost!#REF!</definedName>
    <definedName name="kw" localSheetId="31">[30]unitcost!#REF!</definedName>
    <definedName name="kw" localSheetId="32">[30]unitcost!#REF!</definedName>
    <definedName name="kw" localSheetId="33">[30]unitcost!#REF!</definedName>
    <definedName name="kw" localSheetId="24">[30]unitcost!#REF!</definedName>
    <definedName name="kw" localSheetId="23">[30]unitcost!#REF!</definedName>
    <definedName name="kw" localSheetId="36">[30]unitcost!#REF!</definedName>
    <definedName name="kw" localSheetId="22">[30]unitcost!#REF!</definedName>
    <definedName name="kw" localSheetId="26">[30]unitcost!#REF!</definedName>
    <definedName name="kw" localSheetId="30">[30]unitcost!#REF!</definedName>
    <definedName name="kw" localSheetId="85">[30]unitcost!#REF!</definedName>
    <definedName name="kw" localSheetId="86">[30]unitcost!#REF!</definedName>
    <definedName name="kw" localSheetId="2">[30]unitcost!#REF!</definedName>
    <definedName name="kw">[30]unitcost!#REF!</definedName>
    <definedName name="l" localSheetId="3">#REF!</definedName>
    <definedName name="l" localSheetId="4">#REF!</definedName>
    <definedName name="l" localSheetId="38">#REF!</definedName>
    <definedName name="l" localSheetId="86">#REF!</definedName>
    <definedName name="l">#REF!</definedName>
    <definedName name="L_15">'[21]5-2'!$J$1856</definedName>
    <definedName name="L_17">'[21]5-2'!$J$1844</definedName>
    <definedName name="L_19">'[21]5-2'!$J$1832</definedName>
    <definedName name="LHPS6400">'[24]Local road Backup'!$J$7</definedName>
    <definedName name="LLOOO" localSheetId="3">#REF!</definedName>
    <definedName name="LLOOO" localSheetId="4">#REF!</definedName>
    <definedName name="LLOOO" localSheetId="38">#REF!</definedName>
    <definedName name="LLOOO" localSheetId="86">#REF!</definedName>
    <definedName name="LLOOO">#REF!</definedName>
    <definedName name="manhole" localSheetId="3">#REF!</definedName>
    <definedName name="manhole" localSheetId="4">#REF!</definedName>
    <definedName name="manhole" localSheetId="38">#REF!</definedName>
    <definedName name="manhole">#REF!</definedName>
    <definedName name="Manhole_TypeE">'[21]6'!$J$1284</definedName>
    <definedName name="Manhole_TypeE_1">'[21]6'!$J$1289</definedName>
    <definedName name="MSE_H4.00_6.00m.">'[21]6'!$J$472</definedName>
    <definedName name="MSE_H4.00m.">'[21]6'!$J$451</definedName>
    <definedName name="MSE_H6.00_8.00m.">'[21]6'!$J$493</definedName>
    <definedName name="MSE_H8.00_10.00m.">'[21]6'!$J$514</definedName>
    <definedName name="new" localSheetId="3">#REF!</definedName>
    <definedName name="new" localSheetId="4">#REF!</definedName>
    <definedName name="new" localSheetId="38">#REF!</definedName>
    <definedName name="new" localSheetId="86">#REF!</definedName>
    <definedName name="new">#REF!</definedName>
    <definedName name="NewBridge27_492.900" localSheetId="3">'[31]5-2'!#REF!</definedName>
    <definedName name="NewBridge27_492.900" localSheetId="4">'[31]5-2'!#REF!</definedName>
    <definedName name="NewBridge27_492.900" localSheetId="18">'[31]5-2'!#REF!</definedName>
    <definedName name="NewBridge27_492.900" localSheetId="19">'[31]5-2'!#REF!</definedName>
    <definedName name="NewBridge27_492.900" localSheetId="9">'[31]5-2'!#REF!</definedName>
    <definedName name="NewBridge27_492.900" localSheetId="10">'[31]5-2'!#REF!</definedName>
    <definedName name="NewBridge27_492.900" localSheetId="11">'[31]5-2'!#REF!</definedName>
    <definedName name="NewBridge27_492.900" localSheetId="12">'[31]5-2'!#REF!</definedName>
    <definedName name="NewBridge27_492.900" localSheetId="13">'[31]5-2'!#REF!</definedName>
    <definedName name="NewBridge27_492.900" localSheetId="14">'[31]5-2'!#REF!</definedName>
    <definedName name="NewBridge27_492.900" localSheetId="15">'[31]5-2'!#REF!</definedName>
    <definedName name="NewBridge27_492.900" localSheetId="16">'[31]5-2'!#REF!</definedName>
    <definedName name="NewBridge27_492.900" localSheetId="17">'[31]5-2'!#REF!</definedName>
    <definedName name="NewBridge27_492.900" localSheetId="8">'[31]5-2'!#REF!</definedName>
    <definedName name="NewBridge27_492.900" localSheetId="7">'[31]5-2'!#REF!</definedName>
    <definedName name="NewBridge27_492.900" localSheetId="6">'[31]5-2'!#REF!</definedName>
    <definedName name="NewBridge27_492.900" localSheetId="20">'[31]5-2'!#REF!</definedName>
    <definedName name="NewBridge27_492.900" localSheetId="5">'[31]5-2'!#REF!</definedName>
    <definedName name="NewBridge27_492.900" localSheetId="21">'[31]5-2'!#REF!</definedName>
    <definedName name="NewBridge27_492.900" localSheetId="34">'[31]5-2'!#REF!</definedName>
    <definedName name="NewBridge27_492.900" localSheetId="35">'[31]5-2'!#REF!</definedName>
    <definedName name="NewBridge27_492.900" localSheetId="25">'[31]5-2'!#REF!</definedName>
    <definedName name="NewBridge27_492.900" localSheetId="27">'[31]5-2'!#REF!</definedName>
    <definedName name="NewBridge27_492.900" localSheetId="28">'[31]5-2'!#REF!</definedName>
    <definedName name="NewBridge27_492.900" localSheetId="29">'[31]5-2'!#REF!</definedName>
    <definedName name="NewBridge27_492.900" localSheetId="31">'[31]5-2'!#REF!</definedName>
    <definedName name="NewBridge27_492.900" localSheetId="32">'[31]5-2'!#REF!</definedName>
    <definedName name="NewBridge27_492.900" localSheetId="33">'[31]5-2'!#REF!</definedName>
    <definedName name="NewBridge27_492.900" localSheetId="24">'[31]5-2'!#REF!</definedName>
    <definedName name="NewBridge27_492.900" localSheetId="23">'[31]5-2'!#REF!</definedName>
    <definedName name="NewBridge27_492.900" localSheetId="36">'[31]5-2'!#REF!</definedName>
    <definedName name="NewBridge27_492.900" localSheetId="22">'[31]5-2'!#REF!</definedName>
    <definedName name="NewBridge27_492.900" localSheetId="26">'[31]5-2'!#REF!</definedName>
    <definedName name="NewBridge27_492.900" localSheetId="30">'[31]5-2'!#REF!</definedName>
    <definedName name="NewBridge27_492.900" localSheetId="41">'[31]5-2'!#REF!</definedName>
    <definedName name="NewBridge27_492.900" localSheetId="50">'[31]5-2'!#REF!</definedName>
    <definedName name="NewBridge27_492.900" localSheetId="51">'[31]5-2'!#REF!</definedName>
    <definedName name="NewBridge27_492.900" localSheetId="42">'[31]5-2'!#REF!</definedName>
    <definedName name="NewBridge27_492.900" localSheetId="43">'[31]5-2'!#REF!</definedName>
    <definedName name="NewBridge27_492.900" localSheetId="44">'[31]5-2'!#REF!</definedName>
    <definedName name="NewBridge27_492.900" localSheetId="45">'[31]5-2'!#REF!</definedName>
    <definedName name="NewBridge27_492.900" localSheetId="46">'[31]5-2'!#REF!</definedName>
    <definedName name="NewBridge27_492.900" localSheetId="47">'[31]5-2'!#REF!</definedName>
    <definedName name="NewBridge27_492.900" localSheetId="48">'[31]5-2'!#REF!</definedName>
    <definedName name="NewBridge27_492.900" localSheetId="49">'[31]5-2'!#REF!</definedName>
    <definedName name="NewBridge27_492.900" localSheetId="52">'[31]5-2'!#REF!</definedName>
    <definedName name="NewBridge27_492.900" localSheetId="40">'[31]5-2'!#REF!</definedName>
    <definedName name="NewBridge27_492.900" localSheetId="39">'[31]5-2'!#REF!</definedName>
    <definedName name="NewBridge27_492.900" localSheetId="38">'[31]5-2'!#REF!</definedName>
    <definedName name="NewBridge27_492.900" localSheetId="37">'[31]5-2'!#REF!</definedName>
    <definedName name="NewBridge27_492.900" localSheetId="57">'[31]5-2'!#REF!</definedName>
    <definedName name="NewBridge27_492.900" localSheetId="66">'[31]5-2'!#REF!</definedName>
    <definedName name="NewBridge27_492.900" localSheetId="67">'[31]5-2'!#REF!</definedName>
    <definedName name="NewBridge27_492.900" localSheetId="58">'[31]5-2'!#REF!</definedName>
    <definedName name="NewBridge27_492.900" localSheetId="59">'[31]5-2'!#REF!</definedName>
    <definedName name="NewBridge27_492.900" localSheetId="60">'[31]5-2'!#REF!</definedName>
    <definedName name="NewBridge27_492.900" localSheetId="61">'[31]5-2'!#REF!</definedName>
    <definedName name="NewBridge27_492.900" localSheetId="62">'[31]5-2'!#REF!</definedName>
    <definedName name="NewBridge27_492.900" localSheetId="63">'[31]5-2'!#REF!</definedName>
    <definedName name="NewBridge27_492.900" localSheetId="64">'[31]5-2'!#REF!</definedName>
    <definedName name="NewBridge27_492.900" localSheetId="65">'[31]5-2'!#REF!</definedName>
    <definedName name="NewBridge27_492.900" localSheetId="68">'[31]5-2'!#REF!</definedName>
    <definedName name="NewBridge27_492.900" localSheetId="56">'[31]5-2'!#REF!</definedName>
    <definedName name="NewBridge27_492.900" localSheetId="55">'[31]5-2'!#REF!</definedName>
    <definedName name="NewBridge27_492.900" localSheetId="54">'[31]5-2'!#REF!</definedName>
    <definedName name="NewBridge27_492.900" localSheetId="53">'[31]5-2'!#REF!</definedName>
    <definedName name="NewBridge27_492.900" localSheetId="85">'[31]5-2'!#REF!</definedName>
    <definedName name="NewBridge27_492.900" localSheetId="86">'[31]5-2'!#REF!</definedName>
    <definedName name="NewBridge27_492.900" localSheetId="2">'[31]5-2'!#REF!</definedName>
    <definedName name="NewBridge27_492.900">'[31]5-2'!#REF!</definedName>
    <definedName name="NewBridge29_436.802LT" localSheetId="3">'[31]5-2'!#REF!</definedName>
    <definedName name="NewBridge29_436.802LT" localSheetId="4">'[31]5-2'!#REF!</definedName>
    <definedName name="NewBridge29_436.802LT" localSheetId="18">'[31]5-2'!#REF!</definedName>
    <definedName name="NewBridge29_436.802LT" localSheetId="19">'[31]5-2'!#REF!</definedName>
    <definedName name="NewBridge29_436.802LT" localSheetId="9">'[31]5-2'!#REF!</definedName>
    <definedName name="NewBridge29_436.802LT" localSheetId="10">'[31]5-2'!#REF!</definedName>
    <definedName name="NewBridge29_436.802LT" localSheetId="11">'[31]5-2'!#REF!</definedName>
    <definedName name="NewBridge29_436.802LT" localSheetId="12">'[31]5-2'!#REF!</definedName>
    <definedName name="NewBridge29_436.802LT" localSheetId="13">'[31]5-2'!#REF!</definedName>
    <definedName name="NewBridge29_436.802LT" localSheetId="14">'[31]5-2'!#REF!</definedName>
    <definedName name="NewBridge29_436.802LT" localSheetId="15">'[31]5-2'!#REF!</definedName>
    <definedName name="NewBridge29_436.802LT" localSheetId="16">'[31]5-2'!#REF!</definedName>
    <definedName name="NewBridge29_436.802LT" localSheetId="17">'[31]5-2'!#REF!</definedName>
    <definedName name="NewBridge29_436.802LT" localSheetId="8">'[31]5-2'!#REF!</definedName>
    <definedName name="NewBridge29_436.802LT" localSheetId="7">'[31]5-2'!#REF!</definedName>
    <definedName name="NewBridge29_436.802LT" localSheetId="6">'[31]5-2'!#REF!</definedName>
    <definedName name="NewBridge29_436.802LT" localSheetId="20">'[31]5-2'!#REF!</definedName>
    <definedName name="NewBridge29_436.802LT" localSheetId="5">'[31]5-2'!#REF!</definedName>
    <definedName name="NewBridge29_436.802LT" localSheetId="21">'[31]5-2'!#REF!</definedName>
    <definedName name="NewBridge29_436.802LT" localSheetId="34">'[31]5-2'!#REF!</definedName>
    <definedName name="NewBridge29_436.802LT" localSheetId="35">'[31]5-2'!#REF!</definedName>
    <definedName name="NewBridge29_436.802LT" localSheetId="25">'[31]5-2'!#REF!</definedName>
    <definedName name="NewBridge29_436.802LT" localSheetId="27">'[31]5-2'!#REF!</definedName>
    <definedName name="NewBridge29_436.802LT" localSheetId="28">'[31]5-2'!#REF!</definedName>
    <definedName name="NewBridge29_436.802LT" localSheetId="29">'[31]5-2'!#REF!</definedName>
    <definedName name="NewBridge29_436.802LT" localSheetId="31">'[31]5-2'!#REF!</definedName>
    <definedName name="NewBridge29_436.802LT" localSheetId="32">'[31]5-2'!#REF!</definedName>
    <definedName name="NewBridge29_436.802LT" localSheetId="33">'[31]5-2'!#REF!</definedName>
    <definedName name="NewBridge29_436.802LT" localSheetId="24">'[31]5-2'!#REF!</definedName>
    <definedName name="NewBridge29_436.802LT" localSheetId="23">'[31]5-2'!#REF!</definedName>
    <definedName name="NewBridge29_436.802LT" localSheetId="36">'[31]5-2'!#REF!</definedName>
    <definedName name="NewBridge29_436.802LT" localSheetId="22">'[31]5-2'!#REF!</definedName>
    <definedName name="NewBridge29_436.802LT" localSheetId="26">'[31]5-2'!#REF!</definedName>
    <definedName name="NewBridge29_436.802LT" localSheetId="30">'[31]5-2'!#REF!</definedName>
    <definedName name="NewBridge29_436.802LT" localSheetId="41">'[31]5-2'!#REF!</definedName>
    <definedName name="NewBridge29_436.802LT" localSheetId="50">'[31]5-2'!#REF!</definedName>
    <definedName name="NewBridge29_436.802LT" localSheetId="51">'[31]5-2'!#REF!</definedName>
    <definedName name="NewBridge29_436.802LT" localSheetId="42">'[31]5-2'!#REF!</definedName>
    <definedName name="NewBridge29_436.802LT" localSheetId="43">'[31]5-2'!#REF!</definedName>
    <definedName name="NewBridge29_436.802LT" localSheetId="44">'[31]5-2'!#REF!</definedName>
    <definedName name="NewBridge29_436.802LT" localSheetId="45">'[31]5-2'!#REF!</definedName>
    <definedName name="NewBridge29_436.802LT" localSheetId="46">'[31]5-2'!#REF!</definedName>
    <definedName name="NewBridge29_436.802LT" localSheetId="47">'[31]5-2'!#REF!</definedName>
    <definedName name="NewBridge29_436.802LT" localSheetId="48">'[31]5-2'!#REF!</definedName>
    <definedName name="NewBridge29_436.802LT" localSheetId="49">'[31]5-2'!#REF!</definedName>
    <definedName name="NewBridge29_436.802LT" localSheetId="52">'[31]5-2'!#REF!</definedName>
    <definedName name="NewBridge29_436.802LT" localSheetId="40">'[31]5-2'!#REF!</definedName>
    <definedName name="NewBridge29_436.802LT" localSheetId="39">'[31]5-2'!#REF!</definedName>
    <definedName name="NewBridge29_436.802LT" localSheetId="38">'[31]5-2'!#REF!</definedName>
    <definedName name="NewBridge29_436.802LT" localSheetId="37">'[31]5-2'!#REF!</definedName>
    <definedName name="NewBridge29_436.802LT" localSheetId="57">'[31]5-2'!#REF!</definedName>
    <definedName name="NewBridge29_436.802LT" localSheetId="66">'[31]5-2'!#REF!</definedName>
    <definedName name="NewBridge29_436.802LT" localSheetId="67">'[31]5-2'!#REF!</definedName>
    <definedName name="NewBridge29_436.802LT" localSheetId="58">'[31]5-2'!#REF!</definedName>
    <definedName name="NewBridge29_436.802LT" localSheetId="59">'[31]5-2'!#REF!</definedName>
    <definedName name="NewBridge29_436.802LT" localSheetId="60">'[31]5-2'!#REF!</definedName>
    <definedName name="NewBridge29_436.802LT" localSheetId="61">'[31]5-2'!#REF!</definedName>
    <definedName name="NewBridge29_436.802LT" localSheetId="62">'[31]5-2'!#REF!</definedName>
    <definedName name="NewBridge29_436.802LT" localSheetId="63">'[31]5-2'!#REF!</definedName>
    <definedName name="NewBridge29_436.802LT" localSheetId="64">'[31]5-2'!#REF!</definedName>
    <definedName name="NewBridge29_436.802LT" localSheetId="65">'[31]5-2'!#REF!</definedName>
    <definedName name="NewBridge29_436.802LT" localSheetId="68">'[31]5-2'!#REF!</definedName>
    <definedName name="NewBridge29_436.802LT" localSheetId="56">'[31]5-2'!#REF!</definedName>
    <definedName name="NewBridge29_436.802LT" localSheetId="55">'[31]5-2'!#REF!</definedName>
    <definedName name="NewBridge29_436.802LT" localSheetId="54">'[31]5-2'!#REF!</definedName>
    <definedName name="NewBridge29_436.802LT" localSheetId="53">'[31]5-2'!#REF!</definedName>
    <definedName name="NewBridge29_436.802LT" localSheetId="85">'[31]5-2'!#REF!</definedName>
    <definedName name="NewBridge29_436.802LT" localSheetId="86">'[31]5-2'!#REF!</definedName>
    <definedName name="NewBridge29_436.802LT">'[31]5-2'!#REF!</definedName>
    <definedName name="NewBridge29_436.802RT" localSheetId="3">'[31]5-2'!#REF!</definedName>
    <definedName name="NewBridge29_436.802RT" localSheetId="4">'[31]5-2'!#REF!</definedName>
    <definedName name="NewBridge29_436.802RT" localSheetId="18">'[31]5-2'!#REF!</definedName>
    <definedName name="NewBridge29_436.802RT" localSheetId="19">'[31]5-2'!#REF!</definedName>
    <definedName name="NewBridge29_436.802RT" localSheetId="9">'[31]5-2'!#REF!</definedName>
    <definedName name="NewBridge29_436.802RT" localSheetId="10">'[31]5-2'!#REF!</definedName>
    <definedName name="NewBridge29_436.802RT" localSheetId="11">'[31]5-2'!#REF!</definedName>
    <definedName name="NewBridge29_436.802RT" localSheetId="12">'[31]5-2'!#REF!</definedName>
    <definedName name="NewBridge29_436.802RT" localSheetId="13">'[31]5-2'!#REF!</definedName>
    <definedName name="NewBridge29_436.802RT" localSheetId="14">'[31]5-2'!#REF!</definedName>
    <definedName name="NewBridge29_436.802RT" localSheetId="15">'[31]5-2'!#REF!</definedName>
    <definedName name="NewBridge29_436.802RT" localSheetId="16">'[31]5-2'!#REF!</definedName>
    <definedName name="NewBridge29_436.802RT" localSheetId="17">'[31]5-2'!#REF!</definedName>
    <definedName name="NewBridge29_436.802RT" localSheetId="8">'[31]5-2'!#REF!</definedName>
    <definedName name="NewBridge29_436.802RT" localSheetId="7">'[31]5-2'!#REF!</definedName>
    <definedName name="NewBridge29_436.802RT" localSheetId="6">'[31]5-2'!#REF!</definedName>
    <definedName name="NewBridge29_436.802RT" localSheetId="20">'[31]5-2'!#REF!</definedName>
    <definedName name="NewBridge29_436.802RT" localSheetId="5">'[31]5-2'!#REF!</definedName>
    <definedName name="NewBridge29_436.802RT" localSheetId="21">'[31]5-2'!#REF!</definedName>
    <definedName name="NewBridge29_436.802RT" localSheetId="34">'[31]5-2'!#REF!</definedName>
    <definedName name="NewBridge29_436.802RT" localSheetId="35">'[31]5-2'!#REF!</definedName>
    <definedName name="NewBridge29_436.802RT" localSheetId="25">'[31]5-2'!#REF!</definedName>
    <definedName name="NewBridge29_436.802RT" localSheetId="27">'[31]5-2'!#REF!</definedName>
    <definedName name="NewBridge29_436.802RT" localSheetId="28">'[31]5-2'!#REF!</definedName>
    <definedName name="NewBridge29_436.802RT" localSheetId="29">'[31]5-2'!#REF!</definedName>
    <definedName name="NewBridge29_436.802RT" localSheetId="31">'[31]5-2'!#REF!</definedName>
    <definedName name="NewBridge29_436.802RT" localSheetId="32">'[31]5-2'!#REF!</definedName>
    <definedName name="NewBridge29_436.802RT" localSheetId="33">'[31]5-2'!#REF!</definedName>
    <definedName name="NewBridge29_436.802RT" localSheetId="24">'[31]5-2'!#REF!</definedName>
    <definedName name="NewBridge29_436.802RT" localSheetId="23">'[31]5-2'!#REF!</definedName>
    <definedName name="NewBridge29_436.802RT" localSheetId="36">'[31]5-2'!#REF!</definedName>
    <definedName name="NewBridge29_436.802RT" localSheetId="22">'[31]5-2'!#REF!</definedName>
    <definedName name="NewBridge29_436.802RT" localSheetId="26">'[31]5-2'!#REF!</definedName>
    <definedName name="NewBridge29_436.802RT" localSheetId="30">'[31]5-2'!#REF!</definedName>
    <definedName name="NewBridge29_436.802RT" localSheetId="41">'[31]5-2'!#REF!</definedName>
    <definedName name="NewBridge29_436.802RT" localSheetId="50">'[31]5-2'!#REF!</definedName>
    <definedName name="NewBridge29_436.802RT" localSheetId="51">'[31]5-2'!#REF!</definedName>
    <definedName name="NewBridge29_436.802RT" localSheetId="42">'[31]5-2'!#REF!</definedName>
    <definedName name="NewBridge29_436.802RT" localSheetId="43">'[31]5-2'!#REF!</definedName>
    <definedName name="NewBridge29_436.802RT" localSheetId="44">'[31]5-2'!#REF!</definedName>
    <definedName name="NewBridge29_436.802RT" localSheetId="45">'[31]5-2'!#REF!</definedName>
    <definedName name="NewBridge29_436.802RT" localSheetId="46">'[31]5-2'!#REF!</definedName>
    <definedName name="NewBridge29_436.802RT" localSheetId="47">'[31]5-2'!#REF!</definedName>
    <definedName name="NewBridge29_436.802RT" localSheetId="48">'[31]5-2'!#REF!</definedName>
    <definedName name="NewBridge29_436.802RT" localSheetId="49">'[31]5-2'!#REF!</definedName>
    <definedName name="NewBridge29_436.802RT" localSheetId="52">'[31]5-2'!#REF!</definedName>
    <definedName name="NewBridge29_436.802RT" localSheetId="40">'[31]5-2'!#REF!</definedName>
    <definedName name="NewBridge29_436.802RT" localSheetId="39">'[31]5-2'!#REF!</definedName>
    <definedName name="NewBridge29_436.802RT" localSheetId="38">'[31]5-2'!#REF!</definedName>
    <definedName name="NewBridge29_436.802RT" localSheetId="37">'[31]5-2'!#REF!</definedName>
    <definedName name="NewBridge29_436.802RT" localSheetId="57">'[31]5-2'!#REF!</definedName>
    <definedName name="NewBridge29_436.802RT" localSheetId="66">'[31]5-2'!#REF!</definedName>
    <definedName name="NewBridge29_436.802RT" localSheetId="67">'[31]5-2'!#REF!</definedName>
    <definedName name="NewBridge29_436.802RT" localSheetId="58">'[31]5-2'!#REF!</definedName>
    <definedName name="NewBridge29_436.802RT" localSheetId="59">'[31]5-2'!#REF!</definedName>
    <definedName name="NewBridge29_436.802RT" localSheetId="60">'[31]5-2'!#REF!</definedName>
    <definedName name="NewBridge29_436.802RT" localSheetId="61">'[31]5-2'!#REF!</definedName>
    <definedName name="NewBridge29_436.802RT" localSheetId="62">'[31]5-2'!#REF!</definedName>
    <definedName name="NewBridge29_436.802RT" localSheetId="63">'[31]5-2'!#REF!</definedName>
    <definedName name="NewBridge29_436.802RT" localSheetId="64">'[31]5-2'!#REF!</definedName>
    <definedName name="NewBridge29_436.802RT" localSheetId="65">'[31]5-2'!#REF!</definedName>
    <definedName name="NewBridge29_436.802RT" localSheetId="68">'[31]5-2'!#REF!</definedName>
    <definedName name="NewBridge29_436.802RT" localSheetId="56">'[31]5-2'!#REF!</definedName>
    <definedName name="NewBridge29_436.802RT" localSheetId="55">'[31]5-2'!#REF!</definedName>
    <definedName name="NewBridge29_436.802RT" localSheetId="54">'[31]5-2'!#REF!</definedName>
    <definedName name="NewBridge29_436.802RT" localSheetId="53">'[31]5-2'!#REF!</definedName>
    <definedName name="NewBridge29_436.802RT" localSheetId="85">'[31]5-2'!#REF!</definedName>
    <definedName name="NewBridge29_436.802RT" localSheetId="86">'[31]5-2'!#REF!</definedName>
    <definedName name="NewBridge29_436.802RT">'[31]5-2'!#REF!</definedName>
    <definedName name="NewBridge30_200.203LT" localSheetId="3">'[31]5-2'!#REF!</definedName>
    <definedName name="NewBridge30_200.203LT" localSheetId="4">'[31]5-2'!#REF!</definedName>
    <definedName name="NewBridge30_200.203LT" localSheetId="18">'[31]5-2'!#REF!</definedName>
    <definedName name="NewBridge30_200.203LT" localSheetId="19">'[31]5-2'!#REF!</definedName>
    <definedName name="NewBridge30_200.203LT" localSheetId="9">'[31]5-2'!#REF!</definedName>
    <definedName name="NewBridge30_200.203LT" localSheetId="10">'[31]5-2'!#REF!</definedName>
    <definedName name="NewBridge30_200.203LT" localSheetId="11">'[31]5-2'!#REF!</definedName>
    <definedName name="NewBridge30_200.203LT" localSheetId="12">'[31]5-2'!#REF!</definedName>
    <definedName name="NewBridge30_200.203LT" localSheetId="13">'[31]5-2'!#REF!</definedName>
    <definedName name="NewBridge30_200.203LT" localSheetId="14">'[31]5-2'!#REF!</definedName>
    <definedName name="NewBridge30_200.203LT" localSheetId="15">'[31]5-2'!#REF!</definedName>
    <definedName name="NewBridge30_200.203LT" localSheetId="16">'[31]5-2'!#REF!</definedName>
    <definedName name="NewBridge30_200.203LT" localSheetId="17">'[31]5-2'!#REF!</definedName>
    <definedName name="NewBridge30_200.203LT" localSheetId="8">'[31]5-2'!#REF!</definedName>
    <definedName name="NewBridge30_200.203LT" localSheetId="7">'[31]5-2'!#REF!</definedName>
    <definedName name="NewBridge30_200.203LT" localSheetId="6">'[31]5-2'!#REF!</definedName>
    <definedName name="NewBridge30_200.203LT" localSheetId="20">'[31]5-2'!#REF!</definedName>
    <definedName name="NewBridge30_200.203LT" localSheetId="5">'[31]5-2'!#REF!</definedName>
    <definedName name="NewBridge30_200.203LT" localSheetId="21">'[31]5-2'!#REF!</definedName>
    <definedName name="NewBridge30_200.203LT" localSheetId="34">'[31]5-2'!#REF!</definedName>
    <definedName name="NewBridge30_200.203LT" localSheetId="35">'[31]5-2'!#REF!</definedName>
    <definedName name="NewBridge30_200.203LT" localSheetId="25">'[31]5-2'!#REF!</definedName>
    <definedName name="NewBridge30_200.203LT" localSheetId="27">'[31]5-2'!#REF!</definedName>
    <definedName name="NewBridge30_200.203LT" localSheetId="28">'[31]5-2'!#REF!</definedName>
    <definedName name="NewBridge30_200.203LT" localSheetId="29">'[31]5-2'!#REF!</definedName>
    <definedName name="NewBridge30_200.203LT" localSheetId="31">'[31]5-2'!#REF!</definedName>
    <definedName name="NewBridge30_200.203LT" localSheetId="32">'[31]5-2'!#REF!</definedName>
    <definedName name="NewBridge30_200.203LT" localSheetId="33">'[31]5-2'!#REF!</definedName>
    <definedName name="NewBridge30_200.203LT" localSheetId="24">'[31]5-2'!#REF!</definedName>
    <definedName name="NewBridge30_200.203LT" localSheetId="23">'[31]5-2'!#REF!</definedName>
    <definedName name="NewBridge30_200.203LT" localSheetId="36">'[31]5-2'!#REF!</definedName>
    <definedName name="NewBridge30_200.203LT" localSheetId="22">'[31]5-2'!#REF!</definedName>
    <definedName name="NewBridge30_200.203LT" localSheetId="26">'[31]5-2'!#REF!</definedName>
    <definedName name="NewBridge30_200.203LT" localSheetId="30">'[31]5-2'!#REF!</definedName>
    <definedName name="NewBridge30_200.203LT" localSheetId="85">'[31]5-2'!#REF!</definedName>
    <definedName name="NewBridge30_200.203LT" localSheetId="86">'[31]5-2'!#REF!</definedName>
    <definedName name="NewBridge30_200.203LT">'[31]5-2'!#REF!</definedName>
    <definedName name="NewBridge30_200.203RT" localSheetId="3">'[31]5-2'!#REF!</definedName>
    <definedName name="NewBridge30_200.203RT">'[31]5-2'!#REF!</definedName>
    <definedName name="NewBridge31_287.813LT" localSheetId="3">'[31]5-2'!#REF!</definedName>
    <definedName name="NewBridge31_287.813LT">'[31]5-2'!#REF!</definedName>
    <definedName name="NewBridge31_287.813RT" localSheetId="3">'[31]5-2'!#REF!</definedName>
    <definedName name="NewBridge31_287.813RT">'[31]5-2'!#REF!</definedName>
    <definedName name="NewBridge32_489.199" localSheetId="3">'[31]5-2'!#REF!</definedName>
    <definedName name="NewBridge32_489.199">'[31]5-2'!#REF!</definedName>
    <definedName name="NewBridge33_321.901" localSheetId="3">'[31]5-2'!#REF!</definedName>
    <definedName name="NewBridge33_321.901">'[31]5-2'!#REF!</definedName>
    <definedName name="NewSta24_958.390" localSheetId="3">'[31]5-2'!#REF!</definedName>
    <definedName name="NewSta24_958.390">'[31]5-2'!#REF!</definedName>
    <definedName name="NewSta25_914.743LT" localSheetId="3">'[31]5-2'!#REF!</definedName>
    <definedName name="NewSta25_914.743LT">'[31]5-2'!#REF!</definedName>
    <definedName name="NewSta25_914.743RT" localSheetId="3">'[31]5-2'!#REF!</definedName>
    <definedName name="NewSta25_914.743RT">'[31]5-2'!#REF!</definedName>
    <definedName name="NewSta26_595.245LT" localSheetId="3">'[31]5-2'!#REF!</definedName>
    <definedName name="NewSta26_595.245LT">'[31]5-2'!#REF!</definedName>
    <definedName name="NewSta26_595.245RT" localSheetId="3">'[31]5-2'!#REF!</definedName>
    <definedName name="NewSta26_595.245RT">'[31]5-2'!#REF!</definedName>
    <definedName name="NewSta27_492.900" localSheetId="3">'[31]5-2'!#REF!</definedName>
    <definedName name="NewSta27_492.900">'[31]5-2'!#REF!</definedName>
    <definedName name="NewSta29_436.802" localSheetId="3">'[31]5-2'!#REF!</definedName>
    <definedName name="NewSta29_436.802">'[31]5-2'!#REF!</definedName>
    <definedName name="NewSta29_436.802LT" localSheetId="3">'[31]5-2'!#REF!</definedName>
    <definedName name="NewSta29_436.802LT">'[31]5-2'!#REF!</definedName>
    <definedName name="NewSta30_200.203" localSheetId="3">'[31]5-2'!#REF!</definedName>
    <definedName name="NewSta30_200.203">'[31]5-2'!#REF!</definedName>
    <definedName name="NewSta30_200.203RT" localSheetId="3">'[31]5-2'!#REF!</definedName>
    <definedName name="NewSta30_200.203RT">'[31]5-2'!#REF!</definedName>
    <definedName name="NewSta31_287.813LT" localSheetId="3">'[31]5-2'!#REF!</definedName>
    <definedName name="NewSta31_287.813LT">'[31]5-2'!#REF!</definedName>
    <definedName name="NewSta31_287.813RT" localSheetId="3">'[31]5-2'!#REF!</definedName>
    <definedName name="NewSta31_287.813RT">'[31]5-2'!#REF!</definedName>
    <definedName name="NewSta32_489.199" localSheetId="3">'[31]5-2'!#REF!</definedName>
    <definedName name="NewSta32_489.199">'[31]5-2'!#REF!</definedName>
    <definedName name="NewSta33_321.901" localSheetId="3">'[31]5-2'!#REF!</definedName>
    <definedName name="NewSta33_321.901">'[31]5-2'!#REF!</definedName>
    <definedName name="no_box">[32]Worksheet!$L$8</definedName>
    <definedName name="PAKCHONGTOLL">[33]ตัดแบ่งกม.ส่งพี่หนุ่ม!$D$35</definedName>
    <definedName name="Pedestrian_Bridge_Type1">'[21]5-2'!$K$2431</definedName>
    <definedName name="Pile_9" localSheetId="3">'[31]5-2'!#REF!</definedName>
    <definedName name="Pile_9" localSheetId="4">'[31]5-2'!#REF!</definedName>
    <definedName name="Pile_9" localSheetId="18">'[31]5-2'!#REF!</definedName>
    <definedName name="Pile_9" localSheetId="19">'[31]5-2'!#REF!</definedName>
    <definedName name="Pile_9" localSheetId="9">'[31]5-2'!#REF!</definedName>
    <definedName name="Pile_9" localSheetId="10">'[31]5-2'!#REF!</definedName>
    <definedName name="Pile_9" localSheetId="11">'[31]5-2'!#REF!</definedName>
    <definedName name="Pile_9" localSheetId="12">'[31]5-2'!#REF!</definedName>
    <definedName name="Pile_9" localSheetId="13">'[31]5-2'!#REF!</definedName>
    <definedName name="Pile_9" localSheetId="14">'[31]5-2'!#REF!</definedName>
    <definedName name="Pile_9" localSheetId="15">'[31]5-2'!#REF!</definedName>
    <definedName name="Pile_9" localSheetId="16">'[31]5-2'!#REF!</definedName>
    <definedName name="Pile_9" localSheetId="17">'[31]5-2'!#REF!</definedName>
    <definedName name="Pile_9" localSheetId="8">'[31]5-2'!#REF!</definedName>
    <definedName name="Pile_9" localSheetId="7">'[31]5-2'!#REF!</definedName>
    <definedName name="Pile_9" localSheetId="6">'[31]5-2'!#REF!</definedName>
    <definedName name="Pile_9" localSheetId="20">'[31]5-2'!#REF!</definedName>
    <definedName name="Pile_9" localSheetId="5">'[31]5-2'!#REF!</definedName>
    <definedName name="Pile_9" localSheetId="21">'[31]5-2'!#REF!</definedName>
    <definedName name="Pile_9" localSheetId="34">'[31]5-2'!#REF!</definedName>
    <definedName name="Pile_9" localSheetId="35">'[31]5-2'!#REF!</definedName>
    <definedName name="Pile_9" localSheetId="25">'[31]5-2'!#REF!</definedName>
    <definedName name="Pile_9" localSheetId="27">'[31]5-2'!#REF!</definedName>
    <definedName name="Pile_9" localSheetId="28">'[31]5-2'!#REF!</definedName>
    <definedName name="Pile_9" localSheetId="29">'[31]5-2'!#REF!</definedName>
    <definedName name="Pile_9" localSheetId="31">'[31]5-2'!#REF!</definedName>
    <definedName name="Pile_9" localSheetId="32">'[31]5-2'!#REF!</definedName>
    <definedName name="Pile_9" localSheetId="33">'[31]5-2'!#REF!</definedName>
    <definedName name="Pile_9" localSheetId="24">'[31]5-2'!#REF!</definedName>
    <definedName name="Pile_9" localSheetId="23">'[31]5-2'!#REF!</definedName>
    <definedName name="Pile_9" localSheetId="36">'[31]5-2'!#REF!</definedName>
    <definedName name="Pile_9" localSheetId="22">'[31]5-2'!#REF!</definedName>
    <definedName name="Pile_9" localSheetId="26">'[31]5-2'!#REF!</definedName>
    <definedName name="Pile_9" localSheetId="30">'[31]5-2'!#REF!</definedName>
    <definedName name="Pile_9" localSheetId="41">'[31]5-2'!#REF!</definedName>
    <definedName name="Pile_9" localSheetId="50">'[31]5-2'!#REF!</definedName>
    <definedName name="Pile_9" localSheetId="51">'[31]5-2'!#REF!</definedName>
    <definedName name="Pile_9" localSheetId="42">'[31]5-2'!#REF!</definedName>
    <definedName name="Pile_9" localSheetId="43">'[31]5-2'!#REF!</definedName>
    <definedName name="Pile_9" localSheetId="44">'[31]5-2'!#REF!</definedName>
    <definedName name="Pile_9" localSheetId="45">'[31]5-2'!#REF!</definedName>
    <definedName name="Pile_9" localSheetId="46">'[31]5-2'!#REF!</definedName>
    <definedName name="Pile_9" localSheetId="47">'[31]5-2'!#REF!</definedName>
    <definedName name="Pile_9" localSheetId="48">'[31]5-2'!#REF!</definedName>
    <definedName name="Pile_9" localSheetId="49">'[31]5-2'!#REF!</definedName>
    <definedName name="Pile_9" localSheetId="52">'[31]5-2'!#REF!</definedName>
    <definedName name="Pile_9" localSheetId="40">'[31]5-2'!#REF!</definedName>
    <definedName name="Pile_9" localSheetId="39">'[31]5-2'!#REF!</definedName>
    <definedName name="Pile_9" localSheetId="38">'[31]5-2'!#REF!</definedName>
    <definedName name="Pile_9" localSheetId="37">'[31]5-2'!#REF!</definedName>
    <definedName name="Pile_9" localSheetId="57">'[31]5-2'!#REF!</definedName>
    <definedName name="Pile_9" localSheetId="66">'[31]5-2'!#REF!</definedName>
    <definedName name="Pile_9" localSheetId="67">'[31]5-2'!#REF!</definedName>
    <definedName name="Pile_9" localSheetId="58">'[31]5-2'!#REF!</definedName>
    <definedName name="Pile_9" localSheetId="59">'[31]5-2'!#REF!</definedName>
    <definedName name="Pile_9" localSheetId="60">'[31]5-2'!#REF!</definedName>
    <definedName name="Pile_9" localSheetId="61">'[31]5-2'!#REF!</definedName>
    <definedName name="Pile_9" localSheetId="62">'[31]5-2'!#REF!</definedName>
    <definedName name="Pile_9" localSheetId="63">'[31]5-2'!#REF!</definedName>
    <definedName name="Pile_9" localSheetId="64">'[31]5-2'!#REF!</definedName>
    <definedName name="Pile_9" localSheetId="65">'[31]5-2'!#REF!</definedName>
    <definedName name="Pile_9" localSheetId="68">'[31]5-2'!#REF!</definedName>
    <definedName name="Pile_9" localSheetId="56">'[31]5-2'!#REF!</definedName>
    <definedName name="Pile_9" localSheetId="55">'[31]5-2'!#REF!</definedName>
    <definedName name="Pile_9" localSheetId="54">'[31]5-2'!#REF!</definedName>
    <definedName name="Pile_9" localSheetId="53">'[31]5-2'!#REF!</definedName>
    <definedName name="Pile_9" localSheetId="85">'[31]5-2'!#REF!</definedName>
    <definedName name="Pile_9" localSheetId="86">'[31]5-2'!#REF!</definedName>
    <definedName name="Pile_9" localSheetId="2">'[31]5-2'!#REF!</definedName>
    <definedName name="Pile_9">'[31]5-2'!#REF!</definedName>
    <definedName name="Pile0.26x0.26_L11">'[21]5-2'!$J$1964</definedName>
    <definedName name="Pile0.26x0.26_L13">'[21]5-2'!$J$1952</definedName>
    <definedName name="Pile0.26x0.26_L15">'[21]5-2'!$J$1940</definedName>
    <definedName name="Pile0.26x0.26_L17">'[21]5-2'!$J$1928</definedName>
    <definedName name="Pile0.26x0.26_L19">'[21]5-2'!$J$1916</definedName>
    <definedName name="Pile0.26x0.26_L7">'[21]5-2'!$J$1988</definedName>
    <definedName name="Pile0.26x0.26_L9">'[21]5-2'!$J$1976</definedName>
    <definedName name="Pipe_0.80">'[21]5-2'!$J$2291</definedName>
    <definedName name="Pipe_1.00">'[21]5-2'!$J$2304</definedName>
    <definedName name="Pipe_1.20">'[21]5-2'!$J$2317</definedName>
    <definedName name="_xlnm.Print_Area" localSheetId="3">'01.ST อาคารทิศตะวันตก'!$A$1:$L$1635</definedName>
    <definedName name="_xlnm.Print_Area" localSheetId="4">'02.AR อาคารทิศตะวันตก'!$A$1:$L$4623</definedName>
    <definedName name="_xlnm.Print_Area" localSheetId="18">'03.EE-ทิศตะวันตก (10FL)'!$A$1:$L$346</definedName>
    <definedName name="_xlnm.Print_Area" localSheetId="19">'03.EE-ทิศตะวันตก (11FL)'!$A$1:$L$322</definedName>
    <definedName name="_xlnm.Print_Area" localSheetId="9">'03.EE-ทิศตะวันตก (1FL)'!$A$1:$L$442</definedName>
    <definedName name="_xlnm.Print_Area" localSheetId="10">'03.EE-ทิศตะวันตก (2FL)'!$A$1:$L$346</definedName>
    <definedName name="_xlnm.Print_Area" localSheetId="11">'03.EE-ทิศตะวันตก (3FL)'!$A$1:$L$370</definedName>
    <definedName name="_xlnm.Print_Area" localSheetId="12">'03.EE-ทิศตะวันตก (4FL)'!$A$1:$L$346</definedName>
    <definedName name="_xlnm.Print_Area" localSheetId="13">'03.EE-ทิศตะวันตก (5FL)'!$A$1:$L$322</definedName>
    <definedName name="_xlnm.Print_Area" localSheetId="14">'03.EE-ทิศตะวันตก (6FL)'!$A$1:$L$370</definedName>
    <definedName name="_xlnm.Print_Area" localSheetId="15">'03.EE-ทิศตะวันตก (7FL)'!$A$1:$L$322</definedName>
    <definedName name="_xlnm.Print_Area" localSheetId="16">'03.EE-ทิศตะวันตก (8FL)'!$A$1:$L$322</definedName>
    <definedName name="_xlnm.Print_Area" localSheetId="17">'03.EE-ทิศตะวันตก (9FL)'!$A$1:$L$370</definedName>
    <definedName name="_xlnm.Print_Area" localSheetId="8">'03.EE-ทิศตะวันตก (B1)'!$A$1:$L$394</definedName>
    <definedName name="_xlnm.Print_Area" localSheetId="7">'03.EE-ทิศตะวันตก (B2)'!$A$1:$L$298</definedName>
    <definedName name="_xlnm.Print_Area" localSheetId="6">'03.EE-ทิศตะวันตก (Main)'!$A$1:$L$586</definedName>
    <definedName name="_xlnm.Print_Area" localSheetId="20">'03.EE-ทิศตะวันตก (RFL)'!$A$1:$L$346</definedName>
    <definedName name="_xlnm.Print_Area" localSheetId="5">'03.SUM-EE-ทิศตะวันตก'!$A$1:$L$33</definedName>
    <definedName name="_xlnm.Print_Area" localSheetId="34">'04.TV.อาคารตะวันตก (10FL)'!$A$1:$L$57</definedName>
    <definedName name="_xlnm.Print_Area" localSheetId="35">'04.TV.อาคารตะวันตก (11FL)'!$A$1:$L$57</definedName>
    <definedName name="_xlnm.Print_Area" localSheetId="25">'04.TV.อาคารตะวันตก (1FL)'!$A$1:$L$57</definedName>
    <definedName name="_xlnm.Print_Area" localSheetId="27">'04.TV.อาคารตะวันตก (3FL)'!$A$1:$L$57</definedName>
    <definedName name="_xlnm.Print_Area" localSheetId="28">'04.TV.อาคารตะวันตก (4FL)'!$A$1:$L$57</definedName>
    <definedName name="_xlnm.Print_Area" localSheetId="29">'04.TV.อาคารตะวันตก (5FL)'!$A$1:$L$57</definedName>
    <definedName name="_xlnm.Print_Area" localSheetId="31">'04.TV.อาคารตะวันตก (7FL)'!$A$1:$L$57</definedName>
    <definedName name="_xlnm.Print_Area" localSheetId="32">'04.TV.อาคารตะวันตก (8FL)'!$A$1:$L$57</definedName>
    <definedName name="_xlnm.Print_Area" localSheetId="33">'04.TV.อาคารตะวันตก (9FL)'!$A$1:$L$57</definedName>
    <definedName name="_xlnm.Print_Area" localSheetId="24">'04.TV.อาคารตะวันตก (B1)'!$A$1:$L$57</definedName>
    <definedName name="_xlnm.Print_Area" localSheetId="23">'04.TV.อาคารตะวันตก (B2)'!$A$1:$L$57</definedName>
    <definedName name="_xlnm.Print_Area" localSheetId="36">'04.TV.อาคารตะวันตก (RFL)'!$A$1:$L$57</definedName>
    <definedName name="_xlnm.Print_Area" localSheetId="26">'04.TVอาคารตะวันตก (2FL)'!$A$1:$L$57</definedName>
    <definedName name="_xlnm.Print_Area" localSheetId="30">'04.TVอาคารตะวันตก (6FL)'!$A$1:$L$57</definedName>
    <definedName name="_xlnm.Print_Area" localSheetId="41">'05.SAN อาคารทิศตะวันตก (FL1)'!$A$1:$L$135</definedName>
    <definedName name="_xlnm.Print_Area" localSheetId="50">'05.SAN อาคารทิศตะวันตก (FL10)'!$A$1:$L$109</definedName>
    <definedName name="_xlnm.Print_Area" localSheetId="51">'05.SAN อาคารทิศตะวันตก (FL11)'!$A$1:$L$109</definedName>
    <definedName name="_xlnm.Print_Area" localSheetId="42">'05.SAN อาคารทิศตะวันตก (FL2)'!$A$1:$L$109</definedName>
    <definedName name="_xlnm.Print_Area" localSheetId="43">'05.SAN อาคารทิศตะวันตก (FL3)'!$A$1:$L$109</definedName>
    <definedName name="_xlnm.Print_Area" localSheetId="44">'05.SAN อาคารทิศตะวันตก (FL4)'!$A$1:$L$109</definedName>
    <definedName name="_xlnm.Print_Area" localSheetId="45">'05.SAN อาคารทิศตะวันตก (FL5)'!$A$1:$L$109</definedName>
    <definedName name="_xlnm.Print_Area" localSheetId="46">'05.SAN อาคารทิศตะวันตก (FL6)'!$A$1:$L$109</definedName>
    <definedName name="_xlnm.Print_Area" localSheetId="47">'05.SAN อาคารทิศตะวันตก (FL7)'!$A$1:$L$109</definedName>
    <definedName name="_xlnm.Print_Area" localSheetId="48">'05.SAN อาคารทิศตะวันตก (FL8)'!$A$1:$L$109</definedName>
    <definedName name="_xlnm.Print_Area" localSheetId="49">'05.SAN อาคารทิศตะวันตก (FL9)'!$A$1:$L$109</definedName>
    <definedName name="_xlnm.Print_Area" localSheetId="52">'05.SAN อาคารทิศตะวันตก (FLR)'!$A$1:$L$111</definedName>
    <definedName name="_xlnm.Print_Area" localSheetId="40">'05.SAN อาคารทิศตะวันตก(B1)'!$A$1:$L$111</definedName>
    <definedName name="_xlnm.Print_Area" localSheetId="39">'05.SAN อาคารทิศตะวันตก(B2)'!$A$1:$L$84</definedName>
    <definedName name="_xlnm.Print_Area" localSheetId="38">'05.SAN อาคารทิศตะวันตก(Main)'!$A$1:$L$184</definedName>
    <definedName name="_xlnm.Print_Area" localSheetId="82">'06.AC อาคารทิศตะวันตก (10FL)'!$A$1:$L$209</definedName>
    <definedName name="_xlnm.Print_Area" localSheetId="83">'06.AC อาคารทิศตะวันตก (11FL)'!$A$1:$L$209</definedName>
    <definedName name="_xlnm.Print_Area" localSheetId="73">'06.AC อาคารทิศตะวันตก (1FL)'!$A$1:$L$259</definedName>
    <definedName name="_xlnm.Print_Area" localSheetId="74">'06.AC อาคารทิศตะวันตก (2FL)'!$A$1:$L$209</definedName>
    <definedName name="_xlnm.Print_Area" localSheetId="75">'06.AC อาคารทิศตะวันตก (3FL)'!$A$1:$L$203</definedName>
    <definedName name="_xlnm.Print_Area" localSheetId="76">'06.AC อาคารทิศตะวันตก (4FL)'!$A$1:$L$234</definedName>
    <definedName name="_xlnm.Print_Area" localSheetId="77">'06.AC อาคารทิศตะวันตก (5FL)'!$A$1:$L$209</definedName>
    <definedName name="_xlnm.Print_Area" localSheetId="78">'06.AC อาคารทิศตะวันตก (6FL)'!$A$1:$L$209</definedName>
    <definedName name="_xlnm.Print_Area" localSheetId="79">'06.AC อาคารทิศตะวันตก (7FL)'!$A$1:$L$234</definedName>
    <definedName name="_xlnm.Print_Area" localSheetId="80">'06.AC อาคารทิศตะวันตก (8FL)'!$A$1:$L$209</definedName>
    <definedName name="_xlnm.Print_Area" localSheetId="81">'06.AC อาคารทิศตะวันตก (9FL)'!$A$1:$L$209</definedName>
    <definedName name="_xlnm.Print_Area" localSheetId="72">'06.AC อาคารทิศตะวันตก (B1FL)'!$A$1:$L$209</definedName>
    <definedName name="_xlnm.Print_Area" localSheetId="71">'06.AC อาคารทิศตะวันตก (B2FL)'!$A$1:$L$184</definedName>
    <definedName name="_xlnm.Print_Area" localSheetId="70">'06.AC อาคารทิศตะวันตก (Main)'!$A$1:$L$384</definedName>
    <definedName name="_xlnm.Print_Area" localSheetId="84">'06.AC อาคารทิศตะวันตก (RFL)'!$A$1:$L$328</definedName>
    <definedName name="_xlnm.Print_Area" localSheetId="57">'06.FP อาคารทิศตะวันตก (FL1)'!$A$1:$L$134</definedName>
    <definedName name="_xlnm.Print_Area" localSheetId="66">'06.FP อาคารทิศตะวันตก (FL10)'!$A$1:$L$134</definedName>
    <definedName name="_xlnm.Print_Area" localSheetId="67">'06.FP อาคารทิศตะวันตก (FL11)'!$A$1:$L$134</definedName>
    <definedName name="_xlnm.Print_Area" localSheetId="58">'06.FP อาคารทิศตะวันตก (FL2)'!$A$1:$L$134</definedName>
    <definedName name="_xlnm.Print_Area" localSheetId="59">'06.FP อาคารทิศตะวันตก (FL3)'!$A$1:$L$134</definedName>
    <definedName name="_xlnm.Print_Area" localSheetId="60">'06.FP อาคารทิศตะวันตก (FL4)'!$A$1:$L$134</definedName>
    <definedName name="_xlnm.Print_Area" localSheetId="61">'06.FP อาคารทิศตะวันตก (FL5)'!$A$1:$L$134</definedName>
    <definedName name="_xlnm.Print_Area" localSheetId="62">'06.FP อาคารทิศตะวันตก (FL6)'!$A$1:$L$134</definedName>
    <definedName name="_xlnm.Print_Area" localSheetId="63">'06.FP อาคารทิศตะวันตก (FL7)'!$A$1:$L$134</definedName>
    <definedName name="_xlnm.Print_Area" localSheetId="64">'06.FP อาคารทิศตะวันตก (FL8)'!$A$1:$L$134</definedName>
    <definedName name="_xlnm.Print_Area" localSheetId="65">'06.FP อาคารทิศตะวันตก (FL9)'!$A$1:$L$134</definedName>
    <definedName name="_xlnm.Print_Area" localSheetId="68">'06.FP อาคารทิศตะวันตก (FLR)'!$A$1:$L$134</definedName>
    <definedName name="_xlnm.Print_Area" localSheetId="56">'06.FP อาคารทิศตะวันตก(B1)'!$A$1:$L$134</definedName>
    <definedName name="_xlnm.Print_Area" localSheetId="55">'06.FP อาคารทิศตะวันตก(B2)'!$A$1:$L$134</definedName>
    <definedName name="_xlnm.Print_Area" localSheetId="54">'06.FP อาคารทิศตะวันตก(Main)'!$A$1:$L$109</definedName>
    <definedName name="_xlnm.Print_Area" localSheetId="86">'08.hardscape- อาคารทิศตะวันตก'!$A$1:$L$129</definedName>
    <definedName name="_xlnm.Print_Area" localSheetId="89">'Factor F'!$A$1:$K$22</definedName>
    <definedName name="_xlnm.Print_Area" localSheetId="88">แบบแสดงการคำนวณค่าใช้จ่ายพิเศษ!$A$1:$H$331</definedName>
    <definedName name="_xlnm.Print_Area" localSheetId="1">'ปร.5(ก)อาคาร'!$A$1:$I$44</definedName>
    <definedName name="_xlnm.Print_Area">#REF!</definedName>
    <definedName name="Print_Area_MI" localSheetId="3">#REF!</definedName>
    <definedName name="Print_Area_MI" localSheetId="4">#REF!</definedName>
    <definedName name="Print_Area_MI" localSheetId="38">#REF!</definedName>
    <definedName name="Print_Area_MI">#REF!</definedName>
    <definedName name="_xlnm.Print_Titles" localSheetId="3">'01.ST อาคารทิศตะวันตก'!$1:$10</definedName>
    <definedName name="_xlnm.Print_Titles" localSheetId="4">'02.AR อาคารทิศตะวันตก'!$1:$10</definedName>
    <definedName name="_xlnm.Print_Titles" localSheetId="18">'03.EE-ทิศตะวันตก (10FL)'!$1:$10</definedName>
    <definedName name="_xlnm.Print_Titles" localSheetId="19">'03.EE-ทิศตะวันตก (11FL)'!$1:$10</definedName>
    <definedName name="_xlnm.Print_Titles" localSheetId="9">'03.EE-ทิศตะวันตก (1FL)'!$1:$10</definedName>
    <definedName name="_xlnm.Print_Titles" localSheetId="10">'03.EE-ทิศตะวันตก (2FL)'!$1:$10</definedName>
    <definedName name="_xlnm.Print_Titles" localSheetId="11">'03.EE-ทิศตะวันตก (3FL)'!$1:$10</definedName>
    <definedName name="_xlnm.Print_Titles" localSheetId="12">'03.EE-ทิศตะวันตก (4FL)'!$1:$10</definedName>
    <definedName name="_xlnm.Print_Titles" localSheetId="13">'03.EE-ทิศตะวันตก (5FL)'!$1:$10</definedName>
    <definedName name="_xlnm.Print_Titles" localSheetId="14">'03.EE-ทิศตะวันตก (6FL)'!$1:$10</definedName>
    <definedName name="_xlnm.Print_Titles" localSheetId="15">'03.EE-ทิศตะวันตก (7FL)'!$1:$10</definedName>
    <definedName name="_xlnm.Print_Titles" localSheetId="16">'03.EE-ทิศตะวันตก (8FL)'!$1:$10</definedName>
    <definedName name="_xlnm.Print_Titles" localSheetId="17">'03.EE-ทิศตะวันตก (9FL)'!$1:$10</definedName>
    <definedName name="_xlnm.Print_Titles" localSheetId="8">'03.EE-ทิศตะวันตก (B1)'!$1:$10</definedName>
    <definedName name="_xlnm.Print_Titles" localSheetId="7">'03.EE-ทิศตะวันตก (B2)'!$1:$10</definedName>
    <definedName name="_xlnm.Print_Titles" localSheetId="6">'03.EE-ทิศตะวันตก (Main)'!$1:$10</definedName>
    <definedName name="_xlnm.Print_Titles" localSheetId="20">'03.EE-ทิศตะวันตก (RFL)'!$1:$10</definedName>
    <definedName name="_xlnm.Print_Titles" localSheetId="34">'04.TV.อาคารตะวันตก (10FL)'!$1:$10</definedName>
    <definedName name="_xlnm.Print_Titles" localSheetId="35">'04.TV.อาคารตะวันตก (11FL)'!$1:$10</definedName>
    <definedName name="_xlnm.Print_Titles" localSheetId="25">'04.TV.อาคารตะวันตก (1FL)'!$1:$10</definedName>
    <definedName name="_xlnm.Print_Titles" localSheetId="27">'04.TV.อาคารตะวันตก (3FL)'!$1:$10</definedName>
    <definedName name="_xlnm.Print_Titles" localSheetId="28">'04.TV.อาคารตะวันตก (4FL)'!$1:$10</definedName>
    <definedName name="_xlnm.Print_Titles" localSheetId="29">'04.TV.อาคารตะวันตก (5FL)'!$1:$10</definedName>
    <definedName name="_xlnm.Print_Titles" localSheetId="31">'04.TV.อาคารตะวันตก (7FL)'!$1:$10</definedName>
    <definedName name="_xlnm.Print_Titles" localSheetId="32">'04.TV.อาคารตะวันตก (8FL)'!$1:$10</definedName>
    <definedName name="_xlnm.Print_Titles" localSheetId="33">'04.TV.อาคารตะวันตก (9FL)'!$1:$10</definedName>
    <definedName name="_xlnm.Print_Titles" localSheetId="24">'04.TV.อาคารตะวันตก (B1)'!$1:$10</definedName>
    <definedName name="_xlnm.Print_Titles" localSheetId="23">'04.TV.อาคารตะวันตก (B2)'!$1:$10</definedName>
    <definedName name="_xlnm.Print_Titles" localSheetId="36">'04.TV.อาคารตะวันตก (RFL)'!$1:$10</definedName>
    <definedName name="_xlnm.Print_Titles" localSheetId="22">'04.TV.อาคารตะวันตก(Main)'!$1:$10</definedName>
    <definedName name="_xlnm.Print_Titles" localSheetId="26">'04.TVอาคารตะวันตก (2FL)'!$1:$10</definedName>
    <definedName name="_xlnm.Print_Titles" localSheetId="30">'04.TVอาคารตะวันตก (6FL)'!$1:$10</definedName>
    <definedName name="_xlnm.Print_Titles" localSheetId="41">'05.SAN อาคารทิศตะวันตก (FL1)'!$1:$10</definedName>
    <definedName name="_xlnm.Print_Titles" localSheetId="50">'05.SAN อาคารทิศตะวันตก (FL10)'!$1:$10</definedName>
    <definedName name="_xlnm.Print_Titles" localSheetId="51">'05.SAN อาคารทิศตะวันตก (FL11)'!$1:$10</definedName>
    <definedName name="_xlnm.Print_Titles" localSheetId="42">'05.SAN อาคารทิศตะวันตก (FL2)'!$1:$10</definedName>
    <definedName name="_xlnm.Print_Titles" localSheetId="43">'05.SAN อาคารทิศตะวันตก (FL3)'!$1:$10</definedName>
    <definedName name="_xlnm.Print_Titles" localSheetId="44">'05.SAN อาคารทิศตะวันตก (FL4)'!$1:$10</definedName>
    <definedName name="_xlnm.Print_Titles" localSheetId="45">'05.SAN อาคารทิศตะวันตก (FL5)'!$1:$10</definedName>
    <definedName name="_xlnm.Print_Titles" localSheetId="46">'05.SAN อาคารทิศตะวันตก (FL6)'!$1:$10</definedName>
    <definedName name="_xlnm.Print_Titles" localSheetId="47">'05.SAN อาคารทิศตะวันตก (FL7)'!$1:$10</definedName>
    <definedName name="_xlnm.Print_Titles" localSheetId="48">'05.SAN อาคารทิศตะวันตก (FL8)'!$1:$10</definedName>
    <definedName name="_xlnm.Print_Titles" localSheetId="49">'05.SAN อาคารทิศตะวันตก (FL9)'!$1:$10</definedName>
    <definedName name="_xlnm.Print_Titles" localSheetId="52">'05.SAN อาคารทิศตะวันตก (FLR)'!$1:$10</definedName>
    <definedName name="_xlnm.Print_Titles" localSheetId="40">'05.SAN อาคารทิศตะวันตก(B1)'!$1:$10</definedName>
    <definedName name="_xlnm.Print_Titles" localSheetId="39">'05.SAN อาคารทิศตะวันตก(B2)'!$1:$10</definedName>
    <definedName name="_xlnm.Print_Titles" localSheetId="38">'05.SAN อาคารทิศตะวันตก(Main)'!$1:$10</definedName>
    <definedName name="_xlnm.Print_Titles" localSheetId="82">'06.AC อาคารทิศตะวันตก (10FL)'!$1:$10</definedName>
    <definedName name="_xlnm.Print_Titles" localSheetId="83">'06.AC อาคารทิศตะวันตก (11FL)'!$1:$10</definedName>
    <definedName name="_xlnm.Print_Titles" localSheetId="73">'06.AC อาคารทิศตะวันตก (1FL)'!$1:$10</definedName>
    <definedName name="_xlnm.Print_Titles" localSheetId="74">'06.AC อาคารทิศตะวันตก (2FL)'!$1:$10</definedName>
    <definedName name="_xlnm.Print_Titles" localSheetId="75">'06.AC อาคารทิศตะวันตก (3FL)'!$1:$10</definedName>
    <definedName name="_xlnm.Print_Titles" localSheetId="76">'06.AC อาคารทิศตะวันตก (4FL)'!$1:$10</definedName>
    <definedName name="_xlnm.Print_Titles" localSheetId="77">'06.AC อาคารทิศตะวันตก (5FL)'!$1:$10</definedName>
    <definedName name="_xlnm.Print_Titles" localSheetId="78">'06.AC อาคารทิศตะวันตก (6FL)'!$1:$10</definedName>
    <definedName name="_xlnm.Print_Titles" localSheetId="79">'06.AC อาคารทิศตะวันตก (7FL)'!$1:$10</definedName>
    <definedName name="_xlnm.Print_Titles" localSheetId="80">'06.AC อาคารทิศตะวันตก (8FL)'!$1:$10</definedName>
    <definedName name="_xlnm.Print_Titles" localSheetId="81">'06.AC อาคารทิศตะวันตก (9FL)'!$1:$10</definedName>
    <definedName name="_xlnm.Print_Titles" localSheetId="72">'06.AC อาคารทิศตะวันตก (B1FL)'!$1:$10</definedName>
    <definedName name="_xlnm.Print_Titles" localSheetId="71">'06.AC อาคารทิศตะวันตก (B2FL)'!$1:$10</definedName>
    <definedName name="_xlnm.Print_Titles" localSheetId="70">'06.AC อาคารทิศตะวันตก (Main)'!$1:$10</definedName>
    <definedName name="_xlnm.Print_Titles" localSheetId="84">'06.AC อาคารทิศตะวันตก (RFL)'!$1:$10</definedName>
    <definedName name="_xlnm.Print_Titles" localSheetId="57">'06.FP อาคารทิศตะวันตก (FL1)'!$1:$10</definedName>
    <definedName name="_xlnm.Print_Titles" localSheetId="66">'06.FP อาคารทิศตะวันตก (FL10)'!$1:$10</definedName>
    <definedName name="_xlnm.Print_Titles" localSheetId="67">'06.FP อาคารทิศตะวันตก (FL11)'!$1:$10</definedName>
    <definedName name="_xlnm.Print_Titles" localSheetId="58">'06.FP อาคารทิศตะวันตก (FL2)'!$1:$10</definedName>
    <definedName name="_xlnm.Print_Titles" localSheetId="59">'06.FP อาคารทิศตะวันตก (FL3)'!$1:$10</definedName>
    <definedName name="_xlnm.Print_Titles" localSheetId="60">'06.FP อาคารทิศตะวันตก (FL4)'!$1:$10</definedName>
    <definedName name="_xlnm.Print_Titles" localSheetId="61">'06.FP อาคารทิศตะวันตก (FL5)'!$1:$10</definedName>
    <definedName name="_xlnm.Print_Titles" localSheetId="62">'06.FP อาคารทิศตะวันตก (FL6)'!$1:$10</definedName>
    <definedName name="_xlnm.Print_Titles" localSheetId="63">'06.FP อาคารทิศตะวันตก (FL7)'!$1:$10</definedName>
    <definedName name="_xlnm.Print_Titles" localSheetId="64">'06.FP อาคารทิศตะวันตก (FL8)'!$1:$10</definedName>
    <definedName name="_xlnm.Print_Titles" localSheetId="65">'06.FP อาคารทิศตะวันตก (FL9)'!$1:$10</definedName>
    <definedName name="_xlnm.Print_Titles" localSheetId="68">'06.FP อาคารทิศตะวันตก (FLR)'!$1:$10</definedName>
    <definedName name="_xlnm.Print_Titles" localSheetId="56">'06.FP อาคารทิศตะวันตก(B1)'!$1:$10</definedName>
    <definedName name="_xlnm.Print_Titles" localSheetId="55">'06.FP อาคารทิศตะวันตก(B2)'!$1:$10</definedName>
    <definedName name="_xlnm.Print_Titles" localSheetId="54">'06.FP อาคารทิศตะวันตก(Main)'!$1:$10</definedName>
    <definedName name="_xlnm.Print_Titles" localSheetId="85">'07.LIFT-อาคารทิศตะวันตก (2)'!$1:$10</definedName>
    <definedName name="_xlnm.Print_Titles" localSheetId="86">'08.hardscape- อาคารทิศตะวันตก'!$1:$10</definedName>
    <definedName name="_xlnm.Print_Titles" localSheetId="88">แบบแสดงการคำนวณค่าใช้จ่ายพิเศษ!$1:$11</definedName>
    <definedName name="ProjectName">'[34]Backup Data'!$B$3</definedName>
    <definedName name="PvStr3">"Base Course"</definedName>
    <definedName name="PvStr4">"Subbase Course"</definedName>
    <definedName name="PvStr5">"Select Mat"</definedName>
    <definedName name="PvStr6">"PvStr6"</definedName>
    <definedName name="QQQQQ" localSheetId="3">#REF!</definedName>
    <definedName name="QQQQQ" localSheetId="4">#REF!</definedName>
    <definedName name="QQQQQ" localSheetId="38">#REF!</definedName>
    <definedName name="QQQQQ">#REF!</definedName>
    <definedName name="QTY1.7">'[35]B.O.Q'!$D$38</definedName>
    <definedName name="QTY3.7">'[35]B.O.Q'!$D$149</definedName>
    <definedName name="QTY6.3.13.2">'[35]B.O.Q'!$D$641</definedName>
    <definedName name="R.C.DitchTypeA_H_0.80" localSheetId="3">'[25]6'!$I$1492</definedName>
    <definedName name="R.C.DitchTypeA_H_0.80" localSheetId="4">'[26]6'!$I$1492</definedName>
    <definedName name="R.C.DitchTypeA_H_0.80" localSheetId="86">'[26]6'!$I$1492</definedName>
    <definedName name="R.C.DitchTypeA_H_0.80">'[27]6'!$I$1492</definedName>
    <definedName name="R.C.DrainChute">'[21]6'!$J$167</definedName>
    <definedName name="R.C.DrainOutlet">'[21]6'!$J$298</definedName>
    <definedName name="R.C.DrainOutLet_TypeI_0.40">'[21]6'!$J$259</definedName>
    <definedName name="R.C.GutterTypeI">'[21]6'!$J$2104</definedName>
    <definedName name="R.C.GutterTypeII">'[21]6'!$J$2116</definedName>
    <definedName name="R.C.GutterTypeIII">'[21]6'!$J$2128</definedName>
    <definedName name="R.C.HeadWall_BoxCulvert_TypeII2.10x2.10m.">'[21]6'!$J$1847</definedName>
    <definedName name="R.C.HeadWall_BoxCulvert1.80x1.80m.">'[21]6'!$J$1825</definedName>
    <definedName name="R.C.HeadWall_BoxCulvert2.10x2.10m.">'[21]6'!$J$1835</definedName>
    <definedName name="R.C.InterceptorTypeI">'[21]6'!$J$2142</definedName>
    <definedName name="R.C.InterceptorTypeII">'[21]6'!$J$2154</definedName>
    <definedName name="R.C.ManholeTypeA_0.60" localSheetId="3">'[25]6'!$I$278</definedName>
    <definedName name="R.C.ManholeTypeA_0.60" localSheetId="4">'[26]6'!$I$278</definedName>
    <definedName name="R.C.ManholeTypeA_0.60" localSheetId="86">'[26]6'!$I$278</definedName>
    <definedName name="R.C.ManholeTypeA_0.60">'[27]6'!$I$278</definedName>
    <definedName name="R.C.ManholeTypeB_0.60" localSheetId="3">'[25]6'!$I$305</definedName>
    <definedName name="R.C.ManholeTypeB_0.60" localSheetId="4">'[26]6'!$I$305</definedName>
    <definedName name="R.C.ManholeTypeB_0.60" localSheetId="86">'[26]6'!$I$305</definedName>
    <definedName name="R.C.ManholeTypeB_0.60">'[27]6'!$I$305</definedName>
    <definedName name="R.C.ManholeTypeB_0.80" localSheetId="3">'[25]6'!$I$333</definedName>
    <definedName name="R.C.ManholeTypeB_0.80" localSheetId="4">'[26]6'!$I$333</definedName>
    <definedName name="R.C.ManholeTypeB_0.80" localSheetId="86">'[26]6'!$I$333</definedName>
    <definedName name="R.C.ManholeTypeB_0.80">'[27]6'!$I$333</definedName>
    <definedName name="R.C.ManholeTypeB_1.00" localSheetId="3">'[25]6'!$I$361</definedName>
    <definedName name="R.C.ManholeTypeB_1.00" localSheetId="4">'[26]6'!$I$361</definedName>
    <definedName name="R.C.ManholeTypeB_1.00" localSheetId="86">'[26]6'!$I$361</definedName>
    <definedName name="R.C.ManholeTypeB_1.00">'[27]6'!$I$361</definedName>
    <definedName name="R.C.ManholeTypeC_1.00" localSheetId="3">'[25]6'!$I$554</definedName>
    <definedName name="R.C.ManholeTypeC_1.00" localSheetId="4">'[26]6'!$I$554</definedName>
    <definedName name="R.C.ManholeTypeC_1.00" localSheetId="86">'[26]6'!$I$554</definedName>
    <definedName name="R.C.ManholeTypeC_1.00">'[27]6'!$I$554</definedName>
    <definedName name="R.C.ManholeTypeC_1.20" localSheetId="3">'[25]6'!$I$582</definedName>
    <definedName name="R.C.ManholeTypeC_1.20" localSheetId="4">'[26]6'!$I$582</definedName>
    <definedName name="R.C.ManholeTypeC_1.20" localSheetId="86">'[26]6'!$I$582</definedName>
    <definedName name="R.C.ManholeTypeC_1.20">'[27]6'!$I$582</definedName>
    <definedName name="R.C.ManholeTypeF" localSheetId="3">'[25]6'!$I$749</definedName>
    <definedName name="R.C.ManholeTypeF" localSheetId="4">'[26]6'!$I$749</definedName>
    <definedName name="R.C.ManholeTypeF" localSheetId="86">'[26]6'!$I$749</definedName>
    <definedName name="R.C.ManholeTypeF">'[27]6'!$I$749</definedName>
    <definedName name="R.C.PipeCulvert_0.30" localSheetId="3">'[25]5'!$J$34</definedName>
    <definedName name="R.C.PipeCulvert_0.30" localSheetId="4">'[26]5'!$J$34</definedName>
    <definedName name="R.C.PipeCulvert_0.30" localSheetId="86">'[26]5'!$J$34</definedName>
    <definedName name="R.C.PipeCulvert_0.30">'[27]5'!$J$34</definedName>
    <definedName name="R.C.PipeCulverts_0.40" localSheetId="3">'[25]5'!$J$48</definedName>
    <definedName name="R.C.PipeCulverts_0.40" localSheetId="4">'[26]5'!$J$48</definedName>
    <definedName name="R.C.PipeCulverts_0.40" localSheetId="86">'[26]5'!$J$48</definedName>
    <definedName name="R.C.PipeCulverts_0.40">'[27]5'!$J$48</definedName>
    <definedName name="R.C.PipeCulverts_0.60" localSheetId="3">'[25]5'!$J$61</definedName>
    <definedName name="R.C.PipeCulverts_0.60" localSheetId="4">'[26]5'!$J$61</definedName>
    <definedName name="R.C.PipeCulverts_0.60" localSheetId="86">'[26]5'!$J$61</definedName>
    <definedName name="R.C.PipeCulverts_0.60">'[27]5'!$J$61</definedName>
    <definedName name="R.C.PipeCulverts_0.80" localSheetId="3">'[25]5'!$J$74</definedName>
    <definedName name="R.C.PipeCulverts_0.80" localSheetId="4">'[26]5'!$J$74</definedName>
    <definedName name="R.C.PipeCulverts_0.80" localSheetId="86">'[26]5'!$J$74</definedName>
    <definedName name="R.C.PipeCulverts_0.80">'[27]5'!$J$74</definedName>
    <definedName name="R.C.PipeCulverts_1.00" localSheetId="3">'[25]5'!$J$87</definedName>
    <definedName name="R.C.PipeCulverts_1.00" localSheetId="4">'[26]5'!$J$87</definedName>
    <definedName name="R.C.PipeCulverts_1.00" localSheetId="86">'[26]5'!$J$87</definedName>
    <definedName name="R.C.PipeCulverts_1.00">'[27]5'!$J$87</definedName>
    <definedName name="R.C.PipeCulverts_1.20" localSheetId="3">'[25]5'!$J$100</definedName>
    <definedName name="R.C.PipeCulverts_1.20" localSheetId="4">'[26]5'!$J$100</definedName>
    <definedName name="R.C.PipeCulverts_1.20" localSheetId="86">'[26]5'!$J$100</definedName>
    <definedName name="R.C.PipeCulverts_1.20">'[27]5'!$J$100</definedName>
    <definedName name="R.C.PipeCulverts_1.50" localSheetId="3">'[25]5'!$J$113</definedName>
    <definedName name="R.C.PipeCulverts_1.50" localSheetId="4">'[26]5'!$J$113</definedName>
    <definedName name="R.C.PipeCulverts_1.50" localSheetId="86">'[26]5'!$J$113</definedName>
    <definedName name="R.C.PipeCulverts_1.50">'[27]5'!$J$113</definedName>
    <definedName name="R.C.REcTANGULAR">'[21]6'!$J$1625</definedName>
    <definedName name="RC.DrainOutlet_TypeII">'[21]6'!$J$286</definedName>
    <definedName name="RC.Interceptor_TypeIII">'[21]6'!$J$1881</definedName>
    <definedName name="Removal_PipeCulvert1.00">[21]REMOVAL!$J$376</definedName>
    <definedName name="RET">'[36]11 ข้อมูลงานCon'!$R$11</definedName>
    <definedName name="RetainingWall_TypeA_I_H2.50">'[21]6'!$J$2297</definedName>
    <definedName name="RetainingWall_TypeA_I_H3.50">'[21]6'!$J$2309</definedName>
    <definedName name="ROCK.AC" localSheetId="3">'[29]3ข้อมูลวัสดุ-ค่าดำเนิน'!#REF!</definedName>
    <definedName name="ROCK.AC" localSheetId="4">'[29]3ข้อมูลวัสดุ-ค่าดำเนิน'!#REF!</definedName>
    <definedName name="ROCK.AC" localSheetId="18">'[29]3ข้อมูลวัสดุ-ค่าดำเนิน'!#REF!</definedName>
    <definedName name="ROCK.AC" localSheetId="19">'[29]3ข้อมูลวัสดุ-ค่าดำเนิน'!#REF!</definedName>
    <definedName name="ROCK.AC" localSheetId="9">'[29]3ข้อมูลวัสดุ-ค่าดำเนิน'!#REF!</definedName>
    <definedName name="ROCK.AC" localSheetId="10">'[29]3ข้อมูลวัสดุ-ค่าดำเนิน'!#REF!</definedName>
    <definedName name="ROCK.AC" localSheetId="11">'[29]3ข้อมูลวัสดุ-ค่าดำเนิน'!#REF!</definedName>
    <definedName name="ROCK.AC" localSheetId="12">'[29]3ข้อมูลวัสดุ-ค่าดำเนิน'!#REF!</definedName>
    <definedName name="ROCK.AC" localSheetId="13">'[29]3ข้อมูลวัสดุ-ค่าดำเนิน'!#REF!</definedName>
    <definedName name="ROCK.AC" localSheetId="14">'[29]3ข้อมูลวัสดุ-ค่าดำเนิน'!#REF!</definedName>
    <definedName name="ROCK.AC" localSheetId="15">'[29]3ข้อมูลวัสดุ-ค่าดำเนิน'!#REF!</definedName>
    <definedName name="ROCK.AC" localSheetId="16">'[29]3ข้อมูลวัสดุ-ค่าดำเนิน'!#REF!</definedName>
    <definedName name="ROCK.AC" localSheetId="17">'[29]3ข้อมูลวัสดุ-ค่าดำเนิน'!#REF!</definedName>
    <definedName name="ROCK.AC" localSheetId="8">'[29]3ข้อมูลวัสดุ-ค่าดำเนิน'!#REF!</definedName>
    <definedName name="ROCK.AC" localSheetId="7">'[29]3ข้อมูลวัสดุ-ค่าดำเนิน'!#REF!</definedName>
    <definedName name="ROCK.AC" localSheetId="6">'[29]3ข้อมูลวัสดุ-ค่าดำเนิน'!#REF!</definedName>
    <definedName name="ROCK.AC" localSheetId="20">'[29]3ข้อมูลวัสดุ-ค่าดำเนิน'!#REF!</definedName>
    <definedName name="ROCK.AC" localSheetId="5">'[29]3ข้อมูลวัสดุ-ค่าดำเนิน'!#REF!</definedName>
    <definedName name="ROCK.AC" localSheetId="21">'[29]3ข้อมูลวัสดุ-ค่าดำเนิน'!#REF!</definedName>
    <definedName name="ROCK.AC" localSheetId="34">'[29]3ข้อมูลวัสดุ-ค่าดำเนิน'!#REF!</definedName>
    <definedName name="ROCK.AC" localSheetId="35">'[29]3ข้อมูลวัสดุ-ค่าดำเนิน'!#REF!</definedName>
    <definedName name="ROCK.AC" localSheetId="25">'[29]3ข้อมูลวัสดุ-ค่าดำเนิน'!#REF!</definedName>
    <definedName name="ROCK.AC" localSheetId="27">'[29]3ข้อมูลวัสดุ-ค่าดำเนิน'!#REF!</definedName>
    <definedName name="ROCK.AC" localSheetId="28">'[29]3ข้อมูลวัสดุ-ค่าดำเนิน'!#REF!</definedName>
    <definedName name="ROCK.AC" localSheetId="29">'[29]3ข้อมูลวัสดุ-ค่าดำเนิน'!#REF!</definedName>
    <definedName name="ROCK.AC" localSheetId="31">'[29]3ข้อมูลวัสดุ-ค่าดำเนิน'!#REF!</definedName>
    <definedName name="ROCK.AC" localSheetId="32">'[29]3ข้อมูลวัสดุ-ค่าดำเนิน'!#REF!</definedName>
    <definedName name="ROCK.AC" localSheetId="33">'[29]3ข้อมูลวัสดุ-ค่าดำเนิน'!#REF!</definedName>
    <definedName name="ROCK.AC" localSheetId="24">'[29]3ข้อมูลวัสดุ-ค่าดำเนิน'!#REF!</definedName>
    <definedName name="ROCK.AC" localSheetId="23">'[29]3ข้อมูลวัสดุ-ค่าดำเนิน'!#REF!</definedName>
    <definedName name="ROCK.AC" localSheetId="36">'[29]3ข้อมูลวัสดุ-ค่าดำเนิน'!#REF!</definedName>
    <definedName name="ROCK.AC" localSheetId="22">'[29]3ข้อมูลวัสดุ-ค่าดำเนิน'!#REF!</definedName>
    <definedName name="ROCK.AC" localSheetId="26">'[29]3ข้อมูลวัสดุ-ค่าดำเนิน'!#REF!</definedName>
    <definedName name="ROCK.AC" localSheetId="30">'[29]3ข้อมูลวัสดุ-ค่าดำเนิน'!#REF!</definedName>
    <definedName name="ROCK.AC" localSheetId="41">'[29]3ข้อมูลวัสดุ-ค่าดำเนิน'!#REF!</definedName>
    <definedName name="ROCK.AC" localSheetId="50">'[29]3ข้อมูลวัสดุ-ค่าดำเนิน'!#REF!</definedName>
    <definedName name="ROCK.AC" localSheetId="51">'[29]3ข้อมูลวัสดุ-ค่าดำเนิน'!#REF!</definedName>
    <definedName name="ROCK.AC" localSheetId="42">'[29]3ข้อมูลวัสดุ-ค่าดำเนิน'!#REF!</definedName>
    <definedName name="ROCK.AC" localSheetId="43">'[29]3ข้อมูลวัสดุ-ค่าดำเนิน'!#REF!</definedName>
    <definedName name="ROCK.AC" localSheetId="44">'[29]3ข้อมูลวัสดุ-ค่าดำเนิน'!#REF!</definedName>
    <definedName name="ROCK.AC" localSheetId="45">'[29]3ข้อมูลวัสดุ-ค่าดำเนิน'!#REF!</definedName>
    <definedName name="ROCK.AC" localSheetId="46">'[29]3ข้อมูลวัสดุ-ค่าดำเนิน'!#REF!</definedName>
    <definedName name="ROCK.AC" localSheetId="47">'[29]3ข้อมูลวัสดุ-ค่าดำเนิน'!#REF!</definedName>
    <definedName name="ROCK.AC" localSheetId="48">'[29]3ข้อมูลวัสดุ-ค่าดำเนิน'!#REF!</definedName>
    <definedName name="ROCK.AC" localSheetId="49">'[29]3ข้อมูลวัสดุ-ค่าดำเนิน'!#REF!</definedName>
    <definedName name="ROCK.AC" localSheetId="52">'[29]3ข้อมูลวัสดุ-ค่าดำเนิน'!#REF!</definedName>
    <definedName name="ROCK.AC" localSheetId="40">'[29]3ข้อมูลวัสดุ-ค่าดำเนิน'!#REF!</definedName>
    <definedName name="ROCK.AC" localSheetId="39">'[29]3ข้อมูลวัสดุ-ค่าดำเนิน'!#REF!</definedName>
    <definedName name="ROCK.AC" localSheetId="38">'[29]3ข้อมูลวัสดุ-ค่าดำเนิน'!#REF!</definedName>
    <definedName name="ROCK.AC" localSheetId="37">'[29]3ข้อมูลวัสดุ-ค่าดำเนิน'!#REF!</definedName>
    <definedName name="ROCK.AC" localSheetId="57">'[29]3ข้อมูลวัสดุ-ค่าดำเนิน'!#REF!</definedName>
    <definedName name="ROCK.AC" localSheetId="66">'[29]3ข้อมูลวัสดุ-ค่าดำเนิน'!#REF!</definedName>
    <definedName name="ROCK.AC" localSheetId="67">'[29]3ข้อมูลวัสดุ-ค่าดำเนิน'!#REF!</definedName>
    <definedName name="ROCK.AC" localSheetId="58">'[29]3ข้อมูลวัสดุ-ค่าดำเนิน'!#REF!</definedName>
    <definedName name="ROCK.AC" localSheetId="59">'[29]3ข้อมูลวัสดุ-ค่าดำเนิน'!#REF!</definedName>
    <definedName name="ROCK.AC" localSheetId="60">'[29]3ข้อมูลวัสดุ-ค่าดำเนิน'!#REF!</definedName>
    <definedName name="ROCK.AC" localSheetId="61">'[29]3ข้อมูลวัสดุ-ค่าดำเนิน'!#REF!</definedName>
    <definedName name="ROCK.AC" localSheetId="62">'[29]3ข้อมูลวัสดุ-ค่าดำเนิน'!#REF!</definedName>
    <definedName name="ROCK.AC" localSheetId="63">'[29]3ข้อมูลวัสดุ-ค่าดำเนิน'!#REF!</definedName>
    <definedName name="ROCK.AC" localSheetId="64">'[29]3ข้อมูลวัสดุ-ค่าดำเนิน'!#REF!</definedName>
    <definedName name="ROCK.AC" localSheetId="65">'[29]3ข้อมูลวัสดุ-ค่าดำเนิน'!#REF!</definedName>
    <definedName name="ROCK.AC" localSheetId="68">'[29]3ข้อมูลวัสดุ-ค่าดำเนิน'!#REF!</definedName>
    <definedName name="ROCK.AC" localSheetId="56">'[29]3ข้อมูลวัสดุ-ค่าดำเนิน'!#REF!</definedName>
    <definedName name="ROCK.AC" localSheetId="55">'[29]3ข้อมูลวัสดุ-ค่าดำเนิน'!#REF!</definedName>
    <definedName name="ROCK.AC" localSheetId="54">'[29]3ข้อมูลวัสดุ-ค่าดำเนิน'!#REF!</definedName>
    <definedName name="ROCK.AC" localSheetId="53">'[29]3ข้อมูลวัสดุ-ค่าดำเนิน'!#REF!</definedName>
    <definedName name="ROCK.AC" localSheetId="85">'[29]3ข้อมูลวัสดุ-ค่าดำเนิน'!#REF!</definedName>
    <definedName name="ROCK.AC" localSheetId="86">'[29]3ข้อมูลวัสดุ-ค่าดำเนิน'!#REF!</definedName>
    <definedName name="ROCK.AC" localSheetId="2">'[29]3ข้อมูลวัสดุ-ค่าดำเนิน'!#REF!</definedName>
    <definedName name="ROCK.AC">'[29]3ข้อมูลวัสดุ-ค่าดำเนิน'!#REF!</definedName>
    <definedName name="ROCK_CON">'[37]6.ข้อมูลวัสดุ-ค่าดำเนิน'!$X$31</definedName>
    <definedName name="RockGabions">'[21]6'!$J$93</definedName>
    <definedName name="RockMattress">'[21]6'!$J$2091</definedName>
    <definedName name="rung" localSheetId="3">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</definedName>
    <definedName name="rung" localSheetId="4">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</definedName>
    <definedName name="rung" localSheetId="38">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</definedName>
    <definedName name="rung" localSheetId="86">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</definedName>
    <definedName name="rung">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,[38]LITF!#REF!</definedName>
    <definedName name="s" localSheetId="3">#REF!</definedName>
    <definedName name="s" localSheetId="4">#REF!</definedName>
    <definedName name="s" localSheetId="38">#REF!</definedName>
    <definedName name="s">#REF!</definedName>
    <definedName name="s2l" localSheetId="3">[30]unitcost!#REF!</definedName>
    <definedName name="s2l" localSheetId="4">[30]unitcost!#REF!</definedName>
    <definedName name="s2l" localSheetId="18">[30]unitcost!#REF!</definedName>
    <definedName name="s2l" localSheetId="19">[30]unitcost!#REF!</definedName>
    <definedName name="s2l" localSheetId="9">[30]unitcost!#REF!</definedName>
    <definedName name="s2l" localSheetId="10">[30]unitcost!#REF!</definedName>
    <definedName name="s2l" localSheetId="11">[30]unitcost!#REF!</definedName>
    <definedName name="s2l" localSheetId="12">[30]unitcost!#REF!</definedName>
    <definedName name="s2l" localSheetId="13">[30]unitcost!#REF!</definedName>
    <definedName name="s2l" localSheetId="14">[30]unitcost!#REF!</definedName>
    <definedName name="s2l" localSheetId="15">[30]unitcost!#REF!</definedName>
    <definedName name="s2l" localSheetId="16">[30]unitcost!#REF!</definedName>
    <definedName name="s2l" localSheetId="17">[30]unitcost!#REF!</definedName>
    <definedName name="s2l" localSheetId="8">[30]unitcost!#REF!</definedName>
    <definedName name="s2l" localSheetId="7">[30]unitcost!#REF!</definedName>
    <definedName name="s2l" localSheetId="6">[30]unitcost!#REF!</definedName>
    <definedName name="s2l" localSheetId="20">[30]unitcost!#REF!</definedName>
    <definedName name="s2l" localSheetId="5">[30]unitcost!#REF!</definedName>
    <definedName name="s2l" localSheetId="21">[30]unitcost!#REF!</definedName>
    <definedName name="s2l" localSheetId="34">[30]unitcost!#REF!</definedName>
    <definedName name="s2l" localSheetId="35">[30]unitcost!#REF!</definedName>
    <definedName name="s2l" localSheetId="25">[30]unitcost!#REF!</definedName>
    <definedName name="s2l" localSheetId="27">[30]unitcost!#REF!</definedName>
    <definedName name="s2l" localSheetId="28">[30]unitcost!#REF!</definedName>
    <definedName name="s2l" localSheetId="29">[30]unitcost!#REF!</definedName>
    <definedName name="s2l" localSheetId="31">[30]unitcost!#REF!</definedName>
    <definedName name="s2l" localSheetId="32">[30]unitcost!#REF!</definedName>
    <definedName name="s2l" localSheetId="33">[30]unitcost!#REF!</definedName>
    <definedName name="s2l" localSheetId="24">[30]unitcost!#REF!</definedName>
    <definedName name="s2l" localSheetId="23">[30]unitcost!#REF!</definedName>
    <definedName name="s2l" localSheetId="36">[30]unitcost!#REF!</definedName>
    <definedName name="s2l" localSheetId="22">[30]unitcost!#REF!</definedName>
    <definedName name="s2l" localSheetId="26">[30]unitcost!#REF!</definedName>
    <definedName name="s2l" localSheetId="30">[30]unitcost!#REF!</definedName>
    <definedName name="s2l" localSheetId="41">[30]unitcost!#REF!</definedName>
    <definedName name="s2l" localSheetId="50">[30]unitcost!#REF!</definedName>
    <definedName name="s2l" localSheetId="51">[30]unitcost!#REF!</definedName>
    <definedName name="s2l" localSheetId="42">[30]unitcost!#REF!</definedName>
    <definedName name="s2l" localSheetId="43">[30]unitcost!#REF!</definedName>
    <definedName name="s2l" localSheetId="44">[30]unitcost!#REF!</definedName>
    <definedName name="s2l" localSheetId="45">[30]unitcost!#REF!</definedName>
    <definedName name="s2l" localSheetId="46">[30]unitcost!#REF!</definedName>
    <definedName name="s2l" localSheetId="47">[30]unitcost!#REF!</definedName>
    <definedName name="s2l" localSheetId="48">[30]unitcost!#REF!</definedName>
    <definedName name="s2l" localSheetId="49">[30]unitcost!#REF!</definedName>
    <definedName name="s2l" localSheetId="52">[30]unitcost!#REF!</definedName>
    <definedName name="s2l" localSheetId="40">[30]unitcost!#REF!</definedName>
    <definedName name="s2l" localSheetId="39">[30]unitcost!#REF!</definedName>
    <definedName name="s2l" localSheetId="38">[30]unitcost!#REF!</definedName>
    <definedName name="s2l" localSheetId="37">[30]unitcost!#REF!</definedName>
    <definedName name="s2l" localSheetId="57">[30]unitcost!#REF!</definedName>
    <definedName name="s2l" localSheetId="66">[30]unitcost!#REF!</definedName>
    <definedName name="s2l" localSheetId="67">[30]unitcost!#REF!</definedName>
    <definedName name="s2l" localSheetId="58">[30]unitcost!#REF!</definedName>
    <definedName name="s2l" localSheetId="59">[30]unitcost!#REF!</definedName>
    <definedName name="s2l" localSheetId="60">[30]unitcost!#REF!</definedName>
    <definedName name="s2l" localSheetId="61">[30]unitcost!#REF!</definedName>
    <definedName name="s2l" localSheetId="62">[30]unitcost!#REF!</definedName>
    <definedName name="s2l" localSheetId="63">[30]unitcost!#REF!</definedName>
    <definedName name="s2l" localSheetId="64">[30]unitcost!#REF!</definedName>
    <definedName name="s2l" localSheetId="65">[30]unitcost!#REF!</definedName>
    <definedName name="s2l" localSheetId="68">[30]unitcost!#REF!</definedName>
    <definedName name="s2l" localSheetId="56">[30]unitcost!#REF!</definedName>
    <definedName name="s2l" localSheetId="55">[30]unitcost!#REF!</definedName>
    <definedName name="s2l" localSheetId="54">[30]unitcost!#REF!</definedName>
    <definedName name="s2l" localSheetId="53">[30]unitcost!#REF!</definedName>
    <definedName name="s2l" localSheetId="85">[30]unitcost!#REF!</definedName>
    <definedName name="s2l" localSheetId="86">[30]unitcost!#REF!</definedName>
    <definedName name="s2l" localSheetId="2">[30]unitcost!#REF!</definedName>
    <definedName name="s2l">[30]unitcost!#REF!</definedName>
    <definedName name="s3a" localSheetId="3">[30]unitcost!#REF!</definedName>
    <definedName name="s3a" localSheetId="4">[30]unitcost!#REF!</definedName>
    <definedName name="s3a" localSheetId="18">[30]unitcost!#REF!</definedName>
    <definedName name="s3a" localSheetId="19">[30]unitcost!#REF!</definedName>
    <definedName name="s3a" localSheetId="9">[30]unitcost!#REF!</definedName>
    <definedName name="s3a" localSheetId="10">[30]unitcost!#REF!</definedName>
    <definedName name="s3a" localSheetId="11">[30]unitcost!#REF!</definedName>
    <definedName name="s3a" localSheetId="12">[30]unitcost!#REF!</definedName>
    <definedName name="s3a" localSheetId="13">[30]unitcost!#REF!</definedName>
    <definedName name="s3a" localSheetId="14">[30]unitcost!#REF!</definedName>
    <definedName name="s3a" localSheetId="15">[30]unitcost!#REF!</definedName>
    <definedName name="s3a" localSheetId="16">[30]unitcost!#REF!</definedName>
    <definedName name="s3a" localSheetId="17">[30]unitcost!#REF!</definedName>
    <definedName name="s3a" localSheetId="8">[30]unitcost!#REF!</definedName>
    <definedName name="s3a" localSheetId="7">[30]unitcost!#REF!</definedName>
    <definedName name="s3a" localSheetId="6">[30]unitcost!#REF!</definedName>
    <definedName name="s3a" localSheetId="20">[30]unitcost!#REF!</definedName>
    <definedName name="s3a" localSheetId="5">[30]unitcost!#REF!</definedName>
    <definedName name="s3a" localSheetId="21">[30]unitcost!#REF!</definedName>
    <definedName name="s3a" localSheetId="34">[30]unitcost!#REF!</definedName>
    <definedName name="s3a" localSheetId="35">[30]unitcost!#REF!</definedName>
    <definedName name="s3a" localSheetId="25">[30]unitcost!#REF!</definedName>
    <definedName name="s3a" localSheetId="27">[30]unitcost!#REF!</definedName>
    <definedName name="s3a" localSheetId="28">[30]unitcost!#REF!</definedName>
    <definedName name="s3a" localSheetId="29">[30]unitcost!#REF!</definedName>
    <definedName name="s3a" localSheetId="31">[30]unitcost!#REF!</definedName>
    <definedName name="s3a" localSheetId="32">[30]unitcost!#REF!</definedName>
    <definedName name="s3a" localSheetId="33">[30]unitcost!#REF!</definedName>
    <definedName name="s3a" localSheetId="24">[30]unitcost!#REF!</definedName>
    <definedName name="s3a" localSheetId="23">[30]unitcost!#REF!</definedName>
    <definedName name="s3a" localSheetId="36">[30]unitcost!#REF!</definedName>
    <definedName name="s3a" localSheetId="22">[30]unitcost!#REF!</definedName>
    <definedName name="s3a" localSheetId="26">[30]unitcost!#REF!</definedName>
    <definedName name="s3a" localSheetId="30">[30]unitcost!#REF!</definedName>
    <definedName name="s3a" localSheetId="41">[30]unitcost!#REF!</definedName>
    <definedName name="s3a" localSheetId="50">[30]unitcost!#REF!</definedName>
    <definedName name="s3a" localSheetId="51">[30]unitcost!#REF!</definedName>
    <definedName name="s3a" localSheetId="42">[30]unitcost!#REF!</definedName>
    <definedName name="s3a" localSheetId="43">[30]unitcost!#REF!</definedName>
    <definedName name="s3a" localSheetId="44">[30]unitcost!#REF!</definedName>
    <definedName name="s3a" localSheetId="45">[30]unitcost!#REF!</definedName>
    <definedName name="s3a" localSheetId="46">[30]unitcost!#REF!</definedName>
    <definedName name="s3a" localSheetId="47">[30]unitcost!#REF!</definedName>
    <definedName name="s3a" localSheetId="48">[30]unitcost!#REF!</definedName>
    <definedName name="s3a" localSheetId="49">[30]unitcost!#REF!</definedName>
    <definedName name="s3a" localSheetId="52">[30]unitcost!#REF!</definedName>
    <definedName name="s3a" localSheetId="40">[30]unitcost!#REF!</definedName>
    <definedName name="s3a" localSheetId="39">[30]unitcost!#REF!</definedName>
    <definedName name="s3a" localSheetId="38">[30]unitcost!#REF!</definedName>
    <definedName name="s3a" localSheetId="37">[30]unitcost!#REF!</definedName>
    <definedName name="s3a" localSheetId="57">[30]unitcost!#REF!</definedName>
    <definedName name="s3a" localSheetId="66">[30]unitcost!#REF!</definedName>
    <definedName name="s3a" localSheetId="67">[30]unitcost!#REF!</definedName>
    <definedName name="s3a" localSheetId="58">[30]unitcost!#REF!</definedName>
    <definedName name="s3a" localSheetId="59">[30]unitcost!#REF!</definedName>
    <definedName name="s3a" localSheetId="60">[30]unitcost!#REF!</definedName>
    <definedName name="s3a" localSheetId="61">[30]unitcost!#REF!</definedName>
    <definedName name="s3a" localSheetId="62">[30]unitcost!#REF!</definedName>
    <definedName name="s3a" localSheetId="63">[30]unitcost!#REF!</definedName>
    <definedName name="s3a" localSheetId="64">[30]unitcost!#REF!</definedName>
    <definedName name="s3a" localSheetId="65">[30]unitcost!#REF!</definedName>
    <definedName name="s3a" localSheetId="68">[30]unitcost!#REF!</definedName>
    <definedName name="s3a" localSheetId="56">[30]unitcost!#REF!</definedName>
    <definedName name="s3a" localSheetId="55">[30]unitcost!#REF!</definedName>
    <definedName name="s3a" localSheetId="54">[30]unitcost!#REF!</definedName>
    <definedName name="s3a" localSheetId="53">[30]unitcost!#REF!</definedName>
    <definedName name="s3a" localSheetId="85">[30]unitcost!#REF!</definedName>
    <definedName name="s3a" localSheetId="86">[30]unitcost!#REF!</definedName>
    <definedName name="s3a">[30]unitcost!#REF!</definedName>
    <definedName name="s3d" localSheetId="3">[30]unitcost!#REF!</definedName>
    <definedName name="s3d" localSheetId="4">[30]unitcost!#REF!</definedName>
    <definedName name="s3d" localSheetId="18">[30]unitcost!#REF!</definedName>
    <definedName name="s3d" localSheetId="19">[30]unitcost!#REF!</definedName>
    <definedName name="s3d" localSheetId="9">[30]unitcost!#REF!</definedName>
    <definedName name="s3d" localSheetId="10">[30]unitcost!#REF!</definedName>
    <definedName name="s3d" localSheetId="11">[30]unitcost!#REF!</definedName>
    <definedName name="s3d" localSheetId="12">[30]unitcost!#REF!</definedName>
    <definedName name="s3d" localSheetId="13">[30]unitcost!#REF!</definedName>
    <definedName name="s3d" localSheetId="14">[30]unitcost!#REF!</definedName>
    <definedName name="s3d" localSheetId="15">[30]unitcost!#REF!</definedName>
    <definedName name="s3d" localSheetId="16">[30]unitcost!#REF!</definedName>
    <definedName name="s3d" localSheetId="17">[30]unitcost!#REF!</definedName>
    <definedName name="s3d" localSheetId="8">[30]unitcost!#REF!</definedName>
    <definedName name="s3d" localSheetId="7">[30]unitcost!#REF!</definedName>
    <definedName name="s3d" localSheetId="6">[30]unitcost!#REF!</definedName>
    <definedName name="s3d" localSheetId="20">[30]unitcost!#REF!</definedName>
    <definedName name="s3d" localSheetId="5">[30]unitcost!#REF!</definedName>
    <definedName name="s3d" localSheetId="21">[30]unitcost!#REF!</definedName>
    <definedName name="s3d" localSheetId="34">[30]unitcost!#REF!</definedName>
    <definedName name="s3d" localSheetId="35">[30]unitcost!#REF!</definedName>
    <definedName name="s3d" localSheetId="25">[30]unitcost!#REF!</definedName>
    <definedName name="s3d" localSheetId="27">[30]unitcost!#REF!</definedName>
    <definedName name="s3d" localSheetId="28">[30]unitcost!#REF!</definedName>
    <definedName name="s3d" localSheetId="29">[30]unitcost!#REF!</definedName>
    <definedName name="s3d" localSheetId="31">[30]unitcost!#REF!</definedName>
    <definedName name="s3d" localSheetId="32">[30]unitcost!#REF!</definedName>
    <definedName name="s3d" localSheetId="33">[30]unitcost!#REF!</definedName>
    <definedName name="s3d" localSheetId="24">[30]unitcost!#REF!</definedName>
    <definedName name="s3d" localSheetId="23">[30]unitcost!#REF!</definedName>
    <definedName name="s3d" localSheetId="36">[30]unitcost!#REF!</definedName>
    <definedName name="s3d" localSheetId="22">[30]unitcost!#REF!</definedName>
    <definedName name="s3d" localSheetId="26">[30]unitcost!#REF!</definedName>
    <definedName name="s3d" localSheetId="30">[30]unitcost!#REF!</definedName>
    <definedName name="s3d" localSheetId="41">[30]unitcost!#REF!</definedName>
    <definedName name="s3d" localSheetId="50">[30]unitcost!#REF!</definedName>
    <definedName name="s3d" localSheetId="51">[30]unitcost!#REF!</definedName>
    <definedName name="s3d" localSheetId="42">[30]unitcost!#REF!</definedName>
    <definedName name="s3d" localSheetId="43">[30]unitcost!#REF!</definedName>
    <definedName name="s3d" localSheetId="44">[30]unitcost!#REF!</definedName>
    <definedName name="s3d" localSheetId="45">[30]unitcost!#REF!</definedName>
    <definedName name="s3d" localSheetId="46">[30]unitcost!#REF!</definedName>
    <definedName name="s3d" localSheetId="47">[30]unitcost!#REF!</definedName>
    <definedName name="s3d" localSheetId="48">[30]unitcost!#REF!</definedName>
    <definedName name="s3d" localSheetId="49">[30]unitcost!#REF!</definedName>
    <definedName name="s3d" localSheetId="52">[30]unitcost!#REF!</definedName>
    <definedName name="s3d" localSheetId="40">[30]unitcost!#REF!</definedName>
    <definedName name="s3d" localSheetId="39">[30]unitcost!#REF!</definedName>
    <definedName name="s3d" localSheetId="38">[30]unitcost!#REF!</definedName>
    <definedName name="s3d" localSheetId="37">[30]unitcost!#REF!</definedName>
    <definedName name="s3d" localSheetId="57">[30]unitcost!#REF!</definedName>
    <definedName name="s3d" localSheetId="66">[30]unitcost!#REF!</definedName>
    <definedName name="s3d" localSheetId="67">[30]unitcost!#REF!</definedName>
    <definedName name="s3d" localSheetId="58">[30]unitcost!#REF!</definedName>
    <definedName name="s3d" localSheetId="59">[30]unitcost!#REF!</definedName>
    <definedName name="s3d" localSheetId="60">[30]unitcost!#REF!</definedName>
    <definedName name="s3d" localSheetId="61">[30]unitcost!#REF!</definedName>
    <definedName name="s3d" localSheetId="62">[30]unitcost!#REF!</definedName>
    <definedName name="s3d" localSheetId="63">[30]unitcost!#REF!</definedName>
    <definedName name="s3d" localSheetId="64">[30]unitcost!#REF!</definedName>
    <definedName name="s3d" localSheetId="65">[30]unitcost!#REF!</definedName>
    <definedName name="s3d" localSheetId="68">[30]unitcost!#REF!</definedName>
    <definedName name="s3d" localSheetId="56">[30]unitcost!#REF!</definedName>
    <definedName name="s3d" localSheetId="55">[30]unitcost!#REF!</definedName>
    <definedName name="s3d" localSheetId="54">[30]unitcost!#REF!</definedName>
    <definedName name="s3d" localSheetId="53">[30]unitcost!#REF!</definedName>
    <definedName name="s3d" localSheetId="85">[30]unitcost!#REF!</definedName>
    <definedName name="s3d" localSheetId="86">[30]unitcost!#REF!</definedName>
    <definedName name="s3d">[30]unitcost!#REF!</definedName>
    <definedName name="s3l" localSheetId="3">[30]unitcost!#REF!</definedName>
    <definedName name="s3l" localSheetId="4">[30]unitcost!#REF!</definedName>
    <definedName name="s3l" localSheetId="18">[30]unitcost!#REF!</definedName>
    <definedName name="s3l" localSheetId="19">[30]unitcost!#REF!</definedName>
    <definedName name="s3l" localSheetId="9">[30]unitcost!#REF!</definedName>
    <definedName name="s3l" localSheetId="10">[30]unitcost!#REF!</definedName>
    <definedName name="s3l" localSheetId="11">[30]unitcost!#REF!</definedName>
    <definedName name="s3l" localSheetId="12">[30]unitcost!#REF!</definedName>
    <definedName name="s3l" localSheetId="13">[30]unitcost!#REF!</definedName>
    <definedName name="s3l" localSheetId="14">[30]unitcost!#REF!</definedName>
    <definedName name="s3l" localSheetId="15">[30]unitcost!#REF!</definedName>
    <definedName name="s3l" localSheetId="16">[30]unitcost!#REF!</definedName>
    <definedName name="s3l" localSheetId="17">[30]unitcost!#REF!</definedName>
    <definedName name="s3l" localSheetId="8">[30]unitcost!#REF!</definedName>
    <definedName name="s3l" localSheetId="7">[30]unitcost!#REF!</definedName>
    <definedName name="s3l" localSheetId="6">[30]unitcost!#REF!</definedName>
    <definedName name="s3l" localSheetId="20">[30]unitcost!#REF!</definedName>
    <definedName name="s3l" localSheetId="5">[30]unitcost!#REF!</definedName>
    <definedName name="s3l" localSheetId="21">[30]unitcost!#REF!</definedName>
    <definedName name="s3l" localSheetId="34">[30]unitcost!#REF!</definedName>
    <definedName name="s3l" localSheetId="35">[30]unitcost!#REF!</definedName>
    <definedName name="s3l" localSheetId="25">[30]unitcost!#REF!</definedName>
    <definedName name="s3l" localSheetId="27">[30]unitcost!#REF!</definedName>
    <definedName name="s3l" localSheetId="28">[30]unitcost!#REF!</definedName>
    <definedName name="s3l" localSheetId="29">[30]unitcost!#REF!</definedName>
    <definedName name="s3l" localSheetId="31">[30]unitcost!#REF!</definedName>
    <definedName name="s3l" localSheetId="32">[30]unitcost!#REF!</definedName>
    <definedName name="s3l" localSheetId="33">[30]unitcost!#REF!</definedName>
    <definedName name="s3l" localSheetId="24">[30]unitcost!#REF!</definedName>
    <definedName name="s3l" localSheetId="23">[30]unitcost!#REF!</definedName>
    <definedName name="s3l" localSheetId="36">[30]unitcost!#REF!</definedName>
    <definedName name="s3l" localSheetId="22">[30]unitcost!#REF!</definedName>
    <definedName name="s3l" localSheetId="26">[30]unitcost!#REF!</definedName>
    <definedName name="s3l" localSheetId="30">[30]unitcost!#REF!</definedName>
    <definedName name="s3l" localSheetId="38">[30]unitcost!#REF!</definedName>
    <definedName name="s3l" localSheetId="85">[30]unitcost!#REF!</definedName>
    <definedName name="s3l" localSheetId="86">[30]unitcost!#REF!</definedName>
    <definedName name="s3l">[30]unitcost!#REF!</definedName>
    <definedName name="s4a" localSheetId="3">[30]unitcost!#REF!</definedName>
    <definedName name="s4a" localSheetId="4">[30]unitcost!#REF!</definedName>
    <definedName name="s4a" localSheetId="38">[30]unitcost!#REF!</definedName>
    <definedName name="s4a">[30]unitcost!#REF!</definedName>
    <definedName name="s4d" localSheetId="3">[30]unitcost!#REF!</definedName>
    <definedName name="s4d" localSheetId="4">[30]unitcost!#REF!</definedName>
    <definedName name="s4d" localSheetId="38">[30]unitcost!#REF!</definedName>
    <definedName name="s4d">[30]unitcost!#REF!</definedName>
    <definedName name="s4l" localSheetId="3">[30]unitcost!#REF!</definedName>
    <definedName name="s4l" localSheetId="4">[30]unitcost!#REF!</definedName>
    <definedName name="s4l" localSheetId="38">[30]unitcost!#REF!</definedName>
    <definedName name="s4l">[30]unitcost!#REF!</definedName>
    <definedName name="s5a" localSheetId="3">[30]unitcost!#REF!</definedName>
    <definedName name="s5a" localSheetId="4">[30]unitcost!#REF!</definedName>
    <definedName name="s5a" localSheetId="38">[30]unitcost!#REF!</definedName>
    <definedName name="s5a">[30]unitcost!#REF!</definedName>
    <definedName name="s5d" localSheetId="3">[30]unitcost!#REF!</definedName>
    <definedName name="s5d" localSheetId="4">[30]unitcost!#REF!</definedName>
    <definedName name="s5d" localSheetId="38">[30]unitcost!#REF!</definedName>
    <definedName name="s5d">[30]unitcost!#REF!</definedName>
    <definedName name="s5l" localSheetId="3">[30]unitcost!#REF!</definedName>
    <definedName name="s5l" localSheetId="4">[30]unitcost!#REF!</definedName>
    <definedName name="s5l" localSheetId="38">[30]unitcost!#REF!</definedName>
    <definedName name="s5l">[30]unitcost!#REF!</definedName>
    <definedName name="s6a" localSheetId="3">[30]unitcost!#REF!</definedName>
    <definedName name="s6a" localSheetId="4">[30]unitcost!#REF!</definedName>
    <definedName name="s6a" localSheetId="38">[30]unitcost!#REF!</definedName>
    <definedName name="s6a">[30]unitcost!#REF!</definedName>
    <definedName name="s6d" localSheetId="3">[30]unitcost!#REF!</definedName>
    <definedName name="s6d" localSheetId="4">[30]unitcost!#REF!</definedName>
    <definedName name="s6d" localSheetId="38">[30]unitcost!#REF!</definedName>
    <definedName name="s6d">[30]unitcost!#REF!</definedName>
    <definedName name="s6l" localSheetId="3">[30]unitcost!#REF!</definedName>
    <definedName name="s6l" localSheetId="4">[30]unitcost!#REF!</definedName>
    <definedName name="s6l" localSheetId="38">[30]unitcost!#REF!</definedName>
    <definedName name="s6l">[30]unitcost!#REF!</definedName>
    <definedName name="s7a" localSheetId="3">[30]unitcost!#REF!</definedName>
    <definedName name="s7a" localSheetId="4">[30]unitcost!#REF!</definedName>
    <definedName name="s7a" localSheetId="38">[30]unitcost!#REF!</definedName>
    <definedName name="s7a">[30]unitcost!#REF!</definedName>
    <definedName name="s7d" localSheetId="3">[30]unitcost!#REF!</definedName>
    <definedName name="s7d" localSheetId="4">[30]unitcost!#REF!</definedName>
    <definedName name="s7d" localSheetId="38">[30]unitcost!#REF!</definedName>
    <definedName name="s7d">[30]unitcost!#REF!</definedName>
    <definedName name="s7l" localSheetId="3">[30]unitcost!#REF!</definedName>
    <definedName name="s7l" localSheetId="4">[30]unitcost!#REF!</definedName>
    <definedName name="s7l" localSheetId="38">[30]unitcost!#REF!</definedName>
    <definedName name="s7l">[30]unitcost!#REF!</definedName>
    <definedName name="SD_ReinforBar12">'[21]Unit Cost'!$M$169</definedName>
    <definedName name="SD_ReinforBar16">'[21]Unit Cost'!$M$180</definedName>
    <definedName name="SERVICEAREA_1">[33]ตัดแบ่งกม.ส่งพี่หนุ่ม!$D$33</definedName>
    <definedName name="SERVICEAREA_2">[33]ตัดแบ่งกม.ส่งพี่หนุ่ม!$D$34</definedName>
    <definedName name="sf" localSheetId="3">#REF!</definedName>
    <definedName name="sf" localSheetId="4">#REF!</definedName>
    <definedName name="sf" localSheetId="38">#REF!</definedName>
    <definedName name="sf" localSheetId="86">#REF!</definedName>
    <definedName name="sf">#REF!</definedName>
    <definedName name="sr24mm" localSheetId="3">#REF!</definedName>
    <definedName name="sr24mm" localSheetId="18">#REF!</definedName>
    <definedName name="sr24mm" localSheetId="19">#REF!</definedName>
    <definedName name="sr24mm" localSheetId="9">#REF!</definedName>
    <definedName name="sr24mm" localSheetId="10">#REF!</definedName>
    <definedName name="sr24mm" localSheetId="11">#REF!</definedName>
    <definedName name="sr24mm" localSheetId="12">#REF!</definedName>
    <definedName name="sr24mm" localSheetId="13">#REF!</definedName>
    <definedName name="sr24mm" localSheetId="14">#REF!</definedName>
    <definedName name="sr24mm" localSheetId="15">#REF!</definedName>
    <definedName name="sr24mm" localSheetId="16">#REF!</definedName>
    <definedName name="sr24mm" localSheetId="17">#REF!</definedName>
    <definedName name="sr24mm" localSheetId="8">#REF!</definedName>
    <definedName name="sr24mm" localSheetId="7">#REF!</definedName>
    <definedName name="sr24mm" localSheetId="6">#REF!</definedName>
    <definedName name="sr24mm" localSheetId="20">#REF!</definedName>
    <definedName name="sr24mm" localSheetId="5">#REF!</definedName>
    <definedName name="sr24mm" localSheetId="21">#REF!</definedName>
    <definedName name="sr24mm" localSheetId="34">#REF!</definedName>
    <definedName name="sr24mm" localSheetId="35">#REF!</definedName>
    <definedName name="sr24mm" localSheetId="25">#REF!</definedName>
    <definedName name="sr24mm" localSheetId="27">#REF!</definedName>
    <definedName name="sr24mm" localSheetId="28">#REF!</definedName>
    <definedName name="sr24mm" localSheetId="29">#REF!</definedName>
    <definedName name="sr24mm" localSheetId="31">#REF!</definedName>
    <definedName name="sr24mm" localSheetId="32">#REF!</definedName>
    <definedName name="sr24mm" localSheetId="33">#REF!</definedName>
    <definedName name="sr24mm" localSheetId="24">#REF!</definedName>
    <definedName name="sr24mm" localSheetId="23">#REF!</definedName>
    <definedName name="sr24mm" localSheetId="36">#REF!</definedName>
    <definedName name="sr24mm" localSheetId="22">#REF!</definedName>
    <definedName name="sr24mm" localSheetId="26">#REF!</definedName>
    <definedName name="sr24mm" localSheetId="30">#REF!</definedName>
    <definedName name="sr24mm" localSheetId="41">#REF!</definedName>
    <definedName name="sr24mm" localSheetId="50">#REF!</definedName>
    <definedName name="sr24mm" localSheetId="51">#REF!</definedName>
    <definedName name="sr24mm" localSheetId="42">#REF!</definedName>
    <definedName name="sr24mm" localSheetId="43">#REF!</definedName>
    <definedName name="sr24mm" localSheetId="44">#REF!</definedName>
    <definedName name="sr24mm" localSheetId="45">#REF!</definedName>
    <definedName name="sr24mm" localSheetId="46">#REF!</definedName>
    <definedName name="sr24mm" localSheetId="47">#REF!</definedName>
    <definedName name="sr24mm" localSheetId="48">#REF!</definedName>
    <definedName name="sr24mm" localSheetId="49">#REF!</definedName>
    <definedName name="sr24mm" localSheetId="52">#REF!</definedName>
    <definedName name="sr24mm" localSheetId="40">#REF!</definedName>
    <definedName name="sr24mm" localSheetId="39">#REF!</definedName>
    <definedName name="sr24mm" localSheetId="38">#REF!</definedName>
    <definedName name="sr24mm" localSheetId="37">#REF!</definedName>
    <definedName name="sr24mm" localSheetId="57">#REF!</definedName>
    <definedName name="sr24mm" localSheetId="66">#REF!</definedName>
    <definedName name="sr24mm" localSheetId="67">#REF!</definedName>
    <definedName name="sr24mm" localSheetId="58">#REF!</definedName>
    <definedName name="sr24mm" localSheetId="59">#REF!</definedName>
    <definedName name="sr24mm" localSheetId="60">#REF!</definedName>
    <definedName name="sr24mm" localSheetId="61">#REF!</definedName>
    <definedName name="sr24mm" localSheetId="62">#REF!</definedName>
    <definedName name="sr24mm" localSheetId="63">#REF!</definedName>
    <definedName name="sr24mm" localSheetId="64">#REF!</definedName>
    <definedName name="sr24mm" localSheetId="65">#REF!</definedName>
    <definedName name="sr24mm" localSheetId="68">#REF!</definedName>
    <definedName name="sr24mm" localSheetId="56">#REF!</definedName>
    <definedName name="sr24mm" localSheetId="55">#REF!</definedName>
    <definedName name="sr24mm" localSheetId="54">#REF!</definedName>
    <definedName name="sr24mm" localSheetId="53">#REF!</definedName>
    <definedName name="sr24mm" localSheetId="85">#REF!</definedName>
    <definedName name="sr24mm" localSheetId="86">#REF!</definedName>
    <definedName name="sr24mm" localSheetId="2">#REF!</definedName>
    <definedName name="sr24mm">#REF!</definedName>
    <definedName name="sss">'[19]12 ข้อมูลงานไม้แบบ'!$W$29</definedName>
    <definedName name="steel_temp">[22]Input!$E$4</definedName>
    <definedName name="SteelPlace25" localSheetId="3">#REF!</definedName>
    <definedName name="SteelPlace25" localSheetId="4">#REF!</definedName>
    <definedName name="SteelPlace25" localSheetId="18">#REF!</definedName>
    <definedName name="SteelPlace25" localSheetId="19">#REF!</definedName>
    <definedName name="SteelPlace25" localSheetId="9">#REF!</definedName>
    <definedName name="SteelPlace25" localSheetId="10">#REF!</definedName>
    <definedName name="SteelPlace25" localSheetId="11">#REF!</definedName>
    <definedName name="SteelPlace25" localSheetId="12">#REF!</definedName>
    <definedName name="SteelPlace25" localSheetId="13">#REF!</definedName>
    <definedName name="SteelPlace25" localSheetId="14">#REF!</definedName>
    <definedName name="SteelPlace25" localSheetId="15">#REF!</definedName>
    <definedName name="SteelPlace25" localSheetId="16">#REF!</definedName>
    <definedName name="SteelPlace25" localSheetId="17">#REF!</definedName>
    <definedName name="SteelPlace25" localSheetId="8">#REF!</definedName>
    <definedName name="SteelPlace25" localSheetId="7">#REF!</definedName>
    <definedName name="SteelPlace25" localSheetId="6">#REF!</definedName>
    <definedName name="SteelPlace25" localSheetId="20">#REF!</definedName>
    <definedName name="SteelPlace25" localSheetId="5">#REF!</definedName>
    <definedName name="SteelPlace25" localSheetId="21">#REF!</definedName>
    <definedName name="SteelPlace25" localSheetId="34">#REF!</definedName>
    <definedName name="SteelPlace25" localSheetId="35">#REF!</definedName>
    <definedName name="SteelPlace25" localSheetId="25">#REF!</definedName>
    <definedName name="SteelPlace25" localSheetId="27">#REF!</definedName>
    <definedName name="SteelPlace25" localSheetId="28">#REF!</definedName>
    <definedName name="SteelPlace25" localSheetId="29">#REF!</definedName>
    <definedName name="SteelPlace25" localSheetId="31">#REF!</definedName>
    <definedName name="SteelPlace25" localSheetId="32">#REF!</definedName>
    <definedName name="SteelPlace25" localSheetId="33">#REF!</definedName>
    <definedName name="SteelPlace25" localSheetId="24">#REF!</definedName>
    <definedName name="SteelPlace25" localSheetId="23">#REF!</definedName>
    <definedName name="SteelPlace25" localSheetId="36">#REF!</definedName>
    <definedName name="SteelPlace25" localSheetId="22">#REF!</definedName>
    <definedName name="SteelPlace25" localSheetId="26">#REF!</definedName>
    <definedName name="SteelPlace25" localSheetId="30">#REF!</definedName>
    <definedName name="SteelPlace25" localSheetId="41">#REF!</definedName>
    <definedName name="SteelPlace25" localSheetId="50">#REF!</definedName>
    <definedName name="SteelPlace25" localSheetId="51">#REF!</definedName>
    <definedName name="SteelPlace25" localSheetId="42">#REF!</definedName>
    <definedName name="SteelPlace25" localSheetId="43">#REF!</definedName>
    <definedName name="SteelPlace25" localSheetId="44">#REF!</definedName>
    <definedName name="SteelPlace25" localSheetId="45">#REF!</definedName>
    <definedName name="SteelPlace25" localSheetId="46">#REF!</definedName>
    <definedName name="SteelPlace25" localSheetId="47">#REF!</definedName>
    <definedName name="SteelPlace25" localSheetId="48">#REF!</definedName>
    <definedName name="SteelPlace25" localSheetId="49">#REF!</definedName>
    <definedName name="SteelPlace25" localSheetId="52">#REF!</definedName>
    <definedName name="SteelPlace25" localSheetId="40">#REF!</definedName>
    <definedName name="SteelPlace25" localSheetId="39">#REF!</definedName>
    <definedName name="SteelPlace25" localSheetId="38">#REF!</definedName>
    <definedName name="SteelPlace25" localSheetId="37">#REF!</definedName>
    <definedName name="SteelPlace25" localSheetId="57">#REF!</definedName>
    <definedName name="SteelPlace25" localSheetId="66">#REF!</definedName>
    <definedName name="SteelPlace25" localSheetId="67">#REF!</definedName>
    <definedName name="SteelPlace25" localSheetId="58">#REF!</definedName>
    <definedName name="SteelPlace25" localSheetId="59">#REF!</definedName>
    <definedName name="SteelPlace25" localSheetId="60">#REF!</definedName>
    <definedName name="SteelPlace25" localSheetId="61">#REF!</definedName>
    <definedName name="SteelPlace25" localSheetId="62">#REF!</definedName>
    <definedName name="SteelPlace25" localSheetId="63">#REF!</definedName>
    <definedName name="SteelPlace25" localSheetId="64">#REF!</definedName>
    <definedName name="SteelPlace25" localSheetId="65">#REF!</definedName>
    <definedName name="SteelPlace25" localSheetId="68">#REF!</definedName>
    <definedName name="SteelPlace25" localSheetId="56">#REF!</definedName>
    <definedName name="SteelPlace25" localSheetId="55">#REF!</definedName>
    <definedName name="SteelPlace25" localSheetId="54">#REF!</definedName>
    <definedName name="SteelPlace25" localSheetId="53">#REF!</definedName>
    <definedName name="SteelPlace25" localSheetId="85">#REF!</definedName>
    <definedName name="SteelPlace25" localSheetId="86">#REF!</definedName>
    <definedName name="SteelPlace25" localSheetId="2">#REF!</definedName>
    <definedName name="SteelPlace25">#REF!</definedName>
    <definedName name="SteelPlace8" localSheetId="3">#REF!</definedName>
    <definedName name="SteelPlace8" localSheetId="4">#REF!</definedName>
    <definedName name="SteelPlace8" localSheetId="18">#REF!</definedName>
    <definedName name="SteelPlace8" localSheetId="19">#REF!</definedName>
    <definedName name="SteelPlace8" localSheetId="9">#REF!</definedName>
    <definedName name="SteelPlace8" localSheetId="10">#REF!</definedName>
    <definedName name="SteelPlace8" localSheetId="11">#REF!</definedName>
    <definedName name="SteelPlace8" localSheetId="12">#REF!</definedName>
    <definedName name="SteelPlace8" localSheetId="13">#REF!</definedName>
    <definedName name="SteelPlace8" localSheetId="14">#REF!</definedName>
    <definedName name="SteelPlace8" localSheetId="15">#REF!</definedName>
    <definedName name="SteelPlace8" localSheetId="16">#REF!</definedName>
    <definedName name="SteelPlace8" localSheetId="17">#REF!</definedName>
    <definedName name="SteelPlace8" localSheetId="8">#REF!</definedName>
    <definedName name="SteelPlace8" localSheetId="7">#REF!</definedName>
    <definedName name="SteelPlace8" localSheetId="6">#REF!</definedName>
    <definedName name="SteelPlace8" localSheetId="20">#REF!</definedName>
    <definedName name="SteelPlace8" localSheetId="5">#REF!</definedName>
    <definedName name="SteelPlace8" localSheetId="21">#REF!</definedName>
    <definedName name="SteelPlace8" localSheetId="34">#REF!</definedName>
    <definedName name="SteelPlace8" localSheetId="35">#REF!</definedName>
    <definedName name="SteelPlace8" localSheetId="25">#REF!</definedName>
    <definedName name="SteelPlace8" localSheetId="27">#REF!</definedName>
    <definedName name="SteelPlace8" localSheetId="28">#REF!</definedName>
    <definedName name="SteelPlace8" localSheetId="29">#REF!</definedName>
    <definedName name="SteelPlace8" localSheetId="31">#REF!</definedName>
    <definedName name="SteelPlace8" localSheetId="32">#REF!</definedName>
    <definedName name="SteelPlace8" localSheetId="33">#REF!</definedName>
    <definedName name="SteelPlace8" localSheetId="24">#REF!</definedName>
    <definedName name="SteelPlace8" localSheetId="23">#REF!</definedName>
    <definedName name="SteelPlace8" localSheetId="36">#REF!</definedName>
    <definedName name="SteelPlace8" localSheetId="22">#REF!</definedName>
    <definedName name="SteelPlace8" localSheetId="26">#REF!</definedName>
    <definedName name="SteelPlace8" localSheetId="30">#REF!</definedName>
    <definedName name="SteelPlace8" localSheetId="85">#REF!</definedName>
    <definedName name="SteelPlace8" localSheetId="86">#REF!</definedName>
    <definedName name="SteelPlace8" localSheetId="2">#REF!</definedName>
    <definedName name="SteelPlace8">#REF!</definedName>
    <definedName name="Strand12b">[39]ราคาวัสดุ!$F$63</definedName>
    <definedName name="Strand9b" localSheetId="3">#REF!</definedName>
    <definedName name="Strand9b" localSheetId="4">#REF!</definedName>
    <definedName name="Strand9b" localSheetId="18">#REF!</definedName>
    <definedName name="Strand9b" localSheetId="19">#REF!</definedName>
    <definedName name="Strand9b" localSheetId="9">#REF!</definedName>
    <definedName name="Strand9b" localSheetId="10">#REF!</definedName>
    <definedName name="Strand9b" localSheetId="11">#REF!</definedName>
    <definedName name="Strand9b" localSheetId="12">#REF!</definedName>
    <definedName name="Strand9b" localSheetId="13">#REF!</definedName>
    <definedName name="Strand9b" localSheetId="14">#REF!</definedName>
    <definedName name="Strand9b" localSheetId="15">#REF!</definedName>
    <definedName name="Strand9b" localSheetId="16">#REF!</definedName>
    <definedName name="Strand9b" localSheetId="17">#REF!</definedName>
    <definedName name="Strand9b" localSheetId="8">#REF!</definedName>
    <definedName name="Strand9b" localSheetId="7">#REF!</definedName>
    <definedName name="Strand9b" localSheetId="6">#REF!</definedName>
    <definedName name="Strand9b" localSheetId="20">#REF!</definedName>
    <definedName name="Strand9b" localSheetId="5">#REF!</definedName>
    <definedName name="Strand9b" localSheetId="21">#REF!</definedName>
    <definedName name="Strand9b" localSheetId="34">#REF!</definedName>
    <definedName name="Strand9b" localSheetId="35">#REF!</definedName>
    <definedName name="Strand9b" localSheetId="25">#REF!</definedName>
    <definedName name="Strand9b" localSheetId="27">#REF!</definedName>
    <definedName name="Strand9b" localSheetId="28">#REF!</definedName>
    <definedName name="Strand9b" localSheetId="29">#REF!</definedName>
    <definedName name="Strand9b" localSheetId="31">#REF!</definedName>
    <definedName name="Strand9b" localSheetId="32">#REF!</definedName>
    <definedName name="Strand9b" localSheetId="33">#REF!</definedName>
    <definedName name="Strand9b" localSheetId="24">#REF!</definedName>
    <definedName name="Strand9b" localSheetId="23">#REF!</definedName>
    <definedName name="Strand9b" localSheetId="36">#REF!</definedName>
    <definedName name="Strand9b" localSheetId="22">#REF!</definedName>
    <definedName name="Strand9b" localSheetId="26">#REF!</definedName>
    <definedName name="Strand9b" localSheetId="30">#REF!</definedName>
    <definedName name="Strand9b" localSheetId="41">#REF!</definedName>
    <definedName name="Strand9b" localSheetId="50">#REF!</definedName>
    <definedName name="Strand9b" localSheetId="51">#REF!</definedName>
    <definedName name="Strand9b" localSheetId="42">#REF!</definedName>
    <definedName name="Strand9b" localSheetId="43">#REF!</definedName>
    <definedName name="Strand9b" localSheetId="44">#REF!</definedName>
    <definedName name="Strand9b" localSheetId="45">#REF!</definedName>
    <definedName name="Strand9b" localSheetId="46">#REF!</definedName>
    <definedName name="Strand9b" localSheetId="47">#REF!</definedName>
    <definedName name="Strand9b" localSheetId="48">#REF!</definedName>
    <definedName name="Strand9b" localSheetId="49">#REF!</definedName>
    <definedName name="Strand9b" localSheetId="52">#REF!</definedName>
    <definedName name="Strand9b" localSheetId="40">#REF!</definedName>
    <definedName name="Strand9b" localSheetId="39">#REF!</definedName>
    <definedName name="Strand9b" localSheetId="38">#REF!</definedName>
    <definedName name="Strand9b" localSheetId="37">#REF!</definedName>
    <definedName name="Strand9b" localSheetId="57">#REF!</definedName>
    <definedName name="Strand9b" localSheetId="66">#REF!</definedName>
    <definedName name="Strand9b" localSheetId="67">#REF!</definedName>
    <definedName name="Strand9b" localSheetId="58">#REF!</definedName>
    <definedName name="Strand9b" localSheetId="59">#REF!</definedName>
    <definedName name="Strand9b" localSheetId="60">#REF!</definedName>
    <definedName name="Strand9b" localSheetId="61">#REF!</definedName>
    <definedName name="Strand9b" localSheetId="62">#REF!</definedName>
    <definedName name="Strand9b" localSheetId="63">#REF!</definedName>
    <definedName name="Strand9b" localSheetId="64">#REF!</definedName>
    <definedName name="Strand9b" localSheetId="65">#REF!</definedName>
    <definedName name="Strand9b" localSheetId="68">#REF!</definedName>
    <definedName name="Strand9b" localSheetId="56">#REF!</definedName>
    <definedName name="Strand9b" localSheetId="55">#REF!</definedName>
    <definedName name="Strand9b" localSheetId="54">#REF!</definedName>
    <definedName name="Strand9b" localSheetId="69">#REF!</definedName>
    <definedName name="Strand9b" localSheetId="53">#REF!</definedName>
    <definedName name="Strand9b" localSheetId="85">#REF!</definedName>
    <definedName name="Strand9b" localSheetId="86">#REF!</definedName>
    <definedName name="Strand9b" localSheetId="2">#REF!</definedName>
    <definedName name="Strand9b">#REF!</definedName>
    <definedName name="StrandPC7">[39]ราคาวัสดุ!$F$61</definedName>
    <definedName name="Strip_Sodding">'[8]6'!$J$1727</definedName>
    <definedName name="STRUC_LAB" localSheetId="3">#REF!</definedName>
    <definedName name="STRUC_LAB" localSheetId="4">#REF!</definedName>
    <definedName name="STRUC_LAB" localSheetId="38">#REF!</definedName>
    <definedName name="STRUC_LAB" localSheetId="86">#REF!</definedName>
    <definedName name="STRUC_LAB">#REF!</definedName>
    <definedName name="STRUC_MAT" localSheetId="3">#REF!</definedName>
    <definedName name="STRUC_MAT" localSheetId="4">#REF!</definedName>
    <definedName name="STRUC_MAT" localSheetId="38">#REF!</definedName>
    <definedName name="STRUC_MAT">#REF!</definedName>
    <definedName name="Structure_LOCAL" localSheetId="3">[15]Summary!#REF!</definedName>
    <definedName name="Structure_LOCAL" localSheetId="4">[15]Summary!#REF!</definedName>
    <definedName name="Structure_LOCAL" localSheetId="18">[15]Summary!#REF!</definedName>
    <definedName name="Structure_LOCAL" localSheetId="19">[15]Summary!#REF!</definedName>
    <definedName name="Structure_LOCAL" localSheetId="9">[15]Summary!#REF!</definedName>
    <definedName name="Structure_LOCAL" localSheetId="10">[15]Summary!#REF!</definedName>
    <definedName name="Structure_LOCAL" localSheetId="11">[15]Summary!#REF!</definedName>
    <definedName name="Structure_LOCAL" localSheetId="12">[15]Summary!#REF!</definedName>
    <definedName name="Structure_LOCAL" localSheetId="13">[15]Summary!#REF!</definedName>
    <definedName name="Structure_LOCAL" localSheetId="14">[15]Summary!#REF!</definedName>
    <definedName name="Structure_LOCAL" localSheetId="15">[15]Summary!#REF!</definedName>
    <definedName name="Structure_LOCAL" localSheetId="16">[15]Summary!#REF!</definedName>
    <definedName name="Structure_LOCAL" localSheetId="17">[15]Summary!#REF!</definedName>
    <definedName name="Structure_LOCAL" localSheetId="8">[15]Summary!#REF!</definedName>
    <definedName name="Structure_LOCAL" localSheetId="7">[15]Summary!#REF!</definedName>
    <definedName name="Structure_LOCAL" localSheetId="6">[15]Summary!#REF!</definedName>
    <definedName name="Structure_LOCAL" localSheetId="20">[15]Summary!#REF!</definedName>
    <definedName name="Structure_LOCAL" localSheetId="5">[15]Summary!#REF!</definedName>
    <definedName name="Structure_LOCAL" localSheetId="21">[15]Summary!#REF!</definedName>
    <definedName name="Structure_LOCAL" localSheetId="34">[15]Summary!#REF!</definedName>
    <definedName name="Structure_LOCAL" localSheetId="35">[15]Summary!#REF!</definedName>
    <definedName name="Structure_LOCAL" localSheetId="25">[15]Summary!#REF!</definedName>
    <definedName name="Structure_LOCAL" localSheetId="27">[15]Summary!#REF!</definedName>
    <definedName name="Structure_LOCAL" localSheetId="28">[15]Summary!#REF!</definedName>
    <definedName name="Structure_LOCAL" localSheetId="29">[15]Summary!#REF!</definedName>
    <definedName name="Structure_LOCAL" localSheetId="31">[15]Summary!#REF!</definedName>
    <definedName name="Structure_LOCAL" localSheetId="32">[15]Summary!#REF!</definedName>
    <definedName name="Structure_LOCAL" localSheetId="33">[15]Summary!#REF!</definedName>
    <definedName name="Structure_LOCAL" localSheetId="24">[15]Summary!#REF!</definedName>
    <definedName name="Structure_LOCAL" localSheetId="23">[15]Summary!#REF!</definedName>
    <definedName name="Structure_LOCAL" localSheetId="36">[15]Summary!#REF!</definedName>
    <definedName name="Structure_LOCAL" localSheetId="22">[15]Summary!#REF!</definedName>
    <definedName name="Structure_LOCAL" localSheetId="26">[15]Summary!#REF!</definedName>
    <definedName name="Structure_LOCAL" localSheetId="30">[15]Summary!#REF!</definedName>
    <definedName name="Structure_LOCAL" localSheetId="41">[15]Summary!#REF!</definedName>
    <definedName name="Structure_LOCAL" localSheetId="50">[15]Summary!#REF!</definedName>
    <definedName name="Structure_LOCAL" localSheetId="51">[15]Summary!#REF!</definedName>
    <definedName name="Structure_LOCAL" localSheetId="42">[15]Summary!#REF!</definedName>
    <definedName name="Structure_LOCAL" localSheetId="43">[15]Summary!#REF!</definedName>
    <definedName name="Structure_LOCAL" localSheetId="44">[15]Summary!#REF!</definedName>
    <definedName name="Structure_LOCAL" localSheetId="45">[15]Summary!#REF!</definedName>
    <definedName name="Structure_LOCAL" localSheetId="46">[15]Summary!#REF!</definedName>
    <definedName name="Structure_LOCAL" localSheetId="47">[15]Summary!#REF!</definedName>
    <definedName name="Structure_LOCAL" localSheetId="48">[15]Summary!#REF!</definedName>
    <definedName name="Structure_LOCAL" localSheetId="49">[15]Summary!#REF!</definedName>
    <definedName name="Structure_LOCAL" localSheetId="52">[15]Summary!#REF!</definedName>
    <definedName name="Structure_LOCAL" localSheetId="40">[15]Summary!#REF!</definedName>
    <definedName name="Structure_LOCAL" localSheetId="39">[15]Summary!#REF!</definedName>
    <definedName name="Structure_LOCAL" localSheetId="38">[15]Summary!#REF!</definedName>
    <definedName name="Structure_LOCAL" localSheetId="37">[15]Summary!#REF!</definedName>
    <definedName name="Structure_LOCAL" localSheetId="57">[15]Summary!#REF!</definedName>
    <definedName name="Structure_LOCAL" localSheetId="66">[15]Summary!#REF!</definedName>
    <definedName name="Structure_LOCAL" localSheetId="67">[15]Summary!#REF!</definedName>
    <definedName name="Structure_LOCAL" localSheetId="58">[15]Summary!#REF!</definedName>
    <definedName name="Structure_LOCAL" localSheetId="59">[15]Summary!#REF!</definedName>
    <definedName name="Structure_LOCAL" localSheetId="60">[15]Summary!#REF!</definedName>
    <definedName name="Structure_LOCAL" localSheetId="61">[15]Summary!#REF!</definedName>
    <definedName name="Structure_LOCAL" localSheetId="62">[15]Summary!#REF!</definedName>
    <definedName name="Structure_LOCAL" localSheetId="63">[15]Summary!#REF!</definedName>
    <definedName name="Structure_LOCAL" localSheetId="64">[15]Summary!#REF!</definedName>
    <definedName name="Structure_LOCAL" localSheetId="65">[15]Summary!#REF!</definedName>
    <definedName name="Structure_LOCAL" localSheetId="68">[15]Summary!#REF!</definedName>
    <definedName name="Structure_LOCAL" localSheetId="56">[15]Summary!#REF!</definedName>
    <definedName name="Structure_LOCAL" localSheetId="55">[15]Summary!#REF!</definedName>
    <definedName name="Structure_LOCAL" localSheetId="54">[15]Summary!#REF!</definedName>
    <definedName name="Structure_LOCAL" localSheetId="53">[15]Summary!#REF!</definedName>
    <definedName name="Structure_LOCAL" localSheetId="85">[15]Summary!#REF!</definedName>
    <definedName name="Structure_LOCAL" localSheetId="86">[15]Summary!#REF!</definedName>
    <definedName name="Structure_LOCAL" localSheetId="2">[15]Summary!#REF!</definedName>
    <definedName name="Structure_LOCAL">[15]Summary!#REF!</definedName>
    <definedName name="Structure_PAKCHONG" localSheetId="3">[15]Summary!#REF!</definedName>
    <definedName name="Structure_PAKCHONG" localSheetId="18">[15]Summary!#REF!</definedName>
    <definedName name="Structure_PAKCHONG" localSheetId="19">[15]Summary!#REF!</definedName>
    <definedName name="Structure_PAKCHONG" localSheetId="9">[15]Summary!#REF!</definedName>
    <definedName name="Structure_PAKCHONG" localSheetId="10">[15]Summary!#REF!</definedName>
    <definedName name="Structure_PAKCHONG" localSheetId="11">[15]Summary!#REF!</definedName>
    <definedName name="Structure_PAKCHONG" localSheetId="12">[15]Summary!#REF!</definedName>
    <definedName name="Structure_PAKCHONG" localSheetId="13">[15]Summary!#REF!</definedName>
    <definedName name="Structure_PAKCHONG" localSheetId="14">[15]Summary!#REF!</definedName>
    <definedName name="Structure_PAKCHONG" localSheetId="15">[15]Summary!#REF!</definedName>
    <definedName name="Structure_PAKCHONG" localSheetId="16">[15]Summary!#REF!</definedName>
    <definedName name="Structure_PAKCHONG" localSheetId="17">[15]Summary!#REF!</definedName>
    <definedName name="Structure_PAKCHONG" localSheetId="8">[15]Summary!#REF!</definedName>
    <definedName name="Structure_PAKCHONG" localSheetId="7">[15]Summary!#REF!</definedName>
    <definedName name="Structure_PAKCHONG" localSheetId="6">[15]Summary!#REF!</definedName>
    <definedName name="Structure_PAKCHONG" localSheetId="20">[15]Summary!#REF!</definedName>
    <definedName name="Structure_PAKCHONG" localSheetId="5">[15]Summary!#REF!</definedName>
    <definedName name="Structure_PAKCHONG" localSheetId="21">[15]Summary!#REF!</definedName>
    <definedName name="Structure_PAKCHONG" localSheetId="34">[15]Summary!#REF!</definedName>
    <definedName name="Structure_PAKCHONG" localSheetId="35">[15]Summary!#REF!</definedName>
    <definedName name="Structure_PAKCHONG" localSheetId="25">[15]Summary!#REF!</definedName>
    <definedName name="Structure_PAKCHONG" localSheetId="27">[15]Summary!#REF!</definedName>
    <definedName name="Structure_PAKCHONG" localSheetId="28">[15]Summary!#REF!</definedName>
    <definedName name="Structure_PAKCHONG" localSheetId="29">[15]Summary!#REF!</definedName>
    <definedName name="Structure_PAKCHONG" localSheetId="31">[15]Summary!#REF!</definedName>
    <definedName name="Structure_PAKCHONG" localSheetId="32">[15]Summary!#REF!</definedName>
    <definedName name="Structure_PAKCHONG" localSheetId="33">[15]Summary!#REF!</definedName>
    <definedName name="Structure_PAKCHONG" localSheetId="24">[15]Summary!#REF!</definedName>
    <definedName name="Structure_PAKCHONG" localSheetId="23">[15]Summary!#REF!</definedName>
    <definedName name="Structure_PAKCHONG" localSheetId="36">[15]Summary!#REF!</definedName>
    <definedName name="Structure_PAKCHONG" localSheetId="22">[15]Summary!#REF!</definedName>
    <definedName name="Structure_PAKCHONG" localSheetId="26">[15]Summary!#REF!</definedName>
    <definedName name="Structure_PAKCHONG" localSheetId="30">[15]Summary!#REF!</definedName>
    <definedName name="Structure_PAKCHONG" localSheetId="41">[15]Summary!#REF!</definedName>
    <definedName name="Structure_PAKCHONG" localSheetId="50">[15]Summary!#REF!</definedName>
    <definedName name="Structure_PAKCHONG" localSheetId="51">[15]Summary!#REF!</definedName>
    <definedName name="Structure_PAKCHONG" localSheetId="42">[15]Summary!#REF!</definedName>
    <definedName name="Structure_PAKCHONG" localSheetId="43">[15]Summary!#REF!</definedName>
    <definedName name="Structure_PAKCHONG" localSheetId="44">[15]Summary!#REF!</definedName>
    <definedName name="Structure_PAKCHONG" localSheetId="45">[15]Summary!#REF!</definedName>
    <definedName name="Structure_PAKCHONG" localSheetId="46">[15]Summary!#REF!</definedName>
    <definedName name="Structure_PAKCHONG" localSheetId="47">[15]Summary!#REF!</definedName>
    <definedName name="Structure_PAKCHONG" localSheetId="48">[15]Summary!#REF!</definedName>
    <definedName name="Structure_PAKCHONG" localSheetId="49">[15]Summary!#REF!</definedName>
    <definedName name="Structure_PAKCHONG" localSheetId="52">[15]Summary!#REF!</definedName>
    <definedName name="Structure_PAKCHONG" localSheetId="40">[15]Summary!#REF!</definedName>
    <definedName name="Structure_PAKCHONG" localSheetId="39">[15]Summary!#REF!</definedName>
    <definedName name="Structure_PAKCHONG" localSheetId="38">[15]Summary!#REF!</definedName>
    <definedName name="Structure_PAKCHONG" localSheetId="37">[15]Summary!#REF!</definedName>
    <definedName name="Structure_PAKCHONG" localSheetId="57">[15]Summary!#REF!</definedName>
    <definedName name="Structure_PAKCHONG" localSheetId="66">[15]Summary!#REF!</definedName>
    <definedName name="Structure_PAKCHONG" localSheetId="67">[15]Summary!#REF!</definedName>
    <definedName name="Structure_PAKCHONG" localSheetId="58">[15]Summary!#REF!</definedName>
    <definedName name="Structure_PAKCHONG" localSheetId="59">[15]Summary!#REF!</definedName>
    <definedName name="Structure_PAKCHONG" localSheetId="60">[15]Summary!#REF!</definedName>
    <definedName name="Structure_PAKCHONG" localSheetId="61">[15]Summary!#REF!</definedName>
    <definedName name="Structure_PAKCHONG" localSheetId="62">[15]Summary!#REF!</definedName>
    <definedName name="Structure_PAKCHONG" localSheetId="63">[15]Summary!#REF!</definedName>
    <definedName name="Structure_PAKCHONG" localSheetId="64">[15]Summary!#REF!</definedName>
    <definedName name="Structure_PAKCHONG" localSheetId="65">[15]Summary!#REF!</definedName>
    <definedName name="Structure_PAKCHONG" localSheetId="68">[15]Summary!#REF!</definedName>
    <definedName name="Structure_PAKCHONG" localSheetId="56">[15]Summary!#REF!</definedName>
    <definedName name="Structure_PAKCHONG" localSheetId="55">[15]Summary!#REF!</definedName>
    <definedName name="Structure_PAKCHONG" localSheetId="54">[15]Summary!#REF!</definedName>
    <definedName name="Structure_PAKCHONG" localSheetId="53">[15]Summary!#REF!</definedName>
    <definedName name="Structure_PAKCHONG" localSheetId="85">[15]Summary!#REF!</definedName>
    <definedName name="Structure_PAKCHONG" localSheetId="86">[15]Summary!#REF!</definedName>
    <definedName name="Structure_PAKCHONG">[15]Summary!#REF!</definedName>
    <definedName name="Structure_Sikhio" localSheetId="3">[15]Summary!#REF!</definedName>
    <definedName name="Structure_Sikhio" localSheetId="18">[15]Summary!#REF!</definedName>
    <definedName name="Structure_Sikhio" localSheetId="19">[15]Summary!#REF!</definedName>
    <definedName name="Structure_Sikhio" localSheetId="9">[15]Summary!#REF!</definedName>
    <definedName name="Structure_Sikhio" localSheetId="10">[15]Summary!#REF!</definedName>
    <definedName name="Structure_Sikhio" localSheetId="11">[15]Summary!#REF!</definedName>
    <definedName name="Structure_Sikhio" localSheetId="12">[15]Summary!#REF!</definedName>
    <definedName name="Structure_Sikhio" localSheetId="13">[15]Summary!#REF!</definedName>
    <definedName name="Structure_Sikhio" localSheetId="14">[15]Summary!#REF!</definedName>
    <definedName name="Structure_Sikhio" localSheetId="15">[15]Summary!#REF!</definedName>
    <definedName name="Structure_Sikhio" localSheetId="16">[15]Summary!#REF!</definedName>
    <definedName name="Structure_Sikhio" localSheetId="17">[15]Summary!#REF!</definedName>
    <definedName name="Structure_Sikhio" localSheetId="8">[15]Summary!#REF!</definedName>
    <definedName name="Structure_Sikhio" localSheetId="7">[15]Summary!#REF!</definedName>
    <definedName name="Structure_Sikhio" localSheetId="6">[15]Summary!#REF!</definedName>
    <definedName name="Structure_Sikhio" localSheetId="20">[15]Summary!#REF!</definedName>
    <definedName name="Structure_Sikhio" localSheetId="5">[15]Summary!#REF!</definedName>
    <definedName name="Structure_Sikhio" localSheetId="21">[15]Summary!#REF!</definedName>
    <definedName name="Structure_Sikhio" localSheetId="34">[15]Summary!#REF!</definedName>
    <definedName name="Structure_Sikhio" localSheetId="35">[15]Summary!#REF!</definedName>
    <definedName name="Structure_Sikhio" localSheetId="25">[15]Summary!#REF!</definedName>
    <definedName name="Structure_Sikhio" localSheetId="27">[15]Summary!#REF!</definedName>
    <definedName name="Structure_Sikhio" localSheetId="28">[15]Summary!#REF!</definedName>
    <definedName name="Structure_Sikhio" localSheetId="29">[15]Summary!#REF!</definedName>
    <definedName name="Structure_Sikhio" localSheetId="31">[15]Summary!#REF!</definedName>
    <definedName name="Structure_Sikhio" localSheetId="32">[15]Summary!#REF!</definedName>
    <definedName name="Structure_Sikhio" localSheetId="33">[15]Summary!#REF!</definedName>
    <definedName name="Structure_Sikhio" localSheetId="24">[15]Summary!#REF!</definedName>
    <definedName name="Structure_Sikhio" localSheetId="23">[15]Summary!#REF!</definedName>
    <definedName name="Structure_Sikhio" localSheetId="36">[15]Summary!#REF!</definedName>
    <definedName name="Structure_Sikhio" localSheetId="22">[15]Summary!#REF!</definedName>
    <definedName name="Structure_Sikhio" localSheetId="26">[15]Summary!#REF!</definedName>
    <definedName name="Structure_Sikhio" localSheetId="30">[15]Summary!#REF!</definedName>
    <definedName name="Structure_Sikhio" localSheetId="41">[15]Summary!#REF!</definedName>
    <definedName name="Structure_Sikhio" localSheetId="50">[15]Summary!#REF!</definedName>
    <definedName name="Structure_Sikhio" localSheetId="51">[15]Summary!#REF!</definedName>
    <definedName name="Structure_Sikhio" localSheetId="42">[15]Summary!#REF!</definedName>
    <definedName name="Structure_Sikhio" localSheetId="43">[15]Summary!#REF!</definedName>
    <definedName name="Structure_Sikhio" localSheetId="44">[15]Summary!#REF!</definedName>
    <definedName name="Structure_Sikhio" localSheetId="45">[15]Summary!#REF!</definedName>
    <definedName name="Structure_Sikhio" localSheetId="46">[15]Summary!#REF!</definedName>
    <definedName name="Structure_Sikhio" localSheetId="47">[15]Summary!#REF!</definedName>
    <definedName name="Structure_Sikhio" localSheetId="48">[15]Summary!#REF!</definedName>
    <definedName name="Structure_Sikhio" localSheetId="49">[15]Summary!#REF!</definedName>
    <definedName name="Structure_Sikhio" localSheetId="52">[15]Summary!#REF!</definedName>
    <definedName name="Structure_Sikhio" localSheetId="40">[15]Summary!#REF!</definedName>
    <definedName name="Structure_Sikhio" localSheetId="39">[15]Summary!#REF!</definedName>
    <definedName name="Structure_Sikhio" localSheetId="38">[15]Summary!#REF!</definedName>
    <definedName name="Structure_Sikhio" localSheetId="37">[15]Summary!#REF!</definedName>
    <definedName name="Structure_Sikhio" localSheetId="57">[15]Summary!#REF!</definedName>
    <definedName name="Structure_Sikhio" localSheetId="66">[15]Summary!#REF!</definedName>
    <definedName name="Structure_Sikhio" localSheetId="67">[15]Summary!#REF!</definedName>
    <definedName name="Structure_Sikhio" localSheetId="58">[15]Summary!#REF!</definedName>
    <definedName name="Structure_Sikhio" localSheetId="59">[15]Summary!#REF!</definedName>
    <definedName name="Structure_Sikhio" localSheetId="60">[15]Summary!#REF!</definedName>
    <definedName name="Structure_Sikhio" localSheetId="61">[15]Summary!#REF!</definedName>
    <definedName name="Structure_Sikhio" localSheetId="62">[15]Summary!#REF!</definedName>
    <definedName name="Structure_Sikhio" localSheetId="63">[15]Summary!#REF!</definedName>
    <definedName name="Structure_Sikhio" localSheetId="64">[15]Summary!#REF!</definedName>
    <definedName name="Structure_Sikhio" localSheetId="65">[15]Summary!#REF!</definedName>
    <definedName name="Structure_Sikhio" localSheetId="68">[15]Summary!#REF!</definedName>
    <definedName name="Structure_Sikhio" localSheetId="56">[15]Summary!#REF!</definedName>
    <definedName name="Structure_Sikhio" localSheetId="55">[15]Summary!#REF!</definedName>
    <definedName name="Structure_Sikhio" localSheetId="54">[15]Summary!#REF!</definedName>
    <definedName name="Structure_Sikhio" localSheetId="53">[15]Summary!#REF!</definedName>
    <definedName name="Structure_Sikhio" localSheetId="85">[15]Summary!#REF!</definedName>
    <definedName name="Structure_Sikhio" localSheetId="86">[15]Summary!#REF!</definedName>
    <definedName name="Structure_Sikhio">[15]Summary!#REF!</definedName>
    <definedName name="Structure_โคราช" localSheetId="3">[15]Summary!#REF!</definedName>
    <definedName name="Structure_โคราช" localSheetId="18">[15]Summary!#REF!</definedName>
    <definedName name="Structure_โคราช" localSheetId="19">[15]Summary!#REF!</definedName>
    <definedName name="Structure_โคราช" localSheetId="9">[15]Summary!#REF!</definedName>
    <definedName name="Structure_โคราช" localSheetId="10">[15]Summary!#REF!</definedName>
    <definedName name="Structure_โคราช" localSheetId="11">[15]Summary!#REF!</definedName>
    <definedName name="Structure_โคราช" localSheetId="12">[15]Summary!#REF!</definedName>
    <definedName name="Structure_โคราช" localSheetId="13">[15]Summary!#REF!</definedName>
    <definedName name="Structure_โคราช" localSheetId="14">[15]Summary!#REF!</definedName>
    <definedName name="Structure_โคราช" localSheetId="15">[15]Summary!#REF!</definedName>
    <definedName name="Structure_โคราช" localSheetId="16">[15]Summary!#REF!</definedName>
    <definedName name="Structure_โคราช" localSheetId="17">[15]Summary!#REF!</definedName>
    <definedName name="Structure_โคราช" localSheetId="8">[15]Summary!#REF!</definedName>
    <definedName name="Structure_โคราช" localSheetId="7">[15]Summary!#REF!</definedName>
    <definedName name="Structure_โคราช" localSheetId="6">[15]Summary!#REF!</definedName>
    <definedName name="Structure_โคราช" localSheetId="20">[15]Summary!#REF!</definedName>
    <definedName name="Structure_โคราช" localSheetId="5">[15]Summary!#REF!</definedName>
    <definedName name="Structure_โคราช" localSheetId="21">[15]Summary!#REF!</definedName>
    <definedName name="Structure_โคราช" localSheetId="34">[15]Summary!#REF!</definedName>
    <definedName name="Structure_โคราช" localSheetId="35">[15]Summary!#REF!</definedName>
    <definedName name="Structure_โคราช" localSheetId="25">[15]Summary!#REF!</definedName>
    <definedName name="Structure_โคราช" localSheetId="27">[15]Summary!#REF!</definedName>
    <definedName name="Structure_โคราช" localSheetId="28">[15]Summary!#REF!</definedName>
    <definedName name="Structure_โคราช" localSheetId="29">[15]Summary!#REF!</definedName>
    <definedName name="Structure_โคราช" localSheetId="31">[15]Summary!#REF!</definedName>
    <definedName name="Structure_โคราช" localSheetId="32">[15]Summary!#REF!</definedName>
    <definedName name="Structure_โคราช" localSheetId="33">[15]Summary!#REF!</definedName>
    <definedName name="Structure_โคราช" localSheetId="24">[15]Summary!#REF!</definedName>
    <definedName name="Structure_โคราช" localSheetId="23">[15]Summary!#REF!</definedName>
    <definedName name="Structure_โคราช" localSheetId="36">[15]Summary!#REF!</definedName>
    <definedName name="Structure_โคราช" localSheetId="22">[15]Summary!#REF!</definedName>
    <definedName name="Structure_โคราช" localSheetId="26">[15]Summary!#REF!</definedName>
    <definedName name="Structure_โคราช" localSheetId="30">[15]Summary!#REF!</definedName>
    <definedName name="Structure_โคราช" localSheetId="85">[15]Summary!#REF!</definedName>
    <definedName name="Structure_โคราช" localSheetId="86">[15]Summary!#REF!</definedName>
    <definedName name="Structure_โคราช">[15]Summary!#REF!</definedName>
    <definedName name="Structures_Accessroad" localSheetId="3">[15]Summary!#REF!</definedName>
    <definedName name="Structures_Accessroad">[15]Summary!#REF!</definedName>
    <definedName name="Structures_Crossing" localSheetId="3">[15]Summary!#REF!</definedName>
    <definedName name="Structures_Crossing">[15]Summary!#REF!</definedName>
    <definedName name="Structures_Overpass" localSheetId="3">[15]Summary!#REF!</definedName>
    <definedName name="Structures_Overpass">[15]Summary!#REF!</definedName>
    <definedName name="Structures_Serviceroad" localSheetId="3">[15]Summary!#REF!</definedName>
    <definedName name="Structures_Serviceroad">[15]Summary!#REF!</definedName>
    <definedName name="Subbase_Accessroad" localSheetId="3">[15]Summary!#REF!</definedName>
    <definedName name="Subbase_Accessroad">[15]Summary!#REF!</definedName>
    <definedName name="Subbase_Crossing" localSheetId="3">[15]Summary!#REF!</definedName>
    <definedName name="Subbase_Crossing">[15]Summary!#REF!</definedName>
    <definedName name="Subbase_LOCAL" localSheetId="3">[15]Summary!#REF!</definedName>
    <definedName name="Subbase_LOCAL">[15]Summary!#REF!</definedName>
    <definedName name="Subbase_Overpass" localSheetId="3">[15]Summary!#REF!</definedName>
    <definedName name="Subbase_Overpass">[15]Summary!#REF!</definedName>
    <definedName name="Subbase_PAKCHONG" localSheetId="3">[15]Summary!#REF!</definedName>
    <definedName name="Subbase_PAKCHONG">[15]Summary!#REF!</definedName>
    <definedName name="Subbase_Serviceroad" localSheetId="3">[15]Summary!#REF!</definedName>
    <definedName name="Subbase_Serviceroad">[15]Summary!#REF!</definedName>
    <definedName name="Subbase_Sikhio" localSheetId="3">[15]Summary!#REF!</definedName>
    <definedName name="Subbase_Sikhio">[15]Summary!#REF!</definedName>
    <definedName name="Subbase_โคราช" localSheetId="3">[15]Summary!#REF!</definedName>
    <definedName name="Subbase_โคราช">[15]Summary!#REF!</definedName>
    <definedName name="sum11boots">'[40]Sum.No.02 (11 Boots)'!$F$27</definedName>
    <definedName name="sum14boots">'[40]Sum.No.02 (14 Boots)'!$F$27</definedName>
    <definedName name="sum3Boots" localSheetId="3">#REF!</definedName>
    <definedName name="sum3Boots" localSheetId="4">#REF!</definedName>
    <definedName name="sum3Boots" localSheetId="18">#REF!</definedName>
    <definedName name="sum3Boots" localSheetId="19">#REF!</definedName>
    <definedName name="sum3Boots" localSheetId="9">#REF!</definedName>
    <definedName name="sum3Boots" localSheetId="10">#REF!</definedName>
    <definedName name="sum3Boots" localSheetId="11">#REF!</definedName>
    <definedName name="sum3Boots" localSheetId="12">#REF!</definedName>
    <definedName name="sum3Boots" localSheetId="13">#REF!</definedName>
    <definedName name="sum3Boots" localSheetId="14">#REF!</definedName>
    <definedName name="sum3Boots" localSheetId="15">#REF!</definedName>
    <definedName name="sum3Boots" localSheetId="16">#REF!</definedName>
    <definedName name="sum3Boots" localSheetId="17">#REF!</definedName>
    <definedName name="sum3Boots" localSheetId="8">#REF!</definedName>
    <definedName name="sum3Boots" localSheetId="7">#REF!</definedName>
    <definedName name="sum3Boots" localSheetId="6">#REF!</definedName>
    <definedName name="sum3Boots" localSheetId="20">#REF!</definedName>
    <definedName name="sum3Boots" localSheetId="5">#REF!</definedName>
    <definedName name="sum3Boots" localSheetId="21">#REF!</definedName>
    <definedName name="sum3Boots" localSheetId="34">#REF!</definedName>
    <definedName name="sum3Boots" localSheetId="35">#REF!</definedName>
    <definedName name="sum3Boots" localSheetId="25">#REF!</definedName>
    <definedName name="sum3Boots" localSheetId="27">#REF!</definedName>
    <definedName name="sum3Boots" localSheetId="28">#REF!</definedName>
    <definedName name="sum3Boots" localSheetId="29">#REF!</definedName>
    <definedName name="sum3Boots" localSheetId="31">#REF!</definedName>
    <definedName name="sum3Boots" localSheetId="32">#REF!</definedName>
    <definedName name="sum3Boots" localSheetId="33">#REF!</definedName>
    <definedName name="sum3Boots" localSheetId="24">#REF!</definedName>
    <definedName name="sum3Boots" localSheetId="23">#REF!</definedName>
    <definedName name="sum3Boots" localSheetId="36">#REF!</definedName>
    <definedName name="sum3Boots" localSheetId="22">#REF!</definedName>
    <definedName name="sum3Boots" localSheetId="26">#REF!</definedName>
    <definedName name="sum3Boots" localSheetId="30">#REF!</definedName>
    <definedName name="sum3Boots" localSheetId="41">#REF!</definedName>
    <definedName name="sum3Boots" localSheetId="50">#REF!</definedName>
    <definedName name="sum3Boots" localSheetId="51">#REF!</definedName>
    <definedName name="sum3Boots" localSheetId="42">#REF!</definedName>
    <definedName name="sum3Boots" localSheetId="43">#REF!</definedName>
    <definedName name="sum3Boots" localSheetId="44">#REF!</definedName>
    <definedName name="sum3Boots" localSheetId="45">#REF!</definedName>
    <definedName name="sum3Boots" localSheetId="46">#REF!</definedName>
    <definedName name="sum3Boots" localSheetId="47">#REF!</definedName>
    <definedName name="sum3Boots" localSheetId="48">#REF!</definedName>
    <definedName name="sum3Boots" localSheetId="49">#REF!</definedName>
    <definedName name="sum3Boots" localSheetId="52">#REF!</definedName>
    <definedName name="sum3Boots" localSheetId="40">#REF!</definedName>
    <definedName name="sum3Boots" localSheetId="39">#REF!</definedName>
    <definedName name="sum3Boots" localSheetId="38">#REF!</definedName>
    <definedName name="sum3Boots" localSheetId="37">#REF!</definedName>
    <definedName name="sum3Boots" localSheetId="57">#REF!</definedName>
    <definedName name="sum3Boots" localSheetId="66">#REF!</definedName>
    <definedName name="sum3Boots" localSheetId="67">#REF!</definedName>
    <definedName name="sum3Boots" localSheetId="58">#REF!</definedName>
    <definedName name="sum3Boots" localSheetId="59">#REF!</definedName>
    <definedName name="sum3Boots" localSheetId="60">#REF!</definedName>
    <definedName name="sum3Boots" localSheetId="61">#REF!</definedName>
    <definedName name="sum3Boots" localSheetId="62">#REF!</definedName>
    <definedName name="sum3Boots" localSheetId="63">#REF!</definedName>
    <definedName name="sum3Boots" localSheetId="64">#REF!</definedName>
    <definedName name="sum3Boots" localSheetId="65">#REF!</definedName>
    <definedName name="sum3Boots" localSheetId="68">#REF!</definedName>
    <definedName name="sum3Boots" localSheetId="56">#REF!</definedName>
    <definedName name="sum3Boots" localSheetId="55">#REF!</definedName>
    <definedName name="sum3Boots" localSheetId="54">#REF!</definedName>
    <definedName name="sum3Boots" localSheetId="69">#REF!</definedName>
    <definedName name="sum3Boots" localSheetId="53">#REF!</definedName>
    <definedName name="sum3Boots" localSheetId="85">#REF!</definedName>
    <definedName name="sum3Boots" localSheetId="86">#REF!</definedName>
    <definedName name="sum3Boots" localSheetId="2">#REF!</definedName>
    <definedName name="sum3Boots">#REF!</definedName>
    <definedName name="sum4boots" localSheetId="3">#REF!</definedName>
    <definedName name="sum4boots" localSheetId="4">#REF!</definedName>
    <definedName name="sum4boots" localSheetId="18">#REF!</definedName>
    <definedName name="sum4boots" localSheetId="19">#REF!</definedName>
    <definedName name="sum4boots" localSheetId="9">#REF!</definedName>
    <definedName name="sum4boots" localSheetId="10">#REF!</definedName>
    <definedName name="sum4boots" localSheetId="11">#REF!</definedName>
    <definedName name="sum4boots" localSheetId="12">#REF!</definedName>
    <definedName name="sum4boots" localSheetId="13">#REF!</definedName>
    <definedName name="sum4boots" localSheetId="14">#REF!</definedName>
    <definedName name="sum4boots" localSheetId="15">#REF!</definedName>
    <definedName name="sum4boots" localSheetId="16">#REF!</definedName>
    <definedName name="sum4boots" localSheetId="17">#REF!</definedName>
    <definedName name="sum4boots" localSheetId="8">#REF!</definedName>
    <definedName name="sum4boots" localSheetId="7">#REF!</definedName>
    <definedName name="sum4boots" localSheetId="6">#REF!</definedName>
    <definedName name="sum4boots" localSheetId="20">#REF!</definedName>
    <definedName name="sum4boots" localSheetId="5">#REF!</definedName>
    <definedName name="sum4boots" localSheetId="21">#REF!</definedName>
    <definedName name="sum4boots" localSheetId="34">#REF!</definedName>
    <definedName name="sum4boots" localSheetId="35">#REF!</definedName>
    <definedName name="sum4boots" localSheetId="25">#REF!</definedName>
    <definedName name="sum4boots" localSheetId="27">#REF!</definedName>
    <definedName name="sum4boots" localSheetId="28">#REF!</definedName>
    <definedName name="sum4boots" localSheetId="29">#REF!</definedName>
    <definedName name="sum4boots" localSheetId="31">#REF!</definedName>
    <definedName name="sum4boots" localSheetId="32">#REF!</definedName>
    <definedName name="sum4boots" localSheetId="33">#REF!</definedName>
    <definedName name="sum4boots" localSheetId="24">#REF!</definedName>
    <definedName name="sum4boots" localSheetId="23">#REF!</definedName>
    <definedName name="sum4boots" localSheetId="36">#REF!</definedName>
    <definedName name="sum4boots" localSheetId="22">#REF!</definedName>
    <definedName name="sum4boots" localSheetId="26">#REF!</definedName>
    <definedName name="sum4boots" localSheetId="30">#REF!</definedName>
    <definedName name="sum4boots" localSheetId="85">#REF!</definedName>
    <definedName name="sum4boots" localSheetId="86">#REF!</definedName>
    <definedName name="sum4boots" localSheetId="2">#REF!</definedName>
    <definedName name="sum4boots">#REF!</definedName>
    <definedName name="sum5boots">'[40]Sum.No.02 (5 Boots)'!$F$27</definedName>
    <definedName name="sum6boots">'[40]Sum.No.02 (6 Boots)'!$F$27</definedName>
    <definedName name="sum8boots" localSheetId="3">#REF!</definedName>
    <definedName name="sum8boots" localSheetId="4">#REF!</definedName>
    <definedName name="sum8boots" localSheetId="18">#REF!</definedName>
    <definedName name="sum8boots" localSheetId="19">#REF!</definedName>
    <definedName name="sum8boots" localSheetId="9">#REF!</definedName>
    <definedName name="sum8boots" localSheetId="10">#REF!</definedName>
    <definedName name="sum8boots" localSheetId="11">#REF!</definedName>
    <definedName name="sum8boots" localSheetId="12">#REF!</definedName>
    <definedName name="sum8boots" localSheetId="13">#REF!</definedName>
    <definedName name="sum8boots" localSheetId="14">#REF!</definedName>
    <definedName name="sum8boots" localSheetId="15">#REF!</definedName>
    <definedName name="sum8boots" localSheetId="16">#REF!</definedName>
    <definedName name="sum8boots" localSheetId="17">#REF!</definedName>
    <definedName name="sum8boots" localSheetId="8">#REF!</definedName>
    <definedName name="sum8boots" localSheetId="7">#REF!</definedName>
    <definedName name="sum8boots" localSheetId="6">#REF!</definedName>
    <definedName name="sum8boots" localSheetId="20">#REF!</definedName>
    <definedName name="sum8boots" localSheetId="5">#REF!</definedName>
    <definedName name="sum8boots" localSheetId="21">#REF!</definedName>
    <definedName name="sum8boots" localSheetId="34">#REF!</definedName>
    <definedName name="sum8boots" localSheetId="35">#REF!</definedName>
    <definedName name="sum8boots" localSheetId="25">#REF!</definedName>
    <definedName name="sum8boots" localSheetId="27">#REF!</definedName>
    <definedName name="sum8boots" localSheetId="28">#REF!</definedName>
    <definedName name="sum8boots" localSheetId="29">#REF!</definedName>
    <definedName name="sum8boots" localSheetId="31">#REF!</definedName>
    <definedName name="sum8boots" localSheetId="32">#REF!</definedName>
    <definedName name="sum8boots" localSheetId="33">#REF!</definedName>
    <definedName name="sum8boots" localSheetId="24">#REF!</definedName>
    <definedName name="sum8boots" localSheetId="23">#REF!</definedName>
    <definedName name="sum8boots" localSheetId="36">#REF!</definedName>
    <definedName name="sum8boots" localSheetId="22">#REF!</definedName>
    <definedName name="sum8boots" localSheetId="26">#REF!</definedName>
    <definedName name="sum8boots" localSheetId="30">#REF!</definedName>
    <definedName name="sum8boots" localSheetId="41">#REF!</definedName>
    <definedName name="sum8boots" localSheetId="50">#REF!</definedName>
    <definedName name="sum8boots" localSheetId="51">#REF!</definedName>
    <definedName name="sum8boots" localSheetId="42">#REF!</definedName>
    <definedName name="sum8boots" localSheetId="43">#REF!</definedName>
    <definedName name="sum8boots" localSheetId="44">#REF!</definedName>
    <definedName name="sum8boots" localSheetId="45">#REF!</definedName>
    <definedName name="sum8boots" localSheetId="46">#REF!</definedName>
    <definedName name="sum8boots" localSheetId="47">#REF!</definedName>
    <definedName name="sum8boots" localSheetId="48">#REF!</definedName>
    <definedName name="sum8boots" localSheetId="49">#REF!</definedName>
    <definedName name="sum8boots" localSheetId="52">#REF!</definedName>
    <definedName name="sum8boots" localSheetId="40">#REF!</definedName>
    <definedName name="sum8boots" localSheetId="39">#REF!</definedName>
    <definedName name="sum8boots" localSheetId="38">#REF!</definedName>
    <definedName name="sum8boots" localSheetId="37">#REF!</definedName>
    <definedName name="sum8boots" localSheetId="57">#REF!</definedName>
    <definedName name="sum8boots" localSheetId="66">#REF!</definedName>
    <definedName name="sum8boots" localSheetId="67">#REF!</definedName>
    <definedName name="sum8boots" localSheetId="58">#REF!</definedName>
    <definedName name="sum8boots" localSheetId="59">#REF!</definedName>
    <definedName name="sum8boots" localSheetId="60">#REF!</definedName>
    <definedName name="sum8boots" localSheetId="61">#REF!</definedName>
    <definedName name="sum8boots" localSheetId="62">#REF!</definedName>
    <definedName name="sum8boots" localSheetId="63">#REF!</definedName>
    <definedName name="sum8boots" localSheetId="64">#REF!</definedName>
    <definedName name="sum8boots" localSheetId="65">#REF!</definedName>
    <definedName name="sum8boots" localSheetId="68">#REF!</definedName>
    <definedName name="sum8boots" localSheetId="56">#REF!</definedName>
    <definedName name="sum8boots" localSheetId="55">#REF!</definedName>
    <definedName name="sum8boots" localSheetId="54">#REF!</definedName>
    <definedName name="sum8boots" localSheetId="69">#REF!</definedName>
    <definedName name="sum8boots" localSheetId="53">#REF!</definedName>
    <definedName name="sum8boots" localSheetId="85">#REF!</definedName>
    <definedName name="sum8boots" localSheetId="86">#REF!</definedName>
    <definedName name="sum8boots" localSheetId="2">#REF!</definedName>
    <definedName name="sum8boots">#REF!</definedName>
    <definedName name="summ10" localSheetId="4">#REF!</definedName>
    <definedName name="summ10">#REF!</definedName>
    <definedName name="summ11" localSheetId="4">#REF!</definedName>
    <definedName name="summ11">#REF!</definedName>
    <definedName name="summ12">#REF!</definedName>
    <definedName name="summ2">#REF!</definedName>
    <definedName name="summ3">#REF!</definedName>
    <definedName name="summ5">'[41]EST-FOOTING (G)'!$A:$F,'[41]EST-FOOTING (G)'!$1:$7</definedName>
    <definedName name="summ8" localSheetId="3">#REF!</definedName>
    <definedName name="summ8" localSheetId="4">#REF!</definedName>
    <definedName name="summ8" localSheetId="38">#REF!</definedName>
    <definedName name="summ8">#REF!</definedName>
    <definedName name="summ9" localSheetId="3">#REF!</definedName>
    <definedName name="summ9" localSheetId="4">#REF!</definedName>
    <definedName name="summ9" localSheetId="38">#REF!</definedName>
    <definedName name="summ9">#REF!</definedName>
    <definedName name="summary" localSheetId="3">#REF!</definedName>
    <definedName name="summary" localSheetId="4">#REF!</definedName>
    <definedName name="summary" localSheetId="38">#REF!</definedName>
    <definedName name="summary">#REF!</definedName>
    <definedName name="Surface_Accessroad" localSheetId="3">[15]Summary!#REF!</definedName>
    <definedName name="Surface_Accessroad" localSheetId="18">[15]Summary!#REF!</definedName>
    <definedName name="Surface_Accessroad" localSheetId="19">[15]Summary!#REF!</definedName>
    <definedName name="Surface_Accessroad" localSheetId="9">[15]Summary!#REF!</definedName>
    <definedName name="Surface_Accessroad" localSheetId="10">[15]Summary!#REF!</definedName>
    <definedName name="Surface_Accessroad" localSheetId="11">[15]Summary!#REF!</definedName>
    <definedName name="Surface_Accessroad" localSheetId="12">[15]Summary!#REF!</definedName>
    <definedName name="Surface_Accessroad" localSheetId="13">[15]Summary!#REF!</definedName>
    <definedName name="Surface_Accessroad" localSheetId="14">[15]Summary!#REF!</definedName>
    <definedName name="Surface_Accessroad" localSheetId="15">[15]Summary!#REF!</definedName>
    <definedName name="Surface_Accessroad" localSheetId="16">[15]Summary!#REF!</definedName>
    <definedName name="Surface_Accessroad" localSheetId="17">[15]Summary!#REF!</definedName>
    <definedName name="Surface_Accessroad" localSheetId="8">[15]Summary!#REF!</definedName>
    <definedName name="Surface_Accessroad" localSheetId="7">[15]Summary!#REF!</definedName>
    <definedName name="Surface_Accessroad" localSheetId="6">[15]Summary!#REF!</definedName>
    <definedName name="Surface_Accessroad" localSheetId="20">[15]Summary!#REF!</definedName>
    <definedName name="Surface_Accessroad" localSheetId="5">[15]Summary!#REF!</definedName>
    <definedName name="Surface_Accessroad" localSheetId="21">[15]Summary!#REF!</definedName>
    <definedName name="Surface_Accessroad" localSheetId="34">[15]Summary!#REF!</definedName>
    <definedName name="Surface_Accessroad" localSheetId="35">[15]Summary!#REF!</definedName>
    <definedName name="Surface_Accessroad" localSheetId="25">[15]Summary!#REF!</definedName>
    <definedName name="Surface_Accessroad" localSheetId="27">[15]Summary!#REF!</definedName>
    <definedName name="Surface_Accessroad" localSheetId="28">[15]Summary!#REF!</definedName>
    <definedName name="Surface_Accessroad" localSheetId="29">[15]Summary!#REF!</definedName>
    <definedName name="Surface_Accessroad" localSheetId="31">[15]Summary!#REF!</definedName>
    <definedName name="Surface_Accessroad" localSheetId="32">[15]Summary!#REF!</definedName>
    <definedName name="Surface_Accessroad" localSheetId="33">[15]Summary!#REF!</definedName>
    <definedName name="Surface_Accessroad" localSheetId="24">[15]Summary!#REF!</definedName>
    <definedName name="Surface_Accessroad" localSheetId="23">[15]Summary!#REF!</definedName>
    <definedName name="Surface_Accessroad" localSheetId="36">[15]Summary!#REF!</definedName>
    <definedName name="Surface_Accessroad" localSheetId="22">[15]Summary!#REF!</definedName>
    <definedName name="Surface_Accessroad" localSheetId="26">[15]Summary!#REF!</definedName>
    <definedName name="Surface_Accessroad" localSheetId="30">[15]Summary!#REF!</definedName>
    <definedName name="Surface_Accessroad" localSheetId="41">[15]Summary!#REF!</definedName>
    <definedName name="Surface_Accessroad" localSheetId="50">[15]Summary!#REF!</definedName>
    <definedName name="Surface_Accessroad" localSheetId="51">[15]Summary!#REF!</definedName>
    <definedName name="Surface_Accessroad" localSheetId="42">[15]Summary!#REF!</definedName>
    <definedName name="Surface_Accessroad" localSheetId="43">[15]Summary!#REF!</definedName>
    <definedName name="Surface_Accessroad" localSheetId="44">[15]Summary!#REF!</definedName>
    <definedName name="Surface_Accessroad" localSheetId="45">[15]Summary!#REF!</definedName>
    <definedName name="Surface_Accessroad" localSheetId="46">[15]Summary!#REF!</definedName>
    <definedName name="Surface_Accessroad" localSheetId="47">[15]Summary!#REF!</definedName>
    <definedName name="Surface_Accessroad" localSheetId="48">[15]Summary!#REF!</definedName>
    <definedName name="Surface_Accessroad" localSheetId="49">[15]Summary!#REF!</definedName>
    <definedName name="Surface_Accessroad" localSheetId="52">[15]Summary!#REF!</definedName>
    <definedName name="Surface_Accessroad" localSheetId="40">[15]Summary!#REF!</definedName>
    <definedName name="Surface_Accessroad" localSheetId="39">[15]Summary!#REF!</definedName>
    <definedName name="Surface_Accessroad" localSheetId="38">[15]Summary!#REF!</definedName>
    <definedName name="Surface_Accessroad" localSheetId="37">[15]Summary!#REF!</definedName>
    <definedName name="Surface_Accessroad" localSheetId="57">[15]Summary!#REF!</definedName>
    <definedName name="Surface_Accessroad" localSheetId="66">[15]Summary!#REF!</definedName>
    <definedName name="Surface_Accessroad" localSheetId="67">[15]Summary!#REF!</definedName>
    <definedName name="Surface_Accessroad" localSheetId="58">[15]Summary!#REF!</definedName>
    <definedName name="Surface_Accessroad" localSheetId="59">[15]Summary!#REF!</definedName>
    <definedName name="Surface_Accessroad" localSheetId="60">[15]Summary!#REF!</definedName>
    <definedName name="Surface_Accessroad" localSheetId="61">[15]Summary!#REF!</definedName>
    <definedName name="Surface_Accessroad" localSheetId="62">[15]Summary!#REF!</definedName>
    <definedName name="Surface_Accessroad" localSheetId="63">[15]Summary!#REF!</definedName>
    <definedName name="Surface_Accessroad" localSheetId="64">[15]Summary!#REF!</definedName>
    <definedName name="Surface_Accessroad" localSheetId="65">[15]Summary!#REF!</definedName>
    <definedName name="Surface_Accessroad" localSheetId="68">[15]Summary!#REF!</definedName>
    <definedName name="Surface_Accessroad" localSheetId="56">[15]Summary!#REF!</definedName>
    <definedName name="Surface_Accessroad" localSheetId="55">[15]Summary!#REF!</definedName>
    <definedName name="Surface_Accessroad" localSheetId="54">[15]Summary!#REF!</definedName>
    <definedName name="Surface_Accessroad" localSheetId="69">[15]Summary!#REF!</definedName>
    <definedName name="Surface_Accessroad" localSheetId="53">[15]Summary!#REF!</definedName>
    <definedName name="Surface_Accessroad" localSheetId="85">[15]Summary!#REF!</definedName>
    <definedName name="Surface_Accessroad" localSheetId="86">[15]Summary!#REF!</definedName>
    <definedName name="Surface_Accessroad">[15]Summary!#REF!</definedName>
    <definedName name="Surface_Crossing" localSheetId="3">[15]Summary!#REF!</definedName>
    <definedName name="Surface_Crossing" localSheetId="18">[15]Summary!#REF!</definedName>
    <definedName name="Surface_Crossing" localSheetId="19">[15]Summary!#REF!</definedName>
    <definedName name="Surface_Crossing" localSheetId="9">[15]Summary!#REF!</definedName>
    <definedName name="Surface_Crossing" localSheetId="10">[15]Summary!#REF!</definedName>
    <definedName name="Surface_Crossing" localSheetId="11">[15]Summary!#REF!</definedName>
    <definedName name="Surface_Crossing" localSheetId="12">[15]Summary!#REF!</definedName>
    <definedName name="Surface_Crossing" localSheetId="13">[15]Summary!#REF!</definedName>
    <definedName name="Surface_Crossing" localSheetId="14">[15]Summary!#REF!</definedName>
    <definedName name="Surface_Crossing" localSheetId="15">[15]Summary!#REF!</definedName>
    <definedName name="Surface_Crossing" localSheetId="16">[15]Summary!#REF!</definedName>
    <definedName name="Surface_Crossing" localSheetId="17">[15]Summary!#REF!</definedName>
    <definedName name="Surface_Crossing" localSheetId="8">[15]Summary!#REF!</definedName>
    <definedName name="Surface_Crossing" localSheetId="7">[15]Summary!#REF!</definedName>
    <definedName name="Surface_Crossing" localSheetId="6">[15]Summary!#REF!</definedName>
    <definedName name="Surface_Crossing" localSheetId="20">[15]Summary!#REF!</definedName>
    <definedName name="Surface_Crossing" localSheetId="5">[15]Summary!#REF!</definedName>
    <definedName name="Surface_Crossing" localSheetId="21">[15]Summary!#REF!</definedName>
    <definedName name="Surface_Crossing" localSheetId="34">[15]Summary!#REF!</definedName>
    <definedName name="Surface_Crossing" localSheetId="35">[15]Summary!#REF!</definedName>
    <definedName name="Surface_Crossing" localSheetId="25">[15]Summary!#REF!</definedName>
    <definedName name="Surface_Crossing" localSheetId="27">[15]Summary!#REF!</definedName>
    <definedName name="Surface_Crossing" localSheetId="28">[15]Summary!#REF!</definedName>
    <definedName name="Surface_Crossing" localSheetId="29">[15]Summary!#REF!</definedName>
    <definedName name="Surface_Crossing" localSheetId="31">[15]Summary!#REF!</definedName>
    <definedName name="Surface_Crossing" localSheetId="32">[15]Summary!#REF!</definedName>
    <definedName name="Surface_Crossing" localSheetId="33">[15]Summary!#REF!</definedName>
    <definedName name="Surface_Crossing" localSheetId="24">[15]Summary!#REF!</definedName>
    <definedName name="Surface_Crossing" localSheetId="23">[15]Summary!#REF!</definedName>
    <definedName name="Surface_Crossing" localSheetId="36">[15]Summary!#REF!</definedName>
    <definedName name="Surface_Crossing" localSheetId="22">[15]Summary!#REF!</definedName>
    <definedName name="Surface_Crossing" localSheetId="26">[15]Summary!#REF!</definedName>
    <definedName name="Surface_Crossing" localSheetId="30">[15]Summary!#REF!</definedName>
    <definedName name="Surface_Crossing" localSheetId="41">[15]Summary!#REF!</definedName>
    <definedName name="Surface_Crossing" localSheetId="50">[15]Summary!#REF!</definedName>
    <definedName name="Surface_Crossing" localSheetId="51">[15]Summary!#REF!</definedName>
    <definedName name="Surface_Crossing" localSheetId="42">[15]Summary!#REF!</definedName>
    <definedName name="Surface_Crossing" localSheetId="43">[15]Summary!#REF!</definedName>
    <definedName name="Surface_Crossing" localSheetId="44">[15]Summary!#REF!</definedName>
    <definedName name="Surface_Crossing" localSheetId="45">[15]Summary!#REF!</definedName>
    <definedName name="Surface_Crossing" localSheetId="46">[15]Summary!#REF!</definedName>
    <definedName name="Surface_Crossing" localSheetId="47">[15]Summary!#REF!</definedName>
    <definedName name="Surface_Crossing" localSheetId="48">[15]Summary!#REF!</definedName>
    <definedName name="Surface_Crossing" localSheetId="49">[15]Summary!#REF!</definedName>
    <definedName name="Surface_Crossing" localSheetId="52">[15]Summary!#REF!</definedName>
    <definedName name="Surface_Crossing" localSheetId="40">[15]Summary!#REF!</definedName>
    <definedName name="Surface_Crossing" localSheetId="39">[15]Summary!#REF!</definedName>
    <definedName name="Surface_Crossing" localSheetId="38">[15]Summary!#REF!</definedName>
    <definedName name="Surface_Crossing" localSheetId="37">[15]Summary!#REF!</definedName>
    <definedName name="Surface_Crossing" localSheetId="57">[15]Summary!#REF!</definedName>
    <definedName name="Surface_Crossing" localSheetId="66">[15]Summary!#REF!</definedName>
    <definedName name="Surface_Crossing" localSheetId="67">[15]Summary!#REF!</definedName>
    <definedName name="Surface_Crossing" localSheetId="58">[15]Summary!#REF!</definedName>
    <definedName name="Surface_Crossing" localSheetId="59">[15]Summary!#REF!</definedName>
    <definedName name="Surface_Crossing" localSheetId="60">[15]Summary!#REF!</definedName>
    <definedName name="Surface_Crossing" localSheetId="61">[15]Summary!#REF!</definedName>
    <definedName name="Surface_Crossing" localSheetId="62">[15]Summary!#REF!</definedName>
    <definedName name="Surface_Crossing" localSheetId="63">[15]Summary!#REF!</definedName>
    <definedName name="Surface_Crossing" localSheetId="64">[15]Summary!#REF!</definedName>
    <definedName name="Surface_Crossing" localSheetId="65">[15]Summary!#REF!</definedName>
    <definedName name="Surface_Crossing" localSheetId="68">[15]Summary!#REF!</definedName>
    <definedName name="Surface_Crossing" localSheetId="56">[15]Summary!#REF!</definedName>
    <definedName name="Surface_Crossing" localSheetId="55">[15]Summary!#REF!</definedName>
    <definedName name="Surface_Crossing" localSheetId="54">[15]Summary!#REF!</definedName>
    <definedName name="Surface_Crossing" localSheetId="53">[15]Summary!#REF!</definedName>
    <definedName name="Surface_Crossing" localSheetId="86">[15]Summary!#REF!</definedName>
    <definedName name="Surface_Crossing">[15]Summary!#REF!</definedName>
    <definedName name="Surface_LOCAL" localSheetId="3">[15]Summary!#REF!</definedName>
    <definedName name="Surface_LOCAL" localSheetId="18">[15]Summary!#REF!</definedName>
    <definedName name="Surface_LOCAL" localSheetId="19">[15]Summary!#REF!</definedName>
    <definedName name="Surface_LOCAL" localSheetId="9">[15]Summary!#REF!</definedName>
    <definedName name="Surface_LOCAL" localSheetId="10">[15]Summary!#REF!</definedName>
    <definedName name="Surface_LOCAL" localSheetId="11">[15]Summary!#REF!</definedName>
    <definedName name="Surface_LOCAL" localSheetId="12">[15]Summary!#REF!</definedName>
    <definedName name="Surface_LOCAL" localSheetId="13">[15]Summary!#REF!</definedName>
    <definedName name="Surface_LOCAL" localSheetId="14">[15]Summary!#REF!</definedName>
    <definedName name="Surface_LOCAL" localSheetId="15">[15]Summary!#REF!</definedName>
    <definedName name="Surface_LOCAL" localSheetId="16">[15]Summary!#REF!</definedName>
    <definedName name="Surface_LOCAL" localSheetId="17">[15]Summary!#REF!</definedName>
    <definedName name="Surface_LOCAL" localSheetId="8">[15]Summary!#REF!</definedName>
    <definedName name="Surface_LOCAL" localSheetId="7">[15]Summary!#REF!</definedName>
    <definedName name="Surface_LOCAL" localSheetId="6">[15]Summary!#REF!</definedName>
    <definedName name="Surface_LOCAL" localSheetId="20">[15]Summary!#REF!</definedName>
    <definedName name="Surface_LOCAL" localSheetId="5">[15]Summary!#REF!</definedName>
    <definedName name="Surface_LOCAL" localSheetId="21">[15]Summary!#REF!</definedName>
    <definedName name="Surface_LOCAL" localSheetId="34">[15]Summary!#REF!</definedName>
    <definedName name="Surface_LOCAL" localSheetId="35">[15]Summary!#REF!</definedName>
    <definedName name="Surface_LOCAL" localSheetId="25">[15]Summary!#REF!</definedName>
    <definedName name="Surface_LOCAL" localSheetId="27">[15]Summary!#REF!</definedName>
    <definedName name="Surface_LOCAL" localSheetId="28">[15]Summary!#REF!</definedName>
    <definedName name="Surface_LOCAL" localSheetId="29">[15]Summary!#REF!</definedName>
    <definedName name="Surface_LOCAL" localSheetId="31">[15]Summary!#REF!</definedName>
    <definedName name="Surface_LOCAL" localSheetId="32">[15]Summary!#REF!</definedName>
    <definedName name="Surface_LOCAL" localSheetId="33">[15]Summary!#REF!</definedName>
    <definedName name="Surface_LOCAL" localSheetId="24">[15]Summary!#REF!</definedName>
    <definedName name="Surface_LOCAL" localSheetId="23">[15]Summary!#REF!</definedName>
    <definedName name="Surface_LOCAL" localSheetId="36">[15]Summary!#REF!</definedName>
    <definedName name="Surface_LOCAL" localSheetId="22">[15]Summary!#REF!</definedName>
    <definedName name="Surface_LOCAL" localSheetId="26">[15]Summary!#REF!</definedName>
    <definedName name="Surface_LOCAL" localSheetId="30">[15]Summary!#REF!</definedName>
    <definedName name="Surface_LOCAL" localSheetId="41">[15]Summary!#REF!</definedName>
    <definedName name="Surface_LOCAL" localSheetId="50">[15]Summary!#REF!</definedName>
    <definedName name="Surface_LOCAL" localSheetId="51">[15]Summary!#REF!</definedName>
    <definedName name="Surface_LOCAL" localSheetId="42">[15]Summary!#REF!</definedName>
    <definedName name="Surface_LOCAL" localSheetId="43">[15]Summary!#REF!</definedName>
    <definedName name="Surface_LOCAL" localSheetId="44">[15]Summary!#REF!</definedName>
    <definedName name="Surface_LOCAL" localSheetId="45">[15]Summary!#REF!</definedName>
    <definedName name="Surface_LOCAL" localSheetId="46">[15]Summary!#REF!</definedName>
    <definedName name="Surface_LOCAL" localSheetId="47">[15]Summary!#REF!</definedName>
    <definedName name="Surface_LOCAL" localSheetId="48">[15]Summary!#REF!</definedName>
    <definedName name="Surface_LOCAL" localSheetId="49">[15]Summary!#REF!</definedName>
    <definedName name="Surface_LOCAL" localSheetId="52">[15]Summary!#REF!</definedName>
    <definedName name="Surface_LOCAL" localSheetId="40">[15]Summary!#REF!</definedName>
    <definedName name="Surface_LOCAL" localSheetId="39">[15]Summary!#REF!</definedName>
    <definedName name="Surface_LOCAL" localSheetId="38">[15]Summary!#REF!</definedName>
    <definedName name="Surface_LOCAL" localSheetId="37">[15]Summary!#REF!</definedName>
    <definedName name="Surface_LOCAL" localSheetId="57">[15]Summary!#REF!</definedName>
    <definedName name="Surface_LOCAL" localSheetId="66">[15]Summary!#REF!</definedName>
    <definedName name="Surface_LOCAL" localSheetId="67">[15]Summary!#REF!</definedName>
    <definedName name="Surface_LOCAL" localSheetId="58">[15]Summary!#REF!</definedName>
    <definedName name="Surface_LOCAL" localSheetId="59">[15]Summary!#REF!</definedName>
    <definedName name="Surface_LOCAL" localSheetId="60">[15]Summary!#REF!</definedName>
    <definedName name="Surface_LOCAL" localSheetId="61">[15]Summary!#REF!</definedName>
    <definedName name="Surface_LOCAL" localSheetId="62">[15]Summary!#REF!</definedName>
    <definedName name="Surface_LOCAL" localSheetId="63">[15]Summary!#REF!</definedName>
    <definedName name="Surface_LOCAL" localSheetId="64">[15]Summary!#REF!</definedName>
    <definedName name="Surface_LOCAL" localSheetId="65">[15]Summary!#REF!</definedName>
    <definedName name="Surface_LOCAL" localSheetId="68">[15]Summary!#REF!</definedName>
    <definedName name="Surface_LOCAL" localSheetId="56">[15]Summary!#REF!</definedName>
    <definedName name="Surface_LOCAL" localSheetId="55">[15]Summary!#REF!</definedName>
    <definedName name="Surface_LOCAL" localSheetId="54">[15]Summary!#REF!</definedName>
    <definedName name="Surface_LOCAL" localSheetId="53">[15]Summary!#REF!</definedName>
    <definedName name="Surface_LOCAL">[15]Summary!#REF!</definedName>
    <definedName name="Surface_Overpass" localSheetId="3">[15]Summary!#REF!</definedName>
    <definedName name="Surface_Overpass">[15]Summary!#REF!</definedName>
    <definedName name="Surface_PAKCHONG" localSheetId="3">[15]Summary!#REF!</definedName>
    <definedName name="Surface_PAKCHONG">[15]Summary!#REF!</definedName>
    <definedName name="Surface_Serviceroad" localSheetId="3">[15]Summary!#REF!</definedName>
    <definedName name="Surface_Serviceroad">[15]Summary!#REF!</definedName>
    <definedName name="Surface_Sikhio" localSheetId="3">[15]Summary!#REF!</definedName>
    <definedName name="Surface_Sikhio">[15]Summary!#REF!</definedName>
    <definedName name="Surface_โคราช" localSheetId="3">[15]Summary!#REF!</definedName>
    <definedName name="Surface_โคราช">[15]Summary!#REF!</definedName>
    <definedName name="T" localSheetId="3">#REF!</definedName>
    <definedName name="T" localSheetId="4">#REF!</definedName>
    <definedName name="T" localSheetId="18">#REF!</definedName>
    <definedName name="T" localSheetId="19">#REF!</definedName>
    <definedName name="T" localSheetId="9">#REF!</definedName>
    <definedName name="T" localSheetId="10">#REF!</definedName>
    <definedName name="T" localSheetId="11">#REF!</definedName>
    <definedName name="T" localSheetId="12">#REF!</definedName>
    <definedName name="T" localSheetId="13">#REF!</definedName>
    <definedName name="T" localSheetId="14">#REF!</definedName>
    <definedName name="T" localSheetId="15">#REF!</definedName>
    <definedName name="T" localSheetId="16">#REF!</definedName>
    <definedName name="T" localSheetId="17">#REF!</definedName>
    <definedName name="T" localSheetId="8">#REF!</definedName>
    <definedName name="T" localSheetId="7">#REF!</definedName>
    <definedName name="T" localSheetId="6">#REF!</definedName>
    <definedName name="T" localSheetId="20">#REF!</definedName>
    <definedName name="T" localSheetId="5">#REF!</definedName>
    <definedName name="T" localSheetId="21">#REF!</definedName>
    <definedName name="T" localSheetId="34">#REF!</definedName>
    <definedName name="T" localSheetId="35">#REF!</definedName>
    <definedName name="T" localSheetId="25">#REF!</definedName>
    <definedName name="T" localSheetId="27">#REF!</definedName>
    <definedName name="T" localSheetId="28">#REF!</definedName>
    <definedName name="T" localSheetId="29">#REF!</definedName>
    <definedName name="T" localSheetId="31">#REF!</definedName>
    <definedName name="T" localSheetId="32">#REF!</definedName>
    <definedName name="T" localSheetId="33">#REF!</definedName>
    <definedName name="T" localSheetId="24">#REF!</definedName>
    <definedName name="T" localSheetId="23">#REF!</definedName>
    <definedName name="T" localSheetId="36">#REF!</definedName>
    <definedName name="T" localSheetId="22">#REF!</definedName>
    <definedName name="T" localSheetId="26">#REF!</definedName>
    <definedName name="T" localSheetId="30">#REF!</definedName>
    <definedName name="T" localSheetId="41">#REF!</definedName>
    <definedName name="T" localSheetId="50">#REF!</definedName>
    <definedName name="T" localSheetId="5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49">#REF!</definedName>
    <definedName name="T" localSheetId="52">#REF!</definedName>
    <definedName name="T" localSheetId="40">#REF!</definedName>
    <definedName name="T" localSheetId="39">#REF!</definedName>
    <definedName name="T" localSheetId="38">#REF!</definedName>
    <definedName name="T" localSheetId="37">#REF!</definedName>
    <definedName name="T" localSheetId="57">#REF!</definedName>
    <definedName name="T" localSheetId="66">#REF!</definedName>
    <definedName name="T" localSheetId="67">#REF!</definedName>
    <definedName name="T" localSheetId="58">#REF!</definedName>
    <definedName name="T" localSheetId="59">#REF!</definedName>
    <definedName name="T" localSheetId="60">#REF!</definedName>
    <definedName name="T" localSheetId="61">#REF!</definedName>
    <definedName name="T" localSheetId="62">#REF!</definedName>
    <definedName name="T" localSheetId="63">#REF!</definedName>
    <definedName name="T" localSheetId="64">#REF!</definedName>
    <definedName name="T" localSheetId="65">#REF!</definedName>
    <definedName name="T" localSheetId="68">#REF!</definedName>
    <definedName name="T" localSheetId="56">#REF!</definedName>
    <definedName name="T" localSheetId="55">#REF!</definedName>
    <definedName name="T" localSheetId="54">#REF!</definedName>
    <definedName name="T" localSheetId="53">#REF!</definedName>
    <definedName name="T" localSheetId="85">#REF!</definedName>
    <definedName name="T" localSheetId="86">#REF!</definedName>
    <definedName name="T" localSheetId="2">#REF!</definedName>
    <definedName name="T">#REF!</definedName>
    <definedName name="Table_CostAnalysis" localSheetId="3">#REF!</definedName>
    <definedName name="Table_CostAnalysis" localSheetId="4">#REF!</definedName>
    <definedName name="Table_CostAnalysis" localSheetId="18">#REF!</definedName>
    <definedName name="Table_CostAnalysis" localSheetId="19">#REF!</definedName>
    <definedName name="Table_CostAnalysis" localSheetId="9">#REF!</definedName>
    <definedName name="Table_CostAnalysis" localSheetId="10">#REF!</definedName>
    <definedName name="Table_CostAnalysis" localSheetId="11">#REF!</definedName>
    <definedName name="Table_CostAnalysis" localSheetId="12">#REF!</definedName>
    <definedName name="Table_CostAnalysis" localSheetId="13">#REF!</definedName>
    <definedName name="Table_CostAnalysis" localSheetId="14">#REF!</definedName>
    <definedName name="Table_CostAnalysis" localSheetId="15">#REF!</definedName>
    <definedName name="Table_CostAnalysis" localSheetId="16">#REF!</definedName>
    <definedName name="Table_CostAnalysis" localSheetId="17">#REF!</definedName>
    <definedName name="Table_CostAnalysis" localSheetId="8">#REF!</definedName>
    <definedName name="Table_CostAnalysis" localSheetId="7">#REF!</definedName>
    <definedName name="Table_CostAnalysis" localSheetId="6">#REF!</definedName>
    <definedName name="Table_CostAnalysis" localSheetId="20">#REF!</definedName>
    <definedName name="Table_CostAnalysis" localSheetId="5">#REF!</definedName>
    <definedName name="Table_CostAnalysis" localSheetId="21">#REF!</definedName>
    <definedName name="Table_CostAnalysis" localSheetId="34">#REF!</definedName>
    <definedName name="Table_CostAnalysis" localSheetId="35">#REF!</definedName>
    <definedName name="Table_CostAnalysis" localSheetId="25">#REF!</definedName>
    <definedName name="Table_CostAnalysis" localSheetId="27">#REF!</definedName>
    <definedName name="Table_CostAnalysis" localSheetId="28">#REF!</definedName>
    <definedName name="Table_CostAnalysis" localSheetId="29">#REF!</definedName>
    <definedName name="Table_CostAnalysis" localSheetId="31">#REF!</definedName>
    <definedName name="Table_CostAnalysis" localSheetId="32">#REF!</definedName>
    <definedName name="Table_CostAnalysis" localSheetId="33">#REF!</definedName>
    <definedName name="Table_CostAnalysis" localSheetId="24">#REF!</definedName>
    <definedName name="Table_CostAnalysis" localSheetId="23">#REF!</definedName>
    <definedName name="Table_CostAnalysis" localSheetId="36">#REF!</definedName>
    <definedName name="Table_CostAnalysis" localSheetId="22">#REF!</definedName>
    <definedName name="Table_CostAnalysis" localSheetId="26">#REF!</definedName>
    <definedName name="Table_CostAnalysis" localSheetId="30">#REF!</definedName>
    <definedName name="Table_CostAnalysis" localSheetId="85">#REF!</definedName>
    <definedName name="Table_CostAnalysis" localSheetId="86">#REF!</definedName>
    <definedName name="Table_CostAnalysis" localSheetId="2">#REF!</definedName>
    <definedName name="Table_CostAnalysis">#REF!</definedName>
    <definedName name="Table_Factor_F_งานก่อสร้างอาคาร" localSheetId="3">#REF!</definedName>
    <definedName name="Table_Factor_F_งานก่อสร้างอาคาร" localSheetId="4">#REF!</definedName>
    <definedName name="Table_Factor_F_งานก่อสร้างอาคาร" localSheetId="18">#REF!</definedName>
    <definedName name="Table_Factor_F_งานก่อสร้างอาคาร" localSheetId="19">#REF!</definedName>
    <definedName name="Table_Factor_F_งานก่อสร้างอาคาร" localSheetId="9">#REF!</definedName>
    <definedName name="Table_Factor_F_งานก่อสร้างอาคาร" localSheetId="10">#REF!</definedName>
    <definedName name="Table_Factor_F_งานก่อสร้างอาคาร" localSheetId="11">#REF!</definedName>
    <definedName name="Table_Factor_F_งานก่อสร้างอาคาร" localSheetId="12">#REF!</definedName>
    <definedName name="Table_Factor_F_งานก่อสร้างอาคาร" localSheetId="13">#REF!</definedName>
    <definedName name="Table_Factor_F_งานก่อสร้างอาคาร" localSheetId="14">#REF!</definedName>
    <definedName name="Table_Factor_F_งานก่อสร้างอาคาร" localSheetId="15">#REF!</definedName>
    <definedName name="Table_Factor_F_งานก่อสร้างอาคาร" localSheetId="16">#REF!</definedName>
    <definedName name="Table_Factor_F_งานก่อสร้างอาคาร" localSheetId="17">#REF!</definedName>
    <definedName name="Table_Factor_F_งานก่อสร้างอาคาร" localSheetId="8">#REF!</definedName>
    <definedName name="Table_Factor_F_งานก่อสร้างอาคาร" localSheetId="7">#REF!</definedName>
    <definedName name="Table_Factor_F_งานก่อสร้างอาคาร" localSheetId="6">#REF!</definedName>
    <definedName name="Table_Factor_F_งานก่อสร้างอาคาร" localSheetId="20">#REF!</definedName>
    <definedName name="Table_Factor_F_งานก่อสร้างอาคาร" localSheetId="5">#REF!</definedName>
    <definedName name="Table_Factor_F_งานก่อสร้างอาคาร" localSheetId="21">#REF!</definedName>
    <definedName name="Table_Factor_F_งานก่อสร้างอาคาร" localSheetId="34">#REF!</definedName>
    <definedName name="Table_Factor_F_งานก่อสร้างอาคาร" localSheetId="35">#REF!</definedName>
    <definedName name="Table_Factor_F_งานก่อสร้างอาคาร" localSheetId="25">#REF!</definedName>
    <definedName name="Table_Factor_F_งานก่อสร้างอาคาร" localSheetId="27">#REF!</definedName>
    <definedName name="Table_Factor_F_งานก่อสร้างอาคาร" localSheetId="28">#REF!</definedName>
    <definedName name="Table_Factor_F_งานก่อสร้างอาคาร" localSheetId="29">#REF!</definedName>
    <definedName name="Table_Factor_F_งานก่อสร้างอาคาร" localSheetId="31">#REF!</definedName>
    <definedName name="Table_Factor_F_งานก่อสร้างอาคาร" localSheetId="32">#REF!</definedName>
    <definedName name="Table_Factor_F_งานก่อสร้างอาคาร" localSheetId="33">#REF!</definedName>
    <definedName name="Table_Factor_F_งานก่อสร้างอาคาร" localSheetId="24">#REF!</definedName>
    <definedName name="Table_Factor_F_งานก่อสร้างอาคาร" localSheetId="23">#REF!</definedName>
    <definedName name="Table_Factor_F_งานก่อสร้างอาคาร" localSheetId="36">#REF!</definedName>
    <definedName name="Table_Factor_F_งานก่อสร้างอาคาร" localSheetId="22">#REF!</definedName>
    <definedName name="Table_Factor_F_งานก่อสร้างอาคาร" localSheetId="26">#REF!</definedName>
    <definedName name="Table_Factor_F_งานก่อสร้างอาคาร" localSheetId="30">#REF!</definedName>
    <definedName name="Table_Factor_F_งานก่อสร้างอาคาร" localSheetId="85">#REF!</definedName>
    <definedName name="Table_Factor_F_งานก่อสร้างอาคาร" localSheetId="86">#REF!</definedName>
    <definedName name="Table_Factor_F_งานก่อสร้างอาคาร" localSheetId="2">#REF!</definedName>
    <definedName name="Table_Factor_F_งานก่อสร้างอาคาร">#REF!</definedName>
    <definedName name="Table_pipe" localSheetId="3">#REF!</definedName>
    <definedName name="Table_pipe" localSheetId="2">#REF!</definedName>
    <definedName name="Table_pipe">#REF!</definedName>
    <definedName name="TableF_Bridge" localSheetId="3">#REF!</definedName>
    <definedName name="TableF_Bridge" localSheetId="2">#REF!</definedName>
    <definedName name="TableF_Bridge">#REF!</definedName>
    <definedName name="TableF_Way" localSheetId="3">#REF!</definedName>
    <definedName name="TableF_Way" localSheetId="2">#REF!</definedName>
    <definedName name="TableF_Way">#REF!</definedName>
    <definedName name="TERRAMGEOTETEXTILES_T1000" localSheetId="3">#REF!</definedName>
    <definedName name="TERRAMGEOTETEXTILES_T1000" localSheetId="2">#REF!</definedName>
    <definedName name="TERRAMGEOTETEXTILES_T1000">#REF!</definedName>
    <definedName name="TERRAMGEOTETEXTILES_T1500" localSheetId="3">#REF!</definedName>
    <definedName name="TERRAMGEOTETEXTILES_T1500" localSheetId="2">#REF!</definedName>
    <definedName name="TERRAMGEOTETEXTILES_T1500">#REF!</definedName>
    <definedName name="THERMOPLASTIC_Yellow_White">'[8]6'!$J$2699</definedName>
    <definedName name="TIMBER_BARRICADE">'[8]6'!$J$2748</definedName>
    <definedName name="To_STA">42000</definedName>
    <definedName name="Top_Soil">'[8]6'!$J$1736</definedName>
    <definedName name="Topping4cm.RB6mm.ระยะเรียง0.2m.กันร้าวRB9mm.ระยะเรียง0.2ม." localSheetId="3">#REF!</definedName>
    <definedName name="Topping4cm.RB6mm.ระยะเรียง0.2m.กันร้าวRB9mm.ระยะเรียง0.2ม." localSheetId="4">#REF!</definedName>
    <definedName name="Topping4cm.RB6mm.ระยะเรียง0.2m.กันร้าวRB9mm.ระยะเรียง0.2ม." localSheetId="18">#REF!</definedName>
    <definedName name="Topping4cm.RB6mm.ระยะเรียง0.2m.กันร้าวRB9mm.ระยะเรียง0.2ม." localSheetId="19">#REF!</definedName>
    <definedName name="Topping4cm.RB6mm.ระยะเรียง0.2m.กันร้าวRB9mm.ระยะเรียง0.2ม." localSheetId="9">#REF!</definedName>
    <definedName name="Topping4cm.RB6mm.ระยะเรียง0.2m.กันร้าวRB9mm.ระยะเรียง0.2ม." localSheetId="10">#REF!</definedName>
    <definedName name="Topping4cm.RB6mm.ระยะเรียง0.2m.กันร้าวRB9mm.ระยะเรียง0.2ม." localSheetId="11">#REF!</definedName>
    <definedName name="Topping4cm.RB6mm.ระยะเรียง0.2m.กันร้าวRB9mm.ระยะเรียง0.2ม." localSheetId="12">#REF!</definedName>
    <definedName name="Topping4cm.RB6mm.ระยะเรียง0.2m.กันร้าวRB9mm.ระยะเรียง0.2ม." localSheetId="13">#REF!</definedName>
    <definedName name="Topping4cm.RB6mm.ระยะเรียง0.2m.กันร้าวRB9mm.ระยะเรียง0.2ม." localSheetId="14">#REF!</definedName>
    <definedName name="Topping4cm.RB6mm.ระยะเรียง0.2m.กันร้าวRB9mm.ระยะเรียง0.2ม." localSheetId="15">#REF!</definedName>
    <definedName name="Topping4cm.RB6mm.ระยะเรียง0.2m.กันร้าวRB9mm.ระยะเรียง0.2ม." localSheetId="16">#REF!</definedName>
    <definedName name="Topping4cm.RB6mm.ระยะเรียง0.2m.กันร้าวRB9mm.ระยะเรียง0.2ม." localSheetId="17">#REF!</definedName>
    <definedName name="Topping4cm.RB6mm.ระยะเรียง0.2m.กันร้าวRB9mm.ระยะเรียง0.2ม." localSheetId="8">#REF!</definedName>
    <definedName name="Topping4cm.RB6mm.ระยะเรียง0.2m.กันร้าวRB9mm.ระยะเรียง0.2ม." localSheetId="7">#REF!</definedName>
    <definedName name="Topping4cm.RB6mm.ระยะเรียง0.2m.กันร้าวRB9mm.ระยะเรียง0.2ม." localSheetId="6">#REF!</definedName>
    <definedName name="Topping4cm.RB6mm.ระยะเรียง0.2m.กันร้าวRB9mm.ระยะเรียง0.2ม." localSheetId="20">#REF!</definedName>
    <definedName name="Topping4cm.RB6mm.ระยะเรียง0.2m.กันร้าวRB9mm.ระยะเรียง0.2ม." localSheetId="5">#REF!</definedName>
    <definedName name="Topping4cm.RB6mm.ระยะเรียง0.2m.กันร้าวRB9mm.ระยะเรียง0.2ม." localSheetId="21">#REF!</definedName>
    <definedName name="Topping4cm.RB6mm.ระยะเรียง0.2m.กันร้าวRB9mm.ระยะเรียง0.2ม." localSheetId="34">#REF!</definedName>
    <definedName name="Topping4cm.RB6mm.ระยะเรียง0.2m.กันร้าวRB9mm.ระยะเรียง0.2ม." localSheetId="35">#REF!</definedName>
    <definedName name="Topping4cm.RB6mm.ระยะเรียง0.2m.กันร้าวRB9mm.ระยะเรียง0.2ม." localSheetId="25">#REF!</definedName>
    <definedName name="Topping4cm.RB6mm.ระยะเรียง0.2m.กันร้าวRB9mm.ระยะเรียง0.2ม." localSheetId="27">#REF!</definedName>
    <definedName name="Topping4cm.RB6mm.ระยะเรียง0.2m.กันร้าวRB9mm.ระยะเรียง0.2ม." localSheetId="28">#REF!</definedName>
    <definedName name="Topping4cm.RB6mm.ระยะเรียง0.2m.กันร้าวRB9mm.ระยะเรียง0.2ม." localSheetId="29">#REF!</definedName>
    <definedName name="Topping4cm.RB6mm.ระยะเรียง0.2m.กันร้าวRB9mm.ระยะเรียง0.2ม." localSheetId="31">#REF!</definedName>
    <definedName name="Topping4cm.RB6mm.ระยะเรียง0.2m.กันร้าวRB9mm.ระยะเรียง0.2ม." localSheetId="32">#REF!</definedName>
    <definedName name="Topping4cm.RB6mm.ระยะเรียง0.2m.กันร้าวRB9mm.ระยะเรียง0.2ม." localSheetId="33">#REF!</definedName>
    <definedName name="Topping4cm.RB6mm.ระยะเรียง0.2m.กันร้าวRB9mm.ระยะเรียง0.2ม." localSheetId="24">#REF!</definedName>
    <definedName name="Topping4cm.RB6mm.ระยะเรียง0.2m.กันร้าวRB9mm.ระยะเรียง0.2ม." localSheetId="23">#REF!</definedName>
    <definedName name="Topping4cm.RB6mm.ระยะเรียง0.2m.กันร้าวRB9mm.ระยะเรียง0.2ม." localSheetId="36">#REF!</definedName>
    <definedName name="Topping4cm.RB6mm.ระยะเรียง0.2m.กันร้าวRB9mm.ระยะเรียง0.2ม." localSheetId="22">#REF!</definedName>
    <definedName name="Topping4cm.RB6mm.ระยะเรียง0.2m.กันร้าวRB9mm.ระยะเรียง0.2ม." localSheetId="26">#REF!</definedName>
    <definedName name="Topping4cm.RB6mm.ระยะเรียง0.2m.กันร้าวRB9mm.ระยะเรียง0.2ม." localSheetId="30">#REF!</definedName>
    <definedName name="Topping4cm.RB6mm.ระยะเรียง0.2m.กันร้าวRB9mm.ระยะเรียง0.2ม." localSheetId="41">#REF!</definedName>
    <definedName name="Topping4cm.RB6mm.ระยะเรียง0.2m.กันร้าวRB9mm.ระยะเรียง0.2ม." localSheetId="50">#REF!</definedName>
    <definedName name="Topping4cm.RB6mm.ระยะเรียง0.2m.กันร้าวRB9mm.ระยะเรียง0.2ม." localSheetId="51">#REF!</definedName>
    <definedName name="Topping4cm.RB6mm.ระยะเรียง0.2m.กันร้าวRB9mm.ระยะเรียง0.2ม." localSheetId="42">#REF!</definedName>
    <definedName name="Topping4cm.RB6mm.ระยะเรียง0.2m.กันร้าวRB9mm.ระยะเรียง0.2ม." localSheetId="43">#REF!</definedName>
    <definedName name="Topping4cm.RB6mm.ระยะเรียง0.2m.กันร้าวRB9mm.ระยะเรียง0.2ม." localSheetId="44">#REF!</definedName>
    <definedName name="Topping4cm.RB6mm.ระยะเรียง0.2m.กันร้าวRB9mm.ระยะเรียง0.2ม." localSheetId="45">#REF!</definedName>
    <definedName name="Topping4cm.RB6mm.ระยะเรียง0.2m.กันร้าวRB9mm.ระยะเรียง0.2ม." localSheetId="46">#REF!</definedName>
    <definedName name="Topping4cm.RB6mm.ระยะเรียง0.2m.กันร้าวRB9mm.ระยะเรียง0.2ม." localSheetId="47">#REF!</definedName>
    <definedName name="Topping4cm.RB6mm.ระยะเรียง0.2m.กันร้าวRB9mm.ระยะเรียง0.2ม." localSheetId="48">#REF!</definedName>
    <definedName name="Topping4cm.RB6mm.ระยะเรียง0.2m.กันร้าวRB9mm.ระยะเรียง0.2ม." localSheetId="49">#REF!</definedName>
    <definedName name="Topping4cm.RB6mm.ระยะเรียง0.2m.กันร้าวRB9mm.ระยะเรียง0.2ม." localSheetId="52">#REF!</definedName>
    <definedName name="Topping4cm.RB6mm.ระยะเรียง0.2m.กันร้าวRB9mm.ระยะเรียง0.2ม." localSheetId="40">#REF!</definedName>
    <definedName name="Topping4cm.RB6mm.ระยะเรียง0.2m.กันร้าวRB9mm.ระยะเรียง0.2ม." localSheetId="39">#REF!</definedName>
    <definedName name="Topping4cm.RB6mm.ระยะเรียง0.2m.กันร้าวRB9mm.ระยะเรียง0.2ม." localSheetId="38">#REF!</definedName>
    <definedName name="Topping4cm.RB6mm.ระยะเรียง0.2m.กันร้าวRB9mm.ระยะเรียง0.2ม." localSheetId="37">#REF!</definedName>
    <definedName name="Topping4cm.RB6mm.ระยะเรียง0.2m.กันร้าวRB9mm.ระยะเรียง0.2ม." localSheetId="57">#REF!</definedName>
    <definedName name="Topping4cm.RB6mm.ระยะเรียง0.2m.กันร้าวRB9mm.ระยะเรียง0.2ม." localSheetId="66">#REF!</definedName>
    <definedName name="Topping4cm.RB6mm.ระยะเรียง0.2m.กันร้าวRB9mm.ระยะเรียง0.2ม." localSheetId="67">#REF!</definedName>
    <definedName name="Topping4cm.RB6mm.ระยะเรียง0.2m.กันร้าวRB9mm.ระยะเรียง0.2ม." localSheetId="58">#REF!</definedName>
    <definedName name="Topping4cm.RB6mm.ระยะเรียง0.2m.กันร้าวRB9mm.ระยะเรียง0.2ม." localSheetId="59">#REF!</definedName>
    <definedName name="Topping4cm.RB6mm.ระยะเรียง0.2m.กันร้าวRB9mm.ระยะเรียง0.2ม." localSheetId="60">#REF!</definedName>
    <definedName name="Topping4cm.RB6mm.ระยะเรียง0.2m.กันร้าวRB9mm.ระยะเรียง0.2ม." localSheetId="61">#REF!</definedName>
    <definedName name="Topping4cm.RB6mm.ระยะเรียง0.2m.กันร้าวRB9mm.ระยะเรียง0.2ม." localSheetId="62">#REF!</definedName>
    <definedName name="Topping4cm.RB6mm.ระยะเรียง0.2m.กันร้าวRB9mm.ระยะเรียง0.2ม." localSheetId="63">#REF!</definedName>
    <definedName name="Topping4cm.RB6mm.ระยะเรียง0.2m.กันร้าวRB9mm.ระยะเรียง0.2ม." localSheetId="64">#REF!</definedName>
    <definedName name="Topping4cm.RB6mm.ระยะเรียง0.2m.กันร้าวRB9mm.ระยะเรียง0.2ม." localSheetId="65">#REF!</definedName>
    <definedName name="Topping4cm.RB6mm.ระยะเรียง0.2m.กันร้าวRB9mm.ระยะเรียง0.2ม." localSheetId="68">#REF!</definedName>
    <definedName name="Topping4cm.RB6mm.ระยะเรียง0.2m.กันร้าวRB9mm.ระยะเรียง0.2ม." localSheetId="56">#REF!</definedName>
    <definedName name="Topping4cm.RB6mm.ระยะเรียง0.2m.กันร้าวRB9mm.ระยะเรียง0.2ม." localSheetId="55">#REF!</definedName>
    <definedName name="Topping4cm.RB6mm.ระยะเรียง0.2m.กันร้าวRB9mm.ระยะเรียง0.2ม." localSheetId="54">#REF!</definedName>
    <definedName name="Topping4cm.RB6mm.ระยะเรียง0.2m.กันร้าวRB9mm.ระยะเรียง0.2ม." localSheetId="53">#REF!</definedName>
    <definedName name="Topping4cm.RB6mm.ระยะเรียง0.2m.กันร้าวRB9mm.ระยะเรียง0.2ม." localSheetId="85">#REF!</definedName>
    <definedName name="Topping4cm.RB6mm.ระยะเรียง0.2m.กันร้าวRB9mm.ระยะเรียง0.2ม." localSheetId="86">#REF!</definedName>
    <definedName name="Topping4cm.RB6mm.ระยะเรียง0.2m.กันร้าวRB9mm.ระยะเรียง0.2ม." localSheetId="2">#REF!</definedName>
    <definedName name="Topping4cm.RB6mm.ระยะเรียง0.2m.กันร้าวRB9mm.ระยะเรียง0.2ม.">#REF!</definedName>
    <definedName name="Topping5cm.RB6mm.ระยะเรียง0.2m." localSheetId="3">#REF!</definedName>
    <definedName name="Topping5cm.RB6mm.ระยะเรียง0.2m." localSheetId="4">#REF!</definedName>
    <definedName name="Topping5cm.RB6mm.ระยะเรียง0.2m." localSheetId="18">#REF!</definedName>
    <definedName name="Topping5cm.RB6mm.ระยะเรียง0.2m." localSheetId="19">#REF!</definedName>
    <definedName name="Topping5cm.RB6mm.ระยะเรียง0.2m." localSheetId="9">#REF!</definedName>
    <definedName name="Topping5cm.RB6mm.ระยะเรียง0.2m." localSheetId="10">#REF!</definedName>
    <definedName name="Topping5cm.RB6mm.ระยะเรียง0.2m." localSheetId="11">#REF!</definedName>
    <definedName name="Topping5cm.RB6mm.ระยะเรียง0.2m." localSheetId="12">#REF!</definedName>
    <definedName name="Topping5cm.RB6mm.ระยะเรียง0.2m." localSheetId="13">#REF!</definedName>
    <definedName name="Topping5cm.RB6mm.ระยะเรียง0.2m." localSheetId="14">#REF!</definedName>
    <definedName name="Topping5cm.RB6mm.ระยะเรียง0.2m." localSheetId="15">#REF!</definedName>
    <definedName name="Topping5cm.RB6mm.ระยะเรียง0.2m." localSheetId="16">#REF!</definedName>
    <definedName name="Topping5cm.RB6mm.ระยะเรียง0.2m." localSheetId="17">#REF!</definedName>
    <definedName name="Topping5cm.RB6mm.ระยะเรียง0.2m." localSheetId="8">#REF!</definedName>
    <definedName name="Topping5cm.RB6mm.ระยะเรียง0.2m." localSheetId="7">#REF!</definedName>
    <definedName name="Topping5cm.RB6mm.ระยะเรียง0.2m." localSheetId="6">#REF!</definedName>
    <definedName name="Topping5cm.RB6mm.ระยะเรียง0.2m." localSheetId="20">#REF!</definedName>
    <definedName name="Topping5cm.RB6mm.ระยะเรียง0.2m." localSheetId="5">#REF!</definedName>
    <definedName name="Topping5cm.RB6mm.ระยะเรียง0.2m." localSheetId="21">#REF!</definedName>
    <definedName name="Topping5cm.RB6mm.ระยะเรียง0.2m." localSheetId="34">#REF!</definedName>
    <definedName name="Topping5cm.RB6mm.ระยะเรียง0.2m." localSheetId="35">#REF!</definedName>
    <definedName name="Topping5cm.RB6mm.ระยะเรียง0.2m." localSheetId="25">#REF!</definedName>
    <definedName name="Topping5cm.RB6mm.ระยะเรียง0.2m." localSheetId="27">#REF!</definedName>
    <definedName name="Topping5cm.RB6mm.ระยะเรียง0.2m." localSheetId="28">#REF!</definedName>
    <definedName name="Topping5cm.RB6mm.ระยะเรียง0.2m." localSheetId="29">#REF!</definedName>
    <definedName name="Topping5cm.RB6mm.ระยะเรียง0.2m." localSheetId="31">#REF!</definedName>
    <definedName name="Topping5cm.RB6mm.ระยะเรียง0.2m." localSheetId="32">#REF!</definedName>
    <definedName name="Topping5cm.RB6mm.ระยะเรียง0.2m." localSheetId="33">#REF!</definedName>
    <definedName name="Topping5cm.RB6mm.ระยะเรียง0.2m." localSheetId="24">#REF!</definedName>
    <definedName name="Topping5cm.RB6mm.ระยะเรียง0.2m." localSheetId="23">#REF!</definedName>
    <definedName name="Topping5cm.RB6mm.ระยะเรียง0.2m." localSheetId="36">#REF!</definedName>
    <definedName name="Topping5cm.RB6mm.ระยะเรียง0.2m." localSheetId="22">#REF!</definedName>
    <definedName name="Topping5cm.RB6mm.ระยะเรียง0.2m." localSheetId="26">#REF!</definedName>
    <definedName name="Topping5cm.RB6mm.ระยะเรียง0.2m." localSheetId="30">#REF!</definedName>
    <definedName name="Topping5cm.RB6mm.ระยะเรียง0.2m." localSheetId="85">#REF!</definedName>
    <definedName name="Topping5cm.RB6mm.ระยะเรียง0.2m." localSheetId="86">#REF!</definedName>
    <definedName name="Topping5cm.RB6mm.ระยะเรียง0.2m." localSheetId="2">#REF!</definedName>
    <definedName name="Topping5cm.RB6mm.ระยะเรียง0.2m.">#REF!</definedName>
    <definedName name="Topping5cm.RB6mm.ระยะเรียง0.2m.กันร้าวRB9mm.ระยะเรียง0.20ม." localSheetId="3">'[42]unit cost'!#REF!</definedName>
    <definedName name="Topping5cm.RB6mm.ระยะเรียง0.2m.กันร้าวRB9mm.ระยะเรียง0.20ม." localSheetId="4">'[42]unit cost'!#REF!</definedName>
    <definedName name="Topping5cm.RB6mm.ระยะเรียง0.2m.กันร้าวRB9mm.ระยะเรียง0.20ม." localSheetId="18">'[42]unit cost'!#REF!</definedName>
    <definedName name="Topping5cm.RB6mm.ระยะเรียง0.2m.กันร้าวRB9mm.ระยะเรียง0.20ม." localSheetId="19">'[42]unit cost'!#REF!</definedName>
    <definedName name="Topping5cm.RB6mm.ระยะเรียง0.2m.กันร้าวRB9mm.ระยะเรียง0.20ม." localSheetId="9">'[42]unit cost'!#REF!</definedName>
    <definedName name="Topping5cm.RB6mm.ระยะเรียง0.2m.กันร้าวRB9mm.ระยะเรียง0.20ม." localSheetId="10">'[42]unit cost'!#REF!</definedName>
    <definedName name="Topping5cm.RB6mm.ระยะเรียง0.2m.กันร้าวRB9mm.ระยะเรียง0.20ม." localSheetId="11">'[42]unit cost'!#REF!</definedName>
    <definedName name="Topping5cm.RB6mm.ระยะเรียง0.2m.กันร้าวRB9mm.ระยะเรียง0.20ม." localSheetId="12">'[42]unit cost'!#REF!</definedName>
    <definedName name="Topping5cm.RB6mm.ระยะเรียง0.2m.กันร้าวRB9mm.ระยะเรียง0.20ม." localSheetId="13">'[42]unit cost'!#REF!</definedName>
    <definedName name="Topping5cm.RB6mm.ระยะเรียง0.2m.กันร้าวRB9mm.ระยะเรียง0.20ม." localSheetId="14">'[42]unit cost'!#REF!</definedName>
    <definedName name="Topping5cm.RB6mm.ระยะเรียง0.2m.กันร้าวRB9mm.ระยะเรียง0.20ม." localSheetId="15">'[42]unit cost'!#REF!</definedName>
    <definedName name="Topping5cm.RB6mm.ระยะเรียง0.2m.กันร้าวRB9mm.ระยะเรียง0.20ม." localSheetId="16">'[42]unit cost'!#REF!</definedName>
    <definedName name="Topping5cm.RB6mm.ระยะเรียง0.2m.กันร้าวRB9mm.ระยะเรียง0.20ม." localSheetId="17">'[42]unit cost'!#REF!</definedName>
    <definedName name="Topping5cm.RB6mm.ระยะเรียง0.2m.กันร้าวRB9mm.ระยะเรียง0.20ม." localSheetId="8">'[42]unit cost'!#REF!</definedName>
    <definedName name="Topping5cm.RB6mm.ระยะเรียง0.2m.กันร้าวRB9mm.ระยะเรียง0.20ม." localSheetId="7">'[42]unit cost'!#REF!</definedName>
    <definedName name="Topping5cm.RB6mm.ระยะเรียง0.2m.กันร้าวRB9mm.ระยะเรียง0.20ม." localSheetId="6">'[42]unit cost'!#REF!</definedName>
    <definedName name="Topping5cm.RB6mm.ระยะเรียง0.2m.กันร้าวRB9mm.ระยะเรียง0.20ม." localSheetId="20">'[42]unit cost'!#REF!</definedName>
    <definedName name="Topping5cm.RB6mm.ระยะเรียง0.2m.กันร้าวRB9mm.ระยะเรียง0.20ม." localSheetId="5">'[42]unit cost'!#REF!</definedName>
    <definedName name="Topping5cm.RB6mm.ระยะเรียง0.2m.กันร้าวRB9mm.ระยะเรียง0.20ม." localSheetId="21">'[42]unit cost'!#REF!</definedName>
    <definedName name="Topping5cm.RB6mm.ระยะเรียง0.2m.กันร้าวRB9mm.ระยะเรียง0.20ม." localSheetId="34">'[42]unit cost'!#REF!</definedName>
    <definedName name="Topping5cm.RB6mm.ระยะเรียง0.2m.กันร้าวRB9mm.ระยะเรียง0.20ม." localSheetId="35">'[42]unit cost'!#REF!</definedName>
    <definedName name="Topping5cm.RB6mm.ระยะเรียง0.2m.กันร้าวRB9mm.ระยะเรียง0.20ม." localSheetId="25">'[42]unit cost'!#REF!</definedName>
    <definedName name="Topping5cm.RB6mm.ระยะเรียง0.2m.กันร้าวRB9mm.ระยะเรียง0.20ม." localSheetId="27">'[42]unit cost'!#REF!</definedName>
    <definedName name="Topping5cm.RB6mm.ระยะเรียง0.2m.กันร้าวRB9mm.ระยะเรียง0.20ม." localSheetId="28">'[42]unit cost'!#REF!</definedName>
    <definedName name="Topping5cm.RB6mm.ระยะเรียง0.2m.กันร้าวRB9mm.ระยะเรียง0.20ม." localSheetId="29">'[42]unit cost'!#REF!</definedName>
    <definedName name="Topping5cm.RB6mm.ระยะเรียง0.2m.กันร้าวRB9mm.ระยะเรียง0.20ม." localSheetId="31">'[42]unit cost'!#REF!</definedName>
    <definedName name="Topping5cm.RB6mm.ระยะเรียง0.2m.กันร้าวRB9mm.ระยะเรียง0.20ม." localSheetId="32">'[42]unit cost'!#REF!</definedName>
    <definedName name="Topping5cm.RB6mm.ระยะเรียง0.2m.กันร้าวRB9mm.ระยะเรียง0.20ม." localSheetId="33">'[42]unit cost'!#REF!</definedName>
    <definedName name="Topping5cm.RB6mm.ระยะเรียง0.2m.กันร้าวRB9mm.ระยะเรียง0.20ม." localSheetId="24">'[42]unit cost'!#REF!</definedName>
    <definedName name="Topping5cm.RB6mm.ระยะเรียง0.2m.กันร้าวRB9mm.ระยะเรียง0.20ม." localSheetId="23">'[42]unit cost'!#REF!</definedName>
    <definedName name="Topping5cm.RB6mm.ระยะเรียง0.2m.กันร้าวRB9mm.ระยะเรียง0.20ม." localSheetId="36">'[42]unit cost'!#REF!</definedName>
    <definedName name="Topping5cm.RB6mm.ระยะเรียง0.2m.กันร้าวRB9mm.ระยะเรียง0.20ม." localSheetId="22">'[42]unit cost'!#REF!</definedName>
    <definedName name="Topping5cm.RB6mm.ระยะเรียง0.2m.กันร้าวRB9mm.ระยะเรียง0.20ม." localSheetId="26">'[42]unit cost'!#REF!</definedName>
    <definedName name="Topping5cm.RB6mm.ระยะเรียง0.2m.กันร้าวRB9mm.ระยะเรียง0.20ม." localSheetId="30">'[42]unit cost'!#REF!</definedName>
    <definedName name="Topping5cm.RB6mm.ระยะเรียง0.2m.กันร้าวRB9mm.ระยะเรียง0.20ม." localSheetId="85">'[42]unit cost'!#REF!</definedName>
    <definedName name="Topping5cm.RB6mm.ระยะเรียง0.2m.กันร้าวRB9mm.ระยะเรียง0.20ม." localSheetId="86">'[42]unit cost'!#REF!</definedName>
    <definedName name="Topping5cm.RB6mm.ระยะเรียง0.2m.กันร้าวRB9mm.ระยะเรียง0.20ม." localSheetId="2">'[42]unit cost'!#REF!</definedName>
    <definedName name="Topping5cm.RB6mm.ระยะเรียง0.2m.กันร้าวRB9mm.ระยะเรียง0.20ม.">'[42]unit cost'!#REF!</definedName>
    <definedName name="Topping5cm.RB9mm.ระยะเรียง0.20m." localSheetId="3">#REF!</definedName>
    <definedName name="Topping5cm.RB9mm.ระยะเรียง0.20m." localSheetId="4">#REF!</definedName>
    <definedName name="Topping5cm.RB9mm.ระยะเรียง0.20m." localSheetId="18">#REF!</definedName>
    <definedName name="Topping5cm.RB9mm.ระยะเรียง0.20m." localSheetId="19">#REF!</definedName>
    <definedName name="Topping5cm.RB9mm.ระยะเรียง0.20m." localSheetId="9">#REF!</definedName>
    <definedName name="Topping5cm.RB9mm.ระยะเรียง0.20m." localSheetId="10">#REF!</definedName>
    <definedName name="Topping5cm.RB9mm.ระยะเรียง0.20m." localSheetId="11">#REF!</definedName>
    <definedName name="Topping5cm.RB9mm.ระยะเรียง0.20m." localSheetId="12">#REF!</definedName>
    <definedName name="Topping5cm.RB9mm.ระยะเรียง0.20m." localSheetId="13">#REF!</definedName>
    <definedName name="Topping5cm.RB9mm.ระยะเรียง0.20m." localSheetId="14">#REF!</definedName>
    <definedName name="Topping5cm.RB9mm.ระยะเรียง0.20m." localSheetId="15">#REF!</definedName>
    <definedName name="Topping5cm.RB9mm.ระยะเรียง0.20m." localSheetId="16">#REF!</definedName>
    <definedName name="Topping5cm.RB9mm.ระยะเรียง0.20m." localSheetId="17">#REF!</definedName>
    <definedName name="Topping5cm.RB9mm.ระยะเรียง0.20m." localSheetId="8">#REF!</definedName>
    <definedName name="Topping5cm.RB9mm.ระยะเรียง0.20m." localSheetId="7">#REF!</definedName>
    <definedName name="Topping5cm.RB9mm.ระยะเรียง0.20m." localSheetId="6">#REF!</definedName>
    <definedName name="Topping5cm.RB9mm.ระยะเรียง0.20m." localSheetId="20">#REF!</definedName>
    <definedName name="Topping5cm.RB9mm.ระยะเรียง0.20m." localSheetId="5">#REF!</definedName>
    <definedName name="Topping5cm.RB9mm.ระยะเรียง0.20m." localSheetId="21">#REF!</definedName>
    <definedName name="Topping5cm.RB9mm.ระยะเรียง0.20m." localSheetId="34">#REF!</definedName>
    <definedName name="Topping5cm.RB9mm.ระยะเรียง0.20m." localSheetId="35">#REF!</definedName>
    <definedName name="Topping5cm.RB9mm.ระยะเรียง0.20m." localSheetId="25">#REF!</definedName>
    <definedName name="Topping5cm.RB9mm.ระยะเรียง0.20m." localSheetId="27">#REF!</definedName>
    <definedName name="Topping5cm.RB9mm.ระยะเรียง0.20m." localSheetId="28">#REF!</definedName>
    <definedName name="Topping5cm.RB9mm.ระยะเรียง0.20m." localSheetId="29">#REF!</definedName>
    <definedName name="Topping5cm.RB9mm.ระยะเรียง0.20m." localSheetId="31">#REF!</definedName>
    <definedName name="Topping5cm.RB9mm.ระยะเรียง0.20m." localSheetId="32">#REF!</definedName>
    <definedName name="Topping5cm.RB9mm.ระยะเรียง0.20m." localSheetId="33">#REF!</definedName>
    <definedName name="Topping5cm.RB9mm.ระยะเรียง0.20m." localSheetId="24">#REF!</definedName>
    <definedName name="Topping5cm.RB9mm.ระยะเรียง0.20m." localSheetId="23">#REF!</definedName>
    <definedName name="Topping5cm.RB9mm.ระยะเรียง0.20m." localSheetId="36">#REF!</definedName>
    <definedName name="Topping5cm.RB9mm.ระยะเรียง0.20m." localSheetId="22">#REF!</definedName>
    <definedName name="Topping5cm.RB9mm.ระยะเรียง0.20m." localSheetId="26">#REF!</definedName>
    <definedName name="Topping5cm.RB9mm.ระยะเรียง0.20m." localSheetId="30">#REF!</definedName>
    <definedName name="Topping5cm.RB9mm.ระยะเรียง0.20m." localSheetId="41">#REF!</definedName>
    <definedName name="Topping5cm.RB9mm.ระยะเรียง0.20m." localSheetId="50">#REF!</definedName>
    <definedName name="Topping5cm.RB9mm.ระยะเรียง0.20m." localSheetId="51">#REF!</definedName>
    <definedName name="Topping5cm.RB9mm.ระยะเรียง0.20m." localSheetId="42">#REF!</definedName>
    <definedName name="Topping5cm.RB9mm.ระยะเรียง0.20m." localSheetId="43">#REF!</definedName>
    <definedName name="Topping5cm.RB9mm.ระยะเรียง0.20m." localSheetId="44">#REF!</definedName>
    <definedName name="Topping5cm.RB9mm.ระยะเรียง0.20m." localSheetId="45">#REF!</definedName>
    <definedName name="Topping5cm.RB9mm.ระยะเรียง0.20m." localSheetId="46">#REF!</definedName>
    <definedName name="Topping5cm.RB9mm.ระยะเรียง0.20m." localSheetId="47">#REF!</definedName>
    <definedName name="Topping5cm.RB9mm.ระยะเรียง0.20m." localSheetId="48">#REF!</definedName>
    <definedName name="Topping5cm.RB9mm.ระยะเรียง0.20m." localSheetId="49">#REF!</definedName>
    <definedName name="Topping5cm.RB9mm.ระยะเรียง0.20m." localSheetId="52">#REF!</definedName>
    <definedName name="Topping5cm.RB9mm.ระยะเรียง0.20m." localSheetId="40">#REF!</definedName>
    <definedName name="Topping5cm.RB9mm.ระยะเรียง0.20m." localSheetId="39">#REF!</definedName>
    <definedName name="Topping5cm.RB9mm.ระยะเรียง0.20m." localSheetId="38">#REF!</definedName>
    <definedName name="Topping5cm.RB9mm.ระยะเรียง0.20m." localSheetId="37">#REF!</definedName>
    <definedName name="Topping5cm.RB9mm.ระยะเรียง0.20m." localSheetId="57">#REF!</definedName>
    <definedName name="Topping5cm.RB9mm.ระยะเรียง0.20m." localSheetId="66">#REF!</definedName>
    <definedName name="Topping5cm.RB9mm.ระยะเรียง0.20m." localSheetId="67">#REF!</definedName>
    <definedName name="Topping5cm.RB9mm.ระยะเรียง0.20m." localSheetId="58">#REF!</definedName>
    <definedName name="Topping5cm.RB9mm.ระยะเรียง0.20m." localSheetId="59">#REF!</definedName>
    <definedName name="Topping5cm.RB9mm.ระยะเรียง0.20m." localSheetId="60">#REF!</definedName>
    <definedName name="Topping5cm.RB9mm.ระยะเรียง0.20m." localSheetId="61">#REF!</definedName>
    <definedName name="Topping5cm.RB9mm.ระยะเรียง0.20m." localSheetId="62">#REF!</definedName>
    <definedName name="Topping5cm.RB9mm.ระยะเรียง0.20m." localSheetId="63">#REF!</definedName>
    <definedName name="Topping5cm.RB9mm.ระยะเรียง0.20m." localSheetId="64">#REF!</definedName>
    <definedName name="Topping5cm.RB9mm.ระยะเรียง0.20m." localSheetId="65">#REF!</definedName>
    <definedName name="Topping5cm.RB9mm.ระยะเรียง0.20m." localSheetId="68">#REF!</definedName>
    <definedName name="Topping5cm.RB9mm.ระยะเรียง0.20m." localSheetId="56">#REF!</definedName>
    <definedName name="Topping5cm.RB9mm.ระยะเรียง0.20m." localSheetId="55">#REF!</definedName>
    <definedName name="Topping5cm.RB9mm.ระยะเรียง0.20m." localSheetId="54">#REF!</definedName>
    <definedName name="Topping5cm.RB9mm.ระยะเรียง0.20m." localSheetId="69">#REF!</definedName>
    <definedName name="Topping5cm.RB9mm.ระยะเรียง0.20m." localSheetId="53">#REF!</definedName>
    <definedName name="Topping5cm.RB9mm.ระยะเรียง0.20m." localSheetId="85">#REF!</definedName>
    <definedName name="Topping5cm.RB9mm.ระยะเรียง0.20m." localSheetId="86">#REF!</definedName>
    <definedName name="Topping5cm.RB9mm.ระยะเรียง0.20m." localSheetId="2">#REF!</definedName>
    <definedName name="Topping5cm.RB9mm.ระยะเรียง0.20m.">#REF!</definedName>
    <definedName name="Topping5cm.wiremesh4mm.ระยะเรียง0.2m.กันร้าว6มม.ระยะเรียง0.4ม." localSheetId="3">#REF!</definedName>
    <definedName name="Topping5cm.wiremesh4mm.ระยะเรียง0.2m.กันร้าว6มม.ระยะเรียง0.4ม." localSheetId="4">#REF!</definedName>
    <definedName name="Topping5cm.wiremesh4mm.ระยะเรียง0.2m.กันร้าว6มม.ระยะเรียง0.4ม." localSheetId="18">#REF!</definedName>
    <definedName name="Topping5cm.wiremesh4mm.ระยะเรียง0.2m.กันร้าว6มม.ระยะเรียง0.4ม." localSheetId="19">#REF!</definedName>
    <definedName name="Topping5cm.wiremesh4mm.ระยะเรียง0.2m.กันร้าว6มม.ระยะเรียง0.4ม." localSheetId="9">#REF!</definedName>
    <definedName name="Topping5cm.wiremesh4mm.ระยะเรียง0.2m.กันร้าว6มม.ระยะเรียง0.4ม." localSheetId="10">#REF!</definedName>
    <definedName name="Topping5cm.wiremesh4mm.ระยะเรียง0.2m.กันร้าว6มม.ระยะเรียง0.4ม." localSheetId="11">#REF!</definedName>
    <definedName name="Topping5cm.wiremesh4mm.ระยะเรียง0.2m.กันร้าว6มม.ระยะเรียง0.4ม." localSheetId="12">#REF!</definedName>
    <definedName name="Topping5cm.wiremesh4mm.ระยะเรียง0.2m.กันร้าว6มม.ระยะเรียง0.4ม." localSheetId="13">#REF!</definedName>
    <definedName name="Topping5cm.wiremesh4mm.ระยะเรียง0.2m.กันร้าว6มม.ระยะเรียง0.4ม." localSheetId="14">#REF!</definedName>
    <definedName name="Topping5cm.wiremesh4mm.ระยะเรียง0.2m.กันร้าว6มม.ระยะเรียง0.4ม." localSheetId="15">#REF!</definedName>
    <definedName name="Topping5cm.wiremesh4mm.ระยะเรียง0.2m.กันร้าว6มม.ระยะเรียง0.4ม." localSheetId="16">#REF!</definedName>
    <definedName name="Topping5cm.wiremesh4mm.ระยะเรียง0.2m.กันร้าว6มม.ระยะเรียง0.4ม." localSheetId="17">#REF!</definedName>
    <definedName name="Topping5cm.wiremesh4mm.ระยะเรียง0.2m.กันร้าว6มม.ระยะเรียง0.4ม." localSheetId="8">#REF!</definedName>
    <definedName name="Topping5cm.wiremesh4mm.ระยะเรียง0.2m.กันร้าว6มม.ระยะเรียง0.4ม." localSheetId="7">#REF!</definedName>
    <definedName name="Topping5cm.wiremesh4mm.ระยะเรียง0.2m.กันร้าว6มม.ระยะเรียง0.4ม." localSheetId="6">#REF!</definedName>
    <definedName name="Topping5cm.wiremesh4mm.ระยะเรียง0.2m.กันร้าว6มม.ระยะเรียง0.4ม." localSheetId="20">#REF!</definedName>
    <definedName name="Topping5cm.wiremesh4mm.ระยะเรียง0.2m.กันร้าว6มม.ระยะเรียง0.4ม." localSheetId="5">#REF!</definedName>
    <definedName name="Topping5cm.wiremesh4mm.ระยะเรียง0.2m.กันร้าว6มม.ระยะเรียง0.4ม." localSheetId="21">#REF!</definedName>
    <definedName name="Topping5cm.wiremesh4mm.ระยะเรียง0.2m.กันร้าว6มม.ระยะเรียง0.4ม." localSheetId="34">#REF!</definedName>
    <definedName name="Topping5cm.wiremesh4mm.ระยะเรียง0.2m.กันร้าว6มม.ระยะเรียง0.4ม." localSheetId="35">#REF!</definedName>
    <definedName name="Topping5cm.wiremesh4mm.ระยะเรียง0.2m.กันร้าว6มม.ระยะเรียง0.4ม." localSheetId="25">#REF!</definedName>
    <definedName name="Topping5cm.wiremesh4mm.ระยะเรียง0.2m.กันร้าว6มม.ระยะเรียง0.4ม." localSheetId="27">#REF!</definedName>
    <definedName name="Topping5cm.wiremesh4mm.ระยะเรียง0.2m.กันร้าว6มม.ระยะเรียง0.4ม." localSheetId="28">#REF!</definedName>
    <definedName name="Topping5cm.wiremesh4mm.ระยะเรียง0.2m.กันร้าว6มม.ระยะเรียง0.4ม." localSheetId="29">#REF!</definedName>
    <definedName name="Topping5cm.wiremesh4mm.ระยะเรียง0.2m.กันร้าว6มม.ระยะเรียง0.4ม." localSheetId="31">#REF!</definedName>
    <definedName name="Topping5cm.wiremesh4mm.ระยะเรียง0.2m.กันร้าว6มม.ระยะเรียง0.4ม." localSheetId="32">#REF!</definedName>
    <definedName name="Topping5cm.wiremesh4mm.ระยะเรียง0.2m.กันร้าว6มม.ระยะเรียง0.4ม." localSheetId="33">#REF!</definedName>
    <definedName name="Topping5cm.wiremesh4mm.ระยะเรียง0.2m.กันร้าว6มม.ระยะเรียง0.4ม." localSheetId="24">#REF!</definedName>
    <definedName name="Topping5cm.wiremesh4mm.ระยะเรียง0.2m.กันร้าว6มม.ระยะเรียง0.4ม." localSheetId="23">#REF!</definedName>
    <definedName name="Topping5cm.wiremesh4mm.ระยะเรียง0.2m.กันร้าว6มม.ระยะเรียง0.4ม." localSheetId="36">#REF!</definedName>
    <definedName name="Topping5cm.wiremesh4mm.ระยะเรียง0.2m.กันร้าว6มม.ระยะเรียง0.4ม." localSheetId="22">#REF!</definedName>
    <definedName name="Topping5cm.wiremesh4mm.ระยะเรียง0.2m.กันร้าว6มม.ระยะเรียง0.4ม." localSheetId="26">#REF!</definedName>
    <definedName name="Topping5cm.wiremesh4mm.ระยะเรียง0.2m.กันร้าว6มม.ระยะเรียง0.4ม." localSheetId="30">#REF!</definedName>
    <definedName name="Topping5cm.wiremesh4mm.ระยะเรียง0.2m.กันร้าว6มม.ระยะเรียง0.4ม." localSheetId="85">#REF!</definedName>
    <definedName name="Topping5cm.wiremesh4mm.ระยะเรียง0.2m.กันร้าว6มม.ระยะเรียง0.4ม." localSheetId="86">#REF!</definedName>
    <definedName name="Topping5cm.wiremesh4mm.ระยะเรียง0.2m.กันร้าว6มม.ระยะเรียง0.4ม." localSheetId="2">#REF!</definedName>
    <definedName name="Topping5cm.wiremesh4mm.ระยะเรียง0.2m.กันร้าว6มม.ระยะเรียง0.4ม.">#REF!</definedName>
    <definedName name="Topping5cm.ไม่รวมเหล็ก" localSheetId="3">#REF!</definedName>
    <definedName name="Topping5cm.ไม่รวมเหล็ก" localSheetId="4">#REF!</definedName>
    <definedName name="Topping5cm.ไม่รวมเหล็ก" localSheetId="85">#REF!</definedName>
    <definedName name="Topping5cm.ไม่รวมเหล็ก" localSheetId="86">#REF!</definedName>
    <definedName name="Topping5cm.ไม่รวมเหล็ก" localSheetId="2">#REF!</definedName>
    <definedName name="Topping5cm.ไม่รวมเหล็ก">#REF!</definedName>
    <definedName name="Topหินอ่อนหนา2ซม.ขนาด5.0x1.5m." localSheetId="3">#REF!</definedName>
    <definedName name="Topหินอ่อนหนา2ซม.ขนาด5.0x1.5m." localSheetId="2">#REF!</definedName>
    <definedName name="Topหินอ่อนหนา2ซม.ขนาด5.0x1.5m.">#REF!</definedName>
    <definedName name="Total_4" localSheetId="3">#REF!</definedName>
    <definedName name="Total_4" localSheetId="2">#REF!</definedName>
    <definedName name="Total_4">#REF!</definedName>
    <definedName name="Total_AC_B1" localSheetId="3">'[43]ข้อ1.1'!#REF!</definedName>
    <definedName name="Total_AC_B1" localSheetId="2">'[43]ข้อ1.1'!#REF!</definedName>
    <definedName name="Total_AC_B1">'[43]ข้อ1.1'!#REF!</definedName>
    <definedName name="Total_AC_B10" localSheetId="3">#REF!</definedName>
    <definedName name="Total_AC_B10" localSheetId="4">#REF!</definedName>
    <definedName name="Total_AC_B10" localSheetId="18">#REF!</definedName>
    <definedName name="Total_AC_B10" localSheetId="19">#REF!</definedName>
    <definedName name="Total_AC_B10" localSheetId="9">#REF!</definedName>
    <definedName name="Total_AC_B10" localSheetId="10">#REF!</definedName>
    <definedName name="Total_AC_B10" localSheetId="11">#REF!</definedName>
    <definedName name="Total_AC_B10" localSheetId="12">#REF!</definedName>
    <definedName name="Total_AC_B10" localSheetId="13">#REF!</definedName>
    <definedName name="Total_AC_B10" localSheetId="14">#REF!</definedName>
    <definedName name="Total_AC_B10" localSheetId="15">#REF!</definedName>
    <definedName name="Total_AC_B10" localSheetId="16">#REF!</definedName>
    <definedName name="Total_AC_B10" localSheetId="17">#REF!</definedName>
    <definedName name="Total_AC_B10" localSheetId="8">#REF!</definedName>
    <definedName name="Total_AC_B10" localSheetId="7">#REF!</definedName>
    <definedName name="Total_AC_B10" localSheetId="6">#REF!</definedName>
    <definedName name="Total_AC_B10" localSheetId="20">#REF!</definedName>
    <definedName name="Total_AC_B10" localSheetId="5">#REF!</definedName>
    <definedName name="Total_AC_B10" localSheetId="21">#REF!</definedName>
    <definedName name="Total_AC_B10" localSheetId="34">#REF!</definedName>
    <definedName name="Total_AC_B10" localSheetId="35">#REF!</definedName>
    <definedName name="Total_AC_B10" localSheetId="25">#REF!</definedName>
    <definedName name="Total_AC_B10" localSheetId="27">#REF!</definedName>
    <definedName name="Total_AC_B10" localSheetId="28">#REF!</definedName>
    <definedName name="Total_AC_B10" localSheetId="29">#REF!</definedName>
    <definedName name="Total_AC_B10" localSheetId="31">#REF!</definedName>
    <definedName name="Total_AC_B10" localSheetId="32">#REF!</definedName>
    <definedName name="Total_AC_B10" localSheetId="33">#REF!</definedName>
    <definedName name="Total_AC_B10" localSheetId="24">#REF!</definedName>
    <definedName name="Total_AC_B10" localSheetId="23">#REF!</definedName>
    <definedName name="Total_AC_B10" localSheetId="36">#REF!</definedName>
    <definedName name="Total_AC_B10" localSheetId="22">#REF!</definedName>
    <definedName name="Total_AC_B10" localSheetId="26">#REF!</definedName>
    <definedName name="Total_AC_B10" localSheetId="30">#REF!</definedName>
    <definedName name="Total_AC_B10" localSheetId="41">#REF!</definedName>
    <definedName name="Total_AC_B10" localSheetId="50">#REF!</definedName>
    <definedName name="Total_AC_B10" localSheetId="51">#REF!</definedName>
    <definedName name="Total_AC_B10" localSheetId="42">#REF!</definedName>
    <definedName name="Total_AC_B10" localSheetId="43">#REF!</definedName>
    <definedName name="Total_AC_B10" localSheetId="44">#REF!</definedName>
    <definedName name="Total_AC_B10" localSheetId="45">#REF!</definedName>
    <definedName name="Total_AC_B10" localSheetId="46">#REF!</definedName>
    <definedName name="Total_AC_B10" localSheetId="47">#REF!</definedName>
    <definedName name="Total_AC_B10" localSheetId="48">#REF!</definedName>
    <definedName name="Total_AC_B10" localSheetId="49">#REF!</definedName>
    <definedName name="Total_AC_B10" localSheetId="52">#REF!</definedName>
    <definedName name="Total_AC_B10" localSheetId="40">#REF!</definedName>
    <definedName name="Total_AC_B10" localSheetId="39">#REF!</definedName>
    <definedName name="Total_AC_B10" localSheetId="38">#REF!</definedName>
    <definedName name="Total_AC_B10" localSheetId="37">#REF!</definedName>
    <definedName name="Total_AC_B10" localSheetId="57">#REF!</definedName>
    <definedName name="Total_AC_B10" localSheetId="66">#REF!</definedName>
    <definedName name="Total_AC_B10" localSheetId="67">#REF!</definedName>
    <definedName name="Total_AC_B10" localSheetId="58">#REF!</definedName>
    <definedName name="Total_AC_B10" localSheetId="59">#REF!</definedName>
    <definedName name="Total_AC_B10" localSheetId="60">#REF!</definedName>
    <definedName name="Total_AC_B10" localSheetId="61">#REF!</definedName>
    <definedName name="Total_AC_B10" localSheetId="62">#REF!</definedName>
    <definedName name="Total_AC_B10" localSheetId="63">#REF!</definedName>
    <definedName name="Total_AC_B10" localSheetId="64">#REF!</definedName>
    <definedName name="Total_AC_B10" localSheetId="65">#REF!</definedName>
    <definedName name="Total_AC_B10" localSheetId="68">#REF!</definedName>
    <definedName name="Total_AC_B10" localSheetId="56">#REF!</definedName>
    <definedName name="Total_AC_B10" localSheetId="55">#REF!</definedName>
    <definedName name="Total_AC_B10" localSheetId="54">#REF!</definedName>
    <definedName name="Total_AC_B10" localSheetId="69">#REF!</definedName>
    <definedName name="Total_AC_B10" localSheetId="53">#REF!</definedName>
    <definedName name="Total_AC_B10" localSheetId="85">#REF!</definedName>
    <definedName name="Total_AC_B10" localSheetId="86">#REF!</definedName>
    <definedName name="Total_AC_B10" localSheetId="2">#REF!</definedName>
    <definedName name="Total_AC_B10">#REF!</definedName>
    <definedName name="Total_AC_B11" localSheetId="3">#REF!</definedName>
    <definedName name="Total_AC_B11" localSheetId="4">#REF!</definedName>
    <definedName name="Total_AC_B11" localSheetId="18">#REF!</definedName>
    <definedName name="Total_AC_B11" localSheetId="19">#REF!</definedName>
    <definedName name="Total_AC_B11" localSheetId="9">#REF!</definedName>
    <definedName name="Total_AC_B11" localSheetId="10">#REF!</definedName>
    <definedName name="Total_AC_B11" localSheetId="11">#REF!</definedName>
    <definedName name="Total_AC_B11" localSheetId="12">#REF!</definedName>
    <definedName name="Total_AC_B11" localSheetId="13">#REF!</definedName>
    <definedName name="Total_AC_B11" localSheetId="14">#REF!</definedName>
    <definedName name="Total_AC_B11" localSheetId="15">#REF!</definedName>
    <definedName name="Total_AC_B11" localSheetId="16">#REF!</definedName>
    <definedName name="Total_AC_B11" localSheetId="17">#REF!</definedName>
    <definedName name="Total_AC_B11" localSheetId="8">#REF!</definedName>
    <definedName name="Total_AC_B11" localSheetId="7">#REF!</definedName>
    <definedName name="Total_AC_B11" localSheetId="6">#REF!</definedName>
    <definedName name="Total_AC_B11" localSheetId="20">#REF!</definedName>
    <definedName name="Total_AC_B11" localSheetId="5">#REF!</definedName>
    <definedName name="Total_AC_B11" localSheetId="21">#REF!</definedName>
    <definedName name="Total_AC_B11" localSheetId="34">#REF!</definedName>
    <definedName name="Total_AC_B11" localSheetId="35">#REF!</definedName>
    <definedName name="Total_AC_B11" localSheetId="25">#REF!</definedName>
    <definedName name="Total_AC_B11" localSheetId="27">#REF!</definedName>
    <definedName name="Total_AC_B11" localSheetId="28">#REF!</definedName>
    <definedName name="Total_AC_B11" localSheetId="29">#REF!</definedName>
    <definedName name="Total_AC_B11" localSheetId="31">#REF!</definedName>
    <definedName name="Total_AC_B11" localSheetId="32">#REF!</definedName>
    <definedName name="Total_AC_B11" localSheetId="33">#REF!</definedName>
    <definedName name="Total_AC_B11" localSheetId="24">#REF!</definedName>
    <definedName name="Total_AC_B11" localSheetId="23">#REF!</definedName>
    <definedName name="Total_AC_B11" localSheetId="36">#REF!</definedName>
    <definedName name="Total_AC_B11" localSheetId="22">#REF!</definedName>
    <definedName name="Total_AC_B11" localSheetId="26">#REF!</definedName>
    <definedName name="Total_AC_B11" localSheetId="30">#REF!</definedName>
    <definedName name="Total_AC_B11" localSheetId="85">#REF!</definedName>
    <definedName name="Total_AC_B11" localSheetId="86">#REF!</definedName>
    <definedName name="Total_AC_B11" localSheetId="2">#REF!</definedName>
    <definedName name="Total_AC_B11">#REF!</definedName>
    <definedName name="Total_AC_B12" localSheetId="3">#REF!</definedName>
    <definedName name="Total_AC_B12" localSheetId="4">#REF!</definedName>
    <definedName name="Total_AC_B12" localSheetId="85">#REF!</definedName>
    <definedName name="Total_AC_B12" localSheetId="86">#REF!</definedName>
    <definedName name="Total_AC_B12" localSheetId="2">#REF!</definedName>
    <definedName name="Total_AC_B12">#REF!</definedName>
    <definedName name="Total_AC_B13" localSheetId="3">#REF!</definedName>
    <definedName name="Total_AC_B13" localSheetId="2">#REF!</definedName>
    <definedName name="Total_AC_B13">#REF!</definedName>
    <definedName name="Total_AC_B14" localSheetId="3">#REF!</definedName>
    <definedName name="Total_AC_B14" localSheetId="2">#REF!</definedName>
    <definedName name="Total_AC_B14">#REF!</definedName>
    <definedName name="Total_AC_B15" localSheetId="3">#REF!</definedName>
    <definedName name="Total_AC_B15" localSheetId="2">#REF!</definedName>
    <definedName name="Total_AC_B15">#REF!</definedName>
    <definedName name="Total_AC_B16" localSheetId="3">#REF!</definedName>
    <definedName name="Total_AC_B16" localSheetId="2">#REF!</definedName>
    <definedName name="Total_AC_B16">#REF!</definedName>
    <definedName name="Total_AC_B17" localSheetId="3">#REF!</definedName>
    <definedName name="Total_AC_B17" localSheetId="2">#REF!</definedName>
    <definedName name="Total_AC_B17">#REF!</definedName>
    <definedName name="Total_AC_B19" localSheetId="3">#REF!</definedName>
    <definedName name="Total_AC_B19" localSheetId="2">#REF!</definedName>
    <definedName name="Total_AC_B19">#REF!</definedName>
    <definedName name="Total_AC_B20" localSheetId="3">#REF!</definedName>
    <definedName name="Total_AC_B20" localSheetId="2">#REF!</definedName>
    <definedName name="Total_AC_B20">#REF!</definedName>
    <definedName name="Total_AC_B22" localSheetId="3">#REF!</definedName>
    <definedName name="Total_AC_B22" localSheetId="2">#REF!</definedName>
    <definedName name="Total_AC_B22">#REF!</definedName>
    <definedName name="Total_AC_B23" localSheetId="3">#REF!</definedName>
    <definedName name="Total_AC_B23" localSheetId="2">#REF!</definedName>
    <definedName name="Total_AC_B23">#REF!</definedName>
    <definedName name="Total_AC_B3" localSheetId="3">#REF!</definedName>
    <definedName name="Total_AC_B3" localSheetId="2">#REF!</definedName>
    <definedName name="Total_AC_B3">#REF!</definedName>
    <definedName name="Total_AC_B4" localSheetId="3">#REF!</definedName>
    <definedName name="Total_AC_B4" localSheetId="2">#REF!</definedName>
    <definedName name="Total_AC_B4">#REF!</definedName>
    <definedName name="Total_AC_B5" localSheetId="3">#REF!</definedName>
    <definedName name="Total_AC_B5" localSheetId="2">#REF!</definedName>
    <definedName name="Total_AC_B5">#REF!</definedName>
    <definedName name="Total_AC_B6" localSheetId="3">#REF!</definedName>
    <definedName name="Total_AC_B6" localSheetId="2">#REF!</definedName>
    <definedName name="Total_AC_B6">#REF!</definedName>
    <definedName name="Total_AC_B7" localSheetId="3">#REF!</definedName>
    <definedName name="Total_AC_B7" localSheetId="2">#REF!</definedName>
    <definedName name="Total_AC_B7">#REF!</definedName>
    <definedName name="Total_AR_11" localSheetId="3">#REF!</definedName>
    <definedName name="Total_AR_11" localSheetId="2">#REF!</definedName>
    <definedName name="Total_AR_11">#REF!</definedName>
    <definedName name="Total_AR_B" localSheetId="3">#REF!</definedName>
    <definedName name="Total_AR_B" localSheetId="2">#REF!</definedName>
    <definedName name="Total_AR_B">#REF!</definedName>
    <definedName name="Total_AR_B1" localSheetId="3">'[43]ข้อ1.1'!#REF!</definedName>
    <definedName name="Total_AR_B1" localSheetId="2">'[43]ข้อ1.1'!#REF!</definedName>
    <definedName name="Total_AR_B1">'[43]ข้อ1.1'!#REF!</definedName>
    <definedName name="Total_AR_B10" localSheetId="3">#REF!</definedName>
    <definedName name="Total_AR_B10" localSheetId="4">#REF!</definedName>
    <definedName name="Total_AR_B10" localSheetId="18">#REF!</definedName>
    <definedName name="Total_AR_B10" localSheetId="19">#REF!</definedName>
    <definedName name="Total_AR_B10" localSheetId="9">#REF!</definedName>
    <definedName name="Total_AR_B10" localSheetId="10">#REF!</definedName>
    <definedName name="Total_AR_B10" localSheetId="11">#REF!</definedName>
    <definedName name="Total_AR_B10" localSheetId="12">#REF!</definedName>
    <definedName name="Total_AR_B10" localSheetId="13">#REF!</definedName>
    <definedName name="Total_AR_B10" localSheetId="14">#REF!</definedName>
    <definedName name="Total_AR_B10" localSheetId="15">#REF!</definedName>
    <definedName name="Total_AR_B10" localSheetId="16">#REF!</definedName>
    <definedName name="Total_AR_B10" localSheetId="17">#REF!</definedName>
    <definedName name="Total_AR_B10" localSheetId="8">#REF!</definedName>
    <definedName name="Total_AR_B10" localSheetId="7">#REF!</definedName>
    <definedName name="Total_AR_B10" localSheetId="6">#REF!</definedName>
    <definedName name="Total_AR_B10" localSheetId="20">#REF!</definedName>
    <definedName name="Total_AR_B10" localSheetId="5">#REF!</definedName>
    <definedName name="Total_AR_B10" localSheetId="21">#REF!</definedName>
    <definedName name="Total_AR_B10" localSheetId="34">#REF!</definedName>
    <definedName name="Total_AR_B10" localSheetId="35">#REF!</definedName>
    <definedName name="Total_AR_B10" localSheetId="25">#REF!</definedName>
    <definedName name="Total_AR_B10" localSheetId="27">#REF!</definedName>
    <definedName name="Total_AR_B10" localSheetId="28">#REF!</definedName>
    <definedName name="Total_AR_B10" localSheetId="29">#REF!</definedName>
    <definedName name="Total_AR_B10" localSheetId="31">#REF!</definedName>
    <definedName name="Total_AR_B10" localSheetId="32">#REF!</definedName>
    <definedName name="Total_AR_B10" localSheetId="33">#REF!</definedName>
    <definedName name="Total_AR_B10" localSheetId="24">#REF!</definedName>
    <definedName name="Total_AR_B10" localSheetId="23">#REF!</definedName>
    <definedName name="Total_AR_B10" localSheetId="36">#REF!</definedName>
    <definedName name="Total_AR_B10" localSheetId="22">#REF!</definedName>
    <definedName name="Total_AR_B10" localSheetId="26">#REF!</definedName>
    <definedName name="Total_AR_B10" localSheetId="30">#REF!</definedName>
    <definedName name="Total_AR_B10" localSheetId="41">#REF!</definedName>
    <definedName name="Total_AR_B10" localSheetId="50">#REF!</definedName>
    <definedName name="Total_AR_B10" localSheetId="51">#REF!</definedName>
    <definedName name="Total_AR_B10" localSheetId="42">#REF!</definedName>
    <definedName name="Total_AR_B10" localSheetId="43">#REF!</definedName>
    <definedName name="Total_AR_B10" localSheetId="44">#REF!</definedName>
    <definedName name="Total_AR_B10" localSheetId="45">#REF!</definedName>
    <definedName name="Total_AR_B10" localSheetId="46">#REF!</definedName>
    <definedName name="Total_AR_B10" localSheetId="47">#REF!</definedName>
    <definedName name="Total_AR_B10" localSheetId="48">#REF!</definedName>
    <definedName name="Total_AR_B10" localSheetId="49">#REF!</definedName>
    <definedName name="Total_AR_B10" localSheetId="52">#REF!</definedName>
    <definedName name="Total_AR_B10" localSheetId="40">#REF!</definedName>
    <definedName name="Total_AR_B10" localSheetId="39">#REF!</definedName>
    <definedName name="Total_AR_B10" localSheetId="38">#REF!</definedName>
    <definedName name="Total_AR_B10" localSheetId="37">#REF!</definedName>
    <definedName name="Total_AR_B10" localSheetId="57">#REF!</definedName>
    <definedName name="Total_AR_B10" localSheetId="66">#REF!</definedName>
    <definedName name="Total_AR_B10" localSheetId="67">#REF!</definedName>
    <definedName name="Total_AR_B10" localSheetId="58">#REF!</definedName>
    <definedName name="Total_AR_B10" localSheetId="59">#REF!</definedName>
    <definedName name="Total_AR_B10" localSheetId="60">#REF!</definedName>
    <definedName name="Total_AR_B10" localSheetId="61">#REF!</definedName>
    <definedName name="Total_AR_B10" localSheetId="62">#REF!</definedName>
    <definedName name="Total_AR_B10" localSheetId="63">#REF!</definedName>
    <definedName name="Total_AR_B10" localSheetId="64">#REF!</definedName>
    <definedName name="Total_AR_B10" localSheetId="65">#REF!</definedName>
    <definedName name="Total_AR_B10" localSheetId="68">#REF!</definedName>
    <definedName name="Total_AR_B10" localSheetId="56">#REF!</definedName>
    <definedName name="Total_AR_B10" localSheetId="55">#REF!</definedName>
    <definedName name="Total_AR_B10" localSheetId="54">#REF!</definedName>
    <definedName name="Total_AR_B10" localSheetId="69">#REF!</definedName>
    <definedName name="Total_AR_B10" localSheetId="53">#REF!</definedName>
    <definedName name="Total_AR_B10" localSheetId="85">#REF!</definedName>
    <definedName name="Total_AR_B10" localSheetId="86">#REF!</definedName>
    <definedName name="Total_AR_B10" localSheetId="2">#REF!</definedName>
    <definedName name="Total_AR_B10">#REF!</definedName>
    <definedName name="Total_AR_B11" localSheetId="3">#REF!</definedName>
    <definedName name="Total_AR_B11" localSheetId="4">#REF!</definedName>
    <definedName name="Total_AR_B11" localSheetId="18">#REF!</definedName>
    <definedName name="Total_AR_B11" localSheetId="19">#REF!</definedName>
    <definedName name="Total_AR_B11" localSheetId="9">#REF!</definedName>
    <definedName name="Total_AR_B11" localSheetId="10">#REF!</definedName>
    <definedName name="Total_AR_B11" localSheetId="11">#REF!</definedName>
    <definedName name="Total_AR_B11" localSheetId="12">#REF!</definedName>
    <definedName name="Total_AR_B11" localSheetId="13">#REF!</definedName>
    <definedName name="Total_AR_B11" localSheetId="14">#REF!</definedName>
    <definedName name="Total_AR_B11" localSheetId="15">#REF!</definedName>
    <definedName name="Total_AR_B11" localSheetId="16">#REF!</definedName>
    <definedName name="Total_AR_B11" localSheetId="17">#REF!</definedName>
    <definedName name="Total_AR_B11" localSheetId="8">#REF!</definedName>
    <definedName name="Total_AR_B11" localSheetId="7">#REF!</definedName>
    <definedName name="Total_AR_B11" localSheetId="6">#REF!</definedName>
    <definedName name="Total_AR_B11" localSheetId="20">#REF!</definedName>
    <definedName name="Total_AR_B11" localSheetId="5">#REF!</definedName>
    <definedName name="Total_AR_B11" localSheetId="21">#REF!</definedName>
    <definedName name="Total_AR_B11" localSheetId="34">#REF!</definedName>
    <definedName name="Total_AR_B11" localSheetId="35">#REF!</definedName>
    <definedName name="Total_AR_B11" localSheetId="25">#REF!</definedName>
    <definedName name="Total_AR_B11" localSheetId="27">#REF!</definedName>
    <definedName name="Total_AR_B11" localSheetId="28">#REF!</definedName>
    <definedName name="Total_AR_B11" localSheetId="29">#REF!</definedName>
    <definedName name="Total_AR_B11" localSheetId="31">#REF!</definedName>
    <definedName name="Total_AR_B11" localSheetId="32">#REF!</definedName>
    <definedName name="Total_AR_B11" localSheetId="33">#REF!</definedName>
    <definedName name="Total_AR_B11" localSheetId="24">#REF!</definedName>
    <definedName name="Total_AR_B11" localSheetId="23">#REF!</definedName>
    <definedName name="Total_AR_B11" localSheetId="36">#REF!</definedName>
    <definedName name="Total_AR_B11" localSheetId="22">#REF!</definedName>
    <definedName name="Total_AR_B11" localSheetId="26">#REF!</definedName>
    <definedName name="Total_AR_B11" localSheetId="30">#REF!</definedName>
    <definedName name="Total_AR_B11" localSheetId="85">#REF!</definedName>
    <definedName name="Total_AR_B11" localSheetId="86">#REF!</definedName>
    <definedName name="Total_AR_B11" localSheetId="2">#REF!</definedName>
    <definedName name="Total_AR_B11">#REF!</definedName>
    <definedName name="Total_AR_B12" localSheetId="3">#REF!</definedName>
    <definedName name="Total_AR_B12" localSheetId="4">#REF!</definedName>
    <definedName name="Total_AR_B12" localSheetId="85">#REF!</definedName>
    <definedName name="Total_AR_B12" localSheetId="86">#REF!</definedName>
    <definedName name="Total_AR_B12" localSheetId="2">#REF!</definedName>
    <definedName name="Total_AR_B12">#REF!</definedName>
    <definedName name="Total_AR_B13" localSheetId="3">#REF!</definedName>
    <definedName name="Total_AR_B13" localSheetId="2">#REF!</definedName>
    <definedName name="Total_AR_B13">#REF!</definedName>
    <definedName name="Total_AR_B14" localSheetId="3">#REF!</definedName>
    <definedName name="Total_AR_B14" localSheetId="2">#REF!</definedName>
    <definedName name="Total_AR_B14">#REF!</definedName>
    <definedName name="Total_AR_B15" localSheetId="3">#REF!</definedName>
    <definedName name="Total_AR_B15" localSheetId="2">#REF!</definedName>
    <definedName name="Total_AR_B15">#REF!</definedName>
    <definedName name="Total_AR_B16" localSheetId="3">#REF!</definedName>
    <definedName name="Total_AR_B16" localSheetId="2">#REF!</definedName>
    <definedName name="Total_AR_B16">#REF!</definedName>
    <definedName name="Total_AR_B17" localSheetId="3">#REF!</definedName>
    <definedName name="Total_AR_B17" localSheetId="2">#REF!</definedName>
    <definedName name="Total_AR_B17">#REF!</definedName>
    <definedName name="Total_AR_B18" localSheetId="3">#REF!</definedName>
    <definedName name="Total_AR_B18" localSheetId="2">#REF!</definedName>
    <definedName name="Total_AR_B18">#REF!</definedName>
    <definedName name="Total_AR_B19" localSheetId="3">#REF!</definedName>
    <definedName name="Total_AR_B19" localSheetId="2">#REF!</definedName>
    <definedName name="Total_AR_B19">#REF!</definedName>
    <definedName name="Total_AR_B20" localSheetId="3">#REF!</definedName>
    <definedName name="Total_AR_B20" localSheetId="2">#REF!</definedName>
    <definedName name="Total_AR_B20">#REF!</definedName>
    <definedName name="Total_AR_B21" localSheetId="3">#REF!</definedName>
    <definedName name="Total_AR_B21" localSheetId="2">#REF!</definedName>
    <definedName name="Total_AR_B21">#REF!</definedName>
    <definedName name="Total_AR_B22" localSheetId="3">#REF!</definedName>
    <definedName name="Total_AR_B22" localSheetId="2">#REF!</definedName>
    <definedName name="Total_AR_B22">#REF!</definedName>
    <definedName name="Total_AR_B23" localSheetId="3">#REF!</definedName>
    <definedName name="Total_AR_B23" localSheetId="2">#REF!</definedName>
    <definedName name="Total_AR_B23">#REF!</definedName>
    <definedName name="Total_AR_B3" localSheetId="3">#REF!</definedName>
    <definedName name="Total_AR_B3" localSheetId="2">#REF!</definedName>
    <definedName name="Total_AR_B3">#REF!</definedName>
    <definedName name="Total_AR_B3Boots" localSheetId="3">#REF!</definedName>
    <definedName name="Total_AR_B3Boots" localSheetId="2">#REF!</definedName>
    <definedName name="Total_AR_B3Boots">#REF!</definedName>
    <definedName name="Total_AR_B4" localSheetId="3">#REF!</definedName>
    <definedName name="Total_AR_B4" localSheetId="2">#REF!</definedName>
    <definedName name="Total_AR_B4">#REF!</definedName>
    <definedName name="Total_AR_B4Boots" localSheetId="3">#REF!</definedName>
    <definedName name="Total_AR_B4Boots" localSheetId="2">#REF!</definedName>
    <definedName name="Total_AR_B4Boots">#REF!</definedName>
    <definedName name="total_AR_B6" localSheetId="3">#REF!</definedName>
    <definedName name="total_AR_B6" localSheetId="2">#REF!</definedName>
    <definedName name="total_AR_B6">#REF!</definedName>
    <definedName name="Total_AR_B7" localSheetId="3">#REF!</definedName>
    <definedName name="Total_AR_B7" localSheetId="2">#REF!</definedName>
    <definedName name="Total_AR_B7">#REF!</definedName>
    <definedName name="Total_AR_B8Boots" localSheetId="3">#REF!</definedName>
    <definedName name="Total_AR_B8Boots" localSheetId="2">#REF!</definedName>
    <definedName name="Total_AR_B8Boots">#REF!</definedName>
    <definedName name="Total_Base" localSheetId="3">#REF!</definedName>
    <definedName name="Total_Base" localSheetId="2">#REF!</definedName>
    <definedName name="Total_Base">#REF!</definedName>
    <definedName name="Total_Binder" localSheetId="3">#REF!</definedName>
    <definedName name="Total_Binder" localSheetId="2">#REF!</definedName>
    <definedName name="Total_Binder">#REF!</definedName>
    <definedName name="Total_Cut" localSheetId="3">#REF!</definedName>
    <definedName name="Total_Cut" localSheetId="2">#REF!</definedName>
    <definedName name="Total_Cut">#REF!</definedName>
    <definedName name="Total_EE_B1" localSheetId="3">'[43]ข้อ1.1'!#REF!</definedName>
    <definedName name="Total_EE_B1" localSheetId="2">'[43]ข้อ1.1'!#REF!</definedName>
    <definedName name="Total_EE_B1">'[43]ข้อ1.1'!#REF!</definedName>
    <definedName name="Total_EE_B10" localSheetId="3">#REF!</definedName>
    <definedName name="Total_EE_B10" localSheetId="4">#REF!</definedName>
    <definedName name="Total_EE_B10" localSheetId="18">#REF!</definedName>
    <definedName name="Total_EE_B10" localSheetId="19">#REF!</definedName>
    <definedName name="Total_EE_B10" localSheetId="9">#REF!</definedName>
    <definedName name="Total_EE_B10" localSheetId="10">#REF!</definedName>
    <definedName name="Total_EE_B10" localSheetId="11">#REF!</definedName>
    <definedName name="Total_EE_B10" localSheetId="12">#REF!</definedName>
    <definedName name="Total_EE_B10" localSheetId="13">#REF!</definedName>
    <definedName name="Total_EE_B10" localSheetId="14">#REF!</definedName>
    <definedName name="Total_EE_B10" localSheetId="15">#REF!</definedName>
    <definedName name="Total_EE_B10" localSheetId="16">#REF!</definedName>
    <definedName name="Total_EE_B10" localSheetId="17">#REF!</definedName>
    <definedName name="Total_EE_B10" localSheetId="8">#REF!</definedName>
    <definedName name="Total_EE_B10" localSheetId="7">#REF!</definedName>
    <definedName name="Total_EE_B10" localSheetId="6">#REF!</definedName>
    <definedName name="Total_EE_B10" localSheetId="20">#REF!</definedName>
    <definedName name="Total_EE_B10" localSheetId="5">#REF!</definedName>
    <definedName name="Total_EE_B10" localSheetId="21">#REF!</definedName>
    <definedName name="Total_EE_B10" localSheetId="34">#REF!</definedName>
    <definedName name="Total_EE_B10" localSheetId="35">#REF!</definedName>
    <definedName name="Total_EE_B10" localSheetId="25">#REF!</definedName>
    <definedName name="Total_EE_B10" localSheetId="27">#REF!</definedName>
    <definedName name="Total_EE_B10" localSheetId="28">#REF!</definedName>
    <definedName name="Total_EE_B10" localSheetId="29">#REF!</definedName>
    <definedName name="Total_EE_B10" localSheetId="31">#REF!</definedName>
    <definedName name="Total_EE_B10" localSheetId="32">#REF!</definedName>
    <definedName name="Total_EE_B10" localSheetId="33">#REF!</definedName>
    <definedName name="Total_EE_B10" localSheetId="24">#REF!</definedName>
    <definedName name="Total_EE_B10" localSheetId="23">#REF!</definedName>
    <definedName name="Total_EE_B10" localSheetId="36">#REF!</definedName>
    <definedName name="Total_EE_B10" localSheetId="22">#REF!</definedName>
    <definedName name="Total_EE_B10" localSheetId="26">#REF!</definedName>
    <definedName name="Total_EE_B10" localSheetId="30">#REF!</definedName>
    <definedName name="Total_EE_B10" localSheetId="41">#REF!</definedName>
    <definedName name="Total_EE_B10" localSheetId="50">#REF!</definedName>
    <definedName name="Total_EE_B10" localSheetId="51">#REF!</definedName>
    <definedName name="Total_EE_B10" localSheetId="42">#REF!</definedName>
    <definedName name="Total_EE_B10" localSheetId="43">#REF!</definedName>
    <definedName name="Total_EE_B10" localSheetId="44">#REF!</definedName>
    <definedName name="Total_EE_B10" localSheetId="45">#REF!</definedName>
    <definedName name="Total_EE_B10" localSheetId="46">#REF!</definedName>
    <definedName name="Total_EE_B10" localSheetId="47">#REF!</definedName>
    <definedName name="Total_EE_B10" localSheetId="48">#REF!</definedName>
    <definedName name="Total_EE_B10" localSheetId="49">#REF!</definedName>
    <definedName name="Total_EE_B10" localSheetId="52">#REF!</definedName>
    <definedName name="Total_EE_B10" localSheetId="40">#REF!</definedName>
    <definedName name="Total_EE_B10" localSheetId="39">#REF!</definedName>
    <definedName name="Total_EE_B10" localSheetId="38">#REF!</definedName>
    <definedName name="Total_EE_B10" localSheetId="37">#REF!</definedName>
    <definedName name="Total_EE_B10" localSheetId="57">#REF!</definedName>
    <definedName name="Total_EE_B10" localSheetId="66">#REF!</definedName>
    <definedName name="Total_EE_B10" localSheetId="67">#REF!</definedName>
    <definedName name="Total_EE_B10" localSheetId="58">#REF!</definedName>
    <definedName name="Total_EE_B10" localSheetId="59">#REF!</definedName>
    <definedName name="Total_EE_B10" localSheetId="60">#REF!</definedName>
    <definedName name="Total_EE_B10" localSheetId="61">#REF!</definedName>
    <definedName name="Total_EE_B10" localSheetId="62">#REF!</definedName>
    <definedName name="Total_EE_B10" localSheetId="63">#REF!</definedName>
    <definedName name="Total_EE_B10" localSheetId="64">#REF!</definedName>
    <definedName name="Total_EE_B10" localSheetId="65">#REF!</definedName>
    <definedName name="Total_EE_B10" localSheetId="68">#REF!</definedName>
    <definedName name="Total_EE_B10" localSheetId="56">#REF!</definedName>
    <definedName name="Total_EE_B10" localSheetId="55">#REF!</definedName>
    <definedName name="Total_EE_B10" localSheetId="54">#REF!</definedName>
    <definedName name="Total_EE_B10" localSheetId="69">#REF!</definedName>
    <definedName name="Total_EE_B10" localSheetId="53">#REF!</definedName>
    <definedName name="Total_EE_B10" localSheetId="85">#REF!</definedName>
    <definedName name="Total_EE_B10" localSheetId="86">#REF!</definedName>
    <definedName name="Total_EE_B10" localSheetId="2">#REF!</definedName>
    <definedName name="Total_EE_B10">#REF!</definedName>
    <definedName name="Total_EE_B11" localSheetId="3">#REF!</definedName>
    <definedName name="Total_EE_B11" localSheetId="4">#REF!</definedName>
    <definedName name="Total_EE_B11" localSheetId="18">#REF!</definedName>
    <definedName name="Total_EE_B11" localSheetId="19">#REF!</definedName>
    <definedName name="Total_EE_B11" localSheetId="9">#REF!</definedName>
    <definedName name="Total_EE_B11" localSheetId="10">#REF!</definedName>
    <definedName name="Total_EE_B11" localSheetId="11">#REF!</definedName>
    <definedName name="Total_EE_B11" localSheetId="12">#REF!</definedName>
    <definedName name="Total_EE_B11" localSheetId="13">#REF!</definedName>
    <definedName name="Total_EE_B11" localSheetId="14">#REF!</definedName>
    <definedName name="Total_EE_B11" localSheetId="15">#REF!</definedName>
    <definedName name="Total_EE_B11" localSheetId="16">#REF!</definedName>
    <definedName name="Total_EE_B11" localSheetId="17">#REF!</definedName>
    <definedName name="Total_EE_B11" localSheetId="8">#REF!</definedName>
    <definedName name="Total_EE_B11" localSheetId="7">#REF!</definedName>
    <definedName name="Total_EE_B11" localSheetId="6">#REF!</definedName>
    <definedName name="Total_EE_B11" localSheetId="20">#REF!</definedName>
    <definedName name="Total_EE_B11" localSheetId="5">#REF!</definedName>
    <definedName name="Total_EE_B11" localSheetId="21">#REF!</definedName>
    <definedName name="Total_EE_B11" localSheetId="34">#REF!</definedName>
    <definedName name="Total_EE_B11" localSheetId="35">#REF!</definedName>
    <definedName name="Total_EE_B11" localSheetId="25">#REF!</definedName>
    <definedName name="Total_EE_B11" localSheetId="27">#REF!</definedName>
    <definedName name="Total_EE_B11" localSheetId="28">#REF!</definedName>
    <definedName name="Total_EE_B11" localSheetId="29">#REF!</definedName>
    <definedName name="Total_EE_B11" localSheetId="31">#REF!</definedName>
    <definedName name="Total_EE_B11" localSheetId="32">#REF!</definedName>
    <definedName name="Total_EE_B11" localSheetId="33">#REF!</definedName>
    <definedName name="Total_EE_B11" localSheetId="24">#REF!</definedName>
    <definedName name="Total_EE_B11" localSheetId="23">#REF!</definedName>
    <definedName name="Total_EE_B11" localSheetId="36">#REF!</definedName>
    <definedName name="Total_EE_B11" localSheetId="22">#REF!</definedName>
    <definedName name="Total_EE_B11" localSheetId="26">#REF!</definedName>
    <definedName name="Total_EE_B11" localSheetId="30">#REF!</definedName>
    <definedName name="Total_EE_B11" localSheetId="85">#REF!</definedName>
    <definedName name="Total_EE_B11" localSheetId="86">#REF!</definedName>
    <definedName name="Total_EE_B11" localSheetId="2">#REF!</definedName>
    <definedName name="Total_EE_B11">#REF!</definedName>
    <definedName name="Total_EE_B12" localSheetId="3">#REF!</definedName>
    <definedName name="Total_EE_B12" localSheetId="4">#REF!</definedName>
    <definedName name="Total_EE_B12" localSheetId="85">#REF!</definedName>
    <definedName name="Total_EE_B12" localSheetId="86">#REF!</definedName>
    <definedName name="Total_EE_B12" localSheetId="2">#REF!</definedName>
    <definedName name="Total_EE_B12">#REF!</definedName>
    <definedName name="Total_EE_B13" localSheetId="3">#REF!</definedName>
    <definedName name="Total_EE_B13" localSheetId="2">#REF!</definedName>
    <definedName name="Total_EE_B13">#REF!</definedName>
    <definedName name="Total_EE_B14" localSheetId="3">#REF!</definedName>
    <definedName name="Total_EE_B14" localSheetId="2">#REF!</definedName>
    <definedName name="Total_EE_B14">#REF!</definedName>
    <definedName name="Total_EE_B16" localSheetId="3">#REF!</definedName>
    <definedName name="Total_EE_B16" localSheetId="2">#REF!</definedName>
    <definedName name="Total_EE_B16">#REF!</definedName>
    <definedName name="Total_EE_B17" localSheetId="3">#REF!</definedName>
    <definedName name="Total_EE_B17" localSheetId="2">#REF!</definedName>
    <definedName name="Total_EE_B17">#REF!</definedName>
    <definedName name="Total_EE_B18" localSheetId="3">#REF!</definedName>
    <definedName name="Total_EE_B18" localSheetId="2">#REF!</definedName>
    <definedName name="Total_EE_B18">#REF!</definedName>
    <definedName name="Total_EE_B19" localSheetId="3">#REF!</definedName>
    <definedName name="Total_EE_B19" localSheetId="2">#REF!</definedName>
    <definedName name="Total_EE_B19">#REF!</definedName>
    <definedName name="Total_EE_B20" localSheetId="3">#REF!</definedName>
    <definedName name="Total_EE_B20" localSheetId="2">#REF!</definedName>
    <definedName name="Total_EE_B20">#REF!</definedName>
    <definedName name="Total_EE_B21" localSheetId="3">#REF!</definedName>
    <definedName name="Total_EE_B21" localSheetId="2">#REF!</definedName>
    <definedName name="Total_EE_B21">#REF!</definedName>
    <definedName name="Total_EE_B23" localSheetId="3">#REF!</definedName>
    <definedName name="Total_EE_B23" localSheetId="2">#REF!</definedName>
    <definedName name="Total_EE_B23">#REF!</definedName>
    <definedName name="Total_EE_B3" localSheetId="3">#REF!</definedName>
    <definedName name="Total_EE_B3" localSheetId="2">#REF!</definedName>
    <definedName name="Total_EE_B3">#REF!</definedName>
    <definedName name="Total_EE_B3Boots" localSheetId="3">#REF!</definedName>
    <definedName name="Total_EE_B3Boots" localSheetId="2">#REF!</definedName>
    <definedName name="Total_EE_B3Boots">#REF!</definedName>
    <definedName name="Total_EE_B4" localSheetId="3">#REF!</definedName>
    <definedName name="Total_EE_B4" localSheetId="2">#REF!</definedName>
    <definedName name="Total_EE_B4">#REF!</definedName>
    <definedName name="Total_EE_B4Boots" localSheetId="3">#REF!</definedName>
    <definedName name="Total_EE_B4Boots" localSheetId="2">#REF!</definedName>
    <definedName name="Total_EE_B4Boots">#REF!</definedName>
    <definedName name="Total_EE_B5" localSheetId="3">#REF!</definedName>
    <definedName name="Total_EE_B5" localSheetId="2">#REF!</definedName>
    <definedName name="Total_EE_B5">#REF!</definedName>
    <definedName name="Total_EE_B6" localSheetId="3">#REF!</definedName>
    <definedName name="Total_EE_B6" localSheetId="2">#REF!</definedName>
    <definedName name="Total_EE_B6">#REF!</definedName>
    <definedName name="total_EE_B7" localSheetId="3">#REF!</definedName>
    <definedName name="total_EE_B7" localSheetId="2">#REF!</definedName>
    <definedName name="total_EE_B7">#REF!</definedName>
    <definedName name="Total_EE_B8Boots" localSheetId="3">#REF!</definedName>
    <definedName name="Total_EE_B8Boots" localSheetId="2">#REF!</definedName>
    <definedName name="Total_EE_B8Boots">#REF!</definedName>
    <definedName name="Total_Fill" localSheetId="3">#REF!</definedName>
    <definedName name="Total_Fill" localSheetId="2">#REF!</definedName>
    <definedName name="Total_Fill">#REF!</definedName>
    <definedName name="Total_PrimeCoat" localSheetId="3">#REF!</definedName>
    <definedName name="Total_PrimeCoat" localSheetId="2">#REF!</definedName>
    <definedName name="Total_PrimeCoat">#REF!</definedName>
    <definedName name="Total_PrimeCoat_Color" localSheetId="3">#REF!</definedName>
    <definedName name="Total_PrimeCoat_Color" localSheetId="2">#REF!</definedName>
    <definedName name="Total_PrimeCoat_Color">#REF!</definedName>
    <definedName name="Total_SelectMat" localSheetId="3">#REF!</definedName>
    <definedName name="Total_SelectMat" localSheetId="2">#REF!</definedName>
    <definedName name="Total_SelectMat">#REF!</definedName>
    <definedName name="Total_SN_B1." localSheetId="3">'[43]ข้อ1.1'!#REF!</definedName>
    <definedName name="Total_SN_B1." localSheetId="2">'[43]ข้อ1.1'!#REF!</definedName>
    <definedName name="Total_SN_B1.">'[43]ข้อ1.1'!#REF!</definedName>
    <definedName name="Total_SN_B10" localSheetId="3">#REF!</definedName>
    <definedName name="Total_SN_B10" localSheetId="4">#REF!</definedName>
    <definedName name="Total_SN_B10" localSheetId="18">#REF!</definedName>
    <definedName name="Total_SN_B10" localSheetId="19">#REF!</definedName>
    <definedName name="Total_SN_B10" localSheetId="9">#REF!</definedName>
    <definedName name="Total_SN_B10" localSheetId="10">#REF!</definedName>
    <definedName name="Total_SN_B10" localSheetId="11">#REF!</definedName>
    <definedName name="Total_SN_B10" localSheetId="12">#REF!</definedName>
    <definedName name="Total_SN_B10" localSheetId="13">#REF!</definedName>
    <definedName name="Total_SN_B10" localSheetId="14">#REF!</definedName>
    <definedName name="Total_SN_B10" localSheetId="15">#REF!</definedName>
    <definedName name="Total_SN_B10" localSheetId="16">#REF!</definedName>
    <definedName name="Total_SN_B10" localSheetId="17">#REF!</definedName>
    <definedName name="Total_SN_B10" localSheetId="8">#REF!</definedName>
    <definedName name="Total_SN_B10" localSheetId="7">#REF!</definedName>
    <definedName name="Total_SN_B10" localSheetId="6">#REF!</definedName>
    <definedName name="Total_SN_B10" localSheetId="20">#REF!</definedName>
    <definedName name="Total_SN_B10" localSheetId="5">#REF!</definedName>
    <definedName name="Total_SN_B10" localSheetId="21">#REF!</definedName>
    <definedName name="Total_SN_B10" localSheetId="34">#REF!</definedName>
    <definedName name="Total_SN_B10" localSheetId="35">#REF!</definedName>
    <definedName name="Total_SN_B10" localSheetId="25">#REF!</definedName>
    <definedName name="Total_SN_B10" localSheetId="27">#REF!</definedName>
    <definedName name="Total_SN_B10" localSheetId="28">#REF!</definedName>
    <definedName name="Total_SN_B10" localSheetId="29">#REF!</definedName>
    <definedName name="Total_SN_B10" localSheetId="31">#REF!</definedName>
    <definedName name="Total_SN_B10" localSheetId="32">#REF!</definedName>
    <definedName name="Total_SN_B10" localSheetId="33">#REF!</definedName>
    <definedName name="Total_SN_B10" localSheetId="24">#REF!</definedName>
    <definedName name="Total_SN_B10" localSheetId="23">#REF!</definedName>
    <definedName name="Total_SN_B10" localSheetId="36">#REF!</definedName>
    <definedName name="Total_SN_B10" localSheetId="22">#REF!</definedName>
    <definedName name="Total_SN_B10" localSheetId="26">#REF!</definedName>
    <definedName name="Total_SN_B10" localSheetId="30">#REF!</definedName>
    <definedName name="Total_SN_B10" localSheetId="41">#REF!</definedName>
    <definedName name="Total_SN_B10" localSheetId="50">#REF!</definedName>
    <definedName name="Total_SN_B10" localSheetId="51">#REF!</definedName>
    <definedName name="Total_SN_B10" localSheetId="42">#REF!</definedName>
    <definedName name="Total_SN_B10" localSheetId="43">#REF!</definedName>
    <definedName name="Total_SN_B10" localSheetId="44">#REF!</definedName>
    <definedName name="Total_SN_B10" localSheetId="45">#REF!</definedName>
    <definedName name="Total_SN_B10" localSheetId="46">#REF!</definedName>
    <definedName name="Total_SN_B10" localSheetId="47">#REF!</definedName>
    <definedName name="Total_SN_B10" localSheetId="48">#REF!</definedName>
    <definedName name="Total_SN_B10" localSheetId="49">#REF!</definedName>
    <definedName name="Total_SN_B10" localSheetId="52">#REF!</definedName>
    <definedName name="Total_SN_B10" localSheetId="40">#REF!</definedName>
    <definedName name="Total_SN_B10" localSheetId="39">#REF!</definedName>
    <definedName name="Total_SN_B10" localSheetId="38">#REF!</definedName>
    <definedName name="Total_SN_B10" localSheetId="37">#REF!</definedName>
    <definedName name="Total_SN_B10" localSheetId="57">#REF!</definedName>
    <definedName name="Total_SN_B10" localSheetId="66">#REF!</definedName>
    <definedName name="Total_SN_B10" localSheetId="67">#REF!</definedName>
    <definedName name="Total_SN_B10" localSheetId="58">#REF!</definedName>
    <definedName name="Total_SN_B10" localSheetId="59">#REF!</definedName>
    <definedName name="Total_SN_B10" localSheetId="60">#REF!</definedName>
    <definedName name="Total_SN_B10" localSheetId="61">#REF!</definedName>
    <definedName name="Total_SN_B10" localSheetId="62">#REF!</definedName>
    <definedName name="Total_SN_B10" localSheetId="63">#REF!</definedName>
    <definedName name="Total_SN_B10" localSheetId="64">#REF!</definedName>
    <definedName name="Total_SN_B10" localSheetId="65">#REF!</definedName>
    <definedName name="Total_SN_B10" localSheetId="68">#REF!</definedName>
    <definedName name="Total_SN_B10" localSheetId="56">#REF!</definedName>
    <definedName name="Total_SN_B10" localSheetId="55">#REF!</definedName>
    <definedName name="Total_SN_B10" localSheetId="54">#REF!</definedName>
    <definedName name="Total_SN_B10" localSheetId="69">#REF!</definedName>
    <definedName name="Total_SN_B10" localSheetId="53">#REF!</definedName>
    <definedName name="Total_SN_B10" localSheetId="85">#REF!</definedName>
    <definedName name="Total_SN_B10" localSheetId="86">#REF!</definedName>
    <definedName name="Total_SN_B10" localSheetId="2">#REF!</definedName>
    <definedName name="Total_SN_B10">#REF!</definedName>
    <definedName name="Total_SN_B11" localSheetId="3">#REF!</definedName>
    <definedName name="Total_SN_B11" localSheetId="4">#REF!</definedName>
    <definedName name="Total_SN_B11" localSheetId="18">#REF!</definedName>
    <definedName name="Total_SN_B11" localSheetId="19">#REF!</definedName>
    <definedName name="Total_SN_B11" localSheetId="9">#REF!</definedName>
    <definedName name="Total_SN_B11" localSheetId="10">#REF!</definedName>
    <definedName name="Total_SN_B11" localSheetId="11">#REF!</definedName>
    <definedName name="Total_SN_B11" localSheetId="12">#REF!</definedName>
    <definedName name="Total_SN_B11" localSheetId="13">#REF!</definedName>
    <definedName name="Total_SN_B11" localSheetId="14">#REF!</definedName>
    <definedName name="Total_SN_B11" localSheetId="15">#REF!</definedName>
    <definedName name="Total_SN_B11" localSheetId="16">#REF!</definedName>
    <definedName name="Total_SN_B11" localSheetId="17">#REF!</definedName>
    <definedName name="Total_SN_B11" localSheetId="8">#REF!</definedName>
    <definedName name="Total_SN_B11" localSheetId="7">#REF!</definedName>
    <definedName name="Total_SN_B11" localSheetId="6">#REF!</definedName>
    <definedName name="Total_SN_B11" localSheetId="20">#REF!</definedName>
    <definedName name="Total_SN_B11" localSheetId="5">#REF!</definedName>
    <definedName name="Total_SN_B11" localSheetId="21">#REF!</definedName>
    <definedName name="Total_SN_B11" localSheetId="34">#REF!</definedName>
    <definedName name="Total_SN_B11" localSheetId="35">#REF!</definedName>
    <definedName name="Total_SN_B11" localSheetId="25">#REF!</definedName>
    <definedName name="Total_SN_B11" localSheetId="27">#REF!</definedName>
    <definedName name="Total_SN_B11" localSheetId="28">#REF!</definedName>
    <definedName name="Total_SN_B11" localSheetId="29">#REF!</definedName>
    <definedName name="Total_SN_B11" localSheetId="31">#REF!</definedName>
    <definedName name="Total_SN_B11" localSheetId="32">#REF!</definedName>
    <definedName name="Total_SN_B11" localSheetId="33">#REF!</definedName>
    <definedName name="Total_SN_B11" localSheetId="24">#REF!</definedName>
    <definedName name="Total_SN_B11" localSheetId="23">#REF!</definedName>
    <definedName name="Total_SN_B11" localSheetId="36">#REF!</definedName>
    <definedName name="Total_SN_B11" localSheetId="22">#REF!</definedName>
    <definedName name="Total_SN_B11" localSheetId="26">#REF!</definedName>
    <definedName name="Total_SN_B11" localSheetId="30">#REF!</definedName>
    <definedName name="Total_SN_B11" localSheetId="85">#REF!</definedName>
    <definedName name="Total_SN_B11" localSheetId="86">#REF!</definedName>
    <definedName name="Total_SN_B11" localSheetId="2">#REF!</definedName>
    <definedName name="Total_SN_B11">#REF!</definedName>
    <definedName name="Total_SN_B12" localSheetId="3">#REF!</definedName>
    <definedName name="Total_SN_B12" localSheetId="4">#REF!</definedName>
    <definedName name="Total_SN_B12" localSheetId="85">#REF!</definedName>
    <definedName name="Total_SN_B12" localSheetId="86">#REF!</definedName>
    <definedName name="Total_SN_B12" localSheetId="2">#REF!</definedName>
    <definedName name="Total_SN_B12">#REF!</definedName>
    <definedName name="Total_SN_B13" localSheetId="3">#REF!</definedName>
    <definedName name="Total_SN_B13" localSheetId="2">#REF!</definedName>
    <definedName name="Total_SN_B13">#REF!</definedName>
    <definedName name="Total_SN_B14" localSheetId="3">#REF!</definedName>
    <definedName name="Total_SN_B14" localSheetId="2">#REF!</definedName>
    <definedName name="Total_SN_B14">#REF!</definedName>
    <definedName name="Total_SN_B15" localSheetId="3">#REF!</definedName>
    <definedName name="Total_SN_B15" localSheetId="2">#REF!</definedName>
    <definedName name="Total_SN_B15">#REF!</definedName>
    <definedName name="Total_SN_B16" localSheetId="3">#REF!</definedName>
    <definedName name="Total_SN_B16" localSheetId="2">#REF!</definedName>
    <definedName name="Total_SN_B16">#REF!</definedName>
    <definedName name="Total_SN_B17" localSheetId="3">#REF!</definedName>
    <definedName name="Total_SN_B17" localSheetId="2">#REF!</definedName>
    <definedName name="Total_SN_B17">#REF!</definedName>
    <definedName name="Total_SN_B19" localSheetId="3">#REF!</definedName>
    <definedName name="Total_SN_B19" localSheetId="2">#REF!</definedName>
    <definedName name="Total_SN_B19">#REF!</definedName>
    <definedName name="Total_SN_B20" localSheetId="3">#REF!</definedName>
    <definedName name="Total_SN_B20" localSheetId="2">#REF!</definedName>
    <definedName name="Total_SN_B20">#REF!</definedName>
    <definedName name="Total_SN_B21" localSheetId="3">#REF!</definedName>
    <definedName name="Total_SN_B21" localSheetId="2">#REF!</definedName>
    <definedName name="Total_SN_B21">#REF!</definedName>
    <definedName name="Total_SN_B22" localSheetId="3">#REF!</definedName>
    <definedName name="Total_SN_B22" localSheetId="2">#REF!</definedName>
    <definedName name="Total_SN_B22">#REF!</definedName>
    <definedName name="Total_SN_B3" localSheetId="3">#REF!</definedName>
    <definedName name="Total_SN_B3" localSheetId="2">#REF!</definedName>
    <definedName name="Total_SN_B3">#REF!</definedName>
    <definedName name="Total_SN_B4" localSheetId="3">#REF!</definedName>
    <definedName name="Total_SN_B4" localSheetId="2">#REF!</definedName>
    <definedName name="Total_SN_B4">#REF!</definedName>
    <definedName name="Total_SN_B5" localSheetId="3">#REF!</definedName>
    <definedName name="Total_SN_B5" localSheetId="2">#REF!</definedName>
    <definedName name="Total_SN_B5">#REF!</definedName>
    <definedName name="Total_SN_B6" localSheetId="3">#REF!</definedName>
    <definedName name="Total_SN_B6" localSheetId="2">#REF!</definedName>
    <definedName name="Total_SN_B6">#REF!</definedName>
    <definedName name="Total_SN_B7" localSheetId="3">#REF!</definedName>
    <definedName name="Total_SN_B7" localSheetId="2">#REF!</definedName>
    <definedName name="Total_SN_B7">#REF!</definedName>
    <definedName name="Total_ST" localSheetId="3">#REF!</definedName>
    <definedName name="Total_ST" localSheetId="2">#REF!</definedName>
    <definedName name="Total_ST">#REF!</definedName>
    <definedName name="Total_ST_B1" localSheetId="3">'[43]ข้อ1.1'!#REF!</definedName>
    <definedName name="Total_ST_B1" localSheetId="2">'[43]ข้อ1.1'!#REF!</definedName>
    <definedName name="Total_ST_B1">'[43]ข้อ1.1'!#REF!</definedName>
    <definedName name="Total_ST_B10" localSheetId="3">#REF!</definedName>
    <definedName name="Total_ST_B10" localSheetId="4">#REF!</definedName>
    <definedName name="Total_ST_B10" localSheetId="18">#REF!</definedName>
    <definedName name="Total_ST_B10" localSheetId="19">#REF!</definedName>
    <definedName name="Total_ST_B10" localSheetId="9">#REF!</definedName>
    <definedName name="Total_ST_B10" localSheetId="10">#REF!</definedName>
    <definedName name="Total_ST_B10" localSheetId="11">#REF!</definedName>
    <definedName name="Total_ST_B10" localSheetId="12">#REF!</definedName>
    <definedName name="Total_ST_B10" localSheetId="13">#REF!</definedName>
    <definedName name="Total_ST_B10" localSheetId="14">#REF!</definedName>
    <definedName name="Total_ST_B10" localSheetId="15">#REF!</definedName>
    <definedName name="Total_ST_B10" localSheetId="16">#REF!</definedName>
    <definedName name="Total_ST_B10" localSheetId="17">#REF!</definedName>
    <definedName name="Total_ST_B10" localSheetId="8">#REF!</definedName>
    <definedName name="Total_ST_B10" localSheetId="7">#REF!</definedName>
    <definedName name="Total_ST_B10" localSheetId="6">#REF!</definedName>
    <definedName name="Total_ST_B10" localSheetId="20">#REF!</definedName>
    <definedName name="Total_ST_B10" localSheetId="5">#REF!</definedName>
    <definedName name="Total_ST_B10" localSheetId="21">#REF!</definedName>
    <definedName name="Total_ST_B10" localSheetId="34">#REF!</definedName>
    <definedName name="Total_ST_B10" localSheetId="35">#REF!</definedName>
    <definedName name="Total_ST_B10" localSheetId="25">#REF!</definedName>
    <definedName name="Total_ST_B10" localSheetId="27">#REF!</definedName>
    <definedName name="Total_ST_B10" localSheetId="28">#REF!</definedName>
    <definedName name="Total_ST_B10" localSheetId="29">#REF!</definedName>
    <definedName name="Total_ST_B10" localSheetId="31">#REF!</definedName>
    <definedName name="Total_ST_B10" localSheetId="32">#REF!</definedName>
    <definedName name="Total_ST_B10" localSheetId="33">#REF!</definedName>
    <definedName name="Total_ST_B10" localSheetId="24">#REF!</definedName>
    <definedName name="Total_ST_B10" localSheetId="23">#REF!</definedName>
    <definedName name="Total_ST_B10" localSheetId="36">#REF!</definedName>
    <definedName name="Total_ST_B10" localSheetId="22">#REF!</definedName>
    <definedName name="Total_ST_B10" localSheetId="26">#REF!</definedName>
    <definedName name="Total_ST_B10" localSheetId="30">#REF!</definedName>
    <definedName name="Total_ST_B10" localSheetId="41">#REF!</definedName>
    <definedName name="Total_ST_B10" localSheetId="50">#REF!</definedName>
    <definedName name="Total_ST_B10" localSheetId="51">#REF!</definedName>
    <definedName name="Total_ST_B10" localSheetId="42">#REF!</definedName>
    <definedName name="Total_ST_B10" localSheetId="43">#REF!</definedName>
    <definedName name="Total_ST_B10" localSheetId="44">#REF!</definedName>
    <definedName name="Total_ST_B10" localSheetId="45">#REF!</definedName>
    <definedName name="Total_ST_B10" localSheetId="46">#REF!</definedName>
    <definedName name="Total_ST_B10" localSheetId="47">#REF!</definedName>
    <definedName name="Total_ST_B10" localSheetId="48">#REF!</definedName>
    <definedName name="Total_ST_B10" localSheetId="49">#REF!</definedName>
    <definedName name="Total_ST_B10" localSheetId="52">#REF!</definedName>
    <definedName name="Total_ST_B10" localSheetId="40">#REF!</definedName>
    <definedName name="Total_ST_B10" localSheetId="39">#REF!</definedName>
    <definedName name="Total_ST_B10" localSheetId="38">#REF!</definedName>
    <definedName name="Total_ST_B10" localSheetId="37">#REF!</definedName>
    <definedName name="Total_ST_B10" localSheetId="57">#REF!</definedName>
    <definedName name="Total_ST_B10" localSheetId="66">#REF!</definedName>
    <definedName name="Total_ST_B10" localSheetId="67">#REF!</definedName>
    <definedName name="Total_ST_B10" localSheetId="58">#REF!</definedName>
    <definedName name="Total_ST_B10" localSheetId="59">#REF!</definedName>
    <definedName name="Total_ST_B10" localSheetId="60">#REF!</definedName>
    <definedName name="Total_ST_B10" localSheetId="61">#REF!</definedName>
    <definedName name="Total_ST_B10" localSheetId="62">#REF!</definedName>
    <definedName name="Total_ST_B10" localSheetId="63">#REF!</definedName>
    <definedName name="Total_ST_B10" localSheetId="64">#REF!</definedName>
    <definedName name="Total_ST_B10" localSheetId="65">#REF!</definedName>
    <definedName name="Total_ST_B10" localSheetId="68">#REF!</definedName>
    <definedName name="Total_ST_B10" localSheetId="56">#REF!</definedName>
    <definedName name="Total_ST_B10" localSheetId="55">#REF!</definedName>
    <definedName name="Total_ST_B10" localSheetId="54">#REF!</definedName>
    <definedName name="Total_ST_B10" localSheetId="69">#REF!</definedName>
    <definedName name="Total_ST_B10" localSheetId="53">#REF!</definedName>
    <definedName name="Total_ST_B10" localSheetId="85">#REF!</definedName>
    <definedName name="Total_ST_B10" localSheetId="86">#REF!</definedName>
    <definedName name="Total_ST_B10" localSheetId="2">#REF!</definedName>
    <definedName name="Total_ST_B10">#REF!</definedName>
    <definedName name="Total_ST_B11" localSheetId="3">#REF!</definedName>
    <definedName name="Total_ST_B11" localSheetId="4">#REF!</definedName>
    <definedName name="Total_ST_B11" localSheetId="18">#REF!</definedName>
    <definedName name="Total_ST_B11" localSheetId="19">#REF!</definedName>
    <definedName name="Total_ST_B11" localSheetId="9">#REF!</definedName>
    <definedName name="Total_ST_B11" localSheetId="10">#REF!</definedName>
    <definedName name="Total_ST_B11" localSheetId="11">#REF!</definedName>
    <definedName name="Total_ST_B11" localSheetId="12">#REF!</definedName>
    <definedName name="Total_ST_B11" localSheetId="13">#REF!</definedName>
    <definedName name="Total_ST_B11" localSheetId="14">#REF!</definedName>
    <definedName name="Total_ST_B11" localSheetId="15">#REF!</definedName>
    <definedName name="Total_ST_B11" localSheetId="16">#REF!</definedName>
    <definedName name="Total_ST_B11" localSheetId="17">#REF!</definedName>
    <definedName name="Total_ST_B11" localSheetId="8">#REF!</definedName>
    <definedName name="Total_ST_B11" localSheetId="7">#REF!</definedName>
    <definedName name="Total_ST_B11" localSheetId="6">#REF!</definedName>
    <definedName name="Total_ST_B11" localSheetId="20">#REF!</definedName>
    <definedName name="Total_ST_B11" localSheetId="5">#REF!</definedName>
    <definedName name="Total_ST_B11" localSheetId="21">#REF!</definedName>
    <definedName name="Total_ST_B11" localSheetId="34">#REF!</definedName>
    <definedName name="Total_ST_B11" localSheetId="35">#REF!</definedName>
    <definedName name="Total_ST_B11" localSheetId="25">#REF!</definedName>
    <definedName name="Total_ST_B11" localSheetId="27">#REF!</definedName>
    <definedName name="Total_ST_B11" localSheetId="28">#REF!</definedName>
    <definedName name="Total_ST_B11" localSheetId="29">#REF!</definedName>
    <definedName name="Total_ST_B11" localSheetId="31">#REF!</definedName>
    <definedName name="Total_ST_B11" localSheetId="32">#REF!</definedName>
    <definedName name="Total_ST_B11" localSheetId="33">#REF!</definedName>
    <definedName name="Total_ST_B11" localSheetId="24">#REF!</definedName>
    <definedName name="Total_ST_B11" localSheetId="23">#REF!</definedName>
    <definedName name="Total_ST_B11" localSheetId="36">#REF!</definedName>
    <definedName name="Total_ST_B11" localSheetId="22">#REF!</definedName>
    <definedName name="Total_ST_B11" localSheetId="26">#REF!</definedName>
    <definedName name="Total_ST_B11" localSheetId="30">#REF!</definedName>
    <definedName name="Total_ST_B11" localSheetId="85">#REF!</definedName>
    <definedName name="Total_ST_B11" localSheetId="86">#REF!</definedName>
    <definedName name="Total_ST_B11" localSheetId="2">#REF!</definedName>
    <definedName name="Total_ST_B11">#REF!</definedName>
    <definedName name="Total_ST_B12" localSheetId="3">#REF!</definedName>
    <definedName name="Total_ST_B12" localSheetId="4">#REF!</definedName>
    <definedName name="Total_ST_B12" localSheetId="85">#REF!</definedName>
    <definedName name="Total_ST_B12" localSheetId="86">#REF!</definedName>
    <definedName name="Total_ST_B12" localSheetId="2">#REF!</definedName>
    <definedName name="Total_ST_B12">#REF!</definedName>
    <definedName name="Total_ST_B13" localSheetId="3">#REF!</definedName>
    <definedName name="Total_ST_B13" localSheetId="2">#REF!</definedName>
    <definedName name="Total_ST_B13">#REF!</definedName>
    <definedName name="Total_ST_B14" localSheetId="3">#REF!</definedName>
    <definedName name="Total_ST_B14" localSheetId="2">#REF!</definedName>
    <definedName name="Total_ST_B14">#REF!</definedName>
    <definedName name="Total_ST_B15" localSheetId="3">#REF!</definedName>
    <definedName name="Total_ST_B15" localSheetId="2">#REF!</definedName>
    <definedName name="Total_ST_B15">#REF!</definedName>
    <definedName name="Total_ST_B16" localSheetId="3">#REF!</definedName>
    <definedName name="Total_ST_B16" localSheetId="2">#REF!</definedName>
    <definedName name="Total_ST_B16">#REF!</definedName>
    <definedName name="Total_ST_B17" localSheetId="3">#REF!</definedName>
    <definedName name="Total_ST_B17" localSheetId="2">#REF!</definedName>
    <definedName name="Total_ST_B17">#REF!</definedName>
    <definedName name="Total_ST_B18" localSheetId="3">#REF!</definedName>
    <definedName name="Total_ST_B18" localSheetId="2">#REF!</definedName>
    <definedName name="Total_ST_B18">#REF!</definedName>
    <definedName name="Total_ST_B19" localSheetId="3">#REF!</definedName>
    <definedName name="Total_ST_B19" localSheetId="2">#REF!</definedName>
    <definedName name="Total_ST_B19">#REF!</definedName>
    <definedName name="Total_ST_B20" localSheetId="3">#REF!</definedName>
    <definedName name="Total_ST_B20" localSheetId="2">#REF!</definedName>
    <definedName name="Total_ST_B20">#REF!</definedName>
    <definedName name="Total_ST_B21" localSheetId="3">#REF!</definedName>
    <definedName name="Total_ST_B21" localSheetId="2">#REF!</definedName>
    <definedName name="Total_ST_B21">#REF!</definedName>
    <definedName name="Total_ST_B22" localSheetId="3">#REF!</definedName>
    <definedName name="Total_ST_B22" localSheetId="2">#REF!</definedName>
    <definedName name="Total_ST_B22">#REF!</definedName>
    <definedName name="Total_ST_B23" localSheetId="3">#REF!</definedName>
    <definedName name="Total_ST_B23" localSheetId="2">#REF!</definedName>
    <definedName name="Total_ST_B23">#REF!</definedName>
    <definedName name="Total_ST_B3" localSheetId="3">#REF!</definedName>
    <definedName name="Total_ST_B3" localSheetId="2">#REF!</definedName>
    <definedName name="Total_ST_B3">#REF!</definedName>
    <definedName name="Total_ST_B3Boots" localSheetId="3">#REF!</definedName>
    <definedName name="Total_ST_B3Boots" localSheetId="2">#REF!</definedName>
    <definedName name="Total_ST_B3Boots">#REF!</definedName>
    <definedName name="Total_ST_B4" localSheetId="3">#REF!</definedName>
    <definedName name="Total_ST_B4" localSheetId="2">#REF!</definedName>
    <definedName name="Total_ST_B4">#REF!</definedName>
    <definedName name="Total_ST_B4Boots" localSheetId="3">#REF!</definedName>
    <definedName name="Total_ST_B4Boots" localSheetId="2">#REF!</definedName>
    <definedName name="Total_ST_B4Boots">#REF!</definedName>
    <definedName name="Total_ST_B5" localSheetId="3">#REF!</definedName>
    <definedName name="Total_ST_B5" localSheetId="2">#REF!</definedName>
    <definedName name="Total_ST_B5">#REF!</definedName>
    <definedName name="Total_ST_B6" localSheetId="3">#REF!</definedName>
    <definedName name="Total_ST_B6" localSheetId="2">#REF!</definedName>
    <definedName name="Total_ST_B6">#REF!</definedName>
    <definedName name="Total_ST_B7" localSheetId="3">#REF!</definedName>
    <definedName name="Total_ST_B7" localSheetId="2">#REF!</definedName>
    <definedName name="Total_ST_B7">#REF!</definedName>
    <definedName name="Total_ST_B8boots" localSheetId="3">#REF!</definedName>
    <definedName name="Total_ST_B8boots" localSheetId="2">#REF!</definedName>
    <definedName name="Total_ST_B8boots">#REF!</definedName>
    <definedName name="Total_SubBase" localSheetId="3">#REF!</definedName>
    <definedName name="Total_SubBase" localSheetId="2">#REF!</definedName>
    <definedName name="Total_SubBase">#REF!</definedName>
    <definedName name="Total_Suntornpho" localSheetId="3">[14]ปร5!#REF!</definedName>
    <definedName name="Total_Suntornpho" localSheetId="2">[14]ปร5!#REF!</definedName>
    <definedName name="Total_Suntornpho">[14]ปร5!#REF!</definedName>
    <definedName name="Total_TackCoat" localSheetId="3">#REF!</definedName>
    <definedName name="Total_TackCoat" localSheetId="4">#REF!</definedName>
    <definedName name="Total_TackCoat" localSheetId="18">#REF!</definedName>
    <definedName name="Total_TackCoat" localSheetId="19">#REF!</definedName>
    <definedName name="Total_TackCoat" localSheetId="9">#REF!</definedName>
    <definedName name="Total_TackCoat" localSheetId="10">#REF!</definedName>
    <definedName name="Total_TackCoat" localSheetId="11">#REF!</definedName>
    <definedName name="Total_TackCoat" localSheetId="12">#REF!</definedName>
    <definedName name="Total_TackCoat" localSheetId="13">#REF!</definedName>
    <definedName name="Total_TackCoat" localSheetId="14">#REF!</definedName>
    <definedName name="Total_TackCoat" localSheetId="15">#REF!</definedName>
    <definedName name="Total_TackCoat" localSheetId="16">#REF!</definedName>
    <definedName name="Total_TackCoat" localSheetId="17">#REF!</definedName>
    <definedName name="Total_TackCoat" localSheetId="8">#REF!</definedName>
    <definedName name="Total_TackCoat" localSheetId="7">#REF!</definedName>
    <definedName name="Total_TackCoat" localSheetId="6">#REF!</definedName>
    <definedName name="Total_TackCoat" localSheetId="20">#REF!</definedName>
    <definedName name="Total_TackCoat" localSheetId="5">#REF!</definedName>
    <definedName name="Total_TackCoat" localSheetId="21">#REF!</definedName>
    <definedName name="Total_TackCoat" localSheetId="34">#REF!</definedName>
    <definedName name="Total_TackCoat" localSheetId="35">#REF!</definedName>
    <definedName name="Total_TackCoat" localSheetId="25">#REF!</definedName>
    <definedName name="Total_TackCoat" localSheetId="27">#REF!</definedName>
    <definedName name="Total_TackCoat" localSheetId="28">#REF!</definedName>
    <definedName name="Total_TackCoat" localSheetId="29">#REF!</definedName>
    <definedName name="Total_TackCoat" localSheetId="31">#REF!</definedName>
    <definedName name="Total_TackCoat" localSheetId="32">#REF!</definedName>
    <definedName name="Total_TackCoat" localSheetId="33">#REF!</definedName>
    <definedName name="Total_TackCoat" localSheetId="24">#REF!</definedName>
    <definedName name="Total_TackCoat" localSheetId="23">#REF!</definedName>
    <definedName name="Total_TackCoat" localSheetId="36">#REF!</definedName>
    <definedName name="Total_TackCoat" localSheetId="22">#REF!</definedName>
    <definedName name="Total_TackCoat" localSheetId="26">#REF!</definedName>
    <definedName name="Total_TackCoat" localSheetId="30">#REF!</definedName>
    <definedName name="Total_TackCoat" localSheetId="41">#REF!</definedName>
    <definedName name="Total_TackCoat" localSheetId="50">#REF!</definedName>
    <definedName name="Total_TackCoat" localSheetId="51">#REF!</definedName>
    <definedName name="Total_TackCoat" localSheetId="42">#REF!</definedName>
    <definedName name="Total_TackCoat" localSheetId="43">#REF!</definedName>
    <definedName name="Total_TackCoat" localSheetId="44">#REF!</definedName>
    <definedName name="Total_TackCoat" localSheetId="45">#REF!</definedName>
    <definedName name="Total_TackCoat" localSheetId="46">#REF!</definedName>
    <definedName name="Total_TackCoat" localSheetId="47">#REF!</definedName>
    <definedName name="Total_TackCoat" localSheetId="48">#REF!</definedName>
    <definedName name="Total_TackCoat" localSheetId="49">#REF!</definedName>
    <definedName name="Total_TackCoat" localSheetId="52">#REF!</definedName>
    <definedName name="Total_TackCoat" localSheetId="40">#REF!</definedName>
    <definedName name="Total_TackCoat" localSheetId="39">#REF!</definedName>
    <definedName name="Total_TackCoat" localSheetId="38">#REF!</definedName>
    <definedName name="Total_TackCoat" localSheetId="37">#REF!</definedName>
    <definedName name="Total_TackCoat" localSheetId="57">#REF!</definedName>
    <definedName name="Total_TackCoat" localSheetId="66">#REF!</definedName>
    <definedName name="Total_TackCoat" localSheetId="67">#REF!</definedName>
    <definedName name="Total_TackCoat" localSheetId="58">#REF!</definedName>
    <definedName name="Total_TackCoat" localSheetId="59">#REF!</definedName>
    <definedName name="Total_TackCoat" localSheetId="60">#REF!</definedName>
    <definedName name="Total_TackCoat" localSheetId="61">#REF!</definedName>
    <definedName name="Total_TackCoat" localSheetId="62">#REF!</definedName>
    <definedName name="Total_TackCoat" localSheetId="63">#REF!</definedName>
    <definedName name="Total_TackCoat" localSheetId="64">#REF!</definedName>
    <definedName name="Total_TackCoat" localSheetId="65">#REF!</definedName>
    <definedName name="Total_TackCoat" localSheetId="68">#REF!</definedName>
    <definedName name="Total_TackCoat" localSheetId="56">#REF!</definedName>
    <definedName name="Total_TackCoat" localSheetId="55">#REF!</definedName>
    <definedName name="Total_TackCoat" localSheetId="54">#REF!</definedName>
    <definedName name="Total_TackCoat" localSheetId="69">#REF!</definedName>
    <definedName name="Total_TackCoat" localSheetId="53">#REF!</definedName>
    <definedName name="Total_TackCoat" localSheetId="85">#REF!</definedName>
    <definedName name="Total_TackCoat" localSheetId="86">#REF!</definedName>
    <definedName name="Total_TackCoat" localSheetId="2">#REF!</definedName>
    <definedName name="Total_TackCoat">#REF!</definedName>
    <definedName name="Total_Wearing" localSheetId="3">#REF!</definedName>
    <definedName name="Total_Wearing" localSheetId="4">#REF!</definedName>
    <definedName name="Total_Wearing" localSheetId="18">#REF!</definedName>
    <definedName name="Total_Wearing" localSheetId="19">#REF!</definedName>
    <definedName name="Total_Wearing" localSheetId="9">#REF!</definedName>
    <definedName name="Total_Wearing" localSheetId="10">#REF!</definedName>
    <definedName name="Total_Wearing" localSheetId="11">#REF!</definedName>
    <definedName name="Total_Wearing" localSheetId="12">#REF!</definedName>
    <definedName name="Total_Wearing" localSheetId="13">#REF!</definedName>
    <definedName name="Total_Wearing" localSheetId="14">#REF!</definedName>
    <definedName name="Total_Wearing" localSheetId="15">#REF!</definedName>
    <definedName name="Total_Wearing" localSheetId="16">#REF!</definedName>
    <definedName name="Total_Wearing" localSheetId="17">#REF!</definedName>
    <definedName name="Total_Wearing" localSheetId="8">#REF!</definedName>
    <definedName name="Total_Wearing" localSheetId="7">#REF!</definedName>
    <definedName name="Total_Wearing" localSheetId="6">#REF!</definedName>
    <definedName name="Total_Wearing" localSheetId="20">#REF!</definedName>
    <definedName name="Total_Wearing" localSheetId="5">#REF!</definedName>
    <definedName name="Total_Wearing" localSheetId="21">#REF!</definedName>
    <definedName name="Total_Wearing" localSheetId="34">#REF!</definedName>
    <definedName name="Total_Wearing" localSheetId="35">#REF!</definedName>
    <definedName name="Total_Wearing" localSheetId="25">#REF!</definedName>
    <definedName name="Total_Wearing" localSheetId="27">#REF!</definedName>
    <definedName name="Total_Wearing" localSheetId="28">#REF!</definedName>
    <definedName name="Total_Wearing" localSheetId="29">#REF!</definedName>
    <definedName name="Total_Wearing" localSheetId="31">#REF!</definedName>
    <definedName name="Total_Wearing" localSheetId="32">#REF!</definedName>
    <definedName name="Total_Wearing" localSheetId="33">#REF!</definedName>
    <definedName name="Total_Wearing" localSheetId="24">#REF!</definedName>
    <definedName name="Total_Wearing" localSheetId="23">#REF!</definedName>
    <definedName name="Total_Wearing" localSheetId="36">#REF!</definedName>
    <definedName name="Total_Wearing" localSheetId="22">#REF!</definedName>
    <definedName name="Total_Wearing" localSheetId="26">#REF!</definedName>
    <definedName name="Total_Wearing" localSheetId="30">#REF!</definedName>
    <definedName name="Total_Wearing" localSheetId="85">#REF!</definedName>
    <definedName name="Total_Wearing" localSheetId="86">#REF!</definedName>
    <definedName name="Total_Wearing" localSheetId="2">#REF!</definedName>
    <definedName name="Total_Wearing">#REF!</definedName>
    <definedName name="Total_WearingColor" localSheetId="3">#REF!</definedName>
    <definedName name="Total_WearingColor" localSheetId="4">#REF!</definedName>
    <definedName name="Total_WearingColor" localSheetId="85">#REF!</definedName>
    <definedName name="Total_WearingColor" localSheetId="86">#REF!</definedName>
    <definedName name="Total_WearingColor" localSheetId="2">#REF!</definedName>
    <definedName name="Total_WearingColor">#REF!</definedName>
    <definedName name="total_กระดุมทอง" localSheetId="3">#REF!</definedName>
    <definedName name="total_กระดุมทอง" localSheetId="2">#REF!</definedName>
    <definedName name="total_กระดุมทอง">#REF!</definedName>
    <definedName name="Total_กรุยทาง" localSheetId="3">#REF!</definedName>
    <definedName name="Total_กรุยทาง" localSheetId="2">#REF!</definedName>
    <definedName name="Total_กรุยทาง">#REF!</definedName>
    <definedName name="total_จันทน์ผา" localSheetId="3">#REF!</definedName>
    <definedName name="total_จันทน์ผา" localSheetId="2">#REF!</definedName>
    <definedName name="total_จันทน์ผา">#REF!</definedName>
    <definedName name="total_ตีนเป็ด" localSheetId="3">#REF!</definedName>
    <definedName name="total_ตีนเป็ด" localSheetId="2">#REF!</definedName>
    <definedName name="total_ตีนเป็ด">#REF!</definedName>
    <definedName name="total_ปาล์มขวด" localSheetId="3">#REF!</definedName>
    <definedName name="total_ปาล์มขวด" localSheetId="2">#REF!</definedName>
    <definedName name="total_ปาล์มขวด">#REF!</definedName>
    <definedName name="total_ปาล์มน้ำมัน" localSheetId="3">#REF!</definedName>
    <definedName name="total_ปาล์มน้ำมัน" localSheetId="2">#REF!</definedName>
    <definedName name="total_ปาล์มน้ำมัน">#REF!</definedName>
    <definedName name="total_ปาล์มฟอกซ์เทล" localSheetId="3">#REF!</definedName>
    <definedName name="total_ปาล์มฟอกซ์เทล" localSheetId="2">#REF!</definedName>
    <definedName name="total_ปาล์มฟอกซ์เทล">#REF!</definedName>
    <definedName name="total_ปีป" localSheetId="3">#REF!</definedName>
    <definedName name="total_ปีป" localSheetId="2">#REF!</definedName>
    <definedName name="total_ปีป">#REF!</definedName>
    <definedName name="total_ลีลาวดี" localSheetId="3">#REF!</definedName>
    <definedName name="total_ลีลาวดี" localSheetId="2">#REF!</definedName>
    <definedName name="total_ลีลาวดี">#REF!</definedName>
    <definedName name="total_สนประดิพัทธ์" localSheetId="3">#REF!</definedName>
    <definedName name="total_สนประดิพัทธ์" localSheetId="2">#REF!</definedName>
    <definedName name="total_สนประดิพัทธ์">#REF!</definedName>
    <definedName name="Total1" localSheetId="3">#REF!</definedName>
    <definedName name="Total1" localSheetId="2">#REF!</definedName>
    <definedName name="Total1">#REF!</definedName>
    <definedName name="Total10" localSheetId="3">#REF!</definedName>
    <definedName name="Total10" localSheetId="2">#REF!</definedName>
    <definedName name="Total10">#REF!</definedName>
    <definedName name="Total2" localSheetId="3">#REF!</definedName>
    <definedName name="Total2" localSheetId="2">#REF!</definedName>
    <definedName name="Total2">#REF!</definedName>
    <definedName name="Total3" localSheetId="3">#REF!</definedName>
    <definedName name="Total3" localSheetId="2">#REF!</definedName>
    <definedName name="Total3">#REF!</definedName>
    <definedName name="Total4" localSheetId="3">'[44]ปร4.1'!#REF!</definedName>
    <definedName name="Total4" localSheetId="2">'[44]ปร4.1'!#REF!</definedName>
    <definedName name="Total4">'[44]ปร4.1'!#REF!</definedName>
    <definedName name="Total5" localSheetId="3">#REF!</definedName>
    <definedName name="Total5" localSheetId="4">#REF!</definedName>
    <definedName name="Total5" localSheetId="18">#REF!</definedName>
    <definedName name="Total5" localSheetId="19">#REF!</definedName>
    <definedName name="Total5" localSheetId="9">#REF!</definedName>
    <definedName name="Total5" localSheetId="10">#REF!</definedName>
    <definedName name="Total5" localSheetId="11">#REF!</definedName>
    <definedName name="Total5" localSheetId="12">#REF!</definedName>
    <definedName name="Total5" localSheetId="13">#REF!</definedName>
    <definedName name="Total5" localSheetId="14">#REF!</definedName>
    <definedName name="Total5" localSheetId="15">#REF!</definedName>
    <definedName name="Total5" localSheetId="16">#REF!</definedName>
    <definedName name="Total5" localSheetId="17">#REF!</definedName>
    <definedName name="Total5" localSheetId="8">#REF!</definedName>
    <definedName name="Total5" localSheetId="7">#REF!</definedName>
    <definedName name="Total5" localSheetId="6">#REF!</definedName>
    <definedName name="Total5" localSheetId="20">#REF!</definedName>
    <definedName name="Total5" localSheetId="5">#REF!</definedName>
    <definedName name="Total5" localSheetId="21">#REF!</definedName>
    <definedName name="Total5" localSheetId="34">#REF!</definedName>
    <definedName name="Total5" localSheetId="35">#REF!</definedName>
    <definedName name="Total5" localSheetId="25">#REF!</definedName>
    <definedName name="Total5" localSheetId="27">#REF!</definedName>
    <definedName name="Total5" localSheetId="28">#REF!</definedName>
    <definedName name="Total5" localSheetId="29">#REF!</definedName>
    <definedName name="Total5" localSheetId="31">#REF!</definedName>
    <definedName name="Total5" localSheetId="32">#REF!</definedName>
    <definedName name="Total5" localSheetId="33">#REF!</definedName>
    <definedName name="Total5" localSheetId="24">#REF!</definedName>
    <definedName name="Total5" localSheetId="23">#REF!</definedName>
    <definedName name="Total5" localSheetId="36">#REF!</definedName>
    <definedName name="Total5" localSheetId="22">#REF!</definedName>
    <definedName name="Total5" localSheetId="26">#REF!</definedName>
    <definedName name="Total5" localSheetId="30">#REF!</definedName>
    <definedName name="Total5" localSheetId="41">#REF!</definedName>
    <definedName name="Total5" localSheetId="50">#REF!</definedName>
    <definedName name="Total5" localSheetId="51">#REF!</definedName>
    <definedName name="Total5" localSheetId="42">#REF!</definedName>
    <definedName name="Total5" localSheetId="43">#REF!</definedName>
    <definedName name="Total5" localSheetId="44">#REF!</definedName>
    <definedName name="Total5" localSheetId="45">#REF!</definedName>
    <definedName name="Total5" localSheetId="46">#REF!</definedName>
    <definedName name="Total5" localSheetId="47">#REF!</definedName>
    <definedName name="Total5" localSheetId="48">#REF!</definedName>
    <definedName name="Total5" localSheetId="49">#REF!</definedName>
    <definedName name="Total5" localSheetId="52">#REF!</definedName>
    <definedName name="Total5" localSheetId="40">#REF!</definedName>
    <definedName name="Total5" localSheetId="39">#REF!</definedName>
    <definedName name="Total5" localSheetId="38">#REF!</definedName>
    <definedName name="Total5" localSheetId="37">#REF!</definedName>
    <definedName name="Total5" localSheetId="57">#REF!</definedName>
    <definedName name="Total5" localSheetId="66">#REF!</definedName>
    <definedName name="Total5" localSheetId="67">#REF!</definedName>
    <definedName name="Total5" localSheetId="58">#REF!</definedName>
    <definedName name="Total5" localSheetId="59">#REF!</definedName>
    <definedName name="Total5" localSheetId="60">#REF!</definedName>
    <definedName name="Total5" localSheetId="61">#REF!</definedName>
    <definedName name="Total5" localSheetId="62">#REF!</definedName>
    <definedName name="Total5" localSheetId="63">#REF!</definedName>
    <definedName name="Total5" localSheetId="64">#REF!</definedName>
    <definedName name="Total5" localSheetId="65">#REF!</definedName>
    <definedName name="Total5" localSheetId="68">#REF!</definedName>
    <definedName name="Total5" localSheetId="56">#REF!</definedName>
    <definedName name="Total5" localSheetId="55">#REF!</definedName>
    <definedName name="Total5" localSheetId="54">#REF!</definedName>
    <definedName name="Total5" localSheetId="69">#REF!</definedName>
    <definedName name="Total5" localSheetId="53">#REF!</definedName>
    <definedName name="Total5" localSheetId="85">#REF!</definedName>
    <definedName name="Total5" localSheetId="86">#REF!</definedName>
    <definedName name="Total5" localSheetId="2">#REF!</definedName>
    <definedName name="Total5">#REF!</definedName>
    <definedName name="Total6" localSheetId="3">#REF!</definedName>
    <definedName name="Total6" localSheetId="4">#REF!</definedName>
    <definedName name="Total6" localSheetId="18">#REF!</definedName>
    <definedName name="Total6" localSheetId="19">#REF!</definedName>
    <definedName name="Total6" localSheetId="9">#REF!</definedName>
    <definedName name="Total6" localSheetId="10">#REF!</definedName>
    <definedName name="Total6" localSheetId="11">#REF!</definedName>
    <definedName name="Total6" localSheetId="12">#REF!</definedName>
    <definedName name="Total6" localSheetId="13">#REF!</definedName>
    <definedName name="Total6" localSheetId="14">#REF!</definedName>
    <definedName name="Total6" localSheetId="15">#REF!</definedName>
    <definedName name="Total6" localSheetId="16">#REF!</definedName>
    <definedName name="Total6" localSheetId="17">#REF!</definedName>
    <definedName name="Total6" localSheetId="8">#REF!</definedName>
    <definedName name="Total6" localSheetId="7">#REF!</definedName>
    <definedName name="Total6" localSheetId="6">#REF!</definedName>
    <definedName name="Total6" localSheetId="20">#REF!</definedName>
    <definedName name="Total6" localSheetId="5">#REF!</definedName>
    <definedName name="Total6" localSheetId="21">#REF!</definedName>
    <definedName name="Total6" localSheetId="34">#REF!</definedName>
    <definedName name="Total6" localSheetId="35">#REF!</definedName>
    <definedName name="Total6" localSheetId="25">#REF!</definedName>
    <definedName name="Total6" localSheetId="27">#REF!</definedName>
    <definedName name="Total6" localSheetId="28">#REF!</definedName>
    <definedName name="Total6" localSheetId="29">#REF!</definedName>
    <definedName name="Total6" localSheetId="31">#REF!</definedName>
    <definedName name="Total6" localSheetId="32">#REF!</definedName>
    <definedName name="Total6" localSheetId="33">#REF!</definedName>
    <definedName name="Total6" localSheetId="24">#REF!</definedName>
    <definedName name="Total6" localSheetId="23">#REF!</definedName>
    <definedName name="Total6" localSheetId="36">#REF!</definedName>
    <definedName name="Total6" localSheetId="22">#REF!</definedName>
    <definedName name="Total6" localSheetId="26">#REF!</definedName>
    <definedName name="Total6" localSheetId="30">#REF!</definedName>
    <definedName name="Total6" localSheetId="85">#REF!</definedName>
    <definedName name="Total6" localSheetId="86">#REF!</definedName>
    <definedName name="Total6" localSheetId="2">#REF!</definedName>
    <definedName name="Total6">#REF!</definedName>
    <definedName name="Total7" localSheetId="3">#REF!</definedName>
    <definedName name="Total7" localSheetId="4">#REF!</definedName>
    <definedName name="Total7" localSheetId="85">#REF!</definedName>
    <definedName name="Total7" localSheetId="86">#REF!</definedName>
    <definedName name="Total7" localSheetId="2">#REF!</definedName>
    <definedName name="Total7">#REF!</definedName>
    <definedName name="Total9" localSheetId="3">#REF!</definedName>
    <definedName name="Total9" localSheetId="2">#REF!</definedName>
    <definedName name="Total9">#REF!</definedName>
    <definedName name="TR" localSheetId="3">#REF!</definedName>
    <definedName name="TR" localSheetId="2">#REF!</definedName>
    <definedName name="TR">#REF!</definedName>
    <definedName name="Uni_Direction">'[8]6'!$J$2705</definedName>
    <definedName name="W" localSheetId="3">#REF!</definedName>
    <definedName name="W" localSheetId="4">#REF!</definedName>
    <definedName name="W" localSheetId="18">#REF!</definedName>
    <definedName name="W" localSheetId="19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7">#REF!</definedName>
    <definedName name="W" localSheetId="8">#REF!</definedName>
    <definedName name="W" localSheetId="7">#REF!</definedName>
    <definedName name="W" localSheetId="6">#REF!</definedName>
    <definedName name="W" localSheetId="20">#REF!</definedName>
    <definedName name="W" localSheetId="5">#REF!</definedName>
    <definedName name="W" localSheetId="21">#REF!</definedName>
    <definedName name="W" localSheetId="34">#REF!</definedName>
    <definedName name="W" localSheetId="35">#REF!</definedName>
    <definedName name="W" localSheetId="25">#REF!</definedName>
    <definedName name="W" localSheetId="27">#REF!</definedName>
    <definedName name="W" localSheetId="28">#REF!</definedName>
    <definedName name="W" localSheetId="29">#REF!</definedName>
    <definedName name="W" localSheetId="31">#REF!</definedName>
    <definedName name="W" localSheetId="32">#REF!</definedName>
    <definedName name="W" localSheetId="33">#REF!</definedName>
    <definedName name="W" localSheetId="24">#REF!</definedName>
    <definedName name="W" localSheetId="23">#REF!</definedName>
    <definedName name="W" localSheetId="36">#REF!</definedName>
    <definedName name="W" localSheetId="22">#REF!</definedName>
    <definedName name="W" localSheetId="26">#REF!</definedName>
    <definedName name="W" localSheetId="30">#REF!</definedName>
    <definedName name="W" localSheetId="41">#REF!</definedName>
    <definedName name="W" localSheetId="50">#REF!</definedName>
    <definedName name="W" localSheetId="5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49">#REF!</definedName>
    <definedName name="W" localSheetId="52">#REF!</definedName>
    <definedName name="W" localSheetId="40">#REF!</definedName>
    <definedName name="W" localSheetId="39">#REF!</definedName>
    <definedName name="W" localSheetId="38">#REF!</definedName>
    <definedName name="W" localSheetId="37">#REF!</definedName>
    <definedName name="W" localSheetId="57">#REF!</definedName>
    <definedName name="W" localSheetId="66">#REF!</definedName>
    <definedName name="W" localSheetId="67">#REF!</definedName>
    <definedName name="W" localSheetId="58">#REF!</definedName>
    <definedName name="W" localSheetId="59">#REF!</definedName>
    <definedName name="W" localSheetId="60">#REF!</definedName>
    <definedName name="W" localSheetId="61">#REF!</definedName>
    <definedName name="W" localSheetId="62">#REF!</definedName>
    <definedName name="W" localSheetId="63">#REF!</definedName>
    <definedName name="W" localSheetId="64">#REF!</definedName>
    <definedName name="W" localSheetId="65">#REF!</definedName>
    <definedName name="W" localSheetId="68">#REF!</definedName>
    <definedName name="W" localSheetId="56">#REF!</definedName>
    <definedName name="W" localSheetId="55">#REF!</definedName>
    <definedName name="W" localSheetId="54">#REF!</definedName>
    <definedName name="W" localSheetId="53">#REF!</definedName>
    <definedName name="W" localSheetId="85">#REF!</definedName>
    <definedName name="W" localSheetId="86">#REF!</definedName>
    <definedName name="W" localSheetId="2">#REF!</definedName>
    <definedName name="W">#REF!</definedName>
    <definedName name="W_BEAM_GUARDRAIL">'[8]6'!$J$1763</definedName>
    <definedName name="W_BQ" localSheetId="3">#REF!</definedName>
    <definedName name="W_BQ" localSheetId="4">#REF!</definedName>
    <definedName name="W_BQ" localSheetId="38">#REF!</definedName>
    <definedName name="W_BQ" localSheetId="86">#REF!</definedName>
    <definedName name="W_BQ">#REF!</definedName>
    <definedName name="W_Jisseki_BQ" localSheetId="3">#REF!</definedName>
    <definedName name="W_Jisseki_BQ" localSheetId="4">#REF!</definedName>
    <definedName name="W_Jisseki_BQ" localSheetId="38">#REF!</definedName>
    <definedName name="W_Jisseki_BQ">#REF!</definedName>
    <definedName name="W_STR_CAT_KOTEI" localSheetId="3">#REF!</definedName>
    <definedName name="W_STR_CAT_KOTEI" localSheetId="4">#REF!</definedName>
    <definedName name="W_STR_CAT_KOTEI" localSheetId="38">#REF!</definedName>
    <definedName name="W_STR_CAT_KOTEI">#REF!</definedName>
    <definedName name="wall">#REF!</definedName>
    <definedName name="wb">'[20]10 ข้อมูลวัสดุ-ค่าดำเนิน'!$X$19</definedName>
    <definedName name="wbb">'[20]10 ข้อมูลวัสดุ-ค่าดำเนิน'!$X$19</definedName>
    <definedName name="WEARING_COURSE">'[8]4'!$J$88</definedName>
    <definedName name="WorkName">'[34]Backup Data'!$B$4</definedName>
    <definedName name="x" localSheetId="3" hidden="1">{"'SUMMATION'!$B$2:$I$2"}</definedName>
    <definedName name="x" localSheetId="4" hidden="1">{"'SUMMATION'!$B$2:$I$2"}</definedName>
    <definedName name="x" localSheetId="38" hidden="1">{"'SUMMATION'!$B$2:$I$2"}</definedName>
    <definedName name="x" localSheetId="86" hidden="1">{"'SUMMATION'!$B$2:$I$2"}</definedName>
    <definedName name="x" hidden="1">{"'SUMMATION'!$B$2:$I$2"}</definedName>
    <definedName name="zz" localSheetId="3">#REF!</definedName>
    <definedName name="zz" localSheetId="18">#REF!</definedName>
    <definedName name="zz" localSheetId="19">#REF!</definedName>
    <definedName name="zz" localSheetId="9">#REF!</definedName>
    <definedName name="zz" localSheetId="10">#REF!</definedName>
    <definedName name="zz" localSheetId="11">#REF!</definedName>
    <definedName name="zz" localSheetId="12">#REF!</definedName>
    <definedName name="zz" localSheetId="13">#REF!</definedName>
    <definedName name="zz" localSheetId="14">#REF!</definedName>
    <definedName name="zz" localSheetId="15">#REF!</definedName>
    <definedName name="zz" localSheetId="16">#REF!</definedName>
    <definedName name="zz" localSheetId="17">#REF!</definedName>
    <definedName name="zz" localSheetId="8">#REF!</definedName>
    <definedName name="zz" localSheetId="7">#REF!</definedName>
    <definedName name="zz" localSheetId="6">#REF!</definedName>
    <definedName name="zz" localSheetId="20">#REF!</definedName>
    <definedName name="zz" localSheetId="5">#REF!</definedName>
    <definedName name="zz" localSheetId="21">#REF!</definedName>
    <definedName name="zz" localSheetId="34">#REF!</definedName>
    <definedName name="zz" localSheetId="35">#REF!</definedName>
    <definedName name="zz" localSheetId="25">#REF!</definedName>
    <definedName name="zz" localSheetId="27">#REF!</definedName>
    <definedName name="zz" localSheetId="28">#REF!</definedName>
    <definedName name="zz" localSheetId="29">#REF!</definedName>
    <definedName name="zz" localSheetId="31">#REF!</definedName>
    <definedName name="zz" localSheetId="32">#REF!</definedName>
    <definedName name="zz" localSheetId="33">#REF!</definedName>
    <definedName name="zz" localSheetId="24">#REF!</definedName>
    <definedName name="zz" localSheetId="23">#REF!</definedName>
    <definedName name="zz" localSheetId="36">#REF!</definedName>
    <definedName name="zz" localSheetId="22">#REF!</definedName>
    <definedName name="zz" localSheetId="26">#REF!</definedName>
    <definedName name="zz" localSheetId="30">#REF!</definedName>
    <definedName name="zz" localSheetId="41">#REF!</definedName>
    <definedName name="zz" localSheetId="50">#REF!</definedName>
    <definedName name="zz" localSheetId="51">#REF!</definedName>
    <definedName name="zz" localSheetId="42">#REF!</definedName>
    <definedName name="zz" localSheetId="43">#REF!</definedName>
    <definedName name="zz" localSheetId="44">#REF!</definedName>
    <definedName name="zz" localSheetId="45">#REF!</definedName>
    <definedName name="zz" localSheetId="46">#REF!</definedName>
    <definedName name="zz" localSheetId="47">#REF!</definedName>
    <definedName name="zz" localSheetId="48">#REF!</definedName>
    <definedName name="zz" localSheetId="49">#REF!</definedName>
    <definedName name="zz" localSheetId="52">#REF!</definedName>
    <definedName name="zz" localSheetId="40">#REF!</definedName>
    <definedName name="zz" localSheetId="39">#REF!</definedName>
    <definedName name="zz" localSheetId="38">#REF!</definedName>
    <definedName name="zz" localSheetId="37">#REF!</definedName>
    <definedName name="zz" localSheetId="57">#REF!</definedName>
    <definedName name="zz" localSheetId="66">#REF!</definedName>
    <definedName name="zz" localSheetId="67">#REF!</definedName>
    <definedName name="zz" localSheetId="58">#REF!</definedName>
    <definedName name="zz" localSheetId="59">#REF!</definedName>
    <definedName name="zz" localSheetId="60">#REF!</definedName>
    <definedName name="zz" localSheetId="61">#REF!</definedName>
    <definedName name="zz" localSheetId="62">#REF!</definedName>
    <definedName name="zz" localSheetId="63">#REF!</definedName>
    <definedName name="zz" localSheetId="64">#REF!</definedName>
    <definedName name="zz" localSheetId="65">#REF!</definedName>
    <definedName name="zz" localSheetId="68">#REF!</definedName>
    <definedName name="zz" localSheetId="56">#REF!</definedName>
    <definedName name="zz" localSheetId="55">#REF!</definedName>
    <definedName name="zz" localSheetId="54">#REF!</definedName>
    <definedName name="zz" localSheetId="69">#REF!</definedName>
    <definedName name="zz" localSheetId="53">#REF!</definedName>
    <definedName name="zz" localSheetId="85">#REF!</definedName>
    <definedName name="zz" localSheetId="86">#REF!</definedName>
    <definedName name="zz" localSheetId="2">#REF!</definedName>
    <definedName name="zz">#REF!</definedName>
    <definedName name="เตยทะเล" localSheetId="3">#REF!</definedName>
    <definedName name="เตยทะเล" localSheetId="4">#REF!</definedName>
    <definedName name="เตยทะเล" localSheetId="18">#REF!</definedName>
    <definedName name="เตยทะเล" localSheetId="19">#REF!</definedName>
    <definedName name="เตยทะเล" localSheetId="9">#REF!</definedName>
    <definedName name="เตยทะเล" localSheetId="10">#REF!</definedName>
    <definedName name="เตยทะเล" localSheetId="11">#REF!</definedName>
    <definedName name="เตยทะเล" localSheetId="12">#REF!</definedName>
    <definedName name="เตยทะเล" localSheetId="13">#REF!</definedName>
    <definedName name="เตยทะเล" localSheetId="14">#REF!</definedName>
    <definedName name="เตยทะเล" localSheetId="15">#REF!</definedName>
    <definedName name="เตยทะเล" localSheetId="16">#REF!</definedName>
    <definedName name="เตยทะเล" localSheetId="17">#REF!</definedName>
    <definedName name="เตยทะเล" localSheetId="8">#REF!</definedName>
    <definedName name="เตยทะเล" localSheetId="7">#REF!</definedName>
    <definedName name="เตยทะเล" localSheetId="6">#REF!</definedName>
    <definedName name="เตยทะเล" localSheetId="20">#REF!</definedName>
    <definedName name="เตยทะเล" localSheetId="5">#REF!</definedName>
    <definedName name="เตยทะเล" localSheetId="21">#REF!</definedName>
    <definedName name="เตยทะเล" localSheetId="34">#REF!</definedName>
    <definedName name="เตยทะเล" localSheetId="35">#REF!</definedName>
    <definedName name="เตยทะเล" localSheetId="25">#REF!</definedName>
    <definedName name="เตยทะเล" localSheetId="27">#REF!</definedName>
    <definedName name="เตยทะเล" localSheetId="28">#REF!</definedName>
    <definedName name="เตยทะเล" localSheetId="29">#REF!</definedName>
    <definedName name="เตยทะเล" localSheetId="31">#REF!</definedName>
    <definedName name="เตยทะเล" localSheetId="32">#REF!</definedName>
    <definedName name="เตยทะเล" localSheetId="33">#REF!</definedName>
    <definedName name="เตยทะเล" localSheetId="24">#REF!</definedName>
    <definedName name="เตยทะเล" localSheetId="23">#REF!</definedName>
    <definedName name="เตยทะเล" localSheetId="36">#REF!</definedName>
    <definedName name="เตยทะเล" localSheetId="22">#REF!</definedName>
    <definedName name="เตยทะเล" localSheetId="26">#REF!</definedName>
    <definedName name="เตยทะเล" localSheetId="30">#REF!</definedName>
    <definedName name="เตยทะเล" localSheetId="85">#REF!</definedName>
    <definedName name="เตยทะเล" localSheetId="86">#REF!</definedName>
    <definedName name="เตยทะเล" localSheetId="2">#REF!</definedName>
    <definedName name="เตยทะเล">#REF!</definedName>
    <definedName name="เฟื่องฟ้าพุ่ม" localSheetId="3">#REF!</definedName>
    <definedName name="เฟื่องฟ้าพุ่ม" localSheetId="4">#REF!</definedName>
    <definedName name="เฟื่องฟ้าพุ่ม" localSheetId="85">#REF!</definedName>
    <definedName name="เฟื่องฟ้าพุ่ม" localSheetId="86">#REF!</definedName>
    <definedName name="เฟื่องฟ้าพุ่ม" localSheetId="2">#REF!</definedName>
    <definedName name="เฟื่องฟ้าพุ่ม">#REF!</definedName>
    <definedName name="เรือ_ขนเหล็ก" localSheetId="3">#REF!</definedName>
    <definedName name="เรือ_ขนเหล็ก" localSheetId="2">#REF!</definedName>
    <definedName name="เรือ_ขนเหล็ก">#REF!</definedName>
    <definedName name="เรือ_ขนคอนกรีต" localSheetId="3">#REF!</definedName>
    <definedName name="เรือ_ขนคอนกรีต" localSheetId="4">#REF!</definedName>
    <definedName name="เรือ_ขนคอนกรีต" localSheetId="86">#REF!</definedName>
    <definedName name="เรือ_ขนคอนกรีต" localSheetId="2">#REF!</definedName>
    <definedName name="เรือ_ขนคอนกรีต">#REF!</definedName>
    <definedName name="เรือ_ขนดิน" localSheetId="3">#REF!</definedName>
    <definedName name="เรือ_ขนดิน" localSheetId="86">#REF!</definedName>
    <definedName name="เรือ_ขนดิน" localSheetId="2">#REF!</definedName>
    <definedName name="เรือ_ขนดิน">#REF!</definedName>
    <definedName name="เรือ_ขนต้นไม้" localSheetId="3">#REF!</definedName>
    <definedName name="เรือ_ขนต้นไม้" localSheetId="86">#REF!</definedName>
    <definedName name="เรือ_ขนต้นไม้" localSheetId="2">#REF!</definedName>
    <definedName name="เรือ_ขนต้นไม้">#REF!</definedName>
    <definedName name="เรือ_ขนทราย" localSheetId="3">#REF!</definedName>
    <definedName name="เรือ_ขนทราย" localSheetId="2">#REF!</definedName>
    <definedName name="เรือ_ขนทราย">#REF!</definedName>
    <definedName name="เรือ_ขนท่อระบายน้ำ" localSheetId="3">#REF!</definedName>
    <definedName name="เรือ_ขนท่อระบายน้ำ" localSheetId="2">#REF!</definedName>
    <definedName name="เรือ_ขนท่อระบายน้ำ">#REF!</definedName>
    <definedName name="เรือ_ขนปูน" localSheetId="3">#REF!</definedName>
    <definedName name="เรือ_ขนปูน" localSheetId="2">#REF!</definedName>
    <definedName name="เรือ_ขนปูน">#REF!</definedName>
    <definedName name="เรือ_ขนยางมะตอย" localSheetId="3">#REF!</definedName>
    <definedName name="เรือ_ขนยางมะตอย" localSheetId="2">#REF!</definedName>
    <definedName name="เรือ_ขนยางมะตอย">#REF!</definedName>
    <definedName name="เรือ_ขนวัสดุไฟฟ้า" localSheetId="3">#REF!</definedName>
    <definedName name="เรือ_ขนวัสดุไฟฟ้า" localSheetId="2">#REF!</definedName>
    <definedName name="เรือ_ขนวัสดุไฟฟ้า">#REF!</definedName>
    <definedName name="เรือ_ขนวัสดุทางสถาปัตยกรรม" localSheetId="3">#REF!</definedName>
    <definedName name="เรือ_ขนวัสดุทางสถาปัตยกรรม" localSheetId="2">#REF!</definedName>
    <definedName name="เรือ_ขนวัสดุทางสถาปัตยกรรม">#REF!</definedName>
    <definedName name="เรือ_ขนวัสดุสุขาภิบาล" localSheetId="3">#REF!</definedName>
    <definedName name="เรือ_ขนวัสดุสุขาภิบาล" localSheetId="2">#REF!</definedName>
    <definedName name="เรือ_ขนวัสดุสุขาภิบาล">#REF!</definedName>
    <definedName name="เสาเข็มไม้_5" localSheetId="3">#REF!</definedName>
    <definedName name="เสาเข็มไม้_5" localSheetId="2">#REF!</definedName>
    <definedName name="เสาเข็มไม้_5">#REF!</definedName>
    <definedName name="เสาเข็มไม้_5ไม่รวมขนส่ง" localSheetId="3">#REF!</definedName>
    <definedName name="เสาเข็มไม้_5ไม่รวมขนส่ง" localSheetId="2">#REF!</definedName>
    <definedName name="เสาเข็มไม้_5ไม่รวมขนส่ง">#REF!</definedName>
    <definedName name="เสาเข็มไม้_6" localSheetId="3">#REF!</definedName>
    <definedName name="เสาเข็มไม้_6" localSheetId="2">#REF!</definedName>
    <definedName name="เสาเข็มไม้_6">#REF!</definedName>
    <definedName name="เสาเข็มไม้_6ไม่รวมขนส่ง" localSheetId="3">#REF!</definedName>
    <definedName name="เสาเข็มไม้_6ไม่รวมขนส่ง" localSheetId="2">#REF!</definedName>
    <definedName name="เสาเข็มไม้_6ไม่รวมขนส่ง">#REF!</definedName>
    <definedName name="เสาเอ็น0.10x0.10m." localSheetId="3">#REF!</definedName>
    <definedName name="เสาเอ็น0.10x0.10m." localSheetId="2">#REF!</definedName>
    <definedName name="เสาเอ็น0.10x0.10m.">#REF!</definedName>
    <definedName name="เสาเอ็น0.1x0.2m." localSheetId="3">#REF!</definedName>
    <definedName name="เสาเอ็น0.1x0.2m." localSheetId="2">#REF!</definedName>
    <definedName name="เสาเอ็น0.1x0.2m.">#REF!</definedName>
    <definedName name="เหล็ก" localSheetId="3">#REF!</definedName>
    <definedName name="เหล็ก" localSheetId="2">#REF!</definedName>
    <definedName name="เหล็ก">#REF!</definedName>
    <definedName name="แบบ" localSheetId="3">#REF!</definedName>
    <definedName name="แบบ" localSheetId="2">#REF!</definedName>
    <definedName name="แบบ">#REF!</definedName>
    <definedName name="แหล่งเหล็ก" localSheetId="3">#REF!</definedName>
    <definedName name="แหล่งเหล็ก" localSheetId="2">#REF!</definedName>
    <definedName name="แหล่งเหล็ก">#REF!</definedName>
    <definedName name="แหล่งคอนกรีต" localSheetId="3">#REF!</definedName>
    <definedName name="แหล่งคอนกรีต" localSheetId="2">#REF!</definedName>
    <definedName name="แหล่งคอนกรีต">#REF!</definedName>
    <definedName name="แหล่งดิน" localSheetId="3">#REF!</definedName>
    <definedName name="แหล่งดิน" localSheetId="2">#REF!</definedName>
    <definedName name="แหล่งดิน">#REF!</definedName>
    <definedName name="แหล่งทราย" localSheetId="3">#REF!</definedName>
    <definedName name="แหล่งทราย" localSheetId="2">#REF!</definedName>
    <definedName name="แหล่งทราย">#REF!</definedName>
    <definedName name="แหล่งท่อ" localSheetId="3">#REF!</definedName>
    <definedName name="แหล่งท่อ" localSheetId="2">#REF!</definedName>
    <definedName name="แหล่งท่อ">#REF!</definedName>
    <definedName name="แหล่งปูน" localSheetId="3">#REF!</definedName>
    <definedName name="แหล่งปูน" localSheetId="2">#REF!</definedName>
    <definedName name="แหล่งปูน">#REF!</definedName>
    <definedName name="แหล่งยางมะตอย" localSheetId="3">#REF!</definedName>
    <definedName name="แหล่งยางมะตอย" localSheetId="2">#REF!</definedName>
    <definedName name="แหล่งยางมะตอย">#REF!</definedName>
    <definedName name="แหล่งหิน" localSheetId="3">#REF!</definedName>
    <definedName name="แหล่งหิน" localSheetId="2">#REF!</definedName>
    <definedName name="แหล่งหิน">#REF!</definedName>
    <definedName name="แหล่งอื่นๆ_ตัน" localSheetId="3">#REF!</definedName>
    <definedName name="แหล่งอื่นๆ_ตัน" localSheetId="2">#REF!</definedName>
    <definedName name="แหล่งอื่นๆ_ตัน">#REF!</definedName>
    <definedName name="แหล่งอื่นๆ_ลบม" localSheetId="3">#REF!</definedName>
    <definedName name="แหล่งอื่นๆ_ลบม" localSheetId="2">#REF!</definedName>
    <definedName name="แหล่งอื่นๆ_ลบม">#REF!</definedName>
    <definedName name="ใช่" localSheetId="3">#REF!</definedName>
    <definedName name="ใช่" localSheetId="4">#REF!</definedName>
    <definedName name="ใช่" localSheetId="86">#REF!</definedName>
    <definedName name="ใช่">#REF!</definedName>
    <definedName name="ไม้เคร่า" localSheetId="3">#REF!</definedName>
    <definedName name="ไม้เคร่า" localSheetId="2">#REF!</definedName>
    <definedName name="ไม้เคร่า">#REF!</definedName>
    <definedName name="ไม้เคร่าไม่รวมขนส่ง" localSheetId="3">#REF!</definedName>
    <definedName name="ไม้เคร่าไม่รวมขนส่ง" localSheetId="2">#REF!</definedName>
    <definedName name="ไม้เคร่าไม่รวมขนส่ง">#REF!</definedName>
    <definedName name="ไม้เนื้อแข็ง" localSheetId="3">#REF!</definedName>
    <definedName name="ไม้เนื้อแข็ง" localSheetId="2">#REF!</definedName>
    <definedName name="ไม้เนื้อแข็ง">#REF!</definedName>
    <definedName name="ไม้เนื้อแข็งไม่รวมขนส่ง" localSheetId="3">#REF!</definedName>
    <definedName name="ไม้เนื้อแข็งไม่รวมขนส่ง" localSheetId="2">#REF!</definedName>
    <definedName name="ไม้เนื้อแข็งไม่รวมขนส่ง">#REF!</definedName>
    <definedName name="ไม้แบบ">[12]ราคาวัสดุ!$F$40</definedName>
    <definedName name="ไม้แบบ1" localSheetId="3">#REF!</definedName>
    <definedName name="ไม้แบบ1" localSheetId="4">#REF!</definedName>
    <definedName name="ไม้แบบ1" localSheetId="18">#REF!</definedName>
    <definedName name="ไม้แบบ1" localSheetId="19">#REF!</definedName>
    <definedName name="ไม้แบบ1" localSheetId="9">#REF!</definedName>
    <definedName name="ไม้แบบ1" localSheetId="10">#REF!</definedName>
    <definedName name="ไม้แบบ1" localSheetId="11">#REF!</definedName>
    <definedName name="ไม้แบบ1" localSheetId="12">#REF!</definedName>
    <definedName name="ไม้แบบ1" localSheetId="13">#REF!</definedName>
    <definedName name="ไม้แบบ1" localSheetId="14">#REF!</definedName>
    <definedName name="ไม้แบบ1" localSheetId="15">#REF!</definedName>
    <definedName name="ไม้แบบ1" localSheetId="16">#REF!</definedName>
    <definedName name="ไม้แบบ1" localSheetId="17">#REF!</definedName>
    <definedName name="ไม้แบบ1" localSheetId="8">#REF!</definedName>
    <definedName name="ไม้แบบ1" localSheetId="7">#REF!</definedName>
    <definedName name="ไม้แบบ1" localSheetId="6">#REF!</definedName>
    <definedName name="ไม้แบบ1" localSheetId="20">#REF!</definedName>
    <definedName name="ไม้แบบ1" localSheetId="5">#REF!</definedName>
    <definedName name="ไม้แบบ1" localSheetId="21">#REF!</definedName>
    <definedName name="ไม้แบบ1" localSheetId="34">#REF!</definedName>
    <definedName name="ไม้แบบ1" localSheetId="35">#REF!</definedName>
    <definedName name="ไม้แบบ1" localSheetId="25">#REF!</definedName>
    <definedName name="ไม้แบบ1" localSheetId="27">#REF!</definedName>
    <definedName name="ไม้แบบ1" localSheetId="28">#REF!</definedName>
    <definedName name="ไม้แบบ1" localSheetId="29">#REF!</definedName>
    <definedName name="ไม้แบบ1" localSheetId="31">#REF!</definedName>
    <definedName name="ไม้แบบ1" localSheetId="32">#REF!</definedName>
    <definedName name="ไม้แบบ1" localSheetId="33">#REF!</definedName>
    <definedName name="ไม้แบบ1" localSheetId="24">#REF!</definedName>
    <definedName name="ไม้แบบ1" localSheetId="23">#REF!</definedName>
    <definedName name="ไม้แบบ1" localSheetId="36">#REF!</definedName>
    <definedName name="ไม้แบบ1" localSheetId="22">#REF!</definedName>
    <definedName name="ไม้แบบ1" localSheetId="26">#REF!</definedName>
    <definedName name="ไม้แบบ1" localSheetId="30">#REF!</definedName>
    <definedName name="ไม้แบบ1" localSheetId="41">#REF!</definedName>
    <definedName name="ไม้แบบ1" localSheetId="50">#REF!</definedName>
    <definedName name="ไม้แบบ1" localSheetId="51">#REF!</definedName>
    <definedName name="ไม้แบบ1" localSheetId="42">#REF!</definedName>
    <definedName name="ไม้แบบ1" localSheetId="43">#REF!</definedName>
    <definedName name="ไม้แบบ1" localSheetId="44">#REF!</definedName>
    <definedName name="ไม้แบบ1" localSheetId="45">#REF!</definedName>
    <definedName name="ไม้แบบ1" localSheetId="46">#REF!</definedName>
    <definedName name="ไม้แบบ1" localSheetId="47">#REF!</definedName>
    <definedName name="ไม้แบบ1" localSheetId="48">#REF!</definedName>
    <definedName name="ไม้แบบ1" localSheetId="49">#REF!</definedName>
    <definedName name="ไม้แบบ1" localSheetId="52">#REF!</definedName>
    <definedName name="ไม้แบบ1" localSheetId="40">#REF!</definedName>
    <definedName name="ไม้แบบ1" localSheetId="39">#REF!</definedName>
    <definedName name="ไม้แบบ1" localSheetId="38">#REF!</definedName>
    <definedName name="ไม้แบบ1" localSheetId="37">#REF!</definedName>
    <definedName name="ไม้แบบ1" localSheetId="57">#REF!</definedName>
    <definedName name="ไม้แบบ1" localSheetId="66">#REF!</definedName>
    <definedName name="ไม้แบบ1" localSheetId="67">#REF!</definedName>
    <definedName name="ไม้แบบ1" localSheetId="58">#REF!</definedName>
    <definedName name="ไม้แบบ1" localSheetId="59">#REF!</definedName>
    <definedName name="ไม้แบบ1" localSheetId="60">#REF!</definedName>
    <definedName name="ไม้แบบ1" localSheetId="61">#REF!</definedName>
    <definedName name="ไม้แบบ1" localSheetId="62">#REF!</definedName>
    <definedName name="ไม้แบบ1" localSheetId="63">#REF!</definedName>
    <definedName name="ไม้แบบ1" localSheetId="64">#REF!</definedName>
    <definedName name="ไม้แบบ1" localSheetId="65">#REF!</definedName>
    <definedName name="ไม้แบบ1" localSheetId="68">#REF!</definedName>
    <definedName name="ไม้แบบ1" localSheetId="56">#REF!</definedName>
    <definedName name="ไม้แบบ1" localSheetId="55">#REF!</definedName>
    <definedName name="ไม้แบบ1" localSheetId="54">#REF!</definedName>
    <definedName name="ไม้แบบ1" localSheetId="69">#REF!</definedName>
    <definedName name="ไม้แบบ1" localSheetId="53">#REF!</definedName>
    <definedName name="ไม้แบบ1" localSheetId="85">#REF!</definedName>
    <definedName name="ไม้แบบ1" localSheetId="86">#REF!</definedName>
    <definedName name="ไม้แบบ1" localSheetId="2">#REF!</definedName>
    <definedName name="ไม้แบบ1">#REF!</definedName>
    <definedName name="ไม้แบบ2" localSheetId="3">#REF!</definedName>
    <definedName name="ไม้แบบ2" localSheetId="4">#REF!</definedName>
    <definedName name="ไม้แบบ2" localSheetId="18">#REF!</definedName>
    <definedName name="ไม้แบบ2" localSheetId="19">#REF!</definedName>
    <definedName name="ไม้แบบ2" localSheetId="9">#REF!</definedName>
    <definedName name="ไม้แบบ2" localSheetId="10">#REF!</definedName>
    <definedName name="ไม้แบบ2" localSheetId="11">#REF!</definedName>
    <definedName name="ไม้แบบ2" localSheetId="12">#REF!</definedName>
    <definedName name="ไม้แบบ2" localSheetId="13">#REF!</definedName>
    <definedName name="ไม้แบบ2" localSheetId="14">#REF!</definedName>
    <definedName name="ไม้แบบ2" localSheetId="15">#REF!</definedName>
    <definedName name="ไม้แบบ2" localSheetId="16">#REF!</definedName>
    <definedName name="ไม้แบบ2" localSheetId="17">#REF!</definedName>
    <definedName name="ไม้แบบ2" localSheetId="8">#REF!</definedName>
    <definedName name="ไม้แบบ2" localSheetId="7">#REF!</definedName>
    <definedName name="ไม้แบบ2" localSheetId="6">#REF!</definedName>
    <definedName name="ไม้แบบ2" localSheetId="20">#REF!</definedName>
    <definedName name="ไม้แบบ2" localSheetId="5">#REF!</definedName>
    <definedName name="ไม้แบบ2" localSheetId="21">#REF!</definedName>
    <definedName name="ไม้แบบ2" localSheetId="34">#REF!</definedName>
    <definedName name="ไม้แบบ2" localSheetId="35">#REF!</definedName>
    <definedName name="ไม้แบบ2" localSheetId="25">#REF!</definedName>
    <definedName name="ไม้แบบ2" localSheetId="27">#REF!</definedName>
    <definedName name="ไม้แบบ2" localSheetId="28">#REF!</definedName>
    <definedName name="ไม้แบบ2" localSheetId="29">#REF!</definedName>
    <definedName name="ไม้แบบ2" localSheetId="31">#REF!</definedName>
    <definedName name="ไม้แบบ2" localSheetId="32">#REF!</definedName>
    <definedName name="ไม้แบบ2" localSheetId="33">#REF!</definedName>
    <definedName name="ไม้แบบ2" localSheetId="24">#REF!</definedName>
    <definedName name="ไม้แบบ2" localSheetId="23">#REF!</definedName>
    <definedName name="ไม้แบบ2" localSheetId="36">#REF!</definedName>
    <definedName name="ไม้แบบ2" localSheetId="22">#REF!</definedName>
    <definedName name="ไม้แบบ2" localSheetId="26">#REF!</definedName>
    <definedName name="ไม้แบบ2" localSheetId="30">#REF!</definedName>
    <definedName name="ไม้แบบ2" localSheetId="85">#REF!</definedName>
    <definedName name="ไม้แบบ2" localSheetId="86">#REF!</definedName>
    <definedName name="ไม้แบบ2" localSheetId="2">#REF!</definedName>
    <definedName name="ไม้แบบ2">#REF!</definedName>
    <definedName name="ไม้แบบ50เปอร์เซนต์" localSheetId="3">#REF!</definedName>
    <definedName name="ไม้แบบ50เปอร์เซนต์" localSheetId="4">#REF!</definedName>
    <definedName name="ไม้แบบ50เปอร์เซนต์" localSheetId="85">#REF!</definedName>
    <definedName name="ไม้แบบ50เปอร์เซนต์" localSheetId="86">#REF!</definedName>
    <definedName name="ไม้แบบ50เปอร์เซนต์" localSheetId="2">#REF!</definedName>
    <definedName name="ไม้แบบ50เปอร์เซนต์">#REF!</definedName>
    <definedName name="ไม้แบบ60เปอร์เซ็นต์" localSheetId="3">#REF!</definedName>
    <definedName name="ไม้แบบ60เปอร์เซ็นต์" localSheetId="2">#REF!</definedName>
    <definedName name="ไม้แบบ60เปอร์เซ็นต์">#REF!</definedName>
    <definedName name="ไม้แบบ70เปอร์เซ็นต์" localSheetId="3">#REF!</definedName>
    <definedName name="ไม้แบบ70เปอร์เซ็นต์" localSheetId="2">#REF!</definedName>
    <definedName name="ไม้แบบ70เปอร์เซ็นต์">#REF!</definedName>
    <definedName name="ไม้แบบ80เปอร์เซ็นต์" localSheetId="3">#REF!</definedName>
    <definedName name="ไม้แบบ80เปอร์เซ็นต์" localSheetId="2">#REF!</definedName>
    <definedName name="ไม้แบบ80เปอร์เซ็นต์">#REF!</definedName>
    <definedName name="ไม้แบบไม่รวมขนส่ง" localSheetId="3">#REF!</definedName>
    <definedName name="ไม้แบบไม่รวมขนส่ง" localSheetId="2">#REF!</definedName>
    <definedName name="ไม้แบบไม่รวมขนส่ง">#REF!</definedName>
    <definedName name="ไม้คิ้ว" localSheetId="3">#REF!</definedName>
    <definedName name="ไม้คิ้ว" localSheetId="2">#REF!</definedName>
    <definedName name="ไม้คิ้ว">#REF!</definedName>
    <definedName name="ไม้คิ้วไม่รวมขนส่ง" localSheetId="3">#REF!</definedName>
    <definedName name="ไม้คิ้วไม่รวมขนส่ง" localSheetId="2">#REF!</definedName>
    <definedName name="ไม้คิ้วไม่รวมขนส่ง">#REF!</definedName>
    <definedName name="ก" localSheetId="3">#REF!</definedName>
    <definedName name="ก" localSheetId="86">#REF!</definedName>
    <definedName name="ก" localSheetId="2">#REF!</definedName>
    <definedName name="ก">#REF!</definedName>
    <definedName name="กกกกก">#REF!</definedName>
    <definedName name="ก่ออิฐมอญเต็มแผ่น" localSheetId="3">#REF!</definedName>
    <definedName name="ก่ออิฐมอญเต็มแผ่น" localSheetId="2">#REF!</definedName>
    <definedName name="ก่ออิฐมอญเต็มแผ่น">#REF!</definedName>
    <definedName name="ก่ออิฐมอญครึ่งแผ่น" localSheetId="3">#REF!</definedName>
    <definedName name="ก่ออิฐมอญครึ่งแผ่น" localSheetId="86">#REF!</definedName>
    <definedName name="ก่ออิฐมอญครึ่งแผ่น" localSheetId="2">#REF!</definedName>
    <definedName name="ก่ออิฐมอญครึ่งแผ่น">#REF!</definedName>
    <definedName name="กาบหอยแครงแคระ" localSheetId="3">#REF!</definedName>
    <definedName name="กาบหอยแครงแคระ" localSheetId="2">#REF!</definedName>
    <definedName name="กาบหอยแครงแคระ">#REF!</definedName>
    <definedName name="กาบหอยแครงแคระ_" localSheetId="3">'[45]หมวด 10'!#REF!</definedName>
    <definedName name="กาบหอยแครงแคระ_" localSheetId="2">'[45]หมวด 10'!#REF!</definedName>
    <definedName name="กาบหอยแครงแคระ_">'[45]หมวด 10'!#REF!</definedName>
    <definedName name="ขนส่งเหล็ก" localSheetId="3">#REF!</definedName>
    <definedName name="ขนส่งเหล็ก" localSheetId="18">#REF!</definedName>
    <definedName name="ขนส่งเหล็ก" localSheetId="19">#REF!</definedName>
    <definedName name="ขนส่งเหล็ก" localSheetId="9">#REF!</definedName>
    <definedName name="ขนส่งเหล็ก" localSheetId="10">#REF!</definedName>
    <definedName name="ขนส่งเหล็ก" localSheetId="11">#REF!</definedName>
    <definedName name="ขนส่งเหล็ก" localSheetId="12">#REF!</definedName>
    <definedName name="ขนส่งเหล็ก" localSheetId="13">#REF!</definedName>
    <definedName name="ขนส่งเหล็ก" localSheetId="14">#REF!</definedName>
    <definedName name="ขนส่งเหล็ก" localSheetId="15">#REF!</definedName>
    <definedName name="ขนส่งเหล็ก" localSheetId="16">#REF!</definedName>
    <definedName name="ขนส่งเหล็ก" localSheetId="17">#REF!</definedName>
    <definedName name="ขนส่งเหล็ก" localSheetId="8">#REF!</definedName>
    <definedName name="ขนส่งเหล็ก" localSheetId="7">#REF!</definedName>
    <definedName name="ขนส่งเหล็ก" localSheetId="6">#REF!</definedName>
    <definedName name="ขนส่งเหล็ก" localSheetId="20">#REF!</definedName>
    <definedName name="ขนส่งเหล็ก" localSheetId="5">#REF!</definedName>
    <definedName name="ขนส่งเหล็ก" localSheetId="21">#REF!</definedName>
    <definedName name="ขนส่งเหล็ก" localSheetId="34">#REF!</definedName>
    <definedName name="ขนส่งเหล็ก" localSheetId="35">#REF!</definedName>
    <definedName name="ขนส่งเหล็ก" localSheetId="25">#REF!</definedName>
    <definedName name="ขนส่งเหล็ก" localSheetId="27">#REF!</definedName>
    <definedName name="ขนส่งเหล็ก" localSheetId="28">#REF!</definedName>
    <definedName name="ขนส่งเหล็ก" localSheetId="29">#REF!</definedName>
    <definedName name="ขนส่งเหล็ก" localSheetId="31">#REF!</definedName>
    <definedName name="ขนส่งเหล็ก" localSheetId="32">#REF!</definedName>
    <definedName name="ขนส่งเหล็ก" localSheetId="33">#REF!</definedName>
    <definedName name="ขนส่งเหล็ก" localSheetId="24">#REF!</definedName>
    <definedName name="ขนส่งเหล็ก" localSheetId="23">#REF!</definedName>
    <definedName name="ขนส่งเหล็ก" localSheetId="36">#REF!</definedName>
    <definedName name="ขนส่งเหล็ก" localSheetId="22">#REF!</definedName>
    <definedName name="ขนส่งเหล็ก" localSheetId="26">#REF!</definedName>
    <definedName name="ขนส่งเหล็ก" localSheetId="30">#REF!</definedName>
    <definedName name="ขนส่งเหล็ก" localSheetId="41">#REF!</definedName>
    <definedName name="ขนส่งเหล็ก" localSheetId="50">#REF!</definedName>
    <definedName name="ขนส่งเหล็ก" localSheetId="51">#REF!</definedName>
    <definedName name="ขนส่งเหล็ก" localSheetId="42">#REF!</definedName>
    <definedName name="ขนส่งเหล็ก" localSheetId="43">#REF!</definedName>
    <definedName name="ขนส่งเหล็ก" localSheetId="44">#REF!</definedName>
    <definedName name="ขนส่งเหล็ก" localSheetId="45">#REF!</definedName>
    <definedName name="ขนส่งเหล็ก" localSheetId="46">#REF!</definedName>
    <definedName name="ขนส่งเหล็ก" localSheetId="47">#REF!</definedName>
    <definedName name="ขนส่งเหล็ก" localSheetId="48">#REF!</definedName>
    <definedName name="ขนส่งเหล็ก" localSheetId="49">#REF!</definedName>
    <definedName name="ขนส่งเหล็ก" localSheetId="52">#REF!</definedName>
    <definedName name="ขนส่งเหล็ก" localSheetId="40">#REF!</definedName>
    <definedName name="ขนส่งเหล็ก" localSheetId="39">#REF!</definedName>
    <definedName name="ขนส่งเหล็ก" localSheetId="38">#REF!</definedName>
    <definedName name="ขนส่งเหล็ก" localSheetId="37">#REF!</definedName>
    <definedName name="ขนส่งเหล็ก" localSheetId="57">#REF!</definedName>
    <definedName name="ขนส่งเหล็ก" localSheetId="66">#REF!</definedName>
    <definedName name="ขนส่งเหล็ก" localSheetId="67">#REF!</definedName>
    <definedName name="ขนส่งเหล็ก" localSheetId="58">#REF!</definedName>
    <definedName name="ขนส่งเหล็ก" localSheetId="59">#REF!</definedName>
    <definedName name="ขนส่งเหล็ก" localSheetId="60">#REF!</definedName>
    <definedName name="ขนส่งเหล็ก" localSheetId="61">#REF!</definedName>
    <definedName name="ขนส่งเหล็ก" localSheetId="62">#REF!</definedName>
    <definedName name="ขนส่งเหล็ก" localSheetId="63">#REF!</definedName>
    <definedName name="ขนส่งเหล็ก" localSheetId="64">#REF!</definedName>
    <definedName name="ขนส่งเหล็ก" localSheetId="65">#REF!</definedName>
    <definedName name="ขนส่งเหล็ก" localSheetId="68">#REF!</definedName>
    <definedName name="ขนส่งเหล็ก" localSheetId="56">#REF!</definedName>
    <definedName name="ขนส่งเหล็ก" localSheetId="55">#REF!</definedName>
    <definedName name="ขนส่งเหล็ก" localSheetId="54">#REF!</definedName>
    <definedName name="ขนส่งเหล็ก" localSheetId="69">#REF!</definedName>
    <definedName name="ขนส่งเหล็ก" localSheetId="53">#REF!</definedName>
    <definedName name="ขนส่งเหล็ก" localSheetId="85">#REF!</definedName>
    <definedName name="ขนส่งเหล็ก" localSheetId="86">#REF!</definedName>
    <definedName name="ขนส่งเหล็ก" localSheetId="2">#REF!</definedName>
    <definedName name="ขนส่งเหล็ก">#REF!</definedName>
    <definedName name="ขนส่งแอสฟัลต์" localSheetId="3">#REF!</definedName>
    <definedName name="ขนส่งแอสฟัลต์" localSheetId="18">#REF!</definedName>
    <definedName name="ขนส่งแอสฟัลต์" localSheetId="19">#REF!</definedName>
    <definedName name="ขนส่งแอสฟัลต์" localSheetId="9">#REF!</definedName>
    <definedName name="ขนส่งแอสฟัลต์" localSheetId="10">#REF!</definedName>
    <definedName name="ขนส่งแอสฟัลต์" localSheetId="11">#REF!</definedName>
    <definedName name="ขนส่งแอสฟัลต์" localSheetId="12">#REF!</definedName>
    <definedName name="ขนส่งแอสฟัลต์" localSheetId="13">#REF!</definedName>
    <definedName name="ขนส่งแอสฟัลต์" localSheetId="14">#REF!</definedName>
    <definedName name="ขนส่งแอสฟัลต์" localSheetId="15">#REF!</definedName>
    <definedName name="ขนส่งแอสฟัลต์" localSheetId="16">#REF!</definedName>
    <definedName name="ขนส่งแอสฟัลต์" localSheetId="17">#REF!</definedName>
    <definedName name="ขนส่งแอสฟัลต์" localSheetId="8">#REF!</definedName>
    <definedName name="ขนส่งแอสฟัลต์" localSheetId="7">#REF!</definedName>
    <definedName name="ขนส่งแอสฟัลต์" localSheetId="6">#REF!</definedName>
    <definedName name="ขนส่งแอสฟัลต์" localSheetId="20">#REF!</definedName>
    <definedName name="ขนส่งแอสฟัลต์" localSheetId="5">#REF!</definedName>
    <definedName name="ขนส่งแอสฟัลต์" localSheetId="21">#REF!</definedName>
    <definedName name="ขนส่งแอสฟัลต์" localSheetId="34">#REF!</definedName>
    <definedName name="ขนส่งแอสฟัลต์" localSheetId="35">#REF!</definedName>
    <definedName name="ขนส่งแอสฟัลต์" localSheetId="25">#REF!</definedName>
    <definedName name="ขนส่งแอสฟัลต์" localSheetId="27">#REF!</definedName>
    <definedName name="ขนส่งแอสฟัลต์" localSheetId="28">#REF!</definedName>
    <definedName name="ขนส่งแอสฟัลต์" localSheetId="29">#REF!</definedName>
    <definedName name="ขนส่งแอสฟัลต์" localSheetId="31">#REF!</definedName>
    <definedName name="ขนส่งแอสฟัลต์" localSheetId="32">#REF!</definedName>
    <definedName name="ขนส่งแอสฟัลต์" localSheetId="33">#REF!</definedName>
    <definedName name="ขนส่งแอสฟัลต์" localSheetId="24">#REF!</definedName>
    <definedName name="ขนส่งแอสฟัลต์" localSheetId="23">#REF!</definedName>
    <definedName name="ขนส่งแอสฟัลต์" localSheetId="36">#REF!</definedName>
    <definedName name="ขนส่งแอสฟัลต์" localSheetId="22">#REF!</definedName>
    <definedName name="ขนส่งแอสฟัลต์" localSheetId="26">#REF!</definedName>
    <definedName name="ขนส่งแอสฟัลต์" localSheetId="30">#REF!</definedName>
    <definedName name="ขนส่งแอสฟัลต์" localSheetId="85">#REF!</definedName>
    <definedName name="ขนส่งแอสฟัลต์" localSheetId="86">#REF!</definedName>
    <definedName name="ขนส่งแอสฟัลต์" localSheetId="2">#REF!</definedName>
    <definedName name="ขนส่งแอสฟัลต์">#REF!</definedName>
    <definedName name="ขนส่งคอนกรีต" localSheetId="3">#REF!</definedName>
    <definedName name="ขนส่งคอนกรีต" localSheetId="4">#REF!</definedName>
    <definedName name="ขนส่งคอนกรีต" localSheetId="85">#REF!</definedName>
    <definedName name="ขนส่งคอนกรีต" localSheetId="86">#REF!</definedName>
    <definedName name="ขนส่งคอนกรีต" localSheetId="2">#REF!</definedName>
    <definedName name="ขนส่งคอนกรีต">#REF!</definedName>
    <definedName name="ขนส่งทราย" localSheetId="3">#REF!</definedName>
    <definedName name="ขนส่งทราย" localSheetId="4">#REF!</definedName>
    <definedName name="ขนส่งทราย" localSheetId="86">#REF!</definedName>
    <definedName name="ขนส่งทราย" localSheetId="2">#REF!</definedName>
    <definedName name="ขนส่งทราย">#REF!</definedName>
    <definedName name="ขนส่งปูนซีเมนต์" localSheetId="3">#REF!</definedName>
    <definedName name="ขนส่งปูนซีเมนต์" localSheetId="4">#REF!</definedName>
    <definedName name="ขนส่งปูนซีเมนต์" localSheetId="86">#REF!</definedName>
    <definedName name="ขนส่งปูนซีเมนต์" localSheetId="2">#REF!</definedName>
    <definedName name="ขนส่งปูนซีเมนต์">#REF!</definedName>
    <definedName name="ขนส่งลูกรัง" localSheetId="3">#REF!</definedName>
    <definedName name="ขนส่งลูกรัง" localSheetId="2">#REF!</definedName>
    <definedName name="ขนส่งลูกรัง">#REF!</definedName>
    <definedName name="ขนส่งวัสดุในที่ก่อสร้าง_10ล้อ" localSheetId="3">#REF!</definedName>
    <definedName name="ขนส่งวัสดุในที่ก่อสร้าง_10ล้อ" localSheetId="2">#REF!</definedName>
    <definedName name="ขนส่งวัสดุในที่ก่อสร้าง_10ล้อ">#REF!</definedName>
    <definedName name="ขนส่งส่วนกลาง_10ล้อ" localSheetId="3">#REF!</definedName>
    <definedName name="ขนส่งส่วนกลาง_10ล้อ" localSheetId="2">#REF!</definedName>
    <definedName name="ขนส่งส่วนกลาง_10ล้อ">#REF!</definedName>
    <definedName name="ขนส่งส่วนกลาง_รถพ่วง" localSheetId="3">#REF!</definedName>
    <definedName name="ขนส่งส่วนกลาง_รถพ่วง" localSheetId="2">#REF!</definedName>
    <definedName name="ขนส่งส่วนกลาง_รถพ่วง">#REF!</definedName>
    <definedName name="ขนส่งหิน" localSheetId="3">#REF!</definedName>
    <definedName name="ขนส่งหิน" localSheetId="2">#REF!</definedName>
    <definedName name="ขนส่งหิน">#REF!</definedName>
    <definedName name="ขนาดโครงการ" localSheetId="18">[46]ราคาคอนกรีตต่อหน่วย!$B$3</definedName>
    <definedName name="ขนาดโครงการ" localSheetId="19">[46]ราคาคอนกรีตต่อหน่วย!$B$3</definedName>
    <definedName name="ขนาดโครงการ" localSheetId="9">[46]ราคาคอนกรีตต่อหน่วย!$B$3</definedName>
    <definedName name="ขนาดโครงการ" localSheetId="10">[46]ราคาคอนกรีตต่อหน่วย!$B$3</definedName>
    <definedName name="ขนาดโครงการ" localSheetId="11">[46]ราคาคอนกรีตต่อหน่วย!$B$3</definedName>
    <definedName name="ขนาดโครงการ" localSheetId="12">[46]ราคาคอนกรีตต่อหน่วย!$B$3</definedName>
    <definedName name="ขนาดโครงการ" localSheetId="13">[46]ราคาคอนกรีตต่อหน่วย!$B$3</definedName>
    <definedName name="ขนาดโครงการ" localSheetId="14">[46]ราคาคอนกรีตต่อหน่วย!$B$3</definedName>
    <definedName name="ขนาดโครงการ" localSheetId="15">[46]ราคาคอนกรีตต่อหน่วย!$B$3</definedName>
    <definedName name="ขนาดโครงการ" localSheetId="16">[46]ราคาคอนกรีตต่อหน่วย!$B$3</definedName>
    <definedName name="ขนาดโครงการ" localSheetId="17">[46]ราคาคอนกรีตต่อหน่วย!$B$3</definedName>
    <definedName name="ขนาดโครงการ" localSheetId="8">[46]ราคาคอนกรีตต่อหน่วย!$B$3</definedName>
    <definedName name="ขนาดโครงการ" localSheetId="7">[46]ราคาคอนกรีตต่อหน่วย!$B$3</definedName>
    <definedName name="ขนาดโครงการ" localSheetId="6">[46]ราคาคอนกรีตต่อหน่วย!$B$3</definedName>
    <definedName name="ขนาดโครงการ" localSheetId="20">[46]ราคาคอนกรีตต่อหน่วย!$B$3</definedName>
    <definedName name="ขนาดโครงการ" localSheetId="5">[46]ราคาคอนกรีตต่อหน่วย!$B$3</definedName>
    <definedName name="ขนาดโครงการ">[46]ราคาคอนกรีตต่อหน่วย!$B$3</definedName>
    <definedName name="ขนาดโครงการ2" localSheetId="3">#REF!</definedName>
    <definedName name="ขนาดโครงการ2" localSheetId="4">#REF!</definedName>
    <definedName name="ขนาดโครงการ2" localSheetId="18">#REF!</definedName>
    <definedName name="ขนาดโครงการ2" localSheetId="19">#REF!</definedName>
    <definedName name="ขนาดโครงการ2" localSheetId="9">#REF!</definedName>
    <definedName name="ขนาดโครงการ2" localSheetId="10">#REF!</definedName>
    <definedName name="ขนาดโครงการ2" localSheetId="11">#REF!</definedName>
    <definedName name="ขนาดโครงการ2" localSheetId="12">#REF!</definedName>
    <definedName name="ขนาดโครงการ2" localSheetId="13">#REF!</definedName>
    <definedName name="ขนาดโครงการ2" localSheetId="14">#REF!</definedName>
    <definedName name="ขนาดโครงการ2" localSheetId="15">#REF!</definedName>
    <definedName name="ขนาดโครงการ2" localSheetId="16">#REF!</definedName>
    <definedName name="ขนาดโครงการ2" localSheetId="17">#REF!</definedName>
    <definedName name="ขนาดโครงการ2" localSheetId="8">#REF!</definedName>
    <definedName name="ขนาดโครงการ2" localSheetId="7">#REF!</definedName>
    <definedName name="ขนาดโครงการ2" localSheetId="6">#REF!</definedName>
    <definedName name="ขนาดโครงการ2" localSheetId="20">#REF!</definedName>
    <definedName name="ขนาดโครงการ2" localSheetId="5">#REF!</definedName>
    <definedName name="ขนาดโครงการ2" localSheetId="21">#REF!</definedName>
    <definedName name="ขนาดโครงการ2" localSheetId="34">#REF!</definedName>
    <definedName name="ขนาดโครงการ2" localSheetId="35">#REF!</definedName>
    <definedName name="ขนาดโครงการ2" localSheetId="25">#REF!</definedName>
    <definedName name="ขนาดโครงการ2" localSheetId="27">#REF!</definedName>
    <definedName name="ขนาดโครงการ2" localSheetId="28">#REF!</definedName>
    <definedName name="ขนาดโครงการ2" localSheetId="29">#REF!</definedName>
    <definedName name="ขนาดโครงการ2" localSheetId="31">#REF!</definedName>
    <definedName name="ขนาดโครงการ2" localSheetId="32">#REF!</definedName>
    <definedName name="ขนาดโครงการ2" localSheetId="33">#REF!</definedName>
    <definedName name="ขนาดโครงการ2" localSheetId="24">#REF!</definedName>
    <definedName name="ขนาดโครงการ2" localSheetId="23">#REF!</definedName>
    <definedName name="ขนาดโครงการ2" localSheetId="36">#REF!</definedName>
    <definedName name="ขนาดโครงการ2" localSheetId="22">#REF!</definedName>
    <definedName name="ขนาดโครงการ2" localSheetId="26">#REF!</definedName>
    <definedName name="ขนาดโครงการ2" localSheetId="30">#REF!</definedName>
    <definedName name="ขนาดโครงการ2" localSheetId="41">#REF!</definedName>
    <definedName name="ขนาดโครงการ2" localSheetId="50">#REF!</definedName>
    <definedName name="ขนาดโครงการ2" localSheetId="51">#REF!</definedName>
    <definedName name="ขนาดโครงการ2" localSheetId="42">#REF!</definedName>
    <definedName name="ขนาดโครงการ2" localSheetId="43">#REF!</definedName>
    <definedName name="ขนาดโครงการ2" localSheetId="44">#REF!</definedName>
    <definedName name="ขนาดโครงการ2" localSheetId="45">#REF!</definedName>
    <definedName name="ขนาดโครงการ2" localSheetId="46">#REF!</definedName>
    <definedName name="ขนาดโครงการ2" localSheetId="47">#REF!</definedName>
    <definedName name="ขนาดโครงการ2" localSheetId="48">#REF!</definedName>
    <definedName name="ขนาดโครงการ2" localSheetId="49">#REF!</definedName>
    <definedName name="ขนาดโครงการ2" localSheetId="52">#REF!</definedName>
    <definedName name="ขนาดโครงการ2" localSheetId="40">#REF!</definedName>
    <definedName name="ขนาดโครงการ2" localSheetId="39">#REF!</definedName>
    <definedName name="ขนาดโครงการ2" localSheetId="38">#REF!</definedName>
    <definedName name="ขนาดโครงการ2" localSheetId="37">#REF!</definedName>
    <definedName name="ขนาดโครงการ2" localSheetId="57">#REF!</definedName>
    <definedName name="ขนาดโครงการ2" localSheetId="66">#REF!</definedName>
    <definedName name="ขนาดโครงการ2" localSheetId="67">#REF!</definedName>
    <definedName name="ขนาดโครงการ2" localSheetId="58">#REF!</definedName>
    <definedName name="ขนาดโครงการ2" localSheetId="59">#REF!</definedName>
    <definedName name="ขนาดโครงการ2" localSheetId="60">#REF!</definedName>
    <definedName name="ขนาดโครงการ2" localSheetId="61">#REF!</definedName>
    <definedName name="ขนาดโครงการ2" localSheetId="62">#REF!</definedName>
    <definedName name="ขนาดโครงการ2" localSheetId="63">#REF!</definedName>
    <definedName name="ขนาดโครงการ2" localSheetId="64">#REF!</definedName>
    <definedName name="ขนาดโครงการ2" localSheetId="65">#REF!</definedName>
    <definedName name="ขนาดโครงการ2" localSheetId="68">#REF!</definedName>
    <definedName name="ขนาดโครงการ2" localSheetId="56">#REF!</definedName>
    <definedName name="ขนาดโครงการ2" localSheetId="55">#REF!</definedName>
    <definedName name="ขนาดโครงการ2" localSheetId="54">#REF!</definedName>
    <definedName name="ขนาดโครงการ2" localSheetId="69">#REF!</definedName>
    <definedName name="ขนาดโครงการ2" localSheetId="53">#REF!</definedName>
    <definedName name="ขนาดโครงการ2" localSheetId="85">#REF!</definedName>
    <definedName name="ขนาดโครงการ2" localSheetId="86">#REF!</definedName>
    <definedName name="ขนาดโครงการ2" localSheetId="2">#REF!</definedName>
    <definedName name="ขนาดโครงการ2">#REF!</definedName>
    <definedName name="ข้องอHDPEdai200" localSheetId="3">#REF!</definedName>
    <definedName name="ข้องอHDPEdai200" localSheetId="4">#REF!</definedName>
    <definedName name="ข้องอHDPEdai200" localSheetId="18">#REF!</definedName>
    <definedName name="ข้องอHDPEdai200" localSheetId="19">#REF!</definedName>
    <definedName name="ข้องอHDPEdai200" localSheetId="9">#REF!</definedName>
    <definedName name="ข้องอHDPEdai200" localSheetId="10">#REF!</definedName>
    <definedName name="ข้องอHDPEdai200" localSheetId="11">#REF!</definedName>
    <definedName name="ข้องอHDPEdai200" localSheetId="12">#REF!</definedName>
    <definedName name="ข้องอHDPEdai200" localSheetId="13">#REF!</definedName>
    <definedName name="ข้องอHDPEdai200" localSheetId="14">#REF!</definedName>
    <definedName name="ข้องอHDPEdai200" localSheetId="15">#REF!</definedName>
    <definedName name="ข้องอHDPEdai200" localSheetId="16">#REF!</definedName>
    <definedName name="ข้องอHDPEdai200" localSheetId="17">#REF!</definedName>
    <definedName name="ข้องอHDPEdai200" localSheetId="8">#REF!</definedName>
    <definedName name="ข้องอHDPEdai200" localSheetId="7">#REF!</definedName>
    <definedName name="ข้องอHDPEdai200" localSheetId="6">#REF!</definedName>
    <definedName name="ข้องอHDPEdai200" localSheetId="20">#REF!</definedName>
    <definedName name="ข้องอHDPEdai200" localSheetId="5">#REF!</definedName>
    <definedName name="ข้องอHDPEdai200" localSheetId="21">#REF!</definedName>
    <definedName name="ข้องอHDPEdai200" localSheetId="34">#REF!</definedName>
    <definedName name="ข้องอHDPEdai200" localSheetId="35">#REF!</definedName>
    <definedName name="ข้องอHDPEdai200" localSheetId="25">#REF!</definedName>
    <definedName name="ข้องอHDPEdai200" localSheetId="27">#REF!</definedName>
    <definedName name="ข้องอHDPEdai200" localSheetId="28">#REF!</definedName>
    <definedName name="ข้องอHDPEdai200" localSheetId="29">#REF!</definedName>
    <definedName name="ข้องอHDPEdai200" localSheetId="31">#REF!</definedName>
    <definedName name="ข้องอHDPEdai200" localSheetId="32">#REF!</definedName>
    <definedName name="ข้องอHDPEdai200" localSheetId="33">#REF!</definedName>
    <definedName name="ข้องอHDPEdai200" localSheetId="24">#REF!</definedName>
    <definedName name="ข้องอHDPEdai200" localSheetId="23">#REF!</definedName>
    <definedName name="ข้องอHDPEdai200" localSheetId="36">#REF!</definedName>
    <definedName name="ข้องอHDPEdai200" localSheetId="22">#REF!</definedName>
    <definedName name="ข้องอHDPEdai200" localSheetId="26">#REF!</definedName>
    <definedName name="ข้องอHDPEdai200" localSheetId="30">#REF!</definedName>
    <definedName name="ข้องอHDPEdai200" localSheetId="85">#REF!</definedName>
    <definedName name="ข้องอHDPEdai200" localSheetId="86">#REF!</definedName>
    <definedName name="ข้องอHDPEdai200" localSheetId="2">#REF!</definedName>
    <definedName name="ข้องอHDPEdai200">#REF!</definedName>
    <definedName name="ข้องอHDPEdai200ไม่รวมขนส่ง" localSheetId="3">#REF!</definedName>
    <definedName name="ข้องอHDPEdai200ไม่รวมขนส่ง" localSheetId="4">#REF!</definedName>
    <definedName name="ข้องอHDPEdai200ไม่รวมขนส่ง" localSheetId="85">#REF!</definedName>
    <definedName name="ข้องอHDPEdai200ไม่รวมขนส่ง" localSheetId="86">#REF!</definedName>
    <definedName name="ข้องอHDPEdai200ไม่รวมขนส่ง" localSheetId="2">#REF!</definedName>
    <definedName name="ข้องอHDPEdai200ไม่รวมขนส่ง">#REF!</definedName>
    <definedName name="ข้องอHDPEdai250" localSheetId="3">#REF!</definedName>
    <definedName name="ข้องอHDPEdai250" localSheetId="2">#REF!</definedName>
    <definedName name="ข้องอHDPEdai250">#REF!</definedName>
    <definedName name="ข้องอHDPEdai250ไม่รวมขนส่ง" localSheetId="3">#REF!</definedName>
    <definedName name="ข้องอHDPEdai250ไม่รวมขนส่ง" localSheetId="2">#REF!</definedName>
    <definedName name="ข้องอHDPEdai250ไม่รวมขนส่ง">#REF!</definedName>
    <definedName name="ขุด_ขนดินคันทาง" localSheetId="3">#REF!</definedName>
    <definedName name="ขุด_ขนดินคันทาง" localSheetId="2">#REF!</definedName>
    <definedName name="ขุด_ขนดินคันทาง">#REF!</definedName>
    <definedName name="ขุด_ขนลูกรังรองพื้นทาง" localSheetId="3">#REF!</definedName>
    <definedName name="ขุด_ขนลูกรังรองพื้นทาง" localSheetId="2">#REF!</definedName>
    <definedName name="ขุด_ขนลูกรังรองพื้นทาง">#REF!</definedName>
    <definedName name="ขุดดิน">[10]FCalSH!$G$27</definedName>
    <definedName name="ขุดตัดดิน" localSheetId="3">#REF!</definedName>
    <definedName name="ขุดตัดดิน" localSheetId="4">#REF!</definedName>
    <definedName name="ขุดตัดดิน" localSheetId="18">#REF!</definedName>
    <definedName name="ขุดตัดดิน" localSheetId="19">#REF!</definedName>
    <definedName name="ขุดตัดดิน" localSheetId="9">#REF!</definedName>
    <definedName name="ขุดตัดดิน" localSheetId="10">#REF!</definedName>
    <definedName name="ขุดตัดดิน" localSheetId="11">#REF!</definedName>
    <definedName name="ขุดตัดดิน" localSheetId="12">#REF!</definedName>
    <definedName name="ขุดตัดดิน" localSheetId="13">#REF!</definedName>
    <definedName name="ขุดตัดดิน" localSheetId="14">#REF!</definedName>
    <definedName name="ขุดตัดดิน" localSheetId="15">#REF!</definedName>
    <definedName name="ขุดตัดดิน" localSheetId="16">#REF!</definedName>
    <definedName name="ขุดตัดดิน" localSheetId="17">#REF!</definedName>
    <definedName name="ขุดตัดดิน" localSheetId="8">#REF!</definedName>
    <definedName name="ขุดตัดดิน" localSheetId="7">#REF!</definedName>
    <definedName name="ขุดตัดดิน" localSheetId="6">#REF!</definedName>
    <definedName name="ขุดตัดดิน" localSheetId="20">#REF!</definedName>
    <definedName name="ขุดตัดดิน" localSheetId="5">#REF!</definedName>
    <definedName name="ขุดตัดดิน" localSheetId="21">#REF!</definedName>
    <definedName name="ขุดตัดดิน" localSheetId="34">#REF!</definedName>
    <definedName name="ขุดตัดดิน" localSheetId="35">#REF!</definedName>
    <definedName name="ขุดตัดดิน" localSheetId="25">#REF!</definedName>
    <definedName name="ขุดตัดดิน" localSheetId="27">#REF!</definedName>
    <definedName name="ขุดตัดดิน" localSheetId="28">#REF!</definedName>
    <definedName name="ขุดตัดดิน" localSheetId="29">#REF!</definedName>
    <definedName name="ขุดตัดดิน" localSheetId="31">#REF!</definedName>
    <definedName name="ขุดตัดดิน" localSheetId="32">#REF!</definedName>
    <definedName name="ขุดตัดดิน" localSheetId="33">#REF!</definedName>
    <definedName name="ขุดตัดดิน" localSheetId="24">#REF!</definedName>
    <definedName name="ขุดตัดดิน" localSheetId="23">#REF!</definedName>
    <definedName name="ขุดตัดดิน" localSheetId="36">#REF!</definedName>
    <definedName name="ขุดตัดดิน" localSheetId="22">#REF!</definedName>
    <definedName name="ขุดตัดดิน" localSheetId="26">#REF!</definedName>
    <definedName name="ขุดตัดดิน" localSheetId="30">#REF!</definedName>
    <definedName name="ขุดตัดดิน" localSheetId="41">#REF!</definedName>
    <definedName name="ขุดตัดดิน" localSheetId="50">#REF!</definedName>
    <definedName name="ขุดตัดดิน" localSheetId="51">#REF!</definedName>
    <definedName name="ขุดตัดดิน" localSheetId="42">#REF!</definedName>
    <definedName name="ขุดตัดดิน" localSheetId="43">#REF!</definedName>
    <definedName name="ขุดตัดดิน" localSheetId="44">#REF!</definedName>
    <definedName name="ขุดตัดดิน" localSheetId="45">#REF!</definedName>
    <definedName name="ขุดตัดดิน" localSheetId="46">#REF!</definedName>
    <definedName name="ขุดตัดดิน" localSheetId="47">#REF!</definedName>
    <definedName name="ขุดตัดดิน" localSheetId="48">#REF!</definedName>
    <definedName name="ขุดตัดดิน" localSheetId="49">#REF!</definedName>
    <definedName name="ขุดตัดดิน" localSheetId="52">#REF!</definedName>
    <definedName name="ขุดตัดดิน" localSheetId="40">#REF!</definedName>
    <definedName name="ขุดตัดดิน" localSheetId="39">#REF!</definedName>
    <definedName name="ขุดตัดดิน" localSheetId="38">#REF!</definedName>
    <definedName name="ขุดตัดดิน" localSheetId="37">#REF!</definedName>
    <definedName name="ขุดตัดดิน" localSheetId="57">#REF!</definedName>
    <definedName name="ขุดตัดดิน" localSheetId="66">#REF!</definedName>
    <definedName name="ขุดตัดดิน" localSheetId="67">#REF!</definedName>
    <definedName name="ขุดตัดดิน" localSheetId="58">#REF!</definedName>
    <definedName name="ขุดตัดดิน" localSheetId="59">#REF!</definedName>
    <definedName name="ขุดตัดดิน" localSheetId="60">#REF!</definedName>
    <definedName name="ขุดตัดดิน" localSheetId="61">#REF!</definedName>
    <definedName name="ขุดตัดดิน" localSheetId="62">#REF!</definedName>
    <definedName name="ขุดตัดดิน" localSheetId="63">#REF!</definedName>
    <definedName name="ขุดตัดดิน" localSheetId="64">#REF!</definedName>
    <definedName name="ขุดตัดดิน" localSheetId="65">#REF!</definedName>
    <definedName name="ขุดตัดดิน" localSheetId="68">#REF!</definedName>
    <definedName name="ขุดตัดดิน" localSheetId="56">#REF!</definedName>
    <definedName name="ขุดตัดดิน" localSheetId="55">#REF!</definedName>
    <definedName name="ขุดตัดดิน" localSheetId="54">#REF!</definedName>
    <definedName name="ขุดตัดดิน" localSheetId="53">#REF!</definedName>
    <definedName name="ขุดตัดดิน" localSheetId="85">#REF!</definedName>
    <definedName name="ขุดตัดดิน" localSheetId="86">#REF!</definedName>
    <definedName name="ขุดตัดดิน" localSheetId="2">#REF!</definedName>
    <definedName name="ขุดตัดดิน">#REF!</definedName>
    <definedName name="ขุดวัสดุไม่เหมาะสมและถมกลับ" localSheetId="3">#REF!</definedName>
    <definedName name="ขุดวัสดุไม่เหมาะสมและถมกลับ" localSheetId="4">#REF!</definedName>
    <definedName name="ขุดวัสดุไม่เหมาะสมและถมกลับ" localSheetId="18">#REF!</definedName>
    <definedName name="ขุดวัสดุไม่เหมาะสมและถมกลับ" localSheetId="19">#REF!</definedName>
    <definedName name="ขุดวัสดุไม่เหมาะสมและถมกลับ" localSheetId="9">#REF!</definedName>
    <definedName name="ขุดวัสดุไม่เหมาะสมและถมกลับ" localSheetId="10">#REF!</definedName>
    <definedName name="ขุดวัสดุไม่เหมาะสมและถมกลับ" localSheetId="11">#REF!</definedName>
    <definedName name="ขุดวัสดุไม่เหมาะสมและถมกลับ" localSheetId="12">#REF!</definedName>
    <definedName name="ขุดวัสดุไม่เหมาะสมและถมกลับ" localSheetId="13">#REF!</definedName>
    <definedName name="ขุดวัสดุไม่เหมาะสมและถมกลับ" localSheetId="14">#REF!</definedName>
    <definedName name="ขุดวัสดุไม่เหมาะสมและถมกลับ" localSheetId="15">#REF!</definedName>
    <definedName name="ขุดวัสดุไม่เหมาะสมและถมกลับ" localSheetId="16">#REF!</definedName>
    <definedName name="ขุดวัสดุไม่เหมาะสมและถมกลับ" localSheetId="17">#REF!</definedName>
    <definedName name="ขุดวัสดุไม่เหมาะสมและถมกลับ" localSheetId="8">#REF!</definedName>
    <definedName name="ขุดวัสดุไม่เหมาะสมและถมกลับ" localSheetId="7">#REF!</definedName>
    <definedName name="ขุดวัสดุไม่เหมาะสมและถมกลับ" localSheetId="6">#REF!</definedName>
    <definedName name="ขุดวัสดุไม่เหมาะสมและถมกลับ" localSheetId="20">#REF!</definedName>
    <definedName name="ขุดวัสดุไม่เหมาะสมและถมกลับ" localSheetId="5">#REF!</definedName>
    <definedName name="ขุดวัสดุไม่เหมาะสมและถมกลับ" localSheetId="21">#REF!</definedName>
    <definedName name="ขุดวัสดุไม่เหมาะสมและถมกลับ" localSheetId="34">#REF!</definedName>
    <definedName name="ขุดวัสดุไม่เหมาะสมและถมกลับ" localSheetId="35">#REF!</definedName>
    <definedName name="ขุดวัสดุไม่เหมาะสมและถมกลับ" localSheetId="25">#REF!</definedName>
    <definedName name="ขุดวัสดุไม่เหมาะสมและถมกลับ" localSheetId="27">#REF!</definedName>
    <definedName name="ขุดวัสดุไม่เหมาะสมและถมกลับ" localSheetId="28">#REF!</definedName>
    <definedName name="ขุดวัสดุไม่เหมาะสมและถมกลับ" localSheetId="29">#REF!</definedName>
    <definedName name="ขุดวัสดุไม่เหมาะสมและถมกลับ" localSheetId="31">#REF!</definedName>
    <definedName name="ขุดวัสดุไม่เหมาะสมและถมกลับ" localSheetId="32">#REF!</definedName>
    <definedName name="ขุดวัสดุไม่เหมาะสมและถมกลับ" localSheetId="33">#REF!</definedName>
    <definedName name="ขุดวัสดุไม่เหมาะสมและถมกลับ" localSheetId="24">#REF!</definedName>
    <definedName name="ขุดวัสดุไม่เหมาะสมและถมกลับ" localSheetId="23">#REF!</definedName>
    <definedName name="ขุดวัสดุไม่เหมาะสมและถมกลับ" localSheetId="36">#REF!</definedName>
    <definedName name="ขุดวัสดุไม่เหมาะสมและถมกลับ" localSheetId="22">#REF!</definedName>
    <definedName name="ขุดวัสดุไม่เหมาะสมและถมกลับ" localSheetId="26">#REF!</definedName>
    <definedName name="ขุดวัสดุไม่เหมาะสมและถมกลับ" localSheetId="30">#REF!</definedName>
    <definedName name="ขุดวัสดุไม่เหมาะสมและถมกลับ" localSheetId="85">#REF!</definedName>
    <definedName name="ขุดวัสดุไม่เหมาะสมและถมกลับ" localSheetId="86">#REF!</definedName>
    <definedName name="ขุดวัสดุไม่เหมาะสมและถมกลับ" localSheetId="2">#REF!</definedName>
    <definedName name="ขุดวัสดุไม่เหมาะสมและถมกลับ">#REF!</definedName>
    <definedName name="ค.1" localSheetId="3">#REF!</definedName>
    <definedName name="ค.1" localSheetId="4">#REF!</definedName>
    <definedName name="ค.1" localSheetId="18">#REF!</definedName>
    <definedName name="ค.1" localSheetId="19">#REF!</definedName>
    <definedName name="ค.1" localSheetId="9">#REF!</definedName>
    <definedName name="ค.1" localSheetId="10">#REF!</definedName>
    <definedName name="ค.1" localSheetId="11">#REF!</definedName>
    <definedName name="ค.1" localSheetId="12">#REF!</definedName>
    <definedName name="ค.1" localSheetId="13">#REF!</definedName>
    <definedName name="ค.1" localSheetId="14">#REF!</definedName>
    <definedName name="ค.1" localSheetId="15">#REF!</definedName>
    <definedName name="ค.1" localSheetId="16">#REF!</definedName>
    <definedName name="ค.1" localSheetId="17">#REF!</definedName>
    <definedName name="ค.1" localSheetId="8">#REF!</definedName>
    <definedName name="ค.1" localSheetId="7">#REF!</definedName>
    <definedName name="ค.1" localSheetId="6">#REF!</definedName>
    <definedName name="ค.1" localSheetId="20">#REF!</definedName>
    <definedName name="ค.1" localSheetId="5">#REF!</definedName>
    <definedName name="ค.1" localSheetId="21">#REF!</definedName>
    <definedName name="ค.1" localSheetId="34">#REF!</definedName>
    <definedName name="ค.1" localSheetId="35">#REF!</definedName>
    <definedName name="ค.1" localSheetId="25">#REF!</definedName>
    <definedName name="ค.1" localSheetId="27">#REF!</definedName>
    <definedName name="ค.1" localSheetId="28">#REF!</definedName>
    <definedName name="ค.1" localSheetId="29">#REF!</definedName>
    <definedName name="ค.1" localSheetId="31">#REF!</definedName>
    <definedName name="ค.1" localSheetId="32">#REF!</definedName>
    <definedName name="ค.1" localSheetId="33">#REF!</definedName>
    <definedName name="ค.1" localSheetId="24">#REF!</definedName>
    <definedName name="ค.1" localSheetId="23">#REF!</definedName>
    <definedName name="ค.1" localSheetId="36">#REF!</definedName>
    <definedName name="ค.1" localSheetId="22">#REF!</definedName>
    <definedName name="ค.1" localSheetId="26">#REF!</definedName>
    <definedName name="ค.1" localSheetId="30">#REF!</definedName>
    <definedName name="ค.1" localSheetId="85">#REF!</definedName>
    <definedName name="ค.1" localSheetId="86">#REF!</definedName>
    <definedName name="ค.1" localSheetId="2">#REF!</definedName>
    <definedName name="ค.1">#REF!</definedName>
    <definedName name="ค.2" localSheetId="3">#REF!</definedName>
    <definedName name="ค.2" localSheetId="2">#REF!</definedName>
    <definedName name="ค.2">#REF!</definedName>
    <definedName name="ค.3" localSheetId="3">#REF!</definedName>
    <definedName name="ค.3" localSheetId="2">#REF!</definedName>
    <definedName name="ค.3">#REF!</definedName>
    <definedName name="ค.4" localSheetId="3">#REF!</definedName>
    <definedName name="ค.4" localSheetId="2">#REF!</definedName>
    <definedName name="ค.4">#REF!</definedName>
    <definedName name="ค0" localSheetId="3">#REF!</definedName>
    <definedName name="ค0" localSheetId="2">#REF!</definedName>
    <definedName name="ค0">#REF!</definedName>
    <definedName name="ค1" localSheetId="3">#REF!</definedName>
    <definedName name="ค1" localSheetId="2">#REF!</definedName>
    <definedName name="ค1">#REF!</definedName>
    <definedName name="ค2" localSheetId="3">#REF!</definedName>
    <definedName name="ค2" localSheetId="2">#REF!</definedName>
    <definedName name="ค2">#REF!</definedName>
    <definedName name="ค3" localSheetId="3">#REF!</definedName>
    <definedName name="ค3" localSheetId="2">#REF!</definedName>
    <definedName name="ค3">#REF!</definedName>
    <definedName name="ค4" localSheetId="3">#REF!</definedName>
    <definedName name="ค4" localSheetId="2">#REF!</definedName>
    <definedName name="ค4">#REF!</definedName>
    <definedName name="คค0" localSheetId="3">#REF!</definedName>
    <definedName name="คค0" localSheetId="2">#REF!</definedName>
    <definedName name="คค0">#REF!</definedName>
    <definedName name="คค1" localSheetId="3">#REF!</definedName>
    <definedName name="คค1" localSheetId="2">#REF!</definedName>
    <definedName name="คค1">#REF!</definedName>
    <definedName name="คค2" localSheetId="3">#REF!</definedName>
    <definedName name="คค2" localSheetId="2">#REF!</definedName>
    <definedName name="คค2">#REF!</definedName>
    <definedName name="คค3" localSheetId="3">#REF!</definedName>
    <definedName name="คค3" localSheetId="2">#REF!</definedName>
    <definedName name="คค3">#REF!</definedName>
    <definedName name="คค4" localSheetId="3">#REF!</definedName>
    <definedName name="คค4" localSheetId="2">#REF!</definedName>
    <definedName name="คค4">#REF!</definedName>
    <definedName name="คอนกรีตผสม" localSheetId="3">#REF!</definedName>
    <definedName name="คอนกรีตผสม" localSheetId="2">#REF!</definedName>
    <definedName name="คอนกรีตผสม">#REF!</definedName>
    <definedName name="คอนกรีตผสม1" localSheetId="3">#REF!</definedName>
    <definedName name="คอนกรีตผสม1" localSheetId="2">#REF!</definedName>
    <definedName name="คอนกรีตผสม1">#REF!</definedName>
    <definedName name="คอนกรีตผสม180" localSheetId="3">#REF!</definedName>
    <definedName name="คอนกรีตผสม180" localSheetId="2">#REF!</definedName>
    <definedName name="คอนกรีตผสม180">#REF!</definedName>
    <definedName name="คอนกรีตผสม240" localSheetId="3">#REF!</definedName>
    <definedName name="คอนกรีตผสม240" localSheetId="2">#REF!</definedName>
    <definedName name="คอนกรีตผสม240">#REF!</definedName>
    <definedName name="คอนกรีตผสม3" localSheetId="3">#REF!</definedName>
    <definedName name="คอนกรีตผสม3" localSheetId="2">#REF!</definedName>
    <definedName name="คอนกรีตผสม3">#REF!</definedName>
    <definedName name="คอนกรีตผสม300" localSheetId="3">#REF!</definedName>
    <definedName name="คอนกรีตผสม300" localSheetId="2">#REF!</definedName>
    <definedName name="คอนกรีตผสม300">#REF!</definedName>
    <definedName name="คอนกรีตผสม5" localSheetId="3">#REF!</definedName>
    <definedName name="คอนกรีตผสม5" localSheetId="2">#REF!</definedName>
    <definedName name="คอนกรีตผสม5">#REF!</definedName>
    <definedName name="คอนกรีตผสมเสร็จ140cylinder" localSheetId="3">#REF!</definedName>
    <definedName name="คอนกรีตผสมเสร็จ140cylinder" localSheetId="2">#REF!</definedName>
    <definedName name="คอนกรีตผสมเสร็จ140cylinder">#REF!</definedName>
    <definedName name="คอนกรีตผสมเสร็จ180cylinder" localSheetId="3">#REF!</definedName>
    <definedName name="คอนกรีตผสมเสร็จ180cylinder" localSheetId="2">#REF!</definedName>
    <definedName name="คอนกรีตผสมเสร็จ180cylinder">#REF!</definedName>
    <definedName name="คอนกรีตผสมเสร็จ210cylinder" localSheetId="3">#REF!</definedName>
    <definedName name="คอนกรีตผสมเสร็จ210cylinder" localSheetId="2">#REF!</definedName>
    <definedName name="คอนกรีตผสมเสร็จ210cylinder">#REF!</definedName>
    <definedName name="คอนกรีตผสมเสร็จ240cylinder" localSheetId="3">#REF!</definedName>
    <definedName name="คอนกรีตผสมเสร็จ240cylinder" localSheetId="2">#REF!</definedName>
    <definedName name="คอนกรีตผสมเสร็จ240cylinder">#REF!</definedName>
    <definedName name="คอนกรีตผสมเสร็จ280cylinder" localSheetId="3">#REF!</definedName>
    <definedName name="คอนกรีตผสมเสร็จ280cylinder" localSheetId="2">#REF!</definedName>
    <definedName name="คอนกรีตผสมเสร็จ280cylinder">#REF!</definedName>
    <definedName name="คอนกรีตหยาบ">[10]FCalSH!$G$21</definedName>
    <definedName name="คอนกรีตหยาบCpac" localSheetId="3">#REF!</definedName>
    <definedName name="คอนกรีตหยาบCpac" localSheetId="4">#REF!</definedName>
    <definedName name="คอนกรีตหยาบCpac" localSheetId="18">#REF!</definedName>
    <definedName name="คอนกรีตหยาบCpac" localSheetId="19">#REF!</definedName>
    <definedName name="คอนกรีตหยาบCpac" localSheetId="9">#REF!</definedName>
    <definedName name="คอนกรีตหยาบCpac" localSheetId="10">#REF!</definedName>
    <definedName name="คอนกรีตหยาบCpac" localSheetId="11">#REF!</definedName>
    <definedName name="คอนกรีตหยาบCpac" localSheetId="12">#REF!</definedName>
    <definedName name="คอนกรีตหยาบCpac" localSheetId="13">#REF!</definedName>
    <definedName name="คอนกรีตหยาบCpac" localSheetId="14">#REF!</definedName>
    <definedName name="คอนกรีตหยาบCpac" localSheetId="15">#REF!</definedName>
    <definedName name="คอนกรีตหยาบCpac" localSheetId="16">#REF!</definedName>
    <definedName name="คอนกรีตหยาบCpac" localSheetId="17">#REF!</definedName>
    <definedName name="คอนกรีตหยาบCpac" localSheetId="8">#REF!</definedName>
    <definedName name="คอนกรีตหยาบCpac" localSheetId="7">#REF!</definedName>
    <definedName name="คอนกรีตหยาบCpac" localSheetId="6">#REF!</definedName>
    <definedName name="คอนกรีตหยาบCpac" localSheetId="20">#REF!</definedName>
    <definedName name="คอนกรีตหยาบCpac" localSheetId="5">#REF!</definedName>
    <definedName name="คอนกรีตหยาบCpac" localSheetId="21">#REF!</definedName>
    <definedName name="คอนกรีตหยาบCpac" localSheetId="34">#REF!</definedName>
    <definedName name="คอนกรีตหยาบCpac" localSheetId="35">#REF!</definedName>
    <definedName name="คอนกรีตหยาบCpac" localSheetId="25">#REF!</definedName>
    <definedName name="คอนกรีตหยาบCpac" localSheetId="27">#REF!</definedName>
    <definedName name="คอนกรีตหยาบCpac" localSheetId="28">#REF!</definedName>
    <definedName name="คอนกรีตหยาบCpac" localSheetId="29">#REF!</definedName>
    <definedName name="คอนกรีตหยาบCpac" localSheetId="31">#REF!</definedName>
    <definedName name="คอนกรีตหยาบCpac" localSheetId="32">#REF!</definedName>
    <definedName name="คอนกรีตหยาบCpac" localSheetId="33">#REF!</definedName>
    <definedName name="คอนกรีตหยาบCpac" localSheetId="24">#REF!</definedName>
    <definedName name="คอนกรีตหยาบCpac" localSheetId="23">#REF!</definedName>
    <definedName name="คอนกรีตหยาบCpac" localSheetId="36">#REF!</definedName>
    <definedName name="คอนกรีตหยาบCpac" localSheetId="22">#REF!</definedName>
    <definedName name="คอนกรีตหยาบCpac" localSheetId="26">#REF!</definedName>
    <definedName name="คอนกรีตหยาบCpac" localSheetId="30">#REF!</definedName>
    <definedName name="คอนกรีตหยาบCpac" localSheetId="41">#REF!</definedName>
    <definedName name="คอนกรีตหยาบCpac" localSheetId="50">#REF!</definedName>
    <definedName name="คอนกรีตหยาบCpac" localSheetId="51">#REF!</definedName>
    <definedName name="คอนกรีตหยาบCpac" localSheetId="42">#REF!</definedName>
    <definedName name="คอนกรีตหยาบCpac" localSheetId="43">#REF!</definedName>
    <definedName name="คอนกรีตหยาบCpac" localSheetId="44">#REF!</definedName>
    <definedName name="คอนกรีตหยาบCpac" localSheetId="45">#REF!</definedName>
    <definedName name="คอนกรีตหยาบCpac" localSheetId="46">#REF!</definedName>
    <definedName name="คอนกรีตหยาบCpac" localSheetId="47">#REF!</definedName>
    <definedName name="คอนกรีตหยาบCpac" localSheetId="48">#REF!</definedName>
    <definedName name="คอนกรีตหยาบCpac" localSheetId="49">#REF!</definedName>
    <definedName name="คอนกรีตหยาบCpac" localSheetId="52">#REF!</definedName>
    <definedName name="คอนกรีตหยาบCpac" localSheetId="40">#REF!</definedName>
    <definedName name="คอนกรีตหยาบCpac" localSheetId="39">#REF!</definedName>
    <definedName name="คอนกรีตหยาบCpac" localSheetId="38">#REF!</definedName>
    <definedName name="คอนกรีตหยาบCpac" localSheetId="37">#REF!</definedName>
    <definedName name="คอนกรีตหยาบCpac" localSheetId="57">#REF!</definedName>
    <definedName name="คอนกรีตหยาบCpac" localSheetId="66">#REF!</definedName>
    <definedName name="คอนกรีตหยาบCpac" localSheetId="67">#REF!</definedName>
    <definedName name="คอนกรีตหยาบCpac" localSheetId="58">#REF!</definedName>
    <definedName name="คอนกรีตหยาบCpac" localSheetId="59">#REF!</definedName>
    <definedName name="คอนกรีตหยาบCpac" localSheetId="60">#REF!</definedName>
    <definedName name="คอนกรีตหยาบCpac" localSheetId="61">#REF!</definedName>
    <definedName name="คอนกรีตหยาบCpac" localSheetId="62">#REF!</definedName>
    <definedName name="คอนกรีตหยาบCpac" localSheetId="63">#REF!</definedName>
    <definedName name="คอนกรีตหยาบCpac" localSheetId="64">#REF!</definedName>
    <definedName name="คอนกรีตหยาบCpac" localSheetId="65">#REF!</definedName>
    <definedName name="คอนกรีตหยาบCpac" localSheetId="68">#REF!</definedName>
    <definedName name="คอนกรีตหยาบCpac" localSheetId="56">#REF!</definedName>
    <definedName name="คอนกรีตหยาบCpac" localSheetId="55">#REF!</definedName>
    <definedName name="คอนกรีตหยาบCpac" localSheetId="54">#REF!</definedName>
    <definedName name="คอนกรีตหยาบCpac" localSheetId="53">#REF!</definedName>
    <definedName name="คอนกรีตหยาบCpac" localSheetId="85">#REF!</definedName>
    <definedName name="คอนกรีตหยาบCpac" localSheetId="86">#REF!</definedName>
    <definedName name="คอนกรีตหยาบCpac" localSheetId="2">#REF!</definedName>
    <definedName name="คอนกรีตหยาบCpac">#REF!</definedName>
    <definedName name="ค่าCLEARING_GRUBBING_เบา">'[8]2'!$J$7</definedName>
    <definedName name="ค่าCLEARING_GRUBBING_กลาง">'[8]2'!$J$10</definedName>
    <definedName name="ค่าCLEARING_GRUBBING_หนัก">'[8]2'!$J$13</definedName>
    <definedName name="ค่าDOUBLESURFACETREATMENT">'[8]4'!$J$51</definedName>
    <definedName name="ค่าEARTH_EXCAVATION">'[8]2'!$J$25</definedName>
    <definedName name="ค่าHARD_ROCK_EXCAVATION">'[8]2'!$J$44</definedName>
    <definedName name="ค่าPRIMECOAT">'[8]4'!$J$8</definedName>
    <definedName name="ค่าSANDEMBANKMENT">'[8]2'!$J$75</definedName>
    <definedName name="ค่าSINGLESURFACETREATMENT">'[8]4'!$J$42</definedName>
    <definedName name="ค่าSOFT_MATERIAL_EXCAVATION">'[8]2'!$J$54</definedName>
    <definedName name="ค่าSOFT_ROCK_EXCAVATION">'[8]2'!$J$36</definedName>
    <definedName name="ค่าSOILAGGREATESUBBASE">'[8]3'!$J$12</definedName>
    <definedName name="ค่าTACKCOAT">'[8]4'!$J$14</definedName>
    <definedName name="ค่าUNSUITABLE_MATERIAL_EXCAVATION">'[8]2'!$J$49</definedName>
    <definedName name="ค่าเทคอนกรีตโครงสร้าง" localSheetId="3">#REF!</definedName>
    <definedName name="ค่าเทคอนกรีตโครงสร้าง" localSheetId="18">#REF!</definedName>
    <definedName name="ค่าเทคอนกรีตโครงสร้าง" localSheetId="19">#REF!</definedName>
    <definedName name="ค่าเทคอนกรีตโครงสร้าง" localSheetId="9">#REF!</definedName>
    <definedName name="ค่าเทคอนกรีตโครงสร้าง" localSheetId="10">#REF!</definedName>
    <definedName name="ค่าเทคอนกรีตโครงสร้าง" localSheetId="11">#REF!</definedName>
    <definedName name="ค่าเทคอนกรีตโครงสร้าง" localSheetId="12">#REF!</definedName>
    <definedName name="ค่าเทคอนกรีตโครงสร้าง" localSheetId="13">#REF!</definedName>
    <definedName name="ค่าเทคอนกรีตโครงสร้าง" localSheetId="14">#REF!</definedName>
    <definedName name="ค่าเทคอนกรีตโครงสร้าง" localSheetId="15">#REF!</definedName>
    <definedName name="ค่าเทคอนกรีตโครงสร้าง" localSheetId="16">#REF!</definedName>
    <definedName name="ค่าเทคอนกรีตโครงสร้าง" localSheetId="17">#REF!</definedName>
    <definedName name="ค่าเทคอนกรีตโครงสร้าง" localSheetId="8">#REF!</definedName>
    <definedName name="ค่าเทคอนกรีตโครงสร้าง" localSheetId="7">#REF!</definedName>
    <definedName name="ค่าเทคอนกรีตโครงสร้าง" localSheetId="6">#REF!</definedName>
    <definedName name="ค่าเทคอนกรีตโครงสร้าง" localSheetId="20">#REF!</definedName>
    <definedName name="ค่าเทคอนกรีตโครงสร้าง" localSheetId="5">#REF!</definedName>
    <definedName name="ค่าเทคอนกรีตโครงสร้าง" localSheetId="21">#REF!</definedName>
    <definedName name="ค่าเทคอนกรีตโครงสร้าง" localSheetId="34">#REF!</definedName>
    <definedName name="ค่าเทคอนกรีตโครงสร้าง" localSheetId="35">#REF!</definedName>
    <definedName name="ค่าเทคอนกรีตโครงสร้าง" localSheetId="25">#REF!</definedName>
    <definedName name="ค่าเทคอนกรีตโครงสร้าง" localSheetId="27">#REF!</definedName>
    <definedName name="ค่าเทคอนกรีตโครงสร้าง" localSheetId="28">#REF!</definedName>
    <definedName name="ค่าเทคอนกรีตโครงสร้าง" localSheetId="29">#REF!</definedName>
    <definedName name="ค่าเทคอนกรีตโครงสร้าง" localSheetId="31">#REF!</definedName>
    <definedName name="ค่าเทคอนกรีตโครงสร้าง" localSheetId="32">#REF!</definedName>
    <definedName name="ค่าเทคอนกรีตโครงสร้าง" localSheetId="33">#REF!</definedName>
    <definedName name="ค่าเทคอนกรีตโครงสร้าง" localSheetId="24">#REF!</definedName>
    <definedName name="ค่าเทคอนกรีตโครงสร้าง" localSheetId="23">#REF!</definedName>
    <definedName name="ค่าเทคอนกรีตโครงสร้าง" localSheetId="36">#REF!</definedName>
    <definedName name="ค่าเทคอนกรีตโครงสร้าง" localSheetId="22">#REF!</definedName>
    <definedName name="ค่าเทคอนกรีตโครงสร้าง" localSheetId="26">#REF!</definedName>
    <definedName name="ค่าเทคอนกรีตโครงสร้าง" localSheetId="30">#REF!</definedName>
    <definedName name="ค่าเทคอนกรีตโครงสร้าง" localSheetId="41">#REF!</definedName>
    <definedName name="ค่าเทคอนกรีตโครงสร้าง" localSheetId="50">#REF!</definedName>
    <definedName name="ค่าเทคอนกรีตโครงสร้าง" localSheetId="51">#REF!</definedName>
    <definedName name="ค่าเทคอนกรีตโครงสร้าง" localSheetId="42">#REF!</definedName>
    <definedName name="ค่าเทคอนกรีตโครงสร้าง" localSheetId="43">#REF!</definedName>
    <definedName name="ค่าเทคอนกรีตโครงสร้าง" localSheetId="44">#REF!</definedName>
    <definedName name="ค่าเทคอนกรีตโครงสร้าง" localSheetId="45">#REF!</definedName>
    <definedName name="ค่าเทคอนกรีตโครงสร้าง" localSheetId="46">#REF!</definedName>
    <definedName name="ค่าเทคอนกรีตโครงสร้าง" localSheetId="47">#REF!</definedName>
    <definedName name="ค่าเทคอนกรีตโครงสร้าง" localSheetId="48">#REF!</definedName>
    <definedName name="ค่าเทคอนกรีตโครงสร้าง" localSheetId="49">#REF!</definedName>
    <definedName name="ค่าเทคอนกรีตโครงสร้าง" localSheetId="52">#REF!</definedName>
    <definedName name="ค่าเทคอนกรีตโครงสร้าง" localSheetId="40">#REF!</definedName>
    <definedName name="ค่าเทคอนกรีตโครงสร้าง" localSheetId="39">#REF!</definedName>
    <definedName name="ค่าเทคอนกรีตโครงสร้าง" localSheetId="38">#REF!</definedName>
    <definedName name="ค่าเทคอนกรีตโครงสร้าง" localSheetId="37">#REF!</definedName>
    <definedName name="ค่าเทคอนกรีตโครงสร้าง" localSheetId="57">#REF!</definedName>
    <definedName name="ค่าเทคอนกรีตโครงสร้าง" localSheetId="66">#REF!</definedName>
    <definedName name="ค่าเทคอนกรีตโครงสร้าง" localSheetId="67">#REF!</definedName>
    <definedName name="ค่าเทคอนกรีตโครงสร้าง" localSheetId="58">#REF!</definedName>
    <definedName name="ค่าเทคอนกรีตโครงสร้าง" localSheetId="59">#REF!</definedName>
    <definedName name="ค่าเทคอนกรีตโครงสร้าง" localSheetId="60">#REF!</definedName>
    <definedName name="ค่าเทคอนกรีตโครงสร้าง" localSheetId="61">#REF!</definedName>
    <definedName name="ค่าเทคอนกรีตโครงสร้าง" localSheetId="62">#REF!</definedName>
    <definedName name="ค่าเทคอนกรีตโครงสร้าง" localSheetId="63">#REF!</definedName>
    <definedName name="ค่าเทคอนกรีตโครงสร้าง" localSheetId="64">#REF!</definedName>
    <definedName name="ค่าเทคอนกรีตโครงสร้าง" localSheetId="65">#REF!</definedName>
    <definedName name="ค่าเทคอนกรีตโครงสร้าง" localSheetId="68">#REF!</definedName>
    <definedName name="ค่าเทคอนกรีตโครงสร้าง" localSheetId="56">#REF!</definedName>
    <definedName name="ค่าเทคอนกรีตโครงสร้าง" localSheetId="55">#REF!</definedName>
    <definedName name="ค่าเทคอนกรีตโครงสร้าง" localSheetId="54">#REF!</definedName>
    <definedName name="ค่าเทคอนกรีตโครงสร้าง" localSheetId="53">#REF!</definedName>
    <definedName name="ค่าเทคอนกรีตโครงสร้าง" localSheetId="85">#REF!</definedName>
    <definedName name="ค่าเทคอนกรีตโครงสร้าง" localSheetId="86">#REF!</definedName>
    <definedName name="ค่าเทคอนกรีตโครงสร้าง" localSheetId="2">#REF!</definedName>
    <definedName name="ค่าเทคอนกรีตโครงสร้าง">#REF!</definedName>
    <definedName name="ค่าเทคอนกรีตหยาบ" localSheetId="3">#REF!</definedName>
    <definedName name="ค่าเทคอนกรีตหยาบ" localSheetId="18">#REF!</definedName>
    <definedName name="ค่าเทคอนกรีตหยาบ" localSheetId="19">#REF!</definedName>
    <definedName name="ค่าเทคอนกรีตหยาบ" localSheetId="9">#REF!</definedName>
    <definedName name="ค่าเทคอนกรีตหยาบ" localSheetId="10">#REF!</definedName>
    <definedName name="ค่าเทคอนกรีตหยาบ" localSheetId="11">#REF!</definedName>
    <definedName name="ค่าเทคอนกรีตหยาบ" localSheetId="12">#REF!</definedName>
    <definedName name="ค่าเทคอนกรีตหยาบ" localSheetId="13">#REF!</definedName>
    <definedName name="ค่าเทคอนกรีตหยาบ" localSheetId="14">#REF!</definedName>
    <definedName name="ค่าเทคอนกรีตหยาบ" localSheetId="15">#REF!</definedName>
    <definedName name="ค่าเทคอนกรีตหยาบ" localSheetId="16">#REF!</definedName>
    <definedName name="ค่าเทคอนกรีตหยาบ" localSheetId="17">#REF!</definedName>
    <definedName name="ค่าเทคอนกรีตหยาบ" localSheetId="8">#REF!</definedName>
    <definedName name="ค่าเทคอนกรีตหยาบ" localSheetId="7">#REF!</definedName>
    <definedName name="ค่าเทคอนกรีตหยาบ" localSheetId="6">#REF!</definedName>
    <definedName name="ค่าเทคอนกรีตหยาบ" localSheetId="20">#REF!</definedName>
    <definedName name="ค่าเทคอนกรีตหยาบ" localSheetId="5">#REF!</definedName>
    <definedName name="ค่าเทคอนกรีตหยาบ" localSheetId="21">#REF!</definedName>
    <definedName name="ค่าเทคอนกรีตหยาบ" localSheetId="34">#REF!</definedName>
    <definedName name="ค่าเทคอนกรีตหยาบ" localSheetId="35">#REF!</definedName>
    <definedName name="ค่าเทคอนกรีตหยาบ" localSheetId="25">#REF!</definedName>
    <definedName name="ค่าเทคอนกรีตหยาบ" localSheetId="27">#REF!</definedName>
    <definedName name="ค่าเทคอนกรีตหยาบ" localSheetId="28">#REF!</definedName>
    <definedName name="ค่าเทคอนกรีตหยาบ" localSheetId="29">#REF!</definedName>
    <definedName name="ค่าเทคอนกรีตหยาบ" localSheetId="31">#REF!</definedName>
    <definedName name="ค่าเทคอนกรีตหยาบ" localSheetId="32">#REF!</definedName>
    <definedName name="ค่าเทคอนกรีตหยาบ" localSheetId="33">#REF!</definedName>
    <definedName name="ค่าเทคอนกรีตหยาบ" localSheetId="24">#REF!</definedName>
    <definedName name="ค่าเทคอนกรีตหยาบ" localSheetId="23">#REF!</definedName>
    <definedName name="ค่าเทคอนกรีตหยาบ" localSheetId="36">#REF!</definedName>
    <definedName name="ค่าเทคอนกรีตหยาบ" localSheetId="22">#REF!</definedName>
    <definedName name="ค่าเทคอนกรีตหยาบ" localSheetId="26">#REF!</definedName>
    <definedName name="ค่าเทคอนกรีตหยาบ" localSheetId="30">#REF!</definedName>
    <definedName name="ค่าเทคอนกรีตหยาบ" localSheetId="85">#REF!</definedName>
    <definedName name="ค่าเทคอนกรีตหยาบ" localSheetId="86">#REF!</definedName>
    <definedName name="ค่าเทคอนกรีตหยาบ" localSheetId="2">#REF!</definedName>
    <definedName name="ค่าเทคอนกรีตหยาบ">#REF!</definedName>
    <definedName name="ค่าเสื่อมขุดรื้อคันทางเดิมผิวAC5ซม." localSheetId="3">#REF!</definedName>
    <definedName name="ค่าเสื่อมขุดรื้อคันทางเดิมผิวAC5ซม." localSheetId="18">#REF!</definedName>
    <definedName name="ค่าเสื่อมขุดรื้อคันทางเดิมผิวAC5ซม." localSheetId="19">#REF!</definedName>
    <definedName name="ค่าเสื่อมขุดรื้อคันทางเดิมผิวAC5ซม." localSheetId="9">#REF!</definedName>
    <definedName name="ค่าเสื่อมขุดรื้อคันทางเดิมผิวAC5ซม." localSheetId="10">#REF!</definedName>
    <definedName name="ค่าเสื่อมขุดรื้อคันทางเดิมผิวAC5ซม." localSheetId="11">#REF!</definedName>
    <definedName name="ค่าเสื่อมขุดรื้อคันทางเดิมผิวAC5ซม." localSheetId="12">#REF!</definedName>
    <definedName name="ค่าเสื่อมขุดรื้อคันทางเดิมผิวAC5ซม." localSheetId="13">#REF!</definedName>
    <definedName name="ค่าเสื่อมขุดรื้อคันทางเดิมผิวAC5ซม." localSheetId="14">#REF!</definedName>
    <definedName name="ค่าเสื่อมขุดรื้อคันทางเดิมผิวAC5ซม." localSheetId="15">#REF!</definedName>
    <definedName name="ค่าเสื่อมขุดรื้อคันทางเดิมผิวAC5ซม." localSheetId="16">#REF!</definedName>
    <definedName name="ค่าเสื่อมขุดรื้อคันทางเดิมผิวAC5ซม." localSheetId="17">#REF!</definedName>
    <definedName name="ค่าเสื่อมขุดรื้อคันทางเดิมผิวAC5ซม." localSheetId="8">#REF!</definedName>
    <definedName name="ค่าเสื่อมขุดรื้อคันทางเดิมผิวAC5ซม." localSheetId="7">#REF!</definedName>
    <definedName name="ค่าเสื่อมขุดรื้อคันทางเดิมผิวAC5ซม." localSheetId="6">#REF!</definedName>
    <definedName name="ค่าเสื่อมขุดรื้อคันทางเดิมผิวAC5ซม." localSheetId="20">#REF!</definedName>
    <definedName name="ค่าเสื่อมขุดรื้อคันทางเดิมผิวAC5ซม." localSheetId="5">#REF!</definedName>
    <definedName name="ค่าเสื่อมขุดรื้อคันทางเดิมผิวAC5ซม." localSheetId="21">#REF!</definedName>
    <definedName name="ค่าเสื่อมขุดรื้อคันทางเดิมผิวAC5ซม." localSheetId="34">#REF!</definedName>
    <definedName name="ค่าเสื่อมขุดรื้อคันทางเดิมผิวAC5ซม." localSheetId="35">#REF!</definedName>
    <definedName name="ค่าเสื่อมขุดรื้อคันทางเดิมผิวAC5ซม." localSheetId="25">#REF!</definedName>
    <definedName name="ค่าเสื่อมขุดรื้อคันทางเดิมผิวAC5ซม." localSheetId="27">#REF!</definedName>
    <definedName name="ค่าเสื่อมขุดรื้อคันทางเดิมผิวAC5ซม." localSheetId="28">#REF!</definedName>
    <definedName name="ค่าเสื่อมขุดรื้อคันทางเดิมผิวAC5ซม." localSheetId="29">#REF!</definedName>
    <definedName name="ค่าเสื่อมขุดรื้อคันทางเดิมผิวAC5ซม." localSheetId="31">#REF!</definedName>
    <definedName name="ค่าเสื่อมขุดรื้อคันทางเดิมผิวAC5ซม." localSheetId="32">#REF!</definedName>
    <definedName name="ค่าเสื่อมขุดรื้อคันทางเดิมผิวAC5ซม." localSheetId="33">#REF!</definedName>
    <definedName name="ค่าเสื่อมขุดรื้อคันทางเดิมผิวAC5ซม." localSheetId="24">#REF!</definedName>
    <definedName name="ค่าเสื่อมขุดรื้อคันทางเดิมผิวAC5ซม." localSheetId="23">#REF!</definedName>
    <definedName name="ค่าเสื่อมขุดรื้อคันทางเดิมผิวAC5ซม." localSheetId="36">#REF!</definedName>
    <definedName name="ค่าเสื่อมขุดรื้อคันทางเดิมผิวAC5ซม." localSheetId="22">#REF!</definedName>
    <definedName name="ค่าเสื่อมขุดรื้อคันทางเดิมผิวAC5ซม." localSheetId="26">#REF!</definedName>
    <definedName name="ค่าเสื่อมขุดรื้อคันทางเดิมผิวAC5ซม." localSheetId="30">#REF!</definedName>
    <definedName name="ค่าเสื่อมขุดรื้อคันทางเดิมผิวAC5ซม." localSheetId="85">#REF!</definedName>
    <definedName name="ค่าเสื่อมขุดรื้อคันทางเดิมผิวAC5ซม." localSheetId="86">#REF!</definedName>
    <definedName name="ค่าเสื่อมขุดรื้อคันทางเดิมผิวAC5ซม." localSheetId="2">#REF!</definedName>
    <definedName name="ค่าเสื่อมขุดรื้อคันทางเดิมผิวAC5ซม.">#REF!</definedName>
    <definedName name="ค่าเสื่อมขุดรื้อคันทางเดิมผิวคอนกรีต20ซม." localSheetId="3">#REF!</definedName>
    <definedName name="ค่าเสื่อมขุดรื้อคันทางเดิมผิวคอนกรีต20ซม." localSheetId="2">#REF!</definedName>
    <definedName name="ค่าเสื่อมขุดรื้อคันทางเดิมผิวคอนกรีต20ซม.">#REF!</definedName>
    <definedName name="ค่าเสื่อมขุดรื้อคันทางเดิมลูกรัง10ซม." localSheetId="3">#REF!</definedName>
    <definedName name="ค่าเสื่อมขุดรื้อคันทางเดิมลูกรัง10ซม." localSheetId="2">#REF!</definedName>
    <definedName name="ค่าเสื่อมขุดรื้อคันทางเดิมลูกรัง10ซม.">#REF!</definedName>
    <definedName name="ค่าเสื่อมขุดรื้อคันทางเดิมหินคลุก10ซม." localSheetId="3">#REF!</definedName>
    <definedName name="ค่าเสื่อมขุดรื้อคันทางเดิมหินคลุก10ซม." localSheetId="2">#REF!</definedName>
    <definedName name="ค่าเสื่อมขุดรื้อคันทางเดิมหินคลุก10ซม.">#REF!</definedName>
    <definedName name="ค่าเสื่อมค่าขนส่งคอนกรีต">'[13]ค่าดำเนินการ+ค่าเสื่อมราคา'!$I$57</definedName>
    <definedName name="ค่าเสื่อมค่าตัดรอยต่อคอนกรีตและหยอดยาง" localSheetId="3">#REF!</definedName>
    <definedName name="ค่าเสื่อมค่าตัดรอยต่อคอนกรีตและหยอดยาง" localSheetId="4">#REF!</definedName>
    <definedName name="ค่าเสื่อมค่าตัดรอยต่อคอนกรีตและหยอดยาง" localSheetId="18">#REF!</definedName>
    <definedName name="ค่าเสื่อมค่าตัดรอยต่อคอนกรีตและหยอดยาง" localSheetId="19">#REF!</definedName>
    <definedName name="ค่าเสื่อมค่าตัดรอยต่อคอนกรีตและหยอดยาง" localSheetId="9">#REF!</definedName>
    <definedName name="ค่าเสื่อมค่าตัดรอยต่อคอนกรีตและหยอดยาง" localSheetId="10">#REF!</definedName>
    <definedName name="ค่าเสื่อมค่าตัดรอยต่อคอนกรีตและหยอดยาง" localSheetId="11">#REF!</definedName>
    <definedName name="ค่าเสื่อมค่าตัดรอยต่อคอนกรีตและหยอดยาง" localSheetId="12">#REF!</definedName>
    <definedName name="ค่าเสื่อมค่าตัดรอยต่อคอนกรีตและหยอดยาง" localSheetId="13">#REF!</definedName>
    <definedName name="ค่าเสื่อมค่าตัดรอยต่อคอนกรีตและหยอดยาง" localSheetId="14">#REF!</definedName>
    <definedName name="ค่าเสื่อมค่าตัดรอยต่อคอนกรีตและหยอดยาง" localSheetId="15">#REF!</definedName>
    <definedName name="ค่าเสื่อมค่าตัดรอยต่อคอนกรีตและหยอดยาง" localSheetId="16">#REF!</definedName>
    <definedName name="ค่าเสื่อมค่าตัดรอยต่อคอนกรีตและหยอดยาง" localSheetId="17">#REF!</definedName>
    <definedName name="ค่าเสื่อมค่าตัดรอยต่อคอนกรีตและหยอดยาง" localSheetId="8">#REF!</definedName>
    <definedName name="ค่าเสื่อมค่าตัดรอยต่อคอนกรีตและหยอดยาง" localSheetId="7">#REF!</definedName>
    <definedName name="ค่าเสื่อมค่าตัดรอยต่อคอนกรีตและหยอดยาง" localSheetId="6">#REF!</definedName>
    <definedName name="ค่าเสื่อมค่าตัดรอยต่อคอนกรีตและหยอดยาง" localSheetId="20">#REF!</definedName>
    <definedName name="ค่าเสื่อมค่าตัดรอยต่อคอนกรีตและหยอดยาง" localSheetId="5">#REF!</definedName>
    <definedName name="ค่าเสื่อมค่าตัดรอยต่อคอนกรีตและหยอดยาง" localSheetId="21">#REF!</definedName>
    <definedName name="ค่าเสื่อมค่าตัดรอยต่อคอนกรีตและหยอดยาง" localSheetId="34">#REF!</definedName>
    <definedName name="ค่าเสื่อมค่าตัดรอยต่อคอนกรีตและหยอดยาง" localSheetId="35">#REF!</definedName>
    <definedName name="ค่าเสื่อมค่าตัดรอยต่อคอนกรีตและหยอดยาง" localSheetId="25">#REF!</definedName>
    <definedName name="ค่าเสื่อมค่าตัดรอยต่อคอนกรีตและหยอดยาง" localSheetId="27">#REF!</definedName>
    <definedName name="ค่าเสื่อมค่าตัดรอยต่อคอนกรีตและหยอดยาง" localSheetId="28">#REF!</definedName>
    <definedName name="ค่าเสื่อมค่าตัดรอยต่อคอนกรีตและหยอดยาง" localSheetId="29">#REF!</definedName>
    <definedName name="ค่าเสื่อมค่าตัดรอยต่อคอนกรีตและหยอดยาง" localSheetId="31">#REF!</definedName>
    <definedName name="ค่าเสื่อมค่าตัดรอยต่อคอนกรีตและหยอดยาง" localSheetId="32">#REF!</definedName>
    <definedName name="ค่าเสื่อมค่าตัดรอยต่อคอนกรีตและหยอดยาง" localSheetId="33">#REF!</definedName>
    <definedName name="ค่าเสื่อมค่าตัดรอยต่อคอนกรีตและหยอดยาง" localSheetId="24">#REF!</definedName>
    <definedName name="ค่าเสื่อมค่าตัดรอยต่อคอนกรีตและหยอดยาง" localSheetId="23">#REF!</definedName>
    <definedName name="ค่าเสื่อมค่าตัดรอยต่อคอนกรีตและหยอดยาง" localSheetId="36">#REF!</definedName>
    <definedName name="ค่าเสื่อมค่าตัดรอยต่อคอนกรีตและหยอดยาง" localSheetId="22">#REF!</definedName>
    <definedName name="ค่าเสื่อมค่าตัดรอยต่อคอนกรีตและหยอดยาง" localSheetId="26">#REF!</definedName>
    <definedName name="ค่าเสื่อมค่าตัดรอยต่อคอนกรีตและหยอดยาง" localSheetId="30">#REF!</definedName>
    <definedName name="ค่าเสื่อมค่าตัดรอยต่อคอนกรีตและหยอดยาง" localSheetId="41">#REF!</definedName>
    <definedName name="ค่าเสื่อมค่าตัดรอยต่อคอนกรีตและหยอดยาง" localSheetId="50">#REF!</definedName>
    <definedName name="ค่าเสื่อมค่าตัดรอยต่อคอนกรีตและหยอดยาง" localSheetId="51">#REF!</definedName>
    <definedName name="ค่าเสื่อมค่าตัดรอยต่อคอนกรีตและหยอดยาง" localSheetId="42">#REF!</definedName>
    <definedName name="ค่าเสื่อมค่าตัดรอยต่อคอนกรีตและหยอดยาง" localSheetId="43">#REF!</definedName>
    <definedName name="ค่าเสื่อมค่าตัดรอยต่อคอนกรีตและหยอดยาง" localSheetId="44">#REF!</definedName>
    <definedName name="ค่าเสื่อมค่าตัดรอยต่อคอนกรีตและหยอดยาง" localSheetId="45">#REF!</definedName>
    <definedName name="ค่าเสื่อมค่าตัดรอยต่อคอนกรีตและหยอดยาง" localSheetId="46">#REF!</definedName>
    <definedName name="ค่าเสื่อมค่าตัดรอยต่อคอนกรีตและหยอดยาง" localSheetId="47">#REF!</definedName>
    <definedName name="ค่าเสื่อมค่าตัดรอยต่อคอนกรีตและหยอดยาง" localSheetId="48">#REF!</definedName>
    <definedName name="ค่าเสื่อมค่าตัดรอยต่อคอนกรีตและหยอดยาง" localSheetId="49">#REF!</definedName>
    <definedName name="ค่าเสื่อมค่าตัดรอยต่อคอนกรีตและหยอดยาง" localSheetId="52">#REF!</definedName>
    <definedName name="ค่าเสื่อมค่าตัดรอยต่อคอนกรีตและหยอดยาง" localSheetId="40">#REF!</definedName>
    <definedName name="ค่าเสื่อมค่าตัดรอยต่อคอนกรีตและหยอดยาง" localSheetId="39">#REF!</definedName>
    <definedName name="ค่าเสื่อมค่าตัดรอยต่อคอนกรีตและหยอดยาง" localSheetId="38">#REF!</definedName>
    <definedName name="ค่าเสื่อมค่าตัดรอยต่อคอนกรีตและหยอดยาง" localSheetId="37">#REF!</definedName>
    <definedName name="ค่าเสื่อมค่าตัดรอยต่อคอนกรีตและหยอดยาง" localSheetId="57">#REF!</definedName>
    <definedName name="ค่าเสื่อมค่าตัดรอยต่อคอนกรีตและหยอดยาง" localSheetId="66">#REF!</definedName>
    <definedName name="ค่าเสื่อมค่าตัดรอยต่อคอนกรีตและหยอดยาง" localSheetId="67">#REF!</definedName>
    <definedName name="ค่าเสื่อมค่าตัดรอยต่อคอนกรีตและหยอดยาง" localSheetId="58">#REF!</definedName>
    <definedName name="ค่าเสื่อมค่าตัดรอยต่อคอนกรีตและหยอดยาง" localSheetId="59">#REF!</definedName>
    <definedName name="ค่าเสื่อมค่าตัดรอยต่อคอนกรีตและหยอดยาง" localSheetId="60">#REF!</definedName>
    <definedName name="ค่าเสื่อมค่าตัดรอยต่อคอนกรีตและหยอดยาง" localSheetId="61">#REF!</definedName>
    <definedName name="ค่าเสื่อมค่าตัดรอยต่อคอนกรีตและหยอดยาง" localSheetId="62">#REF!</definedName>
    <definedName name="ค่าเสื่อมค่าตัดรอยต่อคอนกรีตและหยอดยาง" localSheetId="63">#REF!</definedName>
    <definedName name="ค่าเสื่อมค่าตัดรอยต่อคอนกรีตและหยอดยาง" localSheetId="64">#REF!</definedName>
    <definedName name="ค่าเสื่อมค่าตัดรอยต่อคอนกรีตและหยอดยาง" localSheetId="65">#REF!</definedName>
    <definedName name="ค่าเสื่อมค่าตัดรอยต่อคอนกรีตและหยอดยาง" localSheetId="68">#REF!</definedName>
    <definedName name="ค่าเสื่อมค่าตัดรอยต่อคอนกรีตและหยอดยาง" localSheetId="56">#REF!</definedName>
    <definedName name="ค่าเสื่อมค่าตัดรอยต่อคอนกรีตและหยอดยาง" localSheetId="55">#REF!</definedName>
    <definedName name="ค่าเสื่อมค่าตัดรอยต่อคอนกรีตและหยอดยาง" localSheetId="54">#REF!</definedName>
    <definedName name="ค่าเสื่อมค่าตัดรอยต่อคอนกรีตและหยอดยาง" localSheetId="69">#REF!</definedName>
    <definedName name="ค่าเสื่อมค่าตัดรอยต่อคอนกรีตและหยอดยาง" localSheetId="53">#REF!</definedName>
    <definedName name="ค่าเสื่อมค่าตัดรอยต่อคอนกรีตและหยอดยาง" localSheetId="85">#REF!</definedName>
    <definedName name="ค่าเสื่อมค่าตัดรอยต่อคอนกรีตและหยอดยาง" localSheetId="86">#REF!</definedName>
    <definedName name="ค่าเสื่อมค่าตัดรอยต่อคอนกรีตและหยอดยาง" localSheetId="2">#REF!</definedName>
    <definedName name="ค่าเสื่อมค่าตัดรอยต่อคอนกรีตและหยอดยาง">#REF!</definedName>
    <definedName name="ค่าเสื่อมค่าบ่มวัสดุลูกรัง" localSheetId="3">#REF!</definedName>
    <definedName name="ค่าเสื่อมค่าบ่มวัสดุลูกรัง" localSheetId="4">#REF!</definedName>
    <definedName name="ค่าเสื่อมค่าบ่มวัสดุลูกรัง" localSheetId="18">#REF!</definedName>
    <definedName name="ค่าเสื่อมค่าบ่มวัสดุลูกรัง" localSheetId="19">#REF!</definedName>
    <definedName name="ค่าเสื่อมค่าบ่มวัสดุลูกรัง" localSheetId="9">#REF!</definedName>
    <definedName name="ค่าเสื่อมค่าบ่มวัสดุลูกรัง" localSheetId="10">#REF!</definedName>
    <definedName name="ค่าเสื่อมค่าบ่มวัสดุลูกรัง" localSheetId="11">#REF!</definedName>
    <definedName name="ค่าเสื่อมค่าบ่มวัสดุลูกรัง" localSheetId="12">#REF!</definedName>
    <definedName name="ค่าเสื่อมค่าบ่มวัสดุลูกรัง" localSheetId="13">#REF!</definedName>
    <definedName name="ค่าเสื่อมค่าบ่มวัสดุลูกรัง" localSheetId="14">#REF!</definedName>
    <definedName name="ค่าเสื่อมค่าบ่มวัสดุลูกรัง" localSheetId="15">#REF!</definedName>
    <definedName name="ค่าเสื่อมค่าบ่มวัสดุลูกรัง" localSheetId="16">#REF!</definedName>
    <definedName name="ค่าเสื่อมค่าบ่มวัสดุลูกรัง" localSheetId="17">#REF!</definedName>
    <definedName name="ค่าเสื่อมค่าบ่มวัสดุลูกรัง" localSheetId="8">#REF!</definedName>
    <definedName name="ค่าเสื่อมค่าบ่มวัสดุลูกรัง" localSheetId="7">#REF!</definedName>
    <definedName name="ค่าเสื่อมค่าบ่มวัสดุลูกรัง" localSheetId="6">#REF!</definedName>
    <definedName name="ค่าเสื่อมค่าบ่มวัสดุลูกรัง" localSheetId="20">#REF!</definedName>
    <definedName name="ค่าเสื่อมค่าบ่มวัสดุลูกรัง" localSheetId="5">#REF!</definedName>
    <definedName name="ค่าเสื่อมค่าบ่มวัสดุลูกรัง" localSheetId="21">#REF!</definedName>
    <definedName name="ค่าเสื่อมค่าบ่มวัสดุลูกรัง" localSheetId="34">#REF!</definedName>
    <definedName name="ค่าเสื่อมค่าบ่มวัสดุลูกรัง" localSheetId="35">#REF!</definedName>
    <definedName name="ค่าเสื่อมค่าบ่มวัสดุลูกรัง" localSheetId="25">#REF!</definedName>
    <definedName name="ค่าเสื่อมค่าบ่มวัสดุลูกรัง" localSheetId="27">#REF!</definedName>
    <definedName name="ค่าเสื่อมค่าบ่มวัสดุลูกรัง" localSheetId="28">#REF!</definedName>
    <definedName name="ค่าเสื่อมค่าบ่มวัสดุลูกรัง" localSheetId="29">#REF!</definedName>
    <definedName name="ค่าเสื่อมค่าบ่มวัสดุลูกรัง" localSheetId="31">#REF!</definedName>
    <definedName name="ค่าเสื่อมค่าบ่มวัสดุลูกรัง" localSheetId="32">#REF!</definedName>
    <definedName name="ค่าเสื่อมค่าบ่มวัสดุลูกรัง" localSheetId="33">#REF!</definedName>
    <definedName name="ค่าเสื่อมค่าบ่มวัสดุลูกรัง" localSheetId="24">#REF!</definedName>
    <definedName name="ค่าเสื่อมค่าบ่มวัสดุลูกรัง" localSheetId="23">#REF!</definedName>
    <definedName name="ค่าเสื่อมค่าบ่มวัสดุลูกรัง" localSheetId="36">#REF!</definedName>
    <definedName name="ค่าเสื่อมค่าบ่มวัสดุลูกรัง" localSheetId="22">#REF!</definedName>
    <definedName name="ค่าเสื่อมค่าบ่มวัสดุลูกรัง" localSheetId="26">#REF!</definedName>
    <definedName name="ค่าเสื่อมค่าบ่มวัสดุลูกรัง" localSheetId="30">#REF!</definedName>
    <definedName name="ค่าเสื่อมค่าบ่มวัสดุลูกรัง" localSheetId="85">#REF!</definedName>
    <definedName name="ค่าเสื่อมค่าบ่มวัสดุลูกรัง" localSheetId="86">#REF!</definedName>
    <definedName name="ค่าเสื่อมค่าบ่มวัสดุลูกรัง" localSheetId="2">#REF!</definedName>
    <definedName name="ค่าเสื่อมค่าบ่มวัสดุลูกรัง">#REF!</definedName>
    <definedName name="ค่าเสื่อมค่าบ่มวัสดุหินคลุก" localSheetId="3">#REF!</definedName>
    <definedName name="ค่าเสื่อมค่าบ่มวัสดุหินคลุก" localSheetId="4">#REF!</definedName>
    <definedName name="ค่าเสื่อมค่าบ่มวัสดุหินคลุก" localSheetId="85">#REF!</definedName>
    <definedName name="ค่าเสื่อมค่าบ่มวัสดุหินคลุก" localSheetId="86">#REF!</definedName>
    <definedName name="ค่าเสื่อมค่าบ่มวัสดุหินคลุก" localSheetId="2">#REF!</definedName>
    <definedName name="ค่าเสื่อมค่าบ่มวัสดุหินคลุก">#REF!</definedName>
    <definedName name="ค่าเสื่อมค่าปูผิวคอนกรีต" localSheetId="3">#REF!</definedName>
    <definedName name="ค่าเสื่อมค่าปูผิวคอนกรีต" localSheetId="2">#REF!</definedName>
    <definedName name="ค่าเสื่อมค่าปูผิวคอนกรีต">#REF!</definedName>
    <definedName name="ค่าเสื่อมค่าผสมวัสดุลูกรัง" localSheetId="3">#REF!</definedName>
    <definedName name="ค่าเสื่อมค่าผสมวัสดุลูกรัง" localSheetId="2">#REF!</definedName>
    <definedName name="ค่าเสื่อมค่าผสมวัสดุลูกรัง">#REF!</definedName>
    <definedName name="ค่าเสื่อมค่าหยอดยางรอยต่อคอนกรีต" localSheetId="3">#REF!</definedName>
    <definedName name="ค่าเสื่อมค่าหยอดยางรอยต่อคอนกรีต" localSheetId="2">#REF!</definedName>
    <definedName name="ค่าเสื่อมค่าหยอดยางรอยต่อคอนกรีต">#REF!</definedName>
    <definedName name="ค่าเสื่อมงานเคลือบหิน2ชั้น1.5" localSheetId="3">#REF!</definedName>
    <definedName name="ค่าเสื่อมงานเคลือบหิน2ชั้น1.5" localSheetId="2">#REF!</definedName>
    <definedName name="ค่าเสื่อมงานเคลือบหิน2ชั้น1.5">#REF!</definedName>
    <definedName name="ค่าเสื่อมงานเคลือบหิน2ชั้นเ3_4" localSheetId="3">#REF!</definedName>
    <definedName name="ค่าเสื่อมงานเคลือบหิน2ชั้นเ3_4" localSheetId="2">#REF!</definedName>
    <definedName name="ค่าเสื่อมงานเคลือบหิน2ชั้นเ3_4">#REF!</definedName>
    <definedName name="ค่าเสื่อมงานเคลือบหินชั้นเดียว0.5" localSheetId="3">#REF!</definedName>
    <definedName name="ค่าเสื่อมงานเคลือบหินชั้นเดียว0.5" localSheetId="2">#REF!</definedName>
    <definedName name="ค่าเสื่อมงานเคลือบหินชั้นเดียว0.5">#REF!</definedName>
    <definedName name="ค่าเสื่อมงานเคลือบหินชั้นเดียว3_4" localSheetId="3">#REF!</definedName>
    <definedName name="ค่าเสื่อมงานเคลือบหินชั้นเดียว3_4" localSheetId="2">#REF!</definedName>
    <definedName name="ค่าเสื่อมงานเคลือบหินชั้นเดียว3_4">#REF!</definedName>
    <definedName name="ค่าเสื่อมงานผิวทางแบบบาง2ชั้น1.5" localSheetId="3">#REF!</definedName>
    <definedName name="ค่าเสื่อมงานผิวทางแบบบาง2ชั้น1.5" localSheetId="2">#REF!</definedName>
    <definedName name="ค่าเสื่อมงานผิวทางแบบบาง2ชั้น1.5">#REF!</definedName>
    <definedName name="ค่าเสื่อมงานผิวทางแบบบาง2ชั้น3_4" localSheetId="3">#REF!</definedName>
    <definedName name="ค่าเสื่อมงานผิวทางแบบบาง2ชั้น3_4" localSheetId="2">#REF!</definedName>
    <definedName name="ค่าเสื่อมงานผิวทางแบบบาง2ชั้น3_4">#REF!</definedName>
    <definedName name="ค่าเสื่อมงานผิวทางแบบบางชั้นเดียว0.5" localSheetId="3">#REF!</definedName>
    <definedName name="ค่าเสื่อมงานผิวทางแบบบางชั้นเดียว0.5" localSheetId="2">#REF!</definedName>
    <definedName name="ค่าเสื่อมงานผิวทางแบบบางชั้นเดียว0.5">#REF!</definedName>
    <definedName name="ค่าเสื่อมงานผิวทางแบบบางชั้นเดียว3_4" localSheetId="3">#REF!</definedName>
    <definedName name="ค่าเสื่อมงานผิวทางแบบบางชั้นเดียว3_4" localSheetId="2">#REF!</definedName>
    <definedName name="ค่าเสื่อมงานผิวทางแบบบางชั้นเดียว3_4">#REF!</definedName>
    <definedName name="ค่าเสื่อมงานราดยางPrimeCoat" localSheetId="3">#REF!</definedName>
    <definedName name="ค่าเสื่อมงานราดยางPrimeCoat" localSheetId="2">#REF!</definedName>
    <definedName name="ค่าเสื่อมงานราดยางPrimeCoat">#REF!</definedName>
    <definedName name="ค่าเสื่อมงานราดยางTackCoat" localSheetId="3">#REF!</definedName>
    <definedName name="ค่าเสื่อมงานราดยางTackCoat" localSheetId="2">#REF!</definedName>
    <definedName name="ค่าเสื่อมงานราดยางTackCoat">#REF!</definedName>
    <definedName name="ค่าเสื่อมวัสดุคัดเลือกไหล่ทางบดทับ" localSheetId="3">#REF!</definedName>
    <definedName name="ค่าเสื่อมวัสดุคัดเลือกไหล่ทางบดทับ" localSheetId="2">#REF!</definedName>
    <definedName name="ค่าเสื่อมวัสดุคัดเลือกไหล่ทางบดทับ">#REF!</definedName>
    <definedName name="ค่าเสื่อมวัสดุคัดเลือกไหล่ทางผสม" localSheetId="3">#REF!</definedName>
    <definedName name="ค่าเสื่อมวัสดุคัดเลือกไหล่ทางผสม" localSheetId="2">#REF!</definedName>
    <definedName name="ค่าเสื่อมวัสดุคัดเลือกไหล่ทางผสม">#REF!</definedName>
    <definedName name="ค่าเสื่อมวัสดุคัดเลือกขุด_ขน" localSheetId="3">#REF!</definedName>
    <definedName name="ค่าเสื่อมวัสดุคัดเลือกขุด_ขน" localSheetId="2">#REF!</definedName>
    <definedName name="ค่าเสื่อมวัสดุคัดเลือกขุด_ขน">#REF!</definedName>
    <definedName name="ค่าเสื่อมวัสดุคัดเลือกบททับ" localSheetId="3">#REF!</definedName>
    <definedName name="ค่าเสื่อมวัสดุคัดเลือกบททับ" localSheetId="2">#REF!</definedName>
    <definedName name="ค่าเสื่อมวัสดุคัดเลือกบททับ">#REF!</definedName>
    <definedName name="ค่าเสื่อมหินคลุกตัดแต่งขั้นบันได" localSheetId="3">#REF!</definedName>
    <definedName name="ค่าเสื่อมหินคลุกตัดแต่งขั้นบันได" localSheetId="2">#REF!</definedName>
    <definedName name="ค่าเสื่อมหินคลุกตัดแต่งขั้นบันได">#REF!</definedName>
    <definedName name="ค่าเสื่อมหินคลุกบดทับ" localSheetId="3">#REF!</definedName>
    <definedName name="ค่าเสื่อมหินคลุกบดทับ" localSheetId="2">#REF!</definedName>
    <definedName name="ค่าเสื่อมหินคลุกบดทับ">#REF!</definedName>
    <definedName name="ค่าแบบข้าง" localSheetId="3">#REF!</definedName>
    <definedName name="ค่าแบบข้าง" localSheetId="2">#REF!</definedName>
    <definedName name="ค่าแบบข้าง">#REF!</definedName>
    <definedName name="ค่าแรงเหล็ก_light_lip_channel" localSheetId="3">#REF!</definedName>
    <definedName name="ค่าแรงเหล็ก_light_lip_channel" localSheetId="2">#REF!</definedName>
    <definedName name="ค่าแรงเหล็ก_light_lip_channel">#REF!</definedName>
    <definedName name="ค่าแรงไม้แบบ" localSheetId="3">#REF!</definedName>
    <definedName name="ค่าแรงไม้แบบ" localSheetId="2">#REF!</definedName>
    <definedName name="ค่าแรงไม้แบบ">#REF!</definedName>
    <definedName name="ค่าแรงดัดเหล็ก_ผูกเหล็ก" localSheetId="3">#REF!</definedName>
    <definedName name="ค่าแรงดัดเหล็ก_ผูกเหล็ก" localSheetId="2">#REF!</definedName>
    <definedName name="ค่าแรงดัดเหล็ก_ผูกเหล็ก">#REF!</definedName>
    <definedName name="ค่าขนทิ้ง_ตัน" localSheetId="3">#REF!</definedName>
    <definedName name="ค่าขนทิ้ง_ตัน" localSheetId="4">#REF!</definedName>
    <definedName name="ค่าขนทิ้ง_ตัน" localSheetId="86">#REF!</definedName>
    <definedName name="ค่าขนทิ้ง_ตัน" localSheetId="2">#REF!</definedName>
    <definedName name="ค่าขนทิ้ง_ตัน">#REF!</definedName>
    <definedName name="ค่าขนทิ้ง_ตัน_10ล้อ">'[13]ค่าขนส่ง-1'!$L$61</definedName>
    <definedName name="ค่าขนทิ้ง_ตัน_พ่วง">'[13]ค่าขนส่ง-1'!$L$78</definedName>
    <definedName name="ค่าขนทิ้ง_ลบม" localSheetId="3">#REF!</definedName>
    <definedName name="ค่าขนทิ้ง_ลบม" localSheetId="4">#REF!</definedName>
    <definedName name="ค่าขนทิ้ง_ลบม" localSheetId="18">#REF!</definedName>
    <definedName name="ค่าขนทิ้ง_ลบม" localSheetId="19">#REF!</definedName>
    <definedName name="ค่าขนทิ้ง_ลบม" localSheetId="9">#REF!</definedName>
    <definedName name="ค่าขนทิ้ง_ลบม" localSheetId="10">#REF!</definedName>
    <definedName name="ค่าขนทิ้ง_ลบม" localSheetId="11">#REF!</definedName>
    <definedName name="ค่าขนทิ้ง_ลบม" localSheetId="12">#REF!</definedName>
    <definedName name="ค่าขนทิ้ง_ลบม" localSheetId="13">#REF!</definedName>
    <definedName name="ค่าขนทิ้ง_ลบม" localSheetId="14">#REF!</definedName>
    <definedName name="ค่าขนทิ้ง_ลบม" localSheetId="15">#REF!</definedName>
    <definedName name="ค่าขนทิ้ง_ลบม" localSheetId="16">#REF!</definedName>
    <definedName name="ค่าขนทิ้ง_ลบม" localSheetId="17">#REF!</definedName>
    <definedName name="ค่าขนทิ้ง_ลบม" localSheetId="8">#REF!</definedName>
    <definedName name="ค่าขนทิ้ง_ลบม" localSheetId="7">#REF!</definedName>
    <definedName name="ค่าขนทิ้ง_ลบม" localSheetId="6">#REF!</definedName>
    <definedName name="ค่าขนทิ้ง_ลบม" localSheetId="20">#REF!</definedName>
    <definedName name="ค่าขนทิ้ง_ลบม" localSheetId="5">#REF!</definedName>
    <definedName name="ค่าขนทิ้ง_ลบม" localSheetId="21">#REF!</definedName>
    <definedName name="ค่าขนทิ้ง_ลบม" localSheetId="34">#REF!</definedName>
    <definedName name="ค่าขนทิ้ง_ลบม" localSheetId="35">#REF!</definedName>
    <definedName name="ค่าขนทิ้ง_ลบม" localSheetId="25">#REF!</definedName>
    <definedName name="ค่าขนทิ้ง_ลบม" localSheetId="27">#REF!</definedName>
    <definedName name="ค่าขนทิ้ง_ลบม" localSheetId="28">#REF!</definedName>
    <definedName name="ค่าขนทิ้ง_ลบม" localSheetId="29">#REF!</definedName>
    <definedName name="ค่าขนทิ้ง_ลบม" localSheetId="31">#REF!</definedName>
    <definedName name="ค่าขนทิ้ง_ลบม" localSheetId="32">#REF!</definedName>
    <definedName name="ค่าขนทิ้ง_ลบม" localSheetId="33">#REF!</definedName>
    <definedName name="ค่าขนทิ้ง_ลบม" localSheetId="24">#REF!</definedName>
    <definedName name="ค่าขนทิ้ง_ลบม" localSheetId="23">#REF!</definedName>
    <definedName name="ค่าขนทิ้ง_ลบม" localSheetId="36">#REF!</definedName>
    <definedName name="ค่าขนทิ้ง_ลบม" localSheetId="22">#REF!</definedName>
    <definedName name="ค่าขนทิ้ง_ลบม" localSheetId="26">#REF!</definedName>
    <definedName name="ค่าขนทิ้ง_ลบม" localSheetId="30">#REF!</definedName>
    <definedName name="ค่าขนทิ้ง_ลบม" localSheetId="41">#REF!</definedName>
    <definedName name="ค่าขนทิ้ง_ลบม" localSheetId="50">#REF!</definedName>
    <definedName name="ค่าขนทิ้ง_ลบม" localSheetId="51">#REF!</definedName>
    <definedName name="ค่าขนทิ้ง_ลบม" localSheetId="42">#REF!</definedName>
    <definedName name="ค่าขนทิ้ง_ลบม" localSheetId="43">#REF!</definedName>
    <definedName name="ค่าขนทิ้ง_ลบม" localSheetId="44">#REF!</definedName>
    <definedName name="ค่าขนทิ้ง_ลบม" localSheetId="45">#REF!</definedName>
    <definedName name="ค่าขนทิ้ง_ลบม" localSheetId="46">#REF!</definedName>
    <definedName name="ค่าขนทิ้ง_ลบม" localSheetId="47">#REF!</definedName>
    <definedName name="ค่าขนทิ้ง_ลบม" localSheetId="48">#REF!</definedName>
    <definedName name="ค่าขนทิ้ง_ลบม" localSheetId="49">#REF!</definedName>
    <definedName name="ค่าขนทิ้ง_ลบม" localSheetId="52">#REF!</definedName>
    <definedName name="ค่าขนทิ้ง_ลบม" localSheetId="40">#REF!</definedName>
    <definedName name="ค่าขนทิ้ง_ลบม" localSheetId="39">#REF!</definedName>
    <definedName name="ค่าขนทิ้ง_ลบม" localSheetId="38">#REF!</definedName>
    <definedName name="ค่าขนทิ้ง_ลบม" localSheetId="37">#REF!</definedName>
    <definedName name="ค่าขนทิ้ง_ลบม" localSheetId="57">#REF!</definedName>
    <definedName name="ค่าขนทิ้ง_ลบม" localSheetId="66">#REF!</definedName>
    <definedName name="ค่าขนทิ้ง_ลบม" localSheetId="67">#REF!</definedName>
    <definedName name="ค่าขนทิ้ง_ลบม" localSheetId="58">#REF!</definedName>
    <definedName name="ค่าขนทิ้ง_ลบม" localSheetId="59">#REF!</definedName>
    <definedName name="ค่าขนทิ้ง_ลบม" localSheetId="60">#REF!</definedName>
    <definedName name="ค่าขนทิ้ง_ลบม" localSheetId="61">#REF!</definedName>
    <definedName name="ค่าขนทิ้ง_ลบม" localSheetId="62">#REF!</definedName>
    <definedName name="ค่าขนทิ้ง_ลบม" localSheetId="63">#REF!</definedName>
    <definedName name="ค่าขนทิ้ง_ลบม" localSheetId="64">#REF!</definedName>
    <definedName name="ค่าขนทิ้ง_ลบม" localSheetId="65">#REF!</definedName>
    <definedName name="ค่าขนทิ้ง_ลบม" localSheetId="68">#REF!</definedName>
    <definedName name="ค่าขนทิ้ง_ลบม" localSheetId="56">#REF!</definedName>
    <definedName name="ค่าขนทิ้ง_ลบม" localSheetId="55">#REF!</definedName>
    <definedName name="ค่าขนทิ้ง_ลบม" localSheetId="54">#REF!</definedName>
    <definedName name="ค่าขนทิ้ง_ลบม" localSheetId="69">#REF!</definedName>
    <definedName name="ค่าขนทิ้ง_ลบม" localSheetId="53">#REF!</definedName>
    <definedName name="ค่าขนทิ้ง_ลบม" localSheetId="85">#REF!</definedName>
    <definedName name="ค่าขนทิ้ง_ลบม" localSheetId="86">#REF!</definedName>
    <definedName name="ค่าขนทิ้ง_ลบม" localSheetId="2">#REF!</definedName>
    <definedName name="ค่าขนทิ้ง_ลบม">#REF!</definedName>
    <definedName name="ค่าขนทิ้ง_ลบม_10ล้อ">'[13]ค่าขนส่ง-1'!$M$61</definedName>
    <definedName name="ค่าขนทิ้ง_ลบม_พ่วง">'[13]ค่าขนส่ง-1'!$M$78</definedName>
    <definedName name="ค่าขนทิ้ง1_10ล้อ">'[14]ค่าขนส่ง-1'!$L$59</definedName>
    <definedName name="ค่าขนทิ้ง1_พ่วง" localSheetId="3">#REF!</definedName>
    <definedName name="ค่าขนทิ้ง1_พ่วง" localSheetId="4">#REF!</definedName>
    <definedName name="ค่าขนทิ้ง1_พ่วง" localSheetId="18">#REF!</definedName>
    <definedName name="ค่าขนทิ้ง1_พ่วง" localSheetId="19">#REF!</definedName>
    <definedName name="ค่าขนทิ้ง1_พ่วง" localSheetId="9">#REF!</definedName>
    <definedName name="ค่าขนทิ้ง1_พ่วง" localSheetId="10">#REF!</definedName>
    <definedName name="ค่าขนทิ้ง1_พ่วง" localSheetId="11">#REF!</definedName>
    <definedName name="ค่าขนทิ้ง1_พ่วง" localSheetId="12">#REF!</definedName>
    <definedName name="ค่าขนทิ้ง1_พ่วง" localSheetId="13">#REF!</definedName>
    <definedName name="ค่าขนทิ้ง1_พ่วง" localSheetId="14">#REF!</definedName>
    <definedName name="ค่าขนทิ้ง1_พ่วง" localSheetId="15">#REF!</definedName>
    <definedName name="ค่าขนทิ้ง1_พ่วง" localSheetId="16">#REF!</definedName>
    <definedName name="ค่าขนทิ้ง1_พ่วง" localSheetId="17">#REF!</definedName>
    <definedName name="ค่าขนทิ้ง1_พ่วง" localSheetId="8">#REF!</definedName>
    <definedName name="ค่าขนทิ้ง1_พ่วง" localSheetId="7">#REF!</definedName>
    <definedName name="ค่าขนทิ้ง1_พ่วง" localSheetId="6">#REF!</definedName>
    <definedName name="ค่าขนทิ้ง1_พ่วง" localSheetId="20">#REF!</definedName>
    <definedName name="ค่าขนทิ้ง1_พ่วง" localSheetId="5">#REF!</definedName>
    <definedName name="ค่าขนทิ้ง1_พ่วง" localSheetId="21">#REF!</definedName>
    <definedName name="ค่าขนทิ้ง1_พ่วง" localSheetId="34">#REF!</definedName>
    <definedName name="ค่าขนทิ้ง1_พ่วง" localSheetId="35">#REF!</definedName>
    <definedName name="ค่าขนทิ้ง1_พ่วง" localSheetId="25">#REF!</definedName>
    <definedName name="ค่าขนทิ้ง1_พ่วง" localSheetId="27">#REF!</definedName>
    <definedName name="ค่าขนทิ้ง1_พ่วง" localSheetId="28">#REF!</definedName>
    <definedName name="ค่าขนทิ้ง1_พ่วง" localSheetId="29">#REF!</definedName>
    <definedName name="ค่าขนทิ้ง1_พ่วง" localSheetId="31">#REF!</definedName>
    <definedName name="ค่าขนทิ้ง1_พ่วง" localSheetId="32">#REF!</definedName>
    <definedName name="ค่าขนทิ้ง1_พ่วง" localSheetId="33">#REF!</definedName>
    <definedName name="ค่าขนทิ้ง1_พ่วง" localSheetId="24">#REF!</definedName>
    <definedName name="ค่าขนทิ้ง1_พ่วง" localSheetId="23">#REF!</definedName>
    <definedName name="ค่าขนทิ้ง1_พ่วง" localSheetId="36">#REF!</definedName>
    <definedName name="ค่าขนทิ้ง1_พ่วง" localSheetId="22">#REF!</definedName>
    <definedName name="ค่าขนทิ้ง1_พ่วง" localSheetId="26">#REF!</definedName>
    <definedName name="ค่าขนทิ้ง1_พ่วง" localSheetId="30">#REF!</definedName>
    <definedName name="ค่าขนทิ้ง1_พ่วง" localSheetId="41">#REF!</definedName>
    <definedName name="ค่าขนทิ้ง1_พ่วง" localSheetId="50">#REF!</definedName>
    <definedName name="ค่าขนทิ้ง1_พ่วง" localSheetId="51">#REF!</definedName>
    <definedName name="ค่าขนทิ้ง1_พ่วง" localSheetId="42">#REF!</definedName>
    <definedName name="ค่าขนทิ้ง1_พ่วง" localSheetId="43">#REF!</definedName>
    <definedName name="ค่าขนทิ้ง1_พ่วง" localSheetId="44">#REF!</definedName>
    <definedName name="ค่าขนทิ้ง1_พ่วง" localSheetId="45">#REF!</definedName>
    <definedName name="ค่าขนทิ้ง1_พ่วง" localSheetId="46">#REF!</definedName>
    <definedName name="ค่าขนทิ้ง1_พ่วง" localSheetId="47">#REF!</definedName>
    <definedName name="ค่าขนทิ้ง1_พ่วง" localSheetId="48">#REF!</definedName>
    <definedName name="ค่าขนทิ้ง1_พ่วง" localSheetId="49">#REF!</definedName>
    <definedName name="ค่าขนทิ้ง1_พ่วง" localSheetId="52">#REF!</definedName>
    <definedName name="ค่าขนทิ้ง1_พ่วง" localSheetId="40">#REF!</definedName>
    <definedName name="ค่าขนทิ้ง1_พ่วง" localSheetId="39">#REF!</definedName>
    <definedName name="ค่าขนทิ้ง1_พ่วง" localSheetId="38">#REF!</definedName>
    <definedName name="ค่าขนทิ้ง1_พ่วง" localSheetId="37">#REF!</definedName>
    <definedName name="ค่าขนทิ้ง1_พ่วง" localSheetId="57">#REF!</definedName>
    <definedName name="ค่าขนทิ้ง1_พ่วง" localSheetId="66">#REF!</definedName>
    <definedName name="ค่าขนทิ้ง1_พ่วง" localSheetId="67">#REF!</definedName>
    <definedName name="ค่าขนทิ้ง1_พ่วง" localSheetId="58">#REF!</definedName>
    <definedName name="ค่าขนทิ้ง1_พ่วง" localSheetId="59">#REF!</definedName>
    <definedName name="ค่าขนทิ้ง1_พ่วง" localSheetId="60">#REF!</definedName>
    <definedName name="ค่าขนทิ้ง1_พ่วง" localSheetId="61">#REF!</definedName>
    <definedName name="ค่าขนทิ้ง1_พ่วง" localSheetId="62">#REF!</definedName>
    <definedName name="ค่าขนทิ้ง1_พ่วง" localSheetId="63">#REF!</definedName>
    <definedName name="ค่าขนทิ้ง1_พ่วง" localSheetId="64">#REF!</definedName>
    <definedName name="ค่าขนทิ้ง1_พ่วง" localSheetId="65">#REF!</definedName>
    <definedName name="ค่าขนทิ้ง1_พ่วง" localSheetId="68">#REF!</definedName>
    <definedName name="ค่าขนทิ้ง1_พ่วง" localSheetId="56">#REF!</definedName>
    <definedName name="ค่าขนทิ้ง1_พ่วง" localSheetId="55">#REF!</definedName>
    <definedName name="ค่าขนทิ้ง1_พ่วง" localSheetId="54">#REF!</definedName>
    <definedName name="ค่าขนทิ้ง1_พ่วง" localSheetId="69">#REF!</definedName>
    <definedName name="ค่าขนทิ้ง1_พ่วง" localSheetId="53">#REF!</definedName>
    <definedName name="ค่าขนทิ้ง1_พ่วง" localSheetId="85">#REF!</definedName>
    <definedName name="ค่าขนทิ้ง1_พ่วง" localSheetId="86">#REF!</definedName>
    <definedName name="ค่าขนทิ้ง1_พ่วง" localSheetId="2">#REF!</definedName>
    <definedName name="ค่าขนทิ้ง1_พ่วง">#REF!</definedName>
    <definedName name="ค่าขนทิ้ง2_10ล้อ">'[14]ค่าขนส่ง-1'!$M$59</definedName>
    <definedName name="ค่าขนทิ้ง2_พ่วง" localSheetId="3">#REF!</definedName>
    <definedName name="ค่าขนทิ้ง2_พ่วง" localSheetId="4">#REF!</definedName>
    <definedName name="ค่าขนทิ้ง2_พ่วง" localSheetId="18">#REF!</definedName>
    <definedName name="ค่าขนทิ้ง2_พ่วง" localSheetId="19">#REF!</definedName>
    <definedName name="ค่าขนทิ้ง2_พ่วง" localSheetId="9">#REF!</definedName>
    <definedName name="ค่าขนทิ้ง2_พ่วง" localSheetId="10">#REF!</definedName>
    <definedName name="ค่าขนทิ้ง2_พ่วง" localSheetId="11">#REF!</definedName>
    <definedName name="ค่าขนทิ้ง2_พ่วง" localSheetId="12">#REF!</definedName>
    <definedName name="ค่าขนทิ้ง2_พ่วง" localSheetId="13">#REF!</definedName>
    <definedName name="ค่าขนทิ้ง2_พ่วง" localSheetId="14">#REF!</definedName>
    <definedName name="ค่าขนทิ้ง2_พ่วง" localSheetId="15">#REF!</definedName>
    <definedName name="ค่าขนทิ้ง2_พ่วง" localSheetId="16">#REF!</definedName>
    <definedName name="ค่าขนทิ้ง2_พ่วง" localSheetId="17">#REF!</definedName>
    <definedName name="ค่าขนทิ้ง2_พ่วง" localSheetId="8">#REF!</definedName>
    <definedName name="ค่าขนทิ้ง2_พ่วง" localSheetId="7">#REF!</definedName>
    <definedName name="ค่าขนทิ้ง2_พ่วง" localSheetId="6">#REF!</definedName>
    <definedName name="ค่าขนทิ้ง2_พ่วง" localSheetId="20">#REF!</definedName>
    <definedName name="ค่าขนทิ้ง2_พ่วง" localSheetId="5">#REF!</definedName>
    <definedName name="ค่าขนทิ้ง2_พ่วง" localSheetId="21">#REF!</definedName>
    <definedName name="ค่าขนทิ้ง2_พ่วง" localSheetId="34">#REF!</definedName>
    <definedName name="ค่าขนทิ้ง2_พ่วง" localSheetId="35">#REF!</definedName>
    <definedName name="ค่าขนทิ้ง2_พ่วง" localSheetId="25">#REF!</definedName>
    <definedName name="ค่าขนทิ้ง2_พ่วง" localSheetId="27">#REF!</definedName>
    <definedName name="ค่าขนทิ้ง2_พ่วง" localSheetId="28">#REF!</definedName>
    <definedName name="ค่าขนทิ้ง2_พ่วง" localSheetId="29">#REF!</definedName>
    <definedName name="ค่าขนทิ้ง2_พ่วง" localSheetId="31">#REF!</definedName>
    <definedName name="ค่าขนทิ้ง2_พ่วง" localSheetId="32">#REF!</definedName>
    <definedName name="ค่าขนทิ้ง2_พ่วง" localSheetId="33">#REF!</definedName>
    <definedName name="ค่าขนทิ้ง2_พ่วง" localSheetId="24">#REF!</definedName>
    <definedName name="ค่าขนทิ้ง2_พ่วง" localSheetId="23">#REF!</definedName>
    <definedName name="ค่าขนทิ้ง2_พ่วง" localSheetId="36">#REF!</definedName>
    <definedName name="ค่าขนทิ้ง2_พ่วง" localSheetId="22">#REF!</definedName>
    <definedName name="ค่าขนทิ้ง2_พ่วง" localSheetId="26">#REF!</definedName>
    <definedName name="ค่าขนทิ้ง2_พ่วง" localSheetId="30">#REF!</definedName>
    <definedName name="ค่าขนทิ้ง2_พ่วง" localSheetId="41">#REF!</definedName>
    <definedName name="ค่าขนทิ้ง2_พ่วง" localSheetId="50">#REF!</definedName>
    <definedName name="ค่าขนทิ้ง2_พ่วง" localSheetId="51">#REF!</definedName>
    <definedName name="ค่าขนทิ้ง2_พ่วง" localSheetId="42">#REF!</definedName>
    <definedName name="ค่าขนทิ้ง2_พ่วง" localSheetId="43">#REF!</definedName>
    <definedName name="ค่าขนทิ้ง2_พ่วง" localSheetId="44">#REF!</definedName>
    <definedName name="ค่าขนทิ้ง2_พ่วง" localSheetId="45">#REF!</definedName>
    <definedName name="ค่าขนทิ้ง2_พ่วง" localSheetId="46">#REF!</definedName>
    <definedName name="ค่าขนทิ้ง2_พ่วง" localSheetId="47">#REF!</definedName>
    <definedName name="ค่าขนทิ้ง2_พ่วง" localSheetId="48">#REF!</definedName>
    <definedName name="ค่าขนทิ้ง2_พ่วง" localSheetId="49">#REF!</definedName>
    <definedName name="ค่าขนทิ้ง2_พ่วง" localSheetId="52">#REF!</definedName>
    <definedName name="ค่าขนทิ้ง2_พ่วง" localSheetId="40">#REF!</definedName>
    <definedName name="ค่าขนทิ้ง2_พ่วง" localSheetId="39">#REF!</definedName>
    <definedName name="ค่าขนทิ้ง2_พ่วง" localSheetId="38">#REF!</definedName>
    <definedName name="ค่าขนทิ้ง2_พ่วง" localSheetId="37">#REF!</definedName>
    <definedName name="ค่าขนทิ้ง2_พ่วง" localSheetId="57">#REF!</definedName>
    <definedName name="ค่าขนทิ้ง2_พ่วง" localSheetId="66">#REF!</definedName>
    <definedName name="ค่าขนทิ้ง2_พ่วง" localSheetId="67">#REF!</definedName>
    <definedName name="ค่าขนทิ้ง2_พ่วง" localSheetId="58">#REF!</definedName>
    <definedName name="ค่าขนทิ้ง2_พ่วง" localSheetId="59">#REF!</definedName>
    <definedName name="ค่าขนทิ้ง2_พ่วง" localSheetId="60">#REF!</definedName>
    <definedName name="ค่าขนทิ้ง2_พ่วง" localSheetId="61">#REF!</definedName>
    <definedName name="ค่าขนทิ้ง2_พ่วง" localSheetId="62">#REF!</definedName>
    <definedName name="ค่าขนทิ้ง2_พ่วง" localSheetId="63">#REF!</definedName>
    <definedName name="ค่าขนทิ้ง2_พ่วง" localSheetId="64">#REF!</definedName>
    <definedName name="ค่าขนทิ้ง2_พ่วง" localSheetId="65">#REF!</definedName>
    <definedName name="ค่าขนทิ้ง2_พ่วง" localSheetId="68">#REF!</definedName>
    <definedName name="ค่าขนทิ้ง2_พ่วง" localSheetId="56">#REF!</definedName>
    <definedName name="ค่าขนทิ้ง2_พ่วง" localSheetId="55">#REF!</definedName>
    <definedName name="ค่าขนทิ้ง2_พ่วง" localSheetId="54">#REF!</definedName>
    <definedName name="ค่าขนทิ้ง2_พ่วง" localSheetId="69">#REF!</definedName>
    <definedName name="ค่าขนทิ้ง2_พ่วง" localSheetId="53">#REF!</definedName>
    <definedName name="ค่าขนทิ้ง2_พ่วง" localSheetId="85">#REF!</definedName>
    <definedName name="ค่าขนทิ้ง2_พ่วง" localSheetId="86">#REF!</definedName>
    <definedName name="ค่าขนทิ้ง2_พ่วง" localSheetId="2">#REF!</definedName>
    <definedName name="ค่าขนทิ้ง2_พ่วง">#REF!</definedName>
    <definedName name="ค่าขนส่ง" localSheetId="3">#REF!</definedName>
    <definedName name="ค่าขนส่ง" localSheetId="4">#REF!</definedName>
    <definedName name="ค่าขนส่ง" localSheetId="18">#REF!</definedName>
    <definedName name="ค่าขนส่ง" localSheetId="19">#REF!</definedName>
    <definedName name="ค่าขนส่ง" localSheetId="9">#REF!</definedName>
    <definedName name="ค่าขนส่ง" localSheetId="10">#REF!</definedName>
    <definedName name="ค่าขนส่ง" localSheetId="11">#REF!</definedName>
    <definedName name="ค่าขนส่ง" localSheetId="12">#REF!</definedName>
    <definedName name="ค่าขนส่ง" localSheetId="13">#REF!</definedName>
    <definedName name="ค่าขนส่ง" localSheetId="14">#REF!</definedName>
    <definedName name="ค่าขนส่ง" localSheetId="15">#REF!</definedName>
    <definedName name="ค่าขนส่ง" localSheetId="16">#REF!</definedName>
    <definedName name="ค่าขนส่ง" localSheetId="17">#REF!</definedName>
    <definedName name="ค่าขนส่ง" localSheetId="8">#REF!</definedName>
    <definedName name="ค่าขนส่ง" localSheetId="7">#REF!</definedName>
    <definedName name="ค่าขนส่ง" localSheetId="6">#REF!</definedName>
    <definedName name="ค่าขนส่ง" localSheetId="20">#REF!</definedName>
    <definedName name="ค่าขนส่ง" localSheetId="5">#REF!</definedName>
    <definedName name="ค่าขนส่ง" localSheetId="21">#REF!</definedName>
    <definedName name="ค่าขนส่ง" localSheetId="34">#REF!</definedName>
    <definedName name="ค่าขนส่ง" localSheetId="35">#REF!</definedName>
    <definedName name="ค่าขนส่ง" localSheetId="25">#REF!</definedName>
    <definedName name="ค่าขนส่ง" localSheetId="27">#REF!</definedName>
    <definedName name="ค่าขนส่ง" localSheetId="28">#REF!</definedName>
    <definedName name="ค่าขนส่ง" localSheetId="29">#REF!</definedName>
    <definedName name="ค่าขนส่ง" localSheetId="31">#REF!</definedName>
    <definedName name="ค่าขนส่ง" localSheetId="32">#REF!</definedName>
    <definedName name="ค่าขนส่ง" localSheetId="33">#REF!</definedName>
    <definedName name="ค่าขนส่ง" localSheetId="24">#REF!</definedName>
    <definedName name="ค่าขนส่ง" localSheetId="23">#REF!</definedName>
    <definedName name="ค่าขนส่ง" localSheetId="36">#REF!</definedName>
    <definedName name="ค่าขนส่ง" localSheetId="22">#REF!</definedName>
    <definedName name="ค่าขนส่ง" localSheetId="26">#REF!</definedName>
    <definedName name="ค่าขนส่ง" localSheetId="30">#REF!</definedName>
    <definedName name="ค่าขนส่ง" localSheetId="85">#REF!</definedName>
    <definedName name="ค่าขนส่ง" localSheetId="86">#REF!</definedName>
    <definedName name="ค่าขนส่ง" localSheetId="2">#REF!</definedName>
    <definedName name="ค่าขนส่ง">#REF!</definedName>
    <definedName name="ค่าขนส่ง_กทม_ตัน_10ล้อ">'[13]ค่าขนส่ง-1'!$L$63</definedName>
    <definedName name="ค่าขนส่ง_กทม_ตัน_พ่วง" localSheetId="3">#REF!</definedName>
    <definedName name="ค่าขนส่ง_กทม_ตัน_พ่วง" localSheetId="4">#REF!</definedName>
    <definedName name="ค่าขนส่ง_กทม_ตัน_พ่วง" localSheetId="18">#REF!</definedName>
    <definedName name="ค่าขนส่ง_กทม_ตัน_พ่วง" localSheetId="19">#REF!</definedName>
    <definedName name="ค่าขนส่ง_กทม_ตัน_พ่วง" localSheetId="9">#REF!</definedName>
    <definedName name="ค่าขนส่ง_กทม_ตัน_พ่วง" localSheetId="10">#REF!</definedName>
    <definedName name="ค่าขนส่ง_กทม_ตัน_พ่วง" localSheetId="11">#REF!</definedName>
    <definedName name="ค่าขนส่ง_กทม_ตัน_พ่วง" localSheetId="12">#REF!</definedName>
    <definedName name="ค่าขนส่ง_กทม_ตัน_พ่วง" localSheetId="13">#REF!</definedName>
    <definedName name="ค่าขนส่ง_กทม_ตัน_พ่วง" localSheetId="14">#REF!</definedName>
    <definedName name="ค่าขนส่ง_กทม_ตัน_พ่วง" localSheetId="15">#REF!</definedName>
    <definedName name="ค่าขนส่ง_กทม_ตัน_พ่วง" localSheetId="16">#REF!</definedName>
    <definedName name="ค่าขนส่ง_กทม_ตัน_พ่วง" localSheetId="17">#REF!</definedName>
    <definedName name="ค่าขนส่ง_กทม_ตัน_พ่วง" localSheetId="8">#REF!</definedName>
    <definedName name="ค่าขนส่ง_กทม_ตัน_พ่วง" localSheetId="7">#REF!</definedName>
    <definedName name="ค่าขนส่ง_กทม_ตัน_พ่วง" localSheetId="6">#REF!</definedName>
    <definedName name="ค่าขนส่ง_กทม_ตัน_พ่วง" localSheetId="20">#REF!</definedName>
    <definedName name="ค่าขนส่ง_กทม_ตัน_พ่วง" localSheetId="5">#REF!</definedName>
    <definedName name="ค่าขนส่ง_กทม_ตัน_พ่วง" localSheetId="21">#REF!</definedName>
    <definedName name="ค่าขนส่ง_กทม_ตัน_พ่วง" localSheetId="34">#REF!</definedName>
    <definedName name="ค่าขนส่ง_กทม_ตัน_พ่วง" localSheetId="35">#REF!</definedName>
    <definedName name="ค่าขนส่ง_กทม_ตัน_พ่วง" localSheetId="25">#REF!</definedName>
    <definedName name="ค่าขนส่ง_กทม_ตัน_พ่วง" localSheetId="27">#REF!</definedName>
    <definedName name="ค่าขนส่ง_กทม_ตัน_พ่วง" localSheetId="28">#REF!</definedName>
    <definedName name="ค่าขนส่ง_กทม_ตัน_พ่วง" localSheetId="29">#REF!</definedName>
    <definedName name="ค่าขนส่ง_กทม_ตัน_พ่วง" localSheetId="31">#REF!</definedName>
    <definedName name="ค่าขนส่ง_กทม_ตัน_พ่วง" localSheetId="32">#REF!</definedName>
    <definedName name="ค่าขนส่ง_กทม_ตัน_พ่วง" localSheetId="33">#REF!</definedName>
    <definedName name="ค่าขนส่ง_กทม_ตัน_พ่วง" localSheetId="24">#REF!</definedName>
    <definedName name="ค่าขนส่ง_กทม_ตัน_พ่วง" localSheetId="23">#REF!</definedName>
    <definedName name="ค่าขนส่ง_กทม_ตัน_พ่วง" localSheetId="36">#REF!</definedName>
    <definedName name="ค่าขนส่ง_กทม_ตัน_พ่วง" localSheetId="22">#REF!</definedName>
    <definedName name="ค่าขนส่ง_กทม_ตัน_พ่วง" localSheetId="26">#REF!</definedName>
    <definedName name="ค่าขนส่ง_กทม_ตัน_พ่วง" localSheetId="30">#REF!</definedName>
    <definedName name="ค่าขนส่ง_กทม_ตัน_พ่วง" localSheetId="41">#REF!</definedName>
    <definedName name="ค่าขนส่ง_กทม_ตัน_พ่วง" localSheetId="50">#REF!</definedName>
    <definedName name="ค่าขนส่ง_กทม_ตัน_พ่วง" localSheetId="51">#REF!</definedName>
    <definedName name="ค่าขนส่ง_กทม_ตัน_พ่วง" localSheetId="42">#REF!</definedName>
    <definedName name="ค่าขนส่ง_กทม_ตัน_พ่วง" localSheetId="43">#REF!</definedName>
    <definedName name="ค่าขนส่ง_กทม_ตัน_พ่วง" localSheetId="44">#REF!</definedName>
    <definedName name="ค่าขนส่ง_กทม_ตัน_พ่วง" localSheetId="45">#REF!</definedName>
    <definedName name="ค่าขนส่ง_กทม_ตัน_พ่วง" localSheetId="46">#REF!</definedName>
    <definedName name="ค่าขนส่ง_กทม_ตัน_พ่วง" localSheetId="47">#REF!</definedName>
    <definedName name="ค่าขนส่ง_กทม_ตัน_พ่วง" localSheetId="48">#REF!</definedName>
    <definedName name="ค่าขนส่ง_กทม_ตัน_พ่วง" localSheetId="49">#REF!</definedName>
    <definedName name="ค่าขนส่ง_กทม_ตัน_พ่วง" localSheetId="52">#REF!</definedName>
    <definedName name="ค่าขนส่ง_กทม_ตัน_พ่วง" localSheetId="40">#REF!</definedName>
    <definedName name="ค่าขนส่ง_กทม_ตัน_พ่วง" localSheetId="39">#REF!</definedName>
    <definedName name="ค่าขนส่ง_กทม_ตัน_พ่วง" localSheetId="38">#REF!</definedName>
    <definedName name="ค่าขนส่ง_กทม_ตัน_พ่วง" localSheetId="37">#REF!</definedName>
    <definedName name="ค่าขนส่ง_กทม_ตัน_พ่วง" localSheetId="57">#REF!</definedName>
    <definedName name="ค่าขนส่ง_กทม_ตัน_พ่วง" localSheetId="66">#REF!</definedName>
    <definedName name="ค่าขนส่ง_กทม_ตัน_พ่วง" localSheetId="67">#REF!</definedName>
    <definedName name="ค่าขนส่ง_กทม_ตัน_พ่วง" localSheetId="58">#REF!</definedName>
    <definedName name="ค่าขนส่ง_กทม_ตัน_พ่วง" localSheetId="59">#REF!</definedName>
    <definedName name="ค่าขนส่ง_กทม_ตัน_พ่วง" localSheetId="60">#REF!</definedName>
    <definedName name="ค่าขนส่ง_กทม_ตัน_พ่วง" localSheetId="61">#REF!</definedName>
    <definedName name="ค่าขนส่ง_กทม_ตัน_พ่วง" localSheetId="62">#REF!</definedName>
    <definedName name="ค่าขนส่ง_กทม_ตัน_พ่วง" localSheetId="63">#REF!</definedName>
    <definedName name="ค่าขนส่ง_กทม_ตัน_พ่วง" localSheetId="64">#REF!</definedName>
    <definedName name="ค่าขนส่ง_กทม_ตัน_พ่วง" localSheetId="65">#REF!</definedName>
    <definedName name="ค่าขนส่ง_กทม_ตัน_พ่วง" localSheetId="68">#REF!</definedName>
    <definedName name="ค่าขนส่ง_กทม_ตัน_พ่วง" localSheetId="56">#REF!</definedName>
    <definedName name="ค่าขนส่ง_กทม_ตัน_พ่วง" localSheetId="55">#REF!</definedName>
    <definedName name="ค่าขนส่ง_กทม_ตัน_พ่วง" localSheetId="54">#REF!</definedName>
    <definedName name="ค่าขนส่ง_กทม_ตัน_พ่วง" localSheetId="69">#REF!</definedName>
    <definedName name="ค่าขนส่ง_กทม_ตัน_พ่วง" localSheetId="53">#REF!</definedName>
    <definedName name="ค่าขนส่ง_กทม_ตัน_พ่วง" localSheetId="85">#REF!</definedName>
    <definedName name="ค่าขนส่ง_กทม_ตัน_พ่วง" localSheetId="86">#REF!</definedName>
    <definedName name="ค่าขนส่ง_กทม_ตัน_พ่วง" localSheetId="2">#REF!</definedName>
    <definedName name="ค่าขนส่ง_กทม_ตัน_พ่วง">#REF!</definedName>
    <definedName name="ค่าขนส่ง_กทม_ลบม_10ล้อ">'[13]ค่าขนส่ง-1'!$M$63</definedName>
    <definedName name="ค่าขนส่ง_กทม_ลบม_พ่วง" localSheetId="3">#REF!</definedName>
    <definedName name="ค่าขนส่ง_กทม_ลบม_พ่วง" localSheetId="4">#REF!</definedName>
    <definedName name="ค่าขนส่ง_กทม_ลบม_พ่วง" localSheetId="18">#REF!</definedName>
    <definedName name="ค่าขนส่ง_กทม_ลบม_พ่วง" localSheetId="19">#REF!</definedName>
    <definedName name="ค่าขนส่ง_กทม_ลบม_พ่วง" localSheetId="9">#REF!</definedName>
    <definedName name="ค่าขนส่ง_กทม_ลบม_พ่วง" localSheetId="10">#REF!</definedName>
    <definedName name="ค่าขนส่ง_กทม_ลบม_พ่วง" localSheetId="11">#REF!</definedName>
    <definedName name="ค่าขนส่ง_กทม_ลบม_พ่วง" localSheetId="12">#REF!</definedName>
    <definedName name="ค่าขนส่ง_กทม_ลบม_พ่วง" localSheetId="13">#REF!</definedName>
    <definedName name="ค่าขนส่ง_กทม_ลบม_พ่วง" localSheetId="14">#REF!</definedName>
    <definedName name="ค่าขนส่ง_กทม_ลบม_พ่วง" localSheetId="15">#REF!</definedName>
    <definedName name="ค่าขนส่ง_กทม_ลบม_พ่วง" localSheetId="16">#REF!</definedName>
    <definedName name="ค่าขนส่ง_กทม_ลบม_พ่วง" localSheetId="17">#REF!</definedName>
    <definedName name="ค่าขนส่ง_กทม_ลบม_พ่วง" localSheetId="8">#REF!</definedName>
    <definedName name="ค่าขนส่ง_กทม_ลบม_พ่วง" localSheetId="7">#REF!</definedName>
    <definedName name="ค่าขนส่ง_กทม_ลบม_พ่วง" localSheetId="6">#REF!</definedName>
    <definedName name="ค่าขนส่ง_กทม_ลบม_พ่วง" localSheetId="20">#REF!</definedName>
    <definedName name="ค่าขนส่ง_กทม_ลบม_พ่วง" localSheetId="5">#REF!</definedName>
    <definedName name="ค่าขนส่ง_กทม_ลบม_พ่วง" localSheetId="21">#REF!</definedName>
    <definedName name="ค่าขนส่ง_กทม_ลบม_พ่วง" localSheetId="34">#REF!</definedName>
    <definedName name="ค่าขนส่ง_กทม_ลบม_พ่วง" localSheetId="35">#REF!</definedName>
    <definedName name="ค่าขนส่ง_กทม_ลบม_พ่วง" localSheetId="25">#REF!</definedName>
    <definedName name="ค่าขนส่ง_กทม_ลบม_พ่วง" localSheetId="27">#REF!</definedName>
    <definedName name="ค่าขนส่ง_กทม_ลบม_พ่วง" localSheetId="28">#REF!</definedName>
    <definedName name="ค่าขนส่ง_กทม_ลบม_พ่วง" localSheetId="29">#REF!</definedName>
    <definedName name="ค่าขนส่ง_กทม_ลบม_พ่วง" localSheetId="31">#REF!</definedName>
    <definedName name="ค่าขนส่ง_กทม_ลบม_พ่วง" localSheetId="32">#REF!</definedName>
    <definedName name="ค่าขนส่ง_กทม_ลบม_พ่วง" localSheetId="33">#REF!</definedName>
    <definedName name="ค่าขนส่ง_กทม_ลบม_พ่วง" localSheetId="24">#REF!</definedName>
    <definedName name="ค่าขนส่ง_กทม_ลบม_พ่วง" localSheetId="23">#REF!</definedName>
    <definedName name="ค่าขนส่ง_กทม_ลบม_พ่วง" localSheetId="36">#REF!</definedName>
    <definedName name="ค่าขนส่ง_กทม_ลบม_พ่วง" localSheetId="22">#REF!</definedName>
    <definedName name="ค่าขนส่ง_กทม_ลบม_พ่วง" localSheetId="26">#REF!</definedName>
    <definedName name="ค่าขนส่ง_กทม_ลบม_พ่วง" localSheetId="30">#REF!</definedName>
    <definedName name="ค่าขนส่ง_กทม_ลบม_พ่วง" localSheetId="41">#REF!</definedName>
    <definedName name="ค่าขนส่ง_กทม_ลบม_พ่วง" localSheetId="50">#REF!</definedName>
    <definedName name="ค่าขนส่ง_กทม_ลบม_พ่วง" localSheetId="51">#REF!</definedName>
    <definedName name="ค่าขนส่ง_กทม_ลบม_พ่วง" localSheetId="42">#REF!</definedName>
    <definedName name="ค่าขนส่ง_กทม_ลบม_พ่วง" localSheetId="43">#REF!</definedName>
    <definedName name="ค่าขนส่ง_กทม_ลบม_พ่วง" localSheetId="44">#REF!</definedName>
    <definedName name="ค่าขนส่ง_กทม_ลบม_พ่วง" localSheetId="45">#REF!</definedName>
    <definedName name="ค่าขนส่ง_กทม_ลบม_พ่วง" localSheetId="46">#REF!</definedName>
    <definedName name="ค่าขนส่ง_กทม_ลบม_พ่วง" localSheetId="47">#REF!</definedName>
    <definedName name="ค่าขนส่ง_กทม_ลบม_พ่วง" localSheetId="48">#REF!</definedName>
    <definedName name="ค่าขนส่ง_กทม_ลบม_พ่วง" localSheetId="49">#REF!</definedName>
    <definedName name="ค่าขนส่ง_กทม_ลบม_พ่วง" localSheetId="52">#REF!</definedName>
    <definedName name="ค่าขนส่ง_กทม_ลบม_พ่วง" localSheetId="40">#REF!</definedName>
    <definedName name="ค่าขนส่ง_กทม_ลบม_พ่วง" localSheetId="39">#REF!</definedName>
    <definedName name="ค่าขนส่ง_กทม_ลบม_พ่วง" localSheetId="38">#REF!</definedName>
    <definedName name="ค่าขนส่ง_กทม_ลบม_พ่วง" localSheetId="37">#REF!</definedName>
    <definedName name="ค่าขนส่ง_กทม_ลบม_พ่วง" localSheetId="57">#REF!</definedName>
    <definedName name="ค่าขนส่ง_กทม_ลบม_พ่วง" localSheetId="66">#REF!</definedName>
    <definedName name="ค่าขนส่ง_กทม_ลบม_พ่วง" localSheetId="67">#REF!</definedName>
    <definedName name="ค่าขนส่ง_กทม_ลบม_พ่วง" localSheetId="58">#REF!</definedName>
    <definedName name="ค่าขนส่ง_กทม_ลบม_พ่วง" localSheetId="59">#REF!</definedName>
    <definedName name="ค่าขนส่ง_กทม_ลบม_พ่วง" localSheetId="60">#REF!</definedName>
    <definedName name="ค่าขนส่ง_กทม_ลบม_พ่วง" localSheetId="61">#REF!</definedName>
    <definedName name="ค่าขนส่ง_กทม_ลบม_พ่วง" localSheetId="62">#REF!</definedName>
    <definedName name="ค่าขนส่ง_กทม_ลบม_พ่วง" localSheetId="63">#REF!</definedName>
    <definedName name="ค่าขนส่ง_กทม_ลบม_พ่วง" localSheetId="64">#REF!</definedName>
    <definedName name="ค่าขนส่ง_กทม_ลบม_พ่วง" localSheetId="65">#REF!</definedName>
    <definedName name="ค่าขนส่ง_กทม_ลบม_พ่วง" localSheetId="68">#REF!</definedName>
    <definedName name="ค่าขนส่ง_กทม_ลบม_พ่วง" localSheetId="56">#REF!</definedName>
    <definedName name="ค่าขนส่ง_กทม_ลบม_พ่วง" localSheetId="55">#REF!</definedName>
    <definedName name="ค่าขนส่ง_กทม_ลบม_พ่วง" localSheetId="54">#REF!</definedName>
    <definedName name="ค่าขนส่ง_กทม_ลบม_พ่วง" localSheetId="69">#REF!</definedName>
    <definedName name="ค่าขนส่ง_กทม_ลบม_พ่วง" localSheetId="53">#REF!</definedName>
    <definedName name="ค่าขนส่ง_กทม_ลบม_พ่วง" localSheetId="85">#REF!</definedName>
    <definedName name="ค่าขนส่ง_กทม_ลบม_พ่วง" localSheetId="86">#REF!</definedName>
    <definedName name="ค่าขนส่ง_กทม_ลบม_พ่วง" localSheetId="2">#REF!</definedName>
    <definedName name="ค่าขนส่ง_กทม_ลบม_พ่วง">#REF!</definedName>
    <definedName name="ค่าขนส่ง10ล้อ">[13]ตารางค่าขนส่ง!$B$8:$C$208</definedName>
    <definedName name="ค่าขนส่งเหล็ก" localSheetId="3">#REF!</definedName>
    <definedName name="ค่าขนส่งเหล็ก" localSheetId="4">#REF!</definedName>
    <definedName name="ค่าขนส่งเหล็ก" localSheetId="18">#REF!</definedName>
    <definedName name="ค่าขนส่งเหล็ก" localSheetId="19">#REF!</definedName>
    <definedName name="ค่าขนส่งเหล็ก" localSheetId="9">#REF!</definedName>
    <definedName name="ค่าขนส่งเหล็ก" localSheetId="10">#REF!</definedName>
    <definedName name="ค่าขนส่งเหล็ก" localSheetId="11">#REF!</definedName>
    <definedName name="ค่าขนส่งเหล็ก" localSheetId="12">#REF!</definedName>
    <definedName name="ค่าขนส่งเหล็ก" localSheetId="13">#REF!</definedName>
    <definedName name="ค่าขนส่งเหล็ก" localSheetId="14">#REF!</definedName>
    <definedName name="ค่าขนส่งเหล็ก" localSheetId="15">#REF!</definedName>
    <definedName name="ค่าขนส่งเหล็ก" localSheetId="16">#REF!</definedName>
    <definedName name="ค่าขนส่งเหล็ก" localSheetId="17">#REF!</definedName>
    <definedName name="ค่าขนส่งเหล็ก" localSheetId="8">#REF!</definedName>
    <definedName name="ค่าขนส่งเหล็ก" localSheetId="7">#REF!</definedName>
    <definedName name="ค่าขนส่งเหล็ก" localSheetId="6">#REF!</definedName>
    <definedName name="ค่าขนส่งเหล็ก" localSheetId="20">#REF!</definedName>
    <definedName name="ค่าขนส่งเหล็ก" localSheetId="5">#REF!</definedName>
    <definedName name="ค่าขนส่งเหล็ก" localSheetId="21">#REF!</definedName>
    <definedName name="ค่าขนส่งเหล็ก" localSheetId="34">#REF!</definedName>
    <definedName name="ค่าขนส่งเหล็ก" localSheetId="35">#REF!</definedName>
    <definedName name="ค่าขนส่งเหล็ก" localSheetId="25">#REF!</definedName>
    <definedName name="ค่าขนส่งเหล็ก" localSheetId="27">#REF!</definedName>
    <definedName name="ค่าขนส่งเหล็ก" localSheetId="28">#REF!</definedName>
    <definedName name="ค่าขนส่งเหล็ก" localSheetId="29">#REF!</definedName>
    <definedName name="ค่าขนส่งเหล็ก" localSheetId="31">#REF!</definedName>
    <definedName name="ค่าขนส่งเหล็ก" localSheetId="32">#REF!</definedName>
    <definedName name="ค่าขนส่งเหล็ก" localSheetId="33">#REF!</definedName>
    <definedName name="ค่าขนส่งเหล็ก" localSheetId="24">#REF!</definedName>
    <definedName name="ค่าขนส่งเหล็ก" localSheetId="23">#REF!</definedName>
    <definedName name="ค่าขนส่งเหล็ก" localSheetId="36">#REF!</definedName>
    <definedName name="ค่าขนส่งเหล็ก" localSheetId="22">#REF!</definedName>
    <definedName name="ค่าขนส่งเหล็ก" localSheetId="26">#REF!</definedName>
    <definedName name="ค่าขนส่งเหล็ก" localSheetId="30">#REF!</definedName>
    <definedName name="ค่าขนส่งเหล็ก" localSheetId="41">#REF!</definedName>
    <definedName name="ค่าขนส่งเหล็ก" localSheetId="50">#REF!</definedName>
    <definedName name="ค่าขนส่งเหล็ก" localSheetId="51">#REF!</definedName>
    <definedName name="ค่าขนส่งเหล็ก" localSheetId="42">#REF!</definedName>
    <definedName name="ค่าขนส่งเหล็ก" localSheetId="43">#REF!</definedName>
    <definedName name="ค่าขนส่งเหล็ก" localSheetId="44">#REF!</definedName>
    <definedName name="ค่าขนส่งเหล็ก" localSheetId="45">#REF!</definedName>
    <definedName name="ค่าขนส่งเหล็ก" localSheetId="46">#REF!</definedName>
    <definedName name="ค่าขนส่งเหล็ก" localSheetId="47">#REF!</definedName>
    <definedName name="ค่าขนส่งเหล็ก" localSheetId="48">#REF!</definedName>
    <definedName name="ค่าขนส่งเหล็ก" localSheetId="49">#REF!</definedName>
    <definedName name="ค่าขนส่งเหล็ก" localSheetId="52">#REF!</definedName>
    <definedName name="ค่าขนส่งเหล็ก" localSheetId="40">#REF!</definedName>
    <definedName name="ค่าขนส่งเหล็ก" localSheetId="39">#REF!</definedName>
    <definedName name="ค่าขนส่งเหล็ก" localSheetId="38">#REF!</definedName>
    <definedName name="ค่าขนส่งเหล็ก" localSheetId="37">#REF!</definedName>
    <definedName name="ค่าขนส่งเหล็ก" localSheetId="57">#REF!</definedName>
    <definedName name="ค่าขนส่งเหล็ก" localSheetId="66">#REF!</definedName>
    <definedName name="ค่าขนส่งเหล็ก" localSheetId="67">#REF!</definedName>
    <definedName name="ค่าขนส่งเหล็ก" localSheetId="58">#REF!</definedName>
    <definedName name="ค่าขนส่งเหล็ก" localSheetId="59">#REF!</definedName>
    <definedName name="ค่าขนส่งเหล็ก" localSheetId="60">#REF!</definedName>
    <definedName name="ค่าขนส่งเหล็ก" localSheetId="61">#REF!</definedName>
    <definedName name="ค่าขนส่งเหล็ก" localSheetId="62">#REF!</definedName>
    <definedName name="ค่าขนส่งเหล็ก" localSheetId="63">#REF!</definedName>
    <definedName name="ค่าขนส่งเหล็ก" localSheetId="64">#REF!</definedName>
    <definedName name="ค่าขนส่งเหล็ก" localSheetId="65">#REF!</definedName>
    <definedName name="ค่าขนส่งเหล็ก" localSheetId="68">#REF!</definedName>
    <definedName name="ค่าขนส่งเหล็ก" localSheetId="56">#REF!</definedName>
    <definedName name="ค่าขนส่งเหล็ก" localSheetId="55">#REF!</definedName>
    <definedName name="ค่าขนส่งเหล็ก" localSheetId="54">#REF!</definedName>
    <definedName name="ค่าขนส่งเหล็ก" localSheetId="69">#REF!</definedName>
    <definedName name="ค่าขนส่งเหล็ก" localSheetId="53">#REF!</definedName>
    <definedName name="ค่าขนส่งเหล็ก" localSheetId="85">#REF!</definedName>
    <definedName name="ค่าขนส่งเหล็ก" localSheetId="86">#REF!</definedName>
    <definedName name="ค่าขนส่งเหล็ก" localSheetId="2">#REF!</definedName>
    <definedName name="ค่าขนส่งเหล็ก">#REF!</definedName>
    <definedName name="ค่าขนส่งเหล็ก_10ล้อ">'[14]ค่าขนส่ง-1'!$L$55</definedName>
    <definedName name="ค่าขนส่งเหล็ก_ตัน_10ล้อ">'[13]ค่าขนส่ง-1'!$L$57</definedName>
    <definedName name="ค่าขนส่งเหล็ก_ตัน_พ่วง">'[13]ค่าขนส่ง-1'!$L$74</definedName>
    <definedName name="ค่าขนส่งเหล็ก_พ่วง">'[14]ค่าขนส่ง-1'!$L$72</definedName>
    <definedName name="ค่าขนส่งเหล็ก_ลบม_10ล้อ" localSheetId="3">#REF!</definedName>
    <definedName name="ค่าขนส่งเหล็ก_ลบม_10ล้อ" localSheetId="4">#REF!</definedName>
    <definedName name="ค่าขนส่งเหล็ก_ลบม_10ล้อ" localSheetId="18">#REF!</definedName>
    <definedName name="ค่าขนส่งเหล็ก_ลบม_10ล้อ" localSheetId="19">#REF!</definedName>
    <definedName name="ค่าขนส่งเหล็ก_ลบม_10ล้อ" localSheetId="9">#REF!</definedName>
    <definedName name="ค่าขนส่งเหล็ก_ลบม_10ล้อ" localSheetId="10">#REF!</definedName>
    <definedName name="ค่าขนส่งเหล็ก_ลบม_10ล้อ" localSheetId="11">#REF!</definedName>
    <definedName name="ค่าขนส่งเหล็ก_ลบม_10ล้อ" localSheetId="12">#REF!</definedName>
    <definedName name="ค่าขนส่งเหล็ก_ลบม_10ล้อ" localSheetId="13">#REF!</definedName>
    <definedName name="ค่าขนส่งเหล็ก_ลบม_10ล้อ" localSheetId="14">#REF!</definedName>
    <definedName name="ค่าขนส่งเหล็ก_ลบม_10ล้อ" localSheetId="15">#REF!</definedName>
    <definedName name="ค่าขนส่งเหล็ก_ลบม_10ล้อ" localSheetId="16">#REF!</definedName>
    <definedName name="ค่าขนส่งเหล็ก_ลบม_10ล้อ" localSheetId="17">#REF!</definedName>
    <definedName name="ค่าขนส่งเหล็ก_ลบม_10ล้อ" localSheetId="8">#REF!</definedName>
    <definedName name="ค่าขนส่งเหล็ก_ลบม_10ล้อ" localSheetId="7">#REF!</definedName>
    <definedName name="ค่าขนส่งเหล็ก_ลบม_10ล้อ" localSheetId="6">#REF!</definedName>
    <definedName name="ค่าขนส่งเหล็ก_ลบม_10ล้อ" localSheetId="20">#REF!</definedName>
    <definedName name="ค่าขนส่งเหล็ก_ลบม_10ล้อ" localSheetId="5">#REF!</definedName>
    <definedName name="ค่าขนส่งเหล็ก_ลบม_10ล้อ" localSheetId="21">#REF!</definedName>
    <definedName name="ค่าขนส่งเหล็ก_ลบม_10ล้อ" localSheetId="34">#REF!</definedName>
    <definedName name="ค่าขนส่งเหล็ก_ลบม_10ล้อ" localSheetId="35">#REF!</definedName>
    <definedName name="ค่าขนส่งเหล็ก_ลบม_10ล้อ" localSheetId="25">#REF!</definedName>
    <definedName name="ค่าขนส่งเหล็ก_ลบม_10ล้อ" localSheetId="27">#REF!</definedName>
    <definedName name="ค่าขนส่งเหล็ก_ลบม_10ล้อ" localSheetId="28">#REF!</definedName>
    <definedName name="ค่าขนส่งเหล็ก_ลบม_10ล้อ" localSheetId="29">#REF!</definedName>
    <definedName name="ค่าขนส่งเหล็ก_ลบม_10ล้อ" localSheetId="31">#REF!</definedName>
    <definedName name="ค่าขนส่งเหล็ก_ลบม_10ล้อ" localSheetId="32">#REF!</definedName>
    <definedName name="ค่าขนส่งเหล็ก_ลบม_10ล้อ" localSheetId="33">#REF!</definedName>
    <definedName name="ค่าขนส่งเหล็ก_ลบม_10ล้อ" localSheetId="24">#REF!</definedName>
    <definedName name="ค่าขนส่งเหล็ก_ลบม_10ล้อ" localSheetId="23">#REF!</definedName>
    <definedName name="ค่าขนส่งเหล็ก_ลบม_10ล้อ" localSheetId="36">#REF!</definedName>
    <definedName name="ค่าขนส่งเหล็ก_ลบม_10ล้อ" localSheetId="22">#REF!</definedName>
    <definedName name="ค่าขนส่งเหล็ก_ลบม_10ล้อ" localSheetId="26">#REF!</definedName>
    <definedName name="ค่าขนส่งเหล็ก_ลบม_10ล้อ" localSheetId="30">#REF!</definedName>
    <definedName name="ค่าขนส่งเหล็ก_ลบม_10ล้อ" localSheetId="41">#REF!</definedName>
    <definedName name="ค่าขนส่งเหล็ก_ลบม_10ล้อ" localSheetId="50">#REF!</definedName>
    <definedName name="ค่าขนส่งเหล็ก_ลบม_10ล้อ" localSheetId="51">#REF!</definedName>
    <definedName name="ค่าขนส่งเหล็ก_ลบม_10ล้อ" localSheetId="42">#REF!</definedName>
    <definedName name="ค่าขนส่งเหล็ก_ลบม_10ล้อ" localSheetId="43">#REF!</definedName>
    <definedName name="ค่าขนส่งเหล็ก_ลบม_10ล้อ" localSheetId="44">#REF!</definedName>
    <definedName name="ค่าขนส่งเหล็ก_ลบม_10ล้อ" localSheetId="45">#REF!</definedName>
    <definedName name="ค่าขนส่งเหล็ก_ลบม_10ล้อ" localSheetId="46">#REF!</definedName>
    <definedName name="ค่าขนส่งเหล็ก_ลบม_10ล้อ" localSheetId="47">#REF!</definedName>
    <definedName name="ค่าขนส่งเหล็ก_ลบม_10ล้อ" localSheetId="48">#REF!</definedName>
    <definedName name="ค่าขนส่งเหล็ก_ลบม_10ล้อ" localSheetId="49">#REF!</definedName>
    <definedName name="ค่าขนส่งเหล็ก_ลบม_10ล้อ" localSheetId="52">#REF!</definedName>
    <definedName name="ค่าขนส่งเหล็ก_ลบม_10ล้อ" localSheetId="40">#REF!</definedName>
    <definedName name="ค่าขนส่งเหล็ก_ลบม_10ล้อ" localSheetId="39">#REF!</definedName>
    <definedName name="ค่าขนส่งเหล็ก_ลบม_10ล้อ" localSheetId="38">#REF!</definedName>
    <definedName name="ค่าขนส่งเหล็ก_ลบม_10ล้อ" localSheetId="37">#REF!</definedName>
    <definedName name="ค่าขนส่งเหล็ก_ลบม_10ล้อ" localSheetId="57">#REF!</definedName>
    <definedName name="ค่าขนส่งเหล็ก_ลบม_10ล้อ" localSheetId="66">#REF!</definedName>
    <definedName name="ค่าขนส่งเหล็ก_ลบม_10ล้อ" localSheetId="67">#REF!</definedName>
    <definedName name="ค่าขนส่งเหล็ก_ลบม_10ล้อ" localSheetId="58">#REF!</definedName>
    <definedName name="ค่าขนส่งเหล็ก_ลบม_10ล้อ" localSheetId="59">#REF!</definedName>
    <definedName name="ค่าขนส่งเหล็ก_ลบม_10ล้อ" localSheetId="60">#REF!</definedName>
    <definedName name="ค่าขนส่งเหล็ก_ลบม_10ล้อ" localSheetId="61">#REF!</definedName>
    <definedName name="ค่าขนส่งเหล็ก_ลบม_10ล้อ" localSheetId="62">#REF!</definedName>
    <definedName name="ค่าขนส่งเหล็ก_ลบม_10ล้อ" localSheetId="63">#REF!</definedName>
    <definedName name="ค่าขนส่งเหล็ก_ลบม_10ล้อ" localSheetId="64">#REF!</definedName>
    <definedName name="ค่าขนส่งเหล็ก_ลบม_10ล้อ" localSheetId="65">#REF!</definedName>
    <definedName name="ค่าขนส่งเหล็ก_ลบม_10ล้อ" localSheetId="68">#REF!</definedName>
    <definedName name="ค่าขนส่งเหล็ก_ลบม_10ล้อ" localSheetId="56">#REF!</definedName>
    <definedName name="ค่าขนส่งเหล็ก_ลบม_10ล้อ" localSheetId="55">#REF!</definedName>
    <definedName name="ค่าขนส่งเหล็ก_ลบม_10ล้อ" localSheetId="54">#REF!</definedName>
    <definedName name="ค่าขนส่งเหล็ก_ลบม_10ล้อ" localSheetId="69">#REF!</definedName>
    <definedName name="ค่าขนส่งเหล็ก_ลบม_10ล้อ" localSheetId="53">#REF!</definedName>
    <definedName name="ค่าขนส่งเหล็ก_ลบม_10ล้อ" localSheetId="85">#REF!</definedName>
    <definedName name="ค่าขนส่งเหล็ก_ลบม_10ล้อ" localSheetId="86">#REF!</definedName>
    <definedName name="ค่าขนส่งเหล็ก_ลบม_10ล้อ" localSheetId="2">#REF!</definedName>
    <definedName name="ค่าขนส่งเหล็ก_ลบม_10ล้อ">#REF!</definedName>
    <definedName name="ค่าขนส่งเหล็ก_ลบม_พ่วง" localSheetId="3">#REF!</definedName>
    <definedName name="ค่าขนส่งเหล็ก_ลบม_พ่วง" localSheetId="4">#REF!</definedName>
    <definedName name="ค่าขนส่งเหล็ก_ลบม_พ่วง" localSheetId="18">#REF!</definedName>
    <definedName name="ค่าขนส่งเหล็ก_ลบม_พ่วง" localSheetId="19">#REF!</definedName>
    <definedName name="ค่าขนส่งเหล็ก_ลบม_พ่วง" localSheetId="9">#REF!</definedName>
    <definedName name="ค่าขนส่งเหล็ก_ลบม_พ่วง" localSheetId="10">#REF!</definedName>
    <definedName name="ค่าขนส่งเหล็ก_ลบม_พ่วง" localSheetId="11">#REF!</definedName>
    <definedName name="ค่าขนส่งเหล็ก_ลบม_พ่วง" localSheetId="12">#REF!</definedName>
    <definedName name="ค่าขนส่งเหล็ก_ลบม_พ่วง" localSheetId="13">#REF!</definedName>
    <definedName name="ค่าขนส่งเหล็ก_ลบม_พ่วง" localSheetId="14">#REF!</definedName>
    <definedName name="ค่าขนส่งเหล็ก_ลบม_พ่วง" localSheetId="15">#REF!</definedName>
    <definedName name="ค่าขนส่งเหล็ก_ลบม_พ่วง" localSheetId="16">#REF!</definedName>
    <definedName name="ค่าขนส่งเหล็ก_ลบม_พ่วง" localSheetId="17">#REF!</definedName>
    <definedName name="ค่าขนส่งเหล็ก_ลบม_พ่วง" localSheetId="8">#REF!</definedName>
    <definedName name="ค่าขนส่งเหล็ก_ลบม_พ่วง" localSheetId="7">#REF!</definedName>
    <definedName name="ค่าขนส่งเหล็ก_ลบม_พ่วง" localSheetId="6">#REF!</definedName>
    <definedName name="ค่าขนส่งเหล็ก_ลบม_พ่วง" localSheetId="20">#REF!</definedName>
    <definedName name="ค่าขนส่งเหล็ก_ลบม_พ่วง" localSheetId="5">#REF!</definedName>
    <definedName name="ค่าขนส่งเหล็ก_ลบม_พ่วง" localSheetId="21">#REF!</definedName>
    <definedName name="ค่าขนส่งเหล็ก_ลบม_พ่วง" localSheetId="34">#REF!</definedName>
    <definedName name="ค่าขนส่งเหล็ก_ลบม_พ่วง" localSheetId="35">#REF!</definedName>
    <definedName name="ค่าขนส่งเหล็ก_ลบม_พ่วง" localSheetId="25">#REF!</definedName>
    <definedName name="ค่าขนส่งเหล็ก_ลบม_พ่วง" localSheetId="27">#REF!</definedName>
    <definedName name="ค่าขนส่งเหล็ก_ลบม_พ่วง" localSheetId="28">#REF!</definedName>
    <definedName name="ค่าขนส่งเหล็ก_ลบม_พ่วง" localSheetId="29">#REF!</definedName>
    <definedName name="ค่าขนส่งเหล็ก_ลบม_พ่วง" localSheetId="31">#REF!</definedName>
    <definedName name="ค่าขนส่งเหล็ก_ลบม_พ่วง" localSheetId="32">#REF!</definedName>
    <definedName name="ค่าขนส่งเหล็ก_ลบม_พ่วง" localSheetId="33">#REF!</definedName>
    <definedName name="ค่าขนส่งเหล็ก_ลบม_พ่วง" localSheetId="24">#REF!</definedName>
    <definedName name="ค่าขนส่งเหล็ก_ลบม_พ่วง" localSheetId="23">#REF!</definedName>
    <definedName name="ค่าขนส่งเหล็ก_ลบม_พ่วง" localSheetId="36">#REF!</definedName>
    <definedName name="ค่าขนส่งเหล็ก_ลบม_พ่วง" localSheetId="22">#REF!</definedName>
    <definedName name="ค่าขนส่งเหล็ก_ลบม_พ่วง" localSheetId="26">#REF!</definedName>
    <definedName name="ค่าขนส่งเหล็ก_ลบม_พ่วง" localSheetId="30">#REF!</definedName>
    <definedName name="ค่าขนส่งเหล็ก_ลบม_พ่วง" localSheetId="85">#REF!</definedName>
    <definedName name="ค่าขนส่งเหล็ก_ลบม_พ่วง" localSheetId="86">#REF!</definedName>
    <definedName name="ค่าขนส่งเหล็ก_ลบม_พ่วง" localSheetId="2">#REF!</definedName>
    <definedName name="ค่าขนส่งเหล็ก_ลบม_พ่วง">#REF!</definedName>
    <definedName name="ค่าขนส่งเหล็กเส้น" localSheetId="3">#REF!</definedName>
    <definedName name="ค่าขนส่งเหล็กเส้น" localSheetId="4">#REF!</definedName>
    <definedName name="ค่าขนส่งเหล็กเส้น" localSheetId="85">#REF!</definedName>
    <definedName name="ค่าขนส่งเหล็กเส้น" localSheetId="86">#REF!</definedName>
    <definedName name="ค่าขนส่งเหล็กเส้น" localSheetId="2">#REF!</definedName>
    <definedName name="ค่าขนส่งเหล็กเส้น">#REF!</definedName>
    <definedName name="ค่าขนส่งในแหล่งก่อสร้าง" localSheetId="3">#REF!</definedName>
    <definedName name="ค่าขนส่งในแหล่งก่อสร้าง" localSheetId="2">#REF!</definedName>
    <definedName name="ค่าขนส่งในแหล่งก่อสร้าง">#REF!</definedName>
    <definedName name="ค่าขนส่งคอนกรีต" localSheetId="3">#REF!</definedName>
    <definedName name="ค่าขนส่งคอนกรีต" localSheetId="4">#REF!</definedName>
    <definedName name="ค่าขนส่งคอนกรีต" localSheetId="86">#REF!</definedName>
    <definedName name="ค่าขนส่งคอนกรีต" localSheetId="2">#REF!</definedName>
    <definedName name="ค่าขนส่งคอนกรีต">#REF!</definedName>
    <definedName name="ค่าขนส่งคอนกรีต_10ล้อ">'[14]ค่าขนส่ง-1'!$M$54</definedName>
    <definedName name="ค่าขนส่งคอนกรีต_ตัน_10ล้อ" localSheetId="3">#REF!</definedName>
    <definedName name="ค่าขนส่งคอนกรีต_ตัน_10ล้อ" localSheetId="4">#REF!</definedName>
    <definedName name="ค่าขนส่งคอนกรีต_ตัน_10ล้อ" localSheetId="18">#REF!</definedName>
    <definedName name="ค่าขนส่งคอนกรีต_ตัน_10ล้อ" localSheetId="19">#REF!</definedName>
    <definedName name="ค่าขนส่งคอนกรีต_ตัน_10ล้อ" localSheetId="9">#REF!</definedName>
    <definedName name="ค่าขนส่งคอนกรีต_ตัน_10ล้อ" localSheetId="10">#REF!</definedName>
    <definedName name="ค่าขนส่งคอนกรีต_ตัน_10ล้อ" localSheetId="11">#REF!</definedName>
    <definedName name="ค่าขนส่งคอนกรีต_ตัน_10ล้อ" localSheetId="12">#REF!</definedName>
    <definedName name="ค่าขนส่งคอนกรีต_ตัน_10ล้อ" localSheetId="13">#REF!</definedName>
    <definedName name="ค่าขนส่งคอนกรีต_ตัน_10ล้อ" localSheetId="14">#REF!</definedName>
    <definedName name="ค่าขนส่งคอนกรีต_ตัน_10ล้อ" localSheetId="15">#REF!</definedName>
    <definedName name="ค่าขนส่งคอนกรีต_ตัน_10ล้อ" localSheetId="16">#REF!</definedName>
    <definedName name="ค่าขนส่งคอนกรีต_ตัน_10ล้อ" localSheetId="17">#REF!</definedName>
    <definedName name="ค่าขนส่งคอนกรีต_ตัน_10ล้อ" localSheetId="8">#REF!</definedName>
    <definedName name="ค่าขนส่งคอนกรีต_ตัน_10ล้อ" localSheetId="7">#REF!</definedName>
    <definedName name="ค่าขนส่งคอนกรีต_ตัน_10ล้อ" localSheetId="6">#REF!</definedName>
    <definedName name="ค่าขนส่งคอนกรีต_ตัน_10ล้อ" localSheetId="20">#REF!</definedName>
    <definedName name="ค่าขนส่งคอนกรีต_ตัน_10ล้อ" localSheetId="5">#REF!</definedName>
    <definedName name="ค่าขนส่งคอนกรีต_ตัน_10ล้อ" localSheetId="21">#REF!</definedName>
    <definedName name="ค่าขนส่งคอนกรีต_ตัน_10ล้อ" localSheetId="34">#REF!</definedName>
    <definedName name="ค่าขนส่งคอนกรีต_ตัน_10ล้อ" localSheetId="35">#REF!</definedName>
    <definedName name="ค่าขนส่งคอนกรีต_ตัน_10ล้อ" localSheetId="25">#REF!</definedName>
    <definedName name="ค่าขนส่งคอนกรีต_ตัน_10ล้อ" localSheetId="27">#REF!</definedName>
    <definedName name="ค่าขนส่งคอนกรีต_ตัน_10ล้อ" localSheetId="28">#REF!</definedName>
    <definedName name="ค่าขนส่งคอนกรีต_ตัน_10ล้อ" localSheetId="29">#REF!</definedName>
    <definedName name="ค่าขนส่งคอนกรีต_ตัน_10ล้อ" localSheetId="31">#REF!</definedName>
    <definedName name="ค่าขนส่งคอนกรีต_ตัน_10ล้อ" localSheetId="32">#REF!</definedName>
    <definedName name="ค่าขนส่งคอนกรีต_ตัน_10ล้อ" localSheetId="33">#REF!</definedName>
    <definedName name="ค่าขนส่งคอนกรีต_ตัน_10ล้อ" localSheetId="24">#REF!</definedName>
    <definedName name="ค่าขนส่งคอนกรีต_ตัน_10ล้อ" localSheetId="23">#REF!</definedName>
    <definedName name="ค่าขนส่งคอนกรีต_ตัน_10ล้อ" localSheetId="36">#REF!</definedName>
    <definedName name="ค่าขนส่งคอนกรีต_ตัน_10ล้อ" localSheetId="22">#REF!</definedName>
    <definedName name="ค่าขนส่งคอนกรีต_ตัน_10ล้อ" localSheetId="26">#REF!</definedName>
    <definedName name="ค่าขนส่งคอนกรีต_ตัน_10ล้อ" localSheetId="30">#REF!</definedName>
    <definedName name="ค่าขนส่งคอนกรีต_ตัน_10ล้อ" localSheetId="41">#REF!</definedName>
    <definedName name="ค่าขนส่งคอนกรีต_ตัน_10ล้อ" localSheetId="50">#REF!</definedName>
    <definedName name="ค่าขนส่งคอนกรีต_ตัน_10ล้อ" localSheetId="51">#REF!</definedName>
    <definedName name="ค่าขนส่งคอนกรีต_ตัน_10ล้อ" localSheetId="42">#REF!</definedName>
    <definedName name="ค่าขนส่งคอนกรีต_ตัน_10ล้อ" localSheetId="43">#REF!</definedName>
    <definedName name="ค่าขนส่งคอนกรีต_ตัน_10ล้อ" localSheetId="44">#REF!</definedName>
    <definedName name="ค่าขนส่งคอนกรีต_ตัน_10ล้อ" localSheetId="45">#REF!</definedName>
    <definedName name="ค่าขนส่งคอนกรีต_ตัน_10ล้อ" localSheetId="46">#REF!</definedName>
    <definedName name="ค่าขนส่งคอนกรีต_ตัน_10ล้อ" localSheetId="47">#REF!</definedName>
    <definedName name="ค่าขนส่งคอนกรีต_ตัน_10ล้อ" localSheetId="48">#REF!</definedName>
    <definedName name="ค่าขนส่งคอนกรีต_ตัน_10ล้อ" localSheetId="49">#REF!</definedName>
    <definedName name="ค่าขนส่งคอนกรีต_ตัน_10ล้อ" localSheetId="52">#REF!</definedName>
    <definedName name="ค่าขนส่งคอนกรีต_ตัน_10ล้อ" localSheetId="40">#REF!</definedName>
    <definedName name="ค่าขนส่งคอนกรีต_ตัน_10ล้อ" localSheetId="39">#REF!</definedName>
    <definedName name="ค่าขนส่งคอนกรีต_ตัน_10ล้อ" localSheetId="38">#REF!</definedName>
    <definedName name="ค่าขนส่งคอนกรีต_ตัน_10ล้อ" localSheetId="37">#REF!</definedName>
    <definedName name="ค่าขนส่งคอนกรีต_ตัน_10ล้อ" localSheetId="57">#REF!</definedName>
    <definedName name="ค่าขนส่งคอนกรีต_ตัน_10ล้อ" localSheetId="66">#REF!</definedName>
    <definedName name="ค่าขนส่งคอนกรีต_ตัน_10ล้อ" localSheetId="67">#REF!</definedName>
    <definedName name="ค่าขนส่งคอนกรีต_ตัน_10ล้อ" localSheetId="58">#REF!</definedName>
    <definedName name="ค่าขนส่งคอนกรีต_ตัน_10ล้อ" localSheetId="59">#REF!</definedName>
    <definedName name="ค่าขนส่งคอนกรีต_ตัน_10ล้อ" localSheetId="60">#REF!</definedName>
    <definedName name="ค่าขนส่งคอนกรีต_ตัน_10ล้อ" localSheetId="61">#REF!</definedName>
    <definedName name="ค่าขนส่งคอนกรีต_ตัน_10ล้อ" localSheetId="62">#REF!</definedName>
    <definedName name="ค่าขนส่งคอนกรีต_ตัน_10ล้อ" localSheetId="63">#REF!</definedName>
    <definedName name="ค่าขนส่งคอนกรีต_ตัน_10ล้อ" localSheetId="64">#REF!</definedName>
    <definedName name="ค่าขนส่งคอนกรีต_ตัน_10ล้อ" localSheetId="65">#REF!</definedName>
    <definedName name="ค่าขนส่งคอนกรีต_ตัน_10ล้อ" localSheetId="68">#REF!</definedName>
    <definedName name="ค่าขนส่งคอนกรีต_ตัน_10ล้อ" localSheetId="56">#REF!</definedName>
    <definedName name="ค่าขนส่งคอนกรีต_ตัน_10ล้อ" localSheetId="55">#REF!</definedName>
    <definedName name="ค่าขนส่งคอนกรีต_ตัน_10ล้อ" localSheetId="54">#REF!</definedName>
    <definedName name="ค่าขนส่งคอนกรีต_ตัน_10ล้อ" localSheetId="69">#REF!</definedName>
    <definedName name="ค่าขนส่งคอนกรีต_ตัน_10ล้อ" localSheetId="53">#REF!</definedName>
    <definedName name="ค่าขนส่งคอนกรีต_ตัน_10ล้อ" localSheetId="85">#REF!</definedName>
    <definedName name="ค่าขนส่งคอนกรีต_ตัน_10ล้อ" localSheetId="86">#REF!</definedName>
    <definedName name="ค่าขนส่งคอนกรีต_ตัน_10ล้อ" localSheetId="2">#REF!</definedName>
    <definedName name="ค่าขนส่งคอนกรีต_ตัน_10ล้อ">#REF!</definedName>
    <definedName name="ค่าขนส่งคอนกรีต_ตัน_พ่วง" localSheetId="3">#REF!</definedName>
    <definedName name="ค่าขนส่งคอนกรีต_ตัน_พ่วง" localSheetId="4">#REF!</definedName>
    <definedName name="ค่าขนส่งคอนกรีต_ตัน_พ่วง" localSheetId="18">#REF!</definedName>
    <definedName name="ค่าขนส่งคอนกรีต_ตัน_พ่วง" localSheetId="19">#REF!</definedName>
    <definedName name="ค่าขนส่งคอนกรีต_ตัน_พ่วง" localSheetId="9">#REF!</definedName>
    <definedName name="ค่าขนส่งคอนกรีต_ตัน_พ่วง" localSheetId="10">#REF!</definedName>
    <definedName name="ค่าขนส่งคอนกรีต_ตัน_พ่วง" localSheetId="11">#REF!</definedName>
    <definedName name="ค่าขนส่งคอนกรีต_ตัน_พ่วง" localSheetId="12">#REF!</definedName>
    <definedName name="ค่าขนส่งคอนกรีต_ตัน_พ่วง" localSheetId="13">#REF!</definedName>
    <definedName name="ค่าขนส่งคอนกรีต_ตัน_พ่วง" localSheetId="14">#REF!</definedName>
    <definedName name="ค่าขนส่งคอนกรีต_ตัน_พ่วง" localSheetId="15">#REF!</definedName>
    <definedName name="ค่าขนส่งคอนกรีต_ตัน_พ่วง" localSheetId="16">#REF!</definedName>
    <definedName name="ค่าขนส่งคอนกรีต_ตัน_พ่วง" localSheetId="17">#REF!</definedName>
    <definedName name="ค่าขนส่งคอนกรีต_ตัน_พ่วง" localSheetId="8">#REF!</definedName>
    <definedName name="ค่าขนส่งคอนกรีต_ตัน_พ่วง" localSheetId="7">#REF!</definedName>
    <definedName name="ค่าขนส่งคอนกรีต_ตัน_พ่วง" localSheetId="6">#REF!</definedName>
    <definedName name="ค่าขนส่งคอนกรีต_ตัน_พ่วง" localSheetId="20">#REF!</definedName>
    <definedName name="ค่าขนส่งคอนกรีต_ตัน_พ่วง" localSheetId="5">#REF!</definedName>
    <definedName name="ค่าขนส่งคอนกรีต_ตัน_พ่วง" localSheetId="21">#REF!</definedName>
    <definedName name="ค่าขนส่งคอนกรีต_ตัน_พ่วง" localSheetId="34">#REF!</definedName>
    <definedName name="ค่าขนส่งคอนกรีต_ตัน_พ่วง" localSheetId="35">#REF!</definedName>
    <definedName name="ค่าขนส่งคอนกรีต_ตัน_พ่วง" localSheetId="25">#REF!</definedName>
    <definedName name="ค่าขนส่งคอนกรีต_ตัน_พ่วง" localSheetId="27">#REF!</definedName>
    <definedName name="ค่าขนส่งคอนกรีต_ตัน_พ่วง" localSheetId="28">#REF!</definedName>
    <definedName name="ค่าขนส่งคอนกรีต_ตัน_พ่วง" localSheetId="29">#REF!</definedName>
    <definedName name="ค่าขนส่งคอนกรีต_ตัน_พ่วง" localSheetId="31">#REF!</definedName>
    <definedName name="ค่าขนส่งคอนกรีต_ตัน_พ่วง" localSheetId="32">#REF!</definedName>
    <definedName name="ค่าขนส่งคอนกรีต_ตัน_พ่วง" localSheetId="33">#REF!</definedName>
    <definedName name="ค่าขนส่งคอนกรีต_ตัน_พ่วง" localSheetId="24">#REF!</definedName>
    <definedName name="ค่าขนส่งคอนกรีต_ตัน_พ่วง" localSheetId="23">#REF!</definedName>
    <definedName name="ค่าขนส่งคอนกรีต_ตัน_พ่วง" localSheetId="36">#REF!</definedName>
    <definedName name="ค่าขนส่งคอนกรีต_ตัน_พ่วง" localSheetId="22">#REF!</definedName>
    <definedName name="ค่าขนส่งคอนกรีต_ตัน_พ่วง" localSheetId="26">#REF!</definedName>
    <definedName name="ค่าขนส่งคอนกรีต_ตัน_พ่วง" localSheetId="30">#REF!</definedName>
    <definedName name="ค่าขนส่งคอนกรีต_ตัน_พ่วง" localSheetId="85">#REF!</definedName>
    <definedName name="ค่าขนส่งคอนกรีต_ตัน_พ่วง" localSheetId="86">#REF!</definedName>
    <definedName name="ค่าขนส่งคอนกรีต_ตัน_พ่วง" localSheetId="2">#REF!</definedName>
    <definedName name="ค่าขนส่งคอนกรีต_ตัน_พ่วง">#REF!</definedName>
    <definedName name="ค่าขนส่งคอนกรีต_พ่วง">'[14]ค่าขนส่ง-1'!$M$74</definedName>
    <definedName name="ค่าขนส่งคอนกรีต_ลบม_10ล้อ" localSheetId="3">#REF!</definedName>
    <definedName name="ค่าขนส่งคอนกรีต_ลบม_10ล้อ" localSheetId="4">#REF!</definedName>
    <definedName name="ค่าขนส่งคอนกรีต_ลบม_10ล้อ" localSheetId="18">#REF!</definedName>
    <definedName name="ค่าขนส่งคอนกรีต_ลบม_10ล้อ" localSheetId="19">#REF!</definedName>
    <definedName name="ค่าขนส่งคอนกรีต_ลบม_10ล้อ" localSheetId="9">#REF!</definedName>
    <definedName name="ค่าขนส่งคอนกรีต_ลบม_10ล้อ" localSheetId="10">#REF!</definedName>
    <definedName name="ค่าขนส่งคอนกรีต_ลบม_10ล้อ" localSheetId="11">#REF!</definedName>
    <definedName name="ค่าขนส่งคอนกรีต_ลบม_10ล้อ" localSheetId="12">#REF!</definedName>
    <definedName name="ค่าขนส่งคอนกรีต_ลบม_10ล้อ" localSheetId="13">#REF!</definedName>
    <definedName name="ค่าขนส่งคอนกรีต_ลบม_10ล้อ" localSheetId="14">#REF!</definedName>
    <definedName name="ค่าขนส่งคอนกรีต_ลบม_10ล้อ" localSheetId="15">#REF!</definedName>
    <definedName name="ค่าขนส่งคอนกรีต_ลบม_10ล้อ" localSheetId="16">#REF!</definedName>
    <definedName name="ค่าขนส่งคอนกรีต_ลบม_10ล้อ" localSheetId="17">#REF!</definedName>
    <definedName name="ค่าขนส่งคอนกรีต_ลบม_10ล้อ" localSheetId="8">#REF!</definedName>
    <definedName name="ค่าขนส่งคอนกรีต_ลบม_10ล้อ" localSheetId="7">#REF!</definedName>
    <definedName name="ค่าขนส่งคอนกรีต_ลบม_10ล้อ" localSheetId="6">#REF!</definedName>
    <definedName name="ค่าขนส่งคอนกรีต_ลบม_10ล้อ" localSheetId="20">#REF!</definedName>
    <definedName name="ค่าขนส่งคอนกรีต_ลบม_10ล้อ" localSheetId="5">#REF!</definedName>
    <definedName name="ค่าขนส่งคอนกรีต_ลบม_10ล้อ" localSheetId="21">#REF!</definedName>
    <definedName name="ค่าขนส่งคอนกรีต_ลบม_10ล้อ" localSheetId="34">#REF!</definedName>
    <definedName name="ค่าขนส่งคอนกรีต_ลบม_10ล้อ" localSheetId="35">#REF!</definedName>
    <definedName name="ค่าขนส่งคอนกรีต_ลบม_10ล้อ" localSheetId="25">#REF!</definedName>
    <definedName name="ค่าขนส่งคอนกรีต_ลบม_10ล้อ" localSheetId="27">#REF!</definedName>
    <definedName name="ค่าขนส่งคอนกรีต_ลบม_10ล้อ" localSheetId="28">#REF!</definedName>
    <definedName name="ค่าขนส่งคอนกรีต_ลบม_10ล้อ" localSheetId="29">#REF!</definedName>
    <definedName name="ค่าขนส่งคอนกรีต_ลบม_10ล้อ" localSheetId="31">#REF!</definedName>
    <definedName name="ค่าขนส่งคอนกรีต_ลบม_10ล้อ" localSheetId="32">#REF!</definedName>
    <definedName name="ค่าขนส่งคอนกรีต_ลบม_10ล้อ" localSheetId="33">#REF!</definedName>
    <definedName name="ค่าขนส่งคอนกรีต_ลบม_10ล้อ" localSheetId="24">#REF!</definedName>
    <definedName name="ค่าขนส่งคอนกรีต_ลบม_10ล้อ" localSheetId="23">#REF!</definedName>
    <definedName name="ค่าขนส่งคอนกรีต_ลบม_10ล้อ" localSheetId="36">#REF!</definedName>
    <definedName name="ค่าขนส่งคอนกรีต_ลบม_10ล้อ" localSheetId="22">#REF!</definedName>
    <definedName name="ค่าขนส่งคอนกรีต_ลบม_10ล้อ" localSheetId="26">#REF!</definedName>
    <definedName name="ค่าขนส่งคอนกรีต_ลบม_10ล้อ" localSheetId="30">#REF!</definedName>
    <definedName name="ค่าขนส่งคอนกรีต_ลบม_10ล้อ" localSheetId="41">#REF!</definedName>
    <definedName name="ค่าขนส่งคอนกรีต_ลบม_10ล้อ" localSheetId="50">#REF!</definedName>
    <definedName name="ค่าขนส่งคอนกรีต_ลบม_10ล้อ" localSheetId="51">#REF!</definedName>
    <definedName name="ค่าขนส่งคอนกรีต_ลบม_10ล้อ" localSheetId="42">#REF!</definedName>
    <definedName name="ค่าขนส่งคอนกรีต_ลบม_10ล้อ" localSheetId="43">#REF!</definedName>
    <definedName name="ค่าขนส่งคอนกรีต_ลบม_10ล้อ" localSheetId="44">#REF!</definedName>
    <definedName name="ค่าขนส่งคอนกรีต_ลบม_10ล้อ" localSheetId="45">#REF!</definedName>
    <definedName name="ค่าขนส่งคอนกรีต_ลบม_10ล้อ" localSheetId="46">#REF!</definedName>
    <definedName name="ค่าขนส่งคอนกรีต_ลบม_10ล้อ" localSheetId="47">#REF!</definedName>
    <definedName name="ค่าขนส่งคอนกรีต_ลบม_10ล้อ" localSheetId="48">#REF!</definedName>
    <definedName name="ค่าขนส่งคอนกรีต_ลบม_10ล้อ" localSheetId="49">#REF!</definedName>
    <definedName name="ค่าขนส่งคอนกรีต_ลบม_10ล้อ" localSheetId="52">#REF!</definedName>
    <definedName name="ค่าขนส่งคอนกรีต_ลบม_10ล้อ" localSheetId="40">#REF!</definedName>
    <definedName name="ค่าขนส่งคอนกรีต_ลบม_10ล้อ" localSheetId="39">#REF!</definedName>
    <definedName name="ค่าขนส่งคอนกรีต_ลบม_10ล้อ" localSheetId="38">#REF!</definedName>
    <definedName name="ค่าขนส่งคอนกรีต_ลบม_10ล้อ" localSheetId="37">#REF!</definedName>
    <definedName name="ค่าขนส่งคอนกรีต_ลบม_10ล้อ" localSheetId="57">#REF!</definedName>
    <definedName name="ค่าขนส่งคอนกรีต_ลบม_10ล้อ" localSheetId="66">#REF!</definedName>
    <definedName name="ค่าขนส่งคอนกรีต_ลบม_10ล้อ" localSheetId="67">#REF!</definedName>
    <definedName name="ค่าขนส่งคอนกรีต_ลบม_10ล้อ" localSheetId="58">#REF!</definedName>
    <definedName name="ค่าขนส่งคอนกรีต_ลบม_10ล้อ" localSheetId="59">#REF!</definedName>
    <definedName name="ค่าขนส่งคอนกรีต_ลบม_10ล้อ" localSheetId="60">#REF!</definedName>
    <definedName name="ค่าขนส่งคอนกรีต_ลบม_10ล้อ" localSheetId="61">#REF!</definedName>
    <definedName name="ค่าขนส่งคอนกรีต_ลบม_10ล้อ" localSheetId="62">#REF!</definedName>
    <definedName name="ค่าขนส่งคอนกรีต_ลบม_10ล้อ" localSheetId="63">#REF!</definedName>
    <definedName name="ค่าขนส่งคอนกรีต_ลบม_10ล้อ" localSheetId="64">#REF!</definedName>
    <definedName name="ค่าขนส่งคอนกรีต_ลบม_10ล้อ" localSheetId="65">#REF!</definedName>
    <definedName name="ค่าขนส่งคอนกรีต_ลบม_10ล้อ" localSheetId="68">#REF!</definedName>
    <definedName name="ค่าขนส่งคอนกรีต_ลบม_10ล้อ" localSheetId="56">#REF!</definedName>
    <definedName name="ค่าขนส่งคอนกรีต_ลบม_10ล้อ" localSheetId="55">#REF!</definedName>
    <definedName name="ค่าขนส่งคอนกรีต_ลบม_10ล้อ" localSheetId="54">#REF!</definedName>
    <definedName name="ค่าขนส่งคอนกรีต_ลบม_10ล้อ" localSheetId="69">#REF!</definedName>
    <definedName name="ค่าขนส่งคอนกรีต_ลบม_10ล้อ" localSheetId="53">#REF!</definedName>
    <definedName name="ค่าขนส่งคอนกรีต_ลบม_10ล้อ" localSheetId="85">#REF!</definedName>
    <definedName name="ค่าขนส่งคอนกรีต_ลบม_10ล้อ" localSheetId="86">#REF!</definedName>
    <definedName name="ค่าขนส่งคอนกรีต_ลบม_10ล้อ" localSheetId="2">#REF!</definedName>
    <definedName name="ค่าขนส่งคอนกรีต_ลบม_10ล้อ">#REF!</definedName>
    <definedName name="ค่าขนส่งคอนกรีต_ลบม_พ่วง" localSheetId="3">#REF!</definedName>
    <definedName name="ค่าขนส่งคอนกรีต_ลบม_พ่วง" localSheetId="4">#REF!</definedName>
    <definedName name="ค่าขนส่งคอนกรีต_ลบม_พ่วง" localSheetId="18">#REF!</definedName>
    <definedName name="ค่าขนส่งคอนกรีต_ลบม_พ่วง" localSheetId="19">#REF!</definedName>
    <definedName name="ค่าขนส่งคอนกรีต_ลบม_พ่วง" localSheetId="9">#REF!</definedName>
    <definedName name="ค่าขนส่งคอนกรีต_ลบม_พ่วง" localSheetId="10">#REF!</definedName>
    <definedName name="ค่าขนส่งคอนกรีต_ลบม_พ่วง" localSheetId="11">#REF!</definedName>
    <definedName name="ค่าขนส่งคอนกรีต_ลบม_พ่วง" localSheetId="12">#REF!</definedName>
    <definedName name="ค่าขนส่งคอนกรีต_ลบม_พ่วง" localSheetId="13">#REF!</definedName>
    <definedName name="ค่าขนส่งคอนกรีต_ลบม_พ่วง" localSheetId="14">#REF!</definedName>
    <definedName name="ค่าขนส่งคอนกรีต_ลบม_พ่วง" localSheetId="15">#REF!</definedName>
    <definedName name="ค่าขนส่งคอนกรีต_ลบม_พ่วง" localSheetId="16">#REF!</definedName>
    <definedName name="ค่าขนส่งคอนกรีต_ลบม_พ่วง" localSheetId="17">#REF!</definedName>
    <definedName name="ค่าขนส่งคอนกรีต_ลบม_พ่วง" localSheetId="8">#REF!</definedName>
    <definedName name="ค่าขนส่งคอนกรีต_ลบม_พ่วง" localSheetId="7">#REF!</definedName>
    <definedName name="ค่าขนส่งคอนกรีต_ลบม_พ่วง" localSheetId="6">#REF!</definedName>
    <definedName name="ค่าขนส่งคอนกรีต_ลบม_พ่วง" localSheetId="20">#REF!</definedName>
    <definedName name="ค่าขนส่งคอนกรีต_ลบม_พ่วง" localSheetId="5">#REF!</definedName>
    <definedName name="ค่าขนส่งคอนกรีต_ลบม_พ่วง" localSheetId="21">#REF!</definedName>
    <definedName name="ค่าขนส่งคอนกรีต_ลบม_พ่วง" localSheetId="34">#REF!</definedName>
    <definedName name="ค่าขนส่งคอนกรีต_ลบม_พ่วง" localSheetId="35">#REF!</definedName>
    <definedName name="ค่าขนส่งคอนกรีต_ลบม_พ่วง" localSheetId="25">#REF!</definedName>
    <definedName name="ค่าขนส่งคอนกรีต_ลบม_พ่วง" localSheetId="27">#REF!</definedName>
    <definedName name="ค่าขนส่งคอนกรีต_ลบม_พ่วง" localSheetId="28">#REF!</definedName>
    <definedName name="ค่าขนส่งคอนกรีต_ลบม_พ่วง" localSheetId="29">#REF!</definedName>
    <definedName name="ค่าขนส่งคอนกรีต_ลบม_พ่วง" localSheetId="31">#REF!</definedName>
    <definedName name="ค่าขนส่งคอนกรีต_ลบม_พ่วง" localSheetId="32">#REF!</definedName>
    <definedName name="ค่าขนส่งคอนกรีต_ลบม_พ่วง" localSheetId="33">#REF!</definedName>
    <definedName name="ค่าขนส่งคอนกรีต_ลบม_พ่วง" localSheetId="24">#REF!</definedName>
    <definedName name="ค่าขนส่งคอนกรีต_ลบม_พ่วง" localSheetId="23">#REF!</definedName>
    <definedName name="ค่าขนส่งคอนกรีต_ลบม_พ่วง" localSheetId="36">#REF!</definedName>
    <definedName name="ค่าขนส่งคอนกรีต_ลบม_พ่วง" localSheetId="22">#REF!</definedName>
    <definedName name="ค่าขนส่งคอนกรีต_ลบม_พ่วง" localSheetId="26">#REF!</definedName>
    <definedName name="ค่าขนส่งคอนกรีต_ลบม_พ่วง" localSheetId="30">#REF!</definedName>
    <definedName name="ค่าขนส่งคอนกรีต_ลบม_พ่วง" localSheetId="85">#REF!</definedName>
    <definedName name="ค่าขนส่งคอนกรีต_ลบม_พ่วง" localSheetId="86">#REF!</definedName>
    <definedName name="ค่าขนส่งคอนกรีต_ลบม_พ่วง" localSheetId="2">#REF!</definedName>
    <definedName name="ค่าขนส่งคอนกรีต_ลบม_พ่วง">#REF!</definedName>
    <definedName name="ค่าขนส่งจากส่วนกลาง" localSheetId="3">#REF!</definedName>
    <definedName name="ค่าขนส่งจากส่วนกลาง" localSheetId="4">#REF!</definedName>
    <definedName name="ค่าขนส่งจากส่วนกลาง" localSheetId="85">#REF!</definedName>
    <definedName name="ค่าขนส่งจากส่วนกลาง" localSheetId="86">#REF!</definedName>
    <definedName name="ค่าขนส่งจากส่วนกลาง" localSheetId="2">#REF!</definedName>
    <definedName name="ค่าขนส่งจากส่วนกลาง">#REF!</definedName>
    <definedName name="ค่าขนส่งดิน" localSheetId="3">#REF!</definedName>
    <definedName name="ค่าขนส่งดิน" localSheetId="2">#REF!</definedName>
    <definedName name="ค่าขนส่งดิน">#REF!</definedName>
    <definedName name="ค่าขนส่งดิน_10ล้อ">'[14]ค่าขนส่ง-1'!$M$51</definedName>
    <definedName name="ค่าขนส่งดิน_ตัน_10ล้อ" localSheetId="3">#REF!</definedName>
    <definedName name="ค่าขนส่งดิน_ตัน_10ล้อ" localSheetId="4">#REF!</definedName>
    <definedName name="ค่าขนส่งดิน_ตัน_10ล้อ" localSheetId="18">#REF!</definedName>
    <definedName name="ค่าขนส่งดิน_ตัน_10ล้อ" localSheetId="19">#REF!</definedName>
    <definedName name="ค่าขนส่งดิน_ตัน_10ล้อ" localSheetId="9">#REF!</definedName>
    <definedName name="ค่าขนส่งดิน_ตัน_10ล้อ" localSheetId="10">#REF!</definedName>
    <definedName name="ค่าขนส่งดิน_ตัน_10ล้อ" localSheetId="11">#REF!</definedName>
    <definedName name="ค่าขนส่งดิน_ตัน_10ล้อ" localSheetId="12">#REF!</definedName>
    <definedName name="ค่าขนส่งดิน_ตัน_10ล้อ" localSheetId="13">#REF!</definedName>
    <definedName name="ค่าขนส่งดิน_ตัน_10ล้อ" localSheetId="14">#REF!</definedName>
    <definedName name="ค่าขนส่งดิน_ตัน_10ล้อ" localSheetId="15">#REF!</definedName>
    <definedName name="ค่าขนส่งดิน_ตัน_10ล้อ" localSheetId="16">#REF!</definedName>
    <definedName name="ค่าขนส่งดิน_ตัน_10ล้อ" localSheetId="17">#REF!</definedName>
    <definedName name="ค่าขนส่งดิน_ตัน_10ล้อ" localSheetId="8">#REF!</definedName>
    <definedName name="ค่าขนส่งดิน_ตัน_10ล้อ" localSheetId="7">#REF!</definedName>
    <definedName name="ค่าขนส่งดิน_ตัน_10ล้อ" localSheetId="6">#REF!</definedName>
    <definedName name="ค่าขนส่งดิน_ตัน_10ล้อ" localSheetId="20">#REF!</definedName>
    <definedName name="ค่าขนส่งดิน_ตัน_10ล้อ" localSheetId="5">#REF!</definedName>
    <definedName name="ค่าขนส่งดิน_ตัน_10ล้อ" localSheetId="21">#REF!</definedName>
    <definedName name="ค่าขนส่งดิน_ตัน_10ล้อ" localSheetId="34">#REF!</definedName>
    <definedName name="ค่าขนส่งดิน_ตัน_10ล้อ" localSheetId="35">#REF!</definedName>
    <definedName name="ค่าขนส่งดิน_ตัน_10ล้อ" localSheetId="25">#REF!</definedName>
    <definedName name="ค่าขนส่งดิน_ตัน_10ล้อ" localSheetId="27">#REF!</definedName>
    <definedName name="ค่าขนส่งดิน_ตัน_10ล้อ" localSheetId="28">#REF!</definedName>
    <definedName name="ค่าขนส่งดิน_ตัน_10ล้อ" localSheetId="29">#REF!</definedName>
    <definedName name="ค่าขนส่งดิน_ตัน_10ล้อ" localSheetId="31">#REF!</definedName>
    <definedName name="ค่าขนส่งดิน_ตัน_10ล้อ" localSheetId="32">#REF!</definedName>
    <definedName name="ค่าขนส่งดิน_ตัน_10ล้อ" localSheetId="33">#REF!</definedName>
    <definedName name="ค่าขนส่งดิน_ตัน_10ล้อ" localSheetId="24">#REF!</definedName>
    <definedName name="ค่าขนส่งดิน_ตัน_10ล้อ" localSheetId="23">#REF!</definedName>
    <definedName name="ค่าขนส่งดิน_ตัน_10ล้อ" localSheetId="36">#REF!</definedName>
    <definedName name="ค่าขนส่งดิน_ตัน_10ล้อ" localSheetId="22">#REF!</definedName>
    <definedName name="ค่าขนส่งดิน_ตัน_10ล้อ" localSheetId="26">#REF!</definedName>
    <definedName name="ค่าขนส่งดิน_ตัน_10ล้อ" localSheetId="30">#REF!</definedName>
    <definedName name="ค่าขนส่งดิน_ตัน_10ล้อ" localSheetId="41">#REF!</definedName>
    <definedName name="ค่าขนส่งดิน_ตัน_10ล้อ" localSheetId="50">#REF!</definedName>
    <definedName name="ค่าขนส่งดิน_ตัน_10ล้อ" localSheetId="51">#REF!</definedName>
    <definedName name="ค่าขนส่งดิน_ตัน_10ล้อ" localSheetId="42">#REF!</definedName>
    <definedName name="ค่าขนส่งดิน_ตัน_10ล้อ" localSheetId="43">#REF!</definedName>
    <definedName name="ค่าขนส่งดิน_ตัน_10ล้อ" localSheetId="44">#REF!</definedName>
    <definedName name="ค่าขนส่งดิน_ตัน_10ล้อ" localSheetId="45">#REF!</definedName>
    <definedName name="ค่าขนส่งดิน_ตัน_10ล้อ" localSheetId="46">#REF!</definedName>
    <definedName name="ค่าขนส่งดิน_ตัน_10ล้อ" localSheetId="47">#REF!</definedName>
    <definedName name="ค่าขนส่งดิน_ตัน_10ล้อ" localSheetId="48">#REF!</definedName>
    <definedName name="ค่าขนส่งดิน_ตัน_10ล้อ" localSheetId="49">#REF!</definedName>
    <definedName name="ค่าขนส่งดิน_ตัน_10ล้อ" localSheetId="52">#REF!</definedName>
    <definedName name="ค่าขนส่งดิน_ตัน_10ล้อ" localSheetId="40">#REF!</definedName>
    <definedName name="ค่าขนส่งดิน_ตัน_10ล้อ" localSheetId="39">#REF!</definedName>
    <definedName name="ค่าขนส่งดิน_ตัน_10ล้อ" localSheetId="38">#REF!</definedName>
    <definedName name="ค่าขนส่งดิน_ตัน_10ล้อ" localSheetId="37">#REF!</definedName>
    <definedName name="ค่าขนส่งดิน_ตัน_10ล้อ" localSheetId="57">#REF!</definedName>
    <definedName name="ค่าขนส่งดิน_ตัน_10ล้อ" localSheetId="66">#REF!</definedName>
    <definedName name="ค่าขนส่งดิน_ตัน_10ล้อ" localSheetId="67">#REF!</definedName>
    <definedName name="ค่าขนส่งดิน_ตัน_10ล้อ" localSheetId="58">#REF!</definedName>
    <definedName name="ค่าขนส่งดิน_ตัน_10ล้อ" localSheetId="59">#REF!</definedName>
    <definedName name="ค่าขนส่งดิน_ตัน_10ล้อ" localSheetId="60">#REF!</definedName>
    <definedName name="ค่าขนส่งดิน_ตัน_10ล้อ" localSheetId="61">#REF!</definedName>
    <definedName name="ค่าขนส่งดิน_ตัน_10ล้อ" localSheetId="62">#REF!</definedName>
    <definedName name="ค่าขนส่งดิน_ตัน_10ล้อ" localSheetId="63">#REF!</definedName>
    <definedName name="ค่าขนส่งดิน_ตัน_10ล้อ" localSheetId="64">#REF!</definedName>
    <definedName name="ค่าขนส่งดิน_ตัน_10ล้อ" localSheetId="65">#REF!</definedName>
    <definedName name="ค่าขนส่งดิน_ตัน_10ล้อ" localSheetId="68">#REF!</definedName>
    <definedName name="ค่าขนส่งดิน_ตัน_10ล้อ" localSheetId="56">#REF!</definedName>
    <definedName name="ค่าขนส่งดิน_ตัน_10ล้อ" localSheetId="55">#REF!</definedName>
    <definedName name="ค่าขนส่งดิน_ตัน_10ล้อ" localSheetId="54">#REF!</definedName>
    <definedName name="ค่าขนส่งดิน_ตัน_10ล้อ" localSheetId="69">#REF!</definedName>
    <definedName name="ค่าขนส่งดิน_ตัน_10ล้อ" localSheetId="53">#REF!</definedName>
    <definedName name="ค่าขนส่งดิน_ตัน_10ล้อ" localSheetId="85">#REF!</definedName>
    <definedName name="ค่าขนส่งดิน_ตัน_10ล้อ" localSheetId="86">#REF!</definedName>
    <definedName name="ค่าขนส่งดิน_ตัน_10ล้อ" localSheetId="2">#REF!</definedName>
    <definedName name="ค่าขนส่งดิน_ตัน_10ล้อ">#REF!</definedName>
    <definedName name="ค่าขนส่งดิน_ตัน_พ่วง" localSheetId="3">#REF!</definedName>
    <definedName name="ค่าขนส่งดิน_ตัน_พ่วง" localSheetId="4">#REF!</definedName>
    <definedName name="ค่าขนส่งดิน_ตัน_พ่วง" localSheetId="18">#REF!</definedName>
    <definedName name="ค่าขนส่งดิน_ตัน_พ่วง" localSheetId="19">#REF!</definedName>
    <definedName name="ค่าขนส่งดิน_ตัน_พ่วง" localSheetId="9">#REF!</definedName>
    <definedName name="ค่าขนส่งดิน_ตัน_พ่วง" localSheetId="10">#REF!</definedName>
    <definedName name="ค่าขนส่งดิน_ตัน_พ่วง" localSheetId="11">#REF!</definedName>
    <definedName name="ค่าขนส่งดิน_ตัน_พ่วง" localSheetId="12">#REF!</definedName>
    <definedName name="ค่าขนส่งดิน_ตัน_พ่วง" localSheetId="13">#REF!</definedName>
    <definedName name="ค่าขนส่งดิน_ตัน_พ่วง" localSheetId="14">#REF!</definedName>
    <definedName name="ค่าขนส่งดิน_ตัน_พ่วง" localSheetId="15">#REF!</definedName>
    <definedName name="ค่าขนส่งดิน_ตัน_พ่วง" localSheetId="16">#REF!</definedName>
    <definedName name="ค่าขนส่งดิน_ตัน_พ่วง" localSheetId="17">#REF!</definedName>
    <definedName name="ค่าขนส่งดิน_ตัน_พ่วง" localSheetId="8">#REF!</definedName>
    <definedName name="ค่าขนส่งดิน_ตัน_พ่วง" localSheetId="7">#REF!</definedName>
    <definedName name="ค่าขนส่งดิน_ตัน_พ่วง" localSheetId="6">#REF!</definedName>
    <definedName name="ค่าขนส่งดิน_ตัน_พ่วง" localSheetId="20">#REF!</definedName>
    <definedName name="ค่าขนส่งดิน_ตัน_พ่วง" localSheetId="5">#REF!</definedName>
    <definedName name="ค่าขนส่งดิน_ตัน_พ่วง" localSheetId="21">#REF!</definedName>
    <definedName name="ค่าขนส่งดิน_ตัน_พ่วง" localSheetId="34">#REF!</definedName>
    <definedName name="ค่าขนส่งดิน_ตัน_พ่วง" localSheetId="35">#REF!</definedName>
    <definedName name="ค่าขนส่งดิน_ตัน_พ่วง" localSheetId="25">#REF!</definedName>
    <definedName name="ค่าขนส่งดิน_ตัน_พ่วง" localSheetId="27">#REF!</definedName>
    <definedName name="ค่าขนส่งดิน_ตัน_พ่วง" localSheetId="28">#REF!</definedName>
    <definedName name="ค่าขนส่งดิน_ตัน_พ่วง" localSheetId="29">#REF!</definedName>
    <definedName name="ค่าขนส่งดิน_ตัน_พ่วง" localSheetId="31">#REF!</definedName>
    <definedName name="ค่าขนส่งดิน_ตัน_พ่วง" localSheetId="32">#REF!</definedName>
    <definedName name="ค่าขนส่งดิน_ตัน_พ่วง" localSheetId="33">#REF!</definedName>
    <definedName name="ค่าขนส่งดิน_ตัน_พ่วง" localSheetId="24">#REF!</definedName>
    <definedName name="ค่าขนส่งดิน_ตัน_พ่วง" localSheetId="23">#REF!</definedName>
    <definedName name="ค่าขนส่งดิน_ตัน_พ่วง" localSheetId="36">#REF!</definedName>
    <definedName name="ค่าขนส่งดิน_ตัน_พ่วง" localSheetId="22">#REF!</definedName>
    <definedName name="ค่าขนส่งดิน_ตัน_พ่วง" localSheetId="26">#REF!</definedName>
    <definedName name="ค่าขนส่งดิน_ตัน_พ่วง" localSheetId="30">#REF!</definedName>
    <definedName name="ค่าขนส่งดิน_ตัน_พ่วง" localSheetId="85">#REF!</definedName>
    <definedName name="ค่าขนส่งดิน_ตัน_พ่วง" localSheetId="86">#REF!</definedName>
    <definedName name="ค่าขนส่งดิน_ตัน_พ่วง" localSheetId="2">#REF!</definedName>
    <definedName name="ค่าขนส่งดิน_ตัน_พ่วง">#REF!</definedName>
    <definedName name="ค่าขนส่งดิน_พ่วง">'[14]ค่าขนส่ง-1'!$M$68</definedName>
    <definedName name="ค่าขนส่งดิน_ลบม_10ล้อ">'[13]ค่าขนส่ง-1'!$M$53</definedName>
    <definedName name="ค่าขนส่งดิน_ลบม_พ่วง">'[13]ค่าขนส่ง-1'!$M$70</definedName>
    <definedName name="ค่าขนส่งทราย" localSheetId="3">#REF!</definedName>
    <definedName name="ค่าขนส่งทราย" localSheetId="4">#REF!</definedName>
    <definedName name="ค่าขนส่งทราย" localSheetId="18">#REF!</definedName>
    <definedName name="ค่าขนส่งทราย" localSheetId="19">#REF!</definedName>
    <definedName name="ค่าขนส่งทราย" localSheetId="9">#REF!</definedName>
    <definedName name="ค่าขนส่งทราย" localSheetId="10">#REF!</definedName>
    <definedName name="ค่าขนส่งทราย" localSheetId="11">#REF!</definedName>
    <definedName name="ค่าขนส่งทราย" localSheetId="12">#REF!</definedName>
    <definedName name="ค่าขนส่งทราย" localSheetId="13">#REF!</definedName>
    <definedName name="ค่าขนส่งทราย" localSheetId="14">#REF!</definedName>
    <definedName name="ค่าขนส่งทราย" localSheetId="15">#REF!</definedName>
    <definedName name="ค่าขนส่งทราย" localSheetId="16">#REF!</definedName>
    <definedName name="ค่าขนส่งทราย" localSheetId="17">#REF!</definedName>
    <definedName name="ค่าขนส่งทราย" localSheetId="8">#REF!</definedName>
    <definedName name="ค่าขนส่งทราย" localSheetId="7">#REF!</definedName>
    <definedName name="ค่าขนส่งทราย" localSheetId="6">#REF!</definedName>
    <definedName name="ค่าขนส่งทราย" localSheetId="20">#REF!</definedName>
    <definedName name="ค่าขนส่งทราย" localSheetId="5">#REF!</definedName>
    <definedName name="ค่าขนส่งทราย" localSheetId="21">#REF!</definedName>
    <definedName name="ค่าขนส่งทราย" localSheetId="34">#REF!</definedName>
    <definedName name="ค่าขนส่งทราย" localSheetId="35">#REF!</definedName>
    <definedName name="ค่าขนส่งทราย" localSheetId="25">#REF!</definedName>
    <definedName name="ค่าขนส่งทราย" localSheetId="27">#REF!</definedName>
    <definedName name="ค่าขนส่งทราย" localSheetId="28">#REF!</definedName>
    <definedName name="ค่าขนส่งทราย" localSheetId="29">#REF!</definedName>
    <definedName name="ค่าขนส่งทราย" localSheetId="31">#REF!</definedName>
    <definedName name="ค่าขนส่งทราย" localSheetId="32">#REF!</definedName>
    <definedName name="ค่าขนส่งทราย" localSheetId="33">#REF!</definedName>
    <definedName name="ค่าขนส่งทราย" localSheetId="24">#REF!</definedName>
    <definedName name="ค่าขนส่งทราย" localSheetId="23">#REF!</definedName>
    <definedName name="ค่าขนส่งทราย" localSheetId="36">#REF!</definedName>
    <definedName name="ค่าขนส่งทราย" localSheetId="22">#REF!</definedName>
    <definedName name="ค่าขนส่งทราย" localSheetId="26">#REF!</definedName>
    <definedName name="ค่าขนส่งทราย" localSheetId="30">#REF!</definedName>
    <definedName name="ค่าขนส่งทราย" localSheetId="41">#REF!</definedName>
    <definedName name="ค่าขนส่งทราย" localSheetId="50">#REF!</definedName>
    <definedName name="ค่าขนส่งทราย" localSheetId="51">#REF!</definedName>
    <definedName name="ค่าขนส่งทราย" localSheetId="42">#REF!</definedName>
    <definedName name="ค่าขนส่งทราย" localSheetId="43">#REF!</definedName>
    <definedName name="ค่าขนส่งทราย" localSheetId="44">#REF!</definedName>
    <definedName name="ค่าขนส่งทราย" localSheetId="45">#REF!</definedName>
    <definedName name="ค่าขนส่งทราย" localSheetId="46">#REF!</definedName>
    <definedName name="ค่าขนส่งทราย" localSheetId="47">#REF!</definedName>
    <definedName name="ค่าขนส่งทราย" localSheetId="48">#REF!</definedName>
    <definedName name="ค่าขนส่งทราย" localSheetId="49">#REF!</definedName>
    <definedName name="ค่าขนส่งทราย" localSheetId="52">#REF!</definedName>
    <definedName name="ค่าขนส่งทราย" localSheetId="40">#REF!</definedName>
    <definedName name="ค่าขนส่งทราย" localSheetId="39">#REF!</definedName>
    <definedName name="ค่าขนส่งทราย" localSheetId="38">#REF!</definedName>
    <definedName name="ค่าขนส่งทราย" localSheetId="37">#REF!</definedName>
    <definedName name="ค่าขนส่งทราย" localSheetId="57">#REF!</definedName>
    <definedName name="ค่าขนส่งทราย" localSheetId="66">#REF!</definedName>
    <definedName name="ค่าขนส่งทราย" localSheetId="67">#REF!</definedName>
    <definedName name="ค่าขนส่งทราย" localSheetId="58">#REF!</definedName>
    <definedName name="ค่าขนส่งทราย" localSheetId="59">#REF!</definedName>
    <definedName name="ค่าขนส่งทราย" localSheetId="60">#REF!</definedName>
    <definedName name="ค่าขนส่งทราย" localSheetId="61">#REF!</definedName>
    <definedName name="ค่าขนส่งทราย" localSheetId="62">#REF!</definedName>
    <definedName name="ค่าขนส่งทราย" localSheetId="63">#REF!</definedName>
    <definedName name="ค่าขนส่งทราย" localSheetId="64">#REF!</definedName>
    <definedName name="ค่าขนส่งทราย" localSheetId="65">#REF!</definedName>
    <definedName name="ค่าขนส่งทราย" localSheetId="68">#REF!</definedName>
    <definedName name="ค่าขนส่งทราย" localSheetId="56">#REF!</definedName>
    <definedName name="ค่าขนส่งทราย" localSheetId="55">#REF!</definedName>
    <definedName name="ค่าขนส่งทราย" localSheetId="54">#REF!</definedName>
    <definedName name="ค่าขนส่งทราย" localSheetId="69">#REF!</definedName>
    <definedName name="ค่าขนส่งทราย" localSheetId="53">#REF!</definedName>
    <definedName name="ค่าขนส่งทราย" localSheetId="85">#REF!</definedName>
    <definedName name="ค่าขนส่งทราย" localSheetId="86">#REF!</definedName>
    <definedName name="ค่าขนส่งทราย" localSheetId="2">#REF!</definedName>
    <definedName name="ค่าขนส่งทราย">#REF!</definedName>
    <definedName name="ค่าขนส่งทราย_10ล้อ">'[14]ค่าขนส่ง-1'!$M$52</definedName>
    <definedName name="ค่าขนส่งทราย_ตัน_10ล้อ" localSheetId="3">#REF!</definedName>
    <definedName name="ค่าขนส่งทราย_ตัน_10ล้อ" localSheetId="4">#REF!</definedName>
    <definedName name="ค่าขนส่งทราย_ตัน_10ล้อ" localSheetId="18">#REF!</definedName>
    <definedName name="ค่าขนส่งทราย_ตัน_10ล้อ" localSheetId="19">#REF!</definedName>
    <definedName name="ค่าขนส่งทราย_ตัน_10ล้อ" localSheetId="9">#REF!</definedName>
    <definedName name="ค่าขนส่งทราย_ตัน_10ล้อ" localSheetId="10">#REF!</definedName>
    <definedName name="ค่าขนส่งทราย_ตัน_10ล้อ" localSheetId="11">#REF!</definedName>
    <definedName name="ค่าขนส่งทราย_ตัน_10ล้อ" localSheetId="12">#REF!</definedName>
    <definedName name="ค่าขนส่งทราย_ตัน_10ล้อ" localSheetId="13">#REF!</definedName>
    <definedName name="ค่าขนส่งทราย_ตัน_10ล้อ" localSheetId="14">#REF!</definedName>
    <definedName name="ค่าขนส่งทราย_ตัน_10ล้อ" localSheetId="15">#REF!</definedName>
    <definedName name="ค่าขนส่งทราย_ตัน_10ล้อ" localSheetId="16">#REF!</definedName>
    <definedName name="ค่าขนส่งทราย_ตัน_10ล้อ" localSheetId="17">#REF!</definedName>
    <definedName name="ค่าขนส่งทราย_ตัน_10ล้อ" localSheetId="8">#REF!</definedName>
    <definedName name="ค่าขนส่งทราย_ตัน_10ล้อ" localSheetId="7">#REF!</definedName>
    <definedName name="ค่าขนส่งทราย_ตัน_10ล้อ" localSheetId="6">#REF!</definedName>
    <definedName name="ค่าขนส่งทราย_ตัน_10ล้อ" localSheetId="20">#REF!</definedName>
    <definedName name="ค่าขนส่งทราย_ตัน_10ล้อ" localSheetId="5">#REF!</definedName>
    <definedName name="ค่าขนส่งทราย_ตัน_10ล้อ" localSheetId="21">#REF!</definedName>
    <definedName name="ค่าขนส่งทราย_ตัน_10ล้อ" localSheetId="34">#REF!</definedName>
    <definedName name="ค่าขนส่งทราย_ตัน_10ล้อ" localSheetId="35">#REF!</definedName>
    <definedName name="ค่าขนส่งทราย_ตัน_10ล้อ" localSheetId="25">#REF!</definedName>
    <definedName name="ค่าขนส่งทราย_ตัน_10ล้อ" localSheetId="27">#REF!</definedName>
    <definedName name="ค่าขนส่งทราย_ตัน_10ล้อ" localSheetId="28">#REF!</definedName>
    <definedName name="ค่าขนส่งทราย_ตัน_10ล้อ" localSheetId="29">#REF!</definedName>
    <definedName name="ค่าขนส่งทราย_ตัน_10ล้อ" localSheetId="31">#REF!</definedName>
    <definedName name="ค่าขนส่งทราย_ตัน_10ล้อ" localSheetId="32">#REF!</definedName>
    <definedName name="ค่าขนส่งทราย_ตัน_10ล้อ" localSheetId="33">#REF!</definedName>
    <definedName name="ค่าขนส่งทราย_ตัน_10ล้อ" localSheetId="24">#REF!</definedName>
    <definedName name="ค่าขนส่งทราย_ตัน_10ล้อ" localSheetId="23">#REF!</definedName>
    <definedName name="ค่าขนส่งทราย_ตัน_10ล้อ" localSheetId="36">#REF!</definedName>
    <definedName name="ค่าขนส่งทราย_ตัน_10ล้อ" localSheetId="22">#REF!</definedName>
    <definedName name="ค่าขนส่งทราย_ตัน_10ล้อ" localSheetId="26">#REF!</definedName>
    <definedName name="ค่าขนส่งทราย_ตัน_10ล้อ" localSheetId="30">#REF!</definedName>
    <definedName name="ค่าขนส่งทราย_ตัน_10ล้อ" localSheetId="41">#REF!</definedName>
    <definedName name="ค่าขนส่งทราย_ตัน_10ล้อ" localSheetId="50">#REF!</definedName>
    <definedName name="ค่าขนส่งทราย_ตัน_10ล้อ" localSheetId="51">#REF!</definedName>
    <definedName name="ค่าขนส่งทราย_ตัน_10ล้อ" localSheetId="42">#REF!</definedName>
    <definedName name="ค่าขนส่งทราย_ตัน_10ล้อ" localSheetId="43">#REF!</definedName>
    <definedName name="ค่าขนส่งทราย_ตัน_10ล้อ" localSheetId="44">#REF!</definedName>
    <definedName name="ค่าขนส่งทราย_ตัน_10ล้อ" localSheetId="45">#REF!</definedName>
    <definedName name="ค่าขนส่งทราย_ตัน_10ล้อ" localSheetId="46">#REF!</definedName>
    <definedName name="ค่าขนส่งทราย_ตัน_10ล้อ" localSheetId="47">#REF!</definedName>
    <definedName name="ค่าขนส่งทราย_ตัน_10ล้อ" localSheetId="48">#REF!</definedName>
    <definedName name="ค่าขนส่งทราย_ตัน_10ล้อ" localSheetId="49">#REF!</definedName>
    <definedName name="ค่าขนส่งทราย_ตัน_10ล้อ" localSheetId="52">#REF!</definedName>
    <definedName name="ค่าขนส่งทราย_ตัน_10ล้อ" localSheetId="40">#REF!</definedName>
    <definedName name="ค่าขนส่งทราย_ตัน_10ล้อ" localSheetId="39">#REF!</definedName>
    <definedName name="ค่าขนส่งทราย_ตัน_10ล้อ" localSheetId="38">#REF!</definedName>
    <definedName name="ค่าขนส่งทราย_ตัน_10ล้อ" localSheetId="37">#REF!</definedName>
    <definedName name="ค่าขนส่งทราย_ตัน_10ล้อ" localSheetId="57">#REF!</definedName>
    <definedName name="ค่าขนส่งทราย_ตัน_10ล้อ" localSheetId="66">#REF!</definedName>
    <definedName name="ค่าขนส่งทราย_ตัน_10ล้อ" localSheetId="67">#REF!</definedName>
    <definedName name="ค่าขนส่งทราย_ตัน_10ล้อ" localSheetId="58">#REF!</definedName>
    <definedName name="ค่าขนส่งทราย_ตัน_10ล้อ" localSheetId="59">#REF!</definedName>
    <definedName name="ค่าขนส่งทราย_ตัน_10ล้อ" localSheetId="60">#REF!</definedName>
    <definedName name="ค่าขนส่งทราย_ตัน_10ล้อ" localSheetId="61">#REF!</definedName>
    <definedName name="ค่าขนส่งทราย_ตัน_10ล้อ" localSheetId="62">#REF!</definedName>
    <definedName name="ค่าขนส่งทราย_ตัน_10ล้อ" localSheetId="63">#REF!</definedName>
    <definedName name="ค่าขนส่งทราย_ตัน_10ล้อ" localSheetId="64">#REF!</definedName>
    <definedName name="ค่าขนส่งทราย_ตัน_10ล้อ" localSheetId="65">#REF!</definedName>
    <definedName name="ค่าขนส่งทราย_ตัน_10ล้อ" localSheetId="68">#REF!</definedName>
    <definedName name="ค่าขนส่งทราย_ตัน_10ล้อ" localSheetId="56">#REF!</definedName>
    <definedName name="ค่าขนส่งทราย_ตัน_10ล้อ" localSheetId="55">#REF!</definedName>
    <definedName name="ค่าขนส่งทราย_ตัน_10ล้อ" localSheetId="54">#REF!</definedName>
    <definedName name="ค่าขนส่งทราย_ตัน_10ล้อ" localSheetId="69">#REF!</definedName>
    <definedName name="ค่าขนส่งทราย_ตัน_10ล้อ" localSheetId="53">#REF!</definedName>
    <definedName name="ค่าขนส่งทราย_ตัน_10ล้อ" localSheetId="85">#REF!</definedName>
    <definedName name="ค่าขนส่งทราย_ตัน_10ล้อ" localSheetId="86">#REF!</definedName>
    <definedName name="ค่าขนส่งทราย_ตัน_10ล้อ" localSheetId="2">#REF!</definedName>
    <definedName name="ค่าขนส่งทราย_ตัน_10ล้อ">#REF!</definedName>
    <definedName name="ค่าขนส่งทราย_ตัน_พ่วง" localSheetId="3">#REF!</definedName>
    <definedName name="ค่าขนส่งทราย_ตัน_พ่วง" localSheetId="4">#REF!</definedName>
    <definedName name="ค่าขนส่งทราย_ตัน_พ่วง" localSheetId="18">#REF!</definedName>
    <definedName name="ค่าขนส่งทราย_ตัน_พ่วง" localSheetId="19">#REF!</definedName>
    <definedName name="ค่าขนส่งทราย_ตัน_พ่วง" localSheetId="9">#REF!</definedName>
    <definedName name="ค่าขนส่งทราย_ตัน_พ่วง" localSheetId="10">#REF!</definedName>
    <definedName name="ค่าขนส่งทราย_ตัน_พ่วง" localSheetId="11">#REF!</definedName>
    <definedName name="ค่าขนส่งทราย_ตัน_พ่วง" localSheetId="12">#REF!</definedName>
    <definedName name="ค่าขนส่งทราย_ตัน_พ่วง" localSheetId="13">#REF!</definedName>
    <definedName name="ค่าขนส่งทราย_ตัน_พ่วง" localSheetId="14">#REF!</definedName>
    <definedName name="ค่าขนส่งทราย_ตัน_พ่วง" localSheetId="15">#REF!</definedName>
    <definedName name="ค่าขนส่งทราย_ตัน_พ่วง" localSheetId="16">#REF!</definedName>
    <definedName name="ค่าขนส่งทราย_ตัน_พ่วง" localSheetId="17">#REF!</definedName>
    <definedName name="ค่าขนส่งทราย_ตัน_พ่วง" localSheetId="8">#REF!</definedName>
    <definedName name="ค่าขนส่งทราย_ตัน_พ่วง" localSheetId="7">#REF!</definedName>
    <definedName name="ค่าขนส่งทราย_ตัน_พ่วง" localSheetId="6">#REF!</definedName>
    <definedName name="ค่าขนส่งทราย_ตัน_พ่วง" localSheetId="20">#REF!</definedName>
    <definedName name="ค่าขนส่งทราย_ตัน_พ่วง" localSheetId="5">#REF!</definedName>
    <definedName name="ค่าขนส่งทราย_ตัน_พ่วง" localSheetId="21">#REF!</definedName>
    <definedName name="ค่าขนส่งทราย_ตัน_พ่วง" localSheetId="34">#REF!</definedName>
    <definedName name="ค่าขนส่งทราย_ตัน_พ่วง" localSheetId="35">#REF!</definedName>
    <definedName name="ค่าขนส่งทราย_ตัน_พ่วง" localSheetId="25">#REF!</definedName>
    <definedName name="ค่าขนส่งทราย_ตัน_พ่วง" localSheetId="27">#REF!</definedName>
    <definedName name="ค่าขนส่งทราย_ตัน_พ่วง" localSheetId="28">#REF!</definedName>
    <definedName name="ค่าขนส่งทราย_ตัน_พ่วง" localSheetId="29">#REF!</definedName>
    <definedName name="ค่าขนส่งทราย_ตัน_พ่วง" localSheetId="31">#REF!</definedName>
    <definedName name="ค่าขนส่งทราย_ตัน_พ่วง" localSheetId="32">#REF!</definedName>
    <definedName name="ค่าขนส่งทราย_ตัน_พ่วง" localSheetId="33">#REF!</definedName>
    <definedName name="ค่าขนส่งทราย_ตัน_พ่วง" localSheetId="24">#REF!</definedName>
    <definedName name="ค่าขนส่งทราย_ตัน_พ่วง" localSheetId="23">#REF!</definedName>
    <definedName name="ค่าขนส่งทราย_ตัน_พ่วง" localSheetId="36">#REF!</definedName>
    <definedName name="ค่าขนส่งทราย_ตัน_พ่วง" localSheetId="22">#REF!</definedName>
    <definedName name="ค่าขนส่งทราย_ตัน_พ่วง" localSheetId="26">#REF!</definedName>
    <definedName name="ค่าขนส่งทราย_ตัน_พ่วง" localSheetId="30">#REF!</definedName>
    <definedName name="ค่าขนส่งทราย_ตัน_พ่วง" localSheetId="85">#REF!</definedName>
    <definedName name="ค่าขนส่งทราย_ตัน_พ่วง" localSheetId="86">#REF!</definedName>
    <definedName name="ค่าขนส่งทราย_ตัน_พ่วง" localSheetId="2">#REF!</definedName>
    <definedName name="ค่าขนส่งทราย_ตัน_พ่วง">#REF!</definedName>
    <definedName name="ค่าขนส่งทราย_พ่วง">'[14]ค่าขนส่ง-1'!$M$69</definedName>
    <definedName name="ค่าขนส่งทราย_ลบม_10ล้อ">'[13]ค่าขนส่ง-1'!$M$54</definedName>
    <definedName name="ค่าขนส่งทราย_ลบม_พ่วง">'[13]ค่าขนส่ง-1'!$M$71</definedName>
    <definedName name="ค่าขนส่งท่อ_10ล้อ">'[14]ค่าขนส่ง-1'!$L$58</definedName>
    <definedName name="ค่าขนส่งท่อ_ตัน_10ล้อ">'[13]ค่าขนส่ง-1'!$L$60</definedName>
    <definedName name="ค่าขนส่งท่อ_ตัน_พ่วง">'[13]ค่าขนส่ง-1'!$L$77</definedName>
    <definedName name="ค่าขนส่งท่อ_พ่วง">'[14]ค่าขนส่ง-1'!$L$75</definedName>
    <definedName name="ค่าขนส่งท่อ_ลบม_10ล้อ" localSheetId="3">#REF!</definedName>
    <definedName name="ค่าขนส่งท่อ_ลบม_10ล้อ" localSheetId="4">#REF!</definedName>
    <definedName name="ค่าขนส่งท่อ_ลบม_10ล้อ" localSheetId="18">#REF!</definedName>
    <definedName name="ค่าขนส่งท่อ_ลบม_10ล้อ" localSheetId="19">#REF!</definedName>
    <definedName name="ค่าขนส่งท่อ_ลบม_10ล้อ" localSheetId="9">#REF!</definedName>
    <definedName name="ค่าขนส่งท่อ_ลบม_10ล้อ" localSheetId="10">#REF!</definedName>
    <definedName name="ค่าขนส่งท่อ_ลบม_10ล้อ" localSheetId="11">#REF!</definedName>
    <definedName name="ค่าขนส่งท่อ_ลบม_10ล้อ" localSheetId="12">#REF!</definedName>
    <definedName name="ค่าขนส่งท่อ_ลบม_10ล้อ" localSheetId="13">#REF!</definedName>
    <definedName name="ค่าขนส่งท่อ_ลบม_10ล้อ" localSheetId="14">#REF!</definedName>
    <definedName name="ค่าขนส่งท่อ_ลบม_10ล้อ" localSheetId="15">#REF!</definedName>
    <definedName name="ค่าขนส่งท่อ_ลบม_10ล้อ" localSheetId="16">#REF!</definedName>
    <definedName name="ค่าขนส่งท่อ_ลบม_10ล้อ" localSheetId="17">#REF!</definedName>
    <definedName name="ค่าขนส่งท่อ_ลบม_10ล้อ" localSheetId="8">#REF!</definedName>
    <definedName name="ค่าขนส่งท่อ_ลบม_10ล้อ" localSheetId="7">#REF!</definedName>
    <definedName name="ค่าขนส่งท่อ_ลบม_10ล้อ" localSheetId="6">#REF!</definedName>
    <definedName name="ค่าขนส่งท่อ_ลบม_10ล้อ" localSheetId="20">#REF!</definedName>
    <definedName name="ค่าขนส่งท่อ_ลบม_10ล้อ" localSheetId="5">#REF!</definedName>
    <definedName name="ค่าขนส่งท่อ_ลบม_10ล้อ" localSheetId="21">#REF!</definedName>
    <definedName name="ค่าขนส่งท่อ_ลบม_10ล้อ" localSheetId="34">#REF!</definedName>
    <definedName name="ค่าขนส่งท่อ_ลบม_10ล้อ" localSheetId="35">#REF!</definedName>
    <definedName name="ค่าขนส่งท่อ_ลบม_10ล้อ" localSheetId="25">#REF!</definedName>
    <definedName name="ค่าขนส่งท่อ_ลบม_10ล้อ" localSheetId="27">#REF!</definedName>
    <definedName name="ค่าขนส่งท่อ_ลบม_10ล้อ" localSheetId="28">#REF!</definedName>
    <definedName name="ค่าขนส่งท่อ_ลบม_10ล้อ" localSheetId="29">#REF!</definedName>
    <definedName name="ค่าขนส่งท่อ_ลบม_10ล้อ" localSheetId="31">#REF!</definedName>
    <definedName name="ค่าขนส่งท่อ_ลบม_10ล้อ" localSheetId="32">#REF!</definedName>
    <definedName name="ค่าขนส่งท่อ_ลบม_10ล้อ" localSheetId="33">#REF!</definedName>
    <definedName name="ค่าขนส่งท่อ_ลบม_10ล้อ" localSheetId="24">#REF!</definedName>
    <definedName name="ค่าขนส่งท่อ_ลบม_10ล้อ" localSheetId="23">#REF!</definedName>
    <definedName name="ค่าขนส่งท่อ_ลบม_10ล้อ" localSheetId="36">#REF!</definedName>
    <definedName name="ค่าขนส่งท่อ_ลบม_10ล้อ" localSheetId="22">#REF!</definedName>
    <definedName name="ค่าขนส่งท่อ_ลบม_10ล้อ" localSheetId="26">#REF!</definedName>
    <definedName name="ค่าขนส่งท่อ_ลบม_10ล้อ" localSheetId="30">#REF!</definedName>
    <definedName name="ค่าขนส่งท่อ_ลบม_10ล้อ" localSheetId="41">#REF!</definedName>
    <definedName name="ค่าขนส่งท่อ_ลบม_10ล้อ" localSheetId="50">#REF!</definedName>
    <definedName name="ค่าขนส่งท่อ_ลบม_10ล้อ" localSheetId="51">#REF!</definedName>
    <definedName name="ค่าขนส่งท่อ_ลบม_10ล้อ" localSheetId="42">#REF!</definedName>
    <definedName name="ค่าขนส่งท่อ_ลบม_10ล้อ" localSheetId="43">#REF!</definedName>
    <definedName name="ค่าขนส่งท่อ_ลบม_10ล้อ" localSheetId="44">#REF!</definedName>
    <definedName name="ค่าขนส่งท่อ_ลบม_10ล้อ" localSheetId="45">#REF!</definedName>
    <definedName name="ค่าขนส่งท่อ_ลบม_10ล้อ" localSheetId="46">#REF!</definedName>
    <definedName name="ค่าขนส่งท่อ_ลบม_10ล้อ" localSheetId="47">#REF!</definedName>
    <definedName name="ค่าขนส่งท่อ_ลบม_10ล้อ" localSheetId="48">#REF!</definedName>
    <definedName name="ค่าขนส่งท่อ_ลบม_10ล้อ" localSheetId="49">#REF!</definedName>
    <definedName name="ค่าขนส่งท่อ_ลบม_10ล้อ" localSheetId="52">#REF!</definedName>
    <definedName name="ค่าขนส่งท่อ_ลบม_10ล้อ" localSheetId="40">#REF!</definedName>
    <definedName name="ค่าขนส่งท่อ_ลบม_10ล้อ" localSheetId="39">#REF!</definedName>
    <definedName name="ค่าขนส่งท่อ_ลบม_10ล้อ" localSheetId="38">#REF!</definedName>
    <definedName name="ค่าขนส่งท่อ_ลบม_10ล้อ" localSheetId="37">#REF!</definedName>
    <definedName name="ค่าขนส่งท่อ_ลบม_10ล้อ" localSheetId="57">#REF!</definedName>
    <definedName name="ค่าขนส่งท่อ_ลบม_10ล้อ" localSheetId="66">#REF!</definedName>
    <definedName name="ค่าขนส่งท่อ_ลบม_10ล้อ" localSheetId="67">#REF!</definedName>
    <definedName name="ค่าขนส่งท่อ_ลบม_10ล้อ" localSheetId="58">#REF!</definedName>
    <definedName name="ค่าขนส่งท่อ_ลบม_10ล้อ" localSheetId="59">#REF!</definedName>
    <definedName name="ค่าขนส่งท่อ_ลบม_10ล้อ" localSheetId="60">#REF!</definedName>
    <definedName name="ค่าขนส่งท่อ_ลบม_10ล้อ" localSheetId="61">#REF!</definedName>
    <definedName name="ค่าขนส่งท่อ_ลบม_10ล้อ" localSheetId="62">#REF!</definedName>
    <definedName name="ค่าขนส่งท่อ_ลบม_10ล้อ" localSheetId="63">#REF!</definedName>
    <definedName name="ค่าขนส่งท่อ_ลบม_10ล้อ" localSheetId="64">#REF!</definedName>
    <definedName name="ค่าขนส่งท่อ_ลบม_10ล้อ" localSheetId="65">#REF!</definedName>
    <definedName name="ค่าขนส่งท่อ_ลบม_10ล้อ" localSheetId="68">#REF!</definedName>
    <definedName name="ค่าขนส่งท่อ_ลบม_10ล้อ" localSheetId="56">#REF!</definedName>
    <definedName name="ค่าขนส่งท่อ_ลบม_10ล้อ" localSheetId="55">#REF!</definedName>
    <definedName name="ค่าขนส่งท่อ_ลบม_10ล้อ" localSheetId="54">#REF!</definedName>
    <definedName name="ค่าขนส่งท่อ_ลบม_10ล้อ" localSheetId="69">#REF!</definedName>
    <definedName name="ค่าขนส่งท่อ_ลบม_10ล้อ" localSheetId="53">#REF!</definedName>
    <definedName name="ค่าขนส่งท่อ_ลบม_10ล้อ" localSheetId="85">#REF!</definedName>
    <definedName name="ค่าขนส่งท่อ_ลบม_10ล้อ" localSheetId="86">#REF!</definedName>
    <definedName name="ค่าขนส่งท่อ_ลบม_10ล้อ" localSheetId="2">#REF!</definedName>
    <definedName name="ค่าขนส่งท่อ_ลบม_10ล้อ">#REF!</definedName>
    <definedName name="ค่าขนส่งท่อ_ลบม_พ่วง" localSheetId="3">#REF!</definedName>
    <definedName name="ค่าขนส่งท่อ_ลบม_พ่วง" localSheetId="4">#REF!</definedName>
    <definedName name="ค่าขนส่งท่อ_ลบม_พ่วง" localSheetId="18">#REF!</definedName>
    <definedName name="ค่าขนส่งท่อ_ลบม_พ่วง" localSheetId="19">#REF!</definedName>
    <definedName name="ค่าขนส่งท่อ_ลบม_พ่วง" localSheetId="9">#REF!</definedName>
    <definedName name="ค่าขนส่งท่อ_ลบม_พ่วง" localSheetId="10">#REF!</definedName>
    <definedName name="ค่าขนส่งท่อ_ลบม_พ่วง" localSheetId="11">#REF!</definedName>
    <definedName name="ค่าขนส่งท่อ_ลบม_พ่วง" localSheetId="12">#REF!</definedName>
    <definedName name="ค่าขนส่งท่อ_ลบม_พ่วง" localSheetId="13">#REF!</definedName>
    <definedName name="ค่าขนส่งท่อ_ลบม_พ่วง" localSheetId="14">#REF!</definedName>
    <definedName name="ค่าขนส่งท่อ_ลบม_พ่วง" localSheetId="15">#REF!</definedName>
    <definedName name="ค่าขนส่งท่อ_ลบม_พ่วง" localSheetId="16">#REF!</definedName>
    <definedName name="ค่าขนส่งท่อ_ลบม_พ่วง" localSheetId="17">#REF!</definedName>
    <definedName name="ค่าขนส่งท่อ_ลบม_พ่วง" localSheetId="8">#REF!</definedName>
    <definedName name="ค่าขนส่งท่อ_ลบม_พ่วง" localSheetId="7">#REF!</definedName>
    <definedName name="ค่าขนส่งท่อ_ลบม_พ่วง" localSheetId="6">#REF!</definedName>
    <definedName name="ค่าขนส่งท่อ_ลบม_พ่วง" localSheetId="20">#REF!</definedName>
    <definedName name="ค่าขนส่งท่อ_ลบม_พ่วง" localSheetId="5">#REF!</definedName>
    <definedName name="ค่าขนส่งท่อ_ลบม_พ่วง" localSheetId="21">#REF!</definedName>
    <definedName name="ค่าขนส่งท่อ_ลบม_พ่วง" localSheetId="34">#REF!</definedName>
    <definedName name="ค่าขนส่งท่อ_ลบม_พ่วง" localSheetId="35">#REF!</definedName>
    <definedName name="ค่าขนส่งท่อ_ลบม_พ่วง" localSheetId="25">#REF!</definedName>
    <definedName name="ค่าขนส่งท่อ_ลบม_พ่วง" localSheetId="27">#REF!</definedName>
    <definedName name="ค่าขนส่งท่อ_ลบม_พ่วง" localSheetId="28">#REF!</definedName>
    <definedName name="ค่าขนส่งท่อ_ลบม_พ่วง" localSheetId="29">#REF!</definedName>
    <definedName name="ค่าขนส่งท่อ_ลบม_พ่วง" localSheetId="31">#REF!</definedName>
    <definedName name="ค่าขนส่งท่อ_ลบม_พ่วง" localSheetId="32">#REF!</definedName>
    <definedName name="ค่าขนส่งท่อ_ลบม_พ่วง" localSheetId="33">#REF!</definedName>
    <definedName name="ค่าขนส่งท่อ_ลบม_พ่วง" localSheetId="24">#REF!</definedName>
    <definedName name="ค่าขนส่งท่อ_ลบม_พ่วง" localSheetId="23">#REF!</definedName>
    <definedName name="ค่าขนส่งท่อ_ลบม_พ่วง" localSheetId="36">#REF!</definedName>
    <definedName name="ค่าขนส่งท่อ_ลบม_พ่วง" localSheetId="22">#REF!</definedName>
    <definedName name="ค่าขนส่งท่อ_ลบม_พ่วง" localSheetId="26">#REF!</definedName>
    <definedName name="ค่าขนส่งท่อ_ลบม_พ่วง" localSheetId="30">#REF!</definedName>
    <definedName name="ค่าขนส่งท่อ_ลบม_พ่วง" localSheetId="85">#REF!</definedName>
    <definedName name="ค่าขนส่งท่อ_ลบม_พ่วง" localSheetId="86">#REF!</definedName>
    <definedName name="ค่าขนส่งท่อ_ลบม_พ่วง" localSheetId="2">#REF!</definedName>
    <definedName name="ค่าขนส่งท่อ_ลบม_พ่วง">#REF!</definedName>
    <definedName name="ค่าขนส่งท่อและวัสดุอื่นๆ" localSheetId="3">#REF!</definedName>
    <definedName name="ค่าขนส่งท่อและวัสดุอื่นๆ" localSheetId="85">#REF!</definedName>
    <definedName name="ค่าขนส่งท่อและวัสดุอื่นๆ" localSheetId="86">#REF!</definedName>
    <definedName name="ค่าขนส่งท่อและวัสดุอื่นๆ" localSheetId="2">#REF!</definedName>
    <definedName name="ค่าขนส่งท่อและวัสดุอื่นๆ">#REF!</definedName>
    <definedName name="ค่าขนส่งท่อระบายน้ำและวัสดุอื่นๆ" localSheetId="3">#REF!</definedName>
    <definedName name="ค่าขนส่งท่อระบายน้ำและวัสดุอื่นๆ" localSheetId="4">#REF!</definedName>
    <definedName name="ค่าขนส่งท่อระบายน้ำและวัสดุอื่นๆ" localSheetId="86">#REF!</definedName>
    <definedName name="ค่าขนส่งท่อระบายน้ำและวัสดุอื่นๆ" localSheetId="2">#REF!</definedName>
    <definedName name="ค่าขนส่งท่อระบายน้ำและวัสดุอื่นๆ">#REF!</definedName>
    <definedName name="ค่าขนส่งบริเวณสถานที่ก่อสร้าง_ตัน" localSheetId="3">#REF!</definedName>
    <definedName name="ค่าขนส่งบริเวณสถานที่ก่อสร้าง_ตัน" localSheetId="2">#REF!</definedName>
    <definedName name="ค่าขนส่งบริเวณสถานที่ก่อสร้าง_ตัน">#REF!</definedName>
    <definedName name="ค่าขนส่งบริเวณสถานที่ก่อสร้าง_ลบม" localSheetId="3">#REF!</definedName>
    <definedName name="ค่าขนส่งบริเวณสถานที่ก่อสร้าง_ลบม" localSheetId="2">#REF!</definedName>
    <definedName name="ค่าขนส่งบริเวณสถานที่ก่อสร้าง_ลบม">#REF!</definedName>
    <definedName name="ค่าขนส่งปูน_10ล้อ">'[14]ค่าขนส่ง-1'!$L$57</definedName>
    <definedName name="ค่าขนส่งปูน_พ่วง">'[14]ค่าขนส่ง-1'!$L$74</definedName>
    <definedName name="ค่าขนส่งปูนซีเมนต์" localSheetId="3">#REF!</definedName>
    <definedName name="ค่าขนส่งปูนซีเมนต์" localSheetId="4">#REF!</definedName>
    <definedName name="ค่าขนส่งปูนซีเมนต์" localSheetId="18">#REF!</definedName>
    <definedName name="ค่าขนส่งปูนซีเมนต์" localSheetId="19">#REF!</definedName>
    <definedName name="ค่าขนส่งปูนซีเมนต์" localSheetId="9">#REF!</definedName>
    <definedName name="ค่าขนส่งปูนซีเมนต์" localSheetId="10">#REF!</definedName>
    <definedName name="ค่าขนส่งปูนซีเมนต์" localSheetId="11">#REF!</definedName>
    <definedName name="ค่าขนส่งปูนซีเมนต์" localSheetId="12">#REF!</definedName>
    <definedName name="ค่าขนส่งปูนซีเมนต์" localSheetId="13">#REF!</definedName>
    <definedName name="ค่าขนส่งปูนซีเมนต์" localSheetId="14">#REF!</definedName>
    <definedName name="ค่าขนส่งปูนซีเมนต์" localSheetId="15">#REF!</definedName>
    <definedName name="ค่าขนส่งปูนซีเมนต์" localSheetId="16">#REF!</definedName>
    <definedName name="ค่าขนส่งปูนซีเมนต์" localSheetId="17">#REF!</definedName>
    <definedName name="ค่าขนส่งปูนซีเมนต์" localSheetId="8">#REF!</definedName>
    <definedName name="ค่าขนส่งปูนซีเมนต์" localSheetId="7">#REF!</definedName>
    <definedName name="ค่าขนส่งปูนซีเมนต์" localSheetId="6">#REF!</definedName>
    <definedName name="ค่าขนส่งปูนซีเมนต์" localSheetId="20">#REF!</definedName>
    <definedName name="ค่าขนส่งปูนซีเมนต์" localSheetId="5">#REF!</definedName>
    <definedName name="ค่าขนส่งปูนซีเมนต์" localSheetId="21">#REF!</definedName>
    <definedName name="ค่าขนส่งปูนซีเมนต์" localSheetId="34">#REF!</definedName>
    <definedName name="ค่าขนส่งปูนซีเมนต์" localSheetId="35">#REF!</definedName>
    <definedName name="ค่าขนส่งปูนซีเมนต์" localSheetId="25">#REF!</definedName>
    <definedName name="ค่าขนส่งปูนซีเมนต์" localSheetId="27">#REF!</definedName>
    <definedName name="ค่าขนส่งปูนซีเมนต์" localSheetId="28">#REF!</definedName>
    <definedName name="ค่าขนส่งปูนซีเมนต์" localSheetId="29">#REF!</definedName>
    <definedName name="ค่าขนส่งปูนซีเมนต์" localSheetId="31">#REF!</definedName>
    <definedName name="ค่าขนส่งปูนซีเมนต์" localSheetId="32">#REF!</definedName>
    <definedName name="ค่าขนส่งปูนซีเมนต์" localSheetId="33">#REF!</definedName>
    <definedName name="ค่าขนส่งปูนซีเมนต์" localSheetId="24">#REF!</definedName>
    <definedName name="ค่าขนส่งปูนซีเมนต์" localSheetId="23">#REF!</definedName>
    <definedName name="ค่าขนส่งปูนซีเมนต์" localSheetId="36">#REF!</definedName>
    <definedName name="ค่าขนส่งปูนซีเมนต์" localSheetId="22">#REF!</definedName>
    <definedName name="ค่าขนส่งปูนซีเมนต์" localSheetId="26">#REF!</definedName>
    <definedName name="ค่าขนส่งปูนซีเมนต์" localSheetId="30">#REF!</definedName>
    <definedName name="ค่าขนส่งปูนซีเมนต์" localSheetId="41">#REF!</definedName>
    <definedName name="ค่าขนส่งปูนซีเมนต์" localSheetId="50">#REF!</definedName>
    <definedName name="ค่าขนส่งปูนซีเมนต์" localSheetId="51">#REF!</definedName>
    <definedName name="ค่าขนส่งปูนซีเมนต์" localSheetId="42">#REF!</definedName>
    <definedName name="ค่าขนส่งปูนซีเมนต์" localSheetId="43">#REF!</definedName>
    <definedName name="ค่าขนส่งปูนซีเมนต์" localSheetId="44">#REF!</definedName>
    <definedName name="ค่าขนส่งปูนซีเมนต์" localSheetId="45">#REF!</definedName>
    <definedName name="ค่าขนส่งปูนซีเมนต์" localSheetId="46">#REF!</definedName>
    <definedName name="ค่าขนส่งปูนซีเมนต์" localSheetId="47">#REF!</definedName>
    <definedName name="ค่าขนส่งปูนซีเมนต์" localSheetId="48">#REF!</definedName>
    <definedName name="ค่าขนส่งปูนซีเมนต์" localSheetId="49">#REF!</definedName>
    <definedName name="ค่าขนส่งปูนซีเมนต์" localSheetId="52">#REF!</definedName>
    <definedName name="ค่าขนส่งปูนซีเมนต์" localSheetId="40">#REF!</definedName>
    <definedName name="ค่าขนส่งปูนซีเมนต์" localSheetId="39">#REF!</definedName>
    <definedName name="ค่าขนส่งปูนซีเมนต์" localSheetId="38">#REF!</definedName>
    <definedName name="ค่าขนส่งปูนซีเมนต์" localSheetId="37">#REF!</definedName>
    <definedName name="ค่าขนส่งปูนซีเมนต์" localSheetId="57">#REF!</definedName>
    <definedName name="ค่าขนส่งปูนซีเมนต์" localSheetId="66">#REF!</definedName>
    <definedName name="ค่าขนส่งปูนซีเมนต์" localSheetId="67">#REF!</definedName>
    <definedName name="ค่าขนส่งปูนซีเมนต์" localSheetId="58">#REF!</definedName>
    <definedName name="ค่าขนส่งปูนซีเมนต์" localSheetId="59">#REF!</definedName>
    <definedName name="ค่าขนส่งปูนซีเมนต์" localSheetId="60">#REF!</definedName>
    <definedName name="ค่าขนส่งปูนซีเมนต์" localSheetId="61">#REF!</definedName>
    <definedName name="ค่าขนส่งปูนซีเมนต์" localSheetId="62">#REF!</definedName>
    <definedName name="ค่าขนส่งปูนซีเมนต์" localSheetId="63">#REF!</definedName>
    <definedName name="ค่าขนส่งปูนซีเมนต์" localSheetId="64">#REF!</definedName>
    <definedName name="ค่าขนส่งปูนซีเมนต์" localSheetId="65">#REF!</definedName>
    <definedName name="ค่าขนส่งปูนซีเมนต์" localSheetId="68">#REF!</definedName>
    <definedName name="ค่าขนส่งปูนซีเมนต์" localSheetId="56">#REF!</definedName>
    <definedName name="ค่าขนส่งปูนซีเมนต์" localSheetId="55">#REF!</definedName>
    <definedName name="ค่าขนส่งปูนซีเมนต์" localSheetId="54">#REF!</definedName>
    <definedName name="ค่าขนส่งปูนซีเมนต์" localSheetId="69">#REF!</definedName>
    <definedName name="ค่าขนส่งปูนซีเมนต์" localSheetId="53">#REF!</definedName>
    <definedName name="ค่าขนส่งปูนซีเมนต์" localSheetId="85">#REF!</definedName>
    <definedName name="ค่าขนส่งปูนซีเมนต์" localSheetId="86">#REF!</definedName>
    <definedName name="ค่าขนส่งปูนซีเมนต์" localSheetId="2">#REF!</definedName>
    <definedName name="ค่าขนส่งปูนซีเมนต์">#REF!</definedName>
    <definedName name="ค่าขนส่งปูนผง" localSheetId="3">#REF!</definedName>
    <definedName name="ค่าขนส่งปูนผง" localSheetId="4">#REF!</definedName>
    <definedName name="ค่าขนส่งปูนผง" localSheetId="18">#REF!</definedName>
    <definedName name="ค่าขนส่งปูนผง" localSheetId="19">#REF!</definedName>
    <definedName name="ค่าขนส่งปูนผง" localSheetId="9">#REF!</definedName>
    <definedName name="ค่าขนส่งปูนผง" localSheetId="10">#REF!</definedName>
    <definedName name="ค่าขนส่งปูนผง" localSheetId="11">#REF!</definedName>
    <definedName name="ค่าขนส่งปูนผง" localSheetId="12">#REF!</definedName>
    <definedName name="ค่าขนส่งปูนผง" localSheetId="13">#REF!</definedName>
    <definedName name="ค่าขนส่งปูนผง" localSheetId="14">#REF!</definedName>
    <definedName name="ค่าขนส่งปูนผง" localSheetId="15">#REF!</definedName>
    <definedName name="ค่าขนส่งปูนผง" localSheetId="16">#REF!</definedName>
    <definedName name="ค่าขนส่งปูนผง" localSheetId="17">#REF!</definedName>
    <definedName name="ค่าขนส่งปูนผง" localSheetId="8">#REF!</definedName>
    <definedName name="ค่าขนส่งปูนผง" localSheetId="7">#REF!</definedName>
    <definedName name="ค่าขนส่งปูนผง" localSheetId="6">#REF!</definedName>
    <definedName name="ค่าขนส่งปูนผง" localSheetId="20">#REF!</definedName>
    <definedName name="ค่าขนส่งปูนผง" localSheetId="5">#REF!</definedName>
    <definedName name="ค่าขนส่งปูนผง" localSheetId="21">#REF!</definedName>
    <definedName name="ค่าขนส่งปูนผง" localSheetId="34">#REF!</definedName>
    <definedName name="ค่าขนส่งปูนผง" localSheetId="35">#REF!</definedName>
    <definedName name="ค่าขนส่งปูนผง" localSheetId="25">#REF!</definedName>
    <definedName name="ค่าขนส่งปูนผง" localSheetId="27">#REF!</definedName>
    <definedName name="ค่าขนส่งปูนผง" localSheetId="28">#REF!</definedName>
    <definedName name="ค่าขนส่งปูนผง" localSheetId="29">#REF!</definedName>
    <definedName name="ค่าขนส่งปูนผง" localSheetId="31">#REF!</definedName>
    <definedName name="ค่าขนส่งปูนผง" localSheetId="32">#REF!</definedName>
    <definedName name="ค่าขนส่งปูนผง" localSheetId="33">#REF!</definedName>
    <definedName name="ค่าขนส่งปูนผง" localSheetId="24">#REF!</definedName>
    <definedName name="ค่าขนส่งปูนผง" localSheetId="23">#REF!</definedName>
    <definedName name="ค่าขนส่งปูนผง" localSheetId="36">#REF!</definedName>
    <definedName name="ค่าขนส่งปูนผง" localSheetId="22">#REF!</definedName>
    <definedName name="ค่าขนส่งปูนผง" localSheetId="26">#REF!</definedName>
    <definedName name="ค่าขนส่งปูนผง" localSheetId="30">#REF!</definedName>
    <definedName name="ค่าขนส่งปูนผง" localSheetId="85">#REF!</definedName>
    <definedName name="ค่าขนส่งปูนผง" localSheetId="86">#REF!</definedName>
    <definedName name="ค่าขนส่งปูนผง" localSheetId="2">#REF!</definedName>
    <definedName name="ค่าขนส่งปูนผง">#REF!</definedName>
    <definedName name="ค่าขนส่งปูนผง_ตัน_10ล้อ">'[13]ค่าขนส่ง-1'!$L$59</definedName>
    <definedName name="ค่าขนส่งปูนผง_ตัน_พ่วง">'[13]ค่าขนส่ง-1'!$L$76</definedName>
    <definedName name="ค่าขนส่งปูนผง_ลบม_10ล้อ" localSheetId="3">#REF!</definedName>
    <definedName name="ค่าขนส่งปูนผง_ลบม_10ล้อ" localSheetId="4">#REF!</definedName>
    <definedName name="ค่าขนส่งปูนผง_ลบม_10ล้อ" localSheetId="18">#REF!</definedName>
    <definedName name="ค่าขนส่งปูนผง_ลบม_10ล้อ" localSheetId="19">#REF!</definedName>
    <definedName name="ค่าขนส่งปูนผง_ลบม_10ล้อ" localSheetId="9">#REF!</definedName>
    <definedName name="ค่าขนส่งปูนผง_ลบม_10ล้อ" localSheetId="10">#REF!</definedName>
    <definedName name="ค่าขนส่งปูนผง_ลบม_10ล้อ" localSheetId="11">#REF!</definedName>
    <definedName name="ค่าขนส่งปูนผง_ลบม_10ล้อ" localSheetId="12">#REF!</definedName>
    <definedName name="ค่าขนส่งปูนผง_ลบม_10ล้อ" localSheetId="13">#REF!</definedName>
    <definedName name="ค่าขนส่งปูนผง_ลบม_10ล้อ" localSheetId="14">#REF!</definedName>
    <definedName name="ค่าขนส่งปูนผง_ลบม_10ล้อ" localSheetId="15">#REF!</definedName>
    <definedName name="ค่าขนส่งปูนผง_ลบม_10ล้อ" localSheetId="16">#REF!</definedName>
    <definedName name="ค่าขนส่งปูนผง_ลบม_10ล้อ" localSheetId="17">#REF!</definedName>
    <definedName name="ค่าขนส่งปูนผง_ลบม_10ล้อ" localSheetId="8">#REF!</definedName>
    <definedName name="ค่าขนส่งปูนผง_ลบม_10ล้อ" localSheetId="7">#REF!</definedName>
    <definedName name="ค่าขนส่งปูนผง_ลบม_10ล้อ" localSheetId="6">#REF!</definedName>
    <definedName name="ค่าขนส่งปูนผง_ลบม_10ล้อ" localSheetId="20">#REF!</definedName>
    <definedName name="ค่าขนส่งปูนผง_ลบม_10ล้อ" localSheetId="5">#REF!</definedName>
    <definedName name="ค่าขนส่งปูนผง_ลบม_10ล้อ" localSheetId="21">#REF!</definedName>
    <definedName name="ค่าขนส่งปูนผง_ลบม_10ล้อ" localSheetId="34">#REF!</definedName>
    <definedName name="ค่าขนส่งปูนผง_ลบม_10ล้อ" localSheetId="35">#REF!</definedName>
    <definedName name="ค่าขนส่งปูนผง_ลบม_10ล้อ" localSheetId="25">#REF!</definedName>
    <definedName name="ค่าขนส่งปูนผง_ลบม_10ล้อ" localSheetId="27">#REF!</definedName>
    <definedName name="ค่าขนส่งปูนผง_ลบม_10ล้อ" localSheetId="28">#REF!</definedName>
    <definedName name="ค่าขนส่งปูนผง_ลบม_10ล้อ" localSheetId="29">#REF!</definedName>
    <definedName name="ค่าขนส่งปูนผง_ลบม_10ล้อ" localSheetId="31">#REF!</definedName>
    <definedName name="ค่าขนส่งปูนผง_ลบม_10ล้อ" localSheetId="32">#REF!</definedName>
    <definedName name="ค่าขนส่งปูนผง_ลบม_10ล้อ" localSheetId="33">#REF!</definedName>
    <definedName name="ค่าขนส่งปูนผง_ลบม_10ล้อ" localSheetId="24">#REF!</definedName>
    <definedName name="ค่าขนส่งปูนผง_ลบม_10ล้อ" localSheetId="23">#REF!</definedName>
    <definedName name="ค่าขนส่งปูนผง_ลบม_10ล้อ" localSheetId="36">#REF!</definedName>
    <definedName name="ค่าขนส่งปูนผง_ลบม_10ล้อ" localSheetId="22">#REF!</definedName>
    <definedName name="ค่าขนส่งปูนผง_ลบม_10ล้อ" localSheetId="26">#REF!</definedName>
    <definedName name="ค่าขนส่งปูนผง_ลบม_10ล้อ" localSheetId="30">#REF!</definedName>
    <definedName name="ค่าขนส่งปูนผง_ลบม_10ล้อ" localSheetId="41">#REF!</definedName>
    <definedName name="ค่าขนส่งปูนผง_ลบม_10ล้อ" localSheetId="50">#REF!</definedName>
    <definedName name="ค่าขนส่งปูนผง_ลบม_10ล้อ" localSheetId="51">#REF!</definedName>
    <definedName name="ค่าขนส่งปูนผง_ลบม_10ล้อ" localSheetId="42">#REF!</definedName>
    <definedName name="ค่าขนส่งปูนผง_ลบม_10ล้อ" localSheetId="43">#REF!</definedName>
    <definedName name="ค่าขนส่งปูนผง_ลบม_10ล้อ" localSheetId="44">#REF!</definedName>
    <definedName name="ค่าขนส่งปูนผง_ลบม_10ล้อ" localSheetId="45">#REF!</definedName>
    <definedName name="ค่าขนส่งปูนผง_ลบม_10ล้อ" localSheetId="46">#REF!</definedName>
    <definedName name="ค่าขนส่งปูนผง_ลบม_10ล้อ" localSheetId="47">#REF!</definedName>
    <definedName name="ค่าขนส่งปูนผง_ลบม_10ล้อ" localSheetId="48">#REF!</definedName>
    <definedName name="ค่าขนส่งปูนผง_ลบม_10ล้อ" localSheetId="49">#REF!</definedName>
    <definedName name="ค่าขนส่งปูนผง_ลบม_10ล้อ" localSheetId="52">#REF!</definedName>
    <definedName name="ค่าขนส่งปูนผง_ลบม_10ล้อ" localSheetId="40">#REF!</definedName>
    <definedName name="ค่าขนส่งปูนผง_ลบม_10ล้อ" localSheetId="39">#REF!</definedName>
    <definedName name="ค่าขนส่งปูนผง_ลบม_10ล้อ" localSheetId="38">#REF!</definedName>
    <definedName name="ค่าขนส่งปูนผง_ลบม_10ล้อ" localSheetId="37">#REF!</definedName>
    <definedName name="ค่าขนส่งปูนผง_ลบม_10ล้อ" localSheetId="57">#REF!</definedName>
    <definedName name="ค่าขนส่งปูนผง_ลบม_10ล้อ" localSheetId="66">#REF!</definedName>
    <definedName name="ค่าขนส่งปูนผง_ลบม_10ล้อ" localSheetId="67">#REF!</definedName>
    <definedName name="ค่าขนส่งปูนผง_ลบม_10ล้อ" localSheetId="58">#REF!</definedName>
    <definedName name="ค่าขนส่งปูนผง_ลบม_10ล้อ" localSheetId="59">#REF!</definedName>
    <definedName name="ค่าขนส่งปูนผง_ลบม_10ล้อ" localSheetId="60">#REF!</definedName>
    <definedName name="ค่าขนส่งปูนผง_ลบม_10ล้อ" localSheetId="61">#REF!</definedName>
    <definedName name="ค่าขนส่งปูนผง_ลบม_10ล้อ" localSheetId="62">#REF!</definedName>
    <definedName name="ค่าขนส่งปูนผง_ลบม_10ล้อ" localSheetId="63">#REF!</definedName>
    <definedName name="ค่าขนส่งปูนผง_ลบม_10ล้อ" localSheetId="64">#REF!</definedName>
    <definedName name="ค่าขนส่งปูนผง_ลบม_10ล้อ" localSheetId="65">#REF!</definedName>
    <definedName name="ค่าขนส่งปูนผง_ลบม_10ล้อ" localSheetId="68">#REF!</definedName>
    <definedName name="ค่าขนส่งปูนผง_ลบม_10ล้อ" localSheetId="56">#REF!</definedName>
    <definedName name="ค่าขนส่งปูนผง_ลบม_10ล้อ" localSheetId="55">#REF!</definedName>
    <definedName name="ค่าขนส่งปูนผง_ลบม_10ล้อ" localSheetId="54">#REF!</definedName>
    <definedName name="ค่าขนส่งปูนผง_ลบม_10ล้อ" localSheetId="69">#REF!</definedName>
    <definedName name="ค่าขนส่งปูนผง_ลบม_10ล้อ" localSheetId="53">#REF!</definedName>
    <definedName name="ค่าขนส่งปูนผง_ลบม_10ล้อ" localSheetId="85">#REF!</definedName>
    <definedName name="ค่าขนส่งปูนผง_ลบม_10ล้อ" localSheetId="86">#REF!</definedName>
    <definedName name="ค่าขนส่งปูนผง_ลบม_10ล้อ" localSheetId="2">#REF!</definedName>
    <definedName name="ค่าขนส่งปูนผง_ลบม_10ล้อ">#REF!</definedName>
    <definedName name="ค่าขนส่งปูนผง_ลบม_พ่วง" localSheetId="3">#REF!</definedName>
    <definedName name="ค่าขนส่งปูนผง_ลบม_พ่วง" localSheetId="4">#REF!</definedName>
    <definedName name="ค่าขนส่งปูนผง_ลบม_พ่วง" localSheetId="18">#REF!</definedName>
    <definedName name="ค่าขนส่งปูนผง_ลบม_พ่วง" localSheetId="19">#REF!</definedName>
    <definedName name="ค่าขนส่งปูนผง_ลบม_พ่วง" localSheetId="9">#REF!</definedName>
    <definedName name="ค่าขนส่งปูนผง_ลบม_พ่วง" localSheetId="10">#REF!</definedName>
    <definedName name="ค่าขนส่งปูนผง_ลบม_พ่วง" localSheetId="11">#REF!</definedName>
    <definedName name="ค่าขนส่งปูนผง_ลบม_พ่วง" localSheetId="12">#REF!</definedName>
    <definedName name="ค่าขนส่งปูนผง_ลบม_พ่วง" localSheetId="13">#REF!</definedName>
    <definedName name="ค่าขนส่งปูนผง_ลบม_พ่วง" localSheetId="14">#REF!</definedName>
    <definedName name="ค่าขนส่งปูนผง_ลบม_พ่วง" localSheetId="15">#REF!</definedName>
    <definedName name="ค่าขนส่งปูนผง_ลบม_พ่วง" localSheetId="16">#REF!</definedName>
    <definedName name="ค่าขนส่งปูนผง_ลบม_พ่วง" localSheetId="17">#REF!</definedName>
    <definedName name="ค่าขนส่งปูนผง_ลบม_พ่วง" localSheetId="8">#REF!</definedName>
    <definedName name="ค่าขนส่งปูนผง_ลบม_พ่วง" localSheetId="7">#REF!</definedName>
    <definedName name="ค่าขนส่งปูนผง_ลบม_พ่วง" localSheetId="6">#REF!</definedName>
    <definedName name="ค่าขนส่งปูนผง_ลบม_พ่วง" localSheetId="20">#REF!</definedName>
    <definedName name="ค่าขนส่งปูนผง_ลบม_พ่วง" localSheetId="5">#REF!</definedName>
    <definedName name="ค่าขนส่งปูนผง_ลบม_พ่วง" localSheetId="21">#REF!</definedName>
    <definedName name="ค่าขนส่งปูนผง_ลบม_พ่วง" localSheetId="34">#REF!</definedName>
    <definedName name="ค่าขนส่งปูนผง_ลบม_พ่วง" localSheetId="35">#REF!</definedName>
    <definedName name="ค่าขนส่งปูนผง_ลบม_พ่วง" localSheetId="25">#REF!</definedName>
    <definedName name="ค่าขนส่งปูนผง_ลบม_พ่วง" localSheetId="27">#REF!</definedName>
    <definedName name="ค่าขนส่งปูนผง_ลบม_พ่วง" localSheetId="28">#REF!</definedName>
    <definedName name="ค่าขนส่งปูนผง_ลบม_พ่วง" localSheetId="29">#REF!</definedName>
    <definedName name="ค่าขนส่งปูนผง_ลบม_พ่วง" localSheetId="31">#REF!</definedName>
    <definedName name="ค่าขนส่งปูนผง_ลบม_พ่วง" localSheetId="32">#REF!</definedName>
    <definedName name="ค่าขนส่งปูนผง_ลบม_พ่วง" localSheetId="33">#REF!</definedName>
    <definedName name="ค่าขนส่งปูนผง_ลบม_พ่วง" localSheetId="24">#REF!</definedName>
    <definedName name="ค่าขนส่งปูนผง_ลบม_พ่วง" localSheetId="23">#REF!</definedName>
    <definedName name="ค่าขนส่งปูนผง_ลบม_พ่วง" localSheetId="36">#REF!</definedName>
    <definedName name="ค่าขนส่งปูนผง_ลบม_พ่วง" localSheetId="22">#REF!</definedName>
    <definedName name="ค่าขนส่งปูนผง_ลบม_พ่วง" localSheetId="26">#REF!</definedName>
    <definedName name="ค่าขนส่งปูนผง_ลบม_พ่วง" localSheetId="30">#REF!</definedName>
    <definedName name="ค่าขนส่งปูนผง_ลบม_พ่วง" localSheetId="85">#REF!</definedName>
    <definedName name="ค่าขนส่งปูนผง_ลบม_พ่วง" localSheetId="86">#REF!</definedName>
    <definedName name="ค่าขนส่งปูนผง_ลบม_พ่วง" localSheetId="2">#REF!</definedName>
    <definedName name="ค่าขนส่งปูนผง_ลบม_พ่วง">#REF!</definedName>
    <definedName name="ค่าขนส่งยาง" localSheetId="3">#REF!</definedName>
    <definedName name="ค่าขนส่งยาง" localSheetId="4">#REF!</definedName>
    <definedName name="ค่าขนส่งยาง" localSheetId="85">#REF!</definedName>
    <definedName name="ค่าขนส่งยาง" localSheetId="86">#REF!</definedName>
    <definedName name="ค่าขนส่งยาง" localSheetId="2">#REF!</definedName>
    <definedName name="ค่าขนส่งยาง">#REF!</definedName>
    <definedName name="ค่าขนส่งยาง_10ล้อ">'[14]ค่าขนส่ง-1'!$L$56</definedName>
    <definedName name="ค่าขนส่งยาง_ตัน_10ล้อ">'[13]ค่าขนส่ง-1'!$L$58</definedName>
    <definedName name="ค่าขนส่งยาง_ตัน_พ่วง">'[13]ค่าขนส่ง-1'!$L$75</definedName>
    <definedName name="ค่าขนส่งยาง_พ่วง">'[14]ค่าขนส่ง-1'!$L$73</definedName>
    <definedName name="ค่าขนส่งยาง_ลบม_10ล้อ" localSheetId="3">#REF!</definedName>
    <definedName name="ค่าขนส่งยาง_ลบม_10ล้อ" localSheetId="4">#REF!</definedName>
    <definedName name="ค่าขนส่งยาง_ลบม_10ล้อ" localSheetId="18">#REF!</definedName>
    <definedName name="ค่าขนส่งยาง_ลบม_10ล้อ" localSheetId="19">#REF!</definedName>
    <definedName name="ค่าขนส่งยาง_ลบม_10ล้อ" localSheetId="9">#REF!</definedName>
    <definedName name="ค่าขนส่งยาง_ลบม_10ล้อ" localSheetId="10">#REF!</definedName>
    <definedName name="ค่าขนส่งยาง_ลบม_10ล้อ" localSheetId="11">#REF!</definedName>
    <definedName name="ค่าขนส่งยาง_ลบม_10ล้อ" localSheetId="12">#REF!</definedName>
    <definedName name="ค่าขนส่งยาง_ลบม_10ล้อ" localSheetId="13">#REF!</definedName>
    <definedName name="ค่าขนส่งยาง_ลบม_10ล้อ" localSheetId="14">#REF!</definedName>
    <definedName name="ค่าขนส่งยาง_ลบม_10ล้อ" localSheetId="15">#REF!</definedName>
    <definedName name="ค่าขนส่งยาง_ลบม_10ล้อ" localSheetId="16">#REF!</definedName>
    <definedName name="ค่าขนส่งยาง_ลบม_10ล้อ" localSheetId="17">#REF!</definedName>
    <definedName name="ค่าขนส่งยาง_ลบม_10ล้อ" localSheetId="8">#REF!</definedName>
    <definedName name="ค่าขนส่งยาง_ลบม_10ล้อ" localSheetId="7">#REF!</definedName>
    <definedName name="ค่าขนส่งยาง_ลบม_10ล้อ" localSheetId="6">#REF!</definedName>
    <definedName name="ค่าขนส่งยาง_ลบม_10ล้อ" localSheetId="20">#REF!</definedName>
    <definedName name="ค่าขนส่งยาง_ลบม_10ล้อ" localSheetId="5">#REF!</definedName>
    <definedName name="ค่าขนส่งยาง_ลบม_10ล้อ" localSheetId="21">#REF!</definedName>
    <definedName name="ค่าขนส่งยาง_ลบม_10ล้อ" localSheetId="34">#REF!</definedName>
    <definedName name="ค่าขนส่งยาง_ลบม_10ล้อ" localSheetId="35">#REF!</definedName>
    <definedName name="ค่าขนส่งยาง_ลบม_10ล้อ" localSheetId="25">#REF!</definedName>
    <definedName name="ค่าขนส่งยาง_ลบม_10ล้อ" localSheetId="27">#REF!</definedName>
    <definedName name="ค่าขนส่งยาง_ลบม_10ล้อ" localSheetId="28">#REF!</definedName>
    <definedName name="ค่าขนส่งยาง_ลบม_10ล้อ" localSheetId="29">#REF!</definedName>
    <definedName name="ค่าขนส่งยาง_ลบม_10ล้อ" localSheetId="31">#REF!</definedName>
    <definedName name="ค่าขนส่งยาง_ลบม_10ล้อ" localSheetId="32">#REF!</definedName>
    <definedName name="ค่าขนส่งยาง_ลบม_10ล้อ" localSheetId="33">#REF!</definedName>
    <definedName name="ค่าขนส่งยาง_ลบม_10ล้อ" localSheetId="24">#REF!</definedName>
    <definedName name="ค่าขนส่งยาง_ลบม_10ล้อ" localSheetId="23">#REF!</definedName>
    <definedName name="ค่าขนส่งยาง_ลบม_10ล้อ" localSheetId="36">#REF!</definedName>
    <definedName name="ค่าขนส่งยาง_ลบม_10ล้อ" localSheetId="22">#REF!</definedName>
    <definedName name="ค่าขนส่งยาง_ลบม_10ล้อ" localSheetId="26">#REF!</definedName>
    <definedName name="ค่าขนส่งยาง_ลบม_10ล้อ" localSheetId="30">#REF!</definedName>
    <definedName name="ค่าขนส่งยาง_ลบม_10ล้อ" localSheetId="41">#REF!</definedName>
    <definedName name="ค่าขนส่งยาง_ลบม_10ล้อ" localSheetId="50">#REF!</definedName>
    <definedName name="ค่าขนส่งยาง_ลบม_10ล้อ" localSheetId="51">#REF!</definedName>
    <definedName name="ค่าขนส่งยาง_ลบม_10ล้อ" localSheetId="42">#REF!</definedName>
    <definedName name="ค่าขนส่งยาง_ลบม_10ล้อ" localSheetId="43">#REF!</definedName>
    <definedName name="ค่าขนส่งยาง_ลบม_10ล้อ" localSheetId="44">#REF!</definedName>
    <definedName name="ค่าขนส่งยาง_ลบม_10ล้อ" localSheetId="45">#REF!</definedName>
    <definedName name="ค่าขนส่งยาง_ลบม_10ล้อ" localSheetId="46">#REF!</definedName>
    <definedName name="ค่าขนส่งยาง_ลบม_10ล้อ" localSheetId="47">#REF!</definedName>
    <definedName name="ค่าขนส่งยาง_ลบม_10ล้อ" localSheetId="48">#REF!</definedName>
    <definedName name="ค่าขนส่งยาง_ลบม_10ล้อ" localSheetId="49">#REF!</definedName>
    <definedName name="ค่าขนส่งยาง_ลบม_10ล้อ" localSheetId="52">#REF!</definedName>
    <definedName name="ค่าขนส่งยาง_ลบม_10ล้อ" localSheetId="40">#REF!</definedName>
    <definedName name="ค่าขนส่งยาง_ลบม_10ล้อ" localSheetId="39">#REF!</definedName>
    <definedName name="ค่าขนส่งยาง_ลบม_10ล้อ" localSheetId="38">#REF!</definedName>
    <definedName name="ค่าขนส่งยาง_ลบม_10ล้อ" localSheetId="37">#REF!</definedName>
    <definedName name="ค่าขนส่งยาง_ลบม_10ล้อ" localSheetId="57">#REF!</definedName>
    <definedName name="ค่าขนส่งยาง_ลบม_10ล้อ" localSheetId="66">#REF!</definedName>
    <definedName name="ค่าขนส่งยาง_ลบม_10ล้อ" localSheetId="67">#REF!</definedName>
    <definedName name="ค่าขนส่งยาง_ลบม_10ล้อ" localSheetId="58">#REF!</definedName>
    <definedName name="ค่าขนส่งยาง_ลบม_10ล้อ" localSheetId="59">#REF!</definedName>
    <definedName name="ค่าขนส่งยาง_ลบม_10ล้อ" localSheetId="60">#REF!</definedName>
    <definedName name="ค่าขนส่งยาง_ลบม_10ล้อ" localSheetId="61">#REF!</definedName>
    <definedName name="ค่าขนส่งยาง_ลบม_10ล้อ" localSheetId="62">#REF!</definedName>
    <definedName name="ค่าขนส่งยาง_ลบม_10ล้อ" localSheetId="63">#REF!</definedName>
    <definedName name="ค่าขนส่งยาง_ลบม_10ล้อ" localSheetId="64">#REF!</definedName>
    <definedName name="ค่าขนส่งยาง_ลบม_10ล้อ" localSheetId="65">#REF!</definedName>
    <definedName name="ค่าขนส่งยาง_ลบม_10ล้อ" localSheetId="68">#REF!</definedName>
    <definedName name="ค่าขนส่งยาง_ลบม_10ล้อ" localSheetId="56">#REF!</definedName>
    <definedName name="ค่าขนส่งยาง_ลบม_10ล้อ" localSheetId="55">#REF!</definedName>
    <definedName name="ค่าขนส่งยาง_ลบม_10ล้อ" localSheetId="54">#REF!</definedName>
    <definedName name="ค่าขนส่งยาง_ลบม_10ล้อ" localSheetId="69">#REF!</definedName>
    <definedName name="ค่าขนส่งยาง_ลบม_10ล้อ" localSheetId="53">#REF!</definedName>
    <definedName name="ค่าขนส่งยาง_ลบม_10ล้อ" localSheetId="85">#REF!</definedName>
    <definedName name="ค่าขนส่งยาง_ลบม_10ล้อ" localSheetId="86">#REF!</definedName>
    <definedName name="ค่าขนส่งยาง_ลบม_10ล้อ" localSheetId="2">#REF!</definedName>
    <definedName name="ค่าขนส่งยาง_ลบม_10ล้อ">#REF!</definedName>
    <definedName name="ค่าขนส่งยาง_ลบม_พ่วง" localSheetId="3">#REF!</definedName>
    <definedName name="ค่าขนส่งยาง_ลบม_พ่วง" localSheetId="4">#REF!</definedName>
    <definedName name="ค่าขนส่งยาง_ลบม_พ่วง" localSheetId="18">#REF!</definedName>
    <definedName name="ค่าขนส่งยาง_ลบม_พ่วง" localSheetId="19">#REF!</definedName>
    <definedName name="ค่าขนส่งยาง_ลบม_พ่วง" localSheetId="9">#REF!</definedName>
    <definedName name="ค่าขนส่งยาง_ลบม_พ่วง" localSheetId="10">#REF!</definedName>
    <definedName name="ค่าขนส่งยาง_ลบม_พ่วง" localSheetId="11">#REF!</definedName>
    <definedName name="ค่าขนส่งยาง_ลบม_พ่วง" localSheetId="12">#REF!</definedName>
    <definedName name="ค่าขนส่งยาง_ลบม_พ่วง" localSheetId="13">#REF!</definedName>
    <definedName name="ค่าขนส่งยาง_ลบม_พ่วง" localSheetId="14">#REF!</definedName>
    <definedName name="ค่าขนส่งยาง_ลบม_พ่วง" localSheetId="15">#REF!</definedName>
    <definedName name="ค่าขนส่งยาง_ลบม_พ่วง" localSheetId="16">#REF!</definedName>
    <definedName name="ค่าขนส่งยาง_ลบม_พ่วง" localSheetId="17">#REF!</definedName>
    <definedName name="ค่าขนส่งยาง_ลบม_พ่วง" localSheetId="8">#REF!</definedName>
    <definedName name="ค่าขนส่งยาง_ลบม_พ่วง" localSheetId="7">#REF!</definedName>
    <definedName name="ค่าขนส่งยาง_ลบม_พ่วง" localSheetId="6">#REF!</definedName>
    <definedName name="ค่าขนส่งยาง_ลบม_พ่วง" localSheetId="20">#REF!</definedName>
    <definedName name="ค่าขนส่งยาง_ลบม_พ่วง" localSheetId="5">#REF!</definedName>
    <definedName name="ค่าขนส่งยาง_ลบม_พ่วง" localSheetId="21">#REF!</definedName>
    <definedName name="ค่าขนส่งยาง_ลบม_พ่วง" localSheetId="34">#REF!</definedName>
    <definedName name="ค่าขนส่งยาง_ลบม_พ่วง" localSheetId="35">#REF!</definedName>
    <definedName name="ค่าขนส่งยาง_ลบม_พ่วง" localSheetId="25">#REF!</definedName>
    <definedName name="ค่าขนส่งยาง_ลบม_พ่วง" localSheetId="27">#REF!</definedName>
    <definedName name="ค่าขนส่งยาง_ลบม_พ่วง" localSheetId="28">#REF!</definedName>
    <definedName name="ค่าขนส่งยาง_ลบม_พ่วง" localSheetId="29">#REF!</definedName>
    <definedName name="ค่าขนส่งยาง_ลบม_พ่วง" localSheetId="31">#REF!</definedName>
    <definedName name="ค่าขนส่งยาง_ลบม_พ่วง" localSheetId="32">#REF!</definedName>
    <definedName name="ค่าขนส่งยาง_ลบม_พ่วง" localSheetId="33">#REF!</definedName>
    <definedName name="ค่าขนส่งยาง_ลบม_พ่วง" localSheetId="24">#REF!</definedName>
    <definedName name="ค่าขนส่งยาง_ลบม_พ่วง" localSheetId="23">#REF!</definedName>
    <definedName name="ค่าขนส่งยาง_ลบม_พ่วง" localSheetId="36">#REF!</definedName>
    <definedName name="ค่าขนส่งยาง_ลบม_พ่วง" localSheetId="22">#REF!</definedName>
    <definedName name="ค่าขนส่งยาง_ลบม_พ่วง" localSheetId="26">#REF!</definedName>
    <definedName name="ค่าขนส่งยาง_ลบม_พ่วง" localSheetId="30">#REF!</definedName>
    <definedName name="ค่าขนส่งยาง_ลบม_พ่วง" localSheetId="85">#REF!</definedName>
    <definedName name="ค่าขนส่งยาง_ลบม_พ่วง" localSheetId="86">#REF!</definedName>
    <definedName name="ค่าขนส่งยาง_ลบม_พ่วง" localSheetId="2">#REF!</definedName>
    <definedName name="ค่าขนส่งยาง_ลบม_พ่วง">#REF!</definedName>
    <definedName name="ค่าขนส่งยางมะตอย" localSheetId="3">#REF!</definedName>
    <definedName name="ค่าขนส่งยางมะตอย" localSheetId="4">#REF!</definedName>
    <definedName name="ค่าขนส่งยางมะตอย" localSheetId="85">#REF!</definedName>
    <definedName name="ค่าขนส่งยางมะตอย" localSheetId="86">#REF!</definedName>
    <definedName name="ค่าขนส่งยางมะตอย" localSheetId="2">#REF!</definedName>
    <definedName name="ค่าขนส่งยางมะตอย">#REF!</definedName>
    <definedName name="ค่าขนส่งรถพ่วง">[13]ตารางค่าขนส่ง!$H$8:$I$208</definedName>
    <definedName name="ค่าขนส่งรอบโครงการ_ตัน_10ล้อ">'[13]ค่าขนส่ง-1'!$L$62</definedName>
    <definedName name="ค่าขนส่งรอบโครงการ_ตัน_พ่วง">'[13]ค่าขนส่ง-1'!$L$79</definedName>
    <definedName name="ค่าขนส่งรอบโครงการ_ลบม_10ล้อ">'[13]ค่าขนส่ง-1'!$M$62</definedName>
    <definedName name="ค่าขนส่งรอบโครงการ_ลบม_พ่วง">'[13]ค่าขนส่ง-1'!$M$79</definedName>
    <definedName name="ค่าขนส่งลูกรัง" localSheetId="3">#REF!</definedName>
    <definedName name="ค่าขนส่งลูกรัง" localSheetId="4">#REF!</definedName>
    <definedName name="ค่าขนส่งลูกรัง" localSheetId="18">#REF!</definedName>
    <definedName name="ค่าขนส่งลูกรัง" localSheetId="19">#REF!</definedName>
    <definedName name="ค่าขนส่งลูกรัง" localSheetId="9">#REF!</definedName>
    <definedName name="ค่าขนส่งลูกรัง" localSheetId="10">#REF!</definedName>
    <definedName name="ค่าขนส่งลูกรัง" localSheetId="11">#REF!</definedName>
    <definedName name="ค่าขนส่งลูกรัง" localSheetId="12">#REF!</definedName>
    <definedName name="ค่าขนส่งลูกรัง" localSheetId="13">#REF!</definedName>
    <definedName name="ค่าขนส่งลูกรัง" localSheetId="14">#REF!</definedName>
    <definedName name="ค่าขนส่งลูกรัง" localSheetId="15">#REF!</definedName>
    <definedName name="ค่าขนส่งลูกรัง" localSheetId="16">#REF!</definedName>
    <definedName name="ค่าขนส่งลูกรัง" localSheetId="17">#REF!</definedName>
    <definedName name="ค่าขนส่งลูกรัง" localSheetId="8">#REF!</definedName>
    <definedName name="ค่าขนส่งลูกรัง" localSheetId="7">#REF!</definedName>
    <definedName name="ค่าขนส่งลูกรัง" localSheetId="6">#REF!</definedName>
    <definedName name="ค่าขนส่งลูกรัง" localSheetId="20">#REF!</definedName>
    <definedName name="ค่าขนส่งลูกรัง" localSheetId="5">#REF!</definedName>
    <definedName name="ค่าขนส่งลูกรัง" localSheetId="21">#REF!</definedName>
    <definedName name="ค่าขนส่งลูกรัง" localSheetId="34">#REF!</definedName>
    <definedName name="ค่าขนส่งลูกรัง" localSheetId="35">#REF!</definedName>
    <definedName name="ค่าขนส่งลูกรัง" localSheetId="25">#REF!</definedName>
    <definedName name="ค่าขนส่งลูกรัง" localSheetId="27">#REF!</definedName>
    <definedName name="ค่าขนส่งลูกรัง" localSheetId="28">#REF!</definedName>
    <definedName name="ค่าขนส่งลูกรัง" localSheetId="29">#REF!</definedName>
    <definedName name="ค่าขนส่งลูกรัง" localSheetId="31">#REF!</definedName>
    <definedName name="ค่าขนส่งลูกรัง" localSheetId="32">#REF!</definedName>
    <definedName name="ค่าขนส่งลูกรัง" localSheetId="33">#REF!</definedName>
    <definedName name="ค่าขนส่งลูกรัง" localSheetId="24">#REF!</definedName>
    <definedName name="ค่าขนส่งลูกรัง" localSheetId="23">#REF!</definedName>
    <definedName name="ค่าขนส่งลูกรัง" localSheetId="36">#REF!</definedName>
    <definedName name="ค่าขนส่งลูกรัง" localSheetId="22">#REF!</definedName>
    <definedName name="ค่าขนส่งลูกรัง" localSheetId="26">#REF!</definedName>
    <definedName name="ค่าขนส่งลูกรัง" localSheetId="30">#REF!</definedName>
    <definedName name="ค่าขนส่งลูกรัง" localSheetId="41">#REF!</definedName>
    <definedName name="ค่าขนส่งลูกรัง" localSheetId="50">#REF!</definedName>
    <definedName name="ค่าขนส่งลูกรัง" localSheetId="51">#REF!</definedName>
    <definedName name="ค่าขนส่งลูกรัง" localSheetId="42">#REF!</definedName>
    <definedName name="ค่าขนส่งลูกรัง" localSheetId="43">#REF!</definedName>
    <definedName name="ค่าขนส่งลูกรัง" localSheetId="44">#REF!</definedName>
    <definedName name="ค่าขนส่งลูกรัง" localSheetId="45">#REF!</definedName>
    <definedName name="ค่าขนส่งลูกรัง" localSheetId="46">#REF!</definedName>
    <definedName name="ค่าขนส่งลูกรัง" localSheetId="47">#REF!</definedName>
    <definedName name="ค่าขนส่งลูกรัง" localSheetId="48">#REF!</definedName>
    <definedName name="ค่าขนส่งลูกรัง" localSheetId="49">#REF!</definedName>
    <definedName name="ค่าขนส่งลูกรัง" localSheetId="52">#REF!</definedName>
    <definedName name="ค่าขนส่งลูกรัง" localSheetId="40">#REF!</definedName>
    <definedName name="ค่าขนส่งลูกรัง" localSheetId="39">#REF!</definedName>
    <definedName name="ค่าขนส่งลูกรัง" localSheetId="38">#REF!</definedName>
    <definedName name="ค่าขนส่งลูกรัง" localSheetId="37">#REF!</definedName>
    <definedName name="ค่าขนส่งลูกรัง" localSheetId="57">#REF!</definedName>
    <definedName name="ค่าขนส่งลูกรัง" localSheetId="66">#REF!</definedName>
    <definedName name="ค่าขนส่งลูกรัง" localSheetId="67">#REF!</definedName>
    <definedName name="ค่าขนส่งลูกรัง" localSheetId="58">#REF!</definedName>
    <definedName name="ค่าขนส่งลูกรัง" localSheetId="59">#REF!</definedName>
    <definedName name="ค่าขนส่งลูกรัง" localSheetId="60">#REF!</definedName>
    <definedName name="ค่าขนส่งลูกรัง" localSheetId="61">#REF!</definedName>
    <definedName name="ค่าขนส่งลูกรัง" localSheetId="62">#REF!</definedName>
    <definedName name="ค่าขนส่งลูกรัง" localSheetId="63">#REF!</definedName>
    <definedName name="ค่าขนส่งลูกรัง" localSheetId="64">#REF!</definedName>
    <definedName name="ค่าขนส่งลูกรัง" localSheetId="65">#REF!</definedName>
    <definedName name="ค่าขนส่งลูกรัง" localSheetId="68">#REF!</definedName>
    <definedName name="ค่าขนส่งลูกรัง" localSheetId="56">#REF!</definedName>
    <definedName name="ค่าขนส่งลูกรัง" localSheetId="55">#REF!</definedName>
    <definedName name="ค่าขนส่งลูกรัง" localSheetId="54">#REF!</definedName>
    <definedName name="ค่าขนส่งลูกรัง" localSheetId="69">#REF!</definedName>
    <definedName name="ค่าขนส่งลูกรัง" localSheetId="53">#REF!</definedName>
    <definedName name="ค่าขนส่งลูกรัง" localSheetId="85">#REF!</definedName>
    <definedName name="ค่าขนส่งลูกรัง" localSheetId="86">#REF!</definedName>
    <definedName name="ค่าขนส่งลูกรัง" localSheetId="2">#REF!</definedName>
    <definedName name="ค่าขนส่งลูกรัง">#REF!</definedName>
    <definedName name="ค่าขนส่งวัสดุอื่นๆ" localSheetId="3">#REF!</definedName>
    <definedName name="ค่าขนส่งวัสดุอื่นๆ" localSheetId="4">#REF!</definedName>
    <definedName name="ค่าขนส่งวัสดุอื่นๆ" localSheetId="18">#REF!</definedName>
    <definedName name="ค่าขนส่งวัสดุอื่นๆ" localSheetId="19">#REF!</definedName>
    <definedName name="ค่าขนส่งวัสดุอื่นๆ" localSheetId="9">#REF!</definedName>
    <definedName name="ค่าขนส่งวัสดุอื่นๆ" localSheetId="10">#REF!</definedName>
    <definedName name="ค่าขนส่งวัสดุอื่นๆ" localSheetId="11">#REF!</definedName>
    <definedName name="ค่าขนส่งวัสดุอื่นๆ" localSheetId="12">#REF!</definedName>
    <definedName name="ค่าขนส่งวัสดุอื่นๆ" localSheetId="13">#REF!</definedName>
    <definedName name="ค่าขนส่งวัสดุอื่นๆ" localSheetId="14">#REF!</definedName>
    <definedName name="ค่าขนส่งวัสดุอื่นๆ" localSheetId="15">#REF!</definedName>
    <definedName name="ค่าขนส่งวัสดุอื่นๆ" localSheetId="16">#REF!</definedName>
    <definedName name="ค่าขนส่งวัสดุอื่นๆ" localSheetId="17">#REF!</definedName>
    <definedName name="ค่าขนส่งวัสดุอื่นๆ" localSheetId="8">#REF!</definedName>
    <definedName name="ค่าขนส่งวัสดุอื่นๆ" localSheetId="7">#REF!</definedName>
    <definedName name="ค่าขนส่งวัสดุอื่นๆ" localSheetId="6">#REF!</definedName>
    <definedName name="ค่าขนส่งวัสดุอื่นๆ" localSheetId="20">#REF!</definedName>
    <definedName name="ค่าขนส่งวัสดุอื่นๆ" localSheetId="5">#REF!</definedName>
    <definedName name="ค่าขนส่งวัสดุอื่นๆ" localSheetId="21">#REF!</definedName>
    <definedName name="ค่าขนส่งวัสดุอื่นๆ" localSheetId="34">#REF!</definedName>
    <definedName name="ค่าขนส่งวัสดุอื่นๆ" localSheetId="35">#REF!</definedName>
    <definedName name="ค่าขนส่งวัสดุอื่นๆ" localSheetId="25">#REF!</definedName>
    <definedName name="ค่าขนส่งวัสดุอื่นๆ" localSheetId="27">#REF!</definedName>
    <definedName name="ค่าขนส่งวัสดุอื่นๆ" localSheetId="28">#REF!</definedName>
    <definedName name="ค่าขนส่งวัสดุอื่นๆ" localSheetId="29">#REF!</definedName>
    <definedName name="ค่าขนส่งวัสดุอื่นๆ" localSheetId="31">#REF!</definedName>
    <definedName name="ค่าขนส่งวัสดุอื่นๆ" localSheetId="32">#REF!</definedName>
    <definedName name="ค่าขนส่งวัสดุอื่นๆ" localSheetId="33">#REF!</definedName>
    <definedName name="ค่าขนส่งวัสดุอื่นๆ" localSheetId="24">#REF!</definedName>
    <definedName name="ค่าขนส่งวัสดุอื่นๆ" localSheetId="23">#REF!</definedName>
    <definedName name="ค่าขนส่งวัสดุอื่นๆ" localSheetId="36">#REF!</definedName>
    <definedName name="ค่าขนส่งวัสดุอื่นๆ" localSheetId="22">#REF!</definedName>
    <definedName name="ค่าขนส่งวัสดุอื่นๆ" localSheetId="26">#REF!</definedName>
    <definedName name="ค่าขนส่งวัสดุอื่นๆ" localSheetId="30">#REF!</definedName>
    <definedName name="ค่าขนส่งวัสดุอื่นๆ" localSheetId="85">#REF!</definedName>
    <definedName name="ค่าขนส่งวัสดุอื่นๆ" localSheetId="86">#REF!</definedName>
    <definedName name="ค่าขนส่งวัสดุอื่นๆ" localSheetId="2">#REF!</definedName>
    <definedName name="ค่าขนส่งวัสดุอื่นๆ">#REF!</definedName>
    <definedName name="ค่าขนส่งส่วนกลาง_ตัน" localSheetId="3">#REF!</definedName>
    <definedName name="ค่าขนส่งส่วนกลาง_ตัน" localSheetId="4">#REF!</definedName>
    <definedName name="ค่าขนส่งส่วนกลาง_ตัน" localSheetId="85">#REF!</definedName>
    <definedName name="ค่าขนส่งส่วนกลาง_ตัน" localSheetId="86">#REF!</definedName>
    <definedName name="ค่าขนส่งส่วนกลาง_ตัน" localSheetId="2">#REF!</definedName>
    <definedName name="ค่าขนส่งส่วนกลาง_ตัน">#REF!</definedName>
    <definedName name="ค่าขนส่งส่วนกลาง_ลบม" localSheetId="3">#REF!</definedName>
    <definedName name="ค่าขนส่งส่วนกลาง_ลบม" localSheetId="2">#REF!</definedName>
    <definedName name="ค่าขนส่งส่วนกลาง_ลบม">#REF!</definedName>
    <definedName name="ค่าขนส่งหิน" localSheetId="3">#REF!</definedName>
    <definedName name="ค่าขนส่งหิน" localSheetId="2">#REF!</definedName>
    <definedName name="ค่าขนส่งหิน">#REF!</definedName>
    <definedName name="ค่าขนส่งหิน_10ล้อ">'[14]ค่าขนส่ง-1'!$M$53</definedName>
    <definedName name="ค่าขนส่งหิน_ตัน_10ล้อ" localSheetId="3">#REF!</definedName>
    <definedName name="ค่าขนส่งหิน_ตัน_10ล้อ" localSheetId="4">#REF!</definedName>
    <definedName name="ค่าขนส่งหิน_ตัน_10ล้อ" localSheetId="18">#REF!</definedName>
    <definedName name="ค่าขนส่งหิน_ตัน_10ล้อ" localSheetId="19">#REF!</definedName>
    <definedName name="ค่าขนส่งหิน_ตัน_10ล้อ" localSheetId="9">#REF!</definedName>
    <definedName name="ค่าขนส่งหิน_ตัน_10ล้อ" localSheetId="10">#REF!</definedName>
    <definedName name="ค่าขนส่งหิน_ตัน_10ล้อ" localSheetId="11">#REF!</definedName>
    <definedName name="ค่าขนส่งหิน_ตัน_10ล้อ" localSheetId="12">#REF!</definedName>
    <definedName name="ค่าขนส่งหิน_ตัน_10ล้อ" localSheetId="13">#REF!</definedName>
    <definedName name="ค่าขนส่งหิน_ตัน_10ล้อ" localSheetId="14">#REF!</definedName>
    <definedName name="ค่าขนส่งหิน_ตัน_10ล้อ" localSheetId="15">#REF!</definedName>
    <definedName name="ค่าขนส่งหิน_ตัน_10ล้อ" localSheetId="16">#REF!</definedName>
    <definedName name="ค่าขนส่งหิน_ตัน_10ล้อ" localSheetId="17">#REF!</definedName>
    <definedName name="ค่าขนส่งหิน_ตัน_10ล้อ" localSheetId="8">#REF!</definedName>
    <definedName name="ค่าขนส่งหิน_ตัน_10ล้อ" localSheetId="7">#REF!</definedName>
    <definedName name="ค่าขนส่งหิน_ตัน_10ล้อ" localSheetId="6">#REF!</definedName>
    <definedName name="ค่าขนส่งหิน_ตัน_10ล้อ" localSheetId="20">#REF!</definedName>
    <definedName name="ค่าขนส่งหิน_ตัน_10ล้อ" localSheetId="5">#REF!</definedName>
    <definedName name="ค่าขนส่งหิน_ตัน_10ล้อ" localSheetId="21">#REF!</definedName>
    <definedName name="ค่าขนส่งหิน_ตัน_10ล้อ" localSheetId="34">#REF!</definedName>
    <definedName name="ค่าขนส่งหิน_ตัน_10ล้อ" localSheetId="35">#REF!</definedName>
    <definedName name="ค่าขนส่งหิน_ตัน_10ล้อ" localSheetId="25">#REF!</definedName>
    <definedName name="ค่าขนส่งหิน_ตัน_10ล้อ" localSheetId="27">#REF!</definedName>
    <definedName name="ค่าขนส่งหิน_ตัน_10ล้อ" localSheetId="28">#REF!</definedName>
    <definedName name="ค่าขนส่งหิน_ตัน_10ล้อ" localSheetId="29">#REF!</definedName>
    <definedName name="ค่าขนส่งหิน_ตัน_10ล้อ" localSheetId="31">#REF!</definedName>
    <definedName name="ค่าขนส่งหิน_ตัน_10ล้อ" localSheetId="32">#REF!</definedName>
    <definedName name="ค่าขนส่งหิน_ตัน_10ล้อ" localSheetId="33">#REF!</definedName>
    <definedName name="ค่าขนส่งหิน_ตัน_10ล้อ" localSheetId="24">#REF!</definedName>
    <definedName name="ค่าขนส่งหิน_ตัน_10ล้อ" localSheetId="23">#REF!</definedName>
    <definedName name="ค่าขนส่งหิน_ตัน_10ล้อ" localSheetId="36">#REF!</definedName>
    <definedName name="ค่าขนส่งหิน_ตัน_10ล้อ" localSheetId="22">#REF!</definedName>
    <definedName name="ค่าขนส่งหิน_ตัน_10ล้อ" localSheetId="26">#REF!</definedName>
    <definedName name="ค่าขนส่งหิน_ตัน_10ล้อ" localSheetId="30">#REF!</definedName>
    <definedName name="ค่าขนส่งหิน_ตัน_10ล้อ" localSheetId="41">#REF!</definedName>
    <definedName name="ค่าขนส่งหิน_ตัน_10ล้อ" localSheetId="50">#REF!</definedName>
    <definedName name="ค่าขนส่งหิน_ตัน_10ล้อ" localSheetId="51">#REF!</definedName>
    <definedName name="ค่าขนส่งหิน_ตัน_10ล้อ" localSheetId="42">#REF!</definedName>
    <definedName name="ค่าขนส่งหิน_ตัน_10ล้อ" localSheetId="43">#REF!</definedName>
    <definedName name="ค่าขนส่งหิน_ตัน_10ล้อ" localSheetId="44">#REF!</definedName>
    <definedName name="ค่าขนส่งหิน_ตัน_10ล้อ" localSheetId="45">#REF!</definedName>
    <definedName name="ค่าขนส่งหิน_ตัน_10ล้อ" localSheetId="46">#REF!</definedName>
    <definedName name="ค่าขนส่งหิน_ตัน_10ล้อ" localSheetId="47">#REF!</definedName>
    <definedName name="ค่าขนส่งหิน_ตัน_10ล้อ" localSheetId="48">#REF!</definedName>
    <definedName name="ค่าขนส่งหิน_ตัน_10ล้อ" localSheetId="49">#REF!</definedName>
    <definedName name="ค่าขนส่งหิน_ตัน_10ล้อ" localSheetId="52">#REF!</definedName>
    <definedName name="ค่าขนส่งหิน_ตัน_10ล้อ" localSheetId="40">#REF!</definedName>
    <definedName name="ค่าขนส่งหิน_ตัน_10ล้อ" localSheetId="39">#REF!</definedName>
    <definedName name="ค่าขนส่งหิน_ตัน_10ล้อ" localSheetId="38">#REF!</definedName>
    <definedName name="ค่าขนส่งหิน_ตัน_10ล้อ" localSheetId="37">#REF!</definedName>
    <definedName name="ค่าขนส่งหิน_ตัน_10ล้อ" localSheetId="57">#REF!</definedName>
    <definedName name="ค่าขนส่งหิน_ตัน_10ล้อ" localSheetId="66">#REF!</definedName>
    <definedName name="ค่าขนส่งหิน_ตัน_10ล้อ" localSheetId="67">#REF!</definedName>
    <definedName name="ค่าขนส่งหิน_ตัน_10ล้อ" localSheetId="58">#REF!</definedName>
    <definedName name="ค่าขนส่งหิน_ตัน_10ล้อ" localSheetId="59">#REF!</definedName>
    <definedName name="ค่าขนส่งหิน_ตัน_10ล้อ" localSheetId="60">#REF!</definedName>
    <definedName name="ค่าขนส่งหิน_ตัน_10ล้อ" localSheetId="61">#REF!</definedName>
    <definedName name="ค่าขนส่งหิน_ตัน_10ล้อ" localSheetId="62">#REF!</definedName>
    <definedName name="ค่าขนส่งหิน_ตัน_10ล้อ" localSheetId="63">#REF!</definedName>
    <definedName name="ค่าขนส่งหิน_ตัน_10ล้อ" localSheetId="64">#REF!</definedName>
    <definedName name="ค่าขนส่งหิน_ตัน_10ล้อ" localSheetId="65">#REF!</definedName>
    <definedName name="ค่าขนส่งหิน_ตัน_10ล้อ" localSheetId="68">#REF!</definedName>
    <definedName name="ค่าขนส่งหิน_ตัน_10ล้อ" localSheetId="56">#REF!</definedName>
    <definedName name="ค่าขนส่งหิน_ตัน_10ล้อ" localSheetId="55">#REF!</definedName>
    <definedName name="ค่าขนส่งหิน_ตัน_10ล้อ" localSheetId="54">#REF!</definedName>
    <definedName name="ค่าขนส่งหิน_ตัน_10ล้อ" localSheetId="69">#REF!</definedName>
    <definedName name="ค่าขนส่งหิน_ตัน_10ล้อ" localSheetId="53">#REF!</definedName>
    <definedName name="ค่าขนส่งหิน_ตัน_10ล้อ" localSheetId="85">#REF!</definedName>
    <definedName name="ค่าขนส่งหิน_ตัน_10ล้อ" localSheetId="86">#REF!</definedName>
    <definedName name="ค่าขนส่งหิน_ตัน_10ล้อ" localSheetId="2">#REF!</definedName>
    <definedName name="ค่าขนส่งหิน_ตัน_10ล้อ">#REF!</definedName>
    <definedName name="ค่าขนส่งหิน_ตัน_พ่วง" localSheetId="3">#REF!</definedName>
    <definedName name="ค่าขนส่งหิน_ตัน_พ่วง" localSheetId="4">#REF!</definedName>
    <definedName name="ค่าขนส่งหิน_ตัน_พ่วง" localSheetId="18">#REF!</definedName>
    <definedName name="ค่าขนส่งหิน_ตัน_พ่วง" localSheetId="19">#REF!</definedName>
    <definedName name="ค่าขนส่งหิน_ตัน_พ่วง" localSheetId="9">#REF!</definedName>
    <definedName name="ค่าขนส่งหิน_ตัน_พ่วง" localSheetId="10">#REF!</definedName>
    <definedName name="ค่าขนส่งหิน_ตัน_พ่วง" localSheetId="11">#REF!</definedName>
    <definedName name="ค่าขนส่งหิน_ตัน_พ่วง" localSheetId="12">#REF!</definedName>
    <definedName name="ค่าขนส่งหิน_ตัน_พ่วง" localSheetId="13">#REF!</definedName>
    <definedName name="ค่าขนส่งหิน_ตัน_พ่วง" localSheetId="14">#REF!</definedName>
    <definedName name="ค่าขนส่งหิน_ตัน_พ่วง" localSheetId="15">#REF!</definedName>
    <definedName name="ค่าขนส่งหิน_ตัน_พ่วง" localSheetId="16">#REF!</definedName>
    <definedName name="ค่าขนส่งหิน_ตัน_พ่วง" localSheetId="17">#REF!</definedName>
    <definedName name="ค่าขนส่งหิน_ตัน_พ่วง" localSheetId="8">#REF!</definedName>
    <definedName name="ค่าขนส่งหิน_ตัน_พ่วง" localSheetId="7">#REF!</definedName>
    <definedName name="ค่าขนส่งหิน_ตัน_พ่วง" localSheetId="6">#REF!</definedName>
    <definedName name="ค่าขนส่งหิน_ตัน_พ่วง" localSheetId="20">#REF!</definedName>
    <definedName name="ค่าขนส่งหิน_ตัน_พ่วง" localSheetId="5">#REF!</definedName>
    <definedName name="ค่าขนส่งหิน_ตัน_พ่วง" localSheetId="21">#REF!</definedName>
    <definedName name="ค่าขนส่งหิน_ตัน_พ่วง" localSheetId="34">#REF!</definedName>
    <definedName name="ค่าขนส่งหิน_ตัน_พ่วง" localSheetId="35">#REF!</definedName>
    <definedName name="ค่าขนส่งหิน_ตัน_พ่วง" localSheetId="25">#REF!</definedName>
    <definedName name="ค่าขนส่งหิน_ตัน_พ่วง" localSheetId="27">#REF!</definedName>
    <definedName name="ค่าขนส่งหิน_ตัน_พ่วง" localSheetId="28">#REF!</definedName>
    <definedName name="ค่าขนส่งหิน_ตัน_พ่วง" localSheetId="29">#REF!</definedName>
    <definedName name="ค่าขนส่งหิน_ตัน_พ่วง" localSheetId="31">#REF!</definedName>
    <definedName name="ค่าขนส่งหิน_ตัน_พ่วง" localSheetId="32">#REF!</definedName>
    <definedName name="ค่าขนส่งหิน_ตัน_พ่วง" localSheetId="33">#REF!</definedName>
    <definedName name="ค่าขนส่งหิน_ตัน_พ่วง" localSheetId="24">#REF!</definedName>
    <definedName name="ค่าขนส่งหิน_ตัน_พ่วง" localSheetId="23">#REF!</definedName>
    <definedName name="ค่าขนส่งหิน_ตัน_พ่วง" localSheetId="36">#REF!</definedName>
    <definedName name="ค่าขนส่งหิน_ตัน_พ่วง" localSheetId="22">#REF!</definedName>
    <definedName name="ค่าขนส่งหิน_ตัน_พ่วง" localSheetId="26">#REF!</definedName>
    <definedName name="ค่าขนส่งหิน_ตัน_พ่วง" localSheetId="30">#REF!</definedName>
    <definedName name="ค่าขนส่งหิน_ตัน_พ่วง" localSheetId="85">#REF!</definedName>
    <definedName name="ค่าขนส่งหิน_ตัน_พ่วง" localSheetId="86">#REF!</definedName>
    <definedName name="ค่าขนส่งหิน_ตัน_พ่วง" localSheetId="2">#REF!</definedName>
    <definedName name="ค่าขนส่งหิน_ตัน_พ่วง">#REF!</definedName>
    <definedName name="ค่าขนส่งหิน_พ่วง">'[14]ค่าขนส่ง-1'!$M$70</definedName>
    <definedName name="ค่าขนส่งหิน_ลบม_10ล้อ">'[13]ค่าขนส่ง-1'!$M$55</definedName>
    <definedName name="ค่าขนส่งหิน_ลบม_พ่วง">'[13]ค่าขนส่ง-1'!$M$72</definedName>
    <definedName name="ค่างานเหล็ก" localSheetId="3">#REF!</definedName>
    <definedName name="ค่างานเหล็ก" localSheetId="18">#REF!</definedName>
    <definedName name="ค่างานเหล็ก" localSheetId="19">#REF!</definedName>
    <definedName name="ค่างานเหล็ก" localSheetId="9">#REF!</definedName>
    <definedName name="ค่างานเหล็ก" localSheetId="10">#REF!</definedName>
    <definedName name="ค่างานเหล็ก" localSheetId="11">#REF!</definedName>
    <definedName name="ค่างานเหล็ก" localSheetId="12">#REF!</definedName>
    <definedName name="ค่างานเหล็ก" localSheetId="13">#REF!</definedName>
    <definedName name="ค่างานเหล็ก" localSheetId="14">#REF!</definedName>
    <definedName name="ค่างานเหล็ก" localSheetId="15">#REF!</definedName>
    <definedName name="ค่างานเหล็ก" localSheetId="16">#REF!</definedName>
    <definedName name="ค่างานเหล็ก" localSheetId="17">#REF!</definedName>
    <definedName name="ค่างานเหล็ก" localSheetId="8">#REF!</definedName>
    <definedName name="ค่างานเหล็ก" localSheetId="7">#REF!</definedName>
    <definedName name="ค่างานเหล็ก" localSheetId="6">#REF!</definedName>
    <definedName name="ค่างานเหล็ก" localSheetId="20">#REF!</definedName>
    <definedName name="ค่างานเหล็ก" localSheetId="5">#REF!</definedName>
    <definedName name="ค่างานเหล็ก" localSheetId="21">#REF!</definedName>
    <definedName name="ค่างานเหล็ก" localSheetId="34">#REF!</definedName>
    <definedName name="ค่างานเหล็ก" localSheetId="35">#REF!</definedName>
    <definedName name="ค่างานเหล็ก" localSheetId="25">#REF!</definedName>
    <definedName name="ค่างานเหล็ก" localSheetId="27">#REF!</definedName>
    <definedName name="ค่างานเหล็ก" localSheetId="28">#REF!</definedName>
    <definedName name="ค่างานเหล็ก" localSheetId="29">#REF!</definedName>
    <definedName name="ค่างานเหล็ก" localSheetId="31">#REF!</definedName>
    <definedName name="ค่างานเหล็ก" localSheetId="32">#REF!</definedName>
    <definedName name="ค่างานเหล็ก" localSheetId="33">#REF!</definedName>
    <definedName name="ค่างานเหล็ก" localSheetId="24">#REF!</definedName>
    <definedName name="ค่างานเหล็ก" localSheetId="23">#REF!</definedName>
    <definedName name="ค่างานเหล็ก" localSheetId="36">#REF!</definedName>
    <definedName name="ค่างานเหล็ก" localSheetId="22">#REF!</definedName>
    <definedName name="ค่างานเหล็ก" localSheetId="26">#REF!</definedName>
    <definedName name="ค่างานเหล็ก" localSheetId="30">#REF!</definedName>
    <definedName name="ค่างานเหล็ก" localSheetId="41">#REF!</definedName>
    <definedName name="ค่างานเหล็ก" localSheetId="50">#REF!</definedName>
    <definedName name="ค่างานเหล็ก" localSheetId="51">#REF!</definedName>
    <definedName name="ค่างานเหล็ก" localSheetId="42">#REF!</definedName>
    <definedName name="ค่างานเหล็ก" localSheetId="43">#REF!</definedName>
    <definedName name="ค่างานเหล็ก" localSheetId="44">#REF!</definedName>
    <definedName name="ค่างานเหล็ก" localSheetId="45">#REF!</definedName>
    <definedName name="ค่างานเหล็ก" localSheetId="46">#REF!</definedName>
    <definedName name="ค่างานเหล็ก" localSheetId="47">#REF!</definedName>
    <definedName name="ค่างานเหล็ก" localSheetId="48">#REF!</definedName>
    <definedName name="ค่างานเหล็ก" localSheetId="49">#REF!</definedName>
    <definedName name="ค่างานเหล็ก" localSheetId="52">#REF!</definedName>
    <definedName name="ค่างานเหล็ก" localSheetId="40">#REF!</definedName>
    <definedName name="ค่างานเหล็ก" localSheetId="39">#REF!</definedName>
    <definedName name="ค่างานเหล็ก" localSheetId="38">#REF!</definedName>
    <definedName name="ค่างานเหล็ก" localSheetId="37">#REF!</definedName>
    <definedName name="ค่างานเหล็ก" localSheetId="57">#REF!</definedName>
    <definedName name="ค่างานเหล็ก" localSheetId="66">#REF!</definedName>
    <definedName name="ค่างานเหล็ก" localSheetId="67">#REF!</definedName>
    <definedName name="ค่างานเหล็ก" localSheetId="58">#REF!</definedName>
    <definedName name="ค่างานเหล็ก" localSheetId="59">#REF!</definedName>
    <definedName name="ค่างานเหล็ก" localSheetId="60">#REF!</definedName>
    <definedName name="ค่างานเหล็ก" localSheetId="61">#REF!</definedName>
    <definedName name="ค่างานเหล็ก" localSheetId="62">#REF!</definedName>
    <definedName name="ค่างานเหล็ก" localSheetId="63">#REF!</definedName>
    <definedName name="ค่างานเหล็ก" localSheetId="64">#REF!</definedName>
    <definedName name="ค่างานเหล็ก" localSheetId="65">#REF!</definedName>
    <definedName name="ค่างานเหล็ก" localSheetId="68">#REF!</definedName>
    <definedName name="ค่างานเหล็ก" localSheetId="56">#REF!</definedName>
    <definedName name="ค่างานเหล็ก" localSheetId="55">#REF!</definedName>
    <definedName name="ค่างานเหล็ก" localSheetId="54">#REF!</definedName>
    <definedName name="ค่างานเหล็ก" localSheetId="69">#REF!</definedName>
    <definedName name="ค่างานเหล็ก" localSheetId="53">#REF!</definedName>
    <definedName name="ค่างานเหล็ก" localSheetId="85">#REF!</definedName>
    <definedName name="ค่างานเหล็ก" localSheetId="86">#REF!</definedName>
    <definedName name="ค่างานเหล็ก" localSheetId="2">#REF!</definedName>
    <definedName name="ค่างานเหล็ก">#REF!</definedName>
    <definedName name="ค่างานไม้แบบงานรางระบายน้ำ" localSheetId="3">#REF!</definedName>
    <definedName name="ค่างานไม้แบบงานรางระบายน้ำ" localSheetId="18">#REF!</definedName>
    <definedName name="ค่างานไม้แบบงานรางระบายน้ำ" localSheetId="19">#REF!</definedName>
    <definedName name="ค่างานไม้แบบงานรางระบายน้ำ" localSheetId="9">#REF!</definedName>
    <definedName name="ค่างานไม้แบบงานรางระบายน้ำ" localSheetId="10">#REF!</definedName>
    <definedName name="ค่างานไม้แบบงานรางระบายน้ำ" localSheetId="11">#REF!</definedName>
    <definedName name="ค่างานไม้แบบงานรางระบายน้ำ" localSheetId="12">#REF!</definedName>
    <definedName name="ค่างานไม้แบบงานรางระบายน้ำ" localSheetId="13">#REF!</definedName>
    <definedName name="ค่างานไม้แบบงานรางระบายน้ำ" localSheetId="14">#REF!</definedName>
    <definedName name="ค่างานไม้แบบงานรางระบายน้ำ" localSheetId="15">#REF!</definedName>
    <definedName name="ค่างานไม้แบบงานรางระบายน้ำ" localSheetId="16">#REF!</definedName>
    <definedName name="ค่างานไม้แบบงานรางระบายน้ำ" localSheetId="17">#REF!</definedName>
    <definedName name="ค่างานไม้แบบงานรางระบายน้ำ" localSheetId="8">#REF!</definedName>
    <definedName name="ค่างานไม้แบบงานรางระบายน้ำ" localSheetId="7">#REF!</definedName>
    <definedName name="ค่างานไม้แบบงานรางระบายน้ำ" localSheetId="6">#REF!</definedName>
    <definedName name="ค่างานไม้แบบงานรางระบายน้ำ" localSheetId="20">#REF!</definedName>
    <definedName name="ค่างานไม้แบบงานรางระบายน้ำ" localSheetId="5">#REF!</definedName>
    <definedName name="ค่างานไม้แบบงานรางระบายน้ำ" localSheetId="21">#REF!</definedName>
    <definedName name="ค่างานไม้แบบงานรางระบายน้ำ" localSheetId="34">#REF!</definedName>
    <definedName name="ค่างานไม้แบบงานรางระบายน้ำ" localSheetId="35">#REF!</definedName>
    <definedName name="ค่างานไม้แบบงานรางระบายน้ำ" localSheetId="25">#REF!</definedName>
    <definedName name="ค่างานไม้แบบงานรางระบายน้ำ" localSheetId="27">#REF!</definedName>
    <definedName name="ค่างานไม้แบบงานรางระบายน้ำ" localSheetId="28">#REF!</definedName>
    <definedName name="ค่างานไม้แบบงานรางระบายน้ำ" localSheetId="29">#REF!</definedName>
    <definedName name="ค่างานไม้แบบงานรางระบายน้ำ" localSheetId="31">#REF!</definedName>
    <definedName name="ค่างานไม้แบบงานรางระบายน้ำ" localSheetId="32">#REF!</definedName>
    <definedName name="ค่างานไม้แบบงานรางระบายน้ำ" localSheetId="33">#REF!</definedName>
    <definedName name="ค่างานไม้แบบงานรางระบายน้ำ" localSheetId="24">#REF!</definedName>
    <definedName name="ค่างานไม้แบบงานรางระบายน้ำ" localSheetId="23">#REF!</definedName>
    <definedName name="ค่างานไม้แบบงานรางระบายน้ำ" localSheetId="36">#REF!</definedName>
    <definedName name="ค่างานไม้แบบงานรางระบายน้ำ" localSheetId="22">#REF!</definedName>
    <definedName name="ค่างานไม้แบบงานรางระบายน้ำ" localSheetId="26">#REF!</definedName>
    <definedName name="ค่างานไม้แบบงานรางระบายน้ำ" localSheetId="30">#REF!</definedName>
    <definedName name="ค่างานไม้แบบงานรางระบายน้ำ" localSheetId="85">#REF!</definedName>
    <definedName name="ค่างานไม้แบบงานรางระบายน้ำ" localSheetId="86">#REF!</definedName>
    <definedName name="ค่างานไม้แบบงานรางระบายน้ำ" localSheetId="2">#REF!</definedName>
    <definedName name="ค่างานไม้แบบงานรางระบายน้ำ">#REF!</definedName>
    <definedName name="ค่างานไม้แบบทั่วไป" localSheetId="3">#REF!</definedName>
    <definedName name="ค่างานไม้แบบทั่วไป" localSheetId="85">#REF!</definedName>
    <definedName name="ค่างานไม้แบบทั่วไป" localSheetId="86">#REF!</definedName>
    <definedName name="ค่างานไม้แบบทั่วไป" localSheetId="2">#REF!</definedName>
    <definedName name="ค่างานไม้แบบทั่วไป">#REF!</definedName>
    <definedName name="ค่างานไม้แบบอย่างง่าย" localSheetId="3">#REF!</definedName>
    <definedName name="ค่างานไม้แบบอย่างง่าย" localSheetId="2">#REF!</definedName>
    <definedName name="ค่างานไม้แบบอย่างง่าย">#REF!</definedName>
    <definedName name="ค่าติดตั้งเครื่องผสม" localSheetId="3">#REF!</definedName>
    <definedName name="ค่าติดตั้งเครื่องผสม" localSheetId="2">#REF!</definedName>
    <definedName name="ค่าติดตั้งเครื่องผสม">#REF!</definedName>
    <definedName name="ค่าติดตั้งเครื่องผสมคอนกรีต" localSheetId="3">#REF!</definedName>
    <definedName name="ค่าติดตั้งเครื่องผสมคอนกรีต" localSheetId="2">#REF!</definedName>
    <definedName name="ค่าติดตั้งเครื่องผสมคอนกรีต">#REF!</definedName>
    <definedName name="คานขวาง_I_30" localSheetId="3">#REF!</definedName>
    <definedName name="คานขวาง_I_30" localSheetId="2">#REF!</definedName>
    <definedName name="คานขวาง_I_30">#REF!</definedName>
    <definedName name="คานขวาง_I20" localSheetId="3">#REF!</definedName>
    <definedName name="คานขวาง_I20" localSheetId="2">#REF!</definedName>
    <definedName name="คานขวาง_I20">#REF!</definedName>
    <definedName name="ค่าบ่มผิวทางคอนกรีต" localSheetId="3">#REF!</definedName>
    <definedName name="ค่าบ่มผิวทางคอนกรีต" localSheetId="2">#REF!</definedName>
    <definedName name="ค่าบ่มผิวทางคอนกรีต">#REF!</definedName>
    <definedName name="ค่าผสมคอนกรีต" localSheetId="3">#REF!</definedName>
    <definedName name="ค่าผสมคอนกรีต" localSheetId="2">#REF!</definedName>
    <definedName name="ค่าผสมคอนกรีต">#REF!</definedName>
    <definedName name="ค่าผสมวัสดุหินคลุก" localSheetId="3">#REF!</definedName>
    <definedName name="ค่าผสมวัสดุหินคลุก" localSheetId="2">#REF!</definedName>
    <definedName name="ค่าผสมวัสดุหินคลุก">#REF!</definedName>
    <definedName name="ค่าวางแผงเหล็ก" localSheetId="3">#REF!</definedName>
    <definedName name="ค่าวางแผงเหล็ก" localSheetId="2">#REF!</definedName>
    <definedName name="ค่าวางแผงเหล็ก">#REF!</definedName>
    <definedName name="งานBORROW_EXCAVATION" localSheetId="3">'[11]หมวด 2'!#REF!</definedName>
    <definedName name="งานBORROW_EXCAVATION" localSheetId="2">'[11]หมวด 2'!#REF!</definedName>
    <definedName name="งานBORROW_EXCAVATION">'[11]หมวด 2'!#REF!</definedName>
    <definedName name="งานCEMENT_MODIFIED_CRUSHED_ROCK_BASE" localSheetId="3">#REF!</definedName>
    <definedName name="งานCEMENT_MODIFIED_CRUSHED_ROCK_BASE" localSheetId="4">#REF!</definedName>
    <definedName name="งานCEMENT_MODIFIED_CRUSHED_ROCK_BASE" localSheetId="18">#REF!</definedName>
    <definedName name="งานCEMENT_MODIFIED_CRUSHED_ROCK_BASE" localSheetId="19">#REF!</definedName>
    <definedName name="งานCEMENT_MODIFIED_CRUSHED_ROCK_BASE" localSheetId="9">#REF!</definedName>
    <definedName name="งานCEMENT_MODIFIED_CRUSHED_ROCK_BASE" localSheetId="10">#REF!</definedName>
    <definedName name="งานCEMENT_MODIFIED_CRUSHED_ROCK_BASE" localSheetId="11">#REF!</definedName>
    <definedName name="งานCEMENT_MODIFIED_CRUSHED_ROCK_BASE" localSheetId="12">#REF!</definedName>
    <definedName name="งานCEMENT_MODIFIED_CRUSHED_ROCK_BASE" localSheetId="13">#REF!</definedName>
    <definedName name="งานCEMENT_MODIFIED_CRUSHED_ROCK_BASE" localSheetId="14">#REF!</definedName>
    <definedName name="งานCEMENT_MODIFIED_CRUSHED_ROCK_BASE" localSheetId="15">#REF!</definedName>
    <definedName name="งานCEMENT_MODIFIED_CRUSHED_ROCK_BASE" localSheetId="16">#REF!</definedName>
    <definedName name="งานCEMENT_MODIFIED_CRUSHED_ROCK_BASE" localSheetId="17">#REF!</definedName>
    <definedName name="งานCEMENT_MODIFIED_CRUSHED_ROCK_BASE" localSheetId="8">#REF!</definedName>
    <definedName name="งานCEMENT_MODIFIED_CRUSHED_ROCK_BASE" localSheetId="7">#REF!</definedName>
    <definedName name="งานCEMENT_MODIFIED_CRUSHED_ROCK_BASE" localSheetId="6">#REF!</definedName>
    <definedName name="งานCEMENT_MODIFIED_CRUSHED_ROCK_BASE" localSheetId="20">#REF!</definedName>
    <definedName name="งานCEMENT_MODIFIED_CRUSHED_ROCK_BASE" localSheetId="5">#REF!</definedName>
    <definedName name="งานCEMENT_MODIFIED_CRUSHED_ROCK_BASE" localSheetId="21">#REF!</definedName>
    <definedName name="งานCEMENT_MODIFIED_CRUSHED_ROCK_BASE" localSheetId="34">#REF!</definedName>
    <definedName name="งานCEMENT_MODIFIED_CRUSHED_ROCK_BASE" localSheetId="35">#REF!</definedName>
    <definedName name="งานCEMENT_MODIFIED_CRUSHED_ROCK_BASE" localSheetId="25">#REF!</definedName>
    <definedName name="งานCEMENT_MODIFIED_CRUSHED_ROCK_BASE" localSheetId="27">#REF!</definedName>
    <definedName name="งานCEMENT_MODIFIED_CRUSHED_ROCK_BASE" localSheetId="28">#REF!</definedName>
    <definedName name="งานCEMENT_MODIFIED_CRUSHED_ROCK_BASE" localSheetId="29">#REF!</definedName>
    <definedName name="งานCEMENT_MODIFIED_CRUSHED_ROCK_BASE" localSheetId="31">#REF!</definedName>
    <definedName name="งานCEMENT_MODIFIED_CRUSHED_ROCK_BASE" localSheetId="32">#REF!</definedName>
    <definedName name="งานCEMENT_MODIFIED_CRUSHED_ROCK_BASE" localSheetId="33">#REF!</definedName>
    <definedName name="งานCEMENT_MODIFIED_CRUSHED_ROCK_BASE" localSheetId="24">#REF!</definedName>
    <definedName name="งานCEMENT_MODIFIED_CRUSHED_ROCK_BASE" localSheetId="23">#REF!</definedName>
    <definedName name="งานCEMENT_MODIFIED_CRUSHED_ROCK_BASE" localSheetId="36">#REF!</definedName>
    <definedName name="งานCEMENT_MODIFIED_CRUSHED_ROCK_BASE" localSheetId="22">#REF!</definedName>
    <definedName name="งานCEMENT_MODIFIED_CRUSHED_ROCK_BASE" localSheetId="26">#REF!</definedName>
    <definedName name="งานCEMENT_MODIFIED_CRUSHED_ROCK_BASE" localSheetId="30">#REF!</definedName>
    <definedName name="งานCEMENT_MODIFIED_CRUSHED_ROCK_BASE" localSheetId="41">#REF!</definedName>
    <definedName name="งานCEMENT_MODIFIED_CRUSHED_ROCK_BASE" localSheetId="50">#REF!</definedName>
    <definedName name="งานCEMENT_MODIFIED_CRUSHED_ROCK_BASE" localSheetId="51">#REF!</definedName>
    <definedName name="งานCEMENT_MODIFIED_CRUSHED_ROCK_BASE" localSheetId="42">#REF!</definedName>
    <definedName name="งานCEMENT_MODIFIED_CRUSHED_ROCK_BASE" localSheetId="43">#REF!</definedName>
    <definedName name="งานCEMENT_MODIFIED_CRUSHED_ROCK_BASE" localSheetId="44">#REF!</definedName>
    <definedName name="งานCEMENT_MODIFIED_CRUSHED_ROCK_BASE" localSheetId="45">#REF!</definedName>
    <definedName name="งานCEMENT_MODIFIED_CRUSHED_ROCK_BASE" localSheetId="46">#REF!</definedName>
    <definedName name="งานCEMENT_MODIFIED_CRUSHED_ROCK_BASE" localSheetId="47">#REF!</definedName>
    <definedName name="งานCEMENT_MODIFIED_CRUSHED_ROCK_BASE" localSheetId="48">#REF!</definedName>
    <definedName name="งานCEMENT_MODIFIED_CRUSHED_ROCK_BASE" localSheetId="49">#REF!</definedName>
    <definedName name="งานCEMENT_MODIFIED_CRUSHED_ROCK_BASE" localSheetId="52">#REF!</definedName>
    <definedName name="งานCEMENT_MODIFIED_CRUSHED_ROCK_BASE" localSheetId="40">#REF!</definedName>
    <definedName name="งานCEMENT_MODIFIED_CRUSHED_ROCK_BASE" localSheetId="39">#REF!</definedName>
    <definedName name="งานCEMENT_MODIFIED_CRUSHED_ROCK_BASE" localSheetId="38">#REF!</definedName>
    <definedName name="งานCEMENT_MODIFIED_CRUSHED_ROCK_BASE" localSheetId="37">#REF!</definedName>
    <definedName name="งานCEMENT_MODIFIED_CRUSHED_ROCK_BASE" localSheetId="57">#REF!</definedName>
    <definedName name="งานCEMENT_MODIFIED_CRUSHED_ROCK_BASE" localSheetId="66">#REF!</definedName>
    <definedName name="งานCEMENT_MODIFIED_CRUSHED_ROCK_BASE" localSheetId="67">#REF!</definedName>
    <definedName name="งานCEMENT_MODIFIED_CRUSHED_ROCK_BASE" localSheetId="58">#REF!</definedName>
    <definedName name="งานCEMENT_MODIFIED_CRUSHED_ROCK_BASE" localSheetId="59">#REF!</definedName>
    <definedName name="งานCEMENT_MODIFIED_CRUSHED_ROCK_BASE" localSheetId="60">#REF!</definedName>
    <definedName name="งานCEMENT_MODIFIED_CRUSHED_ROCK_BASE" localSheetId="61">#REF!</definedName>
    <definedName name="งานCEMENT_MODIFIED_CRUSHED_ROCK_BASE" localSheetId="62">#REF!</definedName>
    <definedName name="งานCEMENT_MODIFIED_CRUSHED_ROCK_BASE" localSheetId="63">#REF!</definedName>
    <definedName name="งานCEMENT_MODIFIED_CRUSHED_ROCK_BASE" localSheetId="64">#REF!</definedName>
    <definedName name="งานCEMENT_MODIFIED_CRUSHED_ROCK_BASE" localSheetId="65">#REF!</definedName>
    <definedName name="งานCEMENT_MODIFIED_CRUSHED_ROCK_BASE" localSheetId="68">#REF!</definedName>
    <definedName name="งานCEMENT_MODIFIED_CRUSHED_ROCK_BASE" localSheetId="56">#REF!</definedName>
    <definedName name="งานCEMENT_MODIFIED_CRUSHED_ROCK_BASE" localSheetId="55">#REF!</definedName>
    <definedName name="งานCEMENT_MODIFIED_CRUSHED_ROCK_BASE" localSheetId="54">#REF!</definedName>
    <definedName name="งานCEMENT_MODIFIED_CRUSHED_ROCK_BASE" localSheetId="69">#REF!</definedName>
    <definedName name="งานCEMENT_MODIFIED_CRUSHED_ROCK_BASE" localSheetId="53">#REF!</definedName>
    <definedName name="งานCEMENT_MODIFIED_CRUSHED_ROCK_BASE" localSheetId="85">#REF!</definedName>
    <definedName name="งานCEMENT_MODIFIED_CRUSHED_ROCK_BASE" localSheetId="86">#REF!</definedName>
    <definedName name="งานCEMENT_MODIFIED_CRUSHED_ROCK_BASE" localSheetId="2">#REF!</definedName>
    <definedName name="งานCEMENT_MODIFIED_CRUSHED_ROCK_BASE">#REF!</definedName>
    <definedName name="งานCRUSHED_GRAVEL_AGGEGATE" localSheetId="3">#REF!</definedName>
    <definedName name="งานCRUSHED_GRAVEL_AGGEGATE" localSheetId="4">#REF!</definedName>
    <definedName name="งานCRUSHED_GRAVEL_AGGEGATE" localSheetId="18">#REF!</definedName>
    <definedName name="งานCRUSHED_GRAVEL_AGGEGATE" localSheetId="19">#REF!</definedName>
    <definedName name="งานCRUSHED_GRAVEL_AGGEGATE" localSheetId="9">#REF!</definedName>
    <definedName name="งานCRUSHED_GRAVEL_AGGEGATE" localSheetId="10">#REF!</definedName>
    <definedName name="งานCRUSHED_GRAVEL_AGGEGATE" localSheetId="11">#REF!</definedName>
    <definedName name="งานCRUSHED_GRAVEL_AGGEGATE" localSheetId="12">#REF!</definedName>
    <definedName name="งานCRUSHED_GRAVEL_AGGEGATE" localSheetId="13">#REF!</definedName>
    <definedName name="งานCRUSHED_GRAVEL_AGGEGATE" localSheetId="14">#REF!</definedName>
    <definedName name="งานCRUSHED_GRAVEL_AGGEGATE" localSheetId="15">#REF!</definedName>
    <definedName name="งานCRUSHED_GRAVEL_AGGEGATE" localSheetId="16">#REF!</definedName>
    <definedName name="งานCRUSHED_GRAVEL_AGGEGATE" localSheetId="17">#REF!</definedName>
    <definedName name="งานCRUSHED_GRAVEL_AGGEGATE" localSheetId="8">#REF!</definedName>
    <definedName name="งานCRUSHED_GRAVEL_AGGEGATE" localSheetId="7">#REF!</definedName>
    <definedName name="งานCRUSHED_GRAVEL_AGGEGATE" localSheetId="6">#REF!</definedName>
    <definedName name="งานCRUSHED_GRAVEL_AGGEGATE" localSheetId="20">#REF!</definedName>
    <definedName name="งานCRUSHED_GRAVEL_AGGEGATE" localSheetId="5">#REF!</definedName>
    <definedName name="งานCRUSHED_GRAVEL_AGGEGATE" localSheetId="21">#REF!</definedName>
    <definedName name="งานCRUSHED_GRAVEL_AGGEGATE" localSheetId="34">#REF!</definedName>
    <definedName name="งานCRUSHED_GRAVEL_AGGEGATE" localSheetId="35">#REF!</definedName>
    <definedName name="งานCRUSHED_GRAVEL_AGGEGATE" localSheetId="25">#REF!</definedName>
    <definedName name="งานCRUSHED_GRAVEL_AGGEGATE" localSheetId="27">#REF!</definedName>
    <definedName name="งานCRUSHED_GRAVEL_AGGEGATE" localSheetId="28">#REF!</definedName>
    <definedName name="งานCRUSHED_GRAVEL_AGGEGATE" localSheetId="29">#REF!</definedName>
    <definedName name="งานCRUSHED_GRAVEL_AGGEGATE" localSheetId="31">#REF!</definedName>
    <definedName name="งานCRUSHED_GRAVEL_AGGEGATE" localSheetId="32">#REF!</definedName>
    <definedName name="งานCRUSHED_GRAVEL_AGGEGATE" localSheetId="33">#REF!</definedName>
    <definedName name="งานCRUSHED_GRAVEL_AGGEGATE" localSheetId="24">#REF!</definedName>
    <definedName name="งานCRUSHED_GRAVEL_AGGEGATE" localSheetId="23">#REF!</definedName>
    <definedName name="งานCRUSHED_GRAVEL_AGGEGATE" localSheetId="36">#REF!</definedName>
    <definedName name="งานCRUSHED_GRAVEL_AGGEGATE" localSheetId="22">#REF!</definedName>
    <definedName name="งานCRUSHED_GRAVEL_AGGEGATE" localSheetId="26">#REF!</definedName>
    <definedName name="งานCRUSHED_GRAVEL_AGGEGATE" localSheetId="30">#REF!</definedName>
    <definedName name="งานCRUSHED_GRAVEL_AGGEGATE" localSheetId="85">#REF!</definedName>
    <definedName name="งานCRUSHED_GRAVEL_AGGEGATE" localSheetId="86">#REF!</definedName>
    <definedName name="งานCRUSHED_GRAVEL_AGGEGATE" localSheetId="2">#REF!</definedName>
    <definedName name="งานCRUSHED_GRAVEL_AGGEGATE">#REF!</definedName>
    <definedName name="งานDRAINAGE_EXCAVATION" localSheetId="3">'[11]หมวด 2'!#REF!</definedName>
    <definedName name="งานDRAINAGE_EXCAVATION" localSheetId="4">'[11]หมวด 2'!#REF!</definedName>
    <definedName name="งานDRAINAGE_EXCAVATION" localSheetId="18">'[11]หมวด 2'!#REF!</definedName>
    <definedName name="งานDRAINAGE_EXCAVATION" localSheetId="19">'[11]หมวด 2'!#REF!</definedName>
    <definedName name="งานDRAINAGE_EXCAVATION" localSheetId="9">'[11]หมวด 2'!#REF!</definedName>
    <definedName name="งานDRAINAGE_EXCAVATION" localSheetId="10">'[11]หมวด 2'!#REF!</definedName>
    <definedName name="งานDRAINAGE_EXCAVATION" localSheetId="11">'[11]หมวด 2'!#REF!</definedName>
    <definedName name="งานDRAINAGE_EXCAVATION" localSheetId="12">'[11]หมวด 2'!#REF!</definedName>
    <definedName name="งานDRAINAGE_EXCAVATION" localSheetId="13">'[11]หมวด 2'!#REF!</definedName>
    <definedName name="งานDRAINAGE_EXCAVATION" localSheetId="14">'[11]หมวด 2'!#REF!</definedName>
    <definedName name="งานDRAINAGE_EXCAVATION" localSheetId="15">'[11]หมวด 2'!#REF!</definedName>
    <definedName name="งานDRAINAGE_EXCAVATION" localSheetId="16">'[11]หมวด 2'!#REF!</definedName>
    <definedName name="งานDRAINAGE_EXCAVATION" localSheetId="17">'[11]หมวด 2'!#REF!</definedName>
    <definedName name="งานDRAINAGE_EXCAVATION" localSheetId="8">'[11]หมวด 2'!#REF!</definedName>
    <definedName name="งานDRAINAGE_EXCAVATION" localSheetId="7">'[11]หมวด 2'!#REF!</definedName>
    <definedName name="งานDRAINAGE_EXCAVATION" localSheetId="6">'[11]หมวด 2'!#REF!</definedName>
    <definedName name="งานDRAINAGE_EXCAVATION" localSheetId="20">'[11]หมวด 2'!#REF!</definedName>
    <definedName name="งานDRAINAGE_EXCAVATION" localSheetId="5">'[11]หมวด 2'!#REF!</definedName>
    <definedName name="งานDRAINAGE_EXCAVATION" localSheetId="21">'[11]หมวด 2'!#REF!</definedName>
    <definedName name="งานDRAINAGE_EXCAVATION" localSheetId="34">'[11]หมวด 2'!#REF!</definedName>
    <definedName name="งานDRAINAGE_EXCAVATION" localSheetId="35">'[11]หมวด 2'!#REF!</definedName>
    <definedName name="งานDRAINAGE_EXCAVATION" localSheetId="25">'[11]หมวด 2'!#REF!</definedName>
    <definedName name="งานDRAINAGE_EXCAVATION" localSheetId="27">'[11]หมวด 2'!#REF!</definedName>
    <definedName name="งานDRAINAGE_EXCAVATION" localSheetId="28">'[11]หมวด 2'!#REF!</definedName>
    <definedName name="งานDRAINAGE_EXCAVATION" localSheetId="29">'[11]หมวด 2'!#REF!</definedName>
    <definedName name="งานDRAINAGE_EXCAVATION" localSheetId="31">'[11]หมวด 2'!#REF!</definedName>
    <definedName name="งานDRAINAGE_EXCAVATION" localSheetId="32">'[11]หมวด 2'!#REF!</definedName>
    <definedName name="งานDRAINAGE_EXCAVATION" localSheetId="33">'[11]หมวด 2'!#REF!</definedName>
    <definedName name="งานDRAINAGE_EXCAVATION" localSheetId="24">'[11]หมวด 2'!#REF!</definedName>
    <definedName name="งานDRAINAGE_EXCAVATION" localSheetId="23">'[11]หมวด 2'!#REF!</definedName>
    <definedName name="งานDRAINAGE_EXCAVATION" localSheetId="36">'[11]หมวด 2'!#REF!</definedName>
    <definedName name="งานDRAINAGE_EXCAVATION" localSheetId="22">'[11]หมวด 2'!#REF!</definedName>
    <definedName name="งานDRAINAGE_EXCAVATION" localSheetId="26">'[11]หมวด 2'!#REF!</definedName>
    <definedName name="งานDRAINAGE_EXCAVATION" localSheetId="30">'[11]หมวด 2'!#REF!</definedName>
    <definedName name="งานDRAINAGE_EXCAVATION" localSheetId="85">'[11]หมวด 2'!#REF!</definedName>
    <definedName name="งานDRAINAGE_EXCAVATION" localSheetId="86">'[11]หมวด 2'!#REF!</definedName>
    <definedName name="งานDRAINAGE_EXCAVATION" localSheetId="2">'[11]หมวด 2'!#REF!</definedName>
    <definedName name="งานDRAINAGE_EXCAVATION">'[11]หมวด 2'!#REF!</definedName>
    <definedName name="งานEARTH_EXCAVATION" localSheetId="3">'[11]หมวด 2'!#REF!</definedName>
    <definedName name="งานEARTH_EXCAVATION" localSheetId="4">'[11]หมวด 2'!#REF!</definedName>
    <definedName name="งานEARTH_EXCAVATION" localSheetId="18">'[11]หมวด 2'!#REF!</definedName>
    <definedName name="งานEARTH_EXCAVATION" localSheetId="19">'[11]หมวด 2'!#REF!</definedName>
    <definedName name="งานEARTH_EXCAVATION" localSheetId="9">'[11]หมวด 2'!#REF!</definedName>
    <definedName name="งานEARTH_EXCAVATION" localSheetId="10">'[11]หมวด 2'!#REF!</definedName>
    <definedName name="งานEARTH_EXCAVATION" localSheetId="11">'[11]หมวด 2'!#REF!</definedName>
    <definedName name="งานEARTH_EXCAVATION" localSheetId="12">'[11]หมวด 2'!#REF!</definedName>
    <definedName name="งานEARTH_EXCAVATION" localSheetId="13">'[11]หมวด 2'!#REF!</definedName>
    <definedName name="งานEARTH_EXCAVATION" localSheetId="14">'[11]หมวด 2'!#REF!</definedName>
    <definedName name="งานEARTH_EXCAVATION" localSheetId="15">'[11]หมวด 2'!#REF!</definedName>
    <definedName name="งานEARTH_EXCAVATION" localSheetId="16">'[11]หมวด 2'!#REF!</definedName>
    <definedName name="งานEARTH_EXCAVATION" localSheetId="17">'[11]หมวด 2'!#REF!</definedName>
    <definedName name="งานEARTH_EXCAVATION" localSheetId="8">'[11]หมวด 2'!#REF!</definedName>
    <definedName name="งานEARTH_EXCAVATION" localSheetId="7">'[11]หมวด 2'!#REF!</definedName>
    <definedName name="งานEARTH_EXCAVATION" localSheetId="6">'[11]หมวด 2'!#REF!</definedName>
    <definedName name="งานEARTH_EXCAVATION" localSheetId="20">'[11]หมวด 2'!#REF!</definedName>
    <definedName name="งานEARTH_EXCAVATION" localSheetId="5">'[11]หมวด 2'!#REF!</definedName>
    <definedName name="งานEARTH_EXCAVATION" localSheetId="21">'[11]หมวด 2'!#REF!</definedName>
    <definedName name="งานEARTH_EXCAVATION" localSheetId="34">'[11]หมวด 2'!#REF!</definedName>
    <definedName name="งานEARTH_EXCAVATION" localSheetId="35">'[11]หมวด 2'!#REF!</definedName>
    <definedName name="งานEARTH_EXCAVATION" localSheetId="25">'[11]หมวด 2'!#REF!</definedName>
    <definedName name="งานEARTH_EXCAVATION" localSheetId="27">'[11]หมวด 2'!#REF!</definedName>
    <definedName name="งานEARTH_EXCAVATION" localSheetId="28">'[11]หมวด 2'!#REF!</definedName>
    <definedName name="งานEARTH_EXCAVATION" localSheetId="29">'[11]หมวด 2'!#REF!</definedName>
    <definedName name="งานEARTH_EXCAVATION" localSheetId="31">'[11]หมวด 2'!#REF!</definedName>
    <definedName name="งานEARTH_EXCAVATION" localSheetId="32">'[11]หมวด 2'!#REF!</definedName>
    <definedName name="งานEARTH_EXCAVATION" localSheetId="33">'[11]หมวด 2'!#REF!</definedName>
    <definedName name="งานEARTH_EXCAVATION" localSheetId="24">'[11]หมวด 2'!#REF!</definedName>
    <definedName name="งานEARTH_EXCAVATION" localSheetId="23">'[11]หมวด 2'!#REF!</definedName>
    <definedName name="งานEARTH_EXCAVATION" localSheetId="36">'[11]หมวด 2'!#REF!</definedName>
    <definedName name="งานEARTH_EXCAVATION" localSheetId="22">'[11]หมวด 2'!#REF!</definedName>
    <definedName name="งานEARTH_EXCAVATION" localSheetId="26">'[11]หมวด 2'!#REF!</definedName>
    <definedName name="งานEARTH_EXCAVATION" localSheetId="30">'[11]หมวด 2'!#REF!</definedName>
    <definedName name="งานEARTH_EXCAVATION" localSheetId="85">'[11]หมวด 2'!#REF!</definedName>
    <definedName name="งานEARTH_EXCAVATION" localSheetId="86">'[11]หมวด 2'!#REF!</definedName>
    <definedName name="งานEARTH_EXCAVATION">'[11]หมวด 2'!#REF!</definedName>
    <definedName name="งานHARD_ROCK_EXCAVATION" localSheetId="3">'[11]หมวด 2'!#REF!</definedName>
    <definedName name="งานHARD_ROCK_EXCAVATION" localSheetId="18">'[11]หมวด 2'!#REF!</definedName>
    <definedName name="งานHARD_ROCK_EXCAVATION" localSheetId="19">'[11]หมวด 2'!#REF!</definedName>
    <definedName name="งานHARD_ROCK_EXCAVATION" localSheetId="9">'[11]หมวด 2'!#REF!</definedName>
    <definedName name="งานHARD_ROCK_EXCAVATION" localSheetId="10">'[11]หมวด 2'!#REF!</definedName>
    <definedName name="งานHARD_ROCK_EXCAVATION" localSheetId="11">'[11]หมวด 2'!#REF!</definedName>
    <definedName name="งานHARD_ROCK_EXCAVATION" localSheetId="12">'[11]หมวด 2'!#REF!</definedName>
    <definedName name="งานHARD_ROCK_EXCAVATION" localSheetId="13">'[11]หมวด 2'!#REF!</definedName>
    <definedName name="งานHARD_ROCK_EXCAVATION" localSheetId="14">'[11]หมวด 2'!#REF!</definedName>
    <definedName name="งานHARD_ROCK_EXCAVATION" localSheetId="15">'[11]หมวด 2'!#REF!</definedName>
    <definedName name="งานHARD_ROCK_EXCAVATION" localSheetId="16">'[11]หมวด 2'!#REF!</definedName>
    <definedName name="งานHARD_ROCK_EXCAVATION" localSheetId="17">'[11]หมวด 2'!#REF!</definedName>
    <definedName name="งานHARD_ROCK_EXCAVATION" localSheetId="8">'[11]หมวด 2'!#REF!</definedName>
    <definedName name="งานHARD_ROCK_EXCAVATION" localSheetId="7">'[11]หมวด 2'!#REF!</definedName>
    <definedName name="งานHARD_ROCK_EXCAVATION" localSheetId="6">'[11]หมวด 2'!#REF!</definedName>
    <definedName name="งานHARD_ROCK_EXCAVATION" localSheetId="20">'[11]หมวด 2'!#REF!</definedName>
    <definedName name="งานHARD_ROCK_EXCAVATION" localSheetId="5">'[11]หมวด 2'!#REF!</definedName>
    <definedName name="งานHARD_ROCK_EXCAVATION" localSheetId="21">'[11]หมวด 2'!#REF!</definedName>
    <definedName name="งานHARD_ROCK_EXCAVATION" localSheetId="34">'[11]หมวด 2'!#REF!</definedName>
    <definedName name="งานHARD_ROCK_EXCAVATION" localSheetId="35">'[11]หมวด 2'!#REF!</definedName>
    <definedName name="งานHARD_ROCK_EXCAVATION" localSheetId="25">'[11]หมวด 2'!#REF!</definedName>
    <definedName name="งานHARD_ROCK_EXCAVATION" localSheetId="27">'[11]หมวด 2'!#REF!</definedName>
    <definedName name="งานHARD_ROCK_EXCAVATION" localSheetId="28">'[11]หมวด 2'!#REF!</definedName>
    <definedName name="งานHARD_ROCK_EXCAVATION" localSheetId="29">'[11]หมวด 2'!#REF!</definedName>
    <definedName name="งานHARD_ROCK_EXCAVATION" localSheetId="31">'[11]หมวด 2'!#REF!</definedName>
    <definedName name="งานHARD_ROCK_EXCAVATION" localSheetId="32">'[11]หมวด 2'!#REF!</definedName>
    <definedName name="งานHARD_ROCK_EXCAVATION" localSheetId="33">'[11]หมวด 2'!#REF!</definedName>
    <definedName name="งานHARD_ROCK_EXCAVATION" localSheetId="24">'[11]หมวด 2'!#REF!</definedName>
    <definedName name="งานHARD_ROCK_EXCAVATION" localSheetId="23">'[11]หมวด 2'!#REF!</definedName>
    <definedName name="งานHARD_ROCK_EXCAVATION" localSheetId="36">'[11]หมวด 2'!#REF!</definedName>
    <definedName name="งานHARD_ROCK_EXCAVATION" localSheetId="22">'[11]หมวด 2'!#REF!</definedName>
    <definedName name="งานHARD_ROCK_EXCAVATION" localSheetId="26">'[11]หมวด 2'!#REF!</definedName>
    <definedName name="งานHARD_ROCK_EXCAVATION" localSheetId="30">'[11]หมวด 2'!#REF!</definedName>
    <definedName name="งานHARD_ROCK_EXCAVATION">'[11]หมวด 2'!#REF!</definedName>
    <definedName name="งานMUCK_EXCAVATION" localSheetId="3">'[11]หมวด 2'!#REF!</definedName>
    <definedName name="งานMUCK_EXCAVATION" localSheetId="18">'[11]หมวด 2'!#REF!</definedName>
    <definedName name="งานMUCK_EXCAVATION" localSheetId="19">'[11]หมวด 2'!#REF!</definedName>
    <definedName name="งานMUCK_EXCAVATION" localSheetId="9">'[11]หมวด 2'!#REF!</definedName>
    <definedName name="งานMUCK_EXCAVATION" localSheetId="10">'[11]หมวด 2'!#REF!</definedName>
    <definedName name="งานMUCK_EXCAVATION" localSheetId="11">'[11]หมวด 2'!#REF!</definedName>
    <definedName name="งานMUCK_EXCAVATION" localSheetId="12">'[11]หมวด 2'!#REF!</definedName>
    <definedName name="งานMUCK_EXCAVATION" localSheetId="13">'[11]หมวด 2'!#REF!</definedName>
    <definedName name="งานMUCK_EXCAVATION" localSheetId="14">'[11]หมวด 2'!#REF!</definedName>
    <definedName name="งานMUCK_EXCAVATION" localSheetId="15">'[11]หมวด 2'!#REF!</definedName>
    <definedName name="งานMUCK_EXCAVATION" localSheetId="16">'[11]หมวด 2'!#REF!</definedName>
    <definedName name="งานMUCK_EXCAVATION" localSheetId="17">'[11]หมวด 2'!#REF!</definedName>
    <definedName name="งานMUCK_EXCAVATION" localSheetId="8">'[11]หมวด 2'!#REF!</definedName>
    <definedName name="งานMUCK_EXCAVATION" localSheetId="7">'[11]หมวด 2'!#REF!</definedName>
    <definedName name="งานMUCK_EXCAVATION" localSheetId="6">'[11]หมวด 2'!#REF!</definedName>
    <definedName name="งานMUCK_EXCAVATION" localSheetId="20">'[11]หมวด 2'!#REF!</definedName>
    <definedName name="งานMUCK_EXCAVATION" localSheetId="5">'[11]หมวด 2'!#REF!</definedName>
    <definedName name="งานMUCK_EXCAVATION" localSheetId="21">'[11]หมวด 2'!#REF!</definedName>
    <definedName name="งานMUCK_EXCAVATION" localSheetId="34">'[11]หมวด 2'!#REF!</definedName>
    <definedName name="งานMUCK_EXCAVATION" localSheetId="35">'[11]หมวด 2'!#REF!</definedName>
    <definedName name="งานMUCK_EXCAVATION" localSheetId="25">'[11]หมวด 2'!#REF!</definedName>
    <definedName name="งานMUCK_EXCAVATION" localSheetId="27">'[11]หมวด 2'!#REF!</definedName>
    <definedName name="งานMUCK_EXCAVATION" localSheetId="28">'[11]หมวด 2'!#REF!</definedName>
    <definedName name="งานMUCK_EXCAVATION" localSheetId="29">'[11]หมวด 2'!#REF!</definedName>
    <definedName name="งานMUCK_EXCAVATION" localSheetId="31">'[11]หมวด 2'!#REF!</definedName>
    <definedName name="งานMUCK_EXCAVATION" localSheetId="32">'[11]หมวด 2'!#REF!</definedName>
    <definedName name="งานMUCK_EXCAVATION" localSheetId="33">'[11]หมวด 2'!#REF!</definedName>
    <definedName name="งานMUCK_EXCAVATION" localSheetId="24">'[11]หมวด 2'!#REF!</definedName>
    <definedName name="งานMUCK_EXCAVATION" localSheetId="23">'[11]หมวด 2'!#REF!</definedName>
    <definedName name="งานMUCK_EXCAVATION" localSheetId="36">'[11]หมวด 2'!#REF!</definedName>
    <definedName name="งานMUCK_EXCAVATION" localSheetId="22">'[11]หมวด 2'!#REF!</definedName>
    <definedName name="งานMUCK_EXCAVATION" localSheetId="26">'[11]หมวด 2'!#REF!</definedName>
    <definedName name="งานMUCK_EXCAVATION" localSheetId="30">'[11]หมวด 2'!#REF!</definedName>
    <definedName name="งานMUCK_EXCAVATION">'[11]หมวด 2'!#REF!</definedName>
    <definedName name="งานSOFT_ROCK_EXCAVATION" localSheetId="3">'[11]หมวด 2'!#REF!</definedName>
    <definedName name="งานSOFT_ROCK_EXCAVATION">'[11]หมวด 2'!#REF!</definedName>
    <definedName name="งานSOIL_AGGREGATE_SHOULDER" localSheetId="3">#REF!</definedName>
    <definedName name="งานSOIL_AGGREGATE_SHOULDER" localSheetId="4">#REF!</definedName>
    <definedName name="งานSOIL_AGGREGATE_SHOULDER" localSheetId="18">#REF!</definedName>
    <definedName name="งานSOIL_AGGREGATE_SHOULDER" localSheetId="19">#REF!</definedName>
    <definedName name="งานSOIL_AGGREGATE_SHOULDER" localSheetId="9">#REF!</definedName>
    <definedName name="งานSOIL_AGGREGATE_SHOULDER" localSheetId="10">#REF!</definedName>
    <definedName name="งานSOIL_AGGREGATE_SHOULDER" localSheetId="11">#REF!</definedName>
    <definedName name="งานSOIL_AGGREGATE_SHOULDER" localSheetId="12">#REF!</definedName>
    <definedName name="งานSOIL_AGGREGATE_SHOULDER" localSheetId="13">#REF!</definedName>
    <definedName name="งานSOIL_AGGREGATE_SHOULDER" localSheetId="14">#REF!</definedName>
    <definedName name="งานSOIL_AGGREGATE_SHOULDER" localSheetId="15">#REF!</definedName>
    <definedName name="งานSOIL_AGGREGATE_SHOULDER" localSheetId="16">#REF!</definedName>
    <definedName name="งานSOIL_AGGREGATE_SHOULDER" localSheetId="17">#REF!</definedName>
    <definedName name="งานSOIL_AGGREGATE_SHOULDER" localSheetId="8">#REF!</definedName>
    <definedName name="งานSOIL_AGGREGATE_SHOULDER" localSheetId="7">#REF!</definedName>
    <definedName name="งานSOIL_AGGREGATE_SHOULDER" localSheetId="6">#REF!</definedName>
    <definedName name="งานSOIL_AGGREGATE_SHOULDER" localSheetId="20">#REF!</definedName>
    <definedName name="งานSOIL_AGGREGATE_SHOULDER" localSheetId="5">#REF!</definedName>
    <definedName name="งานSOIL_AGGREGATE_SHOULDER" localSheetId="21">#REF!</definedName>
    <definedName name="งานSOIL_AGGREGATE_SHOULDER" localSheetId="34">#REF!</definedName>
    <definedName name="งานSOIL_AGGREGATE_SHOULDER" localSheetId="35">#REF!</definedName>
    <definedName name="งานSOIL_AGGREGATE_SHOULDER" localSheetId="25">#REF!</definedName>
    <definedName name="งานSOIL_AGGREGATE_SHOULDER" localSheetId="27">#REF!</definedName>
    <definedName name="งานSOIL_AGGREGATE_SHOULDER" localSheetId="28">#REF!</definedName>
    <definedName name="งานSOIL_AGGREGATE_SHOULDER" localSheetId="29">#REF!</definedName>
    <definedName name="งานSOIL_AGGREGATE_SHOULDER" localSheetId="31">#REF!</definedName>
    <definedName name="งานSOIL_AGGREGATE_SHOULDER" localSheetId="32">#REF!</definedName>
    <definedName name="งานSOIL_AGGREGATE_SHOULDER" localSheetId="33">#REF!</definedName>
    <definedName name="งานSOIL_AGGREGATE_SHOULDER" localSheetId="24">#REF!</definedName>
    <definedName name="งานSOIL_AGGREGATE_SHOULDER" localSheetId="23">#REF!</definedName>
    <definedName name="งานSOIL_AGGREGATE_SHOULDER" localSheetId="36">#REF!</definedName>
    <definedName name="งานSOIL_AGGREGATE_SHOULDER" localSheetId="22">#REF!</definedName>
    <definedName name="งานSOIL_AGGREGATE_SHOULDER" localSheetId="26">#REF!</definedName>
    <definedName name="งานSOIL_AGGREGATE_SHOULDER" localSheetId="30">#REF!</definedName>
    <definedName name="งานSOIL_AGGREGATE_SHOULDER" localSheetId="41">#REF!</definedName>
    <definedName name="งานSOIL_AGGREGATE_SHOULDER" localSheetId="50">#REF!</definedName>
    <definedName name="งานSOIL_AGGREGATE_SHOULDER" localSheetId="51">#REF!</definedName>
    <definedName name="งานSOIL_AGGREGATE_SHOULDER" localSheetId="42">#REF!</definedName>
    <definedName name="งานSOIL_AGGREGATE_SHOULDER" localSheetId="43">#REF!</definedName>
    <definedName name="งานSOIL_AGGREGATE_SHOULDER" localSheetId="44">#REF!</definedName>
    <definedName name="งานSOIL_AGGREGATE_SHOULDER" localSheetId="45">#REF!</definedName>
    <definedName name="งานSOIL_AGGREGATE_SHOULDER" localSheetId="46">#REF!</definedName>
    <definedName name="งานSOIL_AGGREGATE_SHOULDER" localSheetId="47">#REF!</definedName>
    <definedName name="งานSOIL_AGGREGATE_SHOULDER" localSheetId="48">#REF!</definedName>
    <definedName name="งานSOIL_AGGREGATE_SHOULDER" localSheetId="49">#REF!</definedName>
    <definedName name="งานSOIL_AGGREGATE_SHOULDER" localSheetId="52">#REF!</definedName>
    <definedName name="งานSOIL_AGGREGATE_SHOULDER" localSheetId="40">#REF!</definedName>
    <definedName name="งานSOIL_AGGREGATE_SHOULDER" localSheetId="39">#REF!</definedName>
    <definedName name="งานSOIL_AGGREGATE_SHOULDER" localSheetId="38">#REF!</definedName>
    <definedName name="งานSOIL_AGGREGATE_SHOULDER" localSheetId="37">#REF!</definedName>
    <definedName name="งานSOIL_AGGREGATE_SHOULDER" localSheetId="57">#REF!</definedName>
    <definedName name="งานSOIL_AGGREGATE_SHOULDER" localSheetId="66">#REF!</definedName>
    <definedName name="งานSOIL_AGGREGATE_SHOULDER" localSheetId="67">#REF!</definedName>
    <definedName name="งานSOIL_AGGREGATE_SHOULDER" localSheetId="58">#REF!</definedName>
    <definedName name="งานSOIL_AGGREGATE_SHOULDER" localSheetId="59">#REF!</definedName>
    <definedName name="งานSOIL_AGGREGATE_SHOULDER" localSheetId="60">#REF!</definedName>
    <definedName name="งานSOIL_AGGREGATE_SHOULDER" localSheetId="61">#REF!</definedName>
    <definedName name="งานSOIL_AGGREGATE_SHOULDER" localSheetId="62">#REF!</definedName>
    <definedName name="งานSOIL_AGGREGATE_SHOULDER" localSheetId="63">#REF!</definedName>
    <definedName name="งานSOIL_AGGREGATE_SHOULDER" localSheetId="64">#REF!</definedName>
    <definedName name="งานSOIL_AGGREGATE_SHOULDER" localSheetId="65">#REF!</definedName>
    <definedName name="งานSOIL_AGGREGATE_SHOULDER" localSheetId="68">#REF!</definedName>
    <definedName name="งานSOIL_AGGREGATE_SHOULDER" localSheetId="56">#REF!</definedName>
    <definedName name="งานSOIL_AGGREGATE_SHOULDER" localSheetId="55">#REF!</definedName>
    <definedName name="งานSOIL_AGGREGATE_SHOULDER" localSheetId="54">#REF!</definedName>
    <definedName name="งานSOIL_AGGREGATE_SHOULDER" localSheetId="69">#REF!</definedName>
    <definedName name="งานSOIL_AGGREGATE_SHOULDER" localSheetId="53">#REF!</definedName>
    <definedName name="งานSOIL_AGGREGATE_SHOULDER" localSheetId="85">#REF!</definedName>
    <definedName name="งานSOIL_AGGREGATE_SHOULDER" localSheetId="86">#REF!</definedName>
    <definedName name="งานSOIL_AGGREGATE_SHOULDER" localSheetId="2">#REF!</definedName>
    <definedName name="งานSOIL_AGGREGATE_SHOULDER">#REF!</definedName>
    <definedName name="งานSOIL_CEMENT_BASE" localSheetId="3">#REF!</definedName>
    <definedName name="งานSOIL_CEMENT_BASE" localSheetId="4">#REF!</definedName>
    <definedName name="งานSOIL_CEMENT_BASE" localSheetId="18">#REF!</definedName>
    <definedName name="งานSOIL_CEMENT_BASE" localSheetId="19">#REF!</definedName>
    <definedName name="งานSOIL_CEMENT_BASE" localSheetId="9">#REF!</definedName>
    <definedName name="งานSOIL_CEMENT_BASE" localSheetId="10">#REF!</definedName>
    <definedName name="งานSOIL_CEMENT_BASE" localSheetId="11">#REF!</definedName>
    <definedName name="งานSOIL_CEMENT_BASE" localSheetId="12">#REF!</definedName>
    <definedName name="งานSOIL_CEMENT_BASE" localSheetId="13">#REF!</definedName>
    <definedName name="งานSOIL_CEMENT_BASE" localSheetId="14">#REF!</definedName>
    <definedName name="งานSOIL_CEMENT_BASE" localSheetId="15">#REF!</definedName>
    <definedName name="งานSOIL_CEMENT_BASE" localSheetId="16">#REF!</definedName>
    <definedName name="งานSOIL_CEMENT_BASE" localSheetId="17">#REF!</definedName>
    <definedName name="งานSOIL_CEMENT_BASE" localSheetId="8">#REF!</definedName>
    <definedName name="งานSOIL_CEMENT_BASE" localSheetId="7">#REF!</definedName>
    <definedName name="งานSOIL_CEMENT_BASE" localSheetId="6">#REF!</definedName>
    <definedName name="งานSOIL_CEMENT_BASE" localSheetId="20">#REF!</definedName>
    <definedName name="งานSOIL_CEMENT_BASE" localSheetId="5">#REF!</definedName>
    <definedName name="งานSOIL_CEMENT_BASE" localSheetId="21">#REF!</definedName>
    <definedName name="งานSOIL_CEMENT_BASE" localSheetId="34">#REF!</definedName>
    <definedName name="งานSOIL_CEMENT_BASE" localSheetId="35">#REF!</definedName>
    <definedName name="งานSOIL_CEMENT_BASE" localSheetId="25">#REF!</definedName>
    <definedName name="งานSOIL_CEMENT_BASE" localSheetId="27">#REF!</definedName>
    <definedName name="งานSOIL_CEMENT_BASE" localSheetId="28">#REF!</definedName>
    <definedName name="งานSOIL_CEMENT_BASE" localSheetId="29">#REF!</definedName>
    <definedName name="งานSOIL_CEMENT_BASE" localSheetId="31">#REF!</definedName>
    <definedName name="งานSOIL_CEMENT_BASE" localSheetId="32">#REF!</definedName>
    <definedName name="งานSOIL_CEMENT_BASE" localSheetId="33">#REF!</definedName>
    <definedName name="งานSOIL_CEMENT_BASE" localSheetId="24">#REF!</definedName>
    <definedName name="งานSOIL_CEMENT_BASE" localSheetId="23">#REF!</definedName>
    <definedName name="งานSOIL_CEMENT_BASE" localSheetId="36">#REF!</definedName>
    <definedName name="งานSOIL_CEMENT_BASE" localSheetId="22">#REF!</definedName>
    <definedName name="งานSOIL_CEMENT_BASE" localSheetId="26">#REF!</definedName>
    <definedName name="งานSOIL_CEMENT_BASE" localSheetId="30">#REF!</definedName>
    <definedName name="งานSOIL_CEMENT_BASE" localSheetId="85">#REF!</definedName>
    <definedName name="งานSOIL_CEMENT_BASE" localSheetId="86">#REF!</definedName>
    <definedName name="งานSOIL_CEMENT_BASE" localSheetId="2">#REF!</definedName>
    <definedName name="งานSOIL_CEMENT_BASE">#REF!</definedName>
    <definedName name="งานUNCLASSIFIED_EXCAVATION" localSheetId="3">'[11]หมวด 2'!#REF!</definedName>
    <definedName name="งานUNCLASSIFIED_EXCAVATION" localSheetId="4">'[11]หมวด 2'!#REF!</definedName>
    <definedName name="งานUNCLASSIFIED_EXCAVATION" localSheetId="18">'[11]หมวด 2'!#REF!</definedName>
    <definedName name="งานUNCLASSIFIED_EXCAVATION" localSheetId="19">'[11]หมวด 2'!#REF!</definedName>
    <definedName name="งานUNCLASSIFIED_EXCAVATION" localSheetId="9">'[11]หมวด 2'!#REF!</definedName>
    <definedName name="งานUNCLASSIFIED_EXCAVATION" localSheetId="10">'[11]หมวด 2'!#REF!</definedName>
    <definedName name="งานUNCLASSIFIED_EXCAVATION" localSheetId="11">'[11]หมวด 2'!#REF!</definedName>
    <definedName name="งานUNCLASSIFIED_EXCAVATION" localSheetId="12">'[11]หมวด 2'!#REF!</definedName>
    <definedName name="งานUNCLASSIFIED_EXCAVATION" localSheetId="13">'[11]หมวด 2'!#REF!</definedName>
    <definedName name="งานUNCLASSIFIED_EXCAVATION" localSheetId="14">'[11]หมวด 2'!#REF!</definedName>
    <definedName name="งานUNCLASSIFIED_EXCAVATION" localSheetId="15">'[11]หมวด 2'!#REF!</definedName>
    <definedName name="งานUNCLASSIFIED_EXCAVATION" localSheetId="16">'[11]หมวด 2'!#REF!</definedName>
    <definedName name="งานUNCLASSIFIED_EXCAVATION" localSheetId="17">'[11]หมวด 2'!#REF!</definedName>
    <definedName name="งานUNCLASSIFIED_EXCAVATION" localSheetId="8">'[11]หมวด 2'!#REF!</definedName>
    <definedName name="งานUNCLASSIFIED_EXCAVATION" localSheetId="7">'[11]หมวด 2'!#REF!</definedName>
    <definedName name="งานUNCLASSIFIED_EXCAVATION" localSheetId="6">'[11]หมวด 2'!#REF!</definedName>
    <definedName name="งานUNCLASSIFIED_EXCAVATION" localSheetId="20">'[11]หมวด 2'!#REF!</definedName>
    <definedName name="งานUNCLASSIFIED_EXCAVATION" localSheetId="5">'[11]หมวด 2'!#REF!</definedName>
    <definedName name="งานUNCLASSIFIED_EXCAVATION" localSheetId="21">'[11]หมวด 2'!#REF!</definedName>
    <definedName name="งานUNCLASSIFIED_EXCAVATION" localSheetId="34">'[11]หมวด 2'!#REF!</definedName>
    <definedName name="งานUNCLASSIFIED_EXCAVATION" localSheetId="35">'[11]หมวด 2'!#REF!</definedName>
    <definedName name="งานUNCLASSIFIED_EXCAVATION" localSheetId="25">'[11]หมวด 2'!#REF!</definedName>
    <definedName name="งานUNCLASSIFIED_EXCAVATION" localSheetId="27">'[11]หมวด 2'!#REF!</definedName>
    <definedName name="งานUNCLASSIFIED_EXCAVATION" localSheetId="28">'[11]หมวด 2'!#REF!</definedName>
    <definedName name="งานUNCLASSIFIED_EXCAVATION" localSheetId="29">'[11]หมวด 2'!#REF!</definedName>
    <definedName name="งานUNCLASSIFIED_EXCAVATION" localSheetId="31">'[11]หมวด 2'!#REF!</definedName>
    <definedName name="งานUNCLASSIFIED_EXCAVATION" localSheetId="32">'[11]หมวด 2'!#REF!</definedName>
    <definedName name="งานUNCLASSIFIED_EXCAVATION" localSheetId="33">'[11]หมวด 2'!#REF!</definedName>
    <definedName name="งานUNCLASSIFIED_EXCAVATION" localSheetId="24">'[11]หมวด 2'!#REF!</definedName>
    <definedName name="งานUNCLASSIFIED_EXCAVATION" localSheetId="23">'[11]หมวด 2'!#REF!</definedName>
    <definedName name="งานUNCLASSIFIED_EXCAVATION" localSheetId="36">'[11]หมวด 2'!#REF!</definedName>
    <definedName name="งานUNCLASSIFIED_EXCAVATION" localSheetId="22">'[11]หมวด 2'!#REF!</definedName>
    <definedName name="งานUNCLASSIFIED_EXCAVATION" localSheetId="26">'[11]หมวด 2'!#REF!</definedName>
    <definedName name="งานUNCLASSIFIED_EXCAVATION" localSheetId="30">'[11]หมวด 2'!#REF!</definedName>
    <definedName name="งานUNCLASSIFIED_EXCAVATION" localSheetId="85">'[11]หมวด 2'!#REF!</definedName>
    <definedName name="งานUNCLASSIFIED_EXCAVATION" localSheetId="86">'[11]หมวด 2'!#REF!</definedName>
    <definedName name="งานUNCLASSIFIED_EXCAVATION" localSheetId="2">'[11]หมวด 2'!#REF!</definedName>
    <definedName name="งานUNCLASSIFIED_EXCAVATION">'[11]หมวด 2'!#REF!</definedName>
    <definedName name="งานUNSUITABLE_EXCAVATION" localSheetId="3">'[11]หมวด 2'!#REF!</definedName>
    <definedName name="งานUNSUITABLE_EXCAVATION" localSheetId="4">'[11]หมวด 2'!#REF!</definedName>
    <definedName name="งานUNSUITABLE_EXCAVATION" localSheetId="18">'[11]หมวด 2'!#REF!</definedName>
    <definedName name="งานUNSUITABLE_EXCAVATION" localSheetId="19">'[11]หมวด 2'!#REF!</definedName>
    <definedName name="งานUNSUITABLE_EXCAVATION" localSheetId="9">'[11]หมวด 2'!#REF!</definedName>
    <definedName name="งานUNSUITABLE_EXCAVATION" localSheetId="10">'[11]หมวด 2'!#REF!</definedName>
    <definedName name="งานUNSUITABLE_EXCAVATION" localSheetId="11">'[11]หมวด 2'!#REF!</definedName>
    <definedName name="งานUNSUITABLE_EXCAVATION" localSheetId="12">'[11]หมวด 2'!#REF!</definedName>
    <definedName name="งานUNSUITABLE_EXCAVATION" localSheetId="13">'[11]หมวด 2'!#REF!</definedName>
    <definedName name="งานUNSUITABLE_EXCAVATION" localSheetId="14">'[11]หมวด 2'!#REF!</definedName>
    <definedName name="งานUNSUITABLE_EXCAVATION" localSheetId="15">'[11]หมวด 2'!#REF!</definedName>
    <definedName name="งานUNSUITABLE_EXCAVATION" localSheetId="16">'[11]หมวด 2'!#REF!</definedName>
    <definedName name="งานUNSUITABLE_EXCAVATION" localSheetId="17">'[11]หมวด 2'!#REF!</definedName>
    <definedName name="งานUNSUITABLE_EXCAVATION" localSheetId="8">'[11]หมวด 2'!#REF!</definedName>
    <definedName name="งานUNSUITABLE_EXCAVATION" localSheetId="7">'[11]หมวด 2'!#REF!</definedName>
    <definedName name="งานUNSUITABLE_EXCAVATION" localSheetId="6">'[11]หมวด 2'!#REF!</definedName>
    <definedName name="งานUNSUITABLE_EXCAVATION" localSheetId="20">'[11]หมวด 2'!#REF!</definedName>
    <definedName name="งานUNSUITABLE_EXCAVATION" localSheetId="5">'[11]หมวด 2'!#REF!</definedName>
    <definedName name="งานUNSUITABLE_EXCAVATION" localSheetId="21">'[11]หมวด 2'!#REF!</definedName>
    <definedName name="งานUNSUITABLE_EXCAVATION" localSheetId="34">'[11]หมวด 2'!#REF!</definedName>
    <definedName name="งานUNSUITABLE_EXCAVATION" localSheetId="35">'[11]หมวด 2'!#REF!</definedName>
    <definedName name="งานUNSUITABLE_EXCAVATION" localSheetId="25">'[11]หมวด 2'!#REF!</definedName>
    <definedName name="งานUNSUITABLE_EXCAVATION" localSheetId="27">'[11]หมวด 2'!#REF!</definedName>
    <definedName name="งานUNSUITABLE_EXCAVATION" localSheetId="28">'[11]หมวด 2'!#REF!</definedName>
    <definedName name="งานUNSUITABLE_EXCAVATION" localSheetId="29">'[11]หมวด 2'!#REF!</definedName>
    <definedName name="งานUNSUITABLE_EXCAVATION" localSheetId="31">'[11]หมวด 2'!#REF!</definedName>
    <definedName name="งานUNSUITABLE_EXCAVATION" localSheetId="32">'[11]หมวด 2'!#REF!</definedName>
    <definedName name="งานUNSUITABLE_EXCAVATION" localSheetId="33">'[11]หมวด 2'!#REF!</definedName>
    <definedName name="งานUNSUITABLE_EXCAVATION" localSheetId="24">'[11]หมวด 2'!#REF!</definedName>
    <definedName name="งานUNSUITABLE_EXCAVATION" localSheetId="23">'[11]หมวด 2'!#REF!</definedName>
    <definedName name="งานUNSUITABLE_EXCAVATION" localSheetId="36">'[11]หมวด 2'!#REF!</definedName>
    <definedName name="งานUNSUITABLE_EXCAVATION" localSheetId="22">'[11]หมวด 2'!#REF!</definedName>
    <definedName name="งานUNSUITABLE_EXCAVATION" localSheetId="26">'[11]หมวด 2'!#REF!</definedName>
    <definedName name="งานUNSUITABLE_EXCAVATION" localSheetId="30">'[11]หมวด 2'!#REF!</definedName>
    <definedName name="งานUNSUITABLE_EXCAVATION" localSheetId="85">'[11]หมวด 2'!#REF!</definedName>
    <definedName name="งานUNSUITABLE_EXCAVATION" localSheetId="86">'[11]หมวด 2'!#REF!</definedName>
    <definedName name="งานUNSUITABLE_EXCAVATION">'[11]หมวด 2'!#REF!</definedName>
    <definedName name="งานเรียงหิน" localSheetId="3">#REF!</definedName>
    <definedName name="งานเรียงหิน" localSheetId="4">#REF!</definedName>
    <definedName name="งานเรียงหิน" localSheetId="18">#REF!</definedName>
    <definedName name="งานเรียงหิน" localSheetId="19">#REF!</definedName>
    <definedName name="งานเรียงหิน" localSheetId="9">#REF!</definedName>
    <definedName name="งานเรียงหิน" localSheetId="10">#REF!</definedName>
    <definedName name="งานเรียงหิน" localSheetId="11">#REF!</definedName>
    <definedName name="งานเรียงหิน" localSheetId="12">#REF!</definedName>
    <definedName name="งานเรียงหิน" localSheetId="13">#REF!</definedName>
    <definedName name="งานเรียงหิน" localSheetId="14">#REF!</definedName>
    <definedName name="งานเรียงหิน" localSheetId="15">#REF!</definedName>
    <definedName name="งานเรียงหิน" localSheetId="16">#REF!</definedName>
    <definedName name="งานเรียงหิน" localSheetId="17">#REF!</definedName>
    <definedName name="งานเรียงหิน" localSheetId="8">#REF!</definedName>
    <definedName name="งานเรียงหิน" localSheetId="7">#REF!</definedName>
    <definedName name="งานเรียงหิน" localSheetId="6">#REF!</definedName>
    <definedName name="งานเรียงหิน" localSheetId="20">#REF!</definedName>
    <definedName name="งานเรียงหิน" localSheetId="5">#REF!</definedName>
    <definedName name="งานเรียงหิน" localSheetId="21">#REF!</definedName>
    <definedName name="งานเรียงหิน" localSheetId="34">#REF!</definedName>
    <definedName name="งานเรียงหิน" localSheetId="35">#REF!</definedName>
    <definedName name="งานเรียงหิน" localSheetId="25">#REF!</definedName>
    <definedName name="งานเรียงหิน" localSheetId="27">#REF!</definedName>
    <definedName name="งานเรียงหิน" localSheetId="28">#REF!</definedName>
    <definedName name="งานเรียงหิน" localSheetId="29">#REF!</definedName>
    <definedName name="งานเรียงหิน" localSheetId="31">#REF!</definedName>
    <definedName name="งานเรียงหิน" localSheetId="32">#REF!</definedName>
    <definedName name="งานเรียงหิน" localSheetId="33">#REF!</definedName>
    <definedName name="งานเรียงหิน" localSheetId="24">#REF!</definedName>
    <definedName name="งานเรียงหิน" localSheetId="23">#REF!</definedName>
    <definedName name="งานเรียงหิน" localSheetId="36">#REF!</definedName>
    <definedName name="งานเรียงหิน" localSheetId="22">#REF!</definedName>
    <definedName name="งานเรียงหิน" localSheetId="26">#REF!</definedName>
    <definedName name="งานเรียงหิน" localSheetId="30">#REF!</definedName>
    <definedName name="งานเรียงหิน" localSheetId="41">#REF!</definedName>
    <definedName name="งานเรียงหิน" localSheetId="50">#REF!</definedName>
    <definedName name="งานเรียงหิน" localSheetId="51">#REF!</definedName>
    <definedName name="งานเรียงหิน" localSheetId="42">#REF!</definedName>
    <definedName name="งานเรียงหิน" localSheetId="43">#REF!</definedName>
    <definedName name="งานเรียงหิน" localSheetId="44">#REF!</definedName>
    <definedName name="งานเรียงหิน" localSheetId="45">#REF!</definedName>
    <definedName name="งานเรียงหิน" localSheetId="46">#REF!</definedName>
    <definedName name="งานเรียงหิน" localSheetId="47">#REF!</definedName>
    <definedName name="งานเรียงหิน" localSheetId="48">#REF!</definedName>
    <definedName name="งานเรียงหิน" localSheetId="49">#REF!</definedName>
    <definedName name="งานเรียงหิน" localSheetId="52">#REF!</definedName>
    <definedName name="งานเรียงหิน" localSheetId="40">#REF!</definedName>
    <definedName name="งานเรียงหิน" localSheetId="39">#REF!</definedName>
    <definedName name="งานเรียงหิน" localSheetId="38">#REF!</definedName>
    <definedName name="งานเรียงหิน" localSheetId="37">#REF!</definedName>
    <definedName name="งานเรียงหิน" localSheetId="57">#REF!</definedName>
    <definedName name="งานเรียงหิน" localSheetId="66">#REF!</definedName>
    <definedName name="งานเรียงหิน" localSheetId="67">#REF!</definedName>
    <definedName name="งานเรียงหิน" localSheetId="58">#REF!</definedName>
    <definedName name="งานเรียงหิน" localSheetId="59">#REF!</definedName>
    <definedName name="งานเรียงหิน" localSheetId="60">#REF!</definedName>
    <definedName name="งานเรียงหิน" localSheetId="61">#REF!</definedName>
    <definedName name="งานเรียงหิน" localSheetId="62">#REF!</definedName>
    <definedName name="งานเรียงหิน" localSheetId="63">#REF!</definedName>
    <definedName name="งานเรียงหิน" localSheetId="64">#REF!</definedName>
    <definedName name="งานเรียงหิน" localSheetId="65">#REF!</definedName>
    <definedName name="งานเรียงหิน" localSheetId="68">#REF!</definedName>
    <definedName name="งานเรียงหิน" localSheetId="56">#REF!</definedName>
    <definedName name="งานเรียงหิน" localSheetId="55">#REF!</definedName>
    <definedName name="งานเรียงหิน" localSheetId="54">#REF!</definedName>
    <definedName name="งานเรียงหิน" localSheetId="69">#REF!</definedName>
    <definedName name="งานเรียงหิน" localSheetId="53">#REF!</definedName>
    <definedName name="งานเรียงหิน" localSheetId="85">#REF!</definedName>
    <definedName name="งานเรียงหิน" localSheetId="86">#REF!</definedName>
    <definedName name="งานเรียงหิน" localSheetId="2">#REF!</definedName>
    <definedName name="งานเรียงหิน">#REF!</definedName>
    <definedName name="งานแผ่นผิวทางคอนกรีตเสริมเหล็ก" localSheetId="3">#REF!</definedName>
    <definedName name="งานแผ่นผิวทางคอนกรีตเสริมเหล็ก" localSheetId="4">#REF!</definedName>
    <definedName name="งานแผ่นผิวทางคอนกรีตเสริมเหล็ก" localSheetId="18">#REF!</definedName>
    <definedName name="งานแผ่นผิวทางคอนกรีตเสริมเหล็ก" localSheetId="19">#REF!</definedName>
    <definedName name="งานแผ่นผิวทางคอนกรีตเสริมเหล็ก" localSheetId="9">#REF!</definedName>
    <definedName name="งานแผ่นผิวทางคอนกรีตเสริมเหล็ก" localSheetId="10">#REF!</definedName>
    <definedName name="งานแผ่นผิวทางคอนกรีตเสริมเหล็ก" localSheetId="11">#REF!</definedName>
    <definedName name="งานแผ่นผิวทางคอนกรีตเสริมเหล็ก" localSheetId="12">#REF!</definedName>
    <definedName name="งานแผ่นผิวทางคอนกรีตเสริมเหล็ก" localSheetId="13">#REF!</definedName>
    <definedName name="งานแผ่นผิวทางคอนกรีตเสริมเหล็ก" localSheetId="14">#REF!</definedName>
    <definedName name="งานแผ่นผิวทางคอนกรีตเสริมเหล็ก" localSheetId="15">#REF!</definedName>
    <definedName name="งานแผ่นผิวทางคอนกรีตเสริมเหล็ก" localSheetId="16">#REF!</definedName>
    <definedName name="งานแผ่นผิวทางคอนกรีตเสริมเหล็ก" localSheetId="17">#REF!</definedName>
    <definedName name="งานแผ่นผิวทางคอนกรีตเสริมเหล็ก" localSheetId="8">#REF!</definedName>
    <definedName name="งานแผ่นผิวทางคอนกรีตเสริมเหล็ก" localSheetId="7">#REF!</definedName>
    <definedName name="งานแผ่นผิวทางคอนกรีตเสริมเหล็ก" localSheetId="6">#REF!</definedName>
    <definedName name="งานแผ่นผิวทางคอนกรีตเสริมเหล็ก" localSheetId="20">#REF!</definedName>
    <definedName name="งานแผ่นผิวทางคอนกรีตเสริมเหล็ก" localSheetId="5">#REF!</definedName>
    <definedName name="งานแผ่นผิวทางคอนกรีตเสริมเหล็ก" localSheetId="21">#REF!</definedName>
    <definedName name="งานแผ่นผิวทางคอนกรีตเสริมเหล็ก" localSheetId="34">#REF!</definedName>
    <definedName name="งานแผ่นผิวทางคอนกรีตเสริมเหล็ก" localSheetId="35">#REF!</definedName>
    <definedName name="งานแผ่นผิวทางคอนกรีตเสริมเหล็ก" localSheetId="25">#REF!</definedName>
    <definedName name="งานแผ่นผิวทางคอนกรีตเสริมเหล็ก" localSheetId="27">#REF!</definedName>
    <definedName name="งานแผ่นผิวทางคอนกรีตเสริมเหล็ก" localSheetId="28">#REF!</definedName>
    <definedName name="งานแผ่นผิวทางคอนกรีตเสริมเหล็ก" localSheetId="29">#REF!</definedName>
    <definedName name="งานแผ่นผิวทางคอนกรีตเสริมเหล็ก" localSheetId="31">#REF!</definedName>
    <definedName name="งานแผ่นผิวทางคอนกรีตเสริมเหล็ก" localSheetId="32">#REF!</definedName>
    <definedName name="งานแผ่นผิวทางคอนกรีตเสริมเหล็ก" localSheetId="33">#REF!</definedName>
    <definedName name="งานแผ่นผิวทางคอนกรีตเสริมเหล็ก" localSheetId="24">#REF!</definedName>
    <definedName name="งานแผ่นผิวทางคอนกรีตเสริมเหล็ก" localSheetId="23">#REF!</definedName>
    <definedName name="งานแผ่นผิวทางคอนกรีตเสริมเหล็ก" localSheetId="36">#REF!</definedName>
    <definedName name="งานแผ่นผิวทางคอนกรีตเสริมเหล็ก" localSheetId="22">#REF!</definedName>
    <definedName name="งานแผ่นผิวทางคอนกรีตเสริมเหล็ก" localSheetId="26">#REF!</definedName>
    <definedName name="งานแผ่นผิวทางคอนกรีตเสริมเหล็ก" localSheetId="30">#REF!</definedName>
    <definedName name="งานแผ่นผิวทางคอนกรีตเสริมเหล็ก" localSheetId="85">#REF!</definedName>
    <definedName name="งานแผ่นผิวทางคอนกรีตเสริมเหล็ก" localSheetId="86">#REF!</definedName>
    <definedName name="งานแผ่นผิวทางคอนกรีตเสริมเหล็ก" localSheetId="2">#REF!</definedName>
    <definedName name="งานแผ่นผิวทางคอนกรีตเสริมเหล็ก">#REF!</definedName>
    <definedName name="งานโครงสร้างแท่นวางและกะบะต้นไม้" localSheetId="3">#REF!</definedName>
    <definedName name="งานโครงสร้างแท่นวางและกะบะต้นไม้" localSheetId="4">#REF!</definedName>
    <definedName name="งานโครงสร้างแท่นวางและกะบะต้นไม้" localSheetId="85">#REF!</definedName>
    <definedName name="งานโครงสร้างแท่นวางและกะบะต้นไม้" localSheetId="86">#REF!</definedName>
    <definedName name="งานโครงสร้างแท่นวางและกะบะต้นไม้" localSheetId="2">#REF!</definedName>
    <definedName name="งานโครงสร้างแท่นวางและกะบะต้นไม้">#REF!</definedName>
    <definedName name="งานกำแพงปลายท่อขนาด1_0.60ม." localSheetId="3">'[11]หมวด 6(2)'!#REF!</definedName>
    <definedName name="งานกำแพงปลายท่อขนาด1_0.60ม." localSheetId="85">'[11]หมวด 6(2)'!#REF!</definedName>
    <definedName name="งานกำแพงปลายท่อขนาด1_0.60ม." localSheetId="86">'[11]หมวด 6(2)'!#REF!</definedName>
    <definedName name="งานกำแพงปลายท่อขนาด1_0.60ม." localSheetId="2">'[11]หมวด 6(2)'!#REF!</definedName>
    <definedName name="งานกำแพงปลายท่อขนาด1_0.60ม.">'[11]หมวด 6(2)'!#REF!</definedName>
    <definedName name="งานกำแพงปลายท่อขนาด1_0.80ม." localSheetId="3">'[11]หมวด 6(2)'!#REF!</definedName>
    <definedName name="งานกำแพงปลายท่อขนาด1_0.80ม." localSheetId="85">'[11]หมวด 6(2)'!#REF!</definedName>
    <definedName name="งานกำแพงปลายท่อขนาด1_0.80ม." localSheetId="86">'[11]หมวด 6(2)'!#REF!</definedName>
    <definedName name="งานกำแพงปลายท่อขนาด1_0.80ม.">'[11]หมวด 6(2)'!#REF!</definedName>
    <definedName name="งานกำแพงปลายท่อขนาด1_1.00ม." localSheetId="3">'[11]หมวด 6(2)'!#REF!</definedName>
    <definedName name="งานกำแพงปลายท่อขนาด1_1.00ม." localSheetId="85">'[11]หมวด 6(2)'!#REF!</definedName>
    <definedName name="งานกำแพงปลายท่อขนาด1_1.00ม." localSheetId="86">'[11]หมวด 6(2)'!#REF!</definedName>
    <definedName name="งานกำแพงปลายท่อขนาด1_1.00ม.">'[11]หมวด 6(2)'!#REF!</definedName>
    <definedName name="งานกำแพงปลายท่อขนาด1_1.20ม." localSheetId="3">'[11]หมวด 6(2)'!#REF!</definedName>
    <definedName name="งานกำแพงปลายท่อขนาด1_1.20ม." localSheetId="85">'[11]หมวด 6(2)'!#REF!</definedName>
    <definedName name="งานกำแพงปลายท่อขนาด1_1.20ม." localSheetId="86">'[11]หมวด 6(2)'!#REF!</definedName>
    <definedName name="งานกำแพงปลายท่อขนาด1_1.20ม.">'[11]หมวด 6(2)'!#REF!</definedName>
    <definedName name="งานกำแพงปลายท่อขนาด1_1.50ม." localSheetId="3">'[11]หมวด 6(2)'!#REF!</definedName>
    <definedName name="งานกำแพงปลายท่อขนาด1_1.50ม.">'[11]หมวด 6(2)'!#REF!</definedName>
    <definedName name="งานกำแพงปลายท่อขนาด2_0.60ม." localSheetId="3">'[11]หมวด 6(2)'!#REF!</definedName>
    <definedName name="งานกำแพงปลายท่อขนาด2_0.60ม.">'[11]หมวด 6(2)'!#REF!</definedName>
    <definedName name="งานกำแพงปลายท่อขนาด2_0.80ม." localSheetId="3">'[11]หมวด 6(2)'!#REF!</definedName>
    <definedName name="งานกำแพงปลายท่อขนาด2_0.80ม.">'[11]หมวด 6(2)'!#REF!</definedName>
    <definedName name="งานกำแพงปลายท่อขนาด2_1.00ม." localSheetId="3">'[11]หมวด 6(2)'!#REF!</definedName>
    <definedName name="งานกำแพงปลายท่อขนาด2_1.00ม.">'[11]หมวด 6(2)'!#REF!</definedName>
    <definedName name="งานกำแพงปลายท่อขนาด2_1.20ม." localSheetId="3">'[11]หมวด 6(2)'!#REF!</definedName>
    <definedName name="งานกำแพงปลายท่อขนาด2_1.20ม.">'[11]หมวด 6(2)'!#REF!</definedName>
    <definedName name="งานกำแพงปลายท่อขนาด2_1.50ม." localSheetId="3">'[11]หมวด 6(2)'!#REF!</definedName>
    <definedName name="งานกำแพงปลายท่อขนาด2_1.50ม.">'[11]หมวด 6(2)'!#REF!</definedName>
    <definedName name="งานกำแพงปลายท่อขนาด3_0.60ม." localSheetId="3">'[11]หมวด 6(2)'!#REF!</definedName>
    <definedName name="งานกำแพงปลายท่อขนาด3_0.60ม.">'[11]หมวด 6(2)'!#REF!</definedName>
    <definedName name="งานกำแพงปลายท่อขนาด3_0.80ม." localSheetId="3">'[11]หมวด 6(2)'!#REF!</definedName>
    <definedName name="งานกำแพงปลายท่อขนาด3_0.80ม.">'[11]หมวด 6(2)'!#REF!</definedName>
    <definedName name="งานกำแพงปลายท่อขนาด3_1.00ม." localSheetId="3">'[11]หมวด 6(2)'!#REF!</definedName>
    <definedName name="งานกำแพงปลายท่อขนาด3_1.00ม.">'[11]หมวด 6(2)'!#REF!</definedName>
    <definedName name="งานกำแพงปลายท่อขนาด3_1.20ม." localSheetId="3">'[11]หมวด 6(2)'!#REF!</definedName>
    <definedName name="งานกำแพงปลายท่อขนาด3_1.20ม.">'[11]หมวด 6(2)'!#REF!</definedName>
    <definedName name="งานกำแพงปลายท่อขนาด3_1.50ม." localSheetId="3">'[11]หมวด 6(2)'!#REF!</definedName>
    <definedName name="งานกำแพงปลายท่อขนาด3_1.50ม.">'[11]หมวด 6(2)'!#REF!</definedName>
    <definedName name="งานขุดคูระบายน้ำ" localSheetId="3">#REF!</definedName>
    <definedName name="งานขุดคูระบายน้ำ" localSheetId="4">#REF!</definedName>
    <definedName name="งานขุดคูระบายน้ำ" localSheetId="18">#REF!</definedName>
    <definedName name="งานขุดคูระบายน้ำ" localSheetId="19">#REF!</definedName>
    <definedName name="งานขุดคูระบายน้ำ" localSheetId="9">#REF!</definedName>
    <definedName name="งานขุดคูระบายน้ำ" localSheetId="10">#REF!</definedName>
    <definedName name="งานขุดคูระบายน้ำ" localSheetId="11">#REF!</definedName>
    <definedName name="งานขุดคูระบายน้ำ" localSheetId="12">#REF!</definedName>
    <definedName name="งานขุดคูระบายน้ำ" localSheetId="13">#REF!</definedName>
    <definedName name="งานขุดคูระบายน้ำ" localSheetId="14">#REF!</definedName>
    <definedName name="งานขุดคูระบายน้ำ" localSheetId="15">#REF!</definedName>
    <definedName name="งานขุดคูระบายน้ำ" localSheetId="16">#REF!</definedName>
    <definedName name="งานขุดคูระบายน้ำ" localSheetId="17">#REF!</definedName>
    <definedName name="งานขุดคูระบายน้ำ" localSheetId="8">#REF!</definedName>
    <definedName name="งานขุดคูระบายน้ำ" localSheetId="7">#REF!</definedName>
    <definedName name="งานขุดคูระบายน้ำ" localSheetId="6">#REF!</definedName>
    <definedName name="งานขุดคูระบายน้ำ" localSheetId="20">#REF!</definedName>
    <definedName name="งานขุดคูระบายน้ำ" localSheetId="5">#REF!</definedName>
    <definedName name="งานขุดคูระบายน้ำ" localSheetId="21">#REF!</definedName>
    <definedName name="งานขุดคูระบายน้ำ" localSheetId="34">#REF!</definedName>
    <definedName name="งานขุดคูระบายน้ำ" localSheetId="35">#REF!</definedName>
    <definedName name="งานขุดคูระบายน้ำ" localSheetId="25">#REF!</definedName>
    <definedName name="งานขุดคูระบายน้ำ" localSheetId="27">#REF!</definedName>
    <definedName name="งานขุดคูระบายน้ำ" localSheetId="28">#REF!</definedName>
    <definedName name="งานขุดคูระบายน้ำ" localSheetId="29">#REF!</definedName>
    <definedName name="งานขุดคูระบายน้ำ" localSheetId="31">#REF!</definedName>
    <definedName name="งานขุดคูระบายน้ำ" localSheetId="32">#REF!</definedName>
    <definedName name="งานขุดคูระบายน้ำ" localSheetId="33">#REF!</definedName>
    <definedName name="งานขุดคูระบายน้ำ" localSheetId="24">#REF!</definedName>
    <definedName name="งานขุดคูระบายน้ำ" localSheetId="23">#REF!</definedName>
    <definedName name="งานขุดคูระบายน้ำ" localSheetId="36">#REF!</definedName>
    <definedName name="งานขุดคูระบายน้ำ" localSheetId="22">#REF!</definedName>
    <definedName name="งานขุดคูระบายน้ำ" localSheetId="26">#REF!</definedName>
    <definedName name="งานขุดคูระบายน้ำ" localSheetId="30">#REF!</definedName>
    <definedName name="งานขุดคูระบายน้ำ" localSheetId="41">#REF!</definedName>
    <definedName name="งานขุดคูระบายน้ำ" localSheetId="50">#REF!</definedName>
    <definedName name="งานขุดคูระบายน้ำ" localSheetId="51">#REF!</definedName>
    <definedName name="งานขุดคูระบายน้ำ" localSheetId="42">#REF!</definedName>
    <definedName name="งานขุดคูระบายน้ำ" localSheetId="43">#REF!</definedName>
    <definedName name="งานขุดคูระบายน้ำ" localSheetId="44">#REF!</definedName>
    <definedName name="งานขุดคูระบายน้ำ" localSheetId="45">#REF!</definedName>
    <definedName name="งานขุดคูระบายน้ำ" localSheetId="46">#REF!</definedName>
    <definedName name="งานขุดคูระบายน้ำ" localSheetId="47">#REF!</definedName>
    <definedName name="งานขุดคูระบายน้ำ" localSheetId="48">#REF!</definedName>
    <definedName name="งานขุดคูระบายน้ำ" localSheetId="49">#REF!</definedName>
    <definedName name="งานขุดคูระบายน้ำ" localSheetId="52">#REF!</definedName>
    <definedName name="งานขุดคูระบายน้ำ" localSheetId="40">#REF!</definedName>
    <definedName name="งานขุดคูระบายน้ำ" localSheetId="39">#REF!</definedName>
    <definedName name="งานขุดคูระบายน้ำ" localSheetId="38">#REF!</definedName>
    <definedName name="งานขุดคูระบายน้ำ" localSheetId="37">#REF!</definedName>
    <definedName name="งานขุดคูระบายน้ำ" localSheetId="57">#REF!</definedName>
    <definedName name="งานขุดคูระบายน้ำ" localSheetId="66">#REF!</definedName>
    <definedName name="งานขุดคูระบายน้ำ" localSheetId="67">#REF!</definedName>
    <definedName name="งานขุดคูระบายน้ำ" localSheetId="58">#REF!</definedName>
    <definedName name="งานขุดคูระบายน้ำ" localSheetId="59">#REF!</definedName>
    <definedName name="งานขุดคูระบายน้ำ" localSheetId="60">#REF!</definedName>
    <definedName name="งานขุดคูระบายน้ำ" localSheetId="61">#REF!</definedName>
    <definedName name="งานขุดคูระบายน้ำ" localSheetId="62">#REF!</definedName>
    <definedName name="งานขุดคูระบายน้ำ" localSheetId="63">#REF!</definedName>
    <definedName name="งานขุดคูระบายน้ำ" localSheetId="64">#REF!</definedName>
    <definedName name="งานขุดคูระบายน้ำ" localSheetId="65">#REF!</definedName>
    <definedName name="งานขุดคูระบายน้ำ" localSheetId="68">#REF!</definedName>
    <definedName name="งานขุดคูระบายน้ำ" localSheetId="56">#REF!</definedName>
    <definedName name="งานขุดคูระบายน้ำ" localSheetId="55">#REF!</definedName>
    <definedName name="งานขุดคูระบายน้ำ" localSheetId="54">#REF!</definedName>
    <definedName name="งานขุดคูระบายน้ำ" localSheetId="53">#REF!</definedName>
    <definedName name="งานขุดคูระบายน้ำ" localSheetId="85">#REF!</definedName>
    <definedName name="งานขุดคูระบายน้ำ" localSheetId="86">#REF!</definedName>
    <definedName name="งานขุดคูระบายน้ำ" localSheetId="2">#REF!</definedName>
    <definedName name="งานขุดคูระบายน้ำ">#REF!</definedName>
    <definedName name="งานขุดบริเวณดินอ่อน" localSheetId="3">#REF!</definedName>
    <definedName name="งานขุดบริเวณดินอ่อน" localSheetId="4">#REF!</definedName>
    <definedName name="งานขุดบริเวณดินอ่อน" localSheetId="18">#REF!</definedName>
    <definedName name="งานขุดบริเวณดินอ่อน" localSheetId="19">#REF!</definedName>
    <definedName name="งานขุดบริเวณดินอ่อน" localSheetId="9">#REF!</definedName>
    <definedName name="งานขุดบริเวณดินอ่อน" localSheetId="10">#REF!</definedName>
    <definedName name="งานขุดบริเวณดินอ่อน" localSheetId="11">#REF!</definedName>
    <definedName name="งานขุดบริเวณดินอ่อน" localSheetId="12">#REF!</definedName>
    <definedName name="งานขุดบริเวณดินอ่อน" localSheetId="13">#REF!</definedName>
    <definedName name="งานขุดบริเวณดินอ่อน" localSheetId="14">#REF!</definedName>
    <definedName name="งานขุดบริเวณดินอ่อน" localSheetId="15">#REF!</definedName>
    <definedName name="งานขุดบริเวณดินอ่อน" localSheetId="16">#REF!</definedName>
    <definedName name="งานขุดบริเวณดินอ่อน" localSheetId="17">#REF!</definedName>
    <definedName name="งานขุดบริเวณดินอ่อน" localSheetId="8">#REF!</definedName>
    <definedName name="งานขุดบริเวณดินอ่อน" localSheetId="7">#REF!</definedName>
    <definedName name="งานขุดบริเวณดินอ่อน" localSheetId="6">#REF!</definedName>
    <definedName name="งานขุดบริเวณดินอ่อน" localSheetId="20">#REF!</definedName>
    <definedName name="งานขุดบริเวณดินอ่อน" localSheetId="5">#REF!</definedName>
    <definedName name="งานขุดบริเวณดินอ่อน" localSheetId="21">#REF!</definedName>
    <definedName name="งานขุดบริเวณดินอ่อน" localSheetId="34">#REF!</definedName>
    <definedName name="งานขุดบริเวณดินอ่อน" localSheetId="35">#REF!</definedName>
    <definedName name="งานขุดบริเวณดินอ่อน" localSheetId="25">#REF!</definedName>
    <definedName name="งานขุดบริเวณดินอ่อน" localSheetId="27">#REF!</definedName>
    <definedName name="งานขุดบริเวณดินอ่อน" localSheetId="28">#REF!</definedName>
    <definedName name="งานขุดบริเวณดินอ่อน" localSheetId="29">#REF!</definedName>
    <definedName name="งานขุดบริเวณดินอ่อน" localSheetId="31">#REF!</definedName>
    <definedName name="งานขุดบริเวณดินอ่อน" localSheetId="32">#REF!</definedName>
    <definedName name="งานขุดบริเวณดินอ่อน" localSheetId="33">#REF!</definedName>
    <definedName name="งานขุดบริเวณดินอ่อน" localSheetId="24">#REF!</definedName>
    <definedName name="งานขุดบริเวณดินอ่อน" localSheetId="23">#REF!</definedName>
    <definedName name="งานขุดบริเวณดินอ่อน" localSheetId="36">#REF!</definedName>
    <definedName name="งานขุดบริเวณดินอ่อน" localSheetId="22">#REF!</definedName>
    <definedName name="งานขุดบริเวณดินอ่อน" localSheetId="26">#REF!</definedName>
    <definedName name="งานขุดบริเวณดินอ่อน" localSheetId="30">#REF!</definedName>
    <definedName name="งานขุดบริเวณดินอ่อน" localSheetId="85">#REF!</definedName>
    <definedName name="งานขุดบริเวณดินอ่อน" localSheetId="86">#REF!</definedName>
    <definedName name="งานขุดบริเวณดินอ่อน" localSheetId="2">#REF!</definedName>
    <definedName name="งานขุดบริเวณดินอ่อน">#REF!</definedName>
    <definedName name="งานดินคลุมผิวหนา10ซม." localSheetId="3">'[11]หมวด 6(2)'!#REF!</definedName>
    <definedName name="งานดินคลุมผิวหนา10ซม." localSheetId="4">'[11]หมวด 6(2)'!#REF!</definedName>
    <definedName name="งานดินคลุมผิวหนา10ซม." localSheetId="18">'[11]หมวด 6(2)'!#REF!</definedName>
    <definedName name="งานดินคลุมผิวหนา10ซม." localSheetId="19">'[11]หมวด 6(2)'!#REF!</definedName>
    <definedName name="งานดินคลุมผิวหนา10ซม." localSheetId="9">'[11]หมวด 6(2)'!#REF!</definedName>
    <definedName name="งานดินคลุมผิวหนา10ซม." localSheetId="10">'[11]หมวด 6(2)'!#REF!</definedName>
    <definedName name="งานดินคลุมผิวหนา10ซม." localSheetId="11">'[11]หมวด 6(2)'!#REF!</definedName>
    <definedName name="งานดินคลุมผิวหนา10ซม." localSheetId="12">'[11]หมวด 6(2)'!#REF!</definedName>
    <definedName name="งานดินคลุมผิวหนา10ซม." localSheetId="13">'[11]หมวด 6(2)'!#REF!</definedName>
    <definedName name="งานดินคลุมผิวหนา10ซม." localSheetId="14">'[11]หมวด 6(2)'!#REF!</definedName>
    <definedName name="งานดินคลุมผิวหนา10ซม." localSheetId="15">'[11]หมวด 6(2)'!#REF!</definedName>
    <definedName name="งานดินคลุมผิวหนา10ซม." localSheetId="16">'[11]หมวด 6(2)'!#REF!</definedName>
    <definedName name="งานดินคลุมผิวหนา10ซม." localSheetId="17">'[11]หมวด 6(2)'!#REF!</definedName>
    <definedName name="งานดินคลุมผิวหนา10ซม." localSheetId="8">'[11]หมวด 6(2)'!#REF!</definedName>
    <definedName name="งานดินคลุมผิวหนา10ซม." localSheetId="7">'[11]หมวด 6(2)'!#REF!</definedName>
    <definedName name="งานดินคลุมผิวหนา10ซม." localSheetId="6">'[11]หมวด 6(2)'!#REF!</definedName>
    <definedName name="งานดินคลุมผิวหนา10ซม." localSheetId="20">'[11]หมวด 6(2)'!#REF!</definedName>
    <definedName name="งานดินคลุมผิวหนา10ซม." localSheetId="5">'[11]หมวด 6(2)'!#REF!</definedName>
    <definedName name="งานดินคลุมผิวหนา10ซม." localSheetId="21">'[11]หมวด 6(2)'!#REF!</definedName>
    <definedName name="งานดินคลุมผิวหนา10ซม." localSheetId="34">'[11]หมวด 6(2)'!#REF!</definedName>
    <definedName name="งานดินคลุมผิวหนา10ซม." localSheetId="35">'[11]หมวด 6(2)'!#REF!</definedName>
    <definedName name="งานดินคลุมผิวหนา10ซม." localSheetId="25">'[11]หมวด 6(2)'!#REF!</definedName>
    <definedName name="งานดินคลุมผิวหนา10ซม." localSheetId="27">'[11]หมวด 6(2)'!#REF!</definedName>
    <definedName name="งานดินคลุมผิวหนา10ซม." localSheetId="28">'[11]หมวด 6(2)'!#REF!</definedName>
    <definedName name="งานดินคลุมผิวหนา10ซม." localSheetId="29">'[11]หมวด 6(2)'!#REF!</definedName>
    <definedName name="งานดินคลุมผิวหนา10ซม." localSheetId="31">'[11]หมวด 6(2)'!#REF!</definedName>
    <definedName name="งานดินคลุมผิวหนา10ซม." localSheetId="32">'[11]หมวด 6(2)'!#REF!</definedName>
    <definedName name="งานดินคลุมผิวหนา10ซม." localSheetId="33">'[11]หมวด 6(2)'!#REF!</definedName>
    <definedName name="งานดินคลุมผิวหนา10ซม." localSheetId="24">'[11]หมวด 6(2)'!#REF!</definedName>
    <definedName name="งานดินคลุมผิวหนา10ซม." localSheetId="23">'[11]หมวด 6(2)'!#REF!</definedName>
    <definedName name="งานดินคลุมผิวหนา10ซม." localSheetId="36">'[11]หมวด 6(2)'!#REF!</definedName>
    <definedName name="งานดินคลุมผิวหนา10ซม." localSheetId="22">'[11]หมวด 6(2)'!#REF!</definedName>
    <definedName name="งานดินคลุมผิวหนา10ซม." localSheetId="26">'[11]หมวด 6(2)'!#REF!</definedName>
    <definedName name="งานดินคลุมผิวหนา10ซม." localSheetId="30">'[11]หมวด 6(2)'!#REF!</definedName>
    <definedName name="งานดินคลุมผิวหนา10ซม." localSheetId="85">'[11]หมวด 6(2)'!#REF!</definedName>
    <definedName name="งานดินคลุมผิวหนา10ซม." localSheetId="86">'[11]หมวด 6(2)'!#REF!</definedName>
    <definedName name="งานดินคลุมผิวหนา10ซม." localSheetId="2">'[11]หมวด 6(2)'!#REF!</definedName>
    <definedName name="งานดินคลุมผิวหนา10ซม.">'[11]หมวด 6(2)'!#REF!</definedName>
    <definedName name="งานดินตัด" localSheetId="3">#REF!</definedName>
    <definedName name="งานดินตัด" localSheetId="4">#REF!</definedName>
    <definedName name="งานดินตัด" localSheetId="18">#REF!</definedName>
    <definedName name="งานดินตัด" localSheetId="19">#REF!</definedName>
    <definedName name="งานดินตัด" localSheetId="9">#REF!</definedName>
    <definedName name="งานดินตัด" localSheetId="10">#REF!</definedName>
    <definedName name="งานดินตัด" localSheetId="11">#REF!</definedName>
    <definedName name="งานดินตัด" localSheetId="12">#REF!</definedName>
    <definedName name="งานดินตัด" localSheetId="13">#REF!</definedName>
    <definedName name="งานดินตัด" localSheetId="14">#REF!</definedName>
    <definedName name="งานดินตัด" localSheetId="15">#REF!</definedName>
    <definedName name="งานดินตัด" localSheetId="16">#REF!</definedName>
    <definedName name="งานดินตัด" localSheetId="17">#REF!</definedName>
    <definedName name="งานดินตัด" localSheetId="8">#REF!</definedName>
    <definedName name="งานดินตัด" localSheetId="7">#REF!</definedName>
    <definedName name="งานดินตัด" localSheetId="6">#REF!</definedName>
    <definedName name="งานดินตัด" localSheetId="20">#REF!</definedName>
    <definedName name="งานดินตัด" localSheetId="5">#REF!</definedName>
    <definedName name="งานดินตัด" localSheetId="21">#REF!</definedName>
    <definedName name="งานดินตัด" localSheetId="34">#REF!</definedName>
    <definedName name="งานดินตัด" localSheetId="35">#REF!</definedName>
    <definedName name="งานดินตัด" localSheetId="25">#REF!</definedName>
    <definedName name="งานดินตัด" localSheetId="27">#REF!</definedName>
    <definedName name="งานดินตัด" localSheetId="28">#REF!</definedName>
    <definedName name="งานดินตัด" localSheetId="29">#REF!</definedName>
    <definedName name="งานดินตัด" localSheetId="31">#REF!</definedName>
    <definedName name="งานดินตัด" localSheetId="32">#REF!</definedName>
    <definedName name="งานดินตัด" localSheetId="33">#REF!</definedName>
    <definedName name="งานดินตัด" localSheetId="24">#REF!</definedName>
    <definedName name="งานดินตัด" localSheetId="23">#REF!</definedName>
    <definedName name="งานดินตัด" localSheetId="36">#REF!</definedName>
    <definedName name="งานดินตัด" localSheetId="22">#REF!</definedName>
    <definedName name="งานดินตัด" localSheetId="26">#REF!</definedName>
    <definedName name="งานดินตัด" localSheetId="30">#REF!</definedName>
    <definedName name="งานดินตัด" localSheetId="41">#REF!</definedName>
    <definedName name="งานดินตัด" localSheetId="50">#REF!</definedName>
    <definedName name="งานดินตัด" localSheetId="51">#REF!</definedName>
    <definedName name="งานดินตัด" localSheetId="42">#REF!</definedName>
    <definedName name="งานดินตัด" localSheetId="43">#REF!</definedName>
    <definedName name="งานดินตัด" localSheetId="44">#REF!</definedName>
    <definedName name="งานดินตัด" localSheetId="45">#REF!</definedName>
    <definedName name="งานดินตัด" localSheetId="46">#REF!</definedName>
    <definedName name="งานดินตัด" localSheetId="47">#REF!</definedName>
    <definedName name="งานดินตัด" localSheetId="48">#REF!</definedName>
    <definedName name="งานดินตัด" localSheetId="49">#REF!</definedName>
    <definedName name="งานดินตัด" localSheetId="52">#REF!</definedName>
    <definedName name="งานดินตัด" localSheetId="40">#REF!</definedName>
    <definedName name="งานดินตัด" localSheetId="39">#REF!</definedName>
    <definedName name="งานดินตัด" localSheetId="38">#REF!</definedName>
    <definedName name="งานดินตัด" localSheetId="37">#REF!</definedName>
    <definedName name="งานดินตัด" localSheetId="57">#REF!</definedName>
    <definedName name="งานดินตัด" localSheetId="66">#REF!</definedName>
    <definedName name="งานดินตัด" localSheetId="67">#REF!</definedName>
    <definedName name="งานดินตัด" localSheetId="58">#REF!</definedName>
    <definedName name="งานดินตัด" localSheetId="59">#REF!</definedName>
    <definedName name="งานดินตัด" localSheetId="60">#REF!</definedName>
    <definedName name="งานดินตัด" localSheetId="61">#REF!</definedName>
    <definedName name="งานดินตัด" localSheetId="62">#REF!</definedName>
    <definedName name="งานดินตัด" localSheetId="63">#REF!</definedName>
    <definedName name="งานดินตัด" localSheetId="64">#REF!</definedName>
    <definedName name="งานดินตัด" localSheetId="65">#REF!</definedName>
    <definedName name="งานดินตัด" localSheetId="68">#REF!</definedName>
    <definedName name="งานดินตัด" localSheetId="56">#REF!</definedName>
    <definedName name="งานดินตัด" localSheetId="55">#REF!</definedName>
    <definedName name="งานดินตัด" localSheetId="54">#REF!</definedName>
    <definedName name="งานดินตัด" localSheetId="53">#REF!</definedName>
    <definedName name="งานดินตัด" localSheetId="85">#REF!</definedName>
    <definedName name="งานดินตัด" localSheetId="86">#REF!</definedName>
    <definedName name="งานดินตัด" localSheetId="2">#REF!</definedName>
    <definedName name="งานดินตัด">#REF!</definedName>
    <definedName name="งานดินถม">'[8]2'!$J$64</definedName>
    <definedName name="งานดินถมที่เกาะกลางใต้ทางเท้าและกำแพงกันดิน" localSheetId="3">#REF!</definedName>
    <definedName name="งานดินถมที่เกาะกลางใต้ทางเท้าและกำแพงกันดิน" localSheetId="4">#REF!</definedName>
    <definedName name="งานดินถมที่เกาะกลางใต้ทางเท้าและกำแพงกันดิน" localSheetId="18">#REF!</definedName>
    <definedName name="งานดินถมที่เกาะกลางใต้ทางเท้าและกำแพงกันดิน" localSheetId="19">#REF!</definedName>
    <definedName name="งานดินถมที่เกาะกลางใต้ทางเท้าและกำแพงกันดิน" localSheetId="9">#REF!</definedName>
    <definedName name="งานดินถมที่เกาะกลางใต้ทางเท้าและกำแพงกันดิน" localSheetId="10">#REF!</definedName>
    <definedName name="งานดินถมที่เกาะกลางใต้ทางเท้าและกำแพงกันดิน" localSheetId="11">#REF!</definedName>
    <definedName name="งานดินถมที่เกาะกลางใต้ทางเท้าและกำแพงกันดิน" localSheetId="12">#REF!</definedName>
    <definedName name="งานดินถมที่เกาะกลางใต้ทางเท้าและกำแพงกันดิน" localSheetId="13">#REF!</definedName>
    <definedName name="งานดินถมที่เกาะกลางใต้ทางเท้าและกำแพงกันดิน" localSheetId="14">#REF!</definedName>
    <definedName name="งานดินถมที่เกาะกลางใต้ทางเท้าและกำแพงกันดิน" localSheetId="15">#REF!</definedName>
    <definedName name="งานดินถมที่เกาะกลางใต้ทางเท้าและกำแพงกันดิน" localSheetId="16">#REF!</definedName>
    <definedName name="งานดินถมที่เกาะกลางใต้ทางเท้าและกำแพงกันดิน" localSheetId="17">#REF!</definedName>
    <definedName name="งานดินถมที่เกาะกลางใต้ทางเท้าและกำแพงกันดิน" localSheetId="8">#REF!</definedName>
    <definedName name="งานดินถมที่เกาะกลางใต้ทางเท้าและกำแพงกันดิน" localSheetId="7">#REF!</definedName>
    <definedName name="งานดินถมที่เกาะกลางใต้ทางเท้าและกำแพงกันดิน" localSheetId="6">#REF!</definedName>
    <definedName name="งานดินถมที่เกาะกลางใต้ทางเท้าและกำแพงกันดิน" localSheetId="20">#REF!</definedName>
    <definedName name="งานดินถมที่เกาะกลางใต้ทางเท้าและกำแพงกันดิน" localSheetId="5">#REF!</definedName>
    <definedName name="งานดินถมที่เกาะกลางใต้ทางเท้าและกำแพงกันดิน" localSheetId="21">#REF!</definedName>
    <definedName name="งานดินถมที่เกาะกลางใต้ทางเท้าและกำแพงกันดิน" localSheetId="34">#REF!</definedName>
    <definedName name="งานดินถมที่เกาะกลางใต้ทางเท้าและกำแพงกันดิน" localSheetId="35">#REF!</definedName>
    <definedName name="งานดินถมที่เกาะกลางใต้ทางเท้าและกำแพงกันดิน" localSheetId="25">#REF!</definedName>
    <definedName name="งานดินถมที่เกาะกลางใต้ทางเท้าและกำแพงกันดิน" localSheetId="27">#REF!</definedName>
    <definedName name="งานดินถมที่เกาะกลางใต้ทางเท้าและกำแพงกันดิน" localSheetId="28">#REF!</definedName>
    <definedName name="งานดินถมที่เกาะกลางใต้ทางเท้าและกำแพงกันดิน" localSheetId="29">#REF!</definedName>
    <definedName name="งานดินถมที่เกาะกลางใต้ทางเท้าและกำแพงกันดิน" localSheetId="31">#REF!</definedName>
    <definedName name="งานดินถมที่เกาะกลางใต้ทางเท้าและกำแพงกันดิน" localSheetId="32">#REF!</definedName>
    <definedName name="งานดินถมที่เกาะกลางใต้ทางเท้าและกำแพงกันดิน" localSheetId="33">#REF!</definedName>
    <definedName name="งานดินถมที่เกาะกลางใต้ทางเท้าและกำแพงกันดิน" localSheetId="24">#REF!</definedName>
    <definedName name="งานดินถมที่เกาะกลางใต้ทางเท้าและกำแพงกันดิน" localSheetId="23">#REF!</definedName>
    <definedName name="งานดินถมที่เกาะกลางใต้ทางเท้าและกำแพงกันดิน" localSheetId="36">#REF!</definedName>
    <definedName name="งานดินถมที่เกาะกลางใต้ทางเท้าและกำแพงกันดิน" localSheetId="22">#REF!</definedName>
    <definedName name="งานดินถมที่เกาะกลางใต้ทางเท้าและกำแพงกันดิน" localSheetId="26">#REF!</definedName>
    <definedName name="งานดินถมที่เกาะกลางใต้ทางเท้าและกำแพงกันดิน" localSheetId="30">#REF!</definedName>
    <definedName name="งานดินถมที่เกาะกลางใต้ทางเท้าและกำแพงกันดิน" localSheetId="41">#REF!</definedName>
    <definedName name="งานดินถมที่เกาะกลางใต้ทางเท้าและกำแพงกันดิน" localSheetId="50">#REF!</definedName>
    <definedName name="งานดินถมที่เกาะกลางใต้ทางเท้าและกำแพงกันดิน" localSheetId="51">#REF!</definedName>
    <definedName name="งานดินถมที่เกาะกลางใต้ทางเท้าและกำแพงกันดิน" localSheetId="42">#REF!</definedName>
    <definedName name="งานดินถมที่เกาะกลางใต้ทางเท้าและกำแพงกันดิน" localSheetId="43">#REF!</definedName>
    <definedName name="งานดินถมที่เกาะกลางใต้ทางเท้าและกำแพงกันดิน" localSheetId="44">#REF!</definedName>
    <definedName name="งานดินถมที่เกาะกลางใต้ทางเท้าและกำแพงกันดิน" localSheetId="45">#REF!</definedName>
    <definedName name="งานดินถมที่เกาะกลางใต้ทางเท้าและกำแพงกันดิน" localSheetId="46">#REF!</definedName>
    <definedName name="งานดินถมที่เกาะกลางใต้ทางเท้าและกำแพงกันดิน" localSheetId="47">#REF!</definedName>
    <definedName name="งานดินถมที่เกาะกลางใต้ทางเท้าและกำแพงกันดิน" localSheetId="48">#REF!</definedName>
    <definedName name="งานดินถมที่เกาะกลางใต้ทางเท้าและกำแพงกันดิน" localSheetId="49">#REF!</definedName>
    <definedName name="งานดินถมที่เกาะกลางใต้ทางเท้าและกำแพงกันดิน" localSheetId="52">#REF!</definedName>
    <definedName name="งานดินถมที่เกาะกลางใต้ทางเท้าและกำแพงกันดิน" localSheetId="40">#REF!</definedName>
    <definedName name="งานดินถมที่เกาะกลางใต้ทางเท้าและกำแพงกันดิน" localSheetId="39">#REF!</definedName>
    <definedName name="งานดินถมที่เกาะกลางใต้ทางเท้าและกำแพงกันดิน" localSheetId="38">#REF!</definedName>
    <definedName name="งานดินถมที่เกาะกลางใต้ทางเท้าและกำแพงกันดิน" localSheetId="37">#REF!</definedName>
    <definedName name="งานดินถมที่เกาะกลางใต้ทางเท้าและกำแพงกันดิน" localSheetId="57">#REF!</definedName>
    <definedName name="งานดินถมที่เกาะกลางใต้ทางเท้าและกำแพงกันดิน" localSheetId="66">#REF!</definedName>
    <definedName name="งานดินถมที่เกาะกลางใต้ทางเท้าและกำแพงกันดิน" localSheetId="67">#REF!</definedName>
    <definedName name="งานดินถมที่เกาะกลางใต้ทางเท้าและกำแพงกันดิน" localSheetId="58">#REF!</definedName>
    <definedName name="งานดินถมที่เกาะกลางใต้ทางเท้าและกำแพงกันดิน" localSheetId="59">#REF!</definedName>
    <definedName name="งานดินถมที่เกาะกลางใต้ทางเท้าและกำแพงกันดิน" localSheetId="60">#REF!</definedName>
    <definedName name="งานดินถมที่เกาะกลางใต้ทางเท้าและกำแพงกันดิน" localSheetId="61">#REF!</definedName>
    <definedName name="งานดินถมที่เกาะกลางใต้ทางเท้าและกำแพงกันดิน" localSheetId="62">#REF!</definedName>
    <definedName name="งานดินถมที่เกาะกลางใต้ทางเท้าและกำแพงกันดิน" localSheetId="63">#REF!</definedName>
    <definedName name="งานดินถมที่เกาะกลางใต้ทางเท้าและกำแพงกันดิน" localSheetId="64">#REF!</definedName>
    <definedName name="งานดินถมที่เกาะกลางใต้ทางเท้าและกำแพงกันดิน" localSheetId="65">#REF!</definedName>
    <definedName name="งานดินถมที่เกาะกลางใต้ทางเท้าและกำแพงกันดิน" localSheetId="68">#REF!</definedName>
    <definedName name="งานดินถมที่เกาะกลางใต้ทางเท้าและกำแพงกันดิน" localSheetId="56">#REF!</definedName>
    <definedName name="งานดินถมที่เกาะกลางใต้ทางเท้าและกำแพงกันดิน" localSheetId="55">#REF!</definedName>
    <definedName name="งานดินถมที่เกาะกลางใต้ทางเท้าและกำแพงกันดิน" localSheetId="54">#REF!</definedName>
    <definedName name="งานดินถมที่เกาะกลางใต้ทางเท้าและกำแพงกันดิน" localSheetId="53">#REF!</definedName>
    <definedName name="งานดินถมที่เกาะกลางใต้ทางเท้าและกำแพงกันดิน" localSheetId="85">#REF!</definedName>
    <definedName name="งานดินถมที่เกาะกลางใต้ทางเท้าและกำแพงกันดิน" localSheetId="86">#REF!</definedName>
    <definedName name="งานดินถมที่เกาะกลางใต้ทางเท้าและกำแพงกันดิน" localSheetId="2">#REF!</definedName>
    <definedName name="งานดินถมที่เกาะกลางใต้ทางเท้าและกำแพงกันดิน">#REF!</definedName>
    <definedName name="งานตกแต่งทางสถาปัตยกรรมงานเคลื่อนย้ายซ่อมแซมและติดตั้งรูปปั้น" localSheetId="3">#REF!</definedName>
    <definedName name="งานตกแต่งทางสถาปัตยกรรมงานเคลื่อนย้ายซ่อมแซมและติดตั้งรูปปั้น" localSheetId="4">#REF!</definedName>
    <definedName name="งานตกแต่งทางสถาปัตยกรรมงานเคลื่อนย้ายซ่อมแซมและติดตั้งรูปปั้น" localSheetId="18">#REF!</definedName>
    <definedName name="งานตกแต่งทางสถาปัตยกรรมงานเคลื่อนย้ายซ่อมแซมและติดตั้งรูปปั้น" localSheetId="19">#REF!</definedName>
    <definedName name="งานตกแต่งทางสถาปัตยกรรมงานเคลื่อนย้ายซ่อมแซมและติดตั้งรูปปั้น" localSheetId="9">#REF!</definedName>
    <definedName name="งานตกแต่งทางสถาปัตยกรรมงานเคลื่อนย้ายซ่อมแซมและติดตั้งรูปปั้น" localSheetId="10">#REF!</definedName>
    <definedName name="งานตกแต่งทางสถาปัตยกรรมงานเคลื่อนย้ายซ่อมแซมและติดตั้งรูปปั้น" localSheetId="11">#REF!</definedName>
    <definedName name="งานตกแต่งทางสถาปัตยกรรมงานเคลื่อนย้ายซ่อมแซมและติดตั้งรูปปั้น" localSheetId="12">#REF!</definedName>
    <definedName name="งานตกแต่งทางสถาปัตยกรรมงานเคลื่อนย้ายซ่อมแซมและติดตั้งรูปปั้น" localSheetId="13">#REF!</definedName>
    <definedName name="งานตกแต่งทางสถาปัตยกรรมงานเคลื่อนย้ายซ่อมแซมและติดตั้งรูปปั้น" localSheetId="14">#REF!</definedName>
    <definedName name="งานตกแต่งทางสถาปัตยกรรมงานเคลื่อนย้ายซ่อมแซมและติดตั้งรูปปั้น" localSheetId="15">#REF!</definedName>
    <definedName name="งานตกแต่งทางสถาปัตยกรรมงานเคลื่อนย้ายซ่อมแซมและติดตั้งรูปปั้น" localSheetId="16">#REF!</definedName>
    <definedName name="งานตกแต่งทางสถาปัตยกรรมงานเคลื่อนย้ายซ่อมแซมและติดตั้งรูปปั้น" localSheetId="17">#REF!</definedName>
    <definedName name="งานตกแต่งทางสถาปัตยกรรมงานเคลื่อนย้ายซ่อมแซมและติดตั้งรูปปั้น" localSheetId="8">#REF!</definedName>
    <definedName name="งานตกแต่งทางสถาปัตยกรรมงานเคลื่อนย้ายซ่อมแซมและติดตั้งรูปปั้น" localSheetId="7">#REF!</definedName>
    <definedName name="งานตกแต่งทางสถาปัตยกรรมงานเคลื่อนย้ายซ่อมแซมและติดตั้งรูปปั้น" localSheetId="6">#REF!</definedName>
    <definedName name="งานตกแต่งทางสถาปัตยกรรมงานเคลื่อนย้ายซ่อมแซมและติดตั้งรูปปั้น" localSheetId="20">#REF!</definedName>
    <definedName name="งานตกแต่งทางสถาปัตยกรรมงานเคลื่อนย้ายซ่อมแซมและติดตั้งรูปปั้น" localSheetId="5">#REF!</definedName>
    <definedName name="งานตกแต่งทางสถาปัตยกรรมงานเคลื่อนย้ายซ่อมแซมและติดตั้งรูปปั้น" localSheetId="21">#REF!</definedName>
    <definedName name="งานตกแต่งทางสถาปัตยกรรมงานเคลื่อนย้ายซ่อมแซมและติดตั้งรูปปั้น" localSheetId="34">#REF!</definedName>
    <definedName name="งานตกแต่งทางสถาปัตยกรรมงานเคลื่อนย้ายซ่อมแซมและติดตั้งรูปปั้น" localSheetId="35">#REF!</definedName>
    <definedName name="งานตกแต่งทางสถาปัตยกรรมงานเคลื่อนย้ายซ่อมแซมและติดตั้งรูปปั้น" localSheetId="25">#REF!</definedName>
    <definedName name="งานตกแต่งทางสถาปัตยกรรมงานเคลื่อนย้ายซ่อมแซมและติดตั้งรูปปั้น" localSheetId="27">#REF!</definedName>
    <definedName name="งานตกแต่งทางสถาปัตยกรรมงานเคลื่อนย้ายซ่อมแซมและติดตั้งรูปปั้น" localSheetId="28">#REF!</definedName>
    <definedName name="งานตกแต่งทางสถาปัตยกรรมงานเคลื่อนย้ายซ่อมแซมและติดตั้งรูปปั้น" localSheetId="29">#REF!</definedName>
    <definedName name="งานตกแต่งทางสถาปัตยกรรมงานเคลื่อนย้ายซ่อมแซมและติดตั้งรูปปั้น" localSheetId="31">#REF!</definedName>
    <definedName name="งานตกแต่งทางสถาปัตยกรรมงานเคลื่อนย้ายซ่อมแซมและติดตั้งรูปปั้น" localSheetId="32">#REF!</definedName>
    <definedName name="งานตกแต่งทางสถาปัตยกรรมงานเคลื่อนย้ายซ่อมแซมและติดตั้งรูปปั้น" localSheetId="33">#REF!</definedName>
    <definedName name="งานตกแต่งทางสถาปัตยกรรมงานเคลื่อนย้ายซ่อมแซมและติดตั้งรูปปั้น" localSheetId="24">#REF!</definedName>
    <definedName name="งานตกแต่งทางสถาปัตยกรรมงานเคลื่อนย้ายซ่อมแซมและติดตั้งรูปปั้น" localSheetId="23">#REF!</definedName>
    <definedName name="งานตกแต่งทางสถาปัตยกรรมงานเคลื่อนย้ายซ่อมแซมและติดตั้งรูปปั้น" localSheetId="36">#REF!</definedName>
    <definedName name="งานตกแต่งทางสถาปัตยกรรมงานเคลื่อนย้ายซ่อมแซมและติดตั้งรูปปั้น" localSheetId="22">#REF!</definedName>
    <definedName name="งานตกแต่งทางสถาปัตยกรรมงานเคลื่อนย้ายซ่อมแซมและติดตั้งรูปปั้น" localSheetId="26">#REF!</definedName>
    <definedName name="งานตกแต่งทางสถาปัตยกรรมงานเคลื่อนย้ายซ่อมแซมและติดตั้งรูปปั้น" localSheetId="30">#REF!</definedName>
    <definedName name="งานตกแต่งทางสถาปัตยกรรมงานเคลื่อนย้ายซ่อมแซมและติดตั้งรูปปั้น" localSheetId="85">#REF!</definedName>
    <definedName name="งานตกแต่งทางสถาปัตยกรรมงานเคลื่อนย้ายซ่อมแซมและติดตั้งรูปปั้น" localSheetId="86">#REF!</definedName>
    <definedName name="งานตกแต่งทางสถาปัตยกรรมงานเคลื่อนย้ายซ่อมแซมและติดตั้งรูปปั้น" localSheetId="2">#REF!</definedName>
    <definedName name="งานตกแต่งทางสถาปัตยกรรมงานเคลื่อนย้ายซ่อมแซมและติดตั้งรูปปั้น">#REF!</definedName>
    <definedName name="งานตกแต่งทางสถาปัตยกรรมม้านิลมังกร" localSheetId="3">#REF!</definedName>
    <definedName name="งานตกแต่งทางสถาปัตยกรรมม้านิลมังกร" localSheetId="4">#REF!</definedName>
    <definedName name="งานตกแต่งทางสถาปัตยกรรมม้านิลมังกร" localSheetId="18">#REF!</definedName>
    <definedName name="งานตกแต่งทางสถาปัตยกรรมม้านิลมังกร" localSheetId="19">#REF!</definedName>
    <definedName name="งานตกแต่งทางสถาปัตยกรรมม้านิลมังกร" localSheetId="9">#REF!</definedName>
    <definedName name="งานตกแต่งทางสถาปัตยกรรมม้านิลมังกร" localSheetId="10">#REF!</definedName>
    <definedName name="งานตกแต่งทางสถาปัตยกรรมม้านิลมังกร" localSheetId="11">#REF!</definedName>
    <definedName name="งานตกแต่งทางสถาปัตยกรรมม้านิลมังกร" localSheetId="12">#REF!</definedName>
    <definedName name="งานตกแต่งทางสถาปัตยกรรมม้านิลมังกร" localSheetId="13">#REF!</definedName>
    <definedName name="งานตกแต่งทางสถาปัตยกรรมม้านิลมังกร" localSheetId="14">#REF!</definedName>
    <definedName name="งานตกแต่งทางสถาปัตยกรรมม้านิลมังกร" localSheetId="15">#REF!</definedName>
    <definedName name="งานตกแต่งทางสถาปัตยกรรมม้านิลมังกร" localSheetId="16">#REF!</definedName>
    <definedName name="งานตกแต่งทางสถาปัตยกรรมม้านิลมังกร" localSheetId="17">#REF!</definedName>
    <definedName name="งานตกแต่งทางสถาปัตยกรรมม้านิลมังกร" localSheetId="8">#REF!</definedName>
    <definedName name="งานตกแต่งทางสถาปัตยกรรมม้านิลมังกร" localSheetId="7">#REF!</definedName>
    <definedName name="งานตกแต่งทางสถาปัตยกรรมม้านิลมังกร" localSheetId="6">#REF!</definedName>
    <definedName name="งานตกแต่งทางสถาปัตยกรรมม้านิลมังกร" localSheetId="20">#REF!</definedName>
    <definedName name="งานตกแต่งทางสถาปัตยกรรมม้านิลมังกร" localSheetId="5">#REF!</definedName>
    <definedName name="งานตกแต่งทางสถาปัตยกรรมม้านิลมังกร" localSheetId="21">#REF!</definedName>
    <definedName name="งานตกแต่งทางสถาปัตยกรรมม้านิลมังกร" localSheetId="34">#REF!</definedName>
    <definedName name="งานตกแต่งทางสถาปัตยกรรมม้านิลมังกร" localSheetId="35">#REF!</definedName>
    <definedName name="งานตกแต่งทางสถาปัตยกรรมม้านิลมังกร" localSheetId="25">#REF!</definedName>
    <definedName name="งานตกแต่งทางสถาปัตยกรรมม้านิลมังกร" localSheetId="27">#REF!</definedName>
    <definedName name="งานตกแต่งทางสถาปัตยกรรมม้านิลมังกร" localSheetId="28">#REF!</definedName>
    <definedName name="งานตกแต่งทางสถาปัตยกรรมม้านิลมังกร" localSheetId="29">#REF!</definedName>
    <definedName name="งานตกแต่งทางสถาปัตยกรรมม้านิลมังกร" localSheetId="31">#REF!</definedName>
    <definedName name="งานตกแต่งทางสถาปัตยกรรมม้านิลมังกร" localSheetId="32">#REF!</definedName>
    <definedName name="งานตกแต่งทางสถาปัตยกรรมม้านิลมังกร" localSheetId="33">#REF!</definedName>
    <definedName name="งานตกแต่งทางสถาปัตยกรรมม้านิลมังกร" localSheetId="24">#REF!</definedName>
    <definedName name="งานตกแต่งทางสถาปัตยกรรมม้านิลมังกร" localSheetId="23">#REF!</definedName>
    <definedName name="งานตกแต่งทางสถาปัตยกรรมม้านิลมังกร" localSheetId="36">#REF!</definedName>
    <definedName name="งานตกแต่งทางสถาปัตยกรรมม้านิลมังกร" localSheetId="22">#REF!</definedName>
    <definedName name="งานตกแต่งทางสถาปัตยกรรมม้านิลมังกร" localSheetId="26">#REF!</definedName>
    <definedName name="งานตกแต่งทางสถาปัตยกรรมม้านิลมังกร" localSheetId="30">#REF!</definedName>
    <definedName name="งานตกแต่งทางสถาปัตยกรรมม้านิลมังกร" localSheetId="85">#REF!</definedName>
    <definedName name="งานตกแต่งทางสถาปัตยกรรมม้านิลมังกร" localSheetId="86">#REF!</definedName>
    <definedName name="งานตกแต่งทางสถาปัตยกรรมม้านิลมังกร" localSheetId="2">#REF!</definedName>
    <definedName name="งานตกแต่งทางสถาปัตยกรรมม้านิลมังกร">#REF!</definedName>
    <definedName name="งานถมดินคันทาง" localSheetId="3">#REF!</definedName>
    <definedName name="งานถมดินคันทาง" localSheetId="2">#REF!</definedName>
    <definedName name="งานถมดินคันทาง">#REF!</definedName>
    <definedName name="งานทรายถม" localSheetId="3">#REF!</definedName>
    <definedName name="งานทรายถม" localSheetId="2">#REF!</definedName>
    <definedName name="งานทรายถม">#REF!</definedName>
    <definedName name="งานทั่วไป">[47]ภูมิทัศน์!#REF!</definedName>
    <definedName name="งานบ่อพัก" localSheetId="3">'[11]หมวด 6(2)'!#REF!</definedName>
    <definedName name="งานบ่อพัก" localSheetId="2">'[11]หมวด 6(2)'!#REF!</definedName>
    <definedName name="งานบ่อพัก">'[11]หมวด 6(2)'!#REF!</definedName>
    <definedName name="งานบัวเชิงผนัง">[47]ภูมิทัศน์!#REF!</definedName>
    <definedName name="งานประตูหน้าต่าง">[47]ภูมิทัศน์!#REF!</definedName>
    <definedName name="งานปูแผ่นพื้นทางเท้า" localSheetId="3">'[11]หมวด 6(2)'!#REF!</definedName>
    <definedName name="งานปูแผ่นพื้นทางเท้า" localSheetId="86">'[11]หมวด 6(2)'!#REF!</definedName>
    <definedName name="งานปูแผ่นพื้นทางเท้า" localSheetId="2">'[11]หมวด 6(2)'!#REF!</definedName>
    <definedName name="งานปูแผ่นพื้นทางเท้า">'[11]หมวด 6(2)'!#REF!</definedName>
    <definedName name="งานปูบล็อกพื้นทางเท้าลายสี่เหลี่ยมผสม" localSheetId="3">#REF!</definedName>
    <definedName name="งานปูบล็อกพื้นทางเท้าลายสี่เหลี่ยมผสม" localSheetId="4">#REF!</definedName>
    <definedName name="งานปูบล็อกพื้นทางเท้าลายสี่เหลี่ยมผสม" localSheetId="18">#REF!</definedName>
    <definedName name="งานปูบล็อกพื้นทางเท้าลายสี่เหลี่ยมผสม" localSheetId="19">#REF!</definedName>
    <definedName name="งานปูบล็อกพื้นทางเท้าลายสี่เหลี่ยมผสม" localSheetId="9">#REF!</definedName>
    <definedName name="งานปูบล็อกพื้นทางเท้าลายสี่เหลี่ยมผสม" localSheetId="10">#REF!</definedName>
    <definedName name="งานปูบล็อกพื้นทางเท้าลายสี่เหลี่ยมผสม" localSheetId="11">#REF!</definedName>
    <definedName name="งานปูบล็อกพื้นทางเท้าลายสี่เหลี่ยมผสม" localSheetId="12">#REF!</definedName>
    <definedName name="งานปูบล็อกพื้นทางเท้าลายสี่เหลี่ยมผสม" localSheetId="13">#REF!</definedName>
    <definedName name="งานปูบล็อกพื้นทางเท้าลายสี่เหลี่ยมผสม" localSheetId="14">#REF!</definedName>
    <definedName name="งานปูบล็อกพื้นทางเท้าลายสี่เหลี่ยมผสม" localSheetId="15">#REF!</definedName>
    <definedName name="งานปูบล็อกพื้นทางเท้าลายสี่เหลี่ยมผสม" localSheetId="16">#REF!</definedName>
    <definedName name="งานปูบล็อกพื้นทางเท้าลายสี่เหลี่ยมผสม" localSheetId="17">#REF!</definedName>
    <definedName name="งานปูบล็อกพื้นทางเท้าลายสี่เหลี่ยมผสม" localSheetId="8">#REF!</definedName>
    <definedName name="งานปูบล็อกพื้นทางเท้าลายสี่เหลี่ยมผสม" localSheetId="7">#REF!</definedName>
    <definedName name="งานปูบล็อกพื้นทางเท้าลายสี่เหลี่ยมผสม" localSheetId="6">#REF!</definedName>
    <definedName name="งานปูบล็อกพื้นทางเท้าลายสี่เหลี่ยมผสม" localSheetId="20">#REF!</definedName>
    <definedName name="งานปูบล็อกพื้นทางเท้าลายสี่เหลี่ยมผสม" localSheetId="5">#REF!</definedName>
    <definedName name="งานปูบล็อกพื้นทางเท้าลายสี่เหลี่ยมผสม" localSheetId="21">#REF!</definedName>
    <definedName name="งานปูบล็อกพื้นทางเท้าลายสี่เหลี่ยมผสม" localSheetId="34">#REF!</definedName>
    <definedName name="งานปูบล็อกพื้นทางเท้าลายสี่เหลี่ยมผสม" localSheetId="35">#REF!</definedName>
    <definedName name="งานปูบล็อกพื้นทางเท้าลายสี่เหลี่ยมผสม" localSheetId="25">#REF!</definedName>
    <definedName name="งานปูบล็อกพื้นทางเท้าลายสี่เหลี่ยมผสม" localSheetId="27">#REF!</definedName>
    <definedName name="งานปูบล็อกพื้นทางเท้าลายสี่เหลี่ยมผสม" localSheetId="28">#REF!</definedName>
    <definedName name="งานปูบล็อกพื้นทางเท้าลายสี่เหลี่ยมผสม" localSheetId="29">#REF!</definedName>
    <definedName name="งานปูบล็อกพื้นทางเท้าลายสี่เหลี่ยมผสม" localSheetId="31">#REF!</definedName>
    <definedName name="งานปูบล็อกพื้นทางเท้าลายสี่เหลี่ยมผสม" localSheetId="32">#REF!</definedName>
    <definedName name="งานปูบล็อกพื้นทางเท้าลายสี่เหลี่ยมผสม" localSheetId="33">#REF!</definedName>
    <definedName name="งานปูบล็อกพื้นทางเท้าลายสี่เหลี่ยมผสม" localSheetId="24">#REF!</definedName>
    <definedName name="งานปูบล็อกพื้นทางเท้าลายสี่เหลี่ยมผสม" localSheetId="23">#REF!</definedName>
    <definedName name="งานปูบล็อกพื้นทางเท้าลายสี่เหลี่ยมผสม" localSheetId="36">#REF!</definedName>
    <definedName name="งานปูบล็อกพื้นทางเท้าลายสี่เหลี่ยมผสม" localSheetId="22">#REF!</definedName>
    <definedName name="งานปูบล็อกพื้นทางเท้าลายสี่เหลี่ยมผสม" localSheetId="26">#REF!</definedName>
    <definedName name="งานปูบล็อกพื้นทางเท้าลายสี่เหลี่ยมผสม" localSheetId="30">#REF!</definedName>
    <definedName name="งานปูบล็อกพื้นทางเท้าลายสี่เหลี่ยมผสม" localSheetId="41">#REF!</definedName>
    <definedName name="งานปูบล็อกพื้นทางเท้าลายสี่เหลี่ยมผสม" localSheetId="50">#REF!</definedName>
    <definedName name="งานปูบล็อกพื้นทางเท้าลายสี่เหลี่ยมผสม" localSheetId="51">#REF!</definedName>
    <definedName name="งานปูบล็อกพื้นทางเท้าลายสี่เหลี่ยมผสม" localSheetId="42">#REF!</definedName>
    <definedName name="งานปูบล็อกพื้นทางเท้าลายสี่เหลี่ยมผสม" localSheetId="43">#REF!</definedName>
    <definedName name="งานปูบล็อกพื้นทางเท้าลายสี่เหลี่ยมผสม" localSheetId="44">#REF!</definedName>
    <definedName name="งานปูบล็อกพื้นทางเท้าลายสี่เหลี่ยมผสม" localSheetId="45">#REF!</definedName>
    <definedName name="งานปูบล็อกพื้นทางเท้าลายสี่เหลี่ยมผสม" localSheetId="46">#REF!</definedName>
    <definedName name="งานปูบล็อกพื้นทางเท้าลายสี่เหลี่ยมผสม" localSheetId="47">#REF!</definedName>
    <definedName name="งานปูบล็อกพื้นทางเท้าลายสี่เหลี่ยมผสม" localSheetId="48">#REF!</definedName>
    <definedName name="งานปูบล็อกพื้นทางเท้าลายสี่เหลี่ยมผสม" localSheetId="49">#REF!</definedName>
    <definedName name="งานปูบล็อกพื้นทางเท้าลายสี่เหลี่ยมผสม" localSheetId="52">#REF!</definedName>
    <definedName name="งานปูบล็อกพื้นทางเท้าลายสี่เหลี่ยมผสม" localSheetId="40">#REF!</definedName>
    <definedName name="งานปูบล็อกพื้นทางเท้าลายสี่เหลี่ยมผสม" localSheetId="39">#REF!</definedName>
    <definedName name="งานปูบล็อกพื้นทางเท้าลายสี่เหลี่ยมผสม" localSheetId="38">#REF!</definedName>
    <definedName name="งานปูบล็อกพื้นทางเท้าลายสี่เหลี่ยมผสม" localSheetId="37">#REF!</definedName>
    <definedName name="งานปูบล็อกพื้นทางเท้าลายสี่เหลี่ยมผสม" localSheetId="57">#REF!</definedName>
    <definedName name="งานปูบล็อกพื้นทางเท้าลายสี่เหลี่ยมผสม" localSheetId="66">#REF!</definedName>
    <definedName name="งานปูบล็อกพื้นทางเท้าลายสี่เหลี่ยมผสม" localSheetId="67">#REF!</definedName>
    <definedName name="งานปูบล็อกพื้นทางเท้าลายสี่เหลี่ยมผสม" localSheetId="58">#REF!</definedName>
    <definedName name="งานปูบล็อกพื้นทางเท้าลายสี่เหลี่ยมผสม" localSheetId="59">#REF!</definedName>
    <definedName name="งานปูบล็อกพื้นทางเท้าลายสี่เหลี่ยมผสม" localSheetId="60">#REF!</definedName>
    <definedName name="งานปูบล็อกพื้นทางเท้าลายสี่เหลี่ยมผสม" localSheetId="61">#REF!</definedName>
    <definedName name="งานปูบล็อกพื้นทางเท้าลายสี่เหลี่ยมผสม" localSheetId="62">#REF!</definedName>
    <definedName name="งานปูบล็อกพื้นทางเท้าลายสี่เหลี่ยมผสม" localSheetId="63">#REF!</definedName>
    <definedName name="งานปูบล็อกพื้นทางเท้าลายสี่เหลี่ยมผสม" localSheetId="64">#REF!</definedName>
    <definedName name="งานปูบล็อกพื้นทางเท้าลายสี่เหลี่ยมผสม" localSheetId="65">#REF!</definedName>
    <definedName name="งานปูบล็อกพื้นทางเท้าลายสี่เหลี่ยมผสม" localSheetId="68">#REF!</definedName>
    <definedName name="งานปูบล็อกพื้นทางเท้าลายสี่เหลี่ยมผสม" localSheetId="56">#REF!</definedName>
    <definedName name="งานปูบล็อกพื้นทางเท้าลายสี่เหลี่ยมผสม" localSheetId="55">#REF!</definedName>
    <definedName name="งานปูบล็อกพื้นทางเท้าลายสี่เหลี่ยมผสม" localSheetId="54">#REF!</definedName>
    <definedName name="งานปูบล็อกพื้นทางเท้าลายสี่เหลี่ยมผสม" localSheetId="53">#REF!</definedName>
    <definedName name="งานปูบล็อกพื้นทางเท้าลายสี่เหลี่ยมผสม" localSheetId="85">#REF!</definedName>
    <definedName name="งานปูบล็อกพื้นทางเท้าลายสี่เหลี่ยมผสม" localSheetId="86">#REF!</definedName>
    <definedName name="งานปูบล็อกพื้นทางเท้าลายสี่เหลี่ยมผสม" localSheetId="2">#REF!</definedName>
    <definedName name="งานปูบล็อกพื้นทางเท้าลายสี่เหลี่ยมผสม">#REF!</definedName>
    <definedName name="งานผนัง" localSheetId="3">[47]ภูมิทัศน์!#REF!</definedName>
    <definedName name="งานผนัง">[47]ภูมิทัศน์!#REF!</definedName>
    <definedName name="งานผิวหินทรายกำแพงกันดิน" localSheetId="3">#REF!</definedName>
    <definedName name="งานผิวหินทรายกำแพงกันดิน" localSheetId="4">#REF!</definedName>
    <definedName name="งานผิวหินทรายกำแพงกันดิน" localSheetId="18">#REF!</definedName>
    <definedName name="งานผิวหินทรายกำแพงกันดิน" localSheetId="19">#REF!</definedName>
    <definedName name="งานผิวหินทรายกำแพงกันดิน" localSheetId="9">#REF!</definedName>
    <definedName name="งานผิวหินทรายกำแพงกันดิน" localSheetId="10">#REF!</definedName>
    <definedName name="งานผิวหินทรายกำแพงกันดิน" localSheetId="11">#REF!</definedName>
    <definedName name="งานผิวหินทรายกำแพงกันดิน" localSheetId="12">#REF!</definedName>
    <definedName name="งานผิวหินทรายกำแพงกันดิน" localSheetId="13">#REF!</definedName>
    <definedName name="งานผิวหินทรายกำแพงกันดิน" localSheetId="14">#REF!</definedName>
    <definedName name="งานผิวหินทรายกำแพงกันดิน" localSheetId="15">#REF!</definedName>
    <definedName name="งานผิวหินทรายกำแพงกันดิน" localSheetId="16">#REF!</definedName>
    <definedName name="งานผิวหินทรายกำแพงกันดิน" localSheetId="17">#REF!</definedName>
    <definedName name="งานผิวหินทรายกำแพงกันดิน" localSheetId="8">#REF!</definedName>
    <definedName name="งานผิวหินทรายกำแพงกันดิน" localSheetId="7">#REF!</definedName>
    <definedName name="งานผิวหินทรายกำแพงกันดิน" localSheetId="6">#REF!</definedName>
    <definedName name="งานผิวหินทรายกำแพงกันดิน" localSheetId="20">#REF!</definedName>
    <definedName name="งานผิวหินทรายกำแพงกันดิน" localSheetId="5">#REF!</definedName>
    <definedName name="งานผิวหินทรายกำแพงกันดิน" localSheetId="21">#REF!</definedName>
    <definedName name="งานผิวหินทรายกำแพงกันดิน" localSheetId="34">#REF!</definedName>
    <definedName name="งานผิวหินทรายกำแพงกันดิน" localSheetId="35">#REF!</definedName>
    <definedName name="งานผิวหินทรายกำแพงกันดิน" localSheetId="25">#REF!</definedName>
    <definedName name="งานผิวหินทรายกำแพงกันดิน" localSheetId="27">#REF!</definedName>
    <definedName name="งานผิวหินทรายกำแพงกันดิน" localSheetId="28">#REF!</definedName>
    <definedName name="งานผิวหินทรายกำแพงกันดิน" localSheetId="29">#REF!</definedName>
    <definedName name="งานผิวหินทรายกำแพงกันดิน" localSheetId="31">#REF!</definedName>
    <definedName name="งานผิวหินทรายกำแพงกันดิน" localSheetId="32">#REF!</definedName>
    <definedName name="งานผิวหินทรายกำแพงกันดิน" localSheetId="33">#REF!</definedName>
    <definedName name="งานผิวหินทรายกำแพงกันดิน" localSheetId="24">#REF!</definedName>
    <definedName name="งานผิวหินทรายกำแพงกันดิน" localSheetId="23">#REF!</definedName>
    <definedName name="งานผิวหินทรายกำแพงกันดิน" localSheetId="36">#REF!</definedName>
    <definedName name="งานผิวหินทรายกำแพงกันดิน" localSheetId="22">#REF!</definedName>
    <definedName name="งานผิวหินทรายกำแพงกันดิน" localSheetId="26">#REF!</definedName>
    <definedName name="งานผิวหินทรายกำแพงกันดิน" localSheetId="30">#REF!</definedName>
    <definedName name="งานผิวหินทรายกำแพงกันดิน" localSheetId="38">#REF!</definedName>
    <definedName name="งานผิวหินทรายกำแพงกันดิน" localSheetId="85">#REF!</definedName>
    <definedName name="งานผิวหินทรายกำแพงกันดิน" localSheetId="86">#REF!</definedName>
    <definedName name="งานผิวหินทรายกำแพงกันดิน" localSheetId="2">#REF!</definedName>
    <definedName name="งานผิวหินทรายกำแพงกันดิน">#REF!</definedName>
    <definedName name="งานฝ้าเพดาน" localSheetId="3">[47]ภูมิทัศน์!#REF!</definedName>
    <definedName name="งานฝ้าเพดาน" localSheetId="4">[47]ภูมิทัศน์!#REF!</definedName>
    <definedName name="งานฝ้าเพดาน">[47]ภูมิทัศน์!#REF!</definedName>
    <definedName name="งานพื้น" localSheetId="3">[47]ภูมิทัศน์!#REF!</definedName>
    <definedName name="งานพื้น" localSheetId="4">[47]ภูมิทัศน์!#REF!</definedName>
    <definedName name="งานพื้น">[47]ภูมิทัศน์!#REF!</definedName>
    <definedName name="งานภายนอก" localSheetId="3">#REF!</definedName>
    <definedName name="งานภายนอก" localSheetId="4">#REF!</definedName>
    <definedName name="งานภายนอก" localSheetId="38">#REF!</definedName>
    <definedName name="งานภายนอก" localSheetId="86">#REF!</definedName>
    <definedName name="งานภายนอก">#REF!</definedName>
    <definedName name="งานรองพื้นทางชนิดลูกรัง" localSheetId="3">#REF!</definedName>
    <definedName name="งานรองพื้นทางชนิดลูกรัง" localSheetId="18">#REF!</definedName>
    <definedName name="งานรองพื้นทางชนิดลูกรัง" localSheetId="19">#REF!</definedName>
    <definedName name="งานรองพื้นทางชนิดลูกรัง" localSheetId="9">#REF!</definedName>
    <definedName name="งานรองพื้นทางชนิดลูกรัง" localSheetId="10">#REF!</definedName>
    <definedName name="งานรองพื้นทางชนิดลูกรัง" localSheetId="11">#REF!</definedName>
    <definedName name="งานรองพื้นทางชนิดลูกรัง" localSheetId="12">#REF!</definedName>
    <definedName name="งานรองพื้นทางชนิดลูกรัง" localSheetId="13">#REF!</definedName>
    <definedName name="งานรองพื้นทางชนิดลูกรัง" localSheetId="14">#REF!</definedName>
    <definedName name="งานรองพื้นทางชนิดลูกรัง" localSheetId="15">#REF!</definedName>
    <definedName name="งานรองพื้นทางชนิดลูกรัง" localSheetId="16">#REF!</definedName>
    <definedName name="งานรองพื้นทางชนิดลูกรัง" localSheetId="17">#REF!</definedName>
    <definedName name="งานรองพื้นทางชนิดลูกรัง" localSheetId="8">#REF!</definedName>
    <definedName name="งานรองพื้นทางชนิดลูกรัง" localSheetId="7">#REF!</definedName>
    <definedName name="งานรองพื้นทางชนิดลูกรัง" localSheetId="6">#REF!</definedName>
    <definedName name="งานรองพื้นทางชนิดลูกรัง" localSheetId="20">#REF!</definedName>
    <definedName name="งานรองพื้นทางชนิดลูกรัง" localSheetId="5">#REF!</definedName>
    <definedName name="งานรองพื้นทางชนิดลูกรัง" localSheetId="21">#REF!</definedName>
    <definedName name="งานรองพื้นทางชนิดลูกรัง" localSheetId="34">#REF!</definedName>
    <definedName name="งานรองพื้นทางชนิดลูกรัง" localSheetId="35">#REF!</definedName>
    <definedName name="งานรองพื้นทางชนิดลูกรัง" localSheetId="25">#REF!</definedName>
    <definedName name="งานรองพื้นทางชนิดลูกรัง" localSheetId="27">#REF!</definedName>
    <definedName name="งานรองพื้นทางชนิดลูกรัง" localSheetId="28">#REF!</definedName>
    <definedName name="งานรองพื้นทางชนิดลูกรัง" localSheetId="29">#REF!</definedName>
    <definedName name="งานรองพื้นทางชนิดลูกรัง" localSheetId="31">#REF!</definedName>
    <definedName name="งานรองพื้นทางชนิดลูกรัง" localSheetId="32">#REF!</definedName>
    <definedName name="งานรองพื้นทางชนิดลูกรัง" localSheetId="33">#REF!</definedName>
    <definedName name="งานรองพื้นทางชนิดลูกรัง" localSheetId="24">#REF!</definedName>
    <definedName name="งานรองพื้นทางชนิดลูกรัง" localSheetId="23">#REF!</definedName>
    <definedName name="งานรองพื้นทางชนิดลูกรัง" localSheetId="36">#REF!</definedName>
    <definedName name="งานรองพื้นทางชนิดลูกรัง" localSheetId="22">#REF!</definedName>
    <definedName name="งานรองพื้นทางชนิดลูกรัง" localSheetId="26">#REF!</definedName>
    <definedName name="งานรองพื้นทางชนิดลูกรัง" localSheetId="30">#REF!</definedName>
    <definedName name="งานรองพื้นทางชนิดลูกรัง" localSheetId="38">#REF!</definedName>
    <definedName name="งานรองพื้นทางชนิดลูกรัง" localSheetId="85">#REF!</definedName>
    <definedName name="งานรองพื้นทางชนิดลูกรัง" localSheetId="2">#REF!</definedName>
    <definedName name="งานรองพื้นทางชนิดลูกรัง">#REF!</definedName>
    <definedName name="งานรองพื้นทางชนิดหินคลุก" localSheetId="3">#REF!</definedName>
    <definedName name="งานรองพื้นทางชนิดหินคลุก" localSheetId="38">#REF!</definedName>
    <definedName name="งานรองพื้นทางชนิดหินคลุก" localSheetId="2">#REF!</definedName>
    <definedName name="งานรองพื้นทางชนิดหินคลุก">#REF!</definedName>
    <definedName name="งานระบบไฟฟ้าแสงสว่าง" localSheetId="3">#REF!</definedName>
    <definedName name="งานระบบไฟฟ้าแสงสว่าง" localSheetId="2">#REF!</definedName>
    <definedName name="งานระบบไฟฟ้าแสงสว่าง">#REF!</definedName>
    <definedName name="งานระบบประปา" localSheetId="3">#REF!</definedName>
    <definedName name="งานระบบประปา" localSheetId="2">#REF!</definedName>
    <definedName name="งานระบบประปา">#REF!</definedName>
    <definedName name="งานระบบประปาสุขาภิบาลระบบกรองน้ำและระบบน้ำพุ" localSheetId="3">#REF!</definedName>
    <definedName name="งานระบบประปาสุขาภิบาลระบบกรองน้ำและระบบน้ำพุ" localSheetId="2">#REF!</definedName>
    <definedName name="งานระบบประปาสุขาภิบาลระบบกรองน้ำและระบบน้ำพุ">#REF!</definedName>
    <definedName name="งานรางระบายน้ำ_คสล.รูปตัววี" localSheetId="3">'[11]หมวด 6(2)'!#REF!</definedName>
    <definedName name="งานรางระบายน้ำ_คสล.รูปตัววี" localSheetId="2">'[11]หมวด 6(2)'!#REF!</definedName>
    <definedName name="งานรางระบายน้ำ_คสล.รูปตัววี">'[11]หมวด 6(2)'!#REF!</definedName>
    <definedName name="งานรื้อผิวจราจรลาดยาง" localSheetId="3">#REF!</definedName>
    <definedName name="งานรื้อผิวจราจรลาดยาง" localSheetId="4">#REF!</definedName>
    <definedName name="งานรื้อผิวจราจรลาดยาง" localSheetId="18">#REF!</definedName>
    <definedName name="งานรื้อผิวจราจรลาดยาง" localSheetId="19">#REF!</definedName>
    <definedName name="งานรื้อผิวจราจรลาดยาง" localSheetId="9">#REF!</definedName>
    <definedName name="งานรื้อผิวจราจรลาดยาง" localSheetId="10">#REF!</definedName>
    <definedName name="งานรื้อผิวจราจรลาดยาง" localSheetId="11">#REF!</definedName>
    <definedName name="งานรื้อผิวจราจรลาดยาง" localSheetId="12">#REF!</definedName>
    <definedName name="งานรื้อผิวจราจรลาดยาง" localSheetId="13">#REF!</definedName>
    <definedName name="งานรื้อผิวจราจรลาดยาง" localSheetId="14">#REF!</definedName>
    <definedName name="งานรื้อผิวจราจรลาดยาง" localSheetId="15">#REF!</definedName>
    <definedName name="งานรื้อผิวจราจรลาดยาง" localSheetId="16">#REF!</definedName>
    <definedName name="งานรื้อผิวจราจรลาดยาง" localSheetId="17">#REF!</definedName>
    <definedName name="งานรื้อผิวจราจรลาดยาง" localSheetId="8">#REF!</definedName>
    <definedName name="งานรื้อผิวจราจรลาดยาง" localSheetId="7">#REF!</definedName>
    <definedName name="งานรื้อผิวจราจรลาดยาง" localSheetId="6">#REF!</definedName>
    <definedName name="งานรื้อผิวจราจรลาดยาง" localSheetId="20">#REF!</definedName>
    <definedName name="งานรื้อผิวจราจรลาดยาง" localSheetId="5">#REF!</definedName>
    <definedName name="งานรื้อผิวจราจรลาดยาง" localSheetId="21">#REF!</definedName>
    <definedName name="งานรื้อผิวจราจรลาดยาง" localSheetId="34">#REF!</definedName>
    <definedName name="งานรื้อผิวจราจรลาดยาง" localSheetId="35">#REF!</definedName>
    <definedName name="งานรื้อผิวจราจรลาดยาง" localSheetId="25">#REF!</definedName>
    <definedName name="งานรื้อผิวจราจรลาดยาง" localSheetId="27">#REF!</definedName>
    <definedName name="งานรื้อผิวจราจรลาดยาง" localSheetId="28">#REF!</definedName>
    <definedName name="งานรื้อผิวจราจรลาดยาง" localSheetId="29">#REF!</definedName>
    <definedName name="งานรื้อผิวจราจรลาดยาง" localSheetId="31">#REF!</definedName>
    <definedName name="งานรื้อผิวจราจรลาดยาง" localSheetId="32">#REF!</definedName>
    <definedName name="งานรื้อผิวจราจรลาดยาง" localSheetId="33">#REF!</definedName>
    <definedName name="งานรื้อผิวจราจรลาดยาง" localSheetId="24">#REF!</definedName>
    <definedName name="งานรื้อผิวจราจรลาดยาง" localSheetId="23">#REF!</definedName>
    <definedName name="งานรื้อผิวจราจรลาดยาง" localSheetId="36">#REF!</definedName>
    <definedName name="งานรื้อผิวจราจรลาดยาง" localSheetId="22">#REF!</definedName>
    <definedName name="งานรื้อผิวจราจรลาดยาง" localSheetId="26">#REF!</definedName>
    <definedName name="งานรื้อผิวจราจรลาดยาง" localSheetId="30">#REF!</definedName>
    <definedName name="งานรื้อผิวจราจรลาดยาง" localSheetId="41">#REF!</definedName>
    <definedName name="งานรื้อผิวจราจรลาดยาง" localSheetId="50">#REF!</definedName>
    <definedName name="งานรื้อผิวจราจรลาดยาง" localSheetId="51">#REF!</definedName>
    <definedName name="งานรื้อผิวจราจรลาดยาง" localSheetId="42">#REF!</definedName>
    <definedName name="งานรื้อผิวจราจรลาดยาง" localSheetId="43">#REF!</definedName>
    <definedName name="งานรื้อผิวจราจรลาดยาง" localSheetId="44">#REF!</definedName>
    <definedName name="งานรื้อผิวจราจรลาดยาง" localSheetId="45">#REF!</definedName>
    <definedName name="งานรื้อผิวจราจรลาดยาง" localSheetId="46">#REF!</definedName>
    <definedName name="งานรื้อผิวจราจรลาดยาง" localSheetId="47">#REF!</definedName>
    <definedName name="งานรื้อผิวจราจรลาดยาง" localSheetId="48">#REF!</definedName>
    <definedName name="งานรื้อผิวจราจรลาดยาง" localSheetId="49">#REF!</definedName>
    <definedName name="งานรื้อผิวจราจรลาดยาง" localSheetId="52">#REF!</definedName>
    <definedName name="งานรื้อผิวจราจรลาดยาง" localSheetId="40">#REF!</definedName>
    <definedName name="งานรื้อผิวจราจรลาดยาง" localSheetId="39">#REF!</definedName>
    <definedName name="งานรื้อผิวจราจรลาดยาง" localSheetId="38">#REF!</definedName>
    <definedName name="งานรื้อผิวจราจรลาดยาง" localSheetId="37">#REF!</definedName>
    <definedName name="งานรื้อผิวจราจรลาดยาง" localSheetId="57">#REF!</definedName>
    <definedName name="งานรื้อผิวจราจรลาดยาง" localSheetId="66">#REF!</definedName>
    <definedName name="งานรื้อผิวจราจรลาดยาง" localSheetId="67">#REF!</definedName>
    <definedName name="งานรื้อผิวจราจรลาดยาง" localSheetId="58">#REF!</definedName>
    <definedName name="งานรื้อผิวจราจรลาดยาง" localSheetId="59">#REF!</definedName>
    <definedName name="งานรื้อผิวจราจรลาดยาง" localSheetId="60">#REF!</definedName>
    <definedName name="งานรื้อผิวจราจรลาดยาง" localSheetId="61">#REF!</definedName>
    <definedName name="งานรื้อผิวจราจรลาดยาง" localSheetId="62">#REF!</definedName>
    <definedName name="งานรื้อผิวจราจรลาดยาง" localSheetId="63">#REF!</definedName>
    <definedName name="งานรื้อผิวจราจรลาดยาง" localSheetId="64">#REF!</definedName>
    <definedName name="งานรื้อผิวจราจรลาดยาง" localSheetId="65">#REF!</definedName>
    <definedName name="งานรื้อผิวจราจรลาดยาง" localSheetId="68">#REF!</definedName>
    <definedName name="งานรื้อผิวจราจรลาดยาง" localSheetId="56">#REF!</definedName>
    <definedName name="งานรื้อผิวจราจรลาดยาง" localSheetId="55">#REF!</definedName>
    <definedName name="งานรื้อผิวจราจรลาดยาง" localSheetId="54">#REF!</definedName>
    <definedName name="งานรื้อผิวจราจรลาดยาง" localSheetId="53">#REF!</definedName>
    <definedName name="งานรื้อผิวจราจรลาดยาง" localSheetId="85">#REF!</definedName>
    <definedName name="งานรื้อผิวจราจรลาดยาง" localSheetId="86">#REF!</definedName>
    <definedName name="งานรื้อผิวจราจรลาดยาง" localSheetId="2">#REF!</definedName>
    <definedName name="งานรื้อผิวจราจรลาดยาง">#REF!</definedName>
    <definedName name="งานวัสดุคัดเลือก_ก" localSheetId="3">'[11]หมวด 2'!#REF!</definedName>
    <definedName name="งานวัสดุคัดเลือก_ก" localSheetId="4">'[11]หมวด 2'!#REF!</definedName>
    <definedName name="งานวัสดุคัดเลือก_ก" localSheetId="18">'[11]หมวด 2'!#REF!</definedName>
    <definedName name="งานวัสดุคัดเลือก_ก" localSheetId="19">'[11]หมวด 2'!#REF!</definedName>
    <definedName name="งานวัสดุคัดเลือก_ก" localSheetId="9">'[11]หมวด 2'!#REF!</definedName>
    <definedName name="งานวัสดุคัดเลือก_ก" localSheetId="10">'[11]หมวด 2'!#REF!</definedName>
    <definedName name="งานวัสดุคัดเลือก_ก" localSheetId="11">'[11]หมวด 2'!#REF!</definedName>
    <definedName name="งานวัสดุคัดเลือก_ก" localSheetId="12">'[11]หมวด 2'!#REF!</definedName>
    <definedName name="งานวัสดุคัดเลือก_ก" localSheetId="13">'[11]หมวด 2'!#REF!</definedName>
    <definedName name="งานวัสดุคัดเลือก_ก" localSheetId="14">'[11]หมวด 2'!#REF!</definedName>
    <definedName name="งานวัสดุคัดเลือก_ก" localSheetId="15">'[11]หมวด 2'!#REF!</definedName>
    <definedName name="งานวัสดุคัดเลือก_ก" localSheetId="16">'[11]หมวด 2'!#REF!</definedName>
    <definedName name="งานวัสดุคัดเลือก_ก" localSheetId="17">'[11]หมวด 2'!#REF!</definedName>
    <definedName name="งานวัสดุคัดเลือก_ก" localSheetId="8">'[11]หมวด 2'!#REF!</definedName>
    <definedName name="งานวัสดุคัดเลือก_ก" localSheetId="7">'[11]หมวด 2'!#REF!</definedName>
    <definedName name="งานวัสดุคัดเลือก_ก" localSheetId="6">'[11]หมวด 2'!#REF!</definedName>
    <definedName name="งานวัสดุคัดเลือก_ก" localSheetId="20">'[11]หมวด 2'!#REF!</definedName>
    <definedName name="งานวัสดุคัดเลือก_ก" localSheetId="5">'[11]หมวด 2'!#REF!</definedName>
    <definedName name="งานวัสดุคัดเลือก_ก" localSheetId="21">'[11]หมวด 2'!#REF!</definedName>
    <definedName name="งานวัสดุคัดเลือก_ก" localSheetId="34">'[11]หมวด 2'!#REF!</definedName>
    <definedName name="งานวัสดุคัดเลือก_ก" localSheetId="35">'[11]หมวด 2'!#REF!</definedName>
    <definedName name="งานวัสดุคัดเลือก_ก" localSheetId="25">'[11]หมวด 2'!#REF!</definedName>
    <definedName name="งานวัสดุคัดเลือก_ก" localSheetId="27">'[11]หมวด 2'!#REF!</definedName>
    <definedName name="งานวัสดุคัดเลือก_ก" localSheetId="28">'[11]หมวด 2'!#REF!</definedName>
    <definedName name="งานวัสดุคัดเลือก_ก" localSheetId="29">'[11]หมวด 2'!#REF!</definedName>
    <definedName name="งานวัสดุคัดเลือก_ก" localSheetId="31">'[11]หมวด 2'!#REF!</definedName>
    <definedName name="งานวัสดุคัดเลือก_ก" localSheetId="32">'[11]หมวด 2'!#REF!</definedName>
    <definedName name="งานวัสดุคัดเลือก_ก" localSheetId="33">'[11]หมวด 2'!#REF!</definedName>
    <definedName name="งานวัสดุคัดเลือก_ก" localSheetId="24">'[11]หมวด 2'!#REF!</definedName>
    <definedName name="งานวัสดุคัดเลือก_ก" localSheetId="23">'[11]หมวด 2'!#REF!</definedName>
    <definedName name="งานวัสดุคัดเลือก_ก" localSheetId="36">'[11]หมวด 2'!#REF!</definedName>
    <definedName name="งานวัสดุคัดเลือก_ก" localSheetId="22">'[11]หมวด 2'!#REF!</definedName>
    <definedName name="งานวัสดุคัดเลือก_ก" localSheetId="26">'[11]หมวด 2'!#REF!</definedName>
    <definedName name="งานวัสดุคัดเลือก_ก" localSheetId="30">'[11]หมวด 2'!#REF!</definedName>
    <definedName name="งานวัสดุคัดเลือก_ก" localSheetId="41">'[11]หมวด 2'!#REF!</definedName>
    <definedName name="งานวัสดุคัดเลือก_ก" localSheetId="50">'[11]หมวด 2'!#REF!</definedName>
    <definedName name="งานวัสดุคัดเลือก_ก" localSheetId="51">'[11]หมวด 2'!#REF!</definedName>
    <definedName name="งานวัสดุคัดเลือก_ก" localSheetId="42">'[11]หมวด 2'!#REF!</definedName>
    <definedName name="งานวัสดุคัดเลือก_ก" localSheetId="43">'[11]หมวด 2'!#REF!</definedName>
    <definedName name="งานวัสดุคัดเลือก_ก" localSheetId="44">'[11]หมวด 2'!#REF!</definedName>
    <definedName name="งานวัสดุคัดเลือก_ก" localSheetId="45">'[11]หมวด 2'!#REF!</definedName>
    <definedName name="งานวัสดุคัดเลือก_ก" localSheetId="46">'[11]หมวด 2'!#REF!</definedName>
    <definedName name="งานวัสดุคัดเลือก_ก" localSheetId="47">'[11]หมวด 2'!#REF!</definedName>
    <definedName name="งานวัสดุคัดเลือก_ก" localSheetId="48">'[11]หมวด 2'!#REF!</definedName>
    <definedName name="งานวัสดุคัดเลือก_ก" localSheetId="49">'[11]หมวด 2'!#REF!</definedName>
    <definedName name="งานวัสดุคัดเลือก_ก" localSheetId="52">'[11]หมวด 2'!#REF!</definedName>
    <definedName name="งานวัสดุคัดเลือก_ก" localSheetId="40">'[11]หมวด 2'!#REF!</definedName>
    <definedName name="งานวัสดุคัดเลือก_ก" localSheetId="39">'[11]หมวด 2'!#REF!</definedName>
    <definedName name="งานวัสดุคัดเลือก_ก" localSheetId="38">'[11]หมวด 2'!#REF!</definedName>
    <definedName name="งานวัสดุคัดเลือก_ก" localSheetId="37">'[11]หมวด 2'!#REF!</definedName>
    <definedName name="งานวัสดุคัดเลือก_ก" localSheetId="57">'[11]หมวด 2'!#REF!</definedName>
    <definedName name="งานวัสดุคัดเลือก_ก" localSheetId="66">'[11]หมวด 2'!#REF!</definedName>
    <definedName name="งานวัสดุคัดเลือก_ก" localSheetId="67">'[11]หมวด 2'!#REF!</definedName>
    <definedName name="งานวัสดุคัดเลือก_ก" localSheetId="58">'[11]หมวด 2'!#REF!</definedName>
    <definedName name="งานวัสดุคัดเลือก_ก" localSheetId="59">'[11]หมวด 2'!#REF!</definedName>
    <definedName name="งานวัสดุคัดเลือก_ก" localSheetId="60">'[11]หมวด 2'!#REF!</definedName>
    <definedName name="งานวัสดุคัดเลือก_ก" localSheetId="61">'[11]หมวด 2'!#REF!</definedName>
    <definedName name="งานวัสดุคัดเลือก_ก" localSheetId="62">'[11]หมวด 2'!#REF!</definedName>
    <definedName name="งานวัสดุคัดเลือก_ก" localSheetId="63">'[11]หมวด 2'!#REF!</definedName>
    <definedName name="งานวัสดุคัดเลือก_ก" localSheetId="64">'[11]หมวด 2'!#REF!</definedName>
    <definedName name="งานวัสดุคัดเลือก_ก" localSheetId="65">'[11]หมวด 2'!#REF!</definedName>
    <definedName name="งานวัสดุคัดเลือก_ก" localSheetId="68">'[11]หมวด 2'!#REF!</definedName>
    <definedName name="งานวัสดุคัดเลือก_ก" localSheetId="56">'[11]หมวด 2'!#REF!</definedName>
    <definedName name="งานวัสดุคัดเลือก_ก" localSheetId="55">'[11]หมวด 2'!#REF!</definedName>
    <definedName name="งานวัสดุคัดเลือก_ก" localSheetId="54">'[11]หมวด 2'!#REF!</definedName>
    <definedName name="งานวัสดุคัดเลือก_ก" localSheetId="53">'[11]หมวด 2'!#REF!</definedName>
    <definedName name="งานวัสดุคัดเลือก_ก" localSheetId="85">'[11]หมวด 2'!#REF!</definedName>
    <definedName name="งานวัสดุคัดเลือก_ก" localSheetId="86">'[11]หมวด 2'!#REF!</definedName>
    <definedName name="งานวัสดุคัดเลือก_ก" localSheetId="2">'[11]หมวด 2'!#REF!</definedName>
    <definedName name="งานวัสดุคัดเลือก_ก">'[11]หมวด 2'!#REF!</definedName>
    <definedName name="งานสถาปัตยกรรมห้องปั๊มน้ำ" localSheetId="3">#REF!</definedName>
    <definedName name="งานสถาปัตยกรรมห้องปั๊มน้ำ" localSheetId="4">#REF!</definedName>
    <definedName name="งานสถาปัตยกรรมห้องปั๊มน้ำ" localSheetId="18">#REF!</definedName>
    <definedName name="งานสถาปัตยกรรมห้องปั๊มน้ำ" localSheetId="19">#REF!</definedName>
    <definedName name="งานสถาปัตยกรรมห้องปั๊มน้ำ" localSheetId="9">#REF!</definedName>
    <definedName name="งานสถาปัตยกรรมห้องปั๊มน้ำ" localSheetId="10">#REF!</definedName>
    <definedName name="งานสถาปัตยกรรมห้องปั๊มน้ำ" localSheetId="11">#REF!</definedName>
    <definedName name="งานสถาปัตยกรรมห้องปั๊มน้ำ" localSheetId="12">#REF!</definedName>
    <definedName name="งานสถาปัตยกรรมห้องปั๊มน้ำ" localSheetId="13">#REF!</definedName>
    <definedName name="งานสถาปัตยกรรมห้องปั๊มน้ำ" localSheetId="14">#REF!</definedName>
    <definedName name="งานสถาปัตยกรรมห้องปั๊มน้ำ" localSheetId="15">#REF!</definedName>
    <definedName name="งานสถาปัตยกรรมห้องปั๊มน้ำ" localSheetId="16">#REF!</definedName>
    <definedName name="งานสถาปัตยกรรมห้องปั๊มน้ำ" localSheetId="17">#REF!</definedName>
    <definedName name="งานสถาปัตยกรรมห้องปั๊มน้ำ" localSheetId="8">#REF!</definedName>
    <definedName name="งานสถาปัตยกรรมห้องปั๊มน้ำ" localSheetId="7">#REF!</definedName>
    <definedName name="งานสถาปัตยกรรมห้องปั๊มน้ำ" localSheetId="6">#REF!</definedName>
    <definedName name="งานสถาปัตยกรรมห้องปั๊มน้ำ" localSheetId="20">#REF!</definedName>
    <definedName name="งานสถาปัตยกรรมห้องปั๊มน้ำ" localSheetId="5">#REF!</definedName>
    <definedName name="งานสถาปัตยกรรมห้องปั๊มน้ำ" localSheetId="21">#REF!</definedName>
    <definedName name="งานสถาปัตยกรรมห้องปั๊มน้ำ" localSheetId="34">#REF!</definedName>
    <definedName name="งานสถาปัตยกรรมห้องปั๊มน้ำ" localSheetId="35">#REF!</definedName>
    <definedName name="งานสถาปัตยกรรมห้องปั๊มน้ำ" localSheetId="25">#REF!</definedName>
    <definedName name="งานสถาปัตยกรรมห้องปั๊มน้ำ" localSheetId="27">#REF!</definedName>
    <definedName name="งานสถาปัตยกรรมห้องปั๊มน้ำ" localSheetId="28">#REF!</definedName>
    <definedName name="งานสถาปัตยกรรมห้องปั๊มน้ำ" localSheetId="29">#REF!</definedName>
    <definedName name="งานสถาปัตยกรรมห้องปั๊มน้ำ" localSheetId="31">#REF!</definedName>
    <definedName name="งานสถาปัตยกรรมห้องปั๊มน้ำ" localSheetId="32">#REF!</definedName>
    <definedName name="งานสถาปัตยกรรมห้องปั๊มน้ำ" localSheetId="33">#REF!</definedName>
    <definedName name="งานสถาปัตยกรรมห้องปั๊มน้ำ" localSheetId="24">#REF!</definedName>
    <definedName name="งานสถาปัตยกรรมห้องปั๊มน้ำ" localSheetId="23">#REF!</definedName>
    <definedName name="งานสถาปัตยกรรมห้องปั๊มน้ำ" localSheetId="36">#REF!</definedName>
    <definedName name="งานสถาปัตยกรรมห้องปั๊มน้ำ" localSheetId="22">#REF!</definedName>
    <definedName name="งานสถาปัตยกรรมห้องปั๊มน้ำ" localSheetId="26">#REF!</definedName>
    <definedName name="งานสถาปัตยกรรมห้องปั๊มน้ำ" localSheetId="30">#REF!</definedName>
    <definedName name="งานสถาปัตยกรรมห้องปั๊มน้ำ" localSheetId="41">#REF!</definedName>
    <definedName name="งานสถาปัตยกรรมห้องปั๊มน้ำ" localSheetId="50">#REF!</definedName>
    <definedName name="งานสถาปัตยกรรมห้องปั๊มน้ำ" localSheetId="51">#REF!</definedName>
    <definedName name="งานสถาปัตยกรรมห้องปั๊มน้ำ" localSheetId="42">#REF!</definedName>
    <definedName name="งานสถาปัตยกรรมห้องปั๊มน้ำ" localSheetId="43">#REF!</definedName>
    <definedName name="งานสถาปัตยกรรมห้องปั๊มน้ำ" localSheetId="44">#REF!</definedName>
    <definedName name="งานสถาปัตยกรรมห้องปั๊มน้ำ" localSheetId="45">#REF!</definedName>
    <definedName name="งานสถาปัตยกรรมห้องปั๊มน้ำ" localSheetId="46">#REF!</definedName>
    <definedName name="งานสถาปัตยกรรมห้องปั๊มน้ำ" localSheetId="47">#REF!</definedName>
    <definedName name="งานสถาปัตยกรรมห้องปั๊มน้ำ" localSheetId="48">#REF!</definedName>
    <definedName name="งานสถาปัตยกรรมห้องปั๊มน้ำ" localSheetId="49">#REF!</definedName>
    <definedName name="งานสถาปัตยกรรมห้องปั๊มน้ำ" localSheetId="52">#REF!</definedName>
    <definedName name="งานสถาปัตยกรรมห้องปั๊มน้ำ" localSheetId="40">#REF!</definedName>
    <definedName name="งานสถาปัตยกรรมห้องปั๊มน้ำ" localSheetId="39">#REF!</definedName>
    <definedName name="งานสถาปัตยกรรมห้องปั๊มน้ำ" localSheetId="38">#REF!</definedName>
    <definedName name="งานสถาปัตยกรรมห้องปั๊มน้ำ" localSheetId="37">#REF!</definedName>
    <definedName name="งานสถาปัตยกรรมห้องปั๊มน้ำ" localSheetId="57">#REF!</definedName>
    <definedName name="งานสถาปัตยกรรมห้องปั๊มน้ำ" localSheetId="66">#REF!</definedName>
    <definedName name="งานสถาปัตยกรรมห้องปั๊มน้ำ" localSheetId="67">#REF!</definedName>
    <definedName name="งานสถาปัตยกรรมห้องปั๊มน้ำ" localSheetId="58">#REF!</definedName>
    <definedName name="งานสถาปัตยกรรมห้องปั๊มน้ำ" localSheetId="59">#REF!</definedName>
    <definedName name="งานสถาปัตยกรรมห้องปั๊มน้ำ" localSheetId="60">#REF!</definedName>
    <definedName name="งานสถาปัตยกรรมห้องปั๊มน้ำ" localSheetId="61">#REF!</definedName>
    <definedName name="งานสถาปัตยกรรมห้องปั๊มน้ำ" localSheetId="62">#REF!</definedName>
    <definedName name="งานสถาปัตยกรรมห้องปั๊มน้ำ" localSheetId="63">#REF!</definedName>
    <definedName name="งานสถาปัตยกรรมห้องปั๊มน้ำ" localSheetId="64">#REF!</definedName>
    <definedName name="งานสถาปัตยกรรมห้องปั๊มน้ำ" localSheetId="65">#REF!</definedName>
    <definedName name="งานสถาปัตยกรรมห้องปั๊มน้ำ" localSheetId="68">#REF!</definedName>
    <definedName name="งานสถาปัตยกรรมห้องปั๊มน้ำ" localSheetId="56">#REF!</definedName>
    <definedName name="งานสถาปัตยกรรมห้องปั๊มน้ำ" localSheetId="55">#REF!</definedName>
    <definedName name="งานสถาปัตยกรรมห้องปั๊มน้ำ" localSheetId="54">#REF!</definedName>
    <definedName name="งานสถาปัตยกรรมห้องปั๊มน้ำ" localSheetId="69">#REF!</definedName>
    <definedName name="งานสถาปัตยกรรมห้องปั๊มน้ำ" localSheetId="53">#REF!</definedName>
    <definedName name="งานสถาปัตยกรรมห้องปั๊มน้ำ" localSheetId="85">#REF!</definedName>
    <definedName name="งานสถาปัตยกรรมห้องปั๊มน้ำ" localSheetId="86">#REF!</definedName>
    <definedName name="งานสถาปัตยกรรมห้องปั๊มน้ำ" localSheetId="2">#REF!</definedName>
    <definedName name="งานสถาปัตยกรรมห้องปั๊มน้ำ">#REF!</definedName>
    <definedName name="งานสะพานคอนกรีตเสริมเหล็ก" localSheetId="3">#REF!</definedName>
    <definedName name="งานสะพานคอนกรีตเสริมเหล็ก" localSheetId="4">#REF!</definedName>
    <definedName name="งานสะพานคอนกรีตเสริมเหล็ก" localSheetId="18">#REF!</definedName>
    <definedName name="งานสะพานคอนกรีตเสริมเหล็ก" localSheetId="19">#REF!</definedName>
    <definedName name="งานสะพานคอนกรีตเสริมเหล็ก" localSheetId="9">#REF!</definedName>
    <definedName name="งานสะพานคอนกรีตเสริมเหล็ก" localSheetId="10">#REF!</definedName>
    <definedName name="งานสะพานคอนกรีตเสริมเหล็ก" localSheetId="11">#REF!</definedName>
    <definedName name="งานสะพานคอนกรีตเสริมเหล็ก" localSheetId="12">#REF!</definedName>
    <definedName name="งานสะพานคอนกรีตเสริมเหล็ก" localSheetId="13">#REF!</definedName>
    <definedName name="งานสะพานคอนกรีตเสริมเหล็ก" localSheetId="14">#REF!</definedName>
    <definedName name="งานสะพานคอนกรีตเสริมเหล็ก" localSheetId="15">#REF!</definedName>
    <definedName name="งานสะพานคอนกรีตเสริมเหล็ก" localSheetId="16">#REF!</definedName>
    <definedName name="งานสะพานคอนกรีตเสริมเหล็ก" localSheetId="17">#REF!</definedName>
    <definedName name="งานสะพานคอนกรีตเสริมเหล็ก" localSheetId="8">#REF!</definedName>
    <definedName name="งานสะพานคอนกรีตเสริมเหล็ก" localSheetId="7">#REF!</definedName>
    <definedName name="งานสะพานคอนกรีตเสริมเหล็ก" localSheetId="6">#REF!</definedName>
    <definedName name="งานสะพานคอนกรีตเสริมเหล็ก" localSheetId="20">#REF!</definedName>
    <definedName name="งานสะพานคอนกรีตเสริมเหล็ก" localSheetId="5">#REF!</definedName>
    <definedName name="งานสะพานคอนกรีตเสริมเหล็ก" localSheetId="21">#REF!</definedName>
    <definedName name="งานสะพานคอนกรีตเสริมเหล็ก" localSheetId="34">#REF!</definedName>
    <definedName name="งานสะพานคอนกรีตเสริมเหล็ก" localSheetId="35">#REF!</definedName>
    <definedName name="งานสะพานคอนกรีตเสริมเหล็ก" localSheetId="25">#REF!</definedName>
    <definedName name="งานสะพานคอนกรีตเสริมเหล็ก" localSheetId="27">#REF!</definedName>
    <definedName name="งานสะพานคอนกรีตเสริมเหล็ก" localSheetId="28">#REF!</definedName>
    <definedName name="งานสะพานคอนกรีตเสริมเหล็ก" localSheetId="29">#REF!</definedName>
    <definedName name="งานสะพานคอนกรีตเสริมเหล็ก" localSheetId="31">#REF!</definedName>
    <definedName name="งานสะพานคอนกรีตเสริมเหล็ก" localSheetId="32">#REF!</definedName>
    <definedName name="งานสะพานคอนกรีตเสริมเหล็ก" localSheetId="33">#REF!</definedName>
    <definedName name="งานสะพานคอนกรีตเสริมเหล็ก" localSheetId="24">#REF!</definedName>
    <definedName name="งานสะพานคอนกรีตเสริมเหล็ก" localSheetId="23">#REF!</definedName>
    <definedName name="งานสะพานคอนกรีตเสริมเหล็ก" localSheetId="36">#REF!</definedName>
    <definedName name="งานสะพานคอนกรีตเสริมเหล็ก" localSheetId="22">#REF!</definedName>
    <definedName name="งานสะพานคอนกรีตเสริมเหล็ก" localSheetId="26">#REF!</definedName>
    <definedName name="งานสะพานคอนกรีตเสริมเหล็ก" localSheetId="30">#REF!</definedName>
    <definedName name="งานสะพานคอนกรีตเสริมเหล็ก" localSheetId="85">#REF!</definedName>
    <definedName name="งานสะพานคอนกรีตเสริมเหล็ก" localSheetId="86">#REF!</definedName>
    <definedName name="งานสะพานคอนกรีตเสริมเหล็ก" localSheetId="2">#REF!</definedName>
    <definedName name="งานสะพานคอนกรีตเสริมเหล็ก">#REF!</definedName>
    <definedName name="งานสาธารณูปโภค" localSheetId="3">#REF!</definedName>
    <definedName name="งานสาธารณูปโภค" localSheetId="4">#REF!</definedName>
    <definedName name="งานสาธารณูปโภค" localSheetId="85">#REF!</definedName>
    <definedName name="งานสาธารณูปโภค" localSheetId="86">#REF!</definedName>
    <definedName name="งานสาธารณูปโภค" localSheetId="2">#REF!</definedName>
    <definedName name="งานสาธารณูปโภค">#REF!</definedName>
    <definedName name="งานสุขภัณฑ์" localSheetId="4">[47]ภูมิทัศน์!#REF!</definedName>
    <definedName name="งานสุขภัณฑ์">[47]ภูมิทัศน์!#REF!</definedName>
    <definedName name="งานหลังคา" localSheetId="4">[47]ภูมิทัศน์!#REF!</definedName>
    <definedName name="งานหลังคา">[47]ภูมิทัศน์!#REF!</definedName>
    <definedName name="จัดสร้าง" localSheetId="3">#REF!</definedName>
    <definedName name="จัดสร้าง" localSheetId="4">#REF!</definedName>
    <definedName name="จัดสร้าง" localSheetId="38">#REF!</definedName>
    <definedName name="จัดสร้าง" localSheetId="86">#REF!</definedName>
    <definedName name="จัดสร้าง">#REF!</definedName>
    <definedName name="จำนวน1.2" localSheetId="3">#REF!</definedName>
    <definedName name="จำนวน1.2" localSheetId="38">#REF!</definedName>
    <definedName name="จำนวน1.2" localSheetId="2">#REF!</definedName>
    <definedName name="จำนวน1.2">#REF!</definedName>
    <definedName name="จำนวน1.3.1" localSheetId="3">#REF!</definedName>
    <definedName name="จำนวน1.3.1" localSheetId="38">#REF!</definedName>
    <definedName name="จำนวน1.3.1" localSheetId="2">#REF!</definedName>
    <definedName name="จำนวน1.3.1">#REF!</definedName>
    <definedName name="จำนวน1.3.2" localSheetId="3">#REF!</definedName>
    <definedName name="จำนวน1.3.2" localSheetId="2">#REF!</definedName>
    <definedName name="จำนวน1.3.2">#REF!</definedName>
    <definedName name="จำนวน1.3.3" localSheetId="3">#REF!</definedName>
    <definedName name="จำนวน1.3.3" localSheetId="2">#REF!</definedName>
    <definedName name="จำนวน1.3.3">#REF!</definedName>
    <definedName name="จำนวน1.3.4" localSheetId="3">#REF!</definedName>
    <definedName name="จำนวน1.3.4" localSheetId="2">#REF!</definedName>
    <definedName name="จำนวน1.3.4">#REF!</definedName>
    <definedName name="จำนวน1.4.1" localSheetId="3">#REF!</definedName>
    <definedName name="จำนวน1.4.1" localSheetId="2">#REF!</definedName>
    <definedName name="จำนวน1.4.1">#REF!</definedName>
    <definedName name="จำนวน1.4.2" localSheetId="3">#REF!</definedName>
    <definedName name="จำนวน1.4.2" localSheetId="2">#REF!</definedName>
    <definedName name="จำนวน1.4.2">#REF!</definedName>
    <definedName name="จำนวน1.4.3" localSheetId="3">#REF!</definedName>
    <definedName name="จำนวน1.4.3" localSheetId="2">#REF!</definedName>
    <definedName name="จำนวน1.4.3">#REF!</definedName>
    <definedName name="จำนวน1.5" localSheetId="3">#REF!</definedName>
    <definedName name="จำนวน1.5" localSheetId="2">#REF!</definedName>
    <definedName name="จำนวน1.5">#REF!</definedName>
    <definedName name="จำนวน1.6.1" localSheetId="3">#REF!</definedName>
    <definedName name="จำนวน1.6.1" localSheetId="2">#REF!</definedName>
    <definedName name="จำนวน1.6.1">#REF!</definedName>
    <definedName name="จำนวน1.6.2" localSheetId="3">#REF!</definedName>
    <definedName name="จำนวน1.6.2" localSheetId="2">#REF!</definedName>
    <definedName name="จำนวน1.6.2">#REF!</definedName>
    <definedName name="จำนวน2.1" localSheetId="3">#REF!</definedName>
    <definedName name="จำนวน2.1" localSheetId="2">#REF!</definedName>
    <definedName name="จำนวน2.1">#REF!</definedName>
    <definedName name="จำนวน2.2_1" localSheetId="3">#REF!</definedName>
    <definedName name="จำนวน2.2_1" localSheetId="2">#REF!</definedName>
    <definedName name="จำนวน2.2_1">#REF!</definedName>
    <definedName name="จำนวน2.2_2" localSheetId="3">#REF!</definedName>
    <definedName name="จำนวน2.2_2" localSheetId="2">#REF!</definedName>
    <definedName name="จำนวน2.2_2">#REF!</definedName>
    <definedName name="จำนวน2.2_3" localSheetId="3">#REF!</definedName>
    <definedName name="จำนวน2.2_3" localSheetId="2">#REF!</definedName>
    <definedName name="จำนวน2.2_3">#REF!</definedName>
    <definedName name="จำนวน2.2_4" localSheetId="3">#REF!</definedName>
    <definedName name="จำนวน2.2_4" localSheetId="2">#REF!</definedName>
    <definedName name="จำนวน2.2_4">#REF!</definedName>
    <definedName name="จำนวน2.2_5" localSheetId="3">#REF!</definedName>
    <definedName name="จำนวน2.2_5" localSheetId="2">#REF!</definedName>
    <definedName name="จำนวน2.2_5">#REF!</definedName>
    <definedName name="จำนวน2.3_1" localSheetId="3">#REF!</definedName>
    <definedName name="จำนวน2.3_1" localSheetId="2">#REF!</definedName>
    <definedName name="จำนวน2.3_1">#REF!</definedName>
    <definedName name="จำนวน2.3_10.1" localSheetId="3">#REF!</definedName>
    <definedName name="จำนวน2.3_10.1" localSheetId="2">#REF!</definedName>
    <definedName name="จำนวน2.3_10.1">#REF!</definedName>
    <definedName name="จำนวน2.3_10.2" localSheetId="3">#REF!</definedName>
    <definedName name="จำนวน2.3_10.2" localSheetId="2">#REF!</definedName>
    <definedName name="จำนวน2.3_10.2">#REF!</definedName>
    <definedName name="จำนวน2.3_2" localSheetId="3">#REF!</definedName>
    <definedName name="จำนวน2.3_2" localSheetId="2">#REF!</definedName>
    <definedName name="จำนวน2.3_2">#REF!</definedName>
    <definedName name="จำนวน2.3_3" localSheetId="3">#REF!</definedName>
    <definedName name="จำนวน2.3_3" localSheetId="2">#REF!</definedName>
    <definedName name="จำนวน2.3_3">#REF!</definedName>
    <definedName name="จำนวน2.3_4" localSheetId="3">#REF!</definedName>
    <definedName name="จำนวน2.3_4" localSheetId="2">#REF!</definedName>
    <definedName name="จำนวน2.3_4">#REF!</definedName>
    <definedName name="จำนวน2.3_5" localSheetId="3">#REF!</definedName>
    <definedName name="จำนวน2.3_5" localSheetId="2">#REF!</definedName>
    <definedName name="จำนวน2.3_5">#REF!</definedName>
    <definedName name="จำนวน2.3_6" localSheetId="3">#REF!</definedName>
    <definedName name="จำนวน2.3_6" localSheetId="2">#REF!</definedName>
    <definedName name="จำนวน2.3_6">#REF!</definedName>
    <definedName name="จำนวน2.3_7" localSheetId="3">#REF!</definedName>
    <definedName name="จำนวน2.3_7" localSheetId="2">#REF!</definedName>
    <definedName name="จำนวน2.3_7">#REF!</definedName>
    <definedName name="จำนวน2.3_8" localSheetId="3">#REF!</definedName>
    <definedName name="จำนวน2.3_8" localSheetId="2">#REF!</definedName>
    <definedName name="จำนวน2.3_8">#REF!</definedName>
    <definedName name="จำนวน2.3_9" localSheetId="3">#REF!</definedName>
    <definedName name="จำนวน2.3_9" localSheetId="2">#REF!</definedName>
    <definedName name="จำนวน2.3_9">#REF!</definedName>
    <definedName name="จำนวน2.4_1" localSheetId="3">#REF!</definedName>
    <definedName name="จำนวน2.4_1" localSheetId="2">#REF!</definedName>
    <definedName name="จำนวน2.4_1">#REF!</definedName>
    <definedName name="จำนวน2.4_2" localSheetId="3">#REF!</definedName>
    <definedName name="จำนวน2.4_2" localSheetId="2">#REF!</definedName>
    <definedName name="จำนวน2.4_2">#REF!</definedName>
    <definedName name="จำนวน3.1_1" localSheetId="3">#REF!</definedName>
    <definedName name="จำนวน3.1_1" localSheetId="2">#REF!</definedName>
    <definedName name="จำนวน3.1_1">#REF!</definedName>
    <definedName name="จำนวน3.1_2" localSheetId="3">#REF!</definedName>
    <definedName name="จำนวน3.1_2" localSheetId="2">#REF!</definedName>
    <definedName name="จำนวน3.1_2">#REF!</definedName>
    <definedName name="จำนวน3.2_1" localSheetId="3">#REF!</definedName>
    <definedName name="จำนวน3.2_1" localSheetId="2">#REF!</definedName>
    <definedName name="จำนวน3.2_1">#REF!</definedName>
    <definedName name="จำนวน3.2_2" localSheetId="3">#REF!</definedName>
    <definedName name="จำนวน3.2_2" localSheetId="2">#REF!</definedName>
    <definedName name="จำนวน3.2_2">#REF!</definedName>
    <definedName name="จำนวน3.2_3" localSheetId="3">#REF!</definedName>
    <definedName name="จำนวน3.2_3" localSheetId="2">#REF!</definedName>
    <definedName name="จำนวน3.2_3">#REF!</definedName>
    <definedName name="จำนวน3.2_4" localSheetId="3">#REF!</definedName>
    <definedName name="จำนวน3.2_4" localSheetId="2">#REF!</definedName>
    <definedName name="จำนวน3.2_4">#REF!</definedName>
    <definedName name="จำนวน3.3_1" localSheetId="3">#REF!</definedName>
    <definedName name="จำนวน3.3_1" localSheetId="2">#REF!</definedName>
    <definedName name="จำนวน3.3_1">#REF!</definedName>
    <definedName name="จำนวน3.4_1" localSheetId="3">#REF!</definedName>
    <definedName name="จำนวน3.4_1" localSheetId="2">#REF!</definedName>
    <definedName name="จำนวน3.4_1">#REF!</definedName>
    <definedName name="จำนวน3.4_2" localSheetId="3">#REF!</definedName>
    <definedName name="จำนวน3.4_2" localSheetId="2">#REF!</definedName>
    <definedName name="จำนวน3.4_2">#REF!</definedName>
    <definedName name="จำนวน3.5" localSheetId="3">#REF!</definedName>
    <definedName name="จำนวน3.5" localSheetId="2">#REF!</definedName>
    <definedName name="จำนวน3.5">#REF!</definedName>
    <definedName name="จำนวน3.6" localSheetId="3">#REF!</definedName>
    <definedName name="จำนวน3.6" localSheetId="2">#REF!</definedName>
    <definedName name="จำนวน3.6">#REF!</definedName>
    <definedName name="จำนวน3.7_1" localSheetId="3">#REF!</definedName>
    <definedName name="จำนวน3.7_1" localSheetId="2">#REF!</definedName>
    <definedName name="จำนวน3.7_1">#REF!</definedName>
    <definedName name="จำนวน3.7_2" localSheetId="3">#REF!</definedName>
    <definedName name="จำนวน3.7_2" localSheetId="2">#REF!</definedName>
    <definedName name="จำนวน3.7_2">#REF!</definedName>
    <definedName name="จำนวน4.1_1" localSheetId="3">#REF!</definedName>
    <definedName name="จำนวน4.1_1" localSheetId="2">#REF!</definedName>
    <definedName name="จำนวน4.1_1">#REF!</definedName>
    <definedName name="จำนวน4.1_2" localSheetId="3">#REF!</definedName>
    <definedName name="จำนวน4.1_2" localSheetId="2">#REF!</definedName>
    <definedName name="จำนวน4.1_2">#REF!</definedName>
    <definedName name="จำนวน4.2_1" localSheetId="3">#REF!</definedName>
    <definedName name="จำนวน4.2_1" localSheetId="2">#REF!</definedName>
    <definedName name="จำนวน4.2_1">#REF!</definedName>
    <definedName name="จำนวน4.2_2" localSheetId="3">#REF!</definedName>
    <definedName name="จำนวน4.2_2" localSheetId="2">#REF!</definedName>
    <definedName name="จำนวน4.2_2">#REF!</definedName>
    <definedName name="จำนวน4.3" localSheetId="3">#REF!</definedName>
    <definedName name="จำนวน4.3" localSheetId="2">#REF!</definedName>
    <definedName name="จำนวน4.3">#REF!</definedName>
    <definedName name="จำนวน4.4_1" localSheetId="3">#REF!</definedName>
    <definedName name="จำนวน4.4_1" localSheetId="2">#REF!</definedName>
    <definedName name="จำนวน4.4_1">#REF!</definedName>
    <definedName name="จำนวน4.4_2" localSheetId="3">#REF!</definedName>
    <definedName name="จำนวน4.4_2" localSheetId="2">#REF!</definedName>
    <definedName name="จำนวน4.4_2">#REF!</definedName>
    <definedName name="จำนวน4.4_3" localSheetId="3">#REF!</definedName>
    <definedName name="จำนวน4.4_3" localSheetId="2">#REF!</definedName>
    <definedName name="จำนวน4.4_3">#REF!</definedName>
    <definedName name="จำนวน4.4_4" localSheetId="3">#REF!</definedName>
    <definedName name="จำนวน4.4_4" localSheetId="2">#REF!</definedName>
    <definedName name="จำนวน4.4_4">#REF!</definedName>
    <definedName name="จำนวน4.4_5" localSheetId="3">#REF!</definedName>
    <definedName name="จำนวน4.4_5" localSheetId="2">#REF!</definedName>
    <definedName name="จำนวน4.4_5">#REF!</definedName>
    <definedName name="จำนวน4.4_6" localSheetId="3">#REF!</definedName>
    <definedName name="จำนวน4.4_6" localSheetId="2">#REF!</definedName>
    <definedName name="จำนวน4.4_6">#REF!</definedName>
    <definedName name="จำนวน4.4_7" localSheetId="3">#REF!</definedName>
    <definedName name="จำนวน4.4_7" localSheetId="2">#REF!</definedName>
    <definedName name="จำนวน4.4_7">#REF!</definedName>
    <definedName name="จำนวน4.5" localSheetId="3">#REF!</definedName>
    <definedName name="จำนวน4.5" localSheetId="2">#REF!</definedName>
    <definedName name="จำนวน4.5">#REF!</definedName>
    <definedName name="จำนวน4.6" localSheetId="3">#REF!</definedName>
    <definedName name="จำนวน4.6" localSheetId="2">#REF!</definedName>
    <definedName name="จำนวน4.6">#REF!</definedName>
    <definedName name="จำนวน4.7_1" localSheetId="3">#REF!</definedName>
    <definedName name="จำนวน4.7_1" localSheetId="2">#REF!</definedName>
    <definedName name="จำนวน4.7_1">#REF!</definedName>
    <definedName name="จำนวน4.7_2" localSheetId="3">#REF!</definedName>
    <definedName name="จำนวน4.7_2" localSheetId="2">#REF!</definedName>
    <definedName name="จำนวน4.7_2">#REF!</definedName>
    <definedName name="จำนวน4.7_3" localSheetId="3">#REF!</definedName>
    <definedName name="จำนวน4.7_3" localSheetId="2">#REF!</definedName>
    <definedName name="จำนวน4.7_3">#REF!</definedName>
    <definedName name="จำนวน4.8_1" localSheetId="3">#REF!</definedName>
    <definedName name="จำนวน4.8_1" localSheetId="2">#REF!</definedName>
    <definedName name="จำนวน4.8_1">#REF!</definedName>
    <definedName name="จำนวน4.8_2" localSheetId="3">#REF!</definedName>
    <definedName name="จำนวน4.8_2" localSheetId="2">#REF!</definedName>
    <definedName name="จำนวน4.8_2">#REF!</definedName>
    <definedName name="จำนวน4.9_1" localSheetId="3">#REF!</definedName>
    <definedName name="จำนวน4.9_1" localSheetId="2">#REF!</definedName>
    <definedName name="จำนวน4.9_1">#REF!</definedName>
    <definedName name="จำนวน4.9_2" localSheetId="3">#REF!</definedName>
    <definedName name="จำนวน4.9_2" localSheetId="2">#REF!</definedName>
    <definedName name="จำนวน4.9_2">#REF!</definedName>
    <definedName name="จำนวน4.9_3" localSheetId="3">#REF!</definedName>
    <definedName name="จำนวน4.9_3" localSheetId="2">#REF!</definedName>
    <definedName name="จำนวน4.9_3">#REF!</definedName>
    <definedName name="จำนวน4.9_4" localSheetId="3">#REF!</definedName>
    <definedName name="จำนวน4.9_4" localSheetId="2">#REF!</definedName>
    <definedName name="จำนวน4.9_4">#REF!</definedName>
    <definedName name="จำนวน4.9_5" localSheetId="3">#REF!</definedName>
    <definedName name="จำนวน4.9_5" localSheetId="2">#REF!</definedName>
    <definedName name="จำนวน4.9_5">#REF!</definedName>
    <definedName name="จำนวน4.9_6" localSheetId="3">#REF!</definedName>
    <definedName name="จำนวน4.9_6" localSheetId="2">#REF!</definedName>
    <definedName name="จำนวน4.9_6">#REF!</definedName>
    <definedName name="จำนวน4.9_7" localSheetId="3">#REF!</definedName>
    <definedName name="จำนวน4.9_7" localSheetId="2">#REF!</definedName>
    <definedName name="จำนวน4.9_7">#REF!</definedName>
    <definedName name="จำนวน5.1_1.1" localSheetId="3">#REF!</definedName>
    <definedName name="จำนวน5.1_1.1" localSheetId="2">#REF!</definedName>
    <definedName name="จำนวน5.1_1.1">#REF!</definedName>
    <definedName name="จำนวน5.1_1.2" localSheetId="3">#REF!</definedName>
    <definedName name="จำนวน5.1_1.2" localSheetId="2">#REF!</definedName>
    <definedName name="จำนวน5.1_1.2">#REF!</definedName>
    <definedName name="จำนวน5.1_1.3" localSheetId="3">#REF!</definedName>
    <definedName name="จำนวน5.1_1.3" localSheetId="2">#REF!</definedName>
    <definedName name="จำนวน5.1_1.3">#REF!</definedName>
    <definedName name="จำนวน5.1_1.4" localSheetId="3">#REF!</definedName>
    <definedName name="จำนวน5.1_1.4" localSheetId="2">#REF!</definedName>
    <definedName name="จำนวน5.1_1.4">#REF!</definedName>
    <definedName name="จำนวน5.1_1.5" localSheetId="3">#REF!</definedName>
    <definedName name="จำนวน5.1_1.5" localSheetId="2">#REF!</definedName>
    <definedName name="จำนวน5.1_1.5">#REF!</definedName>
    <definedName name="จำนวน5.1_1.6" localSheetId="3">#REF!</definedName>
    <definedName name="จำนวน5.1_1.6" localSheetId="2">#REF!</definedName>
    <definedName name="จำนวน5.1_1.6">#REF!</definedName>
    <definedName name="จำนวน5.1_2.1.1" localSheetId="3">#REF!</definedName>
    <definedName name="จำนวน5.1_2.1.1" localSheetId="2">#REF!</definedName>
    <definedName name="จำนวน5.1_2.1.1">#REF!</definedName>
    <definedName name="จำนวน5.1_2.1.2" localSheetId="3">#REF!</definedName>
    <definedName name="จำนวน5.1_2.1.2" localSheetId="2">#REF!</definedName>
    <definedName name="จำนวน5.1_2.1.2">#REF!</definedName>
    <definedName name="จำนวน5.1_2.2.1" localSheetId="3">#REF!</definedName>
    <definedName name="จำนวน5.1_2.2.1" localSheetId="2">#REF!</definedName>
    <definedName name="จำนวน5.1_2.2.1">#REF!</definedName>
    <definedName name="จำนวน5.1_2.2.2" localSheetId="3">#REF!</definedName>
    <definedName name="จำนวน5.1_2.2.2" localSheetId="2">#REF!</definedName>
    <definedName name="จำนวน5.1_2.2.2">#REF!</definedName>
    <definedName name="จำนวน5.1_3.1" localSheetId="3">#REF!</definedName>
    <definedName name="จำนวน5.1_3.1" localSheetId="2">#REF!</definedName>
    <definedName name="จำนวน5.1_3.1">#REF!</definedName>
    <definedName name="จำนวน5.1_3.2" localSheetId="3">#REF!</definedName>
    <definedName name="จำนวน5.1_3.2" localSheetId="2">#REF!</definedName>
    <definedName name="จำนวน5.1_3.2">#REF!</definedName>
    <definedName name="จำนวน5.1_4" localSheetId="3">#REF!</definedName>
    <definedName name="จำนวน5.1_4" localSheetId="2">#REF!</definedName>
    <definedName name="จำนวน5.1_4">#REF!</definedName>
    <definedName name="จำนวน5.1_5" localSheetId="3">#REF!</definedName>
    <definedName name="จำนวน5.1_5" localSheetId="2">#REF!</definedName>
    <definedName name="จำนวน5.1_5">#REF!</definedName>
    <definedName name="จำนวน5.1_6" localSheetId="3">#REF!</definedName>
    <definedName name="จำนวน5.1_6" localSheetId="2">#REF!</definedName>
    <definedName name="จำนวน5.1_6">#REF!</definedName>
    <definedName name="จำนวน5.1_7.1" localSheetId="3">#REF!</definedName>
    <definedName name="จำนวน5.1_7.1" localSheetId="2">#REF!</definedName>
    <definedName name="จำนวน5.1_7.1">#REF!</definedName>
    <definedName name="จำนวน5.1_7.2" localSheetId="3">#REF!</definedName>
    <definedName name="จำนวน5.1_7.2" localSheetId="2">#REF!</definedName>
    <definedName name="จำนวน5.1_7.2">#REF!</definedName>
    <definedName name="จำนวน5.2_1.1" localSheetId="3">#REF!</definedName>
    <definedName name="จำนวน5.2_1.1" localSheetId="2">#REF!</definedName>
    <definedName name="จำนวน5.2_1.1">#REF!</definedName>
    <definedName name="จำนวน5.2_1.2" localSheetId="3">#REF!</definedName>
    <definedName name="จำนวน5.2_1.2" localSheetId="2">#REF!</definedName>
    <definedName name="จำนวน5.2_1.2">#REF!</definedName>
    <definedName name="จำนวน5.2_1.3" localSheetId="3">#REF!</definedName>
    <definedName name="จำนวน5.2_1.3" localSheetId="2">#REF!</definedName>
    <definedName name="จำนวน5.2_1.3">#REF!</definedName>
    <definedName name="จำนวน5.2_1.4" localSheetId="3">#REF!</definedName>
    <definedName name="จำนวน5.2_1.4" localSheetId="2">#REF!</definedName>
    <definedName name="จำนวน5.2_1.4">#REF!</definedName>
    <definedName name="จำนวน5.2_1.5" localSheetId="3">#REF!</definedName>
    <definedName name="จำนวน5.2_1.5" localSheetId="2">#REF!</definedName>
    <definedName name="จำนวน5.2_1.5">#REF!</definedName>
    <definedName name="จำนวน5.2_1.6" localSheetId="3">#REF!</definedName>
    <definedName name="จำนวน5.2_1.6" localSheetId="2">#REF!</definedName>
    <definedName name="จำนวน5.2_1.6">#REF!</definedName>
    <definedName name="จำนวน5.2_2.1" localSheetId="3">#REF!</definedName>
    <definedName name="จำนวน5.2_2.1" localSheetId="2">#REF!</definedName>
    <definedName name="จำนวน5.2_2.1">#REF!</definedName>
    <definedName name="จำนวน5.2_2.2" localSheetId="3">#REF!</definedName>
    <definedName name="จำนวน5.2_2.2" localSheetId="2">#REF!</definedName>
    <definedName name="จำนวน5.2_2.2">#REF!</definedName>
    <definedName name="จำนวน5.2_2.3" localSheetId="3">#REF!</definedName>
    <definedName name="จำนวน5.2_2.3" localSheetId="2">#REF!</definedName>
    <definedName name="จำนวน5.2_2.3">#REF!</definedName>
    <definedName name="จำนวน5.2_2.4" localSheetId="3">#REF!</definedName>
    <definedName name="จำนวน5.2_2.4" localSheetId="2">#REF!</definedName>
    <definedName name="จำนวน5.2_2.4">#REF!</definedName>
    <definedName name="จำนวน5.2_2.5" localSheetId="3">#REF!</definedName>
    <definedName name="จำนวน5.2_2.5" localSheetId="2">#REF!</definedName>
    <definedName name="จำนวน5.2_2.5">#REF!</definedName>
    <definedName name="จำนวน5.2_2.6" localSheetId="3">#REF!</definedName>
    <definedName name="จำนวน5.2_2.6" localSheetId="2">#REF!</definedName>
    <definedName name="จำนวน5.2_2.6">#REF!</definedName>
    <definedName name="จำนวน5.2_3.1" localSheetId="3">#REF!</definedName>
    <definedName name="จำนวน5.2_3.1" localSheetId="2">#REF!</definedName>
    <definedName name="จำนวน5.2_3.1">#REF!</definedName>
    <definedName name="จำนวน5.2_3.2" localSheetId="3">#REF!</definedName>
    <definedName name="จำนวน5.2_3.2" localSheetId="2">#REF!</definedName>
    <definedName name="จำนวน5.2_3.2">#REF!</definedName>
    <definedName name="จำนวน5.3_100.2" localSheetId="3">#REF!</definedName>
    <definedName name="จำนวน5.3_100.2" localSheetId="2">#REF!</definedName>
    <definedName name="จำนวน5.3_100.2">#REF!</definedName>
    <definedName name="จำนวน5.3_100.3" localSheetId="3">#REF!</definedName>
    <definedName name="จำนวน5.3_100.3" localSheetId="2">#REF!</definedName>
    <definedName name="จำนวน5.3_100.3">#REF!</definedName>
    <definedName name="จำนวน5.3_120.2" localSheetId="3">#REF!</definedName>
    <definedName name="จำนวน5.3_120.2" localSheetId="2">#REF!</definedName>
    <definedName name="จำนวน5.3_120.2">#REF!</definedName>
    <definedName name="จำนวน5.3_120.3" localSheetId="3">#REF!</definedName>
    <definedName name="จำนวน5.3_120.3" localSheetId="2">#REF!</definedName>
    <definedName name="จำนวน5.3_120.3">#REF!</definedName>
    <definedName name="จำนวน5.3_150.2" localSheetId="3">#REF!</definedName>
    <definedName name="จำนวน5.3_150.2" localSheetId="2">#REF!</definedName>
    <definedName name="จำนวน5.3_150.2">#REF!</definedName>
    <definedName name="จำนวน5.3_150.3" localSheetId="3">#REF!</definedName>
    <definedName name="จำนวน5.3_150.3" localSheetId="2">#REF!</definedName>
    <definedName name="จำนวน5.3_150.3">#REF!</definedName>
    <definedName name="จำนวน5.3_30.2" localSheetId="3">#REF!</definedName>
    <definedName name="จำนวน5.3_30.2" localSheetId="2">#REF!</definedName>
    <definedName name="จำนวน5.3_30.2">#REF!</definedName>
    <definedName name="จำนวน5.3_30.3" localSheetId="3">#REF!</definedName>
    <definedName name="จำนวน5.3_30.3" localSheetId="2">#REF!</definedName>
    <definedName name="จำนวน5.3_30.3">#REF!</definedName>
    <definedName name="จำนวน5.3_40.2" localSheetId="3">#REF!</definedName>
    <definedName name="จำนวน5.3_40.2" localSheetId="2">#REF!</definedName>
    <definedName name="จำนวน5.3_40.2">#REF!</definedName>
    <definedName name="จำนวน5.3_40.3" localSheetId="3">#REF!</definedName>
    <definedName name="จำนวน5.3_40.3" localSheetId="2">#REF!</definedName>
    <definedName name="จำนวน5.3_40.3">#REF!</definedName>
    <definedName name="จำนวน5.3_60.2" localSheetId="3">#REF!</definedName>
    <definedName name="จำนวน5.3_60.2" localSheetId="2">#REF!</definedName>
    <definedName name="จำนวน5.3_60.2">#REF!</definedName>
    <definedName name="จำนวน5.3_60.3" localSheetId="3">#REF!</definedName>
    <definedName name="จำนวน5.3_60.3" localSheetId="2">#REF!</definedName>
    <definedName name="จำนวน5.3_60.3">#REF!</definedName>
    <definedName name="จำนวน5.3_80.2" localSheetId="3">#REF!</definedName>
    <definedName name="จำนวน5.3_80.2" localSheetId="2">#REF!</definedName>
    <definedName name="จำนวน5.3_80.2">#REF!</definedName>
    <definedName name="จำนวน5.3_80.3" localSheetId="3">#REF!</definedName>
    <definedName name="จำนวน5.3_80.3" localSheetId="2">#REF!</definedName>
    <definedName name="จำนวน5.3_80.3">#REF!</definedName>
    <definedName name="จำนวน6.1_1" localSheetId="3">#REF!</definedName>
    <definedName name="จำนวน6.1_1" localSheetId="2">#REF!</definedName>
    <definedName name="จำนวน6.1_1">#REF!</definedName>
    <definedName name="จำนวน6.1_10" localSheetId="3">#REF!</definedName>
    <definedName name="จำนวน6.1_10" localSheetId="2">#REF!</definedName>
    <definedName name="จำนวน6.1_10">#REF!</definedName>
    <definedName name="จำนวน6.1_11" localSheetId="3">#REF!</definedName>
    <definedName name="จำนวน6.1_11" localSheetId="2">#REF!</definedName>
    <definedName name="จำนวน6.1_11">#REF!</definedName>
    <definedName name="จำนวน6.1_12" localSheetId="3">#REF!</definedName>
    <definedName name="จำนวน6.1_12" localSheetId="2">#REF!</definedName>
    <definedName name="จำนวน6.1_12">#REF!</definedName>
    <definedName name="จำนวน6.1_13" localSheetId="3">#REF!</definedName>
    <definedName name="จำนวน6.1_13" localSheetId="2">#REF!</definedName>
    <definedName name="จำนวน6.1_13">#REF!</definedName>
    <definedName name="จำนวน6.1_14" localSheetId="3">#REF!</definedName>
    <definedName name="จำนวน6.1_14" localSheetId="2">#REF!</definedName>
    <definedName name="จำนวน6.1_14">#REF!</definedName>
    <definedName name="จำนวน6.1_15" localSheetId="3">#REF!</definedName>
    <definedName name="จำนวน6.1_15" localSheetId="2">#REF!</definedName>
    <definedName name="จำนวน6.1_15">#REF!</definedName>
    <definedName name="จำนวน6.1_16" localSheetId="3">#REF!</definedName>
    <definedName name="จำนวน6.1_16" localSheetId="2">#REF!</definedName>
    <definedName name="จำนวน6.1_16">#REF!</definedName>
    <definedName name="จำนวน6.1_17" localSheetId="3">#REF!</definedName>
    <definedName name="จำนวน6.1_17" localSheetId="2">#REF!</definedName>
    <definedName name="จำนวน6.1_17">#REF!</definedName>
    <definedName name="จำนวน6.1_18" localSheetId="3">#REF!</definedName>
    <definedName name="จำนวน6.1_18" localSheetId="2">#REF!</definedName>
    <definedName name="จำนวน6.1_18">#REF!</definedName>
    <definedName name="จำนวน6.1_19" localSheetId="3">#REF!</definedName>
    <definedName name="จำนวน6.1_19" localSheetId="2">#REF!</definedName>
    <definedName name="จำนวน6.1_19">#REF!</definedName>
    <definedName name="จำนวน6.1_2" localSheetId="3">#REF!</definedName>
    <definedName name="จำนวน6.1_2" localSheetId="2">#REF!</definedName>
    <definedName name="จำนวน6.1_2">#REF!</definedName>
    <definedName name="จำนวน6.1_20" localSheetId="3">#REF!</definedName>
    <definedName name="จำนวน6.1_20" localSheetId="2">#REF!</definedName>
    <definedName name="จำนวน6.1_20">#REF!</definedName>
    <definedName name="จำนวน6.1_3" localSheetId="3">#REF!</definedName>
    <definedName name="จำนวน6.1_3" localSheetId="2">#REF!</definedName>
    <definedName name="จำนวน6.1_3">#REF!</definedName>
    <definedName name="จำนวน6.1_4.1" localSheetId="3">#REF!</definedName>
    <definedName name="จำนวน6.1_4.1" localSheetId="2">#REF!</definedName>
    <definedName name="จำนวน6.1_4.1">#REF!</definedName>
    <definedName name="จำนวน6.1_4.2" localSheetId="3">#REF!</definedName>
    <definedName name="จำนวน6.1_4.2" localSheetId="2">#REF!</definedName>
    <definedName name="จำนวน6.1_4.2">#REF!</definedName>
    <definedName name="จำนวน6.1_5" localSheetId="3">#REF!</definedName>
    <definedName name="จำนวน6.1_5" localSheetId="2">#REF!</definedName>
    <definedName name="จำนวน6.1_5">#REF!</definedName>
    <definedName name="จำนวน6.1_6" localSheetId="3">#REF!</definedName>
    <definedName name="จำนวน6.1_6" localSheetId="2">#REF!</definedName>
    <definedName name="จำนวน6.1_6">#REF!</definedName>
    <definedName name="จำนวน6.1_7" localSheetId="3">#REF!</definedName>
    <definedName name="จำนวน6.1_7" localSheetId="2">#REF!</definedName>
    <definedName name="จำนวน6.1_7">#REF!</definedName>
    <definedName name="จำนวน6.1_8" localSheetId="3">#REF!</definedName>
    <definedName name="จำนวน6.1_8" localSheetId="2">#REF!</definedName>
    <definedName name="จำนวน6.1_8">#REF!</definedName>
    <definedName name="จำนวน6.1_9" localSheetId="3">#REF!</definedName>
    <definedName name="จำนวน6.1_9" localSheetId="2">#REF!</definedName>
    <definedName name="จำนวน6.1_9">#REF!</definedName>
    <definedName name="จำนวน6.10_1" localSheetId="3">#REF!</definedName>
    <definedName name="จำนวน6.10_1" localSheetId="2">#REF!</definedName>
    <definedName name="จำนวน6.10_1">#REF!</definedName>
    <definedName name="จำนวน6.10_2" localSheetId="3">#REF!</definedName>
    <definedName name="จำนวน6.10_2" localSheetId="2">#REF!</definedName>
    <definedName name="จำนวน6.10_2">#REF!</definedName>
    <definedName name="จำนวน6.10_3" localSheetId="3">#REF!</definedName>
    <definedName name="จำนวน6.10_3" localSheetId="2">#REF!</definedName>
    <definedName name="จำนวน6.10_3">#REF!</definedName>
    <definedName name="จำนวน6.10_4.1" localSheetId="3">#REF!</definedName>
    <definedName name="จำนวน6.10_4.1" localSheetId="2">#REF!</definedName>
    <definedName name="จำนวน6.10_4.1">#REF!</definedName>
    <definedName name="จำนวน6.10_4.2" localSheetId="3">#REF!</definedName>
    <definedName name="จำนวน6.10_4.2" localSheetId="2">#REF!</definedName>
    <definedName name="จำนวน6.10_4.2">#REF!</definedName>
    <definedName name="จำนวน6.10_4.3" localSheetId="3">#REF!</definedName>
    <definedName name="จำนวน6.10_4.3" localSheetId="2">#REF!</definedName>
    <definedName name="จำนวน6.10_4.3">#REF!</definedName>
    <definedName name="จำนวน6.10_5" localSheetId="3">#REF!</definedName>
    <definedName name="จำนวน6.10_5" localSheetId="2">#REF!</definedName>
    <definedName name="จำนวน6.10_5">#REF!</definedName>
    <definedName name="จำนวน6.10_6" localSheetId="3">#REF!</definedName>
    <definedName name="จำนวน6.10_6" localSheetId="2">#REF!</definedName>
    <definedName name="จำนวน6.10_6">#REF!</definedName>
    <definedName name="จำนวน6.11_1" localSheetId="3">#REF!</definedName>
    <definedName name="จำนวน6.11_1" localSheetId="2">#REF!</definedName>
    <definedName name="จำนวน6.11_1">#REF!</definedName>
    <definedName name="จำนวน6.11_2.1" localSheetId="3">#REF!</definedName>
    <definedName name="จำนวน6.11_2.1" localSheetId="2">#REF!</definedName>
    <definedName name="จำนวน6.11_2.1">#REF!</definedName>
    <definedName name="จำนวน6.11_2.2" localSheetId="3">#REF!</definedName>
    <definedName name="จำนวน6.11_2.2" localSheetId="2">#REF!</definedName>
    <definedName name="จำนวน6.11_2.2">#REF!</definedName>
    <definedName name="จำนวน6.11_2.3" localSheetId="3">#REF!</definedName>
    <definedName name="จำนวน6.11_2.3" localSheetId="2">#REF!</definedName>
    <definedName name="จำนวน6.11_2.3">#REF!</definedName>
    <definedName name="จำนวน6.11_3.1" localSheetId="3">#REF!</definedName>
    <definedName name="จำนวน6.11_3.1" localSheetId="2">#REF!</definedName>
    <definedName name="จำนวน6.11_3.1">#REF!</definedName>
    <definedName name="จำนวน6.11_3.2" localSheetId="3">#REF!</definedName>
    <definedName name="จำนวน6.11_3.2" localSheetId="2">#REF!</definedName>
    <definedName name="จำนวน6.11_3.2">#REF!</definedName>
    <definedName name="จำนวน6.11_4.1" localSheetId="3">#REF!</definedName>
    <definedName name="จำนวน6.11_4.1" localSheetId="2">#REF!</definedName>
    <definedName name="จำนวน6.11_4.1">#REF!</definedName>
    <definedName name="จำนวน6.11_4.2" localSheetId="3">#REF!</definedName>
    <definedName name="จำนวน6.11_4.2" localSheetId="2">#REF!</definedName>
    <definedName name="จำนวน6.11_4.2">#REF!</definedName>
    <definedName name="จำนวน6.11_4.3" localSheetId="3">#REF!</definedName>
    <definedName name="จำนวน6.11_4.3" localSheetId="2">#REF!</definedName>
    <definedName name="จำนวน6.11_4.3">#REF!</definedName>
    <definedName name="จำนวน6.11_5.1" localSheetId="3">#REF!</definedName>
    <definedName name="จำนวน6.11_5.1" localSheetId="2">#REF!</definedName>
    <definedName name="จำนวน6.11_5.1">#REF!</definedName>
    <definedName name="จำนวน6.11_5.2" localSheetId="3">#REF!</definedName>
    <definedName name="จำนวน6.11_5.2" localSheetId="2">#REF!</definedName>
    <definedName name="จำนวน6.11_5.2">#REF!</definedName>
    <definedName name="จำนวน6.11_6.1" localSheetId="3">#REF!</definedName>
    <definedName name="จำนวน6.11_6.1" localSheetId="2">#REF!</definedName>
    <definedName name="จำนวน6.11_6.1">#REF!</definedName>
    <definedName name="จำนวน6.11_6.2" localSheetId="3">#REF!</definedName>
    <definedName name="จำนวน6.11_6.2" localSheetId="2">#REF!</definedName>
    <definedName name="จำนวน6.11_6.2">#REF!</definedName>
    <definedName name="จำนวน6.11_7" localSheetId="3">#REF!</definedName>
    <definedName name="จำนวน6.11_7" localSheetId="2">#REF!</definedName>
    <definedName name="จำนวน6.11_7">#REF!</definedName>
    <definedName name="จำนวน6.11_8" localSheetId="3">#REF!</definedName>
    <definedName name="จำนวน6.11_8" localSheetId="2">#REF!</definedName>
    <definedName name="จำนวน6.11_8">#REF!</definedName>
    <definedName name="จำนวน6.12_1" localSheetId="3">#REF!</definedName>
    <definedName name="จำนวน6.12_1" localSheetId="2">#REF!</definedName>
    <definedName name="จำนวน6.12_1">#REF!</definedName>
    <definedName name="จำนวน6.12_10.1" localSheetId="3">#REF!</definedName>
    <definedName name="จำนวน6.12_10.1" localSheetId="2">#REF!</definedName>
    <definedName name="จำนวน6.12_10.1">#REF!</definedName>
    <definedName name="จำนวน6.12_10.2" localSheetId="3">#REF!</definedName>
    <definedName name="จำนวน6.12_10.2" localSheetId="2">#REF!</definedName>
    <definedName name="จำนวน6.12_10.2">#REF!</definedName>
    <definedName name="จำนวน6.12_10.3" localSheetId="3">#REF!</definedName>
    <definedName name="จำนวน6.12_10.3" localSheetId="2">#REF!</definedName>
    <definedName name="จำนวน6.12_10.3">#REF!</definedName>
    <definedName name="จำนวน6.12_11.1" localSheetId="3">#REF!</definedName>
    <definedName name="จำนวน6.12_11.1" localSheetId="2">#REF!</definedName>
    <definedName name="จำนวน6.12_11.1">#REF!</definedName>
    <definedName name="จำนวน6.12_11.2" localSheetId="3">#REF!</definedName>
    <definedName name="จำนวน6.12_11.2" localSheetId="2">#REF!</definedName>
    <definedName name="จำนวน6.12_11.2">#REF!</definedName>
    <definedName name="จำนวน6.12_11.3" localSheetId="3">#REF!</definedName>
    <definedName name="จำนวน6.12_11.3" localSheetId="2">#REF!</definedName>
    <definedName name="จำนวน6.12_11.3">#REF!</definedName>
    <definedName name="จำนวน6.12_2" localSheetId="3">#REF!</definedName>
    <definedName name="จำนวน6.12_2" localSheetId="2">#REF!</definedName>
    <definedName name="จำนวน6.12_2">#REF!</definedName>
    <definedName name="จำนวน6.12_3" localSheetId="3">#REF!</definedName>
    <definedName name="จำนวน6.12_3" localSheetId="2">#REF!</definedName>
    <definedName name="จำนวน6.12_3">#REF!</definedName>
    <definedName name="จำนวน6.12_4" localSheetId="3">#REF!</definedName>
    <definedName name="จำนวน6.12_4" localSheetId="2">#REF!</definedName>
    <definedName name="จำนวน6.12_4">#REF!</definedName>
    <definedName name="จำนวน6.12_5.1" localSheetId="3">#REF!</definedName>
    <definedName name="จำนวน6.12_5.1" localSheetId="2">#REF!</definedName>
    <definedName name="จำนวน6.12_5.1">#REF!</definedName>
    <definedName name="จำนวน6.12_5.2" localSheetId="3">#REF!</definedName>
    <definedName name="จำนวน6.12_5.2" localSheetId="2">#REF!</definedName>
    <definedName name="จำนวน6.12_5.2">#REF!</definedName>
    <definedName name="จำนวน6.12_5.3" localSheetId="3">#REF!</definedName>
    <definedName name="จำนวน6.12_5.3" localSheetId="2">#REF!</definedName>
    <definedName name="จำนวน6.12_5.3">#REF!</definedName>
    <definedName name="จำนวน6.12_6" localSheetId="3">#REF!</definedName>
    <definedName name="จำนวน6.12_6" localSheetId="2">#REF!</definedName>
    <definedName name="จำนวน6.12_6">#REF!</definedName>
    <definedName name="จำนวน6.12_7" localSheetId="3">#REF!</definedName>
    <definedName name="จำนวน6.12_7" localSheetId="2">#REF!</definedName>
    <definedName name="จำนวน6.12_7">#REF!</definedName>
    <definedName name="จำนวน6.12_8" localSheetId="3">#REF!</definedName>
    <definedName name="จำนวน6.12_8" localSheetId="2">#REF!</definedName>
    <definedName name="จำนวน6.12_8">#REF!</definedName>
    <definedName name="จำนวน6.12_9" localSheetId="3">#REF!</definedName>
    <definedName name="จำนวน6.12_9" localSheetId="2">#REF!</definedName>
    <definedName name="จำนวน6.12_9">#REF!</definedName>
    <definedName name="จำนวน6.13_1.1" localSheetId="3">#REF!</definedName>
    <definedName name="จำนวน6.13_1.1" localSheetId="2">#REF!</definedName>
    <definedName name="จำนวน6.13_1.1">#REF!</definedName>
    <definedName name="จำนวน6.13_1.2" localSheetId="3">#REF!</definedName>
    <definedName name="จำนวน6.13_1.2" localSheetId="2">#REF!</definedName>
    <definedName name="จำนวน6.13_1.2">#REF!</definedName>
    <definedName name="จำนวน6.13_2.1" localSheetId="3">#REF!</definedName>
    <definedName name="จำนวน6.13_2.1" localSheetId="2">#REF!</definedName>
    <definedName name="จำนวน6.13_2.1">#REF!</definedName>
    <definedName name="จำนวน6.13_2.2" localSheetId="3">#REF!</definedName>
    <definedName name="จำนวน6.13_2.2" localSheetId="2">#REF!</definedName>
    <definedName name="จำนวน6.13_2.2">#REF!</definedName>
    <definedName name="จำนวน6.14_1.1" localSheetId="3">#REF!</definedName>
    <definedName name="จำนวน6.14_1.1" localSheetId="2">#REF!</definedName>
    <definedName name="จำนวน6.14_1.1">#REF!</definedName>
    <definedName name="จำนวน6.14_1.2" localSheetId="3">#REF!</definedName>
    <definedName name="จำนวน6.14_1.2" localSheetId="2">#REF!</definedName>
    <definedName name="จำนวน6.14_1.2">#REF!</definedName>
    <definedName name="จำนวน6.14_2.1" localSheetId="3">#REF!</definedName>
    <definedName name="จำนวน6.14_2.1" localSheetId="2">#REF!</definedName>
    <definedName name="จำนวน6.14_2.1">#REF!</definedName>
    <definedName name="จำนวน6.14_2.2" localSheetId="3">#REF!</definedName>
    <definedName name="จำนวน6.14_2.2" localSheetId="2">#REF!</definedName>
    <definedName name="จำนวน6.14_2.2">#REF!</definedName>
    <definedName name="จำนวน6.15_1.1" localSheetId="3">#REF!</definedName>
    <definedName name="จำนวน6.15_1.1" localSheetId="2">#REF!</definedName>
    <definedName name="จำนวน6.15_1.1">#REF!</definedName>
    <definedName name="จำนวน6.15_1.2" localSheetId="3">#REF!</definedName>
    <definedName name="จำนวน6.15_1.2" localSheetId="2">#REF!</definedName>
    <definedName name="จำนวน6.15_1.2">#REF!</definedName>
    <definedName name="จำนวน6.15_2.1" localSheetId="3">#REF!</definedName>
    <definedName name="จำนวน6.15_2.1" localSheetId="2">#REF!</definedName>
    <definedName name="จำนวน6.15_2.1">#REF!</definedName>
    <definedName name="จำนวน6.15_2.2" localSheetId="3">#REF!</definedName>
    <definedName name="จำนวน6.15_2.2" localSheetId="2">#REF!</definedName>
    <definedName name="จำนวน6.15_2.2">#REF!</definedName>
    <definedName name="จำนวน6.15_3.1" localSheetId="3">#REF!</definedName>
    <definedName name="จำนวน6.15_3.1" localSheetId="2">#REF!</definedName>
    <definedName name="จำนวน6.15_3.1">#REF!</definedName>
    <definedName name="จำนวน6.15_3.2" localSheetId="3">#REF!</definedName>
    <definedName name="จำนวน6.15_3.2" localSheetId="2">#REF!</definedName>
    <definedName name="จำนวน6.15_3.2">#REF!</definedName>
    <definedName name="จำนวน6.15_4.1" localSheetId="3">#REF!</definedName>
    <definedName name="จำนวน6.15_4.1" localSheetId="2">#REF!</definedName>
    <definedName name="จำนวน6.15_4.1">#REF!</definedName>
    <definedName name="จำนวน6.15_4.2" localSheetId="3">#REF!</definedName>
    <definedName name="จำนวน6.15_4.2" localSheetId="2">#REF!</definedName>
    <definedName name="จำนวน6.15_4.2">#REF!</definedName>
    <definedName name="จำนวน6.15_5.1" localSheetId="3">#REF!</definedName>
    <definedName name="จำนวน6.15_5.1" localSheetId="2">#REF!</definedName>
    <definedName name="จำนวน6.15_5.1">#REF!</definedName>
    <definedName name="จำนวน6.15_5.2" localSheetId="3">#REF!</definedName>
    <definedName name="จำนวน6.15_5.2" localSheetId="2">#REF!</definedName>
    <definedName name="จำนวน6.15_5.2">#REF!</definedName>
    <definedName name="จำนวน6.15_6" localSheetId="3">#REF!</definedName>
    <definedName name="จำนวน6.15_6" localSheetId="2">#REF!</definedName>
    <definedName name="จำนวน6.15_6">#REF!</definedName>
    <definedName name="จำนวน6.15_7" localSheetId="3">#REF!</definedName>
    <definedName name="จำนวน6.15_7" localSheetId="2">#REF!</definedName>
    <definedName name="จำนวน6.15_7">#REF!</definedName>
    <definedName name="จำนวน6.16" localSheetId="3">#REF!</definedName>
    <definedName name="จำนวน6.16" localSheetId="2">#REF!</definedName>
    <definedName name="จำนวน6.16">#REF!</definedName>
    <definedName name="จำนวน6.17_1" localSheetId="3">#REF!</definedName>
    <definedName name="จำนวน6.17_1" localSheetId="2">#REF!</definedName>
    <definedName name="จำนวน6.17_1">#REF!</definedName>
    <definedName name="จำนวน6.17_10" localSheetId="3">#REF!</definedName>
    <definedName name="จำนวน6.17_10" localSheetId="2">#REF!</definedName>
    <definedName name="จำนวน6.17_10">#REF!</definedName>
    <definedName name="จำนวน6.17_11" localSheetId="3">#REF!</definedName>
    <definedName name="จำนวน6.17_11" localSheetId="2">#REF!</definedName>
    <definedName name="จำนวน6.17_11">#REF!</definedName>
    <definedName name="จำนวน6.17_12" localSheetId="3">#REF!</definedName>
    <definedName name="จำนวน6.17_12" localSheetId="2">#REF!</definedName>
    <definedName name="จำนวน6.17_12">#REF!</definedName>
    <definedName name="จำนวน6.17_2" localSheetId="3">#REF!</definedName>
    <definedName name="จำนวน6.17_2" localSheetId="2">#REF!</definedName>
    <definedName name="จำนวน6.17_2">#REF!</definedName>
    <definedName name="จำนวน6.17_3" localSheetId="3">#REF!</definedName>
    <definedName name="จำนวน6.17_3" localSheetId="2">#REF!</definedName>
    <definedName name="จำนวน6.17_3">#REF!</definedName>
    <definedName name="จำนวน6.17_4" localSheetId="3">#REF!</definedName>
    <definedName name="จำนวน6.17_4" localSheetId="2">#REF!</definedName>
    <definedName name="จำนวน6.17_4">#REF!</definedName>
    <definedName name="จำนวน6.17_5" localSheetId="3">#REF!</definedName>
    <definedName name="จำนวน6.17_5" localSheetId="2">#REF!</definedName>
    <definedName name="จำนวน6.17_5">#REF!</definedName>
    <definedName name="จำนวน6.17_6" localSheetId="3">#REF!</definedName>
    <definedName name="จำนวน6.17_6" localSheetId="2">#REF!</definedName>
    <definedName name="จำนวน6.17_6">#REF!</definedName>
    <definedName name="จำนวน6.17_7" localSheetId="3">#REF!</definedName>
    <definedName name="จำนวน6.17_7" localSheetId="2">#REF!</definedName>
    <definedName name="จำนวน6.17_7">#REF!</definedName>
    <definedName name="จำนวน6.17_8" localSheetId="3">#REF!</definedName>
    <definedName name="จำนวน6.17_8" localSheetId="2">#REF!</definedName>
    <definedName name="จำนวน6.17_8">#REF!</definedName>
    <definedName name="จำนวน6.17_9" localSheetId="3">#REF!</definedName>
    <definedName name="จำนวน6.17_9" localSheetId="2">#REF!</definedName>
    <definedName name="จำนวน6.17_9">#REF!</definedName>
    <definedName name="จำนวน6.18_1.1" localSheetId="3">#REF!</definedName>
    <definedName name="จำนวน6.18_1.1" localSheetId="2">#REF!</definedName>
    <definedName name="จำนวน6.18_1.1">#REF!</definedName>
    <definedName name="จำนวน6.18_1.2" localSheetId="3">#REF!</definedName>
    <definedName name="จำนวน6.18_1.2" localSheetId="2">#REF!</definedName>
    <definedName name="จำนวน6.18_1.2">#REF!</definedName>
    <definedName name="จำนวน6.18_1.3" localSheetId="3">#REF!</definedName>
    <definedName name="จำนวน6.18_1.3" localSheetId="2">#REF!</definedName>
    <definedName name="จำนวน6.18_1.3">#REF!</definedName>
    <definedName name="จำนวน6.18_2" localSheetId="3">#REF!</definedName>
    <definedName name="จำนวน6.18_2" localSheetId="2">#REF!</definedName>
    <definedName name="จำนวน6.18_2">#REF!</definedName>
    <definedName name="จำนวน6.18_3" localSheetId="3">#REF!</definedName>
    <definedName name="จำนวน6.18_3" localSheetId="2">#REF!</definedName>
    <definedName name="จำนวน6.18_3">#REF!</definedName>
    <definedName name="จำนวน6.18_4.1" localSheetId="3">#REF!</definedName>
    <definedName name="จำนวน6.18_4.1" localSheetId="2">#REF!</definedName>
    <definedName name="จำนวน6.18_4.1">#REF!</definedName>
    <definedName name="จำนวน6.18_4.2" localSheetId="3">#REF!</definedName>
    <definedName name="จำนวน6.18_4.2" localSheetId="2">#REF!</definedName>
    <definedName name="จำนวน6.18_4.2">#REF!</definedName>
    <definedName name="จำนวน6.18_4.3" localSheetId="3">#REF!</definedName>
    <definedName name="จำนวน6.18_4.3" localSheetId="2">#REF!</definedName>
    <definedName name="จำนวน6.18_4.3">#REF!</definedName>
    <definedName name="จำนวน6.18_5" localSheetId="3">#REF!</definedName>
    <definedName name="จำนวน6.18_5" localSheetId="2">#REF!</definedName>
    <definedName name="จำนวน6.18_5">#REF!</definedName>
    <definedName name="จำนวน6.19_1" localSheetId="3">#REF!</definedName>
    <definedName name="จำนวน6.19_1" localSheetId="2">#REF!</definedName>
    <definedName name="จำนวน6.19_1">#REF!</definedName>
    <definedName name="จำนวน6.19_2" localSheetId="3">#REF!</definedName>
    <definedName name="จำนวน6.19_2" localSheetId="2">#REF!</definedName>
    <definedName name="จำนวน6.19_2">#REF!</definedName>
    <definedName name="จำนวน6.19_3" localSheetId="3">#REF!</definedName>
    <definedName name="จำนวน6.19_3" localSheetId="2">#REF!</definedName>
    <definedName name="จำนวน6.19_3">#REF!</definedName>
    <definedName name="จำนวน6.19_4" localSheetId="3">#REF!</definedName>
    <definedName name="จำนวน6.19_4" localSheetId="2">#REF!</definedName>
    <definedName name="จำนวน6.19_4">#REF!</definedName>
    <definedName name="จำนวน6.2_1" localSheetId="3">#REF!</definedName>
    <definedName name="จำนวน6.2_1" localSheetId="2">#REF!</definedName>
    <definedName name="จำนวน6.2_1">#REF!</definedName>
    <definedName name="จำนวน6.2_2" localSheetId="3">#REF!</definedName>
    <definedName name="จำนวน6.2_2" localSheetId="2">#REF!</definedName>
    <definedName name="จำนวน6.2_2">#REF!</definedName>
    <definedName name="จำนวน6.3_1.1" localSheetId="3">#REF!</definedName>
    <definedName name="จำนวน6.3_1.1" localSheetId="2">#REF!</definedName>
    <definedName name="จำนวน6.3_1.1">#REF!</definedName>
    <definedName name="จำนวน6.3_1.2" localSheetId="3">#REF!</definedName>
    <definedName name="จำนวน6.3_1.2" localSheetId="2">#REF!</definedName>
    <definedName name="จำนวน6.3_1.2">#REF!</definedName>
    <definedName name="จำนวน6.3_1.3" localSheetId="3">#REF!</definedName>
    <definedName name="จำนวน6.3_1.3" localSheetId="2">#REF!</definedName>
    <definedName name="จำนวน6.3_1.3">#REF!</definedName>
    <definedName name="จำนวน6.3_1.4" localSheetId="3">#REF!</definedName>
    <definedName name="จำนวน6.3_1.4" localSheetId="2">#REF!</definedName>
    <definedName name="จำนวน6.3_1.4">#REF!</definedName>
    <definedName name="จำนวน6.3_1.5" localSheetId="3">#REF!</definedName>
    <definedName name="จำนวน6.3_1.5" localSheetId="2">#REF!</definedName>
    <definedName name="จำนวน6.3_1.5">#REF!</definedName>
    <definedName name="จำนวน6.3_1.6" localSheetId="3">#REF!</definedName>
    <definedName name="จำนวน6.3_1.6" localSheetId="2">#REF!</definedName>
    <definedName name="จำนวน6.3_1.6">#REF!</definedName>
    <definedName name="จำนวน6.3_1.7" localSheetId="3">#REF!</definedName>
    <definedName name="จำนวน6.3_1.7" localSheetId="2">#REF!</definedName>
    <definedName name="จำนวน6.3_1.7">#REF!</definedName>
    <definedName name="จำนวน6.3_10" localSheetId="3">#REF!</definedName>
    <definedName name="จำนวน6.3_10" localSheetId="2">#REF!</definedName>
    <definedName name="จำนวน6.3_10">#REF!</definedName>
    <definedName name="จำนวน6.3_11" localSheetId="3">#REF!</definedName>
    <definedName name="จำนวน6.3_11" localSheetId="2">#REF!</definedName>
    <definedName name="จำนวน6.3_11">#REF!</definedName>
    <definedName name="จำนวน6.3_12.1" localSheetId="3">#REF!</definedName>
    <definedName name="จำนวน6.3_12.1" localSheetId="2">#REF!</definedName>
    <definedName name="จำนวน6.3_12.1">#REF!</definedName>
    <definedName name="จำนวน6.3_12.2" localSheetId="3">#REF!</definedName>
    <definedName name="จำนวน6.3_12.2" localSheetId="2">#REF!</definedName>
    <definedName name="จำนวน6.3_12.2">#REF!</definedName>
    <definedName name="จำนวน6.3_12.3" localSheetId="3">#REF!</definedName>
    <definedName name="จำนวน6.3_12.3" localSheetId="2">#REF!</definedName>
    <definedName name="จำนวน6.3_12.3">#REF!</definedName>
    <definedName name="จำนวน6.3_13.1" localSheetId="3">#REF!</definedName>
    <definedName name="จำนวน6.3_13.1" localSheetId="2">#REF!</definedName>
    <definedName name="จำนวน6.3_13.1">#REF!</definedName>
    <definedName name="จำนวน6.3_13.2" localSheetId="3">#REF!</definedName>
    <definedName name="จำนวน6.3_13.2" localSheetId="2">#REF!</definedName>
    <definedName name="จำนวน6.3_13.2">#REF!</definedName>
    <definedName name="จำนวน6.3_14.1" localSheetId="3">#REF!</definedName>
    <definedName name="จำนวน6.3_14.1" localSheetId="2">#REF!</definedName>
    <definedName name="จำนวน6.3_14.1">#REF!</definedName>
    <definedName name="จำนวน6.3_14.2" localSheetId="3">#REF!</definedName>
    <definedName name="จำนวน6.3_14.2" localSheetId="2">#REF!</definedName>
    <definedName name="จำนวน6.3_14.2">#REF!</definedName>
    <definedName name="จำนวน6.3_14.3" localSheetId="3">#REF!</definedName>
    <definedName name="จำนวน6.3_14.3" localSheetId="2">#REF!</definedName>
    <definedName name="จำนวน6.3_14.3">#REF!</definedName>
    <definedName name="จำนวน6.3_14.4.1" localSheetId="3">#REF!</definedName>
    <definedName name="จำนวน6.3_14.4.1" localSheetId="2">#REF!</definedName>
    <definedName name="จำนวน6.3_14.4.1">#REF!</definedName>
    <definedName name="จำนวน6.3_14.5.1" localSheetId="3">#REF!</definedName>
    <definedName name="จำนวน6.3_14.5.1" localSheetId="2">#REF!</definedName>
    <definedName name="จำนวน6.3_14.5.1">#REF!</definedName>
    <definedName name="จำนวน6.3_14.5.2" localSheetId="3">#REF!</definedName>
    <definedName name="จำนวน6.3_14.5.2" localSheetId="2">#REF!</definedName>
    <definedName name="จำนวน6.3_14.5.2">#REF!</definedName>
    <definedName name="จำนวน6.3_14.5.3" localSheetId="3">#REF!</definedName>
    <definedName name="จำนวน6.3_14.5.3" localSheetId="2">#REF!</definedName>
    <definedName name="จำนวน6.3_14.5.3">#REF!</definedName>
    <definedName name="จำนวน6.3_2" localSheetId="3">#REF!</definedName>
    <definedName name="จำนวน6.3_2" localSheetId="2">#REF!</definedName>
    <definedName name="จำนวน6.3_2">#REF!</definedName>
    <definedName name="จำนวน6.3_3.1" localSheetId="3">#REF!</definedName>
    <definedName name="จำนวน6.3_3.1" localSheetId="2">#REF!</definedName>
    <definedName name="จำนวน6.3_3.1">#REF!</definedName>
    <definedName name="จำนวน6.3_3.2" localSheetId="3">#REF!</definedName>
    <definedName name="จำนวน6.3_3.2" localSheetId="2">#REF!</definedName>
    <definedName name="จำนวน6.3_3.2">#REF!</definedName>
    <definedName name="จำนวน6.3_4" localSheetId="3">#REF!</definedName>
    <definedName name="จำนวน6.3_4" localSheetId="2">#REF!</definedName>
    <definedName name="จำนวน6.3_4">#REF!</definedName>
    <definedName name="จำนวน6.3_5.1" localSheetId="3">#REF!</definedName>
    <definedName name="จำนวน6.3_5.1" localSheetId="2">#REF!</definedName>
    <definedName name="จำนวน6.3_5.1">#REF!</definedName>
    <definedName name="จำนวน6.3_5.2" localSheetId="3">#REF!</definedName>
    <definedName name="จำนวน6.3_5.2" localSheetId="2">#REF!</definedName>
    <definedName name="จำนวน6.3_5.2">#REF!</definedName>
    <definedName name="จำนวน6.3_6.1.1" localSheetId="3">#REF!</definedName>
    <definedName name="จำนวน6.3_6.1.1" localSheetId="2">#REF!</definedName>
    <definedName name="จำนวน6.3_6.1.1">#REF!</definedName>
    <definedName name="จำนวน6.3_6.2.1" localSheetId="3">#REF!</definedName>
    <definedName name="จำนวน6.3_6.2.1" localSheetId="2">#REF!</definedName>
    <definedName name="จำนวน6.3_6.2.1">#REF!</definedName>
    <definedName name="จำนวน6.3_7" localSheetId="3">#REF!</definedName>
    <definedName name="จำนวน6.3_7" localSheetId="2">#REF!</definedName>
    <definedName name="จำนวน6.3_7">#REF!</definedName>
    <definedName name="จำนวน6.3_8.1" localSheetId="3">#REF!</definedName>
    <definedName name="จำนวน6.3_8.1" localSheetId="2">#REF!</definedName>
    <definedName name="จำนวน6.3_8.1">#REF!</definedName>
    <definedName name="จำนวน6.3_8.2" localSheetId="3">#REF!</definedName>
    <definedName name="จำนวน6.3_8.2" localSheetId="2">#REF!</definedName>
    <definedName name="จำนวน6.3_8.2">#REF!</definedName>
    <definedName name="จำนวน6.3_8.3" localSheetId="3">#REF!</definedName>
    <definedName name="จำนวน6.3_8.3" localSheetId="2">#REF!</definedName>
    <definedName name="จำนวน6.3_8.3">#REF!</definedName>
    <definedName name="จำนวน6.3_9" localSheetId="3">#REF!</definedName>
    <definedName name="จำนวน6.3_9" localSheetId="2">#REF!</definedName>
    <definedName name="จำนวน6.3_9">#REF!</definedName>
    <definedName name="จำนวน6.4_1" localSheetId="3">#REF!</definedName>
    <definedName name="จำนวน6.4_1" localSheetId="2">#REF!</definedName>
    <definedName name="จำนวน6.4_1">#REF!</definedName>
    <definedName name="จำนวน6.4_2" localSheetId="3">#REF!</definedName>
    <definedName name="จำนวน6.4_2" localSheetId="2">#REF!</definedName>
    <definedName name="จำนวน6.4_2">#REF!</definedName>
    <definedName name="จำนวน6.4_3" localSheetId="3">#REF!</definedName>
    <definedName name="จำนวน6.4_3" localSheetId="2">#REF!</definedName>
    <definedName name="จำนวน6.4_3">#REF!</definedName>
    <definedName name="จำนวน6.4_4" localSheetId="3">#REF!</definedName>
    <definedName name="จำนวน6.4_4" localSheetId="2">#REF!</definedName>
    <definedName name="จำนวน6.4_4">#REF!</definedName>
    <definedName name="จำนวน6.4_5.1" localSheetId="3">#REF!</definedName>
    <definedName name="จำนวน6.4_5.1" localSheetId="2">#REF!</definedName>
    <definedName name="จำนวน6.4_5.1">#REF!</definedName>
    <definedName name="จำนวน6.4_5.2" localSheetId="3">#REF!</definedName>
    <definedName name="จำนวน6.4_5.2" localSheetId="2">#REF!</definedName>
    <definedName name="จำนวน6.4_5.2">#REF!</definedName>
    <definedName name="จำนวน6.4_5.3" localSheetId="3">#REF!</definedName>
    <definedName name="จำนวน6.4_5.3" localSheetId="2">#REF!</definedName>
    <definedName name="จำนวน6.4_5.3">#REF!</definedName>
    <definedName name="จำนวน6.4_5.4" localSheetId="3">#REF!</definedName>
    <definedName name="จำนวน6.4_5.4" localSheetId="2">#REF!</definedName>
    <definedName name="จำนวน6.4_5.4">#REF!</definedName>
    <definedName name="จำนวน6.4_6.1" localSheetId="3">#REF!</definedName>
    <definedName name="จำนวน6.4_6.1" localSheetId="2">#REF!</definedName>
    <definedName name="จำนวน6.4_6.1">#REF!</definedName>
    <definedName name="จำนวน6.4_6.2" localSheetId="3">#REF!</definedName>
    <definedName name="จำนวน6.4_6.2" localSheetId="2">#REF!</definedName>
    <definedName name="จำนวน6.4_6.2">#REF!</definedName>
    <definedName name="จำนวน6.4_6.3" localSheetId="3">#REF!</definedName>
    <definedName name="จำนวน6.4_6.3" localSheetId="2">#REF!</definedName>
    <definedName name="จำนวน6.4_6.3">#REF!</definedName>
    <definedName name="จำนวน6.4_6.4" localSheetId="3">#REF!</definedName>
    <definedName name="จำนวน6.4_6.4" localSheetId="2">#REF!</definedName>
    <definedName name="จำนวน6.4_6.4">#REF!</definedName>
    <definedName name="จำนวน6.4_6.5" localSheetId="3">#REF!</definedName>
    <definedName name="จำนวน6.4_6.5" localSheetId="2">#REF!</definedName>
    <definedName name="จำนวน6.4_6.5">#REF!</definedName>
    <definedName name="จำนวน6.5_1" localSheetId="3">#REF!</definedName>
    <definedName name="จำนวน6.5_1" localSheetId="2">#REF!</definedName>
    <definedName name="จำนวน6.5_1">#REF!</definedName>
    <definedName name="จำนวน6.5_2" localSheetId="3">#REF!</definedName>
    <definedName name="จำนวน6.5_2" localSheetId="2">#REF!</definedName>
    <definedName name="จำนวน6.5_2">#REF!</definedName>
    <definedName name="จำนวน6.6_1" localSheetId="3">#REF!</definedName>
    <definedName name="จำนวน6.6_1" localSheetId="2">#REF!</definedName>
    <definedName name="จำนวน6.6_1">#REF!</definedName>
    <definedName name="จำนวน6.6_2" localSheetId="3">#REF!</definedName>
    <definedName name="จำนวน6.6_2" localSheetId="2">#REF!</definedName>
    <definedName name="จำนวน6.6_2">#REF!</definedName>
    <definedName name="จำนวน6.7_1" localSheetId="3">#REF!</definedName>
    <definedName name="จำนวน6.7_1" localSheetId="2">#REF!</definedName>
    <definedName name="จำนวน6.7_1">#REF!</definedName>
    <definedName name="จำนวน6.7_2" localSheetId="3">#REF!</definedName>
    <definedName name="จำนวน6.7_2" localSheetId="2">#REF!</definedName>
    <definedName name="จำนวน6.7_2">#REF!</definedName>
    <definedName name="จำนวน6.8_1.1" localSheetId="3">#REF!</definedName>
    <definedName name="จำนวน6.8_1.1" localSheetId="2">#REF!</definedName>
    <definedName name="จำนวน6.8_1.1">#REF!</definedName>
    <definedName name="จำนวน6.8_1.2" localSheetId="3">#REF!</definedName>
    <definedName name="จำนวน6.8_1.2" localSheetId="2">#REF!</definedName>
    <definedName name="จำนวน6.8_1.2">#REF!</definedName>
    <definedName name="จำนวน6.8_2" localSheetId="3">#REF!</definedName>
    <definedName name="จำนวน6.8_2" localSheetId="2">#REF!</definedName>
    <definedName name="จำนวน6.8_2">#REF!</definedName>
    <definedName name="จำนวน6.8_3" localSheetId="3">#REF!</definedName>
    <definedName name="จำนวน6.8_3" localSheetId="2">#REF!</definedName>
    <definedName name="จำนวน6.8_3">#REF!</definedName>
    <definedName name="จำนวน6.9_1" localSheetId="3">#REF!</definedName>
    <definedName name="จำนวน6.9_1" localSheetId="2">#REF!</definedName>
    <definedName name="จำนวน6.9_1">#REF!</definedName>
    <definedName name="จำนวน6.9_2" localSheetId="3">#REF!</definedName>
    <definedName name="จำนวน6.9_2" localSheetId="2">#REF!</definedName>
    <definedName name="จำนวน6.9_2">#REF!</definedName>
    <definedName name="ชื่อโครงการ" localSheetId="18">[46]ราคาคอนกรีตต่อหน่วย!$A$2</definedName>
    <definedName name="ชื่อโครงการ" localSheetId="19">[46]ราคาคอนกรีตต่อหน่วย!$A$2</definedName>
    <definedName name="ชื่อโครงการ" localSheetId="9">[46]ราคาคอนกรีตต่อหน่วย!$A$2</definedName>
    <definedName name="ชื่อโครงการ" localSheetId="10">[46]ราคาคอนกรีตต่อหน่วย!$A$2</definedName>
    <definedName name="ชื่อโครงการ" localSheetId="11">[46]ราคาคอนกรีตต่อหน่วย!$A$2</definedName>
    <definedName name="ชื่อโครงการ" localSheetId="12">[46]ราคาคอนกรีตต่อหน่วย!$A$2</definedName>
    <definedName name="ชื่อโครงการ" localSheetId="13">[46]ราคาคอนกรีตต่อหน่วย!$A$2</definedName>
    <definedName name="ชื่อโครงการ" localSheetId="14">[46]ราคาคอนกรีตต่อหน่วย!$A$2</definedName>
    <definedName name="ชื่อโครงการ" localSheetId="15">[46]ราคาคอนกรีตต่อหน่วย!$A$2</definedName>
    <definedName name="ชื่อโครงการ" localSheetId="16">[46]ราคาคอนกรีตต่อหน่วย!$A$2</definedName>
    <definedName name="ชื่อโครงการ" localSheetId="17">[46]ราคาคอนกรีตต่อหน่วย!$A$2</definedName>
    <definedName name="ชื่อโครงการ" localSheetId="8">[46]ราคาคอนกรีตต่อหน่วย!$A$2</definedName>
    <definedName name="ชื่อโครงการ" localSheetId="7">[46]ราคาคอนกรีตต่อหน่วย!$A$2</definedName>
    <definedName name="ชื่อโครงการ" localSheetId="6">[46]ราคาคอนกรีตต่อหน่วย!$A$2</definedName>
    <definedName name="ชื่อโครงการ" localSheetId="20">[46]ราคาคอนกรีตต่อหน่วย!$A$2</definedName>
    <definedName name="ชื่อโครงการ" localSheetId="5">[46]ราคาคอนกรีตต่อหน่วย!$A$2</definedName>
    <definedName name="ชื่อโครงการ">[46]ราคาคอนกรีตต่อหน่วย!$A$2</definedName>
    <definedName name="ดด" localSheetId="3">#REF!</definedName>
    <definedName name="ดด" localSheetId="4">#REF!</definedName>
    <definedName name="ดด" localSheetId="38">#REF!</definedName>
    <definedName name="ดด" localSheetId="86">#REF!</definedName>
    <definedName name="ดด">#REF!</definedName>
    <definedName name="ดาดคอนกรีต" localSheetId="3">#REF!</definedName>
    <definedName name="ดาดคอนกรีต" localSheetId="18">#REF!</definedName>
    <definedName name="ดาดคอนกรีต" localSheetId="19">#REF!</definedName>
    <definedName name="ดาดคอนกรีต" localSheetId="9">#REF!</definedName>
    <definedName name="ดาดคอนกรีต" localSheetId="10">#REF!</definedName>
    <definedName name="ดาดคอนกรีต" localSheetId="11">#REF!</definedName>
    <definedName name="ดาดคอนกรีต" localSheetId="12">#REF!</definedName>
    <definedName name="ดาดคอนกรีต" localSheetId="13">#REF!</definedName>
    <definedName name="ดาดคอนกรีต" localSheetId="14">#REF!</definedName>
    <definedName name="ดาดคอนกรีต" localSheetId="15">#REF!</definedName>
    <definedName name="ดาดคอนกรีต" localSheetId="16">#REF!</definedName>
    <definedName name="ดาดคอนกรีต" localSheetId="17">#REF!</definedName>
    <definedName name="ดาดคอนกรีต" localSheetId="8">#REF!</definedName>
    <definedName name="ดาดคอนกรีต" localSheetId="7">#REF!</definedName>
    <definedName name="ดาดคอนกรีต" localSheetId="6">#REF!</definedName>
    <definedName name="ดาดคอนกรีต" localSheetId="20">#REF!</definedName>
    <definedName name="ดาดคอนกรีต" localSheetId="5">#REF!</definedName>
    <definedName name="ดาดคอนกรีต" localSheetId="21">#REF!</definedName>
    <definedName name="ดาดคอนกรีต" localSheetId="34">#REF!</definedName>
    <definedName name="ดาดคอนกรีต" localSheetId="35">#REF!</definedName>
    <definedName name="ดาดคอนกรีต" localSheetId="25">#REF!</definedName>
    <definedName name="ดาดคอนกรีต" localSheetId="27">#REF!</definedName>
    <definedName name="ดาดคอนกรีต" localSheetId="28">#REF!</definedName>
    <definedName name="ดาดคอนกรีต" localSheetId="29">#REF!</definedName>
    <definedName name="ดาดคอนกรีต" localSheetId="31">#REF!</definedName>
    <definedName name="ดาดคอนกรีต" localSheetId="32">#REF!</definedName>
    <definedName name="ดาดคอนกรีต" localSheetId="33">#REF!</definedName>
    <definedName name="ดาดคอนกรีต" localSheetId="24">#REF!</definedName>
    <definedName name="ดาดคอนกรีต" localSheetId="23">#REF!</definedName>
    <definedName name="ดาดคอนกรีต" localSheetId="36">#REF!</definedName>
    <definedName name="ดาดคอนกรีต" localSheetId="22">#REF!</definedName>
    <definedName name="ดาดคอนกรีต" localSheetId="26">#REF!</definedName>
    <definedName name="ดาดคอนกรีต" localSheetId="30">#REF!</definedName>
    <definedName name="ดาดคอนกรีต" localSheetId="41">#REF!</definedName>
    <definedName name="ดาดคอนกรีต" localSheetId="50">#REF!</definedName>
    <definedName name="ดาดคอนกรีต" localSheetId="51">#REF!</definedName>
    <definedName name="ดาดคอนกรีต" localSheetId="42">#REF!</definedName>
    <definedName name="ดาดคอนกรีต" localSheetId="43">#REF!</definedName>
    <definedName name="ดาดคอนกรีต" localSheetId="44">#REF!</definedName>
    <definedName name="ดาดคอนกรีต" localSheetId="45">#REF!</definedName>
    <definedName name="ดาดคอนกรีต" localSheetId="46">#REF!</definedName>
    <definedName name="ดาดคอนกรีต" localSheetId="47">#REF!</definedName>
    <definedName name="ดาดคอนกรีต" localSheetId="48">#REF!</definedName>
    <definedName name="ดาดคอนกรีต" localSheetId="49">#REF!</definedName>
    <definedName name="ดาดคอนกรีต" localSheetId="52">#REF!</definedName>
    <definedName name="ดาดคอนกรีต" localSheetId="40">#REF!</definedName>
    <definedName name="ดาดคอนกรีต" localSheetId="39">#REF!</definedName>
    <definedName name="ดาดคอนกรีต" localSheetId="38">#REF!</definedName>
    <definedName name="ดาดคอนกรีต" localSheetId="37">#REF!</definedName>
    <definedName name="ดาดคอนกรีต" localSheetId="57">#REF!</definedName>
    <definedName name="ดาดคอนกรีต" localSheetId="66">#REF!</definedName>
    <definedName name="ดาดคอนกรีต" localSheetId="67">#REF!</definedName>
    <definedName name="ดาดคอนกรีต" localSheetId="58">#REF!</definedName>
    <definedName name="ดาดคอนกรีต" localSheetId="59">#REF!</definedName>
    <definedName name="ดาดคอนกรีต" localSheetId="60">#REF!</definedName>
    <definedName name="ดาดคอนกรีต" localSheetId="61">#REF!</definedName>
    <definedName name="ดาดคอนกรีต" localSheetId="62">#REF!</definedName>
    <definedName name="ดาดคอนกรีต" localSheetId="63">#REF!</definedName>
    <definedName name="ดาดคอนกรีต" localSheetId="64">#REF!</definedName>
    <definedName name="ดาดคอนกรีต" localSheetId="65">#REF!</definedName>
    <definedName name="ดาดคอนกรีต" localSheetId="68">#REF!</definedName>
    <definedName name="ดาดคอนกรีต" localSheetId="56">#REF!</definedName>
    <definedName name="ดาดคอนกรีต" localSheetId="55">#REF!</definedName>
    <definedName name="ดาดคอนกรีต" localSheetId="54">#REF!</definedName>
    <definedName name="ดาดคอนกรีต" localSheetId="69">#REF!</definedName>
    <definedName name="ดาดคอนกรีต" localSheetId="53">#REF!</definedName>
    <definedName name="ดาดคอนกรีต" localSheetId="85">#REF!</definedName>
    <definedName name="ดาดคอนกรีต" localSheetId="86">#REF!</definedName>
    <definedName name="ดาดคอนกรีต" localSheetId="2">#REF!</definedName>
    <definedName name="ดาดคอนกรีต">#REF!</definedName>
    <definedName name="ดิน_ขุดตัก" localSheetId="3">#REF!</definedName>
    <definedName name="ดิน_ขุดตัก" localSheetId="18">#REF!</definedName>
    <definedName name="ดิน_ขุดตัก" localSheetId="19">#REF!</definedName>
    <definedName name="ดิน_ขุดตัก" localSheetId="9">#REF!</definedName>
    <definedName name="ดิน_ขุดตัก" localSheetId="10">#REF!</definedName>
    <definedName name="ดิน_ขุดตัก" localSheetId="11">#REF!</definedName>
    <definedName name="ดิน_ขุดตัก" localSheetId="12">#REF!</definedName>
    <definedName name="ดิน_ขุดตัก" localSheetId="13">#REF!</definedName>
    <definedName name="ดิน_ขุดตัก" localSheetId="14">#REF!</definedName>
    <definedName name="ดิน_ขุดตัก" localSheetId="15">#REF!</definedName>
    <definedName name="ดิน_ขุดตัก" localSheetId="16">#REF!</definedName>
    <definedName name="ดิน_ขุดตัก" localSheetId="17">#REF!</definedName>
    <definedName name="ดิน_ขุดตัก" localSheetId="8">#REF!</definedName>
    <definedName name="ดิน_ขุดตัก" localSheetId="7">#REF!</definedName>
    <definedName name="ดิน_ขุดตัก" localSheetId="6">#REF!</definedName>
    <definedName name="ดิน_ขุดตัก" localSheetId="20">#REF!</definedName>
    <definedName name="ดิน_ขุดตัก" localSheetId="5">#REF!</definedName>
    <definedName name="ดิน_ขุดตัก" localSheetId="21">#REF!</definedName>
    <definedName name="ดิน_ขุดตัก" localSheetId="34">#REF!</definedName>
    <definedName name="ดิน_ขุดตัก" localSheetId="35">#REF!</definedName>
    <definedName name="ดิน_ขุดตัก" localSheetId="25">#REF!</definedName>
    <definedName name="ดิน_ขุดตัก" localSheetId="27">#REF!</definedName>
    <definedName name="ดิน_ขุดตัก" localSheetId="28">#REF!</definedName>
    <definedName name="ดิน_ขุดตัก" localSheetId="29">#REF!</definedName>
    <definedName name="ดิน_ขุดตัก" localSheetId="31">#REF!</definedName>
    <definedName name="ดิน_ขุดตัก" localSheetId="32">#REF!</definedName>
    <definedName name="ดิน_ขุดตัก" localSheetId="33">#REF!</definedName>
    <definedName name="ดิน_ขุดตัก" localSheetId="24">#REF!</definedName>
    <definedName name="ดิน_ขุดตัก" localSheetId="23">#REF!</definedName>
    <definedName name="ดิน_ขุดตัก" localSheetId="36">#REF!</definedName>
    <definedName name="ดิน_ขุดตัก" localSheetId="22">#REF!</definedName>
    <definedName name="ดิน_ขุดตัก" localSheetId="26">#REF!</definedName>
    <definedName name="ดิน_ขุดตัก" localSheetId="30">#REF!</definedName>
    <definedName name="ดิน_ขุดตัก" localSheetId="85">#REF!</definedName>
    <definedName name="ดิน_ขุดตัก" localSheetId="86">#REF!</definedName>
    <definedName name="ดิน_ขุดตัก" localSheetId="2">#REF!</definedName>
    <definedName name="ดิน_ขุดตัก">#REF!</definedName>
    <definedName name="ดิน_ดันตัก" localSheetId="3">#REF!</definedName>
    <definedName name="ดิน_ดันตัก" localSheetId="85">#REF!</definedName>
    <definedName name="ดิน_ดันตัก" localSheetId="86">#REF!</definedName>
    <definedName name="ดิน_ดันตัก" localSheetId="2">#REF!</definedName>
    <definedName name="ดิน_ดันตัก">#REF!</definedName>
    <definedName name="ดินตัด" localSheetId="3">#REF!</definedName>
    <definedName name="ดินตัด" localSheetId="2">#REF!</definedName>
    <definedName name="ดินตัด">#REF!</definedName>
    <definedName name="ดินถมไม่รวมขนส่ง" localSheetId="3">#REF!</definedName>
    <definedName name="ดินถมไม่รวมขนส่ง" localSheetId="2">#REF!</definedName>
    <definedName name="ดินถมไม่รวมขนส่ง">#REF!</definedName>
    <definedName name="ดินปลูกต้นไม้">[48]ราคาต้นไม้!$H$21</definedName>
    <definedName name="ดินลูกรัง" localSheetId="3">#REF!</definedName>
    <definedName name="ดินลูกรัง" localSheetId="4">#REF!</definedName>
    <definedName name="ดินลูกรัง" localSheetId="18">#REF!</definedName>
    <definedName name="ดินลูกรัง" localSheetId="19">#REF!</definedName>
    <definedName name="ดินลูกรัง" localSheetId="9">#REF!</definedName>
    <definedName name="ดินลูกรัง" localSheetId="10">#REF!</definedName>
    <definedName name="ดินลูกรัง" localSheetId="11">#REF!</definedName>
    <definedName name="ดินลูกรัง" localSheetId="12">#REF!</definedName>
    <definedName name="ดินลูกรัง" localSheetId="13">#REF!</definedName>
    <definedName name="ดินลูกรัง" localSheetId="14">#REF!</definedName>
    <definedName name="ดินลูกรัง" localSheetId="15">#REF!</definedName>
    <definedName name="ดินลูกรัง" localSheetId="16">#REF!</definedName>
    <definedName name="ดินลูกรัง" localSheetId="17">#REF!</definedName>
    <definedName name="ดินลูกรัง" localSheetId="8">#REF!</definedName>
    <definedName name="ดินลูกรัง" localSheetId="7">#REF!</definedName>
    <definedName name="ดินลูกรัง" localSheetId="6">#REF!</definedName>
    <definedName name="ดินลูกรัง" localSheetId="20">#REF!</definedName>
    <definedName name="ดินลูกรัง" localSheetId="5">#REF!</definedName>
    <definedName name="ดินลูกรัง" localSheetId="21">#REF!</definedName>
    <definedName name="ดินลูกรัง" localSheetId="34">#REF!</definedName>
    <definedName name="ดินลูกรัง" localSheetId="35">#REF!</definedName>
    <definedName name="ดินลูกรัง" localSheetId="25">#REF!</definedName>
    <definedName name="ดินลูกรัง" localSheetId="27">#REF!</definedName>
    <definedName name="ดินลูกรัง" localSheetId="28">#REF!</definedName>
    <definedName name="ดินลูกรัง" localSheetId="29">#REF!</definedName>
    <definedName name="ดินลูกรัง" localSheetId="31">#REF!</definedName>
    <definedName name="ดินลูกรัง" localSheetId="32">#REF!</definedName>
    <definedName name="ดินลูกรัง" localSheetId="33">#REF!</definedName>
    <definedName name="ดินลูกรัง" localSheetId="24">#REF!</definedName>
    <definedName name="ดินลูกรัง" localSheetId="23">#REF!</definedName>
    <definedName name="ดินลูกรัง" localSheetId="36">#REF!</definedName>
    <definedName name="ดินลูกรัง" localSheetId="22">#REF!</definedName>
    <definedName name="ดินลูกรัง" localSheetId="26">#REF!</definedName>
    <definedName name="ดินลูกรัง" localSheetId="30">#REF!</definedName>
    <definedName name="ดินลูกรัง" localSheetId="41">#REF!</definedName>
    <definedName name="ดินลูกรัง" localSheetId="50">#REF!</definedName>
    <definedName name="ดินลูกรัง" localSheetId="51">#REF!</definedName>
    <definedName name="ดินลูกรัง" localSheetId="42">#REF!</definedName>
    <definedName name="ดินลูกรัง" localSheetId="43">#REF!</definedName>
    <definedName name="ดินลูกรัง" localSheetId="44">#REF!</definedName>
    <definedName name="ดินลูกรัง" localSheetId="45">#REF!</definedName>
    <definedName name="ดินลูกรัง" localSheetId="46">#REF!</definedName>
    <definedName name="ดินลูกรัง" localSheetId="47">#REF!</definedName>
    <definedName name="ดินลูกรัง" localSheetId="48">#REF!</definedName>
    <definedName name="ดินลูกรัง" localSheetId="49">#REF!</definedName>
    <definedName name="ดินลูกรัง" localSheetId="52">#REF!</definedName>
    <definedName name="ดินลูกรัง" localSheetId="40">#REF!</definedName>
    <definedName name="ดินลูกรัง" localSheetId="39">#REF!</definedName>
    <definedName name="ดินลูกรัง" localSheetId="38">#REF!</definedName>
    <definedName name="ดินลูกรัง" localSheetId="37">#REF!</definedName>
    <definedName name="ดินลูกรัง" localSheetId="57">#REF!</definedName>
    <definedName name="ดินลูกรัง" localSheetId="66">#REF!</definedName>
    <definedName name="ดินลูกรัง" localSheetId="67">#REF!</definedName>
    <definedName name="ดินลูกรัง" localSheetId="58">#REF!</definedName>
    <definedName name="ดินลูกรัง" localSheetId="59">#REF!</definedName>
    <definedName name="ดินลูกรัง" localSheetId="60">#REF!</definedName>
    <definedName name="ดินลูกรัง" localSheetId="61">#REF!</definedName>
    <definedName name="ดินลูกรัง" localSheetId="62">#REF!</definedName>
    <definedName name="ดินลูกรัง" localSheetId="63">#REF!</definedName>
    <definedName name="ดินลูกรัง" localSheetId="64">#REF!</definedName>
    <definedName name="ดินลูกรัง" localSheetId="65">#REF!</definedName>
    <definedName name="ดินลูกรัง" localSheetId="68">#REF!</definedName>
    <definedName name="ดินลูกรัง" localSheetId="56">#REF!</definedName>
    <definedName name="ดินลูกรัง" localSheetId="55">#REF!</definedName>
    <definedName name="ดินลูกรัง" localSheetId="54">#REF!</definedName>
    <definedName name="ดินลูกรัง" localSheetId="69">#REF!</definedName>
    <definedName name="ดินลูกรัง" localSheetId="53">#REF!</definedName>
    <definedName name="ดินลูกรัง" localSheetId="85">#REF!</definedName>
    <definedName name="ดินลูกรัง" localSheetId="86">#REF!</definedName>
    <definedName name="ดินลูกรัง" localSheetId="2">#REF!</definedName>
    <definedName name="ดินลูกรัง">#REF!</definedName>
    <definedName name="ดินลูกรังไม่รวมขนส่ง" localSheetId="3">#REF!</definedName>
    <definedName name="ดินลูกรังไม่รวมขนส่ง" localSheetId="4">#REF!</definedName>
    <definedName name="ดินลูกรังไม่รวมขนส่ง" localSheetId="18">#REF!</definedName>
    <definedName name="ดินลูกรังไม่รวมขนส่ง" localSheetId="19">#REF!</definedName>
    <definedName name="ดินลูกรังไม่รวมขนส่ง" localSheetId="9">#REF!</definedName>
    <definedName name="ดินลูกรังไม่รวมขนส่ง" localSheetId="10">#REF!</definedName>
    <definedName name="ดินลูกรังไม่รวมขนส่ง" localSheetId="11">#REF!</definedName>
    <definedName name="ดินลูกรังไม่รวมขนส่ง" localSheetId="12">#REF!</definedName>
    <definedName name="ดินลูกรังไม่รวมขนส่ง" localSheetId="13">#REF!</definedName>
    <definedName name="ดินลูกรังไม่รวมขนส่ง" localSheetId="14">#REF!</definedName>
    <definedName name="ดินลูกรังไม่รวมขนส่ง" localSheetId="15">#REF!</definedName>
    <definedName name="ดินลูกรังไม่รวมขนส่ง" localSheetId="16">#REF!</definedName>
    <definedName name="ดินลูกรังไม่รวมขนส่ง" localSheetId="17">#REF!</definedName>
    <definedName name="ดินลูกรังไม่รวมขนส่ง" localSheetId="8">#REF!</definedName>
    <definedName name="ดินลูกรังไม่รวมขนส่ง" localSheetId="7">#REF!</definedName>
    <definedName name="ดินลูกรังไม่รวมขนส่ง" localSheetId="6">#REF!</definedName>
    <definedName name="ดินลูกรังไม่รวมขนส่ง" localSheetId="20">#REF!</definedName>
    <definedName name="ดินลูกรังไม่รวมขนส่ง" localSheetId="5">#REF!</definedName>
    <definedName name="ดินลูกรังไม่รวมขนส่ง" localSheetId="21">#REF!</definedName>
    <definedName name="ดินลูกรังไม่รวมขนส่ง" localSheetId="34">#REF!</definedName>
    <definedName name="ดินลูกรังไม่รวมขนส่ง" localSheetId="35">#REF!</definedName>
    <definedName name="ดินลูกรังไม่รวมขนส่ง" localSheetId="25">#REF!</definedName>
    <definedName name="ดินลูกรังไม่รวมขนส่ง" localSheetId="27">#REF!</definedName>
    <definedName name="ดินลูกรังไม่รวมขนส่ง" localSheetId="28">#REF!</definedName>
    <definedName name="ดินลูกรังไม่รวมขนส่ง" localSheetId="29">#REF!</definedName>
    <definedName name="ดินลูกรังไม่รวมขนส่ง" localSheetId="31">#REF!</definedName>
    <definedName name="ดินลูกรังไม่รวมขนส่ง" localSheetId="32">#REF!</definedName>
    <definedName name="ดินลูกรังไม่รวมขนส่ง" localSheetId="33">#REF!</definedName>
    <definedName name="ดินลูกรังไม่รวมขนส่ง" localSheetId="24">#REF!</definedName>
    <definedName name="ดินลูกรังไม่รวมขนส่ง" localSheetId="23">#REF!</definedName>
    <definedName name="ดินลูกรังไม่รวมขนส่ง" localSheetId="36">#REF!</definedName>
    <definedName name="ดินลูกรังไม่รวมขนส่ง" localSheetId="22">#REF!</definedName>
    <definedName name="ดินลูกรังไม่รวมขนส่ง" localSheetId="26">#REF!</definedName>
    <definedName name="ดินลูกรังไม่รวมขนส่ง" localSheetId="30">#REF!</definedName>
    <definedName name="ดินลูกรังไม่รวมขนส่ง" localSheetId="85">#REF!</definedName>
    <definedName name="ดินลูกรังไม่รวมขนส่ง" localSheetId="86">#REF!</definedName>
    <definedName name="ดินลูกรังไม่รวมขนส่ง" localSheetId="2">#REF!</definedName>
    <definedName name="ดินลูกรังไม่รวมขนส่ง">#REF!</definedName>
    <definedName name="ต้น_เข็ม" localSheetId="3">#REF!</definedName>
    <definedName name="ต้น_เข็ม" localSheetId="85">#REF!</definedName>
    <definedName name="ต้น_เข็ม" localSheetId="86">#REF!</definedName>
    <definedName name="ต้น_เข็ม" localSheetId="2">#REF!</definedName>
    <definedName name="ต้น_เข็ม">#REF!</definedName>
    <definedName name="ต้น_เสม็ดขาว" localSheetId="3">#REF!</definedName>
    <definedName name="ต้น_เสม็ดขาว" localSheetId="2">#REF!</definedName>
    <definedName name="ต้น_เสม็ดขาว">#REF!</definedName>
    <definedName name="ต้น_โพทะเล" localSheetId="3">#REF!</definedName>
    <definedName name="ต้น_โพทะเล" localSheetId="2">#REF!</definedName>
    <definedName name="ต้น_โพทะเล">#REF!</definedName>
    <definedName name="ต้น_ก้ามกุ้งสีทอง" localSheetId="3">#REF!</definedName>
    <definedName name="ต้น_ก้ามกุ้งสีทอง" localSheetId="4">#REF!</definedName>
    <definedName name="ต้น_ก้ามกุ้งสีทอง" localSheetId="86">#REF!</definedName>
    <definedName name="ต้น_ก้ามกุ้งสีทอง" localSheetId="2">#REF!</definedName>
    <definedName name="ต้น_ก้ามกุ้งสีทอง">#REF!</definedName>
    <definedName name="ต้น_จั๋ง" localSheetId="3">#REF!</definedName>
    <definedName name="ต้น_จั๋ง" localSheetId="2">#REF!</definedName>
    <definedName name="ต้น_จั๋ง">#REF!</definedName>
    <definedName name="ต้น_ชมพูพันธ์ทิพย์" localSheetId="3">#REF!</definedName>
    <definedName name="ต้น_ชมพูพันธ์ทิพย์" localSheetId="2">#REF!</definedName>
    <definedName name="ต้น_ชมพูพันธ์ทิพย์">#REF!</definedName>
    <definedName name="ต้น_บานบุรีเหลือง" localSheetId="3">#REF!</definedName>
    <definedName name="ต้น_บานบุรีเหลือง" localSheetId="2">#REF!</definedName>
    <definedName name="ต้น_บานบุรีเหลือง">#REF!</definedName>
    <definedName name="ต้น_มะพร้าว" localSheetId="3">#REF!</definedName>
    <definedName name="ต้น_มะพร้าว" localSheetId="2">#REF!</definedName>
    <definedName name="ต้น_มะพร้าว">#REF!</definedName>
    <definedName name="ต้น_สังกรณี" localSheetId="3">#REF!</definedName>
    <definedName name="ต้น_สังกรณี" localSheetId="2">#REF!</definedName>
    <definedName name="ต้น_สังกรณี">#REF!</definedName>
    <definedName name="ต้น_หมากเขียว" localSheetId="3">#REF!</definedName>
    <definedName name="ต้น_หมากเขียว" localSheetId="2">#REF!</definedName>
    <definedName name="ต้น_หมากเขียว">#REF!</definedName>
    <definedName name="ต้น_หางนกยูงฝรั่ง" localSheetId="3">#REF!</definedName>
    <definedName name="ต้น_หางนกยูงฝรั่ง" localSheetId="2">#REF!</definedName>
    <definedName name="ต้น_หางนกยูงฝรั่ง">#REF!</definedName>
    <definedName name="ต้น_อะเมซอน" localSheetId="3">#REF!</definedName>
    <definedName name="ต้น_อะเมซอน" localSheetId="2">#REF!</definedName>
    <definedName name="ต้น_อะเมซอน">#REF!</definedName>
    <definedName name="ต้นลีลาวดีขาว" localSheetId="3">#REF!</definedName>
    <definedName name="ต้นลีลาวดีขาว" localSheetId="2">#REF!</definedName>
    <definedName name="ต้นลีลาวดีขาว">#REF!</definedName>
    <definedName name="ต้นลีลาวดีชมพู" localSheetId="3">#REF!</definedName>
    <definedName name="ต้นลีลาวดีชมพู" localSheetId="2">#REF!</definedName>
    <definedName name="ต้นลีลาวดีชมพู">#REF!</definedName>
    <definedName name="ตะปู" localSheetId="3">#REF!</definedName>
    <definedName name="ตะปู" localSheetId="2">#REF!</definedName>
    <definedName name="ตะปู">#REF!</definedName>
    <definedName name="ตะปูไม่รวมขนส่ง" localSheetId="3">#REF!</definedName>
    <definedName name="ตะปูไม่รวมขนส่ง" localSheetId="2">#REF!</definedName>
    <definedName name="ตะปูไม่รวมขนส่ง">#REF!</definedName>
    <definedName name="ต่าแรงงานถมดินคันทาง" localSheetId="3">'[11]หมวด 2'!#REF!</definedName>
    <definedName name="ต่าแรงงานถมดินคันทาง" localSheetId="2">'[11]หมวด 2'!#REF!</definedName>
    <definedName name="ต่าแรงงานถมดินคันทาง">'[11]หมวด 2'!#REF!</definedName>
    <definedName name="ตารางขนส่ง" localSheetId="3">#REF!</definedName>
    <definedName name="ตารางขนส่ง" localSheetId="18">#REF!</definedName>
    <definedName name="ตารางขนส่ง" localSheetId="19">#REF!</definedName>
    <definedName name="ตารางขนส่ง" localSheetId="9">#REF!</definedName>
    <definedName name="ตารางขนส่ง" localSheetId="10">#REF!</definedName>
    <definedName name="ตารางขนส่ง" localSheetId="11">#REF!</definedName>
    <definedName name="ตารางขนส่ง" localSheetId="12">#REF!</definedName>
    <definedName name="ตารางขนส่ง" localSheetId="13">#REF!</definedName>
    <definedName name="ตารางขนส่ง" localSheetId="14">#REF!</definedName>
    <definedName name="ตารางขนส่ง" localSheetId="15">#REF!</definedName>
    <definedName name="ตารางขนส่ง" localSheetId="16">#REF!</definedName>
    <definedName name="ตารางขนส่ง" localSheetId="17">#REF!</definedName>
    <definedName name="ตารางขนส่ง" localSheetId="8">#REF!</definedName>
    <definedName name="ตารางขนส่ง" localSheetId="7">#REF!</definedName>
    <definedName name="ตารางขนส่ง" localSheetId="6">#REF!</definedName>
    <definedName name="ตารางขนส่ง" localSheetId="20">#REF!</definedName>
    <definedName name="ตารางขนส่ง" localSheetId="5">#REF!</definedName>
    <definedName name="ตารางขนส่ง" localSheetId="21">#REF!</definedName>
    <definedName name="ตารางขนส่ง" localSheetId="34">#REF!</definedName>
    <definedName name="ตารางขนส่ง" localSheetId="35">#REF!</definedName>
    <definedName name="ตารางขนส่ง" localSheetId="25">#REF!</definedName>
    <definedName name="ตารางขนส่ง" localSheetId="27">#REF!</definedName>
    <definedName name="ตารางขนส่ง" localSheetId="28">#REF!</definedName>
    <definedName name="ตารางขนส่ง" localSheetId="29">#REF!</definedName>
    <definedName name="ตารางขนส่ง" localSheetId="31">#REF!</definedName>
    <definedName name="ตารางขนส่ง" localSheetId="32">#REF!</definedName>
    <definedName name="ตารางขนส่ง" localSheetId="33">#REF!</definedName>
    <definedName name="ตารางขนส่ง" localSheetId="24">#REF!</definedName>
    <definedName name="ตารางขนส่ง" localSheetId="23">#REF!</definedName>
    <definedName name="ตารางขนส่ง" localSheetId="36">#REF!</definedName>
    <definedName name="ตารางขนส่ง" localSheetId="22">#REF!</definedName>
    <definedName name="ตารางขนส่ง" localSheetId="26">#REF!</definedName>
    <definedName name="ตารางขนส่ง" localSheetId="30">#REF!</definedName>
    <definedName name="ตารางขนส่ง" localSheetId="41">#REF!</definedName>
    <definedName name="ตารางขนส่ง" localSheetId="50">#REF!</definedName>
    <definedName name="ตารางขนส่ง" localSheetId="51">#REF!</definedName>
    <definedName name="ตารางขนส่ง" localSheetId="42">#REF!</definedName>
    <definedName name="ตารางขนส่ง" localSheetId="43">#REF!</definedName>
    <definedName name="ตารางขนส่ง" localSheetId="44">#REF!</definedName>
    <definedName name="ตารางขนส่ง" localSheetId="45">#REF!</definedName>
    <definedName name="ตารางขนส่ง" localSheetId="46">#REF!</definedName>
    <definedName name="ตารางขนส่ง" localSheetId="47">#REF!</definedName>
    <definedName name="ตารางขนส่ง" localSheetId="48">#REF!</definedName>
    <definedName name="ตารางขนส่ง" localSheetId="49">#REF!</definedName>
    <definedName name="ตารางขนส่ง" localSheetId="52">#REF!</definedName>
    <definedName name="ตารางขนส่ง" localSheetId="40">#REF!</definedName>
    <definedName name="ตารางขนส่ง" localSheetId="39">#REF!</definedName>
    <definedName name="ตารางขนส่ง" localSheetId="38">#REF!</definedName>
    <definedName name="ตารางขนส่ง" localSheetId="37">#REF!</definedName>
    <definedName name="ตารางขนส่ง" localSheetId="57">#REF!</definedName>
    <definedName name="ตารางขนส่ง" localSheetId="66">#REF!</definedName>
    <definedName name="ตารางขนส่ง" localSheetId="67">#REF!</definedName>
    <definedName name="ตารางขนส่ง" localSheetId="58">#REF!</definedName>
    <definedName name="ตารางขนส่ง" localSheetId="59">#REF!</definedName>
    <definedName name="ตารางขนส่ง" localSheetId="60">#REF!</definedName>
    <definedName name="ตารางขนส่ง" localSheetId="61">#REF!</definedName>
    <definedName name="ตารางขนส่ง" localSheetId="62">#REF!</definedName>
    <definedName name="ตารางขนส่ง" localSheetId="63">#REF!</definedName>
    <definedName name="ตารางขนส่ง" localSheetId="64">#REF!</definedName>
    <definedName name="ตารางขนส่ง" localSheetId="65">#REF!</definedName>
    <definedName name="ตารางขนส่ง" localSheetId="68">#REF!</definedName>
    <definedName name="ตารางขนส่ง" localSheetId="56">#REF!</definedName>
    <definedName name="ตารางขนส่ง" localSheetId="55">#REF!</definedName>
    <definedName name="ตารางขนส่ง" localSheetId="54">#REF!</definedName>
    <definedName name="ตารางขนส่ง" localSheetId="69">#REF!</definedName>
    <definedName name="ตารางขนส่ง" localSheetId="53">#REF!</definedName>
    <definedName name="ตารางขนส่ง" localSheetId="85">#REF!</definedName>
    <definedName name="ตารางขนส่ง" localSheetId="86">#REF!</definedName>
    <definedName name="ตารางขนส่ง" localSheetId="2">#REF!</definedName>
    <definedName name="ตารางขนส่ง">#REF!</definedName>
    <definedName name="ตารางค่าขนส่งท่อ_คสล" localSheetId="3">#REF!</definedName>
    <definedName name="ตารางค่าขนส่งท่อ_คสล" localSheetId="18">#REF!</definedName>
    <definedName name="ตารางค่าขนส่งท่อ_คสล" localSheetId="19">#REF!</definedName>
    <definedName name="ตารางค่าขนส่งท่อ_คสล" localSheetId="9">#REF!</definedName>
    <definedName name="ตารางค่าขนส่งท่อ_คสล" localSheetId="10">#REF!</definedName>
    <definedName name="ตารางค่าขนส่งท่อ_คสล" localSheetId="11">#REF!</definedName>
    <definedName name="ตารางค่าขนส่งท่อ_คสล" localSheetId="12">#REF!</definedName>
    <definedName name="ตารางค่าขนส่งท่อ_คสล" localSheetId="13">#REF!</definedName>
    <definedName name="ตารางค่าขนส่งท่อ_คสล" localSheetId="14">#REF!</definedName>
    <definedName name="ตารางค่าขนส่งท่อ_คสล" localSheetId="15">#REF!</definedName>
    <definedName name="ตารางค่าขนส่งท่อ_คสล" localSheetId="16">#REF!</definedName>
    <definedName name="ตารางค่าขนส่งท่อ_คสล" localSheetId="17">#REF!</definedName>
    <definedName name="ตารางค่าขนส่งท่อ_คสล" localSheetId="8">#REF!</definedName>
    <definedName name="ตารางค่าขนส่งท่อ_คสล" localSheetId="7">#REF!</definedName>
    <definedName name="ตารางค่าขนส่งท่อ_คสล" localSheetId="6">#REF!</definedName>
    <definedName name="ตารางค่าขนส่งท่อ_คสล" localSheetId="20">#REF!</definedName>
    <definedName name="ตารางค่าขนส่งท่อ_คสล" localSheetId="5">#REF!</definedName>
    <definedName name="ตารางค่าขนส่งท่อ_คสล" localSheetId="21">#REF!</definedName>
    <definedName name="ตารางค่าขนส่งท่อ_คสล" localSheetId="34">#REF!</definedName>
    <definedName name="ตารางค่าขนส่งท่อ_คสล" localSheetId="35">#REF!</definedName>
    <definedName name="ตารางค่าขนส่งท่อ_คสล" localSheetId="25">#REF!</definedName>
    <definedName name="ตารางค่าขนส่งท่อ_คสล" localSheetId="27">#REF!</definedName>
    <definedName name="ตารางค่าขนส่งท่อ_คสล" localSheetId="28">#REF!</definedName>
    <definedName name="ตารางค่าขนส่งท่อ_คสล" localSheetId="29">#REF!</definedName>
    <definedName name="ตารางค่าขนส่งท่อ_คสล" localSheetId="31">#REF!</definedName>
    <definedName name="ตารางค่าขนส่งท่อ_คสล" localSheetId="32">#REF!</definedName>
    <definedName name="ตารางค่าขนส่งท่อ_คสล" localSheetId="33">#REF!</definedName>
    <definedName name="ตารางค่าขนส่งท่อ_คสล" localSheetId="24">#REF!</definedName>
    <definedName name="ตารางค่าขนส่งท่อ_คสล" localSheetId="23">#REF!</definedName>
    <definedName name="ตารางค่าขนส่งท่อ_คสล" localSheetId="36">#REF!</definedName>
    <definedName name="ตารางค่าขนส่งท่อ_คสล" localSheetId="22">#REF!</definedName>
    <definedName name="ตารางค่าขนส่งท่อ_คสล" localSheetId="26">#REF!</definedName>
    <definedName name="ตารางค่าขนส่งท่อ_คสล" localSheetId="30">#REF!</definedName>
    <definedName name="ตารางค่าขนส่งท่อ_คสล" localSheetId="85">#REF!</definedName>
    <definedName name="ตารางค่าขนส่งท่อ_คสล" localSheetId="86">#REF!</definedName>
    <definedName name="ตารางค่าขนส่งท่อ_คสล" localSheetId="2">#REF!</definedName>
    <definedName name="ตารางค่าขนส่งท่อ_คสล">#REF!</definedName>
    <definedName name="ถางป่าเบา" localSheetId="3">#REF!</definedName>
    <definedName name="ถางป่าเบา" localSheetId="4">#REF!</definedName>
    <definedName name="ถางป่าเบา" localSheetId="85">#REF!</definedName>
    <definedName name="ถางป่าเบา" localSheetId="86">#REF!</definedName>
    <definedName name="ถางป่าเบา" localSheetId="2">#REF!</definedName>
    <definedName name="ถางป่าเบา">#REF!</definedName>
    <definedName name="ถางป่ากลาง" localSheetId="3">#REF!</definedName>
    <definedName name="ถางป่ากลาง" localSheetId="4">#REF!</definedName>
    <definedName name="ถางป่ากลาง" localSheetId="86">#REF!</definedName>
    <definedName name="ถางป่ากลาง" localSheetId="2">#REF!</definedName>
    <definedName name="ถางป่ากลาง">#REF!</definedName>
    <definedName name="ถางป่าหนัก" localSheetId="3">#REF!</definedName>
    <definedName name="ถางป่าหนัก" localSheetId="2">#REF!</definedName>
    <definedName name="ถางป่าหนัก">#REF!</definedName>
    <definedName name="ถุงดิน" localSheetId="3">#REF!</definedName>
    <definedName name="ถุงดิน" localSheetId="2">#REF!</definedName>
    <definedName name="ถุงดิน">#REF!</definedName>
    <definedName name="ทรายบดอัดแน่น">'[8]2'!$J$143</definedName>
    <definedName name="ทรายผสม" localSheetId="3">#REF!</definedName>
    <definedName name="ทรายผสม" localSheetId="4">#REF!</definedName>
    <definedName name="ทรายผสม" localSheetId="18">#REF!</definedName>
    <definedName name="ทรายผสม" localSheetId="19">#REF!</definedName>
    <definedName name="ทรายผสม" localSheetId="9">#REF!</definedName>
    <definedName name="ทรายผสม" localSheetId="10">#REF!</definedName>
    <definedName name="ทรายผสม" localSheetId="11">#REF!</definedName>
    <definedName name="ทรายผสม" localSheetId="12">#REF!</definedName>
    <definedName name="ทรายผสม" localSheetId="13">#REF!</definedName>
    <definedName name="ทรายผสม" localSheetId="14">#REF!</definedName>
    <definedName name="ทรายผสม" localSheetId="15">#REF!</definedName>
    <definedName name="ทรายผสม" localSheetId="16">#REF!</definedName>
    <definedName name="ทรายผสม" localSheetId="17">#REF!</definedName>
    <definedName name="ทรายผสม" localSheetId="8">#REF!</definedName>
    <definedName name="ทรายผสม" localSheetId="7">#REF!</definedName>
    <definedName name="ทรายผสม" localSheetId="6">#REF!</definedName>
    <definedName name="ทรายผสม" localSheetId="20">#REF!</definedName>
    <definedName name="ทรายผสม" localSheetId="5">#REF!</definedName>
    <definedName name="ทรายผสม" localSheetId="21">#REF!</definedName>
    <definedName name="ทรายผสม" localSheetId="34">#REF!</definedName>
    <definedName name="ทรายผสม" localSheetId="35">#REF!</definedName>
    <definedName name="ทรายผสม" localSheetId="25">#REF!</definedName>
    <definedName name="ทรายผสม" localSheetId="27">#REF!</definedName>
    <definedName name="ทรายผสม" localSheetId="28">#REF!</definedName>
    <definedName name="ทรายผสม" localSheetId="29">#REF!</definedName>
    <definedName name="ทรายผสม" localSheetId="31">#REF!</definedName>
    <definedName name="ทรายผสม" localSheetId="32">#REF!</definedName>
    <definedName name="ทรายผสม" localSheetId="33">#REF!</definedName>
    <definedName name="ทรายผสม" localSheetId="24">#REF!</definedName>
    <definedName name="ทรายผสม" localSheetId="23">#REF!</definedName>
    <definedName name="ทรายผสม" localSheetId="36">#REF!</definedName>
    <definedName name="ทรายผสม" localSheetId="22">#REF!</definedName>
    <definedName name="ทรายผสม" localSheetId="26">#REF!</definedName>
    <definedName name="ทรายผสม" localSheetId="30">#REF!</definedName>
    <definedName name="ทรายผสม" localSheetId="41">#REF!</definedName>
    <definedName name="ทรายผสม" localSheetId="50">#REF!</definedName>
    <definedName name="ทรายผสม" localSheetId="51">#REF!</definedName>
    <definedName name="ทรายผสม" localSheetId="42">#REF!</definedName>
    <definedName name="ทรายผสม" localSheetId="43">#REF!</definedName>
    <definedName name="ทรายผสม" localSheetId="44">#REF!</definedName>
    <definedName name="ทรายผสม" localSheetId="45">#REF!</definedName>
    <definedName name="ทรายผสม" localSheetId="46">#REF!</definedName>
    <definedName name="ทรายผสม" localSheetId="47">#REF!</definedName>
    <definedName name="ทรายผสม" localSheetId="48">#REF!</definedName>
    <definedName name="ทรายผสม" localSheetId="49">#REF!</definedName>
    <definedName name="ทรายผสม" localSheetId="52">#REF!</definedName>
    <definedName name="ทรายผสม" localSheetId="40">#REF!</definedName>
    <definedName name="ทรายผสม" localSheetId="39">#REF!</definedName>
    <definedName name="ทรายผสม" localSheetId="38">#REF!</definedName>
    <definedName name="ทรายผสม" localSheetId="37">#REF!</definedName>
    <definedName name="ทรายผสม" localSheetId="57">#REF!</definedName>
    <definedName name="ทรายผสม" localSheetId="66">#REF!</definedName>
    <definedName name="ทรายผสม" localSheetId="67">#REF!</definedName>
    <definedName name="ทรายผสม" localSheetId="58">#REF!</definedName>
    <definedName name="ทรายผสม" localSheetId="59">#REF!</definedName>
    <definedName name="ทรายผสม" localSheetId="60">#REF!</definedName>
    <definedName name="ทรายผสม" localSheetId="61">#REF!</definedName>
    <definedName name="ทรายผสม" localSheetId="62">#REF!</definedName>
    <definedName name="ทรายผสม" localSheetId="63">#REF!</definedName>
    <definedName name="ทรายผสม" localSheetId="64">#REF!</definedName>
    <definedName name="ทรายผสม" localSheetId="65">#REF!</definedName>
    <definedName name="ทรายผสม" localSheetId="68">#REF!</definedName>
    <definedName name="ทรายผสม" localSheetId="56">#REF!</definedName>
    <definedName name="ทรายผสม" localSheetId="55">#REF!</definedName>
    <definedName name="ทรายผสม" localSheetId="54">#REF!</definedName>
    <definedName name="ทรายผสม" localSheetId="53">#REF!</definedName>
    <definedName name="ทรายผสม" localSheetId="85">#REF!</definedName>
    <definedName name="ทรายผสม" localSheetId="86">#REF!</definedName>
    <definedName name="ทรายผสม" localSheetId="2">#REF!</definedName>
    <definedName name="ทรายผสม">#REF!</definedName>
    <definedName name="ทรายรองคอนกรีต" localSheetId="3">#REF!</definedName>
    <definedName name="ทรายรองคอนกรีต" localSheetId="4">#REF!</definedName>
    <definedName name="ทรายรองคอนกรีต" localSheetId="18">#REF!</definedName>
    <definedName name="ทรายรองคอนกรีต" localSheetId="19">#REF!</definedName>
    <definedName name="ทรายรองคอนกรีต" localSheetId="9">#REF!</definedName>
    <definedName name="ทรายรองคอนกรีต" localSheetId="10">#REF!</definedName>
    <definedName name="ทรายรองคอนกรีต" localSheetId="11">#REF!</definedName>
    <definedName name="ทรายรองคอนกรีต" localSheetId="12">#REF!</definedName>
    <definedName name="ทรายรองคอนกรีต" localSheetId="13">#REF!</definedName>
    <definedName name="ทรายรองคอนกรีต" localSheetId="14">#REF!</definedName>
    <definedName name="ทรายรองคอนกรีต" localSheetId="15">#REF!</definedName>
    <definedName name="ทรายรองคอนกรีต" localSheetId="16">#REF!</definedName>
    <definedName name="ทรายรองคอนกรีต" localSheetId="17">#REF!</definedName>
    <definedName name="ทรายรองคอนกรีต" localSheetId="8">#REF!</definedName>
    <definedName name="ทรายรองคอนกรีต" localSheetId="7">#REF!</definedName>
    <definedName name="ทรายรองคอนกรีต" localSheetId="6">#REF!</definedName>
    <definedName name="ทรายรองคอนกรีต" localSheetId="20">#REF!</definedName>
    <definedName name="ทรายรองคอนกรีต" localSheetId="5">#REF!</definedName>
    <definedName name="ทรายรองคอนกรีต" localSheetId="21">#REF!</definedName>
    <definedName name="ทรายรองคอนกรีต" localSheetId="34">#REF!</definedName>
    <definedName name="ทรายรองคอนกรีต" localSheetId="35">#REF!</definedName>
    <definedName name="ทรายรองคอนกรีต" localSheetId="25">#REF!</definedName>
    <definedName name="ทรายรองคอนกรีต" localSheetId="27">#REF!</definedName>
    <definedName name="ทรายรองคอนกรีต" localSheetId="28">#REF!</definedName>
    <definedName name="ทรายรองคอนกรีต" localSheetId="29">#REF!</definedName>
    <definedName name="ทรายรองคอนกรีต" localSheetId="31">#REF!</definedName>
    <definedName name="ทรายรองคอนกรีต" localSheetId="32">#REF!</definedName>
    <definedName name="ทรายรองคอนกรีต" localSheetId="33">#REF!</definedName>
    <definedName name="ทรายรองคอนกรีต" localSheetId="24">#REF!</definedName>
    <definedName name="ทรายรองคอนกรีต" localSheetId="23">#REF!</definedName>
    <definedName name="ทรายรองคอนกรีต" localSheetId="36">#REF!</definedName>
    <definedName name="ทรายรองคอนกรีต" localSheetId="22">#REF!</definedName>
    <definedName name="ทรายรองคอนกรีต" localSheetId="26">#REF!</definedName>
    <definedName name="ทรายรองคอนกรีต" localSheetId="30">#REF!</definedName>
    <definedName name="ทรายรองคอนกรีต" localSheetId="85">#REF!</definedName>
    <definedName name="ทรายรองคอนกรีต" localSheetId="86">#REF!</definedName>
    <definedName name="ทรายรองคอนกรีต" localSheetId="2">#REF!</definedName>
    <definedName name="ทรายรองคอนกรีต">#REF!</definedName>
    <definedName name="ทรายละเอียด" localSheetId="3">#REF!</definedName>
    <definedName name="ทรายละเอียด" localSheetId="4">#REF!</definedName>
    <definedName name="ทรายละเอียด" localSheetId="18">#REF!</definedName>
    <definedName name="ทรายละเอียด" localSheetId="19">#REF!</definedName>
    <definedName name="ทรายละเอียด" localSheetId="9">#REF!</definedName>
    <definedName name="ทรายละเอียด" localSheetId="10">#REF!</definedName>
    <definedName name="ทรายละเอียด" localSheetId="11">#REF!</definedName>
    <definedName name="ทรายละเอียด" localSheetId="12">#REF!</definedName>
    <definedName name="ทรายละเอียด" localSheetId="13">#REF!</definedName>
    <definedName name="ทรายละเอียด" localSheetId="14">#REF!</definedName>
    <definedName name="ทรายละเอียด" localSheetId="15">#REF!</definedName>
    <definedName name="ทรายละเอียด" localSheetId="16">#REF!</definedName>
    <definedName name="ทรายละเอียด" localSheetId="17">#REF!</definedName>
    <definedName name="ทรายละเอียด" localSheetId="8">#REF!</definedName>
    <definedName name="ทรายละเอียด" localSheetId="7">#REF!</definedName>
    <definedName name="ทรายละเอียด" localSheetId="6">#REF!</definedName>
    <definedName name="ทรายละเอียด" localSheetId="20">#REF!</definedName>
    <definedName name="ทรายละเอียด" localSheetId="5">#REF!</definedName>
    <definedName name="ทรายละเอียด" localSheetId="21">#REF!</definedName>
    <definedName name="ทรายละเอียด" localSheetId="34">#REF!</definedName>
    <definedName name="ทรายละเอียด" localSheetId="35">#REF!</definedName>
    <definedName name="ทรายละเอียด" localSheetId="25">#REF!</definedName>
    <definedName name="ทรายละเอียด" localSheetId="27">#REF!</definedName>
    <definedName name="ทรายละเอียด" localSheetId="28">#REF!</definedName>
    <definedName name="ทรายละเอียด" localSheetId="29">#REF!</definedName>
    <definedName name="ทรายละเอียด" localSheetId="31">#REF!</definedName>
    <definedName name="ทรายละเอียด" localSheetId="32">#REF!</definedName>
    <definedName name="ทรายละเอียด" localSheetId="33">#REF!</definedName>
    <definedName name="ทรายละเอียด" localSheetId="24">#REF!</definedName>
    <definedName name="ทรายละเอียด" localSheetId="23">#REF!</definedName>
    <definedName name="ทรายละเอียด" localSheetId="36">#REF!</definedName>
    <definedName name="ทรายละเอียด" localSheetId="22">#REF!</definedName>
    <definedName name="ทรายละเอียด" localSheetId="26">#REF!</definedName>
    <definedName name="ทรายละเอียด" localSheetId="30">#REF!</definedName>
    <definedName name="ทรายละเอียด" localSheetId="85">#REF!</definedName>
    <definedName name="ทรายละเอียด" localSheetId="86">#REF!</definedName>
    <definedName name="ทรายละเอียด" localSheetId="2">#REF!</definedName>
    <definedName name="ทรายละเอียด">#REF!</definedName>
    <definedName name="ทรายละเอียดไม่รวมขนส่ง" localSheetId="3">#REF!</definedName>
    <definedName name="ทรายละเอียดไม่รวมขนส่ง" localSheetId="2">#REF!</definedName>
    <definedName name="ทรายละเอียดไม่รวมขนส่ง">#REF!</definedName>
    <definedName name="ทรายหยาบ" localSheetId="3">#REF!</definedName>
    <definedName name="ทรายหยาบ" localSheetId="2">#REF!</definedName>
    <definedName name="ทรายหยาบ">#REF!</definedName>
    <definedName name="ทรายหยาบไม่รวมขนส่ง" localSheetId="3">#REF!</definedName>
    <definedName name="ทรายหยาบไม่รวมขนส่ง" localSheetId="2">#REF!</definedName>
    <definedName name="ทรายหยาบไม่รวมขนส่ง">#REF!</definedName>
    <definedName name="ท่อHDPEdai200" localSheetId="3">#REF!</definedName>
    <definedName name="ท่อHDPEdai200" localSheetId="2">#REF!</definedName>
    <definedName name="ท่อHDPEdai200">#REF!</definedName>
    <definedName name="ท่อHDPEdai200ไม่รวมขนส่ง" localSheetId="3">#REF!</definedName>
    <definedName name="ท่อHDPEdai200ไม่รวมขนส่ง" localSheetId="2">#REF!</definedName>
    <definedName name="ท่อHDPEdai200ไม่รวมขนส่ง">#REF!</definedName>
    <definedName name="ท่อHDPEdai250" localSheetId="3">#REF!</definedName>
    <definedName name="ท่อHDPEdai250" localSheetId="2">#REF!</definedName>
    <definedName name="ท่อHDPEdai250">#REF!</definedName>
    <definedName name="ท่อHDPEdai250ไม่รวมขนส่ง" localSheetId="3">#REF!</definedName>
    <definedName name="ท่อHDPEdai250ไม่รวมขนส่ง" localSheetId="2">#REF!</definedName>
    <definedName name="ท่อHDPEdai250ไม่รวมขนส่ง">#REF!</definedName>
    <definedName name="ท่อPVC6นิ้ว" localSheetId="3">#REF!</definedName>
    <definedName name="ท่อPVC6นิ้ว" localSheetId="2">#REF!</definedName>
    <definedName name="ท่อPVC6นิ้ว">#REF!</definedName>
    <definedName name="ท่อPVCชั้น5dia1.5" localSheetId="3">#REF!</definedName>
    <definedName name="ท่อPVCชั้น5dia1.5" localSheetId="2">#REF!</definedName>
    <definedName name="ท่อPVCชั้น5dia1.5">#REF!</definedName>
    <definedName name="ท่อPVCชั้น5dia1.5ไม่รวมขนส่ง" localSheetId="3">#REF!</definedName>
    <definedName name="ท่อPVCชั้น5dia1.5ไม่รวมขนส่ง" localSheetId="2">#REF!</definedName>
    <definedName name="ท่อPVCชั้น5dia1.5ไม่รวมขนส่ง">#REF!</definedName>
    <definedName name="ท่อPVCชั้น5dia2" localSheetId="3">#REF!</definedName>
    <definedName name="ท่อPVCชั้น5dia2" localSheetId="2">#REF!</definedName>
    <definedName name="ท่อPVCชั้น5dia2">#REF!</definedName>
    <definedName name="ท่อPVCชั้น5dia2ไม่รวมขนส่ง" localSheetId="3">#REF!</definedName>
    <definedName name="ท่อPVCชั้น5dia2ไม่รวมขนส่ง" localSheetId="2">#REF!</definedName>
    <definedName name="ท่อPVCชั้น5dia2ไม่รวมขนส่ง">#REF!</definedName>
    <definedName name="ท่อPVCชั้น5dia3" localSheetId="3">#REF!</definedName>
    <definedName name="ท่อPVCชั้น5dia3" localSheetId="2">#REF!</definedName>
    <definedName name="ท่อPVCชั้น5dia3">#REF!</definedName>
    <definedName name="ท่อPVCชั้น5dia3ไม่รวมขนส่ง" localSheetId="3">#REF!</definedName>
    <definedName name="ท่อPVCชั้น5dia3ไม่รวมขนส่ง" localSheetId="2">#REF!</definedName>
    <definedName name="ท่อPVCชั้น5dia3ไม่รวมขนส่ง">#REF!</definedName>
    <definedName name="ท่อPVCชั้น8.5dia2" localSheetId="3">#REF!</definedName>
    <definedName name="ท่อPVCชั้น8.5dia2" localSheetId="2">#REF!</definedName>
    <definedName name="ท่อPVCชั้น8.5dia2">#REF!</definedName>
    <definedName name="ท่อPVCชั้น8.5dia2ไม่รวมขนส่ง" localSheetId="3">#REF!</definedName>
    <definedName name="ท่อPVCชั้น8.5dia2ไม่รวมขนส่ง" localSheetId="2">#REF!</definedName>
    <definedName name="ท่อPVCชั้น8.5dia2ไม่รวมขนส่ง">#REF!</definedName>
    <definedName name="ท่อPVCชั้น8.5dia3" localSheetId="3">#REF!</definedName>
    <definedName name="ท่อPVCชั้น8.5dia3" localSheetId="2">#REF!</definedName>
    <definedName name="ท่อPVCชั้น8.5dia3">#REF!</definedName>
    <definedName name="ท่อPVCชั้น8.5dia3ไม่รวมขนส่ง" localSheetId="3">#REF!</definedName>
    <definedName name="ท่อPVCชั้น8.5dia3ไม่รวมขนส่ง" localSheetId="2">#REF!</definedName>
    <definedName name="ท่อPVCชั้น8.5dia3ไม่รวมขนส่ง">#REF!</definedName>
    <definedName name="ท่อPVCชั้น8.5dia4" localSheetId="3">#REF!</definedName>
    <definedName name="ท่อPVCชั้น8.5dia4" localSheetId="2">#REF!</definedName>
    <definedName name="ท่อPVCชั้น8.5dia4">#REF!</definedName>
    <definedName name="ท่อPVCชั้น8.5dia4ไม่รวมขนส่ง" localSheetId="3">#REF!</definedName>
    <definedName name="ท่อPVCชั้น8.5dia4ไม่รวมขนส่ง" localSheetId="2">#REF!</definedName>
    <definedName name="ท่อPVCชั้น8.5dia4ไม่รวมขนส่ง">#REF!</definedName>
    <definedName name="ท่อเดี่ยว_0.8_skew0" localSheetId="3">#REF!</definedName>
    <definedName name="ท่อเดี่ยว_0.8_skew0" localSheetId="2">#REF!</definedName>
    <definedName name="ท่อเดี่ยว_0.8_skew0">#REF!</definedName>
    <definedName name="ท่อเหล็กอาบสังกะสีdia2" localSheetId="3">#REF!</definedName>
    <definedName name="ท่อเหล็กอาบสังกะสีdia2" localSheetId="2">#REF!</definedName>
    <definedName name="ท่อเหล็กอาบสังกะสีdia2">#REF!</definedName>
    <definedName name="ท่อเหล็กอาบสังกะสีdia2ไม่รวมขนส่ง" localSheetId="3">#REF!</definedName>
    <definedName name="ท่อเหล็กอาบสังกะสีdia2ไม่รวมขนส่ง" localSheetId="2">#REF!</definedName>
    <definedName name="ท่อเหล็กอาบสังกะสีdia2ไม่รวมขนส่ง">#REF!</definedName>
    <definedName name="ท่อเหล็กอาบสังกะสีdia3" localSheetId="3">#REF!</definedName>
    <definedName name="ท่อเหล็กอาบสังกะสีdia3" localSheetId="2">#REF!</definedName>
    <definedName name="ท่อเหล็กอาบสังกะสีdia3">#REF!</definedName>
    <definedName name="ท่อเหล็กอาบสังกะสีdia3ไม่รวมขนส่ง" localSheetId="3">#REF!</definedName>
    <definedName name="ท่อเหล็กอาบสังกะสีdia3ไม่รวมขนส่ง" localSheetId="2">#REF!</definedName>
    <definedName name="ท่อเหล็กอาบสังกะสีdia3ไม่รวมขนส่ง">#REF!</definedName>
    <definedName name="ท่อเหล็กอาบสังกะสีdia4" localSheetId="3">#REF!</definedName>
    <definedName name="ท่อเหล็กอาบสังกะสีdia4" localSheetId="2">#REF!</definedName>
    <definedName name="ท่อเหล็กอาบสังกะสีdia4">#REF!</definedName>
    <definedName name="ท่อเหล็กอาบสังกะสีdia4ไม่รวมขนส่ง" localSheetId="3">#REF!</definedName>
    <definedName name="ท่อเหล็กอาบสังกะสีdia4ไม่รวมขนส่ง" localSheetId="2">#REF!</definedName>
    <definedName name="ท่อเหล็กอาบสังกะสีdia4ไม่รวมขนส่ง">#REF!</definedName>
    <definedName name="ท่อและอื่นๆในอำเภอเมือง" localSheetId="3">#REF!</definedName>
    <definedName name="ท่อและอื่นๆในอำเภอเมือง" localSheetId="2">#REF!</definedName>
    <definedName name="ท่อและอื่นๆในอำเภอเมือง">#REF!</definedName>
    <definedName name="ท่อคสล.ขนาดเส้นผ่านศูนย์กลาง0.60ม" localSheetId="3">'[11]หมวด 6(2)'!#REF!</definedName>
    <definedName name="ท่อคสล.ขนาดเส้นผ่านศูนย์กลาง0.60ม" localSheetId="2">'[11]หมวด 6(2)'!#REF!</definedName>
    <definedName name="ท่อคสล.ขนาดเส้นผ่านศูนย์กลาง0.60ม">'[11]หมวด 6(2)'!#REF!</definedName>
    <definedName name="ท่อคู่_0.8_skew0" localSheetId="3">#REF!</definedName>
    <definedName name="ท่อคู่_0.8_skew0" localSheetId="4">#REF!</definedName>
    <definedName name="ท่อคู่_0.8_skew0" localSheetId="18">#REF!</definedName>
    <definedName name="ท่อคู่_0.8_skew0" localSheetId="19">#REF!</definedName>
    <definedName name="ท่อคู่_0.8_skew0" localSheetId="9">#REF!</definedName>
    <definedName name="ท่อคู่_0.8_skew0" localSheetId="10">#REF!</definedName>
    <definedName name="ท่อคู่_0.8_skew0" localSheetId="11">#REF!</definedName>
    <definedName name="ท่อคู่_0.8_skew0" localSheetId="12">#REF!</definedName>
    <definedName name="ท่อคู่_0.8_skew0" localSheetId="13">#REF!</definedName>
    <definedName name="ท่อคู่_0.8_skew0" localSheetId="14">#REF!</definedName>
    <definedName name="ท่อคู่_0.8_skew0" localSheetId="15">#REF!</definedName>
    <definedName name="ท่อคู่_0.8_skew0" localSheetId="16">#REF!</definedName>
    <definedName name="ท่อคู่_0.8_skew0" localSheetId="17">#REF!</definedName>
    <definedName name="ท่อคู่_0.8_skew0" localSheetId="8">#REF!</definedName>
    <definedName name="ท่อคู่_0.8_skew0" localSheetId="7">#REF!</definedName>
    <definedName name="ท่อคู่_0.8_skew0" localSheetId="6">#REF!</definedName>
    <definedName name="ท่อคู่_0.8_skew0" localSheetId="20">#REF!</definedName>
    <definedName name="ท่อคู่_0.8_skew0" localSheetId="5">#REF!</definedName>
    <definedName name="ท่อคู่_0.8_skew0" localSheetId="21">#REF!</definedName>
    <definedName name="ท่อคู่_0.8_skew0" localSheetId="34">#REF!</definedName>
    <definedName name="ท่อคู่_0.8_skew0" localSheetId="35">#REF!</definedName>
    <definedName name="ท่อคู่_0.8_skew0" localSheetId="25">#REF!</definedName>
    <definedName name="ท่อคู่_0.8_skew0" localSheetId="27">#REF!</definedName>
    <definedName name="ท่อคู่_0.8_skew0" localSheetId="28">#REF!</definedName>
    <definedName name="ท่อคู่_0.8_skew0" localSheetId="29">#REF!</definedName>
    <definedName name="ท่อคู่_0.8_skew0" localSheetId="31">#REF!</definedName>
    <definedName name="ท่อคู่_0.8_skew0" localSheetId="32">#REF!</definedName>
    <definedName name="ท่อคู่_0.8_skew0" localSheetId="33">#REF!</definedName>
    <definedName name="ท่อคู่_0.8_skew0" localSheetId="24">#REF!</definedName>
    <definedName name="ท่อคู่_0.8_skew0" localSheetId="23">#REF!</definedName>
    <definedName name="ท่อคู่_0.8_skew0" localSheetId="36">#REF!</definedName>
    <definedName name="ท่อคู่_0.8_skew0" localSheetId="22">#REF!</definedName>
    <definedName name="ท่อคู่_0.8_skew0" localSheetId="26">#REF!</definedName>
    <definedName name="ท่อคู่_0.8_skew0" localSheetId="30">#REF!</definedName>
    <definedName name="ท่อคู่_0.8_skew0" localSheetId="41">#REF!</definedName>
    <definedName name="ท่อคู่_0.8_skew0" localSheetId="50">#REF!</definedName>
    <definedName name="ท่อคู่_0.8_skew0" localSheetId="51">#REF!</definedName>
    <definedName name="ท่อคู่_0.8_skew0" localSheetId="42">#REF!</definedName>
    <definedName name="ท่อคู่_0.8_skew0" localSheetId="43">#REF!</definedName>
    <definedName name="ท่อคู่_0.8_skew0" localSheetId="44">#REF!</definedName>
    <definedName name="ท่อคู่_0.8_skew0" localSheetId="45">#REF!</definedName>
    <definedName name="ท่อคู่_0.8_skew0" localSheetId="46">#REF!</definedName>
    <definedName name="ท่อคู่_0.8_skew0" localSheetId="47">#REF!</definedName>
    <definedName name="ท่อคู่_0.8_skew0" localSheetId="48">#REF!</definedName>
    <definedName name="ท่อคู่_0.8_skew0" localSheetId="49">#REF!</definedName>
    <definedName name="ท่อคู่_0.8_skew0" localSheetId="52">#REF!</definedName>
    <definedName name="ท่อคู่_0.8_skew0" localSheetId="40">#REF!</definedName>
    <definedName name="ท่อคู่_0.8_skew0" localSheetId="39">#REF!</definedName>
    <definedName name="ท่อคู่_0.8_skew0" localSheetId="38">#REF!</definedName>
    <definedName name="ท่อคู่_0.8_skew0" localSheetId="37">#REF!</definedName>
    <definedName name="ท่อคู่_0.8_skew0" localSheetId="57">#REF!</definedName>
    <definedName name="ท่อคู่_0.8_skew0" localSheetId="66">#REF!</definedName>
    <definedName name="ท่อคู่_0.8_skew0" localSheetId="67">#REF!</definedName>
    <definedName name="ท่อคู่_0.8_skew0" localSheetId="58">#REF!</definedName>
    <definedName name="ท่อคู่_0.8_skew0" localSheetId="59">#REF!</definedName>
    <definedName name="ท่อคู่_0.8_skew0" localSheetId="60">#REF!</definedName>
    <definedName name="ท่อคู่_0.8_skew0" localSheetId="61">#REF!</definedName>
    <definedName name="ท่อคู่_0.8_skew0" localSheetId="62">#REF!</definedName>
    <definedName name="ท่อคู่_0.8_skew0" localSheetId="63">#REF!</definedName>
    <definedName name="ท่อคู่_0.8_skew0" localSheetId="64">#REF!</definedName>
    <definedName name="ท่อคู่_0.8_skew0" localSheetId="65">#REF!</definedName>
    <definedName name="ท่อคู่_0.8_skew0" localSheetId="68">#REF!</definedName>
    <definedName name="ท่อคู่_0.8_skew0" localSheetId="56">#REF!</definedName>
    <definedName name="ท่อคู่_0.8_skew0" localSheetId="55">#REF!</definedName>
    <definedName name="ท่อคู่_0.8_skew0" localSheetId="54">#REF!</definedName>
    <definedName name="ท่อคู่_0.8_skew0" localSheetId="53">#REF!</definedName>
    <definedName name="ท่อคู่_0.8_skew0" localSheetId="85">#REF!</definedName>
    <definedName name="ท่อคู่_0.8_skew0" localSheetId="86">#REF!</definedName>
    <definedName name="ท่อคู่_0.8_skew0" localSheetId="2">#REF!</definedName>
    <definedName name="ท่อคู่_0.8_skew0">#REF!</definedName>
    <definedName name="ท่อคู่_0.8_skew15" localSheetId="3">#REF!</definedName>
    <definedName name="ท่อคู่_0.8_skew15" localSheetId="4">#REF!</definedName>
    <definedName name="ท่อคู่_0.8_skew15" localSheetId="18">#REF!</definedName>
    <definedName name="ท่อคู่_0.8_skew15" localSheetId="19">#REF!</definedName>
    <definedName name="ท่อคู่_0.8_skew15" localSheetId="9">#REF!</definedName>
    <definedName name="ท่อคู่_0.8_skew15" localSheetId="10">#REF!</definedName>
    <definedName name="ท่อคู่_0.8_skew15" localSheetId="11">#REF!</definedName>
    <definedName name="ท่อคู่_0.8_skew15" localSheetId="12">#REF!</definedName>
    <definedName name="ท่อคู่_0.8_skew15" localSheetId="13">#REF!</definedName>
    <definedName name="ท่อคู่_0.8_skew15" localSheetId="14">#REF!</definedName>
    <definedName name="ท่อคู่_0.8_skew15" localSheetId="15">#REF!</definedName>
    <definedName name="ท่อคู่_0.8_skew15" localSheetId="16">#REF!</definedName>
    <definedName name="ท่อคู่_0.8_skew15" localSheetId="17">#REF!</definedName>
    <definedName name="ท่อคู่_0.8_skew15" localSheetId="8">#REF!</definedName>
    <definedName name="ท่อคู่_0.8_skew15" localSheetId="7">#REF!</definedName>
    <definedName name="ท่อคู่_0.8_skew15" localSheetId="6">#REF!</definedName>
    <definedName name="ท่อคู่_0.8_skew15" localSheetId="20">#REF!</definedName>
    <definedName name="ท่อคู่_0.8_skew15" localSheetId="5">#REF!</definedName>
    <definedName name="ท่อคู่_0.8_skew15" localSheetId="21">#REF!</definedName>
    <definedName name="ท่อคู่_0.8_skew15" localSheetId="34">#REF!</definedName>
    <definedName name="ท่อคู่_0.8_skew15" localSheetId="35">#REF!</definedName>
    <definedName name="ท่อคู่_0.8_skew15" localSheetId="25">#REF!</definedName>
    <definedName name="ท่อคู่_0.8_skew15" localSheetId="27">#REF!</definedName>
    <definedName name="ท่อคู่_0.8_skew15" localSheetId="28">#REF!</definedName>
    <definedName name="ท่อคู่_0.8_skew15" localSheetId="29">#REF!</definedName>
    <definedName name="ท่อคู่_0.8_skew15" localSheetId="31">#REF!</definedName>
    <definedName name="ท่อคู่_0.8_skew15" localSheetId="32">#REF!</definedName>
    <definedName name="ท่อคู่_0.8_skew15" localSheetId="33">#REF!</definedName>
    <definedName name="ท่อคู่_0.8_skew15" localSheetId="24">#REF!</definedName>
    <definedName name="ท่อคู่_0.8_skew15" localSheetId="23">#REF!</definedName>
    <definedName name="ท่อคู่_0.8_skew15" localSheetId="36">#REF!</definedName>
    <definedName name="ท่อคู่_0.8_skew15" localSheetId="22">#REF!</definedName>
    <definedName name="ท่อคู่_0.8_skew15" localSheetId="26">#REF!</definedName>
    <definedName name="ท่อคู่_0.8_skew15" localSheetId="30">#REF!</definedName>
    <definedName name="ท่อคู่_0.8_skew15" localSheetId="85">#REF!</definedName>
    <definedName name="ท่อคู่_0.8_skew15" localSheetId="86">#REF!</definedName>
    <definedName name="ท่อคู่_0.8_skew15" localSheetId="2">#REF!</definedName>
    <definedName name="ท่อคู่_0.8_skew15">#REF!</definedName>
    <definedName name="ท่อคู่_1.0_skew0" localSheetId="3">#REF!</definedName>
    <definedName name="ท่อคู่_1.0_skew0" localSheetId="4">#REF!</definedName>
    <definedName name="ท่อคู่_1.0_skew0" localSheetId="18">#REF!</definedName>
    <definedName name="ท่อคู่_1.0_skew0" localSheetId="19">#REF!</definedName>
    <definedName name="ท่อคู่_1.0_skew0" localSheetId="9">#REF!</definedName>
    <definedName name="ท่อคู่_1.0_skew0" localSheetId="10">#REF!</definedName>
    <definedName name="ท่อคู่_1.0_skew0" localSheetId="11">#REF!</definedName>
    <definedName name="ท่อคู่_1.0_skew0" localSheetId="12">#REF!</definedName>
    <definedName name="ท่อคู่_1.0_skew0" localSheetId="13">#REF!</definedName>
    <definedName name="ท่อคู่_1.0_skew0" localSheetId="14">#REF!</definedName>
    <definedName name="ท่อคู่_1.0_skew0" localSheetId="15">#REF!</definedName>
    <definedName name="ท่อคู่_1.0_skew0" localSheetId="16">#REF!</definedName>
    <definedName name="ท่อคู่_1.0_skew0" localSheetId="17">#REF!</definedName>
    <definedName name="ท่อคู่_1.0_skew0" localSheetId="8">#REF!</definedName>
    <definedName name="ท่อคู่_1.0_skew0" localSheetId="7">#REF!</definedName>
    <definedName name="ท่อคู่_1.0_skew0" localSheetId="6">#REF!</definedName>
    <definedName name="ท่อคู่_1.0_skew0" localSheetId="20">#REF!</definedName>
    <definedName name="ท่อคู่_1.0_skew0" localSheetId="5">#REF!</definedName>
    <definedName name="ท่อคู่_1.0_skew0" localSheetId="21">#REF!</definedName>
    <definedName name="ท่อคู่_1.0_skew0" localSheetId="34">#REF!</definedName>
    <definedName name="ท่อคู่_1.0_skew0" localSheetId="35">#REF!</definedName>
    <definedName name="ท่อคู่_1.0_skew0" localSheetId="25">#REF!</definedName>
    <definedName name="ท่อคู่_1.0_skew0" localSheetId="27">#REF!</definedName>
    <definedName name="ท่อคู่_1.0_skew0" localSheetId="28">#REF!</definedName>
    <definedName name="ท่อคู่_1.0_skew0" localSheetId="29">#REF!</definedName>
    <definedName name="ท่อคู่_1.0_skew0" localSheetId="31">#REF!</definedName>
    <definedName name="ท่อคู่_1.0_skew0" localSheetId="32">#REF!</definedName>
    <definedName name="ท่อคู่_1.0_skew0" localSheetId="33">#REF!</definedName>
    <definedName name="ท่อคู่_1.0_skew0" localSheetId="24">#REF!</definedName>
    <definedName name="ท่อคู่_1.0_skew0" localSheetId="23">#REF!</definedName>
    <definedName name="ท่อคู่_1.0_skew0" localSheetId="36">#REF!</definedName>
    <definedName name="ท่อคู่_1.0_skew0" localSheetId="22">#REF!</definedName>
    <definedName name="ท่อคู่_1.0_skew0" localSheetId="26">#REF!</definedName>
    <definedName name="ท่อคู่_1.0_skew0" localSheetId="30">#REF!</definedName>
    <definedName name="ท่อคู่_1.0_skew0" localSheetId="85">#REF!</definedName>
    <definedName name="ท่อคู่_1.0_skew0" localSheetId="86">#REF!</definedName>
    <definedName name="ท่อคู่_1.0_skew0" localSheetId="2">#REF!</definedName>
    <definedName name="ท่อคู่_1.0_skew0">#REF!</definedName>
    <definedName name="ท่อคู่_1.0_skew30" localSheetId="3">#REF!</definedName>
    <definedName name="ท่อคู่_1.0_skew30" localSheetId="2">#REF!</definedName>
    <definedName name="ท่อคู่_1.0_skew30">#REF!</definedName>
    <definedName name="ท่อคู่_1.2_skew0" localSheetId="3">#REF!</definedName>
    <definedName name="ท่อคู่_1.2_skew0" localSheetId="2">#REF!</definedName>
    <definedName name="ท่อคู่_1.2_skew0">#REF!</definedName>
    <definedName name="ท่อคู่_1.2_skew15" localSheetId="3">#REF!</definedName>
    <definedName name="ท่อคู่_1.2_skew15" localSheetId="2">#REF!</definedName>
    <definedName name="ท่อคู่_1.2_skew15">#REF!</definedName>
    <definedName name="ท่อคู่_1.2_skew45" localSheetId="3">#REF!</definedName>
    <definedName name="ท่อคู่_1.2_skew45" localSheetId="2">#REF!</definedName>
    <definedName name="ท่อคู่_1.2_skew45">#REF!</definedName>
    <definedName name="ท่อน้ำคอนกรีตdia0.4" localSheetId="3">#REF!</definedName>
    <definedName name="ท่อน้ำคอนกรีตdia0.4" localSheetId="2">#REF!</definedName>
    <definedName name="ท่อน้ำคอนกรีตdia0.4">#REF!</definedName>
    <definedName name="ท่อน้ำคอนกรีตdia0.4ไม่รวมขนส่ง" localSheetId="3">#REF!</definedName>
    <definedName name="ท่อน้ำคอนกรีตdia0.4ไม่รวมขนส่ง" localSheetId="2">#REF!</definedName>
    <definedName name="ท่อน้ำคอนกรีตdia0.4ไม่รวมขนส่ง">#REF!</definedName>
    <definedName name="ท่อน้ำคอนกรีตdia0.6" localSheetId="3">#REF!</definedName>
    <definedName name="ท่อน้ำคอนกรีตdia0.6" localSheetId="2">#REF!</definedName>
    <definedName name="ท่อน้ำคอนกรีตdia0.6">#REF!</definedName>
    <definedName name="ท่อน้ำคอนกรีตdia0.6ไม่รวมขนส่ง" localSheetId="3">#REF!</definedName>
    <definedName name="ท่อน้ำคอนกรีตdia0.6ไม่รวมขนส่ง" localSheetId="2">#REF!</definedName>
    <definedName name="ท่อน้ำคอนกรีตdia0.6ไม่รวมขนส่ง">#REF!</definedName>
    <definedName name="ท่อน้ำคอนกรีตdia0.8" localSheetId="3">#REF!</definedName>
    <definedName name="ท่อน้ำคอนกรีตdia0.8" localSheetId="2">#REF!</definedName>
    <definedName name="ท่อน้ำคอนกรีตdia0.8">#REF!</definedName>
    <definedName name="ท่อน้ำคอนกรีตdia0.8ไม่รวมขนส่ง" localSheetId="3">#REF!</definedName>
    <definedName name="ท่อน้ำคอนกรีตdia0.8ไม่รวมขนส่ง" localSheetId="2">#REF!</definedName>
    <definedName name="ท่อน้ำคอนกรีตdia0.8ไม่รวมขนส่ง">#REF!</definedName>
    <definedName name="ท่อน้ำคอนกรีตdia1.0" localSheetId="3">#REF!</definedName>
    <definedName name="ท่อน้ำคอนกรีตdia1.0" localSheetId="2">#REF!</definedName>
    <definedName name="ท่อน้ำคอนกรีตdia1.0">#REF!</definedName>
    <definedName name="ท่อน้ำคอนกรีตdia1.0ไม่รวมขนส่ง" localSheetId="3">#REF!</definedName>
    <definedName name="ท่อน้ำคอนกรีตdia1.0ไม่รวมขนส่ง" localSheetId="2">#REF!</definedName>
    <definedName name="ท่อน้ำคอนกรีตdia1.0ไม่รวมขนส่ง">#REF!</definedName>
    <definedName name="ท่อน้ำคอนกรีตdia1.2" localSheetId="3">#REF!</definedName>
    <definedName name="ท่อน้ำคอนกรีตdia1.2" localSheetId="2">#REF!</definedName>
    <definedName name="ท่อน้ำคอนกรีตdia1.2">#REF!</definedName>
    <definedName name="ท่อน้ำคอนกรีตdia1.2ไม่รวมขนส่ง" localSheetId="3">#REF!</definedName>
    <definedName name="ท่อน้ำคอนกรีตdia1.2ไม่รวมขนส่ง" localSheetId="2">#REF!</definedName>
    <definedName name="ท่อน้ำคอนกรีตdia1.2ไม่รวมขนส่ง">#REF!</definedName>
    <definedName name="ท่อน้ำคอนกรีตอัดแรงdia0.8" localSheetId="3">#REF!</definedName>
    <definedName name="ท่อน้ำคอนกรีตอัดแรงdia0.8" localSheetId="2">#REF!</definedName>
    <definedName name="ท่อน้ำคอนกรีตอัดแรงdia0.8">#REF!</definedName>
    <definedName name="ท่อน้ำคอนกรีตอัดแรงdia0.8ไม่รวมขนส่ง" localSheetId="3">#REF!</definedName>
    <definedName name="ท่อน้ำคอนกรีตอัดแรงdia0.8ไม่รวมขนส่ง" localSheetId="2">#REF!</definedName>
    <definedName name="ท่อน้ำคอนกรีตอัดแรงdia0.8ไม่รวมขนส่ง">#REF!</definedName>
    <definedName name="ท่อน้ำคอนกรีตอัดแรงdia1.0" localSheetId="3">#REF!</definedName>
    <definedName name="ท่อน้ำคอนกรีตอัดแรงdia1.0" localSheetId="2">#REF!</definedName>
    <definedName name="ท่อน้ำคอนกรีตอัดแรงdia1.0">#REF!</definedName>
    <definedName name="ท่อน้ำคอนกรีตอัดแรงdia1.0ไม่รวมขนส่ง" localSheetId="3">#REF!</definedName>
    <definedName name="ท่อน้ำคอนกรีตอัดแรงdia1.0ไม่รวมขนส่ง" localSheetId="2">#REF!</definedName>
    <definedName name="ท่อน้ำคอนกรีตอัดแรงdia1.0ไม่รวมขนส่ง">#REF!</definedName>
    <definedName name="ทับหลังทรายล้าง" localSheetId="3">'[42]unit cost'!#REF!</definedName>
    <definedName name="ทับหลังทรายล้าง" localSheetId="2">'[42]unit cost'!#REF!</definedName>
    <definedName name="ทับหลังทรายล้าง">'[42]unit cost'!#REF!</definedName>
    <definedName name="ทับหลังทรายล้าง0.10ม." localSheetId="3">#REF!</definedName>
    <definedName name="ทับหลังทรายล้าง0.10ม." localSheetId="4">#REF!</definedName>
    <definedName name="ทับหลังทรายล้าง0.10ม." localSheetId="18">#REF!</definedName>
    <definedName name="ทับหลังทรายล้าง0.10ม." localSheetId="19">#REF!</definedName>
    <definedName name="ทับหลังทรายล้าง0.10ม." localSheetId="9">#REF!</definedName>
    <definedName name="ทับหลังทรายล้าง0.10ม." localSheetId="10">#REF!</definedName>
    <definedName name="ทับหลังทรายล้าง0.10ม." localSheetId="11">#REF!</definedName>
    <definedName name="ทับหลังทรายล้าง0.10ม." localSheetId="12">#REF!</definedName>
    <definedName name="ทับหลังทรายล้าง0.10ม." localSheetId="13">#REF!</definedName>
    <definedName name="ทับหลังทรายล้าง0.10ม." localSheetId="14">#REF!</definedName>
    <definedName name="ทับหลังทรายล้าง0.10ม." localSheetId="15">#REF!</definedName>
    <definedName name="ทับหลังทรายล้าง0.10ม." localSheetId="16">#REF!</definedName>
    <definedName name="ทับหลังทรายล้าง0.10ม." localSheetId="17">#REF!</definedName>
    <definedName name="ทับหลังทรายล้าง0.10ม." localSheetId="8">#REF!</definedName>
    <definedName name="ทับหลังทรายล้าง0.10ม." localSheetId="7">#REF!</definedName>
    <definedName name="ทับหลังทรายล้าง0.10ม." localSheetId="6">#REF!</definedName>
    <definedName name="ทับหลังทรายล้าง0.10ม." localSheetId="20">#REF!</definedName>
    <definedName name="ทับหลังทรายล้าง0.10ม." localSheetId="5">#REF!</definedName>
    <definedName name="ทับหลังทรายล้าง0.10ม." localSheetId="21">#REF!</definedName>
    <definedName name="ทับหลังทรายล้าง0.10ม." localSheetId="34">#REF!</definedName>
    <definedName name="ทับหลังทรายล้าง0.10ม." localSheetId="35">#REF!</definedName>
    <definedName name="ทับหลังทรายล้าง0.10ม." localSheetId="25">#REF!</definedName>
    <definedName name="ทับหลังทรายล้าง0.10ม." localSheetId="27">#REF!</definedName>
    <definedName name="ทับหลังทรายล้าง0.10ม." localSheetId="28">#REF!</definedName>
    <definedName name="ทับหลังทรายล้าง0.10ม." localSheetId="29">#REF!</definedName>
    <definedName name="ทับหลังทรายล้าง0.10ม." localSheetId="31">#REF!</definedName>
    <definedName name="ทับหลังทรายล้าง0.10ม." localSheetId="32">#REF!</definedName>
    <definedName name="ทับหลังทรายล้าง0.10ม." localSheetId="33">#REF!</definedName>
    <definedName name="ทับหลังทรายล้าง0.10ม." localSheetId="24">#REF!</definedName>
    <definedName name="ทับหลังทรายล้าง0.10ม." localSheetId="23">#REF!</definedName>
    <definedName name="ทับหลังทรายล้าง0.10ม." localSheetId="36">#REF!</definedName>
    <definedName name="ทับหลังทรายล้าง0.10ม." localSheetId="22">#REF!</definedName>
    <definedName name="ทับหลังทรายล้าง0.10ม." localSheetId="26">#REF!</definedName>
    <definedName name="ทับหลังทรายล้าง0.10ม." localSheetId="30">#REF!</definedName>
    <definedName name="ทับหลังทรายล้าง0.10ม." localSheetId="41">#REF!</definedName>
    <definedName name="ทับหลังทรายล้าง0.10ม." localSheetId="50">#REF!</definedName>
    <definedName name="ทับหลังทรายล้าง0.10ม." localSheetId="51">#REF!</definedName>
    <definedName name="ทับหลังทรายล้าง0.10ม." localSheetId="42">#REF!</definedName>
    <definedName name="ทับหลังทรายล้าง0.10ม." localSheetId="43">#REF!</definedName>
    <definedName name="ทับหลังทรายล้าง0.10ม." localSheetId="44">#REF!</definedName>
    <definedName name="ทับหลังทรายล้าง0.10ม." localSheetId="45">#REF!</definedName>
    <definedName name="ทับหลังทรายล้าง0.10ม." localSheetId="46">#REF!</definedName>
    <definedName name="ทับหลังทรายล้าง0.10ม." localSheetId="47">#REF!</definedName>
    <definedName name="ทับหลังทรายล้าง0.10ม." localSheetId="48">#REF!</definedName>
    <definedName name="ทับหลังทรายล้าง0.10ม." localSheetId="49">#REF!</definedName>
    <definedName name="ทับหลังทรายล้าง0.10ม." localSheetId="52">#REF!</definedName>
    <definedName name="ทับหลังทรายล้าง0.10ม." localSheetId="40">#REF!</definedName>
    <definedName name="ทับหลังทรายล้าง0.10ม." localSheetId="39">#REF!</definedName>
    <definedName name="ทับหลังทรายล้าง0.10ม." localSheetId="38">#REF!</definedName>
    <definedName name="ทับหลังทรายล้าง0.10ม." localSheetId="37">#REF!</definedName>
    <definedName name="ทับหลังทรายล้าง0.10ม." localSheetId="57">#REF!</definedName>
    <definedName name="ทับหลังทรายล้าง0.10ม." localSheetId="66">#REF!</definedName>
    <definedName name="ทับหลังทรายล้าง0.10ม." localSheetId="67">#REF!</definedName>
    <definedName name="ทับหลังทรายล้าง0.10ม." localSheetId="58">#REF!</definedName>
    <definedName name="ทับหลังทรายล้าง0.10ม." localSheetId="59">#REF!</definedName>
    <definedName name="ทับหลังทรายล้าง0.10ม." localSheetId="60">#REF!</definedName>
    <definedName name="ทับหลังทรายล้าง0.10ม." localSheetId="61">#REF!</definedName>
    <definedName name="ทับหลังทรายล้าง0.10ม." localSheetId="62">#REF!</definedName>
    <definedName name="ทับหลังทรายล้าง0.10ม." localSheetId="63">#REF!</definedName>
    <definedName name="ทับหลังทรายล้าง0.10ม." localSheetId="64">#REF!</definedName>
    <definedName name="ทับหลังทรายล้าง0.10ม." localSheetId="65">#REF!</definedName>
    <definedName name="ทับหลังทรายล้าง0.10ม." localSheetId="68">#REF!</definedName>
    <definedName name="ทับหลังทรายล้าง0.10ม." localSheetId="56">#REF!</definedName>
    <definedName name="ทับหลังทรายล้าง0.10ม." localSheetId="55">#REF!</definedName>
    <definedName name="ทับหลังทรายล้าง0.10ม." localSheetId="54">#REF!</definedName>
    <definedName name="ทับหลังทรายล้าง0.10ม." localSheetId="69">#REF!</definedName>
    <definedName name="ทับหลังทรายล้าง0.10ม." localSheetId="53">#REF!</definedName>
    <definedName name="ทับหลังทรายล้าง0.10ม." localSheetId="85">#REF!</definedName>
    <definedName name="ทับหลังทรายล้าง0.10ม." localSheetId="86">#REF!</definedName>
    <definedName name="ทับหลังทรายล้าง0.10ม." localSheetId="2">#REF!</definedName>
    <definedName name="ทับหลังทรายล้าง0.10ม.">#REF!</definedName>
    <definedName name="ทับหลังทรายล้าง0.20ม." localSheetId="3">#REF!</definedName>
    <definedName name="ทับหลังทรายล้าง0.20ม." localSheetId="4">#REF!</definedName>
    <definedName name="ทับหลังทรายล้าง0.20ม." localSheetId="18">#REF!</definedName>
    <definedName name="ทับหลังทรายล้าง0.20ม." localSheetId="19">#REF!</definedName>
    <definedName name="ทับหลังทรายล้าง0.20ม." localSheetId="9">#REF!</definedName>
    <definedName name="ทับหลังทรายล้าง0.20ม." localSheetId="10">#REF!</definedName>
    <definedName name="ทับหลังทรายล้าง0.20ม." localSheetId="11">#REF!</definedName>
    <definedName name="ทับหลังทรายล้าง0.20ม." localSheetId="12">#REF!</definedName>
    <definedName name="ทับหลังทรายล้าง0.20ม." localSheetId="13">#REF!</definedName>
    <definedName name="ทับหลังทรายล้าง0.20ม." localSheetId="14">#REF!</definedName>
    <definedName name="ทับหลังทรายล้าง0.20ม." localSheetId="15">#REF!</definedName>
    <definedName name="ทับหลังทรายล้าง0.20ม." localSheetId="16">#REF!</definedName>
    <definedName name="ทับหลังทรายล้าง0.20ม." localSheetId="17">#REF!</definedName>
    <definedName name="ทับหลังทรายล้าง0.20ม." localSheetId="8">#REF!</definedName>
    <definedName name="ทับหลังทรายล้าง0.20ม." localSheetId="7">#REF!</definedName>
    <definedName name="ทับหลังทรายล้าง0.20ม." localSheetId="6">#REF!</definedName>
    <definedName name="ทับหลังทรายล้าง0.20ม." localSheetId="20">#REF!</definedName>
    <definedName name="ทับหลังทรายล้าง0.20ม." localSheetId="5">#REF!</definedName>
    <definedName name="ทับหลังทรายล้าง0.20ม." localSheetId="21">#REF!</definedName>
    <definedName name="ทับหลังทรายล้าง0.20ม." localSheetId="34">#REF!</definedName>
    <definedName name="ทับหลังทรายล้าง0.20ม." localSheetId="35">#REF!</definedName>
    <definedName name="ทับหลังทรายล้าง0.20ม." localSheetId="25">#REF!</definedName>
    <definedName name="ทับหลังทรายล้าง0.20ม." localSheetId="27">#REF!</definedName>
    <definedName name="ทับหลังทรายล้าง0.20ม." localSheetId="28">#REF!</definedName>
    <definedName name="ทับหลังทรายล้าง0.20ม." localSheetId="29">#REF!</definedName>
    <definedName name="ทับหลังทรายล้าง0.20ม." localSheetId="31">#REF!</definedName>
    <definedName name="ทับหลังทรายล้าง0.20ม." localSheetId="32">#REF!</definedName>
    <definedName name="ทับหลังทรายล้าง0.20ม." localSheetId="33">#REF!</definedName>
    <definedName name="ทับหลังทรายล้าง0.20ม." localSheetId="24">#REF!</definedName>
    <definedName name="ทับหลังทรายล้าง0.20ม." localSheetId="23">#REF!</definedName>
    <definedName name="ทับหลังทรายล้าง0.20ม." localSheetId="36">#REF!</definedName>
    <definedName name="ทับหลังทรายล้าง0.20ม." localSheetId="22">#REF!</definedName>
    <definedName name="ทับหลังทรายล้าง0.20ม." localSheetId="26">#REF!</definedName>
    <definedName name="ทับหลังทรายล้าง0.20ม." localSheetId="30">#REF!</definedName>
    <definedName name="ทับหลังทรายล้าง0.20ม." localSheetId="85">#REF!</definedName>
    <definedName name="ทับหลังทรายล้าง0.20ม." localSheetId="86">#REF!</definedName>
    <definedName name="ทับหลังทรายล้าง0.20ม." localSheetId="2">#REF!</definedName>
    <definedName name="ทับหลังทรายล้าง0.20ม.">#REF!</definedName>
    <definedName name="ทาสี_สีเหลือง" localSheetId="3">#REF!</definedName>
    <definedName name="ทาสี_สีเหลือง" localSheetId="85">#REF!</definedName>
    <definedName name="ทาสี_สีเหลือง" localSheetId="86">#REF!</definedName>
    <definedName name="ทาสี_สีเหลือง" localSheetId="2">#REF!</definedName>
    <definedName name="ทาสี_สีเหลือง">#REF!</definedName>
    <definedName name="ทาสี_สีขาว" localSheetId="3">#REF!</definedName>
    <definedName name="ทาสี_สีขาว" localSheetId="4">#REF!</definedName>
    <definedName name="ทาสี_สีขาว" localSheetId="86">#REF!</definedName>
    <definedName name="ทาสี_สีขาว" localSheetId="2">#REF!</definedName>
    <definedName name="ทาสี_สีขาว">#REF!</definedName>
    <definedName name="ทาสีกันสนิม" localSheetId="3">#REF!</definedName>
    <definedName name="ทาสีกันสนิม" localSheetId="2">#REF!</definedName>
    <definedName name="ทาสีกันสนิม">#REF!</definedName>
    <definedName name="นวลน้อย">'[8]6'!$J$3004</definedName>
    <definedName name="น๊อตหัวกลมdia12" localSheetId="3">#REF!</definedName>
    <definedName name="น๊อตหัวกลมdia12" localSheetId="4">#REF!</definedName>
    <definedName name="น๊อตหัวกลมdia12" localSheetId="18">#REF!</definedName>
    <definedName name="น๊อตหัวกลมdia12" localSheetId="19">#REF!</definedName>
    <definedName name="น๊อตหัวกลมdia12" localSheetId="9">#REF!</definedName>
    <definedName name="น๊อตหัวกลมdia12" localSheetId="10">#REF!</definedName>
    <definedName name="น๊อตหัวกลมdia12" localSheetId="11">#REF!</definedName>
    <definedName name="น๊อตหัวกลมdia12" localSheetId="12">#REF!</definedName>
    <definedName name="น๊อตหัวกลมdia12" localSheetId="13">#REF!</definedName>
    <definedName name="น๊อตหัวกลมdia12" localSheetId="14">#REF!</definedName>
    <definedName name="น๊อตหัวกลมdia12" localSheetId="15">#REF!</definedName>
    <definedName name="น๊อตหัวกลมdia12" localSheetId="16">#REF!</definedName>
    <definedName name="น๊อตหัวกลมdia12" localSheetId="17">#REF!</definedName>
    <definedName name="น๊อตหัวกลมdia12" localSheetId="8">#REF!</definedName>
    <definedName name="น๊อตหัวกลมdia12" localSheetId="7">#REF!</definedName>
    <definedName name="น๊อตหัวกลมdia12" localSheetId="6">#REF!</definedName>
    <definedName name="น๊อตหัวกลมdia12" localSheetId="20">#REF!</definedName>
    <definedName name="น๊อตหัวกลมdia12" localSheetId="5">#REF!</definedName>
    <definedName name="น๊อตหัวกลมdia12" localSheetId="21">#REF!</definedName>
    <definedName name="น๊อตหัวกลมdia12" localSheetId="34">#REF!</definedName>
    <definedName name="น๊อตหัวกลมdia12" localSheetId="35">#REF!</definedName>
    <definedName name="น๊อตหัวกลมdia12" localSheetId="25">#REF!</definedName>
    <definedName name="น๊อตหัวกลมdia12" localSheetId="27">#REF!</definedName>
    <definedName name="น๊อตหัวกลมdia12" localSheetId="28">#REF!</definedName>
    <definedName name="น๊อตหัวกลมdia12" localSheetId="29">#REF!</definedName>
    <definedName name="น๊อตหัวกลมdia12" localSheetId="31">#REF!</definedName>
    <definedName name="น๊อตหัวกลมdia12" localSheetId="32">#REF!</definedName>
    <definedName name="น๊อตหัวกลมdia12" localSheetId="33">#REF!</definedName>
    <definedName name="น๊อตหัวกลมdia12" localSheetId="24">#REF!</definedName>
    <definedName name="น๊อตหัวกลมdia12" localSheetId="23">#REF!</definedName>
    <definedName name="น๊อตหัวกลมdia12" localSheetId="36">#REF!</definedName>
    <definedName name="น๊อตหัวกลมdia12" localSheetId="22">#REF!</definedName>
    <definedName name="น๊อตหัวกลมdia12" localSheetId="26">#REF!</definedName>
    <definedName name="น๊อตหัวกลมdia12" localSheetId="30">#REF!</definedName>
    <definedName name="น๊อตหัวกลมdia12" localSheetId="41">#REF!</definedName>
    <definedName name="น๊อตหัวกลมdia12" localSheetId="50">#REF!</definedName>
    <definedName name="น๊อตหัวกลมdia12" localSheetId="51">#REF!</definedName>
    <definedName name="น๊อตหัวกลมdia12" localSheetId="42">#REF!</definedName>
    <definedName name="น๊อตหัวกลมdia12" localSheetId="43">#REF!</definedName>
    <definedName name="น๊อตหัวกลมdia12" localSheetId="44">#REF!</definedName>
    <definedName name="น๊อตหัวกลมdia12" localSheetId="45">#REF!</definedName>
    <definedName name="น๊อตหัวกลมdia12" localSheetId="46">#REF!</definedName>
    <definedName name="น๊อตหัวกลมdia12" localSheetId="47">#REF!</definedName>
    <definedName name="น๊อตหัวกลมdia12" localSheetId="48">#REF!</definedName>
    <definedName name="น๊อตหัวกลมdia12" localSheetId="49">#REF!</definedName>
    <definedName name="น๊อตหัวกลมdia12" localSheetId="52">#REF!</definedName>
    <definedName name="น๊อตหัวกลมdia12" localSheetId="40">#REF!</definedName>
    <definedName name="น๊อตหัวกลมdia12" localSheetId="39">#REF!</definedName>
    <definedName name="น๊อตหัวกลมdia12" localSheetId="38">#REF!</definedName>
    <definedName name="น๊อตหัวกลมdia12" localSheetId="37">#REF!</definedName>
    <definedName name="น๊อตหัวกลมdia12" localSheetId="57">#REF!</definedName>
    <definedName name="น๊อตหัวกลมdia12" localSheetId="66">#REF!</definedName>
    <definedName name="น๊อตหัวกลมdia12" localSheetId="67">#REF!</definedName>
    <definedName name="น๊อตหัวกลมdia12" localSheetId="58">#REF!</definedName>
    <definedName name="น๊อตหัวกลมdia12" localSheetId="59">#REF!</definedName>
    <definedName name="น๊อตหัวกลมdia12" localSheetId="60">#REF!</definedName>
    <definedName name="น๊อตหัวกลมdia12" localSheetId="61">#REF!</definedName>
    <definedName name="น๊อตหัวกลมdia12" localSheetId="62">#REF!</definedName>
    <definedName name="น๊อตหัวกลมdia12" localSheetId="63">#REF!</definedName>
    <definedName name="น๊อตหัวกลมdia12" localSheetId="64">#REF!</definedName>
    <definedName name="น๊อตหัวกลมdia12" localSheetId="65">#REF!</definedName>
    <definedName name="น๊อตหัวกลมdia12" localSheetId="68">#REF!</definedName>
    <definedName name="น๊อตหัวกลมdia12" localSheetId="56">#REF!</definedName>
    <definedName name="น๊อตหัวกลมdia12" localSheetId="55">#REF!</definedName>
    <definedName name="น๊อตหัวกลมdia12" localSheetId="54">#REF!</definedName>
    <definedName name="น๊อตหัวกลมdia12" localSheetId="53">#REF!</definedName>
    <definedName name="น๊อตหัวกลมdia12" localSheetId="85">#REF!</definedName>
    <definedName name="น๊อตหัวกลมdia12" localSheetId="86">#REF!</definedName>
    <definedName name="น๊อตหัวกลมdia12" localSheetId="2">#REF!</definedName>
    <definedName name="น๊อตหัวกลมdia12">#REF!</definedName>
    <definedName name="น๊อตหัวกลมdia12ไม่รวมขนส่ง" localSheetId="3">#REF!</definedName>
    <definedName name="น๊อตหัวกลมdia12ไม่รวมขนส่ง" localSheetId="4">#REF!</definedName>
    <definedName name="น๊อตหัวกลมdia12ไม่รวมขนส่ง" localSheetId="18">#REF!</definedName>
    <definedName name="น๊อตหัวกลมdia12ไม่รวมขนส่ง" localSheetId="19">#REF!</definedName>
    <definedName name="น๊อตหัวกลมdia12ไม่รวมขนส่ง" localSheetId="9">#REF!</definedName>
    <definedName name="น๊อตหัวกลมdia12ไม่รวมขนส่ง" localSheetId="10">#REF!</definedName>
    <definedName name="น๊อตหัวกลมdia12ไม่รวมขนส่ง" localSheetId="11">#REF!</definedName>
    <definedName name="น๊อตหัวกลมdia12ไม่รวมขนส่ง" localSheetId="12">#REF!</definedName>
    <definedName name="น๊อตหัวกลมdia12ไม่รวมขนส่ง" localSheetId="13">#REF!</definedName>
    <definedName name="น๊อตหัวกลมdia12ไม่รวมขนส่ง" localSheetId="14">#REF!</definedName>
    <definedName name="น๊อตหัวกลมdia12ไม่รวมขนส่ง" localSheetId="15">#REF!</definedName>
    <definedName name="น๊อตหัวกลมdia12ไม่รวมขนส่ง" localSheetId="16">#REF!</definedName>
    <definedName name="น๊อตหัวกลมdia12ไม่รวมขนส่ง" localSheetId="17">#REF!</definedName>
    <definedName name="น๊อตหัวกลมdia12ไม่รวมขนส่ง" localSheetId="8">#REF!</definedName>
    <definedName name="น๊อตหัวกลมdia12ไม่รวมขนส่ง" localSheetId="7">#REF!</definedName>
    <definedName name="น๊อตหัวกลมdia12ไม่รวมขนส่ง" localSheetId="6">#REF!</definedName>
    <definedName name="น๊อตหัวกลมdia12ไม่รวมขนส่ง" localSheetId="20">#REF!</definedName>
    <definedName name="น๊อตหัวกลมdia12ไม่รวมขนส่ง" localSheetId="5">#REF!</definedName>
    <definedName name="น๊อตหัวกลมdia12ไม่รวมขนส่ง" localSheetId="21">#REF!</definedName>
    <definedName name="น๊อตหัวกลมdia12ไม่รวมขนส่ง" localSheetId="34">#REF!</definedName>
    <definedName name="น๊อตหัวกลมdia12ไม่รวมขนส่ง" localSheetId="35">#REF!</definedName>
    <definedName name="น๊อตหัวกลมdia12ไม่รวมขนส่ง" localSheetId="25">#REF!</definedName>
    <definedName name="น๊อตหัวกลมdia12ไม่รวมขนส่ง" localSheetId="27">#REF!</definedName>
    <definedName name="น๊อตหัวกลมdia12ไม่รวมขนส่ง" localSheetId="28">#REF!</definedName>
    <definedName name="น๊อตหัวกลมdia12ไม่รวมขนส่ง" localSheetId="29">#REF!</definedName>
    <definedName name="น๊อตหัวกลมdia12ไม่รวมขนส่ง" localSheetId="31">#REF!</definedName>
    <definedName name="น๊อตหัวกลมdia12ไม่รวมขนส่ง" localSheetId="32">#REF!</definedName>
    <definedName name="น๊อตหัวกลมdia12ไม่รวมขนส่ง" localSheetId="33">#REF!</definedName>
    <definedName name="น๊อตหัวกลมdia12ไม่รวมขนส่ง" localSheetId="24">#REF!</definedName>
    <definedName name="น๊อตหัวกลมdia12ไม่รวมขนส่ง" localSheetId="23">#REF!</definedName>
    <definedName name="น๊อตหัวกลมdia12ไม่รวมขนส่ง" localSheetId="36">#REF!</definedName>
    <definedName name="น๊อตหัวกลมdia12ไม่รวมขนส่ง" localSheetId="22">#REF!</definedName>
    <definedName name="น๊อตหัวกลมdia12ไม่รวมขนส่ง" localSheetId="26">#REF!</definedName>
    <definedName name="น๊อตหัวกลมdia12ไม่รวมขนส่ง" localSheetId="30">#REF!</definedName>
    <definedName name="น๊อตหัวกลมdia12ไม่รวมขนส่ง" localSheetId="85">#REF!</definedName>
    <definedName name="น๊อตหัวกลมdia12ไม่รวมขนส่ง" localSheetId="86">#REF!</definedName>
    <definedName name="น๊อตหัวกลมdia12ไม่รวมขนส่ง" localSheetId="2">#REF!</definedName>
    <definedName name="น๊อตหัวกลมdia12ไม่รวมขนส่ง">#REF!</definedName>
    <definedName name="น๊อตหัวกลมdia25" localSheetId="3">#REF!</definedName>
    <definedName name="น๊อตหัวกลมdia25" localSheetId="4">#REF!</definedName>
    <definedName name="น๊อตหัวกลมdia25" localSheetId="18">#REF!</definedName>
    <definedName name="น๊อตหัวกลมdia25" localSheetId="19">#REF!</definedName>
    <definedName name="น๊อตหัวกลมdia25" localSheetId="9">#REF!</definedName>
    <definedName name="น๊อตหัวกลมdia25" localSheetId="10">#REF!</definedName>
    <definedName name="น๊อตหัวกลมdia25" localSheetId="11">#REF!</definedName>
    <definedName name="น๊อตหัวกลมdia25" localSheetId="12">#REF!</definedName>
    <definedName name="น๊อตหัวกลมdia25" localSheetId="13">#REF!</definedName>
    <definedName name="น๊อตหัวกลมdia25" localSheetId="14">#REF!</definedName>
    <definedName name="น๊อตหัวกลมdia25" localSheetId="15">#REF!</definedName>
    <definedName name="น๊อตหัวกลมdia25" localSheetId="16">#REF!</definedName>
    <definedName name="น๊อตหัวกลมdia25" localSheetId="17">#REF!</definedName>
    <definedName name="น๊อตหัวกลมdia25" localSheetId="8">#REF!</definedName>
    <definedName name="น๊อตหัวกลมdia25" localSheetId="7">#REF!</definedName>
    <definedName name="น๊อตหัวกลมdia25" localSheetId="6">#REF!</definedName>
    <definedName name="น๊อตหัวกลมdia25" localSheetId="20">#REF!</definedName>
    <definedName name="น๊อตหัวกลมdia25" localSheetId="5">#REF!</definedName>
    <definedName name="น๊อตหัวกลมdia25" localSheetId="21">#REF!</definedName>
    <definedName name="น๊อตหัวกลมdia25" localSheetId="34">#REF!</definedName>
    <definedName name="น๊อตหัวกลมdia25" localSheetId="35">#REF!</definedName>
    <definedName name="น๊อตหัวกลมdia25" localSheetId="25">#REF!</definedName>
    <definedName name="น๊อตหัวกลมdia25" localSheetId="27">#REF!</definedName>
    <definedName name="น๊อตหัวกลมdia25" localSheetId="28">#REF!</definedName>
    <definedName name="น๊อตหัวกลมdia25" localSheetId="29">#REF!</definedName>
    <definedName name="น๊อตหัวกลมdia25" localSheetId="31">#REF!</definedName>
    <definedName name="น๊อตหัวกลมdia25" localSheetId="32">#REF!</definedName>
    <definedName name="น๊อตหัวกลมdia25" localSheetId="33">#REF!</definedName>
    <definedName name="น๊อตหัวกลมdia25" localSheetId="24">#REF!</definedName>
    <definedName name="น๊อตหัวกลมdia25" localSheetId="23">#REF!</definedName>
    <definedName name="น๊อตหัวกลมdia25" localSheetId="36">#REF!</definedName>
    <definedName name="น๊อตหัวกลมdia25" localSheetId="22">#REF!</definedName>
    <definedName name="น๊อตหัวกลมdia25" localSheetId="26">#REF!</definedName>
    <definedName name="น๊อตหัวกลมdia25" localSheetId="30">#REF!</definedName>
    <definedName name="น๊อตหัวกลมdia25" localSheetId="85">#REF!</definedName>
    <definedName name="น๊อตหัวกลมdia25" localSheetId="86">#REF!</definedName>
    <definedName name="น๊อตหัวกลมdia25" localSheetId="2">#REF!</definedName>
    <definedName name="น๊อตหัวกลมdia25">#REF!</definedName>
    <definedName name="น๊อตหัวกลมdia25ไม่รวมขนส่ง" localSheetId="3">#REF!</definedName>
    <definedName name="น๊อตหัวกลมdia25ไม่รวมขนส่ง" localSheetId="2">#REF!</definedName>
    <definedName name="น๊อตหัวกลมdia25ไม่รวมขนส่ง">#REF!</definedName>
    <definedName name="น๊อตหัวกลมdia9" localSheetId="3">#REF!</definedName>
    <definedName name="น๊อตหัวกลมdia9" localSheetId="2">#REF!</definedName>
    <definedName name="น๊อตหัวกลมdia9">#REF!</definedName>
    <definedName name="น๊อตหัวกลมdia9ไม่รวมขนส่ง" localSheetId="3">#REF!</definedName>
    <definedName name="น๊อตหัวกลมdia9ไม่รวมขนส่ง" localSheetId="2">#REF!</definedName>
    <definedName name="น๊อตหัวกลมdia9ไม่รวมขนส่ง">#REF!</definedName>
    <definedName name="น้ำมัน2">[13]รายละเอียดโครงการ!$B$29</definedName>
    <definedName name="น้ำมัน3">[13]รายละเอียดโครงการ!$B$35</definedName>
    <definedName name="น้ำยากันซึม" localSheetId="3">#REF!</definedName>
    <definedName name="น้ำยากันซึม" localSheetId="4">#REF!</definedName>
    <definedName name="น้ำยากันซึม" localSheetId="18">#REF!</definedName>
    <definedName name="น้ำยากันซึม" localSheetId="19">#REF!</definedName>
    <definedName name="น้ำยากันซึม" localSheetId="9">#REF!</definedName>
    <definedName name="น้ำยากันซึม" localSheetId="10">#REF!</definedName>
    <definedName name="น้ำยากันซึม" localSheetId="11">#REF!</definedName>
    <definedName name="น้ำยากันซึม" localSheetId="12">#REF!</definedName>
    <definedName name="น้ำยากันซึม" localSheetId="13">#REF!</definedName>
    <definedName name="น้ำยากันซึม" localSheetId="14">#REF!</definedName>
    <definedName name="น้ำยากันซึม" localSheetId="15">#REF!</definedName>
    <definedName name="น้ำยากันซึม" localSheetId="16">#REF!</definedName>
    <definedName name="น้ำยากันซึม" localSheetId="17">#REF!</definedName>
    <definedName name="น้ำยากันซึม" localSheetId="8">#REF!</definedName>
    <definedName name="น้ำยากันซึม" localSheetId="7">#REF!</definedName>
    <definedName name="น้ำยากันซึม" localSheetId="6">#REF!</definedName>
    <definedName name="น้ำยากันซึม" localSheetId="20">#REF!</definedName>
    <definedName name="น้ำยากันซึม" localSheetId="5">#REF!</definedName>
    <definedName name="น้ำยากันซึม" localSheetId="21">#REF!</definedName>
    <definedName name="น้ำยากันซึม" localSheetId="34">#REF!</definedName>
    <definedName name="น้ำยากันซึม" localSheetId="35">#REF!</definedName>
    <definedName name="น้ำยากันซึม" localSheetId="25">#REF!</definedName>
    <definedName name="น้ำยากันซึม" localSheetId="27">#REF!</definedName>
    <definedName name="น้ำยากันซึม" localSheetId="28">#REF!</definedName>
    <definedName name="น้ำยากันซึม" localSheetId="29">#REF!</definedName>
    <definedName name="น้ำยากันซึม" localSheetId="31">#REF!</definedName>
    <definedName name="น้ำยากันซึม" localSheetId="32">#REF!</definedName>
    <definedName name="น้ำยากันซึม" localSheetId="33">#REF!</definedName>
    <definedName name="น้ำยากันซึม" localSheetId="24">#REF!</definedName>
    <definedName name="น้ำยากันซึม" localSheetId="23">#REF!</definedName>
    <definedName name="น้ำยากันซึม" localSheetId="36">#REF!</definedName>
    <definedName name="น้ำยากันซึม" localSheetId="22">#REF!</definedName>
    <definedName name="น้ำยากันซึม" localSheetId="26">#REF!</definedName>
    <definedName name="น้ำยากันซึม" localSheetId="30">#REF!</definedName>
    <definedName name="น้ำยากันซึม" localSheetId="41">#REF!</definedName>
    <definedName name="น้ำยากันซึม" localSheetId="50">#REF!</definedName>
    <definedName name="น้ำยากันซึม" localSheetId="51">#REF!</definedName>
    <definedName name="น้ำยากันซึม" localSheetId="42">#REF!</definedName>
    <definedName name="น้ำยากันซึม" localSheetId="43">#REF!</definedName>
    <definedName name="น้ำยากันซึม" localSheetId="44">#REF!</definedName>
    <definedName name="น้ำยากันซึม" localSheetId="45">#REF!</definedName>
    <definedName name="น้ำยากันซึม" localSheetId="46">#REF!</definedName>
    <definedName name="น้ำยากันซึม" localSheetId="47">#REF!</definedName>
    <definedName name="น้ำยากันซึม" localSheetId="48">#REF!</definedName>
    <definedName name="น้ำยากันซึม" localSheetId="49">#REF!</definedName>
    <definedName name="น้ำยากันซึม" localSheetId="52">#REF!</definedName>
    <definedName name="น้ำยากันซึม" localSheetId="40">#REF!</definedName>
    <definedName name="น้ำยากันซึม" localSheetId="39">#REF!</definedName>
    <definedName name="น้ำยากันซึม" localSheetId="38">#REF!</definedName>
    <definedName name="น้ำยากันซึม" localSheetId="37">#REF!</definedName>
    <definedName name="น้ำยากันซึม" localSheetId="57">#REF!</definedName>
    <definedName name="น้ำยากันซึม" localSheetId="66">#REF!</definedName>
    <definedName name="น้ำยากันซึม" localSheetId="67">#REF!</definedName>
    <definedName name="น้ำยากันซึม" localSheetId="58">#REF!</definedName>
    <definedName name="น้ำยากันซึม" localSheetId="59">#REF!</definedName>
    <definedName name="น้ำยากันซึม" localSheetId="60">#REF!</definedName>
    <definedName name="น้ำยากันซึม" localSheetId="61">#REF!</definedName>
    <definedName name="น้ำยากันซึม" localSheetId="62">#REF!</definedName>
    <definedName name="น้ำยากันซึม" localSheetId="63">#REF!</definedName>
    <definedName name="น้ำยากันซึม" localSheetId="64">#REF!</definedName>
    <definedName name="น้ำยากันซึม" localSheetId="65">#REF!</definedName>
    <definedName name="น้ำยากันซึม" localSheetId="68">#REF!</definedName>
    <definedName name="น้ำยากันซึม" localSheetId="56">#REF!</definedName>
    <definedName name="น้ำยากันซึม" localSheetId="55">#REF!</definedName>
    <definedName name="น้ำยากันซึม" localSheetId="54">#REF!</definedName>
    <definedName name="น้ำยากันซึม" localSheetId="53">#REF!</definedName>
    <definedName name="น้ำยากันซึม" localSheetId="85">#REF!</definedName>
    <definedName name="น้ำยากันซึม" localSheetId="86">#REF!</definedName>
    <definedName name="น้ำยากันซึม" localSheetId="2">#REF!</definedName>
    <definedName name="น้ำยากันซึม">#REF!</definedName>
    <definedName name="บ_ต" localSheetId="3">#REF!</definedName>
    <definedName name="บ_ต" localSheetId="4">#REF!</definedName>
    <definedName name="บ_ต" localSheetId="18">#REF!</definedName>
    <definedName name="บ_ต" localSheetId="19">#REF!</definedName>
    <definedName name="บ_ต" localSheetId="9">#REF!</definedName>
    <definedName name="บ_ต" localSheetId="10">#REF!</definedName>
    <definedName name="บ_ต" localSheetId="11">#REF!</definedName>
    <definedName name="บ_ต" localSheetId="12">#REF!</definedName>
    <definedName name="บ_ต" localSheetId="13">#REF!</definedName>
    <definedName name="บ_ต" localSheetId="14">#REF!</definedName>
    <definedName name="บ_ต" localSheetId="15">#REF!</definedName>
    <definedName name="บ_ต" localSheetId="16">#REF!</definedName>
    <definedName name="บ_ต" localSheetId="17">#REF!</definedName>
    <definedName name="บ_ต" localSheetId="8">#REF!</definedName>
    <definedName name="บ_ต" localSheetId="7">#REF!</definedName>
    <definedName name="บ_ต" localSheetId="6">#REF!</definedName>
    <definedName name="บ_ต" localSheetId="20">#REF!</definedName>
    <definedName name="บ_ต" localSheetId="5">#REF!</definedName>
    <definedName name="บ_ต" localSheetId="21">#REF!</definedName>
    <definedName name="บ_ต" localSheetId="34">#REF!</definedName>
    <definedName name="บ_ต" localSheetId="35">#REF!</definedName>
    <definedName name="บ_ต" localSheetId="25">#REF!</definedName>
    <definedName name="บ_ต" localSheetId="27">#REF!</definedName>
    <definedName name="บ_ต" localSheetId="28">#REF!</definedName>
    <definedName name="บ_ต" localSheetId="29">#REF!</definedName>
    <definedName name="บ_ต" localSheetId="31">#REF!</definedName>
    <definedName name="บ_ต" localSheetId="32">#REF!</definedName>
    <definedName name="บ_ต" localSheetId="33">#REF!</definedName>
    <definedName name="บ_ต" localSheetId="24">#REF!</definedName>
    <definedName name="บ_ต" localSheetId="23">#REF!</definedName>
    <definedName name="บ_ต" localSheetId="36">#REF!</definedName>
    <definedName name="บ_ต" localSheetId="22">#REF!</definedName>
    <definedName name="บ_ต" localSheetId="26">#REF!</definedName>
    <definedName name="บ_ต" localSheetId="30">#REF!</definedName>
    <definedName name="บ_ต" localSheetId="85">#REF!</definedName>
    <definedName name="บ_ต" localSheetId="86">#REF!</definedName>
    <definedName name="บ_ต" localSheetId="2">#REF!</definedName>
    <definedName name="บ_ต">#REF!</definedName>
    <definedName name="บดทับดินคันทาง" localSheetId="3">#REF!</definedName>
    <definedName name="บดทับดินคันทาง" localSheetId="4">#REF!</definedName>
    <definedName name="บดทับดินคันทาง" localSheetId="18">#REF!</definedName>
    <definedName name="บดทับดินคันทาง" localSheetId="19">#REF!</definedName>
    <definedName name="บดทับดินคันทาง" localSheetId="9">#REF!</definedName>
    <definedName name="บดทับดินคันทาง" localSheetId="10">#REF!</definedName>
    <definedName name="บดทับดินคันทาง" localSheetId="11">#REF!</definedName>
    <definedName name="บดทับดินคันทาง" localSheetId="12">#REF!</definedName>
    <definedName name="บดทับดินคันทาง" localSheetId="13">#REF!</definedName>
    <definedName name="บดทับดินคันทาง" localSheetId="14">#REF!</definedName>
    <definedName name="บดทับดินคันทาง" localSheetId="15">#REF!</definedName>
    <definedName name="บดทับดินคันทาง" localSheetId="16">#REF!</definedName>
    <definedName name="บดทับดินคันทาง" localSheetId="17">#REF!</definedName>
    <definedName name="บดทับดินคันทาง" localSheetId="8">#REF!</definedName>
    <definedName name="บดทับดินคันทาง" localSheetId="7">#REF!</definedName>
    <definedName name="บดทับดินคันทาง" localSheetId="6">#REF!</definedName>
    <definedName name="บดทับดินคันทาง" localSheetId="20">#REF!</definedName>
    <definedName name="บดทับดินคันทาง" localSheetId="5">#REF!</definedName>
    <definedName name="บดทับดินคันทาง" localSheetId="21">#REF!</definedName>
    <definedName name="บดทับดินคันทาง" localSheetId="34">#REF!</definedName>
    <definedName name="บดทับดินคันทาง" localSheetId="35">#REF!</definedName>
    <definedName name="บดทับดินคันทาง" localSheetId="25">#REF!</definedName>
    <definedName name="บดทับดินคันทาง" localSheetId="27">#REF!</definedName>
    <definedName name="บดทับดินคันทาง" localSheetId="28">#REF!</definedName>
    <definedName name="บดทับดินคันทาง" localSheetId="29">#REF!</definedName>
    <definedName name="บดทับดินคันทาง" localSheetId="31">#REF!</definedName>
    <definedName name="บดทับดินคันทาง" localSheetId="32">#REF!</definedName>
    <definedName name="บดทับดินคันทาง" localSheetId="33">#REF!</definedName>
    <definedName name="บดทับดินคันทาง" localSheetId="24">#REF!</definedName>
    <definedName name="บดทับดินคันทาง" localSheetId="23">#REF!</definedName>
    <definedName name="บดทับดินคันทาง" localSheetId="36">#REF!</definedName>
    <definedName name="บดทับดินคันทาง" localSheetId="22">#REF!</definedName>
    <definedName name="บดทับดินคันทาง" localSheetId="26">#REF!</definedName>
    <definedName name="บดทับดินคันทาง" localSheetId="30">#REF!</definedName>
    <definedName name="บดทับดินคันทาง" localSheetId="85">#REF!</definedName>
    <definedName name="บดทับดินคันทาง" localSheetId="86">#REF!</definedName>
    <definedName name="บดทับดินคันทาง" localSheetId="2">#REF!</definedName>
    <definedName name="บดทับดินคันทาง">#REF!</definedName>
    <definedName name="บล๊อกแก้ว" localSheetId="3">#REF!</definedName>
    <definedName name="บล๊อกแก้ว" localSheetId="2">#REF!</definedName>
    <definedName name="บล๊อกแก้ว">#REF!</definedName>
    <definedName name="บุษบาฮาวาย" localSheetId="3">#REF!</definedName>
    <definedName name="บุษบาฮาวาย" localSheetId="2">#REF!</definedName>
    <definedName name="บุษบาฮาวาย">#REF!</definedName>
    <definedName name="ป" localSheetId="3">#REF!</definedName>
    <definedName name="ป" localSheetId="2">#REF!</definedName>
    <definedName name="ป">#REF!</definedName>
    <definedName name="ปก32" localSheetId="3" hidden="1">{"'SUMMATION'!$B$2:$I$2"}</definedName>
    <definedName name="ปก32" localSheetId="4" hidden="1">{"'SUMMATION'!$B$2:$I$2"}</definedName>
    <definedName name="ปก32" localSheetId="38" hidden="1">{"'SUMMATION'!$B$2:$I$2"}</definedName>
    <definedName name="ปก32" localSheetId="86" hidden="1">{"'SUMMATION'!$B$2:$I$2"}</definedName>
    <definedName name="ปก32" hidden="1">{"'SUMMATION'!$B$2:$I$2"}</definedName>
    <definedName name="ปลูกหญ้าแบบพ่นเมล็ด" localSheetId="3">'[11]หมวด 6(2)'!#REF!</definedName>
    <definedName name="ปลูกหญ้าแบบพ่นเมล็ด" localSheetId="2">'[11]หมวด 6(2)'!#REF!</definedName>
    <definedName name="ปลูกหญ้าแบบพ่นเมล็ด">'[11]หมวด 6(2)'!#REF!</definedName>
    <definedName name="ปลูกหญ้าปูแผ่น" localSheetId="3">'[11]หมวด 6(2)'!#REF!</definedName>
    <definedName name="ปลูกหญ้าปูแผ่น" localSheetId="2">'[11]หมวด 6(2)'!#REF!</definedName>
    <definedName name="ปลูกหญ้าปูแผ่น">'[11]หมวด 6(2)'!#REF!</definedName>
    <definedName name="ปลูกหญ้าปูแผ่น_" localSheetId="3">#REF!</definedName>
    <definedName name="ปลูกหญ้าปูแผ่น_" localSheetId="4">#REF!</definedName>
    <definedName name="ปลูกหญ้าปูแผ่น_" localSheetId="18">#REF!</definedName>
    <definedName name="ปลูกหญ้าปูแผ่น_" localSheetId="19">#REF!</definedName>
    <definedName name="ปลูกหญ้าปูแผ่น_" localSheetId="9">#REF!</definedName>
    <definedName name="ปลูกหญ้าปูแผ่น_" localSheetId="10">#REF!</definedName>
    <definedName name="ปลูกหญ้าปูแผ่น_" localSheetId="11">#REF!</definedName>
    <definedName name="ปลูกหญ้าปูแผ่น_" localSheetId="12">#REF!</definedName>
    <definedName name="ปลูกหญ้าปูแผ่น_" localSheetId="13">#REF!</definedName>
    <definedName name="ปลูกหญ้าปูแผ่น_" localSheetId="14">#REF!</definedName>
    <definedName name="ปลูกหญ้าปูแผ่น_" localSheetId="15">#REF!</definedName>
    <definedName name="ปลูกหญ้าปูแผ่น_" localSheetId="16">#REF!</definedName>
    <definedName name="ปลูกหญ้าปูแผ่น_" localSheetId="17">#REF!</definedName>
    <definedName name="ปลูกหญ้าปูแผ่น_" localSheetId="8">#REF!</definedName>
    <definedName name="ปลูกหญ้าปูแผ่น_" localSheetId="7">#REF!</definedName>
    <definedName name="ปลูกหญ้าปูแผ่น_" localSheetId="6">#REF!</definedName>
    <definedName name="ปลูกหญ้าปูแผ่น_" localSheetId="20">#REF!</definedName>
    <definedName name="ปลูกหญ้าปูแผ่น_" localSheetId="5">#REF!</definedName>
    <definedName name="ปลูกหญ้าปูแผ่น_" localSheetId="21">#REF!</definedName>
    <definedName name="ปลูกหญ้าปูแผ่น_" localSheetId="34">#REF!</definedName>
    <definedName name="ปลูกหญ้าปูแผ่น_" localSheetId="35">#REF!</definedName>
    <definedName name="ปลูกหญ้าปูแผ่น_" localSheetId="25">#REF!</definedName>
    <definedName name="ปลูกหญ้าปูแผ่น_" localSheetId="27">#REF!</definedName>
    <definedName name="ปลูกหญ้าปูแผ่น_" localSheetId="28">#REF!</definedName>
    <definedName name="ปลูกหญ้าปูแผ่น_" localSheetId="29">#REF!</definedName>
    <definedName name="ปลูกหญ้าปูแผ่น_" localSheetId="31">#REF!</definedName>
    <definedName name="ปลูกหญ้าปูแผ่น_" localSheetId="32">#REF!</definedName>
    <definedName name="ปลูกหญ้าปูแผ่น_" localSheetId="33">#REF!</definedName>
    <definedName name="ปลูกหญ้าปูแผ่น_" localSheetId="24">#REF!</definedName>
    <definedName name="ปลูกหญ้าปูแผ่น_" localSheetId="23">#REF!</definedName>
    <definedName name="ปลูกหญ้าปูแผ่น_" localSheetId="36">#REF!</definedName>
    <definedName name="ปลูกหญ้าปูแผ่น_" localSheetId="22">#REF!</definedName>
    <definedName name="ปลูกหญ้าปูแผ่น_" localSheetId="26">#REF!</definedName>
    <definedName name="ปลูกหญ้าปูแผ่น_" localSheetId="30">#REF!</definedName>
    <definedName name="ปลูกหญ้าปูแผ่น_" localSheetId="41">#REF!</definedName>
    <definedName name="ปลูกหญ้าปูแผ่น_" localSheetId="50">#REF!</definedName>
    <definedName name="ปลูกหญ้าปูแผ่น_" localSheetId="51">#REF!</definedName>
    <definedName name="ปลูกหญ้าปูแผ่น_" localSheetId="42">#REF!</definedName>
    <definedName name="ปลูกหญ้าปูแผ่น_" localSheetId="43">#REF!</definedName>
    <definedName name="ปลูกหญ้าปูแผ่น_" localSheetId="44">#REF!</definedName>
    <definedName name="ปลูกหญ้าปูแผ่น_" localSheetId="45">#REF!</definedName>
    <definedName name="ปลูกหญ้าปูแผ่น_" localSheetId="46">#REF!</definedName>
    <definedName name="ปลูกหญ้าปูแผ่น_" localSheetId="47">#REF!</definedName>
    <definedName name="ปลูกหญ้าปูแผ่น_" localSheetId="48">#REF!</definedName>
    <definedName name="ปลูกหญ้าปูแผ่น_" localSheetId="49">#REF!</definedName>
    <definedName name="ปลูกหญ้าปูแผ่น_" localSheetId="52">#REF!</definedName>
    <definedName name="ปลูกหญ้าปูแผ่น_" localSheetId="40">#REF!</definedName>
    <definedName name="ปลูกหญ้าปูแผ่น_" localSheetId="39">#REF!</definedName>
    <definedName name="ปลูกหญ้าปูแผ่น_" localSheetId="38">#REF!</definedName>
    <definedName name="ปลูกหญ้าปูแผ่น_" localSheetId="37">#REF!</definedName>
    <definedName name="ปลูกหญ้าปูแผ่น_" localSheetId="57">#REF!</definedName>
    <definedName name="ปลูกหญ้าปูแผ่น_" localSheetId="66">#REF!</definedName>
    <definedName name="ปลูกหญ้าปูแผ่น_" localSheetId="67">#REF!</definedName>
    <definedName name="ปลูกหญ้าปูแผ่น_" localSheetId="58">#REF!</definedName>
    <definedName name="ปลูกหญ้าปูแผ่น_" localSheetId="59">#REF!</definedName>
    <definedName name="ปลูกหญ้าปูแผ่น_" localSheetId="60">#REF!</definedName>
    <definedName name="ปลูกหญ้าปูแผ่น_" localSheetId="61">#REF!</definedName>
    <definedName name="ปลูกหญ้าปูแผ่น_" localSheetId="62">#REF!</definedName>
    <definedName name="ปลูกหญ้าปูแผ่น_" localSheetId="63">#REF!</definedName>
    <definedName name="ปลูกหญ้าปูแผ่น_" localSheetId="64">#REF!</definedName>
    <definedName name="ปลูกหญ้าปูแผ่น_" localSheetId="65">#REF!</definedName>
    <definedName name="ปลูกหญ้าปูแผ่น_" localSheetId="68">#REF!</definedName>
    <definedName name="ปลูกหญ้าปูแผ่น_" localSheetId="56">#REF!</definedName>
    <definedName name="ปลูกหญ้าปูแผ่น_" localSheetId="55">#REF!</definedName>
    <definedName name="ปลูกหญ้าปูแผ่น_" localSheetId="54">#REF!</definedName>
    <definedName name="ปลูกหญ้าปูแผ่น_" localSheetId="53">#REF!</definedName>
    <definedName name="ปลูกหญ้าปูแผ่น_" localSheetId="85">#REF!</definedName>
    <definedName name="ปลูกหญ้าปูแผ่น_" localSheetId="86">#REF!</definedName>
    <definedName name="ปลูกหญ้าปูแผ่น_" localSheetId="2">#REF!</definedName>
    <definedName name="ปลูกหญ้าปูแผ่น_">#REF!</definedName>
    <definedName name="ปากช่อง_Interchange" localSheetId="3">[15]Summary!#REF!</definedName>
    <definedName name="ปากช่อง_Interchange" localSheetId="18">[15]Summary!#REF!</definedName>
    <definedName name="ปากช่อง_Interchange" localSheetId="19">[15]Summary!#REF!</definedName>
    <definedName name="ปากช่อง_Interchange" localSheetId="9">[15]Summary!#REF!</definedName>
    <definedName name="ปากช่อง_Interchange" localSheetId="10">[15]Summary!#REF!</definedName>
    <definedName name="ปากช่อง_Interchange" localSheetId="11">[15]Summary!#REF!</definedName>
    <definedName name="ปากช่อง_Interchange" localSheetId="12">[15]Summary!#REF!</definedName>
    <definedName name="ปากช่อง_Interchange" localSheetId="13">[15]Summary!#REF!</definedName>
    <definedName name="ปากช่อง_Interchange" localSheetId="14">[15]Summary!#REF!</definedName>
    <definedName name="ปากช่อง_Interchange" localSheetId="15">[15]Summary!#REF!</definedName>
    <definedName name="ปากช่อง_Interchange" localSheetId="16">[15]Summary!#REF!</definedName>
    <definedName name="ปากช่อง_Interchange" localSheetId="17">[15]Summary!#REF!</definedName>
    <definedName name="ปากช่อง_Interchange" localSheetId="8">[15]Summary!#REF!</definedName>
    <definedName name="ปากช่อง_Interchange" localSheetId="7">[15]Summary!#REF!</definedName>
    <definedName name="ปากช่อง_Interchange" localSheetId="6">[15]Summary!#REF!</definedName>
    <definedName name="ปากช่อง_Interchange" localSheetId="20">[15]Summary!#REF!</definedName>
    <definedName name="ปากช่อง_Interchange" localSheetId="5">[15]Summary!#REF!</definedName>
    <definedName name="ปากช่อง_Interchange" localSheetId="21">[15]Summary!#REF!</definedName>
    <definedName name="ปากช่อง_Interchange" localSheetId="34">[15]Summary!#REF!</definedName>
    <definedName name="ปากช่อง_Interchange" localSheetId="35">[15]Summary!#REF!</definedName>
    <definedName name="ปากช่อง_Interchange" localSheetId="25">[15]Summary!#REF!</definedName>
    <definedName name="ปากช่อง_Interchange" localSheetId="27">[15]Summary!#REF!</definedName>
    <definedName name="ปากช่อง_Interchange" localSheetId="28">[15]Summary!#REF!</definedName>
    <definedName name="ปากช่อง_Interchange" localSheetId="29">[15]Summary!#REF!</definedName>
    <definedName name="ปากช่อง_Interchange" localSheetId="31">[15]Summary!#REF!</definedName>
    <definedName name="ปากช่อง_Interchange" localSheetId="32">[15]Summary!#REF!</definedName>
    <definedName name="ปากช่อง_Interchange" localSheetId="33">[15]Summary!#REF!</definedName>
    <definedName name="ปากช่อง_Interchange" localSheetId="24">[15]Summary!#REF!</definedName>
    <definedName name="ปากช่อง_Interchange" localSheetId="23">[15]Summary!#REF!</definedName>
    <definedName name="ปากช่อง_Interchange" localSheetId="36">[15]Summary!#REF!</definedName>
    <definedName name="ปากช่อง_Interchange" localSheetId="22">[15]Summary!#REF!</definedName>
    <definedName name="ปากช่อง_Interchange" localSheetId="26">[15]Summary!#REF!</definedName>
    <definedName name="ปากช่อง_Interchange" localSheetId="30">[15]Summary!#REF!</definedName>
    <definedName name="ปากช่อง_Interchange" localSheetId="41">[15]Summary!#REF!</definedName>
    <definedName name="ปากช่อง_Interchange" localSheetId="50">[15]Summary!#REF!</definedName>
    <definedName name="ปากช่อง_Interchange" localSheetId="51">[15]Summary!#REF!</definedName>
    <definedName name="ปากช่อง_Interchange" localSheetId="42">[15]Summary!#REF!</definedName>
    <definedName name="ปากช่อง_Interchange" localSheetId="43">[15]Summary!#REF!</definedName>
    <definedName name="ปากช่อง_Interchange" localSheetId="44">[15]Summary!#REF!</definedName>
    <definedName name="ปากช่อง_Interchange" localSheetId="45">[15]Summary!#REF!</definedName>
    <definedName name="ปากช่อง_Interchange" localSheetId="46">[15]Summary!#REF!</definedName>
    <definedName name="ปากช่อง_Interchange" localSheetId="47">[15]Summary!#REF!</definedName>
    <definedName name="ปากช่อง_Interchange" localSheetId="48">[15]Summary!#REF!</definedName>
    <definedName name="ปากช่อง_Interchange" localSheetId="49">[15]Summary!#REF!</definedName>
    <definedName name="ปากช่อง_Interchange" localSheetId="52">[15]Summary!#REF!</definedName>
    <definedName name="ปากช่อง_Interchange" localSheetId="40">[15]Summary!#REF!</definedName>
    <definedName name="ปากช่อง_Interchange" localSheetId="39">[15]Summary!#REF!</definedName>
    <definedName name="ปากช่อง_Interchange" localSheetId="38">[15]Summary!#REF!</definedName>
    <definedName name="ปากช่อง_Interchange" localSheetId="37">[15]Summary!#REF!</definedName>
    <definedName name="ปากช่อง_Interchange" localSheetId="57">[15]Summary!#REF!</definedName>
    <definedName name="ปากช่อง_Interchange" localSheetId="66">[15]Summary!#REF!</definedName>
    <definedName name="ปากช่อง_Interchange" localSheetId="67">[15]Summary!#REF!</definedName>
    <definedName name="ปากช่อง_Interchange" localSheetId="58">[15]Summary!#REF!</definedName>
    <definedName name="ปากช่อง_Interchange" localSheetId="59">[15]Summary!#REF!</definedName>
    <definedName name="ปากช่อง_Interchange" localSheetId="60">[15]Summary!#REF!</definedName>
    <definedName name="ปากช่อง_Interchange" localSheetId="61">[15]Summary!#REF!</definedName>
    <definedName name="ปากช่อง_Interchange" localSheetId="62">[15]Summary!#REF!</definedName>
    <definedName name="ปากช่อง_Interchange" localSheetId="63">[15]Summary!#REF!</definedName>
    <definedName name="ปากช่อง_Interchange" localSheetId="64">[15]Summary!#REF!</definedName>
    <definedName name="ปากช่อง_Interchange" localSheetId="65">[15]Summary!#REF!</definedName>
    <definedName name="ปากช่อง_Interchange" localSheetId="68">[15]Summary!#REF!</definedName>
    <definedName name="ปากช่อง_Interchange" localSheetId="56">[15]Summary!#REF!</definedName>
    <definedName name="ปากช่อง_Interchange" localSheetId="55">[15]Summary!#REF!</definedName>
    <definedName name="ปากช่อง_Interchange" localSheetId="54">[15]Summary!#REF!</definedName>
    <definedName name="ปากช่อง_Interchange" localSheetId="53">[15]Summary!#REF!</definedName>
    <definedName name="ปากช่อง_Interchange" localSheetId="85">[15]Summary!#REF!</definedName>
    <definedName name="ปากช่อง_Interchange" localSheetId="86">[15]Summary!#REF!</definedName>
    <definedName name="ปากช่อง_Interchange" localSheetId="2">[15]Summary!#REF!</definedName>
    <definedName name="ปากช่อง_Interchange">[15]Summary!#REF!</definedName>
    <definedName name="ปาล์มขวด" localSheetId="3">#REF!</definedName>
    <definedName name="ปาล์มขวด" localSheetId="4">#REF!</definedName>
    <definedName name="ปาล์มขวด" localSheetId="18">#REF!</definedName>
    <definedName name="ปาล์มขวด" localSheetId="19">#REF!</definedName>
    <definedName name="ปาล์มขวด" localSheetId="9">#REF!</definedName>
    <definedName name="ปาล์มขวด" localSheetId="10">#REF!</definedName>
    <definedName name="ปาล์มขวด" localSheetId="11">#REF!</definedName>
    <definedName name="ปาล์มขวด" localSheetId="12">#REF!</definedName>
    <definedName name="ปาล์มขวด" localSheetId="13">#REF!</definedName>
    <definedName name="ปาล์มขวด" localSheetId="14">#REF!</definedName>
    <definedName name="ปาล์มขวด" localSheetId="15">#REF!</definedName>
    <definedName name="ปาล์มขวด" localSheetId="16">#REF!</definedName>
    <definedName name="ปาล์มขวด" localSheetId="17">#REF!</definedName>
    <definedName name="ปาล์มขวด" localSheetId="8">#REF!</definedName>
    <definedName name="ปาล์มขวด" localSheetId="7">#REF!</definedName>
    <definedName name="ปาล์มขวด" localSheetId="6">#REF!</definedName>
    <definedName name="ปาล์มขวด" localSheetId="20">#REF!</definedName>
    <definedName name="ปาล์มขวด" localSheetId="5">#REF!</definedName>
    <definedName name="ปาล์มขวด" localSheetId="21">#REF!</definedName>
    <definedName name="ปาล์มขวด" localSheetId="34">#REF!</definedName>
    <definedName name="ปาล์มขวด" localSheetId="35">#REF!</definedName>
    <definedName name="ปาล์มขวด" localSheetId="25">#REF!</definedName>
    <definedName name="ปาล์มขวด" localSheetId="27">#REF!</definedName>
    <definedName name="ปาล์มขวด" localSheetId="28">#REF!</definedName>
    <definedName name="ปาล์มขวด" localSheetId="29">#REF!</definedName>
    <definedName name="ปาล์มขวด" localSheetId="31">#REF!</definedName>
    <definedName name="ปาล์มขวด" localSheetId="32">#REF!</definedName>
    <definedName name="ปาล์มขวด" localSheetId="33">#REF!</definedName>
    <definedName name="ปาล์มขวด" localSheetId="24">#REF!</definedName>
    <definedName name="ปาล์มขวด" localSheetId="23">#REF!</definedName>
    <definedName name="ปาล์มขวด" localSheetId="36">#REF!</definedName>
    <definedName name="ปาล์มขวด" localSheetId="22">#REF!</definedName>
    <definedName name="ปาล์มขวด" localSheetId="26">#REF!</definedName>
    <definedName name="ปาล์มขวด" localSheetId="30">#REF!</definedName>
    <definedName name="ปาล์มขวด" localSheetId="41">#REF!</definedName>
    <definedName name="ปาล์มขวด" localSheetId="50">#REF!</definedName>
    <definedName name="ปาล์มขวด" localSheetId="51">#REF!</definedName>
    <definedName name="ปาล์มขวด" localSheetId="42">#REF!</definedName>
    <definedName name="ปาล์มขวด" localSheetId="43">#REF!</definedName>
    <definedName name="ปาล์มขวด" localSheetId="44">#REF!</definedName>
    <definedName name="ปาล์มขวด" localSheetId="45">#REF!</definedName>
    <definedName name="ปาล์มขวด" localSheetId="46">#REF!</definedName>
    <definedName name="ปาล์มขวด" localSheetId="47">#REF!</definedName>
    <definedName name="ปาล์มขวด" localSheetId="48">#REF!</definedName>
    <definedName name="ปาล์มขวด" localSheetId="49">#REF!</definedName>
    <definedName name="ปาล์มขวด" localSheetId="52">#REF!</definedName>
    <definedName name="ปาล์มขวด" localSheetId="40">#REF!</definedName>
    <definedName name="ปาล์มขวด" localSheetId="39">#REF!</definedName>
    <definedName name="ปาล์มขวด" localSheetId="38">#REF!</definedName>
    <definedName name="ปาล์มขวด" localSheetId="37">#REF!</definedName>
    <definedName name="ปาล์มขวด" localSheetId="57">#REF!</definedName>
    <definedName name="ปาล์มขวด" localSheetId="66">#REF!</definedName>
    <definedName name="ปาล์มขวด" localSheetId="67">#REF!</definedName>
    <definedName name="ปาล์มขวด" localSheetId="58">#REF!</definedName>
    <definedName name="ปาล์มขวด" localSheetId="59">#REF!</definedName>
    <definedName name="ปาล์มขวด" localSheetId="60">#REF!</definedName>
    <definedName name="ปาล์มขวด" localSheetId="61">#REF!</definedName>
    <definedName name="ปาล์มขวด" localSheetId="62">#REF!</definedName>
    <definedName name="ปาล์มขวด" localSheetId="63">#REF!</definedName>
    <definedName name="ปาล์มขวด" localSheetId="64">#REF!</definedName>
    <definedName name="ปาล์มขวด" localSheetId="65">#REF!</definedName>
    <definedName name="ปาล์มขวด" localSheetId="68">#REF!</definedName>
    <definedName name="ปาล์มขวด" localSheetId="56">#REF!</definedName>
    <definedName name="ปาล์มขวด" localSheetId="55">#REF!</definedName>
    <definedName name="ปาล์มขวด" localSheetId="54">#REF!</definedName>
    <definedName name="ปาล์มขวด" localSheetId="53">#REF!</definedName>
    <definedName name="ปาล์มขวด" localSheetId="85">#REF!</definedName>
    <definedName name="ปาล์มขวด" localSheetId="86">#REF!</definedName>
    <definedName name="ปาล์มขวด" localSheetId="2">#REF!</definedName>
    <definedName name="ปาล์มขวด">#REF!</definedName>
    <definedName name="ปาล์มขวด_" localSheetId="3">'[45]หมวด 10'!#REF!</definedName>
    <definedName name="ปาล์มขวด_" localSheetId="18">'[45]หมวด 10'!#REF!</definedName>
    <definedName name="ปาล์มขวด_" localSheetId="19">'[45]หมวด 10'!#REF!</definedName>
    <definedName name="ปาล์มขวด_" localSheetId="9">'[45]หมวด 10'!#REF!</definedName>
    <definedName name="ปาล์มขวด_" localSheetId="10">'[45]หมวด 10'!#REF!</definedName>
    <definedName name="ปาล์มขวด_" localSheetId="11">'[45]หมวด 10'!#REF!</definedName>
    <definedName name="ปาล์มขวด_" localSheetId="12">'[45]หมวด 10'!#REF!</definedName>
    <definedName name="ปาล์มขวด_" localSheetId="13">'[45]หมวด 10'!#REF!</definedName>
    <definedName name="ปาล์มขวด_" localSheetId="14">'[45]หมวด 10'!#REF!</definedName>
    <definedName name="ปาล์มขวด_" localSheetId="15">'[45]หมวด 10'!#REF!</definedName>
    <definedName name="ปาล์มขวด_" localSheetId="16">'[45]หมวด 10'!#REF!</definedName>
    <definedName name="ปาล์มขวด_" localSheetId="17">'[45]หมวด 10'!#REF!</definedName>
    <definedName name="ปาล์มขวด_" localSheetId="8">'[45]หมวด 10'!#REF!</definedName>
    <definedName name="ปาล์มขวด_" localSheetId="7">'[45]หมวด 10'!#REF!</definedName>
    <definedName name="ปาล์มขวด_" localSheetId="6">'[45]หมวด 10'!#REF!</definedName>
    <definedName name="ปาล์มขวด_" localSheetId="20">'[45]หมวด 10'!#REF!</definedName>
    <definedName name="ปาล์มขวด_" localSheetId="5">'[45]หมวด 10'!#REF!</definedName>
    <definedName name="ปาล์มขวด_" localSheetId="21">'[45]หมวด 10'!#REF!</definedName>
    <definedName name="ปาล์มขวด_" localSheetId="34">'[45]หมวด 10'!#REF!</definedName>
    <definedName name="ปาล์มขวด_" localSheetId="35">'[45]หมวด 10'!#REF!</definedName>
    <definedName name="ปาล์มขวด_" localSheetId="25">'[45]หมวด 10'!#REF!</definedName>
    <definedName name="ปาล์มขวด_" localSheetId="27">'[45]หมวด 10'!#REF!</definedName>
    <definedName name="ปาล์มขวด_" localSheetId="28">'[45]หมวด 10'!#REF!</definedName>
    <definedName name="ปาล์มขวด_" localSheetId="29">'[45]หมวด 10'!#REF!</definedName>
    <definedName name="ปาล์มขวด_" localSheetId="31">'[45]หมวด 10'!#REF!</definedName>
    <definedName name="ปาล์มขวด_" localSheetId="32">'[45]หมวด 10'!#REF!</definedName>
    <definedName name="ปาล์มขวด_" localSheetId="33">'[45]หมวด 10'!#REF!</definedName>
    <definedName name="ปาล์มขวด_" localSheetId="24">'[45]หมวด 10'!#REF!</definedName>
    <definedName name="ปาล์มขวด_" localSheetId="23">'[45]หมวด 10'!#REF!</definedName>
    <definedName name="ปาล์มขวด_" localSheetId="36">'[45]หมวด 10'!#REF!</definedName>
    <definedName name="ปาล์มขวด_" localSheetId="22">'[45]หมวด 10'!#REF!</definedName>
    <definedName name="ปาล์มขวด_" localSheetId="26">'[45]หมวด 10'!#REF!</definedName>
    <definedName name="ปาล์มขวด_" localSheetId="30">'[45]หมวด 10'!#REF!</definedName>
    <definedName name="ปาล์มขวด_" localSheetId="41">'[45]หมวด 10'!#REF!</definedName>
    <definedName name="ปาล์มขวด_" localSheetId="50">'[45]หมวด 10'!#REF!</definedName>
    <definedName name="ปาล์มขวด_" localSheetId="51">'[45]หมวด 10'!#REF!</definedName>
    <definedName name="ปาล์มขวด_" localSheetId="42">'[45]หมวด 10'!#REF!</definedName>
    <definedName name="ปาล์มขวด_" localSheetId="43">'[45]หมวด 10'!#REF!</definedName>
    <definedName name="ปาล์มขวด_" localSheetId="44">'[45]หมวด 10'!#REF!</definedName>
    <definedName name="ปาล์มขวด_" localSheetId="45">'[45]หมวด 10'!#REF!</definedName>
    <definedName name="ปาล์มขวด_" localSheetId="46">'[45]หมวด 10'!#REF!</definedName>
    <definedName name="ปาล์มขวด_" localSheetId="47">'[45]หมวด 10'!#REF!</definedName>
    <definedName name="ปาล์มขวด_" localSheetId="48">'[45]หมวด 10'!#REF!</definedName>
    <definedName name="ปาล์มขวด_" localSheetId="49">'[45]หมวด 10'!#REF!</definedName>
    <definedName name="ปาล์มขวด_" localSheetId="52">'[45]หมวด 10'!#REF!</definedName>
    <definedName name="ปาล์มขวด_" localSheetId="40">'[45]หมวด 10'!#REF!</definedName>
    <definedName name="ปาล์มขวด_" localSheetId="39">'[45]หมวด 10'!#REF!</definedName>
    <definedName name="ปาล์มขวด_" localSheetId="38">'[45]หมวด 10'!#REF!</definedName>
    <definedName name="ปาล์มขวด_" localSheetId="37">'[45]หมวด 10'!#REF!</definedName>
    <definedName name="ปาล์มขวด_" localSheetId="57">'[45]หมวด 10'!#REF!</definedName>
    <definedName name="ปาล์มขวด_" localSheetId="66">'[45]หมวด 10'!#REF!</definedName>
    <definedName name="ปาล์มขวด_" localSheetId="67">'[45]หมวด 10'!#REF!</definedName>
    <definedName name="ปาล์มขวด_" localSheetId="58">'[45]หมวด 10'!#REF!</definedName>
    <definedName name="ปาล์มขวด_" localSheetId="59">'[45]หมวด 10'!#REF!</definedName>
    <definedName name="ปาล์มขวด_" localSheetId="60">'[45]หมวด 10'!#REF!</definedName>
    <definedName name="ปาล์มขวด_" localSheetId="61">'[45]หมวด 10'!#REF!</definedName>
    <definedName name="ปาล์มขวด_" localSheetId="62">'[45]หมวด 10'!#REF!</definedName>
    <definedName name="ปาล์มขวด_" localSheetId="63">'[45]หมวด 10'!#REF!</definedName>
    <definedName name="ปาล์มขวด_" localSheetId="64">'[45]หมวด 10'!#REF!</definedName>
    <definedName name="ปาล์มขวด_" localSheetId="65">'[45]หมวด 10'!#REF!</definedName>
    <definedName name="ปาล์มขวด_" localSheetId="68">'[45]หมวด 10'!#REF!</definedName>
    <definedName name="ปาล์มขวด_" localSheetId="56">'[45]หมวด 10'!#REF!</definedName>
    <definedName name="ปาล์มขวด_" localSheetId="55">'[45]หมวด 10'!#REF!</definedName>
    <definedName name="ปาล์มขวด_" localSheetId="54">'[45]หมวด 10'!#REF!</definedName>
    <definedName name="ปาล์มขวด_" localSheetId="53">'[45]หมวด 10'!#REF!</definedName>
    <definedName name="ปาล์มขวด_" localSheetId="85">'[45]หมวด 10'!#REF!</definedName>
    <definedName name="ปาล์มขวด_" localSheetId="86">'[45]หมวด 10'!#REF!</definedName>
    <definedName name="ปาล์มขวด_" localSheetId="2">'[45]หมวด 10'!#REF!</definedName>
    <definedName name="ปาล์มขวด_">'[45]หมวด 10'!#REF!</definedName>
    <definedName name="ปาล์มน้ำมัน" localSheetId="3">#REF!</definedName>
    <definedName name="ปาล์มน้ำมัน" localSheetId="4">#REF!</definedName>
    <definedName name="ปาล์มน้ำมัน" localSheetId="18">#REF!</definedName>
    <definedName name="ปาล์มน้ำมัน" localSheetId="19">#REF!</definedName>
    <definedName name="ปาล์มน้ำมัน" localSheetId="9">#REF!</definedName>
    <definedName name="ปาล์มน้ำมัน" localSheetId="10">#REF!</definedName>
    <definedName name="ปาล์มน้ำมัน" localSheetId="11">#REF!</definedName>
    <definedName name="ปาล์มน้ำมัน" localSheetId="12">#REF!</definedName>
    <definedName name="ปาล์มน้ำมัน" localSheetId="13">#REF!</definedName>
    <definedName name="ปาล์มน้ำมัน" localSheetId="14">#REF!</definedName>
    <definedName name="ปาล์มน้ำมัน" localSheetId="15">#REF!</definedName>
    <definedName name="ปาล์มน้ำมัน" localSheetId="16">#REF!</definedName>
    <definedName name="ปาล์มน้ำมัน" localSheetId="17">#REF!</definedName>
    <definedName name="ปาล์มน้ำมัน" localSheetId="8">#REF!</definedName>
    <definedName name="ปาล์มน้ำมัน" localSheetId="7">#REF!</definedName>
    <definedName name="ปาล์มน้ำมัน" localSheetId="6">#REF!</definedName>
    <definedName name="ปาล์มน้ำมัน" localSheetId="20">#REF!</definedName>
    <definedName name="ปาล์มน้ำมัน" localSheetId="5">#REF!</definedName>
    <definedName name="ปาล์มน้ำมัน" localSheetId="21">#REF!</definedName>
    <definedName name="ปาล์มน้ำมัน" localSheetId="34">#REF!</definedName>
    <definedName name="ปาล์มน้ำมัน" localSheetId="35">#REF!</definedName>
    <definedName name="ปาล์มน้ำมัน" localSheetId="25">#REF!</definedName>
    <definedName name="ปาล์มน้ำมัน" localSheetId="27">#REF!</definedName>
    <definedName name="ปาล์มน้ำมัน" localSheetId="28">#REF!</definedName>
    <definedName name="ปาล์มน้ำมัน" localSheetId="29">#REF!</definedName>
    <definedName name="ปาล์มน้ำมัน" localSheetId="31">#REF!</definedName>
    <definedName name="ปาล์มน้ำมัน" localSheetId="32">#REF!</definedName>
    <definedName name="ปาล์มน้ำมัน" localSheetId="33">#REF!</definedName>
    <definedName name="ปาล์มน้ำมัน" localSheetId="24">#REF!</definedName>
    <definedName name="ปาล์มน้ำมัน" localSheetId="23">#REF!</definedName>
    <definedName name="ปาล์มน้ำมัน" localSheetId="36">#REF!</definedName>
    <definedName name="ปาล์มน้ำมัน" localSheetId="22">#REF!</definedName>
    <definedName name="ปาล์มน้ำมัน" localSheetId="26">#REF!</definedName>
    <definedName name="ปาล์มน้ำมัน" localSheetId="30">#REF!</definedName>
    <definedName name="ปาล์มน้ำมัน" localSheetId="41">#REF!</definedName>
    <definedName name="ปาล์มน้ำมัน" localSheetId="50">#REF!</definedName>
    <definedName name="ปาล์มน้ำมัน" localSheetId="51">#REF!</definedName>
    <definedName name="ปาล์มน้ำมัน" localSheetId="42">#REF!</definedName>
    <definedName name="ปาล์มน้ำมัน" localSheetId="43">#REF!</definedName>
    <definedName name="ปาล์มน้ำมัน" localSheetId="44">#REF!</definedName>
    <definedName name="ปาล์มน้ำมัน" localSheetId="45">#REF!</definedName>
    <definedName name="ปาล์มน้ำมัน" localSheetId="46">#REF!</definedName>
    <definedName name="ปาล์มน้ำมัน" localSheetId="47">#REF!</definedName>
    <definedName name="ปาล์มน้ำมัน" localSheetId="48">#REF!</definedName>
    <definedName name="ปาล์มน้ำมัน" localSheetId="49">#REF!</definedName>
    <definedName name="ปาล์มน้ำมัน" localSheetId="52">#REF!</definedName>
    <definedName name="ปาล์มน้ำมัน" localSheetId="40">#REF!</definedName>
    <definedName name="ปาล์มน้ำมัน" localSheetId="39">#REF!</definedName>
    <definedName name="ปาล์มน้ำมัน" localSheetId="38">#REF!</definedName>
    <definedName name="ปาล์มน้ำมัน" localSheetId="37">#REF!</definedName>
    <definedName name="ปาล์มน้ำมัน" localSheetId="57">#REF!</definedName>
    <definedName name="ปาล์มน้ำมัน" localSheetId="66">#REF!</definedName>
    <definedName name="ปาล์มน้ำมัน" localSheetId="67">#REF!</definedName>
    <definedName name="ปาล์มน้ำมัน" localSheetId="58">#REF!</definedName>
    <definedName name="ปาล์มน้ำมัน" localSheetId="59">#REF!</definedName>
    <definedName name="ปาล์มน้ำมัน" localSheetId="60">#REF!</definedName>
    <definedName name="ปาล์มน้ำมัน" localSheetId="61">#REF!</definedName>
    <definedName name="ปาล์มน้ำมัน" localSheetId="62">#REF!</definedName>
    <definedName name="ปาล์มน้ำมัน" localSheetId="63">#REF!</definedName>
    <definedName name="ปาล์มน้ำมัน" localSheetId="64">#REF!</definedName>
    <definedName name="ปาล์มน้ำมัน" localSheetId="65">#REF!</definedName>
    <definedName name="ปาล์มน้ำมัน" localSheetId="68">#REF!</definedName>
    <definedName name="ปาล์มน้ำมัน" localSheetId="56">#REF!</definedName>
    <definedName name="ปาล์มน้ำมัน" localSheetId="55">#REF!</definedName>
    <definedName name="ปาล์มน้ำมัน" localSheetId="54">#REF!</definedName>
    <definedName name="ปาล์มน้ำมัน" localSheetId="69">#REF!</definedName>
    <definedName name="ปาล์มน้ำมัน" localSheetId="53">#REF!</definedName>
    <definedName name="ปาล์มน้ำมัน" localSheetId="85">#REF!</definedName>
    <definedName name="ปาล์มน้ำมัน" localSheetId="86">#REF!</definedName>
    <definedName name="ปาล์มน้ำมัน" localSheetId="2">#REF!</definedName>
    <definedName name="ปาล์มน้ำมัน">#REF!</definedName>
    <definedName name="ปาล์มฟ๊อกเทล" localSheetId="3">#REF!</definedName>
    <definedName name="ปาล์มฟ๊อกเทล" localSheetId="4">#REF!</definedName>
    <definedName name="ปาล์มฟ๊อกเทล" localSheetId="18">#REF!</definedName>
    <definedName name="ปาล์มฟ๊อกเทล" localSheetId="19">#REF!</definedName>
    <definedName name="ปาล์มฟ๊อกเทล" localSheetId="9">#REF!</definedName>
    <definedName name="ปาล์มฟ๊อกเทล" localSheetId="10">#REF!</definedName>
    <definedName name="ปาล์มฟ๊อกเทล" localSheetId="11">#REF!</definedName>
    <definedName name="ปาล์มฟ๊อกเทล" localSheetId="12">#REF!</definedName>
    <definedName name="ปาล์มฟ๊อกเทล" localSheetId="13">#REF!</definedName>
    <definedName name="ปาล์มฟ๊อกเทล" localSheetId="14">#REF!</definedName>
    <definedName name="ปาล์มฟ๊อกเทล" localSheetId="15">#REF!</definedName>
    <definedName name="ปาล์มฟ๊อกเทล" localSheetId="16">#REF!</definedName>
    <definedName name="ปาล์มฟ๊อกเทล" localSheetId="17">#REF!</definedName>
    <definedName name="ปาล์มฟ๊อกเทล" localSheetId="8">#REF!</definedName>
    <definedName name="ปาล์มฟ๊อกเทล" localSheetId="7">#REF!</definedName>
    <definedName name="ปาล์มฟ๊อกเทล" localSheetId="6">#REF!</definedName>
    <definedName name="ปาล์มฟ๊อกเทล" localSheetId="20">#REF!</definedName>
    <definedName name="ปาล์มฟ๊อกเทล" localSheetId="5">#REF!</definedName>
    <definedName name="ปาล์มฟ๊อกเทล" localSheetId="21">#REF!</definedName>
    <definedName name="ปาล์มฟ๊อกเทล" localSheetId="34">#REF!</definedName>
    <definedName name="ปาล์มฟ๊อกเทล" localSheetId="35">#REF!</definedName>
    <definedName name="ปาล์มฟ๊อกเทล" localSheetId="25">#REF!</definedName>
    <definedName name="ปาล์มฟ๊อกเทล" localSheetId="27">#REF!</definedName>
    <definedName name="ปาล์มฟ๊อกเทล" localSheetId="28">#REF!</definedName>
    <definedName name="ปาล์มฟ๊อกเทล" localSheetId="29">#REF!</definedName>
    <definedName name="ปาล์มฟ๊อกเทล" localSheetId="31">#REF!</definedName>
    <definedName name="ปาล์มฟ๊อกเทล" localSheetId="32">#REF!</definedName>
    <definedName name="ปาล์มฟ๊อกเทล" localSheetId="33">#REF!</definedName>
    <definedName name="ปาล์มฟ๊อกเทล" localSheetId="24">#REF!</definedName>
    <definedName name="ปาล์มฟ๊อกเทล" localSheetId="23">#REF!</definedName>
    <definedName name="ปาล์มฟ๊อกเทล" localSheetId="36">#REF!</definedName>
    <definedName name="ปาล์มฟ๊อกเทล" localSheetId="22">#REF!</definedName>
    <definedName name="ปาล์มฟ๊อกเทล" localSheetId="26">#REF!</definedName>
    <definedName name="ปาล์มฟ๊อกเทล" localSheetId="30">#REF!</definedName>
    <definedName name="ปาล์มฟ๊อกเทล" localSheetId="85">#REF!</definedName>
    <definedName name="ปาล์มฟ๊อกเทล" localSheetId="86">#REF!</definedName>
    <definedName name="ปาล์มฟ๊อกเทล" localSheetId="2">#REF!</definedName>
    <definedName name="ปาล์มฟ๊อกเทล">#REF!</definedName>
    <definedName name="ปาล์มยักษ์" localSheetId="3">#REF!</definedName>
    <definedName name="ปาล์มยักษ์" localSheetId="4">#REF!</definedName>
    <definedName name="ปาล์มยักษ์" localSheetId="85">#REF!</definedName>
    <definedName name="ปาล์มยักษ์" localSheetId="86">#REF!</definedName>
    <definedName name="ปาล์มยักษ์" localSheetId="2">#REF!</definedName>
    <definedName name="ปาล์มยักษ์">#REF!</definedName>
    <definedName name="ปาล์มสิบสองปันนา" localSheetId="3">#REF!</definedName>
    <definedName name="ปาล์มสิบสองปันนา" localSheetId="2">#REF!</definedName>
    <definedName name="ปาล์มสิบสองปันนา">#REF!</definedName>
    <definedName name="ปาล์มสิบสองปันนา_" localSheetId="3">'[45]หมวด 10'!#REF!</definedName>
    <definedName name="ปาล์มสิบสองปันนา_" localSheetId="2">'[45]หมวด 10'!#REF!</definedName>
    <definedName name="ปาล์มสิบสองปันนา_">'[45]หมวด 10'!#REF!</definedName>
    <definedName name="ปูนขาว" localSheetId="3">#REF!</definedName>
    <definedName name="ปูนขาว" localSheetId="4">#REF!</definedName>
    <definedName name="ปูนขาว" localSheetId="18">#REF!</definedName>
    <definedName name="ปูนขาว" localSheetId="19">#REF!</definedName>
    <definedName name="ปูนขาว" localSheetId="9">#REF!</definedName>
    <definedName name="ปูนขาว" localSheetId="10">#REF!</definedName>
    <definedName name="ปูนขาว" localSheetId="11">#REF!</definedName>
    <definedName name="ปูนขาว" localSheetId="12">#REF!</definedName>
    <definedName name="ปูนขาว" localSheetId="13">#REF!</definedName>
    <definedName name="ปูนขาว" localSheetId="14">#REF!</definedName>
    <definedName name="ปูนขาว" localSheetId="15">#REF!</definedName>
    <definedName name="ปูนขาว" localSheetId="16">#REF!</definedName>
    <definedName name="ปูนขาว" localSheetId="17">#REF!</definedName>
    <definedName name="ปูนขาว" localSheetId="8">#REF!</definedName>
    <definedName name="ปูนขาว" localSheetId="7">#REF!</definedName>
    <definedName name="ปูนขาว" localSheetId="6">#REF!</definedName>
    <definedName name="ปูนขาว" localSheetId="20">#REF!</definedName>
    <definedName name="ปูนขาว" localSheetId="5">#REF!</definedName>
    <definedName name="ปูนขาว" localSheetId="21">#REF!</definedName>
    <definedName name="ปูนขาว" localSheetId="34">#REF!</definedName>
    <definedName name="ปูนขาว" localSheetId="35">#REF!</definedName>
    <definedName name="ปูนขาว" localSheetId="25">#REF!</definedName>
    <definedName name="ปูนขาว" localSheetId="27">#REF!</definedName>
    <definedName name="ปูนขาว" localSheetId="28">#REF!</definedName>
    <definedName name="ปูนขาว" localSheetId="29">#REF!</definedName>
    <definedName name="ปูนขาว" localSheetId="31">#REF!</definedName>
    <definedName name="ปูนขาว" localSheetId="32">#REF!</definedName>
    <definedName name="ปูนขาว" localSheetId="33">#REF!</definedName>
    <definedName name="ปูนขาว" localSheetId="24">#REF!</definedName>
    <definedName name="ปูนขาว" localSheetId="23">#REF!</definedName>
    <definedName name="ปูนขาว" localSheetId="36">#REF!</definedName>
    <definedName name="ปูนขาว" localSheetId="22">#REF!</definedName>
    <definedName name="ปูนขาว" localSheetId="26">#REF!</definedName>
    <definedName name="ปูนขาว" localSheetId="30">#REF!</definedName>
    <definedName name="ปูนขาว" localSheetId="41">#REF!</definedName>
    <definedName name="ปูนขาว" localSheetId="50">#REF!</definedName>
    <definedName name="ปูนขาว" localSheetId="51">#REF!</definedName>
    <definedName name="ปูนขาว" localSheetId="42">#REF!</definedName>
    <definedName name="ปูนขาว" localSheetId="43">#REF!</definedName>
    <definedName name="ปูนขาว" localSheetId="44">#REF!</definedName>
    <definedName name="ปูนขาว" localSheetId="45">#REF!</definedName>
    <definedName name="ปูนขาว" localSheetId="46">#REF!</definedName>
    <definedName name="ปูนขาว" localSheetId="47">#REF!</definedName>
    <definedName name="ปูนขาว" localSheetId="48">#REF!</definedName>
    <definedName name="ปูนขาว" localSheetId="49">#REF!</definedName>
    <definedName name="ปูนขาว" localSheetId="52">#REF!</definedName>
    <definedName name="ปูนขาว" localSheetId="40">#REF!</definedName>
    <definedName name="ปูนขาว" localSheetId="39">#REF!</definedName>
    <definedName name="ปูนขาว" localSheetId="38">#REF!</definedName>
    <definedName name="ปูนขาว" localSheetId="37">#REF!</definedName>
    <definedName name="ปูนขาว" localSheetId="57">#REF!</definedName>
    <definedName name="ปูนขาว" localSheetId="66">#REF!</definedName>
    <definedName name="ปูนขาว" localSheetId="67">#REF!</definedName>
    <definedName name="ปูนขาว" localSheetId="58">#REF!</definedName>
    <definedName name="ปูนขาว" localSheetId="59">#REF!</definedName>
    <definedName name="ปูนขาว" localSheetId="60">#REF!</definedName>
    <definedName name="ปูนขาว" localSheetId="61">#REF!</definedName>
    <definedName name="ปูนขาว" localSheetId="62">#REF!</definedName>
    <definedName name="ปูนขาว" localSheetId="63">#REF!</definedName>
    <definedName name="ปูนขาว" localSheetId="64">#REF!</definedName>
    <definedName name="ปูนขาว" localSheetId="65">#REF!</definedName>
    <definedName name="ปูนขาว" localSheetId="68">#REF!</definedName>
    <definedName name="ปูนขาว" localSheetId="56">#REF!</definedName>
    <definedName name="ปูนขาว" localSheetId="55">#REF!</definedName>
    <definedName name="ปูนขาว" localSheetId="54">#REF!</definedName>
    <definedName name="ปูนขาว" localSheetId="69">#REF!</definedName>
    <definedName name="ปูนขาว" localSheetId="53">#REF!</definedName>
    <definedName name="ปูนขาว" localSheetId="85">#REF!</definedName>
    <definedName name="ปูนขาว" localSheetId="86">#REF!</definedName>
    <definedName name="ปูนขาว" localSheetId="2">#REF!</definedName>
    <definedName name="ปูนขาว">#REF!</definedName>
    <definedName name="ปูนขาวไม่รวมขนส่ง" localSheetId="3">#REF!</definedName>
    <definedName name="ปูนขาวไม่รวมขนส่ง" localSheetId="4">#REF!</definedName>
    <definedName name="ปูนขาวไม่รวมขนส่ง" localSheetId="18">#REF!</definedName>
    <definedName name="ปูนขาวไม่รวมขนส่ง" localSheetId="19">#REF!</definedName>
    <definedName name="ปูนขาวไม่รวมขนส่ง" localSheetId="9">#REF!</definedName>
    <definedName name="ปูนขาวไม่รวมขนส่ง" localSheetId="10">#REF!</definedName>
    <definedName name="ปูนขาวไม่รวมขนส่ง" localSheetId="11">#REF!</definedName>
    <definedName name="ปูนขาวไม่รวมขนส่ง" localSheetId="12">#REF!</definedName>
    <definedName name="ปูนขาวไม่รวมขนส่ง" localSheetId="13">#REF!</definedName>
    <definedName name="ปูนขาวไม่รวมขนส่ง" localSheetId="14">#REF!</definedName>
    <definedName name="ปูนขาวไม่รวมขนส่ง" localSheetId="15">#REF!</definedName>
    <definedName name="ปูนขาวไม่รวมขนส่ง" localSheetId="16">#REF!</definedName>
    <definedName name="ปูนขาวไม่รวมขนส่ง" localSheetId="17">#REF!</definedName>
    <definedName name="ปูนขาวไม่รวมขนส่ง" localSheetId="8">#REF!</definedName>
    <definedName name="ปูนขาวไม่รวมขนส่ง" localSheetId="7">#REF!</definedName>
    <definedName name="ปูนขาวไม่รวมขนส่ง" localSheetId="6">#REF!</definedName>
    <definedName name="ปูนขาวไม่รวมขนส่ง" localSheetId="20">#REF!</definedName>
    <definedName name="ปูนขาวไม่รวมขนส่ง" localSheetId="5">#REF!</definedName>
    <definedName name="ปูนขาวไม่รวมขนส่ง" localSheetId="21">#REF!</definedName>
    <definedName name="ปูนขาวไม่รวมขนส่ง" localSheetId="34">#REF!</definedName>
    <definedName name="ปูนขาวไม่รวมขนส่ง" localSheetId="35">#REF!</definedName>
    <definedName name="ปูนขาวไม่รวมขนส่ง" localSheetId="25">#REF!</definedName>
    <definedName name="ปูนขาวไม่รวมขนส่ง" localSheetId="27">#REF!</definedName>
    <definedName name="ปูนขาวไม่รวมขนส่ง" localSheetId="28">#REF!</definedName>
    <definedName name="ปูนขาวไม่รวมขนส่ง" localSheetId="29">#REF!</definedName>
    <definedName name="ปูนขาวไม่รวมขนส่ง" localSheetId="31">#REF!</definedName>
    <definedName name="ปูนขาวไม่รวมขนส่ง" localSheetId="32">#REF!</definedName>
    <definedName name="ปูนขาวไม่รวมขนส่ง" localSheetId="33">#REF!</definedName>
    <definedName name="ปูนขาวไม่รวมขนส่ง" localSheetId="24">#REF!</definedName>
    <definedName name="ปูนขาวไม่รวมขนส่ง" localSheetId="23">#REF!</definedName>
    <definedName name="ปูนขาวไม่รวมขนส่ง" localSheetId="36">#REF!</definedName>
    <definedName name="ปูนขาวไม่รวมขนส่ง" localSheetId="22">#REF!</definedName>
    <definedName name="ปูนขาวไม่รวมขนส่ง" localSheetId="26">#REF!</definedName>
    <definedName name="ปูนขาวไม่รวมขนส่ง" localSheetId="30">#REF!</definedName>
    <definedName name="ปูนขาวไม่รวมขนส่ง" localSheetId="85">#REF!</definedName>
    <definedName name="ปูนขาวไม่รวมขนส่ง" localSheetId="86">#REF!</definedName>
    <definedName name="ปูนขาวไม่รวมขนส่ง" localSheetId="2">#REF!</definedName>
    <definedName name="ปูนขาวไม่รวมขนส่ง">#REF!</definedName>
    <definedName name="ปูนซีเมนต์ผสม" localSheetId="3">#REF!</definedName>
    <definedName name="ปูนซีเมนต์ผสม" localSheetId="4">#REF!</definedName>
    <definedName name="ปูนซีเมนต์ผสม" localSheetId="85">#REF!</definedName>
    <definedName name="ปูนซีเมนต์ผสม" localSheetId="86">#REF!</definedName>
    <definedName name="ปูนซีเมนต์ผสม" localSheetId="2">#REF!</definedName>
    <definedName name="ปูนซีเมนต์ผสม">#REF!</definedName>
    <definedName name="ปูนซีเมนต์ผสมไม่รวมขนส่ง" localSheetId="3">#REF!</definedName>
    <definedName name="ปูนซีเมนต์ผสมไม่รวมขนส่ง" localSheetId="2">#REF!</definedName>
    <definedName name="ปูนซีเมนต์ผสมไม่รวมขนส่ง">#REF!</definedName>
    <definedName name="ปูนทรายผนังหนา1.5ซม." localSheetId="3">#REF!</definedName>
    <definedName name="ปูนทรายผนังหนา1.5ซม." localSheetId="2">#REF!</definedName>
    <definedName name="ปูนทรายผนังหนา1.5ซม.">#REF!</definedName>
    <definedName name="ปูนทรายพื้นผิวขัดมันผสมกันซึม" localSheetId="3">#REF!</definedName>
    <definedName name="ปูนทรายพื้นผิวขัดมันผสมกันซึม" localSheetId="2">#REF!</definedName>
    <definedName name="ปูนทรายพื้นผิวขัดมันผสมกันซึม">#REF!</definedName>
    <definedName name="ปูนทรายพื้นผิวซีเมนต์ขัดมัน" localSheetId="3">#REF!</definedName>
    <definedName name="ปูนทรายพื้นผิวซีเมนต์ขัดมัน" localSheetId="2">#REF!</definedName>
    <definedName name="ปูนทรายพื้นผิวซีเมนต์ขัดมัน">#REF!</definedName>
    <definedName name="ปูนทรายรองพื้น3ซม." localSheetId="3">#REF!</definedName>
    <definedName name="ปูนทรายรองพื้น3ซม." localSheetId="2">#REF!</definedName>
    <definedName name="ปูนทรายรองพื้น3ซม.">#REF!</definedName>
    <definedName name="ปูนผสม" localSheetId="3">#REF!</definedName>
    <definedName name="ปูนผสม" localSheetId="2">#REF!</definedName>
    <definedName name="ปูนผสม">#REF!</definedName>
    <definedName name="ปูนผสมไม่รวมขนส่ง" localSheetId="3">#REF!</definedName>
    <definedName name="ปูนผสมไม่รวมขนส่ง" localSheetId="2">#REF!</definedName>
    <definedName name="ปูนผสมไม่รวมขนส่ง">#REF!</definedName>
    <definedName name="ผ" localSheetId="3">#REF!</definedName>
    <definedName name="ผ" localSheetId="2">#REF!</definedName>
    <definedName name="ผ">#REF!</definedName>
    <definedName name="ผนังแกรนิตดำไทย" localSheetId="3">#REF!</definedName>
    <definedName name="ผนังแกรนิตดำไทย" localSheetId="2">#REF!</definedName>
    <definedName name="ผนังแกรนิตดำไทย">#REF!</definedName>
    <definedName name="ผนังกรุแกรนิตโต้สีครีม12x24นิ้ว" localSheetId="3">#REF!</definedName>
    <definedName name="ผนังกรุแกรนิตโต้สีครีม12x24นิ้ว" localSheetId="2">#REF!</definedName>
    <definedName name="ผนังกรุแกรนิตโต้สีครีม12x24นิ้ว">#REF!</definedName>
    <definedName name="ผนังกรุไม้ฝา3นิ้วx8นิ้วx4ม.ตีชิดโครงทางตั้ง" localSheetId="3">#REF!</definedName>
    <definedName name="ผนังกรุไม้ฝา3นิ้วx8นิ้วx4ม.ตีชิดโครงทางตั้ง" localSheetId="2">#REF!</definedName>
    <definedName name="ผนังกรุไม้ฝา3นิ้วx8นิ้วx4ม.ตีชิดโครงทางตั้ง">#REF!</definedName>
    <definedName name="ผนังกรุไม้อัดซีเมนต์ภายนอกโครงเคร่าเหล็กชุบสังกะสีพร้อมติดตั้ง" localSheetId="3">#REF!</definedName>
    <definedName name="ผนังกรุไม้อัดซีเมนต์ภายนอกโครงเคร่าเหล็กชุบสังกะสีพร้อมติดตั้ง" localSheetId="2">#REF!</definedName>
    <definedName name="ผนังกรุไม้อัดซีเมนต์ภายนอกโครงเคร่าเหล็กชุบสังกะสีพร้อมติดตั้ง">#REF!</definedName>
    <definedName name="ผนังกรุกระเบื้องเซรามิค12x12นิ้วกาวซีเมนต์" localSheetId="3">#REF!</definedName>
    <definedName name="ผนังกรุกระเบื้องเซรามิค12x12นิ้วกาวซีเมนต์" localSheetId="2">#REF!</definedName>
    <definedName name="ผนังกรุกระเบื้องเซรามิค12x12นิ้วกาวซีเมนต์">#REF!</definedName>
    <definedName name="ผนังกรุกระเบื้องเซรามิค8x8นิ้ว" localSheetId="3">#REF!</definedName>
    <definedName name="ผนังกรุกระเบื้องเซรามิค8x8นิ้ว" localSheetId="2">#REF!</definedName>
    <definedName name="ผนังกรุกระเบื้องเซรามิค8x8นิ้ว">#REF!</definedName>
    <definedName name="ผนังกรุกระเบื้องเซรามิคสีเรียบ12x12นิ้ว" localSheetId="3">#REF!</definedName>
    <definedName name="ผนังกรุกระเบื้องเซรามิคสีเรียบ12x12นิ้ว" localSheetId="2">#REF!</definedName>
    <definedName name="ผนังกรุกระเบื้องเซรามิคสีเรียบ12x12นิ้ว">#REF!</definedName>
    <definedName name="ผนังกรุหินกาบ8x8นิ้ว" localSheetId="3">#REF!</definedName>
    <definedName name="ผนังกรุหินกาบ8x8นิ้ว" localSheetId="2">#REF!</definedName>
    <definedName name="ผนังกรุหินกาบ8x8นิ้ว">#REF!</definedName>
    <definedName name="ผนังกรุหินกาบผสมสี8x8นิ้ว" localSheetId="3">#REF!</definedName>
    <definedName name="ผนังกรุหินกาบผสมสี8x8นิ้ว" localSheetId="2">#REF!</definedName>
    <definedName name="ผนังกรุหินกาบผสมสี8x8นิ้ว">#REF!</definedName>
    <definedName name="ผนังกรุหินทราย4x12นิ้ว" localSheetId="3">#REF!</definedName>
    <definedName name="ผนังกรุหินทราย4x12นิ้ว" localSheetId="2">#REF!</definedName>
    <definedName name="ผนังกรุหินทราย4x12นิ้ว">#REF!</definedName>
    <definedName name="ผนังกรุหินทรายโมเสก" localSheetId="3">#REF!</definedName>
    <definedName name="ผนังกรุหินทรายโมเสก" localSheetId="2">#REF!</definedName>
    <definedName name="ผนังกรุหินทรายโมเสก">#REF!</definedName>
    <definedName name="ผนังฉาบเรียบเซาะร่อง" localSheetId="3">#REF!</definedName>
    <definedName name="ผนังฉาบเรียบเซาะร่อง" localSheetId="2">#REF!</definedName>
    <definedName name="ผนังฉาบเรียบเซาะร่อง">#REF!</definedName>
    <definedName name="ผนังฉาบผิวเรียบ" localSheetId="3">#REF!</definedName>
    <definedName name="ผนังฉาบผิวเรียบ" localSheetId="2">#REF!</definedName>
    <definedName name="ผนังฉาบผิวเรียบ">#REF!</definedName>
    <definedName name="ผนังฉาบผิวเรียบขัดมัน" localSheetId="3">#REF!</definedName>
    <definedName name="ผนังฉาบผิวเรียบขัดมัน" localSheetId="2">#REF!</definedName>
    <definedName name="ผนังฉาบผิวเรียบขัดมัน">#REF!</definedName>
    <definedName name="ผนังฉาบผิวเรียบขัดมันกันซึม" localSheetId="3">#REF!</definedName>
    <definedName name="ผนังฉาบผิวเรียบขัดมันกันซึม" localSheetId="2">#REF!</definedName>
    <definedName name="ผนังฉาบผิวเรียบขัดมันกันซึม">#REF!</definedName>
    <definedName name="ผนังผิวกรวดล้าง" localSheetId="3">#REF!</definedName>
    <definedName name="ผนังผิวกรวดล้าง" localSheetId="2">#REF!</definedName>
    <definedName name="ผนังผิวกรวดล้าง">#REF!</definedName>
    <definedName name="ผนังผิวทรายล้าง" localSheetId="3">#REF!</definedName>
    <definedName name="ผนังผิวทรายล้าง" localSheetId="2">#REF!</definedName>
    <definedName name="ผนังผิวทรายล้าง">#REF!</definedName>
    <definedName name="ผนังยิปซั่มบอร์ดลดเสียงสะท้อนโครงเหล็กชุบสังกะสีพร้อมติดตั้ง" localSheetId="3">#REF!</definedName>
    <definedName name="ผนังยิปซั่มบอร์ดลดเสียงสะท้อนโครงเหล็กชุบสังกะสีพร้อมติดตั้ง" localSheetId="2">#REF!</definedName>
    <definedName name="ผนังยิปซั่มบอร์ดลดเสียงสะท้อนโครงเหล็กชุบสังกะสีพร้อมติดตั้ง">#REF!</definedName>
    <definedName name="ผสมหินคลุก_งานพื้นทาง" localSheetId="3">#REF!</definedName>
    <definedName name="ผสมหินคลุก_งานพื้นทาง" localSheetId="2">#REF!</definedName>
    <definedName name="ผสมหินคลุก_งานพื้นทาง">#REF!</definedName>
    <definedName name="ผักบุ้งทะเล" localSheetId="3">#REF!</definedName>
    <definedName name="ผักบุ้งทะเล" localSheetId="2">#REF!</definedName>
    <definedName name="ผักบุ้งทะเล">#REF!</definedName>
    <definedName name="ฝ้าฉาบเรียบท้องพื้น" localSheetId="3">#REF!</definedName>
    <definedName name="ฝ้าฉาบเรียบท้องพื้น" localSheetId="2">#REF!</definedName>
    <definedName name="ฝ้าฉาบเรียบท้องพื้น">#REF!</definedName>
    <definedName name="ฝ้ายิปซั่ม9มม.โครงเคร่าเหล็กชุบรวมค่าแรง" localSheetId="3">#REF!</definedName>
    <definedName name="ฝ้ายิปซั่ม9มม.โครงเคร่าเหล็กชุบรวมค่าแรง" localSheetId="2">#REF!</definedName>
    <definedName name="ฝ้ายิปซั่ม9มม.โครงเคร่าเหล็กชุบรวมค่าแรง">#REF!</definedName>
    <definedName name="ฝ้ายิปซั่มกันชื้นหนา9มม.โครงเคร่าเหล็กชุบสังกะสีรวมค่าแรง" localSheetId="3">#REF!</definedName>
    <definedName name="ฝ้ายิปซั่มกันชื้นหนา9มม.โครงเคร่าเหล็กชุบสังกะสีรวมค่าแรง" localSheetId="2">#REF!</definedName>
    <definedName name="ฝ้ายิปซั่มกันชื้นหนา9มม.โครงเคร่าเหล็กชุบสังกะสีรวมค่าแรง">#REF!</definedName>
    <definedName name="ฝ้ายิปซัมหนา9มม.ดัดโค้งโครงเคร่าเหล็กชุบสังกะสีรวมค่าแรง" localSheetId="3">#REF!</definedName>
    <definedName name="ฝ้ายิปซัมหนา9มม.ดัดโค้งโครงเคร่าเหล็กชุบสังกะสีรวมค่าแรง" localSheetId="2">#REF!</definedName>
    <definedName name="ฝ้ายิปซัมหนา9มม.ดัดโค้งโครงเคร่าเหล็กชุบสังกะสีรวมค่าแรง">#REF!</definedName>
    <definedName name="พลับพลึงตีนเป็ด" localSheetId="3">#REF!</definedName>
    <definedName name="พลับพลึงตีนเป็ด" localSheetId="2">#REF!</definedName>
    <definedName name="พลับพลึงตีนเป็ด">#REF!</definedName>
    <definedName name="พลับพลึงหางหนู" localSheetId="3">#REF!</definedName>
    <definedName name="พลับพลึงหางหนู" localSheetId="2">#REF!</definedName>
    <definedName name="พลับพลึงหางหนู">#REF!</definedName>
    <definedName name="พลาสติก_0.07" localSheetId="3">#REF!</definedName>
    <definedName name="พลาสติก_0.07" localSheetId="2">#REF!</definedName>
    <definedName name="พลาสติก_0.07">#REF!</definedName>
    <definedName name="พลาสติก_0.10" localSheetId="3">#REF!</definedName>
    <definedName name="พลาสติก_0.10" localSheetId="2">#REF!</definedName>
    <definedName name="พลาสติก_0.10">#REF!</definedName>
    <definedName name="พลาสติก_0.15" localSheetId="3">#REF!</definedName>
    <definedName name="พลาสติก_0.15" localSheetId="2">#REF!</definedName>
    <definedName name="พลาสติก_0.15">#REF!</definedName>
    <definedName name="พลูฉลุ" localSheetId="3">#REF!</definedName>
    <definedName name="พลูฉลุ" localSheetId="2">#REF!</definedName>
    <definedName name="พลูฉลุ">#REF!</definedName>
    <definedName name="พื้นแกรนิตโต้สีครีม12x12นิ้ว" localSheetId="3">#REF!</definedName>
    <definedName name="พื้นแกรนิตโต้สีครีม12x12นิ้ว" localSheetId="2">#REF!</definedName>
    <definedName name="พื้นแกรนิตโต้สีครีม12x12นิ้ว">#REF!</definedName>
    <definedName name="พื้นแกรนิตดำไทยขัดด้าน0.30x0.30ม.หนา2ซม." localSheetId="3">#REF!</definedName>
    <definedName name="พื้นแกรนิตดำไทยขัดด้าน0.30x0.30ม.หนา2ซม." localSheetId="2">#REF!</definedName>
    <definedName name="พื้นแกรนิตดำไทยขัดด้าน0.30x0.30ม.หนา2ซม.">#REF!</definedName>
    <definedName name="พื้นแกรนิตดำไทยขัดมัน0.30x0.30ม.หนา2ซม." localSheetId="3">#REF!</definedName>
    <definedName name="พื้นแกรนิตดำไทยขัดมัน0.30x0.30ม.หนา2ซม." localSheetId="2">#REF!</definedName>
    <definedName name="พื้นแกรนิตดำไทยขัดมัน0.30x0.30ม.หนา2ซม.">#REF!</definedName>
    <definedName name="พื้นแกรนิตดำไทยผิวด้าน0.60x1.20ม.หนา2ซม." localSheetId="3">#REF!</definedName>
    <definedName name="พื้นแกรนิตดำไทยผิวด้าน0.60x1.20ม.หนา2ซม." localSheetId="2">#REF!</definedName>
    <definedName name="พื้นแกรนิตดำไทยผิวด้าน0.60x1.20ม.หนา2ซม.">#REF!</definedName>
    <definedName name="พื้นไฟเบอร์ซีเมนต์หนา15มม.บนตงไม้และปูทับด้วยไม้สำเร็จรูปหนา1นิ้ว" localSheetId="3">#REF!</definedName>
    <definedName name="พื้นไฟเบอร์ซีเมนต์หนา15มม.บนตงไม้และปูทับด้วยไม้สำเร็จรูปหนา1นิ้ว" localSheetId="2">#REF!</definedName>
    <definedName name="พื้นไฟเบอร์ซีเมนต์หนา15มม.บนตงไม้และปูทับด้วยไม้สำเร็จรูปหนา1นิ้ว">#REF!</definedName>
    <definedName name="พื้นกระเบื้องเซรามิคมีลวดลาย12x12นิ้ว" localSheetId="3">#REF!</definedName>
    <definedName name="พื้นกระเบื้องเซรามิคมีลวดลาย12x12นิ้ว" localSheetId="2">#REF!</definedName>
    <definedName name="พื้นกระเบื้องเซรามิคมีลวดลาย12x12นิ้ว">#REF!</definedName>
    <definedName name="พื้นทรายล้าง" localSheetId="3">#REF!</definedName>
    <definedName name="พื้นทรายล้าง" localSheetId="2">#REF!</definedName>
    <definedName name="พื้นทรายล้าง">#REF!</definedName>
    <definedName name="พื้นทำผิวกรวดล้าง" localSheetId="3">#REF!</definedName>
    <definedName name="พื้นทำผิวกรวดล้าง" localSheetId="2">#REF!</definedName>
    <definedName name="พื้นทำผิวกรวดล้าง">#REF!</definedName>
    <definedName name="พื้นทำผิวทรายล้าง" localSheetId="3">#REF!</definedName>
    <definedName name="พื้นทำผิวทรายล้าง" localSheetId="2">#REF!</definedName>
    <definedName name="พื้นทำผิวทรายล้าง">#REF!</definedName>
    <definedName name="พื้นปูกระเบื้องเซรามิคสีเรียบ8x8นิ้ว" localSheetId="3">#REF!</definedName>
    <definedName name="พื้นปูกระเบื้องเซรามิคสีเรียบ8x8นิ้ว" localSheetId="2">#REF!</definedName>
    <definedName name="พื้นปูกระเบื้องเซรามิคสีเรียบ8x8นิ้ว">#REF!</definedName>
    <definedName name="พื้นปูกระเบื้องสีเรียบ12x12นิ้ว" localSheetId="3">#REF!</definedName>
    <definedName name="พื้นปูกระเบื้องสีเรียบ12x12นิ้ว" localSheetId="2">#REF!</definedName>
    <definedName name="พื้นปูกระเบื้องสีเรียบ12x12นิ้ว">#REF!</definedName>
    <definedName name="พื้นสะพานคอนกรีตช่วง_20_เมตร" localSheetId="3">#REF!</definedName>
    <definedName name="พื้นสะพานคอนกรีตช่วง_20_เมตร" localSheetId="2">#REF!</definedName>
    <definedName name="พื้นสะพานคอนกรีตช่วง_20_เมตร">#REF!</definedName>
    <definedName name="พื้นสะพานคอนกรีตช่วง30เมตร" localSheetId="3">#REF!</definedName>
    <definedName name="พื้นสะพานคอนกรีตช่วง30เมตร" localSheetId="2">#REF!</definedName>
    <definedName name="พื้นสะพานคอนกรีตช่วง30เมตร">#REF!</definedName>
    <definedName name="พื้นหินขัดสีเลือดหมู" localSheetId="3">#REF!</definedName>
    <definedName name="พื้นหินขัดสีเลือดหมู" localSheetId="2">#REF!</definedName>
    <definedName name="พื้นหินขัดสีเลือดหมู">#REF!</definedName>
    <definedName name="พื้นหินขัดสีเหลืองชมพู" localSheetId="3">#REF!</definedName>
    <definedName name="พื้นหินขัดสีเหลืองชมพู" localSheetId="2">#REF!</definedName>
    <definedName name="พื้นหินขัดสีเหลืองชมพู">#REF!</definedName>
    <definedName name="พื้นหินขัดสีขาวดำ" localSheetId="3">#REF!</definedName>
    <definedName name="พื้นหินขัดสีขาวดำ" localSheetId="2">#REF!</definedName>
    <definedName name="พื้นหินขัดสีขาวดำ">#REF!</definedName>
    <definedName name="ฟ700">[38]LITF!#REF!</definedName>
    <definedName name="มอนต่า" localSheetId="3">#REF!</definedName>
    <definedName name="มอนต่า" localSheetId="4">#REF!</definedName>
    <definedName name="มอนต่า" localSheetId="38">#REF!</definedName>
    <definedName name="มอนต่า" localSheetId="86">#REF!</definedName>
    <definedName name="มอนต่า" localSheetId="2">#REF!</definedName>
    <definedName name="มอนต่า">#REF!</definedName>
    <definedName name="ม้านั่งก่ออิฐขัดมันtopหินอ่อนขนาด0.5x2.75ม." localSheetId="3">#REF!</definedName>
    <definedName name="ม้านั่งก่ออิฐขัดมันtopหินอ่อนขนาด0.5x2.75ม." localSheetId="4">#REF!</definedName>
    <definedName name="ม้านั่งก่ออิฐขัดมันtopหินอ่อนขนาด0.5x2.75ม." localSheetId="38">#REF!</definedName>
    <definedName name="ม้านั่งก่ออิฐขัดมันtopหินอ่อนขนาด0.5x2.75ม." localSheetId="2">#REF!</definedName>
    <definedName name="ม้านั่งก่ออิฐขัดมันtopหินอ่อนขนาด0.5x2.75ม.">#REF!</definedName>
    <definedName name="ย" localSheetId="3">#REF!</definedName>
    <definedName name="ย" localSheetId="38">#REF!</definedName>
    <definedName name="ย" localSheetId="2">#REF!</definedName>
    <definedName name="ย">#REF!</definedName>
    <definedName name="ย้ายหมุดกวี" localSheetId="3">#REF!</definedName>
    <definedName name="ย้ายหมุดกวี" localSheetId="2">#REF!</definedName>
    <definedName name="ย้ายหมุดกวี">#REF!</definedName>
    <definedName name="รถขนเหล็ก" localSheetId="3">#REF!</definedName>
    <definedName name="รถขนเหล็ก" localSheetId="2">#REF!</definedName>
    <definedName name="รถขนเหล็ก">#REF!</definedName>
    <definedName name="รถขนท่อ" localSheetId="3">#REF!</definedName>
    <definedName name="รถขนท่อ" localSheetId="2">#REF!</definedName>
    <definedName name="รถขนท่อ">#REF!</definedName>
    <definedName name="รถขนทิ้ง1" localSheetId="3">#REF!</definedName>
    <definedName name="รถขนทิ้ง1" localSheetId="2">#REF!</definedName>
    <definedName name="รถขนทิ้ง1">#REF!</definedName>
    <definedName name="รถขนทิ้ง2" localSheetId="3">#REF!</definedName>
    <definedName name="รถขนทิ้ง2" localSheetId="2">#REF!</definedName>
    <definedName name="รถขนทิ้ง2">#REF!</definedName>
    <definedName name="รถขนปูน" localSheetId="3">#REF!</definedName>
    <definedName name="รถขนปูน" localSheetId="2">#REF!</definedName>
    <definedName name="รถขนปูน">#REF!</definedName>
    <definedName name="รถขนยาง" localSheetId="3">#REF!</definedName>
    <definedName name="รถขนยาง" localSheetId="2">#REF!</definedName>
    <definedName name="รถขนยาง">#REF!</definedName>
    <definedName name="รถขนวัสดุรอบโครงการ1" localSheetId="3">#REF!</definedName>
    <definedName name="รถขนวัสดุรอบโครงการ1" localSheetId="2">#REF!</definedName>
    <definedName name="รถขนวัสดุรอบโครงการ1">#REF!</definedName>
    <definedName name="รถขนวัสดุรอบโครงการ2" localSheetId="3">#REF!</definedName>
    <definedName name="รถขนวัสดุรอบโครงการ2" localSheetId="2">#REF!</definedName>
    <definedName name="รถขนวัสดุรอบโครงการ2">#REF!</definedName>
    <definedName name="รถขนหิน" localSheetId="3">#REF!</definedName>
    <definedName name="รถขนหิน" localSheetId="2">#REF!</definedName>
    <definedName name="รถขนหิน">#REF!</definedName>
    <definedName name="รถขนอื่นๆ1" localSheetId="3">#REF!</definedName>
    <definedName name="รถขนอื่นๆ1" localSheetId="2">#REF!</definedName>
    <definedName name="รถขนอื่นๆ1">#REF!</definedName>
    <definedName name="รถขนอื่นๆ2" localSheetId="3">#REF!</definedName>
    <definedName name="รถขนอื่นๆ2" localSheetId="2">#REF!</definedName>
    <definedName name="รถขนอื่นๆ2">#REF!</definedName>
    <definedName name="รวมงานเบ็ดเตล็ด" localSheetId="3">#REF!</definedName>
    <definedName name="รวมงานเบ็ดเตล็ด" localSheetId="4">#REF!</definedName>
    <definedName name="รวมงานเบ็ดเตล็ด" localSheetId="86">#REF!</definedName>
    <definedName name="รวมงานเบ็ดเตล็ด" localSheetId="2">#REF!</definedName>
    <definedName name="รวมงานเบ็ดเตล็ด">#REF!</definedName>
    <definedName name="รวมงานโครงสร้างทาง" localSheetId="3">#REF!</definedName>
    <definedName name="รวมงานโครงสร้างทาง" localSheetId="2">#REF!</definedName>
    <definedName name="รวมงานโครงสร้างทาง">#REF!</definedName>
    <definedName name="รวมงานดิน" localSheetId="3">#REF!</definedName>
    <definedName name="รวมงานดิน" localSheetId="2">#REF!</definedName>
    <definedName name="รวมงานดิน">#REF!</definedName>
    <definedName name="รวมงานดินย่อย_ยอดยกไป" localSheetId="3">[49]BOQ!#REF!</definedName>
    <definedName name="รวมงานดินย่อย_ยอดยกไป" localSheetId="2">[49]BOQ!#REF!</definedName>
    <definedName name="รวมงานดินย่อย_ยอดยกไป">[49]BOQ!#REF!</definedName>
    <definedName name="รวมงานระบบไฟฟ้าแสงสว่าง" localSheetId="3">#REF!</definedName>
    <definedName name="รวมงานระบบไฟฟ้าแสงสว่าง" localSheetId="18">#REF!</definedName>
    <definedName name="รวมงานระบบไฟฟ้าแสงสว่าง" localSheetId="19">#REF!</definedName>
    <definedName name="รวมงานระบบไฟฟ้าแสงสว่าง" localSheetId="9">#REF!</definedName>
    <definedName name="รวมงานระบบไฟฟ้าแสงสว่าง" localSheetId="10">#REF!</definedName>
    <definedName name="รวมงานระบบไฟฟ้าแสงสว่าง" localSheetId="11">#REF!</definedName>
    <definedName name="รวมงานระบบไฟฟ้าแสงสว่าง" localSheetId="12">#REF!</definedName>
    <definedName name="รวมงานระบบไฟฟ้าแสงสว่าง" localSheetId="13">#REF!</definedName>
    <definedName name="รวมงานระบบไฟฟ้าแสงสว่าง" localSheetId="14">#REF!</definedName>
    <definedName name="รวมงานระบบไฟฟ้าแสงสว่าง" localSheetId="15">#REF!</definedName>
    <definedName name="รวมงานระบบไฟฟ้าแสงสว่าง" localSheetId="16">#REF!</definedName>
    <definedName name="รวมงานระบบไฟฟ้าแสงสว่าง" localSheetId="17">#REF!</definedName>
    <definedName name="รวมงานระบบไฟฟ้าแสงสว่าง" localSheetId="8">#REF!</definedName>
    <definedName name="รวมงานระบบไฟฟ้าแสงสว่าง" localSheetId="7">#REF!</definedName>
    <definedName name="รวมงานระบบไฟฟ้าแสงสว่าง" localSheetId="6">#REF!</definedName>
    <definedName name="รวมงานระบบไฟฟ้าแสงสว่าง" localSheetId="20">#REF!</definedName>
    <definedName name="รวมงานระบบไฟฟ้าแสงสว่าง" localSheetId="5">#REF!</definedName>
    <definedName name="รวมงานระบบไฟฟ้าแสงสว่าง" localSheetId="21">#REF!</definedName>
    <definedName name="รวมงานระบบไฟฟ้าแสงสว่าง" localSheetId="34">#REF!</definedName>
    <definedName name="รวมงานระบบไฟฟ้าแสงสว่าง" localSheetId="35">#REF!</definedName>
    <definedName name="รวมงานระบบไฟฟ้าแสงสว่าง" localSheetId="25">#REF!</definedName>
    <definedName name="รวมงานระบบไฟฟ้าแสงสว่าง" localSheetId="27">#REF!</definedName>
    <definedName name="รวมงานระบบไฟฟ้าแสงสว่าง" localSheetId="28">#REF!</definedName>
    <definedName name="รวมงานระบบไฟฟ้าแสงสว่าง" localSheetId="29">#REF!</definedName>
    <definedName name="รวมงานระบบไฟฟ้าแสงสว่าง" localSheetId="31">#REF!</definedName>
    <definedName name="รวมงานระบบไฟฟ้าแสงสว่าง" localSheetId="32">#REF!</definedName>
    <definedName name="รวมงานระบบไฟฟ้าแสงสว่าง" localSheetId="33">#REF!</definedName>
    <definedName name="รวมงานระบบไฟฟ้าแสงสว่าง" localSheetId="24">#REF!</definedName>
    <definedName name="รวมงานระบบไฟฟ้าแสงสว่าง" localSheetId="23">#REF!</definedName>
    <definedName name="รวมงานระบบไฟฟ้าแสงสว่าง" localSheetId="36">#REF!</definedName>
    <definedName name="รวมงานระบบไฟฟ้าแสงสว่าง" localSheetId="22">#REF!</definedName>
    <definedName name="รวมงานระบบไฟฟ้าแสงสว่าง" localSheetId="26">#REF!</definedName>
    <definedName name="รวมงานระบบไฟฟ้าแสงสว่าง" localSheetId="30">#REF!</definedName>
    <definedName name="รวมงานระบบไฟฟ้าแสงสว่าง" localSheetId="41">#REF!</definedName>
    <definedName name="รวมงานระบบไฟฟ้าแสงสว่าง" localSheetId="50">#REF!</definedName>
    <definedName name="รวมงานระบบไฟฟ้าแสงสว่าง" localSheetId="51">#REF!</definedName>
    <definedName name="รวมงานระบบไฟฟ้าแสงสว่าง" localSheetId="42">#REF!</definedName>
    <definedName name="รวมงานระบบไฟฟ้าแสงสว่าง" localSheetId="43">#REF!</definedName>
    <definedName name="รวมงานระบบไฟฟ้าแสงสว่าง" localSheetId="44">#REF!</definedName>
    <definedName name="รวมงานระบบไฟฟ้าแสงสว่าง" localSheetId="45">#REF!</definedName>
    <definedName name="รวมงานระบบไฟฟ้าแสงสว่าง" localSheetId="46">#REF!</definedName>
    <definedName name="รวมงานระบบไฟฟ้าแสงสว่าง" localSheetId="47">#REF!</definedName>
    <definedName name="รวมงานระบบไฟฟ้าแสงสว่าง" localSheetId="48">#REF!</definedName>
    <definedName name="รวมงานระบบไฟฟ้าแสงสว่าง" localSheetId="49">#REF!</definedName>
    <definedName name="รวมงานระบบไฟฟ้าแสงสว่าง" localSheetId="52">#REF!</definedName>
    <definedName name="รวมงานระบบไฟฟ้าแสงสว่าง" localSheetId="40">#REF!</definedName>
    <definedName name="รวมงานระบบไฟฟ้าแสงสว่าง" localSheetId="39">#REF!</definedName>
    <definedName name="รวมงานระบบไฟฟ้าแสงสว่าง" localSheetId="38">#REF!</definedName>
    <definedName name="รวมงานระบบไฟฟ้าแสงสว่าง" localSheetId="37">#REF!</definedName>
    <definedName name="รวมงานระบบไฟฟ้าแสงสว่าง" localSheetId="57">#REF!</definedName>
    <definedName name="รวมงานระบบไฟฟ้าแสงสว่าง" localSheetId="66">#REF!</definedName>
    <definedName name="รวมงานระบบไฟฟ้าแสงสว่าง" localSheetId="67">#REF!</definedName>
    <definedName name="รวมงานระบบไฟฟ้าแสงสว่าง" localSheetId="58">#REF!</definedName>
    <definedName name="รวมงานระบบไฟฟ้าแสงสว่าง" localSheetId="59">#REF!</definedName>
    <definedName name="รวมงานระบบไฟฟ้าแสงสว่าง" localSheetId="60">#REF!</definedName>
    <definedName name="รวมงานระบบไฟฟ้าแสงสว่าง" localSheetId="61">#REF!</definedName>
    <definedName name="รวมงานระบบไฟฟ้าแสงสว่าง" localSheetId="62">#REF!</definedName>
    <definedName name="รวมงานระบบไฟฟ้าแสงสว่าง" localSheetId="63">#REF!</definedName>
    <definedName name="รวมงานระบบไฟฟ้าแสงสว่าง" localSheetId="64">#REF!</definedName>
    <definedName name="รวมงานระบบไฟฟ้าแสงสว่าง" localSheetId="65">#REF!</definedName>
    <definedName name="รวมงานระบบไฟฟ้าแสงสว่าง" localSheetId="68">#REF!</definedName>
    <definedName name="รวมงานระบบไฟฟ้าแสงสว่าง" localSheetId="56">#REF!</definedName>
    <definedName name="รวมงานระบบไฟฟ้าแสงสว่าง" localSheetId="55">#REF!</definedName>
    <definedName name="รวมงานระบบไฟฟ้าแสงสว่าง" localSheetId="54">#REF!</definedName>
    <definedName name="รวมงานระบบไฟฟ้าแสงสว่าง" localSheetId="69">#REF!</definedName>
    <definedName name="รวมงานระบบไฟฟ้าแสงสว่าง" localSheetId="53">#REF!</definedName>
    <definedName name="รวมงานระบบไฟฟ้าแสงสว่าง" localSheetId="85">#REF!</definedName>
    <definedName name="รวมงานระบบไฟฟ้าแสงสว่าง" localSheetId="86">#REF!</definedName>
    <definedName name="รวมงานระบบไฟฟ้าแสงสว่าง" localSheetId="2">#REF!</definedName>
    <definedName name="รวมงานระบบไฟฟ้าแสงสว่าง">#REF!</definedName>
    <definedName name="รวมงานระบบประปา" localSheetId="3">#REF!</definedName>
    <definedName name="รวมงานระบบประปา" localSheetId="18">#REF!</definedName>
    <definedName name="รวมงานระบบประปา" localSheetId="19">#REF!</definedName>
    <definedName name="รวมงานระบบประปา" localSheetId="9">#REF!</definedName>
    <definedName name="รวมงานระบบประปา" localSheetId="10">#REF!</definedName>
    <definedName name="รวมงานระบบประปา" localSheetId="11">#REF!</definedName>
    <definedName name="รวมงานระบบประปา" localSheetId="12">#REF!</definedName>
    <definedName name="รวมงานระบบประปา" localSheetId="13">#REF!</definedName>
    <definedName name="รวมงานระบบประปา" localSheetId="14">#REF!</definedName>
    <definedName name="รวมงานระบบประปา" localSheetId="15">#REF!</definedName>
    <definedName name="รวมงานระบบประปา" localSheetId="16">#REF!</definedName>
    <definedName name="รวมงานระบบประปา" localSheetId="17">#REF!</definedName>
    <definedName name="รวมงานระบบประปา" localSheetId="8">#REF!</definedName>
    <definedName name="รวมงานระบบประปา" localSheetId="7">#REF!</definedName>
    <definedName name="รวมงานระบบประปา" localSheetId="6">#REF!</definedName>
    <definedName name="รวมงานระบบประปา" localSheetId="20">#REF!</definedName>
    <definedName name="รวมงานระบบประปา" localSheetId="5">#REF!</definedName>
    <definedName name="รวมงานระบบประปา" localSheetId="21">#REF!</definedName>
    <definedName name="รวมงานระบบประปา" localSheetId="34">#REF!</definedName>
    <definedName name="รวมงานระบบประปา" localSheetId="35">#REF!</definedName>
    <definedName name="รวมงานระบบประปา" localSheetId="25">#REF!</definedName>
    <definedName name="รวมงานระบบประปา" localSheetId="27">#REF!</definedName>
    <definedName name="รวมงานระบบประปา" localSheetId="28">#REF!</definedName>
    <definedName name="รวมงานระบบประปา" localSheetId="29">#REF!</definedName>
    <definedName name="รวมงานระบบประปา" localSheetId="31">#REF!</definedName>
    <definedName name="รวมงานระบบประปา" localSheetId="32">#REF!</definedName>
    <definedName name="รวมงานระบบประปา" localSheetId="33">#REF!</definedName>
    <definedName name="รวมงานระบบประปา" localSheetId="24">#REF!</definedName>
    <definedName name="รวมงานระบบประปา" localSheetId="23">#REF!</definedName>
    <definedName name="รวมงานระบบประปา" localSheetId="36">#REF!</definedName>
    <definedName name="รวมงานระบบประปา" localSheetId="22">#REF!</definedName>
    <definedName name="รวมงานระบบประปา" localSheetId="26">#REF!</definedName>
    <definedName name="รวมงานระบบประปา" localSheetId="30">#REF!</definedName>
    <definedName name="รวมงานระบบประปา" localSheetId="85">#REF!</definedName>
    <definedName name="รวมงานระบบประปา" localSheetId="86">#REF!</definedName>
    <definedName name="รวมงานระบบประปา" localSheetId="2">#REF!</definedName>
    <definedName name="รวมงานระบบประปา">#REF!</definedName>
    <definedName name="รวมงานสาธารณูปโภค" localSheetId="3">#REF!</definedName>
    <definedName name="รวมงานสาธารณูปโภค" localSheetId="85">#REF!</definedName>
    <definedName name="รวมงานสาธารณูปโภค" localSheetId="86">#REF!</definedName>
    <definedName name="รวมงานสาธารณูปโภค" localSheetId="2">#REF!</definedName>
    <definedName name="รวมงานสาธารณูปโภค">#REF!</definedName>
    <definedName name="รวมภูมิทัศน์ReatAreaKM.122" localSheetId="3">#REF!</definedName>
    <definedName name="รวมภูมิทัศน์ReatAreaKM.122" localSheetId="2">#REF!</definedName>
    <definedName name="รวมภูมิทัศน์ReatAreaKM.122">#REF!</definedName>
    <definedName name="รวมย่อยงานเบ็ดเตล็ด_ยอดยกไป" localSheetId="3">[49]BOQ!#REF!</definedName>
    <definedName name="รวมย่อยงานเบ็ดเตล็ด_ยอดยกไป" localSheetId="2">[49]BOQ!#REF!</definedName>
    <definedName name="รวมย่อยงานเบ็ดเตล็ด_ยอดยกไป">[49]BOQ!#REF!</definedName>
    <definedName name="รวมย่อยงานเบ็ดเตล็ด_ยอดยกไป_4" localSheetId="3">[49]BOQ!#REF!</definedName>
    <definedName name="รวมย่อยงานเบ็ดเตล็ด_ยอดยกไป_4" localSheetId="2">[49]BOQ!#REF!</definedName>
    <definedName name="รวมย่อยงานเบ็ดเตล็ด_ยอดยกไป_4">[49]BOQ!#REF!</definedName>
    <definedName name="รวมย่อยงานโครงสร้างทาง_ยอดยกไป" localSheetId="3">[49]BOQ!#REF!</definedName>
    <definedName name="รวมย่อยงานโครงสร้างทาง_ยอดยกไป">[49]BOQ!#REF!</definedName>
    <definedName name="รวมย่อยงานระบบไฟฟ้าแสงสว่างอาคารAFL_1" localSheetId="3">#REF!</definedName>
    <definedName name="รวมย่อยงานระบบไฟฟ้าแสงสว่างอาคารAFL_1" localSheetId="18">#REF!</definedName>
    <definedName name="รวมย่อยงานระบบไฟฟ้าแสงสว่างอาคารAFL_1" localSheetId="19">#REF!</definedName>
    <definedName name="รวมย่อยงานระบบไฟฟ้าแสงสว่างอาคารAFL_1" localSheetId="9">#REF!</definedName>
    <definedName name="รวมย่อยงานระบบไฟฟ้าแสงสว่างอาคารAFL_1" localSheetId="10">#REF!</definedName>
    <definedName name="รวมย่อยงานระบบไฟฟ้าแสงสว่างอาคารAFL_1" localSheetId="11">#REF!</definedName>
    <definedName name="รวมย่อยงานระบบไฟฟ้าแสงสว่างอาคารAFL_1" localSheetId="12">#REF!</definedName>
    <definedName name="รวมย่อยงานระบบไฟฟ้าแสงสว่างอาคารAFL_1" localSheetId="13">#REF!</definedName>
    <definedName name="รวมย่อยงานระบบไฟฟ้าแสงสว่างอาคารAFL_1" localSheetId="14">#REF!</definedName>
    <definedName name="รวมย่อยงานระบบไฟฟ้าแสงสว่างอาคารAFL_1" localSheetId="15">#REF!</definedName>
    <definedName name="รวมย่อยงานระบบไฟฟ้าแสงสว่างอาคารAFL_1" localSheetId="16">#REF!</definedName>
    <definedName name="รวมย่อยงานระบบไฟฟ้าแสงสว่างอาคารAFL_1" localSheetId="17">#REF!</definedName>
    <definedName name="รวมย่อยงานระบบไฟฟ้าแสงสว่างอาคารAFL_1" localSheetId="8">#REF!</definedName>
    <definedName name="รวมย่อยงานระบบไฟฟ้าแสงสว่างอาคารAFL_1" localSheetId="7">#REF!</definedName>
    <definedName name="รวมย่อยงานระบบไฟฟ้าแสงสว่างอาคารAFL_1" localSheetId="6">#REF!</definedName>
    <definedName name="รวมย่อยงานระบบไฟฟ้าแสงสว่างอาคารAFL_1" localSheetId="20">#REF!</definedName>
    <definedName name="รวมย่อยงานระบบไฟฟ้าแสงสว่างอาคารAFL_1" localSheetId="5">#REF!</definedName>
    <definedName name="รวมย่อยงานระบบไฟฟ้าแสงสว่างอาคารAFL_1" localSheetId="21">#REF!</definedName>
    <definedName name="รวมย่อยงานระบบไฟฟ้าแสงสว่างอาคารAFL_1" localSheetId="34">#REF!</definedName>
    <definedName name="รวมย่อยงานระบบไฟฟ้าแสงสว่างอาคารAFL_1" localSheetId="35">#REF!</definedName>
    <definedName name="รวมย่อยงานระบบไฟฟ้าแสงสว่างอาคารAFL_1" localSheetId="25">#REF!</definedName>
    <definedName name="รวมย่อยงานระบบไฟฟ้าแสงสว่างอาคารAFL_1" localSheetId="27">#REF!</definedName>
    <definedName name="รวมย่อยงานระบบไฟฟ้าแสงสว่างอาคารAFL_1" localSheetId="28">#REF!</definedName>
    <definedName name="รวมย่อยงานระบบไฟฟ้าแสงสว่างอาคารAFL_1" localSheetId="29">#REF!</definedName>
    <definedName name="รวมย่อยงานระบบไฟฟ้าแสงสว่างอาคารAFL_1" localSheetId="31">#REF!</definedName>
    <definedName name="รวมย่อยงานระบบไฟฟ้าแสงสว่างอาคารAFL_1" localSheetId="32">#REF!</definedName>
    <definedName name="รวมย่อยงานระบบไฟฟ้าแสงสว่างอาคารAFL_1" localSheetId="33">#REF!</definedName>
    <definedName name="รวมย่อยงานระบบไฟฟ้าแสงสว่างอาคารAFL_1" localSheetId="24">#REF!</definedName>
    <definedName name="รวมย่อยงานระบบไฟฟ้าแสงสว่างอาคารAFL_1" localSheetId="23">#REF!</definedName>
    <definedName name="รวมย่อยงานระบบไฟฟ้าแสงสว่างอาคารAFL_1" localSheetId="36">#REF!</definedName>
    <definedName name="รวมย่อยงานระบบไฟฟ้าแสงสว่างอาคารAFL_1" localSheetId="22">#REF!</definedName>
    <definedName name="รวมย่อยงานระบบไฟฟ้าแสงสว่างอาคารAFL_1" localSheetId="26">#REF!</definedName>
    <definedName name="รวมย่อยงานระบบไฟฟ้าแสงสว่างอาคารAFL_1" localSheetId="30">#REF!</definedName>
    <definedName name="รวมย่อยงานระบบไฟฟ้าแสงสว่างอาคารAFL_1" localSheetId="41">#REF!</definedName>
    <definedName name="รวมย่อยงานระบบไฟฟ้าแสงสว่างอาคารAFL_1" localSheetId="50">#REF!</definedName>
    <definedName name="รวมย่อยงานระบบไฟฟ้าแสงสว่างอาคารAFL_1" localSheetId="51">#REF!</definedName>
    <definedName name="รวมย่อยงานระบบไฟฟ้าแสงสว่างอาคารAFL_1" localSheetId="42">#REF!</definedName>
    <definedName name="รวมย่อยงานระบบไฟฟ้าแสงสว่างอาคารAFL_1" localSheetId="43">#REF!</definedName>
    <definedName name="รวมย่อยงานระบบไฟฟ้าแสงสว่างอาคารAFL_1" localSheetId="44">#REF!</definedName>
    <definedName name="รวมย่อยงานระบบไฟฟ้าแสงสว่างอาคารAFL_1" localSheetId="45">#REF!</definedName>
    <definedName name="รวมย่อยงานระบบไฟฟ้าแสงสว่างอาคารAFL_1" localSheetId="46">#REF!</definedName>
    <definedName name="รวมย่อยงานระบบไฟฟ้าแสงสว่างอาคารAFL_1" localSheetId="47">#REF!</definedName>
    <definedName name="รวมย่อยงานระบบไฟฟ้าแสงสว่างอาคารAFL_1" localSheetId="48">#REF!</definedName>
    <definedName name="รวมย่อยงานระบบไฟฟ้าแสงสว่างอาคารAFL_1" localSheetId="49">#REF!</definedName>
    <definedName name="รวมย่อยงานระบบไฟฟ้าแสงสว่างอาคารAFL_1" localSheetId="52">#REF!</definedName>
    <definedName name="รวมย่อยงานระบบไฟฟ้าแสงสว่างอาคารAFL_1" localSheetId="40">#REF!</definedName>
    <definedName name="รวมย่อยงานระบบไฟฟ้าแสงสว่างอาคารAFL_1" localSheetId="39">#REF!</definedName>
    <definedName name="รวมย่อยงานระบบไฟฟ้าแสงสว่างอาคารAFL_1" localSheetId="38">#REF!</definedName>
    <definedName name="รวมย่อยงานระบบไฟฟ้าแสงสว่างอาคารAFL_1" localSheetId="37">#REF!</definedName>
    <definedName name="รวมย่อยงานระบบไฟฟ้าแสงสว่างอาคารAFL_1" localSheetId="57">#REF!</definedName>
    <definedName name="รวมย่อยงานระบบไฟฟ้าแสงสว่างอาคารAFL_1" localSheetId="66">#REF!</definedName>
    <definedName name="รวมย่อยงานระบบไฟฟ้าแสงสว่างอาคารAFL_1" localSheetId="67">#REF!</definedName>
    <definedName name="รวมย่อยงานระบบไฟฟ้าแสงสว่างอาคารAFL_1" localSheetId="58">#REF!</definedName>
    <definedName name="รวมย่อยงานระบบไฟฟ้าแสงสว่างอาคารAFL_1" localSheetId="59">#REF!</definedName>
    <definedName name="รวมย่อยงานระบบไฟฟ้าแสงสว่างอาคารAFL_1" localSheetId="60">#REF!</definedName>
    <definedName name="รวมย่อยงานระบบไฟฟ้าแสงสว่างอาคารAFL_1" localSheetId="61">#REF!</definedName>
    <definedName name="รวมย่อยงานระบบไฟฟ้าแสงสว่างอาคารAFL_1" localSheetId="62">#REF!</definedName>
    <definedName name="รวมย่อยงานระบบไฟฟ้าแสงสว่างอาคารAFL_1" localSheetId="63">#REF!</definedName>
    <definedName name="รวมย่อยงานระบบไฟฟ้าแสงสว่างอาคารAFL_1" localSheetId="64">#REF!</definedName>
    <definedName name="รวมย่อยงานระบบไฟฟ้าแสงสว่างอาคารAFL_1" localSheetId="65">#REF!</definedName>
    <definedName name="รวมย่อยงานระบบไฟฟ้าแสงสว่างอาคารAFL_1" localSheetId="68">#REF!</definedName>
    <definedName name="รวมย่อยงานระบบไฟฟ้าแสงสว่างอาคารAFL_1" localSheetId="56">#REF!</definedName>
    <definedName name="รวมย่อยงานระบบไฟฟ้าแสงสว่างอาคารAFL_1" localSheetId="55">#REF!</definedName>
    <definedName name="รวมย่อยงานระบบไฟฟ้าแสงสว่างอาคารAFL_1" localSheetId="54">#REF!</definedName>
    <definedName name="รวมย่อยงานระบบไฟฟ้าแสงสว่างอาคารAFL_1" localSheetId="69">#REF!</definedName>
    <definedName name="รวมย่อยงานระบบไฟฟ้าแสงสว่างอาคารAFL_1" localSheetId="53">#REF!</definedName>
    <definedName name="รวมย่อยงานระบบไฟฟ้าแสงสว่างอาคารAFL_1" localSheetId="85">#REF!</definedName>
    <definedName name="รวมย่อยงานระบบไฟฟ้าแสงสว่างอาคารAFL_1" localSheetId="86">#REF!</definedName>
    <definedName name="รวมย่อยงานระบบไฟฟ้าแสงสว่างอาคารAFL_1" localSheetId="2">#REF!</definedName>
    <definedName name="รวมย่อยงานระบบไฟฟ้าแสงสว่างอาคารAFL_1">#REF!</definedName>
    <definedName name="รวมย่อยงานระบบไฟฟ้าแสงสว่างอาคารAFL_2" localSheetId="3">#REF!</definedName>
    <definedName name="รวมย่อยงานระบบไฟฟ้าแสงสว่างอาคารAFL_2" localSheetId="18">#REF!</definedName>
    <definedName name="รวมย่อยงานระบบไฟฟ้าแสงสว่างอาคารAFL_2" localSheetId="19">#REF!</definedName>
    <definedName name="รวมย่อยงานระบบไฟฟ้าแสงสว่างอาคารAFL_2" localSheetId="9">#REF!</definedName>
    <definedName name="รวมย่อยงานระบบไฟฟ้าแสงสว่างอาคารAFL_2" localSheetId="10">#REF!</definedName>
    <definedName name="รวมย่อยงานระบบไฟฟ้าแสงสว่างอาคารAFL_2" localSheetId="11">#REF!</definedName>
    <definedName name="รวมย่อยงานระบบไฟฟ้าแสงสว่างอาคารAFL_2" localSheetId="12">#REF!</definedName>
    <definedName name="รวมย่อยงานระบบไฟฟ้าแสงสว่างอาคารAFL_2" localSheetId="13">#REF!</definedName>
    <definedName name="รวมย่อยงานระบบไฟฟ้าแสงสว่างอาคารAFL_2" localSheetId="14">#REF!</definedName>
    <definedName name="รวมย่อยงานระบบไฟฟ้าแสงสว่างอาคารAFL_2" localSheetId="15">#REF!</definedName>
    <definedName name="รวมย่อยงานระบบไฟฟ้าแสงสว่างอาคารAFL_2" localSheetId="16">#REF!</definedName>
    <definedName name="รวมย่อยงานระบบไฟฟ้าแสงสว่างอาคารAFL_2" localSheetId="17">#REF!</definedName>
    <definedName name="รวมย่อยงานระบบไฟฟ้าแสงสว่างอาคารAFL_2" localSheetId="8">#REF!</definedName>
    <definedName name="รวมย่อยงานระบบไฟฟ้าแสงสว่างอาคารAFL_2" localSheetId="7">#REF!</definedName>
    <definedName name="รวมย่อยงานระบบไฟฟ้าแสงสว่างอาคารAFL_2" localSheetId="6">#REF!</definedName>
    <definedName name="รวมย่อยงานระบบไฟฟ้าแสงสว่างอาคารAFL_2" localSheetId="20">#REF!</definedName>
    <definedName name="รวมย่อยงานระบบไฟฟ้าแสงสว่างอาคารAFL_2" localSheetId="5">#REF!</definedName>
    <definedName name="รวมย่อยงานระบบไฟฟ้าแสงสว่างอาคารAFL_2" localSheetId="21">#REF!</definedName>
    <definedName name="รวมย่อยงานระบบไฟฟ้าแสงสว่างอาคารAFL_2" localSheetId="34">#REF!</definedName>
    <definedName name="รวมย่อยงานระบบไฟฟ้าแสงสว่างอาคารAFL_2" localSheetId="35">#REF!</definedName>
    <definedName name="รวมย่อยงานระบบไฟฟ้าแสงสว่างอาคารAFL_2" localSheetId="25">#REF!</definedName>
    <definedName name="รวมย่อยงานระบบไฟฟ้าแสงสว่างอาคารAFL_2" localSheetId="27">#REF!</definedName>
    <definedName name="รวมย่อยงานระบบไฟฟ้าแสงสว่างอาคารAFL_2" localSheetId="28">#REF!</definedName>
    <definedName name="รวมย่อยงานระบบไฟฟ้าแสงสว่างอาคารAFL_2" localSheetId="29">#REF!</definedName>
    <definedName name="รวมย่อยงานระบบไฟฟ้าแสงสว่างอาคารAFL_2" localSheetId="31">#REF!</definedName>
    <definedName name="รวมย่อยงานระบบไฟฟ้าแสงสว่างอาคารAFL_2" localSheetId="32">#REF!</definedName>
    <definedName name="รวมย่อยงานระบบไฟฟ้าแสงสว่างอาคารAFL_2" localSheetId="33">#REF!</definedName>
    <definedName name="รวมย่อยงานระบบไฟฟ้าแสงสว่างอาคารAFL_2" localSheetId="24">#REF!</definedName>
    <definedName name="รวมย่อยงานระบบไฟฟ้าแสงสว่างอาคารAFL_2" localSheetId="23">#REF!</definedName>
    <definedName name="รวมย่อยงานระบบไฟฟ้าแสงสว่างอาคารAFL_2" localSheetId="36">#REF!</definedName>
    <definedName name="รวมย่อยงานระบบไฟฟ้าแสงสว่างอาคารAFL_2" localSheetId="22">#REF!</definedName>
    <definedName name="รวมย่อยงานระบบไฟฟ้าแสงสว่างอาคารAFL_2" localSheetId="26">#REF!</definedName>
    <definedName name="รวมย่อยงานระบบไฟฟ้าแสงสว่างอาคารAFL_2" localSheetId="30">#REF!</definedName>
    <definedName name="รวมย่อยงานระบบไฟฟ้าแสงสว่างอาคารAFL_2" localSheetId="85">#REF!</definedName>
    <definedName name="รวมย่อยงานระบบไฟฟ้าแสงสว่างอาคารAFL_2" localSheetId="86">#REF!</definedName>
    <definedName name="รวมย่อยงานระบบไฟฟ้าแสงสว่างอาคารAFL_2" localSheetId="2">#REF!</definedName>
    <definedName name="รวมย่อยงานระบบไฟฟ้าแสงสว่างอาคารAFL_2">#REF!</definedName>
    <definedName name="รวมย่อยงานระบบไฟฟ้าสนามบิน1" localSheetId="3">#REF!</definedName>
    <definedName name="รวมย่อยงานระบบไฟฟ้าสนามบิน1" localSheetId="85">#REF!</definedName>
    <definedName name="รวมย่อยงานระบบไฟฟ้าสนามบิน1" localSheetId="86">#REF!</definedName>
    <definedName name="รวมย่อยงานระบบไฟฟ้าสนามบิน1" localSheetId="2">#REF!</definedName>
    <definedName name="รวมย่อยงานระบบไฟฟ้าสนามบิน1">#REF!</definedName>
    <definedName name="รวมย่อยงานระบบไฟฟ้าสนามบิน2" localSheetId="3">#REF!</definedName>
    <definedName name="รวมย่อยงานระบบไฟฟ้าสนามบิน2" localSheetId="2">#REF!</definedName>
    <definedName name="รวมย่อยงานระบบไฟฟ้าสนามบิน2">#REF!</definedName>
    <definedName name="รวมย่อยงานระบบไฟฟ้าสนามบิน3" localSheetId="3">#REF!</definedName>
    <definedName name="รวมย่อยงานระบบไฟฟ้าสนามบิน3" localSheetId="2">#REF!</definedName>
    <definedName name="รวมย่อยงานระบบไฟฟ้าสนามบิน3">#REF!</definedName>
    <definedName name="รวมย่อยงานระบบไฟฟ้าสนามบิน4" localSheetId="3">#REF!</definedName>
    <definedName name="รวมย่อยงานระบบไฟฟ้าสนามบิน4" localSheetId="2">#REF!</definedName>
    <definedName name="รวมย่อยงานระบบไฟฟ้าสนามบิน4">#REF!</definedName>
    <definedName name="รวมย่อยงานระบบไฟฟ้าสนามบิน5" localSheetId="3">#REF!</definedName>
    <definedName name="รวมย่อยงานระบบไฟฟ้าสนามบิน5" localSheetId="2">#REF!</definedName>
    <definedName name="รวมย่อยงานระบบไฟฟ้าสนามบิน5">#REF!</definedName>
    <definedName name="รวมย่อยงานระบบไฟฟ้าสนามบิน6" localSheetId="3">#REF!</definedName>
    <definedName name="รวมย่อยงานระบบไฟฟ้าสนามบิน6" localSheetId="2">#REF!</definedName>
    <definedName name="รวมย่อยงานระบบไฟฟ้าสนามบิน6">#REF!</definedName>
    <definedName name="รวมย่อยงานระบบประปา1" localSheetId="3">#REF!</definedName>
    <definedName name="รวมย่อยงานระบบประปา1" localSheetId="4">#REF!</definedName>
    <definedName name="รวมย่อยงานระบบประปา1" localSheetId="86">#REF!</definedName>
    <definedName name="รวมย่อยงานระบบประปา1" localSheetId="2">#REF!</definedName>
    <definedName name="รวมย่อยงานระบบประปา1">#REF!</definedName>
    <definedName name="รวมย่อยงานระบบประปา10" localSheetId="3">#REF!</definedName>
    <definedName name="รวมย่อยงานระบบประปา10" localSheetId="86">#REF!</definedName>
    <definedName name="รวมย่อยงานระบบประปา10" localSheetId="2">#REF!</definedName>
    <definedName name="รวมย่อยงานระบบประปา10">#REF!</definedName>
    <definedName name="รวมย่อยงานระบบประปา11" localSheetId="3">#REF!</definedName>
    <definedName name="รวมย่อยงานระบบประปา11" localSheetId="86">#REF!</definedName>
    <definedName name="รวมย่อยงานระบบประปา11" localSheetId="2">#REF!</definedName>
    <definedName name="รวมย่อยงานระบบประปา11">#REF!</definedName>
    <definedName name="รวมย่อยงานระบบประปา2" localSheetId="3">#REF!</definedName>
    <definedName name="รวมย่อยงานระบบประปา2" localSheetId="2">#REF!</definedName>
    <definedName name="รวมย่อยงานระบบประปา2">#REF!</definedName>
    <definedName name="รวมย่อยงานระบบประปา3" localSheetId="3">#REF!</definedName>
    <definedName name="รวมย่อยงานระบบประปา3" localSheetId="2">#REF!</definedName>
    <definedName name="รวมย่อยงานระบบประปา3">#REF!</definedName>
    <definedName name="รวมย่อยงานระบบประปา4" localSheetId="3">#REF!</definedName>
    <definedName name="รวมย่อยงานระบบประปา4" localSheetId="2">#REF!</definedName>
    <definedName name="รวมย่อยงานระบบประปา4">#REF!</definedName>
    <definedName name="รวมย่อยงานระบบประปา5" localSheetId="3">#REF!</definedName>
    <definedName name="รวมย่อยงานระบบประปา5" localSheetId="2">#REF!</definedName>
    <definedName name="รวมย่อยงานระบบประปา5">#REF!</definedName>
    <definedName name="รวมย่อยงานระบบประปา6" localSheetId="3">#REF!</definedName>
    <definedName name="รวมย่อยงานระบบประปา6" localSheetId="2">#REF!</definedName>
    <definedName name="รวมย่อยงานระบบประปา6">#REF!</definedName>
    <definedName name="รวมย่อยงานระบบประปา7" localSheetId="3">#REF!</definedName>
    <definedName name="รวมย่อยงานระบบประปา7" localSheetId="2">#REF!</definedName>
    <definedName name="รวมย่อยงานระบบประปา7">#REF!</definedName>
    <definedName name="รวมย่อยงานระบบประปา8" localSheetId="3">#REF!</definedName>
    <definedName name="รวมย่อยงานระบบประปา8" localSheetId="2">#REF!</definedName>
    <definedName name="รวมย่อยงานระบบประปา8">#REF!</definedName>
    <definedName name="รวมย่อยงานระบบประปา9" localSheetId="3">#REF!</definedName>
    <definedName name="รวมย่อยงานระบบประปา9" localSheetId="2">#REF!</definedName>
    <definedName name="รวมย่อยงานระบบประปา9">#REF!</definedName>
    <definedName name="รวมย่อยราคางานเบ็ดเตล็ด1" localSheetId="3">#REF!</definedName>
    <definedName name="รวมย่อยราคางานเบ็ดเตล็ด1" localSheetId="2">#REF!</definedName>
    <definedName name="รวมย่อยราคางานเบ็ดเตล็ด1">#REF!</definedName>
    <definedName name="รวมย่อยราคางานเบ็ดเตล็ด2" localSheetId="3">#REF!</definedName>
    <definedName name="รวมย่อยราคางานเบ็ดเตล็ด2" localSheetId="2">#REF!</definedName>
    <definedName name="รวมย่อยราคางานเบ็ดเตล็ด2">#REF!</definedName>
    <definedName name="รวมราคา_I_30_ทั้งหมด" localSheetId="3">#REF!</definedName>
    <definedName name="รวมราคา_I_30_ทั้งหมด" localSheetId="2">#REF!</definedName>
    <definedName name="รวมราคา_I_30_ทั้งหมด">#REF!</definedName>
    <definedName name="รวมราคางานเบ็ดเตล็ด" localSheetId="3">#REF!</definedName>
    <definedName name="รวมราคางานเบ็ดเตล็ด" localSheetId="2">#REF!</definedName>
    <definedName name="รวมราคางานเบ็ดเตล็ด">#REF!</definedName>
    <definedName name="รวมราคางานโครงสร้าง" localSheetId="3">#REF!</definedName>
    <definedName name="รวมราคางานโครงสร้าง" localSheetId="2">#REF!</definedName>
    <definedName name="รวมราคางานโครงสร้าง">#REF!</definedName>
    <definedName name="รวมราคางานโครงสรางทาง" localSheetId="3">#REF!</definedName>
    <definedName name="รวมราคางานโครงสรางทาง" localSheetId="2">#REF!</definedName>
    <definedName name="รวมราคางานโครงสรางทาง">#REF!</definedName>
    <definedName name="รวมราคางานดิน" localSheetId="3">#REF!</definedName>
    <definedName name="รวมราคางานดิน" localSheetId="2">#REF!</definedName>
    <definedName name="รวมราคางานดิน">#REF!</definedName>
    <definedName name="รวมราคางานทั่วไป" localSheetId="3">#REF!</definedName>
    <definedName name="รวมราคางานทั่วไป" localSheetId="2">#REF!</definedName>
    <definedName name="รวมราคางานทั่วไป">#REF!</definedName>
    <definedName name="รวมศาลาA" localSheetId="3">#REF!</definedName>
    <definedName name="รวมศาลาA" localSheetId="2">#REF!</definedName>
    <definedName name="รวมศาลาA">#REF!</definedName>
    <definedName name="รวมหมวด1" localSheetId="3">#REF!</definedName>
    <definedName name="รวมหมวด1" localSheetId="2">#REF!</definedName>
    <definedName name="รวมหมวด1">#REF!</definedName>
    <definedName name="รวมหมวด10" localSheetId="3">#REF!</definedName>
    <definedName name="รวมหมวด10" localSheetId="2">#REF!</definedName>
    <definedName name="รวมหมวด10">#REF!</definedName>
    <definedName name="รวมหมวด10คูณ_factorF" localSheetId="3">#REF!</definedName>
    <definedName name="รวมหมวด10คูณ_factorF" localSheetId="2">#REF!</definedName>
    <definedName name="รวมหมวด10คูณ_factorF">#REF!</definedName>
    <definedName name="รวมหมวด1คูณ_factorF" localSheetId="3">#REF!</definedName>
    <definedName name="รวมหมวด1คูณ_factorF" localSheetId="2">#REF!</definedName>
    <definedName name="รวมหมวด1คูณ_factorF">#REF!</definedName>
    <definedName name="รวมหมวด2" localSheetId="3">#REF!</definedName>
    <definedName name="รวมหมวด2" localSheetId="2">#REF!</definedName>
    <definedName name="รวมหมวด2">#REF!</definedName>
    <definedName name="รวมหมวด2คูณ_factorF" localSheetId="3">#REF!</definedName>
    <definedName name="รวมหมวด2คูณ_factorF" localSheetId="2">#REF!</definedName>
    <definedName name="รวมหมวด2คูณ_factorF">#REF!</definedName>
    <definedName name="รวมหมวด3" localSheetId="3">#REF!</definedName>
    <definedName name="รวมหมวด3" localSheetId="2">#REF!</definedName>
    <definedName name="รวมหมวด3">#REF!</definedName>
    <definedName name="รวมหมวด3คูณ_factorF" localSheetId="3">#REF!</definedName>
    <definedName name="รวมหมวด3คูณ_factorF" localSheetId="2">#REF!</definedName>
    <definedName name="รวมหมวด3คูณ_factorF">#REF!</definedName>
    <definedName name="รวมหมวด5" localSheetId="3">#REF!</definedName>
    <definedName name="รวมหมวด5" localSheetId="2">#REF!</definedName>
    <definedName name="รวมหมวด5">#REF!</definedName>
    <definedName name="รวมหมวด6" localSheetId="3">#REF!</definedName>
    <definedName name="รวมหมวด6" localSheetId="2">#REF!</definedName>
    <definedName name="รวมหมวด6">#REF!</definedName>
    <definedName name="รวมหมวด6คูณ_factorF" localSheetId="3">#REF!</definedName>
    <definedName name="รวมหมวด6คูณ_factorF" localSheetId="2">#REF!</definedName>
    <definedName name="รวมหมวด6คูณ_factorF">#REF!</definedName>
    <definedName name="รวมหมวด7" localSheetId="3">#REF!</definedName>
    <definedName name="รวมหมวด7" localSheetId="2">#REF!</definedName>
    <definedName name="รวมหมวด7">#REF!</definedName>
    <definedName name="รวมหมวด7คูณ_factorF" localSheetId="3">#REF!</definedName>
    <definedName name="รวมหมวด7คูณ_factorF" localSheetId="2">#REF!</definedName>
    <definedName name="รวมหมวด7คูณ_factorF">#REF!</definedName>
    <definedName name="รวมหมวด8" localSheetId="3">#REF!</definedName>
    <definedName name="รวมหมวด8" localSheetId="2">#REF!</definedName>
    <definedName name="รวมหมวด8">#REF!</definedName>
    <definedName name="รวมหมวด8คูณ_factorF" localSheetId="3">#REF!</definedName>
    <definedName name="รวมหมวด8คูณ_factorF" localSheetId="2">#REF!</definedName>
    <definedName name="รวมหมวด8คูณ_factorF">#REF!</definedName>
    <definedName name="รวมหมวด9" localSheetId="3">#REF!</definedName>
    <definedName name="รวมหมวด9" localSheetId="2">#REF!</definedName>
    <definedName name="รวมหมวด9">#REF!</definedName>
    <definedName name="รวมหมวด9คูณ_factorF" localSheetId="3">#REF!</definedName>
    <definedName name="รวมหมวด9คูณ_factorF" localSheetId="2">#REF!</definedName>
    <definedName name="รวมหมวด9คูณ_factorF">#REF!</definedName>
    <definedName name="รวมอาคาร1" localSheetId="3">[43]ปร.5!#REF!</definedName>
    <definedName name="รวมอาคาร1" localSheetId="2">[43]ปร.5!#REF!</definedName>
    <definedName name="รวมอาคาร1">[43]ปร.5!#REF!</definedName>
    <definedName name="รวมอาคาร10" localSheetId="3">#REF!</definedName>
    <definedName name="รวมอาคาร10" localSheetId="4">#REF!</definedName>
    <definedName name="รวมอาคาร10" localSheetId="18">#REF!</definedName>
    <definedName name="รวมอาคาร10" localSheetId="19">#REF!</definedName>
    <definedName name="รวมอาคาร10" localSheetId="9">#REF!</definedName>
    <definedName name="รวมอาคาร10" localSheetId="10">#REF!</definedName>
    <definedName name="รวมอาคาร10" localSheetId="11">#REF!</definedName>
    <definedName name="รวมอาคาร10" localSheetId="12">#REF!</definedName>
    <definedName name="รวมอาคาร10" localSheetId="13">#REF!</definedName>
    <definedName name="รวมอาคาร10" localSheetId="14">#REF!</definedName>
    <definedName name="รวมอาคาร10" localSheetId="15">#REF!</definedName>
    <definedName name="รวมอาคาร10" localSheetId="16">#REF!</definedName>
    <definedName name="รวมอาคาร10" localSheetId="17">#REF!</definedName>
    <definedName name="รวมอาคาร10" localSheetId="8">#REF!</definedName>
    <definedName name="รวมอาคาร10" localSheetId="7">#REF!</definedName>
    <definedName name="รวมอาคาร10" localSheetId="6">#REF!</definedName>
    <definedName name="รวมอาคาร10" localSheetId="20">#REF!</definedName>
    <definedName name="รวมอาคาร10" localSheetId="5">#REF!</definedName>
    <definedName name="รวมอาคาร10" localSheetId="21">#REF!</definedName>
    <definedName name="รวมอาคาร10" localSheetId="34">#REF!</definedName>
    <definedName name="รวมอาคาร10" localSheetId="35">#REF!</definedName>
    <definedName name="รวมอาคาร10" localSheetId="25">#REF!</definedName>
    <definedName name="รวมอาคาร10" localSheetId="27">#REF!</definedName>
    <definedName name="รวมอาคาร10" localSheetId="28">#REF!</definedName>
    <definedName name="รวมอาคาร10" localSheetId="29">#REF!</definedName>
    <definedName name="รวมอาคาร10" localSheetId="31">#REF!</definedName>
    <definedName name="รวมอาคาร10" localSheetId="32">#REF!</definedName>
    <definedName name="รวมอาคาร10" localSheetId="33">#REF!</definedName>
    <definedName name="รวมอาคาร10" localSheetId="24">#REF!</definedName>
    <definedName name="รวมอาคาร10" localSheetId="23">#REF!</definedName>
    <definedName name="รวมอาคาร10" localSheetId="36">#REF!</definedName>
    <definedName name="รวมอาคาร10" localSheetId="22">#REF!</definedName>
    <definedName name="รวมอาคาร10" localSheetId="26">#REF!</definedName>
    <definedName name="รวมอาคาร10" localSheetId="30">#REF!</definedName>
    <definedName name="รวมอาคาร10" localSheetId="41">#REF!</definedName>
    <definedName name="รวมอาคาร10" localSheetId="50">#REF!</definedName>
    <definedName name="รวมอาคาร10" localSheetId="51">#REF!</definedName>
    <definedName name="รวมอาคาร10" localSheetId="42">#REF!</definedName>
    <definedName name="รวมอาคาร10" localSheetId="43">#REF!</definedName>
    <definedName name="รวมอาคาร10" localSheetId="44">#REF!</definedName>
    <definedName name="รวมอาคาร10" localSheetId="45">#REF!</definedName>
    <definedName name="รวมอาคาร10" localSheetId="46">#REF!</definedName>
    <definedName name="รวมอาคาร10" localSheetId="47">#REF!</definedName>
    <definedName name="รวมอาคาร10" localSheetId="48">#REF!</definedName>
    <definedName name="รวมอาคาร10" localSheetId="49">#REF!</definedName>
    <definedName name="รวมอาคาร10" localSheetId="52">#REF!</definedName>
    <definedName name="รวมอาคาร10" localSheetId="40">#REF!</definedName>
    <definedName name="รวมอาคาร10" localSheetId="39">#REF!</definedName>
    <definedName name="รวมอาคาร10" localSheetId="38">#REF!</definedName>
    <definedName name="รวมอาคาร10" localSheetId="37">#REF!</definedName>
    <definedName name="รวมอาคาร10" localSheetId="57">#REF!</definedName>
    <definedName name="รวมอาคาร10" localSheetId="66">#REF!</definedName>
    <definedName name="รวมอาคาร10" localSheetId="67">#REF!</definedName>
    <definedName name="รวมอาคาร10" localSheetId="58">#REF!</definedName>
    <definedName name="รวมอาคาร10" localSheetId="59">#REF!</definedName>
    <definedName name="รวมอาคาร10" localSheetId="60">#REF!</definedName>
    <definedName name="รวมอาคาร10" localSheetId="61">#REF!</definedName>
    <definedName name="รวมอาคาร10" localSheetId="62">#REF!</definedName>
    <definedName name="รวมอาคาร10" localSheetId="63">#REF!</definedName>
    <definedName name="รวมอาคาร10" localSheetId="64">#REF!</definedName>
    <definedName name="รวมอาคาร10" localSheetId="65">#REF!</definedName>
    <definedName name="รวมอาคาร10" localSheetId="68">#REF!</definedName>
    <definedName name="รวมอาคาร10" localSheetId="56">#REF!</definedName>
    <definedName name="รวมอาคาร10" localSheetId="55">#REF!</definedName>
    <definedName name="รวมอาคาร10" localSheetId="54">#REF!</definedName>
    <definedName name="รวมอาคาร10" localSheetId="69">#REF!</definedName>
    <definedName name="รวมอาคาร10" localSheetId="53">#REF!</definedName>
    <definedName name="รวมอาคาร10" localSheetId="85">#REF!</definedName>
    <definedName name="รวมอาคาร10" localSheetId="86">#REF!</definedName>
    <definedName name="รวมอาคาร10" localSheetId="2">#REF!</definedName>
    <definedName name="รวมอาคาร10">#REF!</definedName>
    <definedName name="รวมอาคาร11" localSheetId="3">#REF!</definedName>
    <definedName name="รวมอาคาร11" localSheetId="4">#REF!</definedName>
    <definedName name="รวมอาคาร11" localSheetId="18">#REF!</definedName>
    <definedName name="รวมอาคาร11" localSheetId="19">#REF!</definedName>
    <definedName name="รวมอาคาร11" localSheetId="9">#REF!</definedName>
    <definedName name="รวมอาคาร11" localSheetId="10">#REF!</definedName>
    <definedName name="รวมอาคาร11" localSheetId="11">#REF!</definedName>
    <definedName name="รวมอาคาร11" localSheetId="12">#REF!</definedName>
    <definedName name="รวมอาคาร11" localSheetId="13">#REF!</definedName>
    <definedName name="รวมอาคาร11" localSheetId="14">#REF!</definedName>
    <definedName name="รวมอาคาร11" localSheetId="15">#REF!</definedName>
    <definedName name="รวมอาคาร11" localSheetId="16">#REF!</definedName>
    <definedName name="รวมอาคาร11" localSheetId="17">#REF!</definedName>
    <definedName name="รวมอาคาร11" localSheetId="8">#REF!</definedName>
    <definedName name="รวมอาคาร11" localSheetId="7">#REF!</definedName>
    <definedName name="รวมอาคาร11" localSheetId="6">#REF!</definedName>
    <definedName name="รวมอาคาร11" localSheetId="20">#REF!</definedName>
    <definedName name="รวมอาคาร11" localSheetId="5">#REF!</definedName>
    <definedName name="รวมอาคาร11" localSheetId="21">#REF!</definedName>
    <definedName name="รวมอาคาร11" localSheetId="34">#REF!</definedName>
    <definedName name="รวมอาคาร11" localSheetId="35">#REF!</definedName>
    <definedName name="รวมอาคาร11" localSheetId="25">#REF!</definedName>
    <definedName name="รวมอาคาร11" localSheetId="27">#REF!</definedName>
    <definedName name="รวมอาคาร11" localSheetId="28">#REF!</definedName>
    <definedName name="รวมอาคาร11" localSheetId="29">#REF!</definedName>
    <definedName name="รวมอาคาร11" localSheetId="31">#REF!</definedName>
    <definedName name="รวมอาคาร11" localSheetId="32">#REF!</definedName>
    <definedName name="รวมอาคาร11" localSheetId="33">#REF!</definedName>
    <definedName name="รวมอาคาร11" localSheetId="24">#REF!</definedName>
    <definedName name="รวมอาคาร11" localSheetId="23">#REF!</definedName>
    <definedName name="รวมอาคาร11" localSheetId="36">#REF!</definedName>
    <definedName name="รวมอาคาร11" localSheetId="22">#REF!</definedName>
    <definedName name="รวมอาคาร11" localSheetId="26">#REF!</definedName>
    <definedName name="รวมอาคาร11" localSheetId="30">#REF!</definedName>
    <definedName name="รวมอาคาร11" localSheetId="85">#REF!</definedName>
    <definedName name="รวมอาคาร11" localSheetId="86">#REF!</definedName>
    <definedName name="รวมอาคาร11" localSheetId="2">#REF!</definedName>
    <definedName name="รวมอาคาร11">#REF!</definedName>
    <definedName name="รวมอาคาร12" localSheetId="3">#REF!</definedName>
    <definedName name="รวมอาคาร12" localSheetId="4">#REF!</definedName>
    <definedName name="รวมอาคาร12" localSheetId="85">#REF!</definedName>
    <definedName name="รวมอาคาร12" localSheetId="86">#REF!</definedName>
    <definedName name="รวมอาคาร12" localSheetId="2">#REF!</definedName>
    <definedName name="รวมอาคาร12">#REF!</definedName>
    <definedName name="รวมอาคาร13" localSheetId="3">#REF!</definedName>
    <definedName name="รวมอาคาร13" localSheetId="2">#REF!</definedName>
    <definedName name="รวมอาคาร13">#REF!</definedName>
    <definedName name="รวมอาคาร14" localSheetId="3">#REF!</definedName>
    <definedName name="รวมอาคาร14" localSheetId="2">#REF!</definedName>
    <definedName name="รวมอาคาร14">#REF!</definedName>
    <definedName name="รวมอาคาร15" localSheetId="3">#REF!</definedName>
    <definedName name="รวมอาคาร15" localSheetId="2">#REF!</definedName>
    <definedName name="รวมอาคาร15">#REF!</definedName>
    <definedName name="รวมอาคาร16" localSheetId="3">#REF!</definedName>
    <definedName name="รวมอาคาร16" localSheetId="2">#REF!</definedName>
    <definedName name="รวมอาคาร16">#REF!</definedName>
    <definedName name="รวมอาคาร17" localSheetId="3">#REF!</definedName>
    <definedName name="รวมอาคาร17" localSheetId="2">#REF!</definedName>
    <definedName name="รวมอาคาร17">#REF!</definedName>
    <definedName name="รวมอาคาร18" localSheetId="3">#REF!</definedName>
    <definedName name="รวมอาคาร18" localSheetId="2">#REF!</definedName>
    <definedName name="รวมอาคาร18">#REF!</definedName>
    <definedName name="รวมอาคาร19" localSheetId="3">#REF!</definedName>
    <definedName name="รวมอาคาร19" localSheetId="2">#REF!</definedName>
    <definedName name="รวมอาคาร19">#REF!</definedName>
    <definedName name="รวมอาคาร20" localSheetId="3">#REF!</definedName>
    <definedName name="รวมอาคาร20" localSheetId="2">#REF!</definedName>
    <definedName name="รวมอาคาร20">#REF!</definedName>
    <definedName name="รวมอาคาร21" localSheetId="3">#REF!</definedName>
    <definedName name="รวมอาคาร21" localSheetId="2">#REF!</definedName>
    <definedName name="รวมอาคาร21">#REF!</definedName>
    <definedName name="รวมอาคาร22" localSheetId="3">#REF!</definedName>
    <definedName name="รวมอาคาร22" localSheetId="2">#REF!</definedName>
    <definedName name="รวมอาคาร22">#REF!</definedName>
    <definedName name="รวมอาคาร23" localSheetId="3">#REF!</definedName>
    <definedName name="รวมอาคาร23" localSheetId="2">#REF!</definedName>
    <definedName name="รวมอาคาร23">#REF!</definedName>
    <definedName name="รวมอาคาร3" localSheetId="3">#REF!</definedName>
    <definedName name="รวมอาคาร3" localSheetId="2">#REF!</definedName>
    <definedName name="รวมอาคาร3">#REF!</definedName>
    <definedName name="รวมอาคาร4" localSheetId="3">#REF!</definedName>
    <definedName name="รวมอาคาร4" localSheetId="2">#REF!</definedName>
    <definedName name="รวมอาคาร4">#REF!</definedName>
    <definedName name="รวมอาคาร5" localSheetId="3">#REF!</definedName>
    <definedName name="รวมอาคาร5" localSheetId="2">#REF!</definedName>
    <definedName name="รวมอาคาร5">#REF!</definedName>
    <definedName name="รวมอาคาร6" localSheetId="3">#REF!</definedName>
    <definedName name="รวมอาคาร6" localSheetId="2">#REF!</definedName>
    <definedName name="รวมอาคาร6">#REF!</definedName>
    <definedName name="รวมอาคาร7" localSheetId="3">#REF!</definedName>
    <definedName name="รวมอาคาร7" localSheetId="2">#REF!</definedName>
    <definedName name="รวมอาคาร7">#REF!</definedName>
    <definedName name="รองพื้นทางชนิดหินคลุก" localSheetId="3">#REF!</definedName>
    <definedName name="รองพื้นทางชนิดหินคลุก" localSheetId="2">#REF!</definedName>
    <definedName name="รองพื้นทางชนิดหินคลุก">#REF!</definedName>
    <definedName name="ระแนง2x4นิ้วพร้อมโครงขนาด0.8x3.0ม." localSheetId="3">#REF!</definedName>
    <definedName name="ระแนง2x4นิ้วพร้อมโครงขนาด0.8x3.0ม." localSheetId="2">#REF!</definedName>
    <definedName name="ระแนง2x4นิ้วพร้อมโครงขนาด0.8x3.0ม.">#REF!</definedName>
    <definedName name="ระแนงไม้2x4นิ้วระยะเรียง1.0ม." localSheetId="3">#REF!</definedName>
    <definedName name="ระแนงไม้2x4นิ้วระยะเรียง1.0ม." localSheetId="2">#REF!</definedName>
    <definedName name="ระแนงไม้2x4นิ้วระยะเรียง1.0ม.">#REF!</definedName>
    <definedName name="ระแนงไม้เทียม1.5x3นิ้วพร้อมโครง2x4นิ้วขนาด0.8x2.8ม." localSheetId="3">#REF!</definedName>
    <definedName name="ระแนงไม้เทียม1.5x3นิ้วพร้อมโครง2x4นิ้วขนาด0.8x2.8ม." localSheetId="2">#REF!</definedName>
    <definedName name="ระแนงไม้เทียม1.5x3นิ้วพร้อมโครง2x4นิ้วขนาด0.8x2.8ม.">#REF!</definedName>
    <definedName name="ระแนงไม้เทียม1.5x3นิ้วพร้อมโครงไม้เทียม2x4นิ้ว" localSheetId="3">'[42]unit cost'!#REF!</definedName>
    <definedName name="ระแนงไม้เทียม1.5x3นิ้วพร้อมโครงไม้เทียม2x4นิ้ว" localSheetId="2">'[42]unit cost'!#REF!</definedName>
    <definedName name="ระแนงไม้เทียม1.5x3นิ้วพร้อมโครงไม้เทียม2x4นิ้ว">'[42]unit cost'!#REF!</definedName>
    <definedName name="ระแนงไม้เทียม1.5x3นิ้ววางบนคานและจันทัน" localSheetId="3">#REF!</definedName>
    <definedName name="ระแนงไม้เทียม1.5x3นิ้ววางบนคานและจันทัน" localSheetId="4">#REF!</definedName>
    <definedName name="ระแนงไม้เทียม1.5x3นิ้ววางบนคานและจันทัน" localSheetId="18">#REF!</definedName>
    <definedName name="ระแนงไม้เทียม1.5x3นิ้ววางบนคานและจันทัน" localSheetId="19">#REF!</definedName>
    <definedName name="ระแนงไม้เทียม1.5x3นิ้ววางบนคานและจันทัน" localSheetId="9">#REF!</definedName>
    <definedName name="ระแนงไม้เทียม1.5x3นิ้ววางบนคานและจันทัน" localSheetId="10">#REF!</definedName>
    <definedName name="ระแนงไม้เทียม1.5x3นิ้ววางบนคานและจันทัน" localSheetId="11">#REF!</definedName>
    <definedName name="ระแนงไม้เทียม1.5x3นิ้ววางบนคานและจันทัน" localSheetId="12">#REF!</definedName>
    <definedName name="ระแนงไม้เทียม1.5x3นิ้ววางบนคานและจันทัน" localSheetId="13">#REF!</definedName>
    <definedName name="ระแนงไม้เทียม1.5x3นิ้ววางบนคานและจันทัน" localSheetId="14">#REF!</definedName>
    <definedName name="ระแนงไม้เทียม1.5x3นิ้ววางบนคานและจันทัน" localSheetId="15">#REF!</definedName>
    <definedName name="ระแนงไม้เทียม1.5x3นิ้ววางบนคานและจันทัน" localSheetId="16">#REF!</definedName>
    <definedName name="ระแนงไม้เทียม1.5x3นิ้ววางบนคานและจันทัน" localSheetId="17">#REF!</definedName>
    <definedName name="ระแนงไม้เทียม1.5x3นิ้ววางบนคานและจันทัน" localSheetId="8">#REF!</definedName>
    <definedName name="ระแนงไม้เทียม1.5x3นิ้ววางบนคานและจันทัน" localSheetId="7">#REF!</definedName>
    <definedName name="ระแนงไม้เทียม1.5x3นิ้ววางบนคานและจันทัน" localSheetId="6">#REF!</definedName>
    <definedName name="ระแนงไม้เทียม1.5x3นิ้ววางบนคานและจันทัน" localSheetId="20">#REF!</definedName>
    <definedName name="ระแนงไม้เทียม1.5x3นิ้ววางบนคานและจันทัน" localSheetId="5">#REF!</definedName>
    <definedName name="ระแนงไม้เทียม1.5x3นิ้ววางบนคานและจันทัน" localSheetId="21">#REF!</definedName>
    <definedName name="ระแนงไม้เทียม1.5x3นิ้ววางบนคานและจันทัน" localSheetId="34">#REF!</definedName>
    <definedName name="ระแนงไม้เทียม1.5x3นิ้ววางบนคานและจันทัน" localSheetId="35">#REF!</definedName>
    <definedName name="ระแนงไม้เทียม1.5x3นิ้ววางบนคานและจันทัน" localSheetId="25">#REF!</definedName>
    <definedName name="ระแนงไม้เทียม1.5x3นิ้ววางบนคานและจันทัน" localSheetId="27">#REF!</definedName>
    <definedName name="ระแนงไม้เทียม1.5x3นิ้ววางบนคานและจันทัน" localSheetId="28">#REF!</definedName>
    <definedName name="ระแนงไม้เทียม1.5x3นิ้ววางบนคานและจันทัน" localSheetId="29">#REF!</definedName>
    <definedName name="ระแนงไม้เทียม1.5x3นิ้ววางบนคานและจันทัน" localSheetId="31">#REF!</definedName>
    <definedName name="ระแนงไม้เทียม1.5x3นิ้ววางบนคานและจันทัน" localSheetId="32">#REF!</definedName>
    <definedName name="ระแนงไม้เทียม1.5x3นิ้ววางบนคานและจันทัน" localSheetId="33">#REF!</definedName>
    <definedName name="ระแนงไม้เทียม1.5x3นิ้ววางบนคานและจันทัน" localSheetId="24">#REF!</definedName>
    <definedName name="ระแนงไม้เทียม1.5x3นิ้ววางบนคานและจันทัน" localSheetId="23">#REF!</definedName>
    <definedName name="ระแนงไม้เทียม1.5x3นิ้ววางบนคานและจันทัน" localSheetId="36">#REF!</definedName>
    <definedName name="ระแนงไม้เทียม1.5x3นิ้ววางบนคานและจันทัน" localSheetId="22">#REF!</definedName>
    <definedName name="ระแนงไม้เทียม1.5x3นิ้ววางบนคานและจันทัน" localSheetId="26">#REF!</definedName>
    <definedName name="ระแนงไม้เทียม1.5x3นิ้ววางบนคานและจันทัน" localSheetId="30">#REF!</definedName>
    <definedName name="ระแนงไม้เทียม1.5x3นิ้ววางบนคานและจันทัน" localSheetId="41">#REF!</definedName>
    <definedName name="ระแนงไม้เทียม1.5x3นิ้ววางบนคานและจันทัน" localSheetId="50">#REF!</definedName>
    <definedName name="ระแนงไม้เทียม1.5x3นิ้ววางบนคานและจันทัน" localSheetId="51">#REF!</definedName>
    <definedName name="ระแนงไม้เทียม1.5x3นิ้ววางบนคานและจันทัน" localSheetId="42">#REF!</definedName>
    <definedName name="ระแนงไม้เทียม1.5x3นิ้ววางบนคานและจันทัน" localSheetId="43">#REF!</definedName>
    <definedName name="ระแนงไม้เทียม1.5x3นิ้ววางบนคานและจันทัน" localSheetId="44">#REF!</definedName>
    <definedName name="ระแนงไม้เทียม1.5x3นิ้ววางบนคานและจันทัน" localSheetId="45">#REF!</definedName>
    <definedName name="ระแนงไม้เทียม1.5x3นิ้ววางบนคานและจันทัน" localSheetId="46">#REF!</definedName>
    <definedName name="ระแนงไม้เทียม1.5x3นิ้ววางบนคานและจันทัน" localSheetId="47">#REF!</definedName>
    <definedName name="ระแนงไม้เทียม1.5x3นิ้ววางบนคานและจันทัน" localSheetId="48">#REF!</definedName>
    <definedName name="ระแนงไม้เทียม1.5x3นิ้ววางบนคานและจันทัน" localSheetId="49">#REF!</definedName>
    <definedName name="ระแนงไม้เทียม1.5x3นิ้ววางบนคานและจันทัน" localSheetId="52">#REF!</definedName>
    <definedName name="ระแนงไม้เทียม1.5x3นิ้ววางบนคานและจันทัน" localSheetId="40">#REF!</definedName>
    <definedName name="ระแนงไม้เทียม1.5x3นิ้ววางบนคานและจันทัน" localSheetId="39">#REF!</definedName>
    <definedName name="ระแนงไม้เทียม1.5x3นิ้ววางบนคานและจันทัน" localSheetId="38">#REF!</definedName>
    <definedName name="ระแนงไม้เทียม1.5x3นิ้ววางบนคานและจันทัน" localSheetId="37">#REF!</definedName>
    <definedName name="ระแนงไม้เทียม1.5x3นิ้ววางบนคานและจันทัน" localSheetId="57">#REF!</definedName>
    <definedName name="ระแนงไม้เทียม1.5x3นิ้ววางบนคานและจันทัน" localSheetId="66">#REF!</definedName>
    <definedName name="ระแนงไม้เทียม1.5x3นิ้ววางบนคานและจันทัน" localSheetId="67">#REF!</definedName>
    <definedName name="ระแนงไม้เทียม1.5x3นิ้ววางบนคานและจันทัน" localSheetId="58">#REF!</definedName>
    <definedName name="ระแนงไม้เทียม1.5x3นิ้ววางบนคานและจันทัน" localSheetId="59">#REF!</definedName>
    <definedName name="ระแนงไม้เทียม1.5x3นิ้ววางบนคานและจันทัน" localSheetId="60">#REF!</definedName>
    <definedName name="ระแนงไม้เทียม1.5x3นิ้ววางบนคานและจันทัน" localSheetId="61">#REF!</definedName>
    <definedName name="ระแนงไม้เทียม1.5x3นิ้ววางบนคานและจันทัน" localSheetId="62">#REF!</definedName>
    <definedName name="ระแนงไม้เทียม1.5x3นิ้ววางบนคานและจันทัน" localSheetId="63">#REF!</definedName>
    <definedName name="ระแนงไม้เทียม1.5x3นิ้ววางบนคานและจันทัน" localSheetId="64">#REF!</definedName>
    <definedName name="ระแนงไม้เทียม1.5x3นิ้ววางบนคานและจันทัน" localSheetId="65">#REF!</definedName>
    <definedName name="ระแนงไม้เทียม1.5x3นิ้ววางบนคานและจันทัน" localSheetId="68">#REF!</definedName>
    <definedName name="ระแนงไม้เทียม1.5x3นิ้ววางบนคานและจันทัน" localSheetId="56">#REF!</definedName>
    <definedName name="ระแนงไม้เทียม1.5x3นิ้ววางบนคานและจันทัน" localSheetId="55">#REF!</definedName>
    <definedName name="ระแนงไม้เทียม1.5x3นิ้ววางบนคานและจันทัน" localSheetId="54">#REF!</definedName>
    <definedName name="ระแนงไม้เทียม1.5x3นิ้ววางบนคานและจันทัน" localSheetId="69">#REF!</definedName>
    <definedName name="ระแนงไม้เทียม1.5x3นิ้ววางบนคานและจันทัน" localSheetId="53">#REF!</definedName>
    <definedName name="ระแนงไม้เทียม1.5x3นิ้ววางบนคานและจันทัน" localSheetId="85">#REF!</definedName>
    <definedName name="ระแนงไม้เทียม1.5x3นิ้ววางบนคานและจันทัน" localSheetId="86">#REF!</definedName>
    <definedName name="ระแนงไม้เทียม1.5x3นิ้ววางบนคานและจันทัน" localSheetId="2">#REF!</definedName>
    <definedName name="ระแนงไม้เทียม1.5x3นิ้ววางบนคานและจันทัน">#REF!</definedName>
    <definedName name="ระแนงไม้เทียม1.5x4นิ้วพร้อมโครงไม้เทียมขนาด0.80x2.90ม." localSheetId="3">#REF!</definedName>
    <definedName name="ระแนงไม้เทียม1.5x4นิ้วพร้อมโครงไม้เทียมขนาด0.80x2.90ม." localSheetId="4">#REF!</definedName>
    <definedName name="ระแนงไม้เทียม1.5x4นิ้วพร้อมโครงไม้เทียมขนาด0.80x2.90ม." localSheetId="18">#REF!</definedName>
    <definedName name="ระแนงไม้เทียม1.5x4นิ้วพร้อมโครงไม้เทียมขนาด0.80x2.90ม." localSheetId="19">#REF!</definedName>
    <definedName name="ระแนงไม้เทียม1.5x4นิ้วพร้อมโครงไม้เทียมขนาด0.80x2.90ม." localSheetId="9">#REF!</definedName>
    <definedName name="ระแนงไม้เทียม1.5x4นิ้วพร้อมโครงไม้เทียมขนาด0.80x2.90ม." localSheetId="10">#REF!</definedName>
    <definedName name="ระแนงไม้เทียม1.5x4นิ้วพร้อมโครงไม้เทียมขนาด0.80x2.90ม." localSheetId="11">#REF!</definedName>
    <definedName name="ระแนงไม้เทียม1.5x4นิ้วพร้อมโครงไม้เทียมขนาด0.80x2.90ม." localSheetId="12">#REF!</definedName>
    <definedName name="ระแนงไม้เทียม1.5x4นิ้วพร้อมโครงไม้เทียมขนาด0.80x2.90ม." localSheetId="13">#REF!</definedName>
    <definedName name="ระแนงไม้เทียม1.5x4นิ้วพร้อมโครงไม้เทียมขนาด0.80x2.90ม." localSheetId="14">#REF!</definedName>
    <definedName name="ระแนงไม้เทียม1.5x4นิ้วพร้อมโครงไม้เทียมขนาด0.80x2.90ม." localSheetId="15">#REF!</definedName>
    <definedName name="ระแนงไม้เทียม1.5x4นิ้วพร้อมโครงไม้เทียมขนาด0.80x2.90ม." localSheetId="16">#REF!</definedName>
    <definedName name="ระแนงไม้เทียม1.5x4นิ้วพร้อมโครงไม้เทียมขนาด0.80x2.90ม." localSheetId="17">#REF!</definedName>
    <definedName name="ระแนงไม้เทียม1.5x4นิ้วพร้อมโครงไม้เทียมขนาด0.80x2.90ม." localSheetId="8">#REF!</definedName>
    <definedName name="ระแนงไม้เทียม1.5x4นิ้วพร้อมโครงไม้เทียมขนาด0.80x2.90ม." localSheetId="7">#REF!</definedName>
    <definedName name="ระแนงไม้เทียม1.5x4นิ้วพร้อมโครงไม้เทียมขนาด0.80x2.90ม." localSheetId="6">#REF!</definedName>
    <definedName name="ระแนงไม้เทียม1.5x4นิ้วพร้อมโครงไม้เทียมขนาด0.80x2.90ม." localSheetId="20">#REF!</definedName>
    <definedName name="ระแนงไม้เทียม1.5x4นิ้วพร้อมโครงไม้เทียมขนาด0.80x2.90ม." localSheetId="5">#REF!</definedName>
    <definedName name="ระแนงไม้เทียม1.5x4นิ้วพร้อมโครงไม้เทียมขนาด0.80x2.90ม." localSheetId="21">#REF!</definedName>
    <definedName name="ระแนงไม้เทียม1.5x4นิ้วพร้อมโครงไม้เทียมขนาด0.80x2.90ม." localSheetId="34">#REF!</definedName>
    <definedName name="ระแนงไม้เทียม1.5x4นิ้วพร้อมโครงไม้เทียมขนาด0.80x2.90ม." localSheetId="35">#REF!</definedName>
    <definedName name="ระแนงไม้เทียม1.5x4นิ้วพร้อมโครงไม้เทียมขนาด0.80x2.90ม." localSheetId="25">#REF!</definedName>
    <definedName name="ระแนงไม้เทียม1.5x4นิ้วพร้อมโครงไม้เทียมขนาด0.80x2.90ม." localSheetId="27">#REF!</definedName>
    <definedName name="ระแนงไม้เทียม1.5x4นิ้วพร้อมโครงไม้เทียมขนาด0.80x2.90ม." localSheetId="28">#REF!</definedName>
    <definedName name="ระแนงไม้เทียม1.5x4นิ้วพร้อมโครงไม้เทียมขนาด0.80x2.90ม." localSheetId="29">#REF!</definedName>
    <definedName name="ระแนงไม้เทียม1.5x4นิ้วพร้อมโครงไม้เทียมขนาด0.80x2.90ม." localSheetId="31">#REF!</definedName>
    <definedName name="ระแนงไม้เทียม1.5x4นิ้วพร้อมโครงไม้เทียมขนาด0.80x2.90ม." localSheetId="32">#REF!</definedName>
    <definedName name="ระแนงไม้เทียม1.5x4นิ้วพร้อมโครงไม้เทียมขนาด0.80x2.90ม." localSheetId="33">#REF!</definedName>
    <definedName name="ระแนงไม้เทียม1.5x4นิ้วพร้อมโครงไม้เทียมขนาด0.80x2.90ม." localSheetId="24">#REF!</definedName>
    <definedName name="ระแนงไม้เทียม1.5x4นิ้วพร้อมโครงไม้เทียมขนาด0.80x2.90ม." localSheetId="23">#REF!</definedName>
    <definedName name="ระแนงไม้เทียม1.5x4นิ้วพร้อมโครงไม้เทียมขนาด0.80x2.90ม." localSheetId="36">#REF!</definedName>
    <definedName name="ระแนงไม้เทียม1.5x4นิ้วพร้อมโครงไม้เทียมขนาด0.80x2.90ม." localSheetId="22">#REF!</definedName>
    <definedName name="ระแนงไม้เทียม1.5x4นิ้วพร้อมโครงไม้เทียมขนาด0.80x2.90ม." localSheetId="26">#REF!</definedName>
    <definedName name="ระแนงไม้เทียม1.5x4นิ้วพร้อมโครงไม้เทียมขนาด0.80x2.90ม." localSheetId="30">#REF!</definedName>
    <definedName name="ระแนงไม้เทียม1.5x4นิ้วพร้อมโครงไม้เทียมขนาด0.80x2.90ม." localSheetId="85">#REF!</definedName>
    <definedName name="ระแนงไม้เทียม1.5x4นิ้วพร้อมโครงไม้เทียมขนาด0.80x2.90ม." localSheetId="86">#REF!</definedName>
    <definedName name="ระแนงไม้เทียม1.5x4นิ้วพร้อมโครงไม้เทียมขนาด0.80x2.90ม." localSheetId="2">#REF!</definedName>
    <definedName name="ระแนงไม้เทียม1.5x4นิ้วพร้อมโครงไม้เทียมขนาด0.80x2.90ม.">#REF!</definedName>
    <definedName name="ระแนงไม้เทียม1.5x4นิ้วระยะเรียง0.1ม." localSheetId="3">#REF!</definedName>
    <definedName name="ระแนงไม้เทียม1.5x4นิ้วระยะเรียง0.1ม." localSheetId="4">#REF!</definedName>
    <definedName name="ระแนงไม้เทียม1.5x4นิ้วระยะเรียง0.1ม." localSheetId="85">#REF!</definedName>
    <definedName name="ระแนงไม้เทียม1.5x4นิ้วระยะเรียง0.1ม." localSheetId="86">#REF!</definedName>
    <definedName name="ระแนงไม้เทียม1.5x4นิ้วระยะเรียง0.1ม." localSheetId="2">#REF!</definedName>
    <definedName name="ระแนงไม้เทียม1.5x4นิ้วระยะเรียง0.1ม.">#REF!</definedName>
    <definedName name="ระแนงไม้เทียม2x4นิ้วโครง4x4นิ้วขนาด1.1x7.6ม." localSheetId="3">#REF!</definedName>
    <definedName name="ระแนงไม้เทียม2x4นิ้วโครง4x4นิ้วขนาด1.1x7.6ม." localSheetId="2">#REF!</definedName>
    <definedName name="ระแนงไม้เทียม2x4นิ้วโครง4x4นิ้วขนาด1.1x7.6ม.">#REF!</definedName>
    <definedName name="ระแนงไม้เทียม2x4นิ้วพร้อมโครง2x4นิ้วขนาด0.95x2.2ม." localSheetId="3">#REF!</definedName>
    <definedName name="ระแนงไม้เทียม2x4นิ้วพร้อมโครง2x4นิ้วขนาด0.95x2.2ม." localSheetId="2">#REF!</definedName>
    <definedName name="ระแนงไม้เทียม2x4นิ้วพร้อมโครง2x4นิ้วขนาด0.95x2.2ม.">#REF!</definedName>
    <definedName name="ระแนงไม้เทียม2x4นิ้วระยะเรียง0.50ม." localSheetId="3">#REF!</definedName>
    <definedName name="ระแนงไม้เทียม2x4นิ้วระยะเรียง0.50ม." localSheetId="2">#REF!</definedName>
    <definedName name="ระแนงไม้เทียม2x4นิ้วระยะเรียง0.50ม.">#REF!</definedName>
    <definedName name="ระยะเหล็กเส้น" localSheetId="3">#REF!</definedName>
    <definedName name="ระยะเหล็กเส้น" localSheetId="2">#REF!</definedName>
    <definedName name="ระยะเหล็กเส้น">#REF!</definedName>
    <definedName name="ระยะแอสฟัลท์" localSheetId="3">#REF!</definedName>
    <definedName name="ระยะแอสฟัลท์" localSheetId="2">#REF!</definedName>
    <definedName name="ระยะแอสฟัลท์">#REF!</definedName>
    <definedName name="ระยะขนทิ้ง1" localSheetId="3">#REF!</definedName>
    <definedName name="ระยะขนทิ้ง1" localSheetId="2">#REF!</definedName>
    <definedName name="ระยะขนทิ้ง1">#REF!</definedName>
    <definedName name="ระยะขนส่งเหล็ก" localSheetId="3">#REF!</definedName>
    <definedName name="ระยะขนส่งเหล็ก" localSheetId="2">#REF!</definedName>
    <definedName name="ระยะขนส่งเหล็ก">#REF!</definedName>
    <definedName name="ระยะขนส่งคอนกรีต" localSheetId="3">#REF!</definedName>
    <definedName name="ระยะขนส่งคอนกรีต" localSheetId="2">#REF!</definedName>
    <definedName name="ระยะขนส่งคอนกรีต">#REF!</definedName>
    <definedName name="ระยะขนส่งดิน" localSheetId="3">#REF!</definedName>
    <definedName name="ระยะขนส่งดิน" localSheetId="2">#REF!</definedName>
    <definedName name="ระยะขนส่งดิน">#REF!</definedName>
    <definedName name="ระยะขนส่งทราย" localSheetId="3">#REF!</definedName>
    <definedName name="ระยะขนส่งทราย" localSheetId="2">#REF!</definedName>
    <definedName name="ระยะขนส่งทราย">#REF!</definedName>
    <definedName name="ระยะขนส่งท่อ" localSheetId="3">#REF!</definedName>
    <definedName name="ระยะขนส่งท่อ" localSheetId="2">#REF!</definedName>
    <definedName name="ระยะขนส่งท่อ">#REF!</definedName>
    <definedName name="ระยะขนส่งปูนผง" localSheetId="3">#REF!</definedName>
    <definedName name="ระยะขนส่งปูนผง" localSheetId="2">#REF!</definedName>
    <definedName name="ระยะขนส่งปูนผง">#REF!</definedName>
    <definedName name="ระยะขนส่งยางมะตอย" localSheetId="3">#REF!</definedName>
    <definedName name="ระยะขนส่งยางมะตอย" localSheetId="2">#REF!</definedName>
    <definedName name="ระยะขนส่งยางมะตอย">#REF!</definedName>
    <definedName name="ระยะขนส่งส่วนกลาง1" localSheetId="3">#REF!</definedName>
    <definedName name="ระยะขนส่งส่วนกลาง1" localSheetId="2">#REF!</definedName>
    <definedName name="ระยะขนส่งส่วนกลาง1">#REF!</definedName>
    <definedName name="ระยะขนส่งส่วนกลาง2" localSheetId="3">#REF!</definedName>
    <definedName name="ระยะขนส่งส่วนกลาง2" localSheetId="2">#REF!</definedName>
    <definedName name="ระยะขนส่งส่วนกลาง2">#REF!</definedName>
    <definedName name="ระยะขนส่งหิน" localSheetId="3">#REF!</definedName>
    <definedName name="ระยะขนส่งหิน" localSheetId="2">#REF!</definedName>
    <definedName name="ระยะขนส่งหิน">#REF!</definedName>
    <definedName name="ระยะดินตัด" localSheetId="3">#REF!</definedName>
    <definedName name="ระยะดินตัด" localSheetId="2">#REF!</definedName>
    <definedName name="ระยะดินตัด">#REF!</definedName>
    <definedName name="ระยะดินถม" localSheetId="3">#REF!</definedName>
    <definedName name="ระยะดินถม" localSheetId="2">#REF!</definedName>
    <definedName name="ระยะดินถม">#REF!</definedName>
    <definedName name="ระยะทรายถม" localSheetId="3">#REF!</definedName>
    <definedName name="ระยะทรายถม" localSheetId="2">#REF!</definedName>
    <definedName name="ระยะทรายถม">#REF!</definedName>
    <definedName name="ระยะทรายหยาบ" localSheetId="3">#REF!</definedName>
    <definedName name="ระยะทรายหยาบ" localSheetId="2">#REF!</definedName>
    <definedName name="ระยะทรายหยาบ">#REF!</definedName>
    <definedName name="ระยะทางขนส่งคอนกรีต" localSheetId="3">#REF!</definedName>
    <definedName name="ระยะทางขนส่งคอนกรีต" localSheetId="2">#REF!</definedName>
    <definedName name="ระยะทางขนส่งคอนกรีต">#REF!</definedName>
    <definedName name="ระยะปูนต์" localSheetId="3">#REF!</definedName>
    <definedName name="ระยะปูนต์" localSheetId="2">#REF!</definedName>
    <definedName name="ระยะปูนต์">#REF!</definedName>
    <definedName name="ระยะลูกรัง" localSheetId="3">#REF!</definedName>
    <definedName name="ระยะลูกรัง" localSheetId="2">#REF!</definedName>
    <definedName name="ระยะลูกรัง">#REF!</definedName>
    <definedName name="ระยะวัสดุคัดเลือก" localSheetId="3">#REF!</definedName>
    <definedName name="ระยะวัสดุคัดเลือก" localSheetId="2">#REF!</definedName>
    <definedName name="ระยะวัสดุคัดเลือก">#REF!</definedName>
    <definedName name="ระยะหิน12" localSheetId="3">#REF!</definedName>
    <definedName name="ระยะหิน12" localSheetId="2">#REF!</definedName>
    <definedName name="ระยะหิน12">#REF!</definedName>
    <definedName name="ระยะหินคลุก" localSheetId="3">#REF!</definedName>
    <definedName name="ระยะหินคลุก" localSheetId="2">#REF!</definedName>
    <definedName name="ระยะหินคลุก">#REF!</definedName>
    <definedName name="ระยะหินผสม" localSheetId="3">#REF!</definedName>
    <definedName name="ระยะหินผสม" localSheetId="2">#REF!</definedName>
    <definedName name="ระยะหินผสม">#REF!</definedName>
    <definedName name="ราคาPOLYFELTGEOTETEXTILES_TS500" localSheetId="3">#REF!</definedName>
    <definedName name="ราคาPOLYFELTGEOTETEXTILES_TS500" localSheetId="2">#REF!</definedName>
    <definedName name="ราคาPOLYFELTGEOTETEXTILES_TS500">#REF!</definedName>
    <definedName name="ราคาเข็ม0.40X0.40ต่อเมตร" localSheetId="3">#REF!</definedName>
    <definedName name="ราคาเข็ม0.40X0.40ต่อเมตร" localSheetId="2">#REF!</definedName>
    <definedName name="ราคาเข็ม0.40X0.40ต่อเมตร">#REF!</definedName>
    <definedName name="ราคาเข็ม0.50X0.50ต่อเมตร" localSheetId="3">#REF!</definedName>
    <definedName name="ราคาเข็ม0.50X0.50ต่อเมตร" localSheetId="2">#REF!</definedName>
    <definedName name="ราคาเข็ม0.50X0.50ต่อเมตร">#REF!</definedName>
    <definedName name="ราคาเหล็กC150x65x20x3.2มม." localSheetId="3">#REF!</definedName>
    <definedName name="ราคาเหล็กC150x65x20x3.2มม." localSheetId="2">#REF!</definedName>
    <definedName name="ราคาเหล็กC150x65x20x3.2มม.">#REF!</definedName>
    <definedName name="ราคาเหล็กC150x75x25x3.2มม." localSheetId="3">#REF!</definedName>
    <definedName name="ราคาเหล็กC150x75x25x3.2มม." localSheetId="2">#REF!</definedName>
    <definedName name="ราคาเหล็กC150x75x25x3.2มม.">#REF!</definedName>
    <definedName name="ราคาเหล็กC150x75x25x4มม." localSheetId="3">#REF!</definedName>
    <definedName name="ราคาเหล็กC150x75x25x4มม." localSheetId="2">#REF!</definedName>
    <definedName name="ราคาเหล็กC150x75x25x4มม.">#REF!</definedName>
    <definedName name="ราคาเหล็กC200x75x25x3.2มม." localSheetId="3">#REF!</definedName>
    <definedName name="ราคาเหล็กC200x75x25x3.2มม." localSheetId="2">#REF!</definedName>
    <definedName name="ราคาเหล็กC200x75x25x3.2มม.">#REF!</definedName>
    <definedName name="ราคาเหล็กC200x75x25x4.5มม." localSheetId="3">#REF!</definedName>
    <definedName name="ราคาเหล็กC200x75x25x4.5มม." localSheetId="2">#REF!</definedName>
    <definedName name="ราคาเหล็กC200x75x25x4.5มม.">#REF!</definedName>
    <definedName name="ราคาเหล็กC200x75x25x4มม." localSheetId="3">#REF!</definedName>
    <definedName name="ราคาเหล็กC200x75x25x4มม." localSheetId="2">#REF!</definedName>
    <definedName name="ราคาเหล็กC200x75x25x4มม.">#REF!</definedName>
    <definedName name="ราคาเหล็กL50x50x6มม." localSheetId="3">#REF!</definedName>
    <definedName name="ราคาเหล็กL50x50x6มม." localSheetId="2">#REF!</definedName>
    <definedName name="ราคาเหล็กL50x50x6มม.">#REF!</definedName>
    <definedName name="ราคาเหล็กWF100x100x6x8มม." localSheetId="3">#REF!</definedName>
    <definedName name="ราคาเหล็กWF100x100x6x8มม." localSheetId="2">#REF!</definedName>
    <definedName name="ราคาเหล็กWF100x100x6x8มม.">#REF!</definedName>
    <definedName name="ราคาเหล็กเส้น" localSheetId="3">#REF!</definedName>
    <definedName name="ราคาเหล็กเส้น" localSheetId="2">#REF!</definedName>
    <definedName name="ราคาเหล็กเส้น">#REF!</definedName>
    <definedName name="ราคาเหล็กเส้นกลมSR24RB12">[11]ราคาวัสดุ!$D$48</definedName>
    <definedName name="ราคาเหล็กเส้นกลมSR24RB15">[11]ราคาวัสดุ!$D$49</definedName>
    <definedName name="ราคาเหล็กเส้นกลมSR24RB19">[11]ราคาวัสดุ!$D$50</definedName>
    <definedName name="ราคาเหล็กเส้นกลมSR24RB25">[11]ราคาวัสดุ!$D$51</definedName>
    <definedName name="ราคาเหล็กเส้นกลมSR24RB6">[11]ราคาวัสดุ!$D$46</definedName>
    <definedName name="ราคาเหล็กเส้นกลมSR24RB9">[11]ราคาวัสดุ!$D$47</definedName>
    <definedName name="ราคาเหล็กกล่อง1.5x1.5x1.2" localSheetId="3">#REF!</definedName>
    <definedName name="ราคาเหล็กกล่อง1.5x1.5x1.2" localSheetId="18">#REF!</definedName>
    <definedName name="ราคาเหล็กกล่อง1.5x1.5x1.2" localSheetId="19">#REF!</definedName>
    <definedName name="ราคาเหล็กกล่อง1.5x1.5x1.2" localSheetId="9">#REF!</definedName>
    <definedName name="ราคาเหล็กกล่อง1.5x1.5x1.2" localSheetId="10">#REF!</definedName>
    <definedName name="ราคาเหล็กกล่อง1.5x1.5x1.2" localSheetId="11">#REF!</definedName>
    <definedName name="ราคาเหล็กกล่อง1.5x1.5x1.2" localSheetId="12">#REF!</definedName>
    <definedName name="ราคาเหล็กกล่อง1.5x1.5x1.2" localSheetId="13">#REF!</definedName>
    <definedName name="ราคาเหล็กกล่อง1.5x1.5x1.2" localSheetId="14">#REF!</definedName>
    <definedName name="ราคาเหล็กกล่อง1.5x1.5x1.2" localSheetId="15">#REF!</definedName>
    <definedName name="ราคาเหล็กกล่อง1.5x1.5x1.2" localSheetId="16">#REF!</definedName>
    <definedName name="ราคาเหล็กกล่อง1.5x1.5x1.2" localSheetId="17">#REF!</definedName>
    <definedName name="ราคาเหล็กกล่อง1.5x1.5x1.2" localSheetId="8">#REF!</definedName>
    <definedName name="ราคาเหล็กกล่อง1.5x1.5x1.2" localSheetId="7">#REF!</definedName>
    <definedName name="ราคาเหล็กกล่อง1.5x1.5x1.2" localSheetId="6">#REF!</definedName>
    <definedName name="ราคาเหล็กกล่อง1.5x1.5x1.2" localSheetId="20">#REF!</definedName>
    <definedName name="ราคาเหล็กกล่อง1.5x1.5x1.2" localSheetId="5">#REF!</definedName>
    <definedName name="ราคาเหล็กกล่อง1.5x1.5x1.2" localSheetId="21">#REF!</definedName>
    <definedName name="ราคาเหล็กกล่อง1.5x1.5x1.2" localSheetId="34">#REF!</definedName>
    <definedName name="ราคาเหล็กกล่อง1.5x1.5x1.2" localSheetId="35">#REF!</definedName>
    <definedName name="ราคาเหล็กกล่อง1.5x1.5x1.2" localSheetId="25">#REF!</definedName>
    <definedName name="ราคาเหล็กกล่อง1.5x1.5x1.2" localSheetId="27">#REF!</definedName>
    <definedName name="ราคาเหล็กกล่อง1.5x1.5x1.2" localSheetId="28">#REF!</definedName>
    <definedName name="ราคาเหล็กกล่อง1.5x1.5x1.2" localSheetId="29">#REF!</definedName>
    <definedName name="ราคาเหล็กกล่อง1.5x1.5x1.2" localSheetId="31">#REF!</definedName>
    <definedName name="ราคาเหล็กกล่อง1.5x1.5x1.2" localSheetId="32">#REF!</definedName>
    <definedName name="ราคาเหล็กกล่อง1.5x1.5x1.2" localSheetId="33">#REF!</definedName>
    <definedName name="ราคาเหล็กกล่อง1.5x1.5x1.2" localSheetId="24">#REF!</definedName>
    <definedName name="ราคาเหล็กกล่อง1.5x1.5x1.2" localSheetId="23">#REF!</definedName>
    <definedName name="ราคาเหล็กกล่อง1.5x1.5x1.2" localSheetId="36">#REF!</definedName>
    <definedName name="ราคาเหล็กกล่อง1.5x1.5x1.2" localSheetId="22">#REF!</definedName>
    <definedName name="ราคาเหล็กกล่อง1.5x1.5x1.2" localSheetId="26">#REF!</definedName>
    <definedName name="ราคาเหล็กกล่อง1.5x1.5x1.2" localSheetId="30">#REF!</definedName>
    <definedName name="ราคาเหล็กกล่อง1.5x1.5x1.2" localSheetId="41">#REF!</definedName>
    <definedName name="ราคาเหล็กกล่อง1.5x1.5x1.2" localSheetId="50">#REF!</definedName>
    <definedName name="ราคาเหล็กกล่อง1.5x1.5x1.2" localSheetId="51">#REF!</definedName>
    <definedName name="ราคาเหล็กกล่อง1.5x1.5x1.2" localSheetId="42">#REF!</definedName>
    <definedName name="ราคาเหล็กกล่อง1.5x1.5x1.2" localSheetId="43">#REF!</definedName>
    <definedName name="ราคาเหล็กกล่อง1.5x1.5x1.2" localSheetId="44">#REF!</definedName>
    <definedName name="ราคาเหล็กกล่อง1.5x1.5x1.2" localSheetId="45">#REF!</definedName>
    <definedName name="ราคาเหล็กกล่อง1.5x1.5x1.2" localSheetId="46">#REF!</definedName>
    <definedName name="ราคาเหล็กกล่อง1.5x1.5x1.2" localSheetId="47">#REF!</definedName>
    <definedName name="ราคาเหล็กกล่อง1.5x1.5x1.2" localSheetId="48">#REF!</definedName>
    <definedName name="ราคาเหล็กกล่อง1.5x1.5x1.2" localSheetId="49">#REF!</definedName>
    <definedName name="ราคาเหล็กกล่อง1.5x1.5x1.2" localSheetId="52">#REF!</definedName>
    <definedName name="ราคาเหล็กกล่อง1.5x1.5x1.2" localSheetId="40">#REF!</definedName>
    <definedName name="ราคาเหล็กกล่อง1.5x1.5x1.2" localSheetId="39">#REF!</definedName>
    <definedName name="ราคาเหล็กกล่อง1.5x1.5x1.2" localSheetId="38">#REF!</definedName>
    <definedName name="ราคาเหล็กกล่อง1.5x1.5x1.2" localSheetId="37">#REF!</definedName>
    <definedName name="ราคาเหล็กกล่อง1.5x1.5x1.2" localSheetId="57">#REF!</definedName>
    <definedName name="ราคาเหล็กกล่อง1.5x1.5x1.2" localSheetId="66">#REF!</definedName>
    <definedName name="ราคาเหล็กกล่อง1.5x1.5x1.2" localSheetId="67">#REF!</definedName>
    <definedName name="ราคาเหล็กกล่อง1.5x1.5x1.2" localSheetId="58">#REF!</definedName>
    <definedName name="ราคาเหล็กกล่อง1.5x1.5x1.2" localSheetId="59">#REF!</definedName>
    <definedName name="ราคาเหล็กกล่อง1.5x1.5x1.2" localSheetId="60">#REF!</definedName>
    <definedName name="ราคาเหล็กกล่อง1.5x1.5x1.2" localSheetId="61">#REF!</definedName>
    <definedName name="ราคาเหล็กกล่อง1.5x1.5x1.2" localSheetId="62">#REF!</definedName>
    <definedName name="ราคาเหล็กกล่อง1.5x1.5x1.2" localSheetId="63">#REF!</definedName>
    <definedName name="ราคาเหล็กกล่อง1.5x1.5x1.2" localSheetId="64">#REF!</definedName>
    <definedName name="ราคาเหล็กกล่อง1.5x1.5x1.2" localSheetId="65">#REF!</definedName>
    <definedName name="ราคาเหล็กกล่อง1.5x1.5x1.2" localSheetId="68">#REF!</definedName>
    <definedName name="ราคาเหล็กกล่อง1.5x1.5x1.2" localSheetId="56">#REF!</definedName>
    <definedName name="ราคาเหล็กกล่อง1.5x1.5x1.2" localSheetId="55">#REF!</definedName>
    <definedName name="ราคาเหล็กกล่อง1.5x1.5x1.2" localSheetId="54">#REF!</definedName>
    <definedName name="ราคาเหล็กกล่อง1.5x1.5x1.2" localSheetId="69">#REF!</definedName>
    <definedName name="ราคาเหล็กกล่อง1.5x1.5x1.2" localSheetId="53">#REF!</definedName>
    <definedName name="ราคาเหล็กกล่อง1.5x1.5x1.2" localSheetId="85">#REF!</definedName>
    <definedName name="ราคาเหล็กกล่อง1.5x1.5x1.2" localSheetId="86">#REF!</definedName>
    <definedName name="ราคาเหล็กกล่อง1.5x1.5x1.2" localSheetId="2">#REF!</definedName>
    <definedName name="ราคาเหล็กกล่อง1.5x1.5x1.2">#REF!</definedName>
    <definedName name="ราคาเหล็กกล่อง1.5x1.5x1.8" localSheetId="3">#REF!</definedName>
    <definedName name="ราคาเหล็กกล่อง1.5x1.5x1.8" localSheetId="18">#REF!</definedName>
    <definedName name="ราคาเหล็กกล่อง1.5x1.5x1.8" localSheetId="19">#REF!</definedName>
    <definedName name="ราคาเหล็กกล่อง1.5x1.5x1.8" localSheetId="9">#REF!</definedName>
    <definedName name="ราคาเหล็กกล่อง1.5x1.5x1.8" localSheetId="10">#REF!</definedName>
    <definedName name="ราคาเหล็กกล่อง1.5x1.5x1.8" localSheetId="11">#REF!</definedName>
    <definedName name="ราคาเหล็กกล่อง1.5x1.5x1.8" localSheetId="12">#REF!</definedName>
    <definedName name="ราคาเหล็กกล่อง1.5x1.5x1.8" localSheetId="13">#REF!</definedName>
    <definedName name="ราคาเหล็กกล่อง1.5x1.5x1.8" localSheetId="14">#REF!</definedName>
    <definedName name="ราคาเหล็กกล่อง1.5x1.5x1.8" localSheetId="15">#REF!</definedName>
    <definedName name="ราคาเหล็กกล่อง1.5x1.5x1.8" localSheetId="16">#REF!</definedName>
    <definedName name="ราคาเหล็กกล่อง1.5x1.5x1.8" localSheetId="17">#REF!</definedName>
    <definedName name="ราคาเหล็กกล่อง1.5x1.5x1.8" localSheetId="8">#REF!</definedName>
    <definedName name="ราคาเหล็กกล่อง1.5x1.5x1.8" localSheetId="7">#REF!</definedName>
    <definedName name="ราคาเหล็กกล่อง1.5x1.5x1.8" localSheetId="6">#REF!</definedName>
    <definedName name="ราคาเหล็กกล่อง1.5x1.5x1.8" localSheetId="20">#REF!</definedName>
    <definedName name="ราคาเหล็กกล่อง1.5x1.5x1.8" localSheetId="5">#REF!</definedName>
    <definedName name="ราคาเหล็กกล่อง1.5x1.5x1.8" localSheetId="21">#REF!</definedName>
    <definedName name="ราคาเหล็กกล่อง1.5x1.5x1.8" localSheetId="34">#REF!</definedName>
    <definedName name="ราคาเหล็กกล่อง1.5x1.5x1.8" localSheetId="35">#REF!</definedName>
    <definedName name="ราคาเหล็กกล่อง1.5x1.5x1.8" localSheetId="25">#REF!</definedName>
    <definedName name="ราคาเหล็กกล่อง1.5x1.5x1.8" localSheetId="27">#REF!</definedName>
    <definedName name="ราคาเหล็กกล่อง1.5x1.5x1.8" localSheetId="28">#REF!</definedName>
    <definedName name="ราคาเหล็กกล่อง1.5x1.5x1.8" localSheetId="29">#REF!</definedName>
    <definedName name="ราคาเหล็กกล่อง1.5x1.5x1.8" localSheetId="31">#REF!</definedName>
    <definedName name="ราคาเหล็กกล่อง1.5x1.5x1.8" localSheetId="32">#REF!</definedName>
    <definedName name="ราคาเหล็กกล่อง1.5x1.5x1.8" localSheetId="33">#REF!</definedName>
    <definedName name="ราคาเหล็กกล่อง1.5x1.5x1.8" localSheetId="24">#REF!</definedName>
    <definedName name="ราคาเหล็กกล่อง1.5x1.5x1.8" localSheetId="23">#REF!</definedName>
    <definedName name="ราคาเหล็กกล่อง1.5x1.5x1.8" localSheetId="36">#REF!</definedName>
    <definedName name="ราคาเหล็กกล่อง1.5x1.5x1.8" localSheetId="22">#REF!</definedName>
    <definedName name="ราคาเหล็กกล่อง1.5x1.5x1.8" localSheetId="26">#REF!</definedName>
    <definedName name="ราคาเหล็กกล่อง1.5x1.5x1.8" localSheetId="30">#REF!</definedName>
    <definedName name="ราคาเหล็กกล่อง1.5x1.5x1.8" localSheetId="85">#REF!</definedName>
    <definedName name="ราคาเหล็กกล่อง1.5x1.5x1.8" localSheetId="86">#REF!</definedName>
    <definedName name="ราคาเหล็กกล่อง1.5x1.5x1.8" localSheetId="2">#REF!</definedName>
    <definedName name="ราคาเหล็กกล่อง1.5x1.5x1.8">#REF!</definedName>
    <definedName name="ราคาเหล็กกล่อง100x50x3.2" localSheetId="3">#REF!</definedName>
    <definedName name="ราคาเหล็กกล่อง100x50x3.2" localSheetId="85">#REF!</definedName>
    <definedName name="ราคาเหล็กกล่อง100x50x3.2" localSheetId="86">#REF!</definedName>
    <definedName name="ราคาเหล็กกล่อง100x50x3.2" localSheetId="2">#REF!</definedName>
    <definedName name="ราคาเหล็กกล่อง100x50x3.2">#REF!</definedName>
    <definedName name="ราคาเหล็กกล่อง125x75x3.2" localSheetId="3">#REF!</definedName>
    <definedName name="ราคาเหล็กกล่อง125x75x3.2" localSheetId="2">#REF!</definedName>
    <definedName name="ราคาเหล็กกล่อง125x75x3.2">#REF!</definedName>
    <definedName name="ราคาเหล็กข้ออ้อยSD40DB12">[11]ราคาวัสดุ!$D$53</definedName>
    <definedName name="ราคาเหล็กข้ออ้อยSD40DB16">[11]ราคาวัสดุ!$D$54</definedName>
    <definedName name="ราคาเหล็กข้ออ้อยSD40DB20">[11]ราคาวัสดุ!$D$55</definedName>
    <definedName name="ราคาเหล็กข้ออ้อยSD40DB25">[11]ราคาวัสดุ!$D$56</definedName>
    <definedName name="ราคาเหล็กข้ออ้อยSD40DB28">[11]ราคาวัสดุ!$D$57</definedName>
    <definedName name="ราคาเหล็กฉาก" localSheetId="3">#REF!</definedName>
    <definedName name="ราคาเหล็กฉาก" localSheetId="4">#REF!</definedName>
    <definedName name="ราคาเหล็กฉาก" localSheetId="18">#REF!</definedName>
    <definedName name="ราคาเหล็กฉาก" localSheetId="19">#REF!</definedName>
    <definedName name="ราคาเหล็กฉาก" localSheetId="9">#REF!</definedName>
    <definedName name="ราคาเหล็กฉาก" localSheetId="10">#REF!</definedName>
    <definedName name="ราคาเหล็กฉาก" localSheetId="11">#REF!</definedName>
    <definedName name="ราคาเหล็กฉาก" localSheetId="12">#REF!</definedName>
    <definedName name="ราคาเหล็กฉาก" localSheetId="13">#REF!</definedName>
    <definedName name="ราคาเหล็กฉาก" localSheetId="14">#REF!</definedName>
    <definedName name="ราคาเหล็กฉาก" localSheetId="15">#REF!</definedName>
    <definedName name="ราคาเหล็กฉาก" localSheetId="16">#REF!</definedName>
    <definedName name="ราคาเหล็กฉาก" localSheetId="17">#REF!</definedName>
    <definedName name="ราคาเหล็กฉาก" localSheetId="8">#REF!</definedName>
    <definedName name="ราคาเหล็กฉาก" localSheetId="7">#REF!</definedName>
    <definedName name="ราคาเหล็กฉาก" localSheetId="6">#REF!</definedName>
    <definedName name="ราคาเหล็กฉาก" localSheetId="20">#REF!</definedName>
    <definedName name="ราคาเหล็กฉาก" localSheetId="5">#REF!</definedName>
    <definedName name="ราคาเหล็กฉาก" localSheetId="21">#REF!</definedName>
    <definedName name="ราคาเหล็กฉาก" localSheetId="34">#REF!</definedName>
    <definedName name="ราคาเหล็กฉาก" localSheetId="35">#REF!</definedName>
    <definedName name="ราคาเหล็กฉาก" localSheetId="25">#REF!</definedName>
    <definedName name="ราคาเหล็กฉาก" localSheetId="27">#REF!</definedName>
    <definedName name="ราคาเหล็กฉาก" localSheetId="28">#REF!</definedName>
    <definedName name="ราคาเหล็กฉาก" localSheetId="29">#REF!</definedName>
    <definedName name="ราคาเหล็กฉาก" localSheetId="31">#REF!</definedName>
    <definedName name="ราคาเหล็กฉาก" localSheetId="32">#REF!</definedName>
    <definedName name="ราคาเหล็กฉาก" localSheetId="33">#REF!</definedName>
    <definedName name="ราคาเหล็กฉาก" localSheetId="24">#REF!</definedName>
    <definedName name="ราคาเหล็กฉาก" localSheetId="23">#REF!</definedName>
    <definedName name="ราคาเหล็กฉาก" localSheetId="36">#REF!</definedName>
    <definedName name="ราคาเหล็กฉาก" localSheetId="22">#REF!</definedName>
    <definedName name="ราคาเหล็กฉาก" localSheetId="26">#REF!</definedName>
    <definedName name="ราคาเหล็กฉาก" localSheetId="30">#REF!</definedName>
    <definedName name="ราคาเหล็กฉาก" localSheetId="41">#REF!</definedName>
    <definedName name="ราคาเหล็กฉาก" localSheetId="50">#REF!</definedName>
    <definedName name="ราคาเหล็กฉาก" localSheetId="51">#REF!</definedName>
    <definedName name="ราคาเหล็กฉาก" localSheetId="42">#REF!</definedName>
    <definedName name="ราคาเหล็กฉาก" localSheetId="43">#REF!</definedName>
    <definedName name="ราคาเหล็กฉาก" localSheetId="44">#REF!</definedName>
    <definedName name="ราคาเหล็กฉาก" localSheetId="45">#REF!</definedName>
    <definedName name="ราคาเหล็กฉาก" localSheetId="46">#REF!</definedName>
    <definedName name="ราคาเหล็กฉาก" localSheetId="47">#REF!</definedName>
    <definedName name="ราคาเหล็กฉาก" localSheetId="48">#REF!</definedName>
    <definedName name="ราคาเหล็กฉาก" localSheetId="49">#REF!</definedName>
    <definedName name="ราคาเหล็กฉาก" localSheetId="52">#REF!</definedName>
    <definedName name="ราคาเหล็กฉาก" localSheetId="40">#REF!</definedName>
    <definedName name="ราคาเหล็กฉาก" localSheetId="39">#REF!</definedName>
    <definedName name="ราคาเหล็กฉาก" localSheetId="38">#REF!</definedName>
    <definedName name="ราคาเหล็กฉาก" localSheetId="37">#REF!</definedName>
    <definedName name="ราคาเหล็กฉาก" localSheetId="57">#REF!</definedName>
    <definedName name="ราคาเหล็กฉาก" localSheetId="66">#REF!</definedName>
    <definedName name="ราคาเหล็กฉาก" localSheetId="67">#REF!</definedName>
    <definedName name="ราคาเหล็กฉาก" localSheetId="58">#REF!</definedName>
    <definedName name="ราคาเหล็กฉาก" localSheetId="59">#REF!</definedName>
    <definedName name="ราคาเหล็กฉาก" localSheetId="60">#REF!</definedName>
    <definedName name="ราคาเหล็กฉาก" localSheetId="61">#REF!</definedName>
    <definedName name="ราคาเหล็กฉาก" localSheetId="62">#REF!</definedName>
    <definedName name="ราคาเหล็กฉาก" localSheetId="63">#REF!</definedName>
    <definedName name="ราคาเหล็กฉาก" localSheetId="64">#REF!</definedName>
    <definedName name="ราคาเหล็กฉาก" localSheetId="65">#REF!</definedName>
    <definedName name="ราคาเหล็กฉาก" localSheetId="68">#REF!</definedName>
    <definedName name="ราคาเหล็กฉาก" localSheetId="56">#REF!</definedName>
    <definedName name="ราคาเหล็กฉาก" localSheetId="55">#REF!</definedName>
    <definedName name="ราคาเหล็กฉาก" localSheetId="54">#REF!</definedName>
    <definedName name="ราคาเหล็กฉาก" localSheetId="69">#REF!</definedName>
    <definedName name="ราคาเหล็กฉาก" localSheetId="53">#REF!</definedName>
    <definedName name="ราคาเหล็กฉาก" localSheetId="85">#REF!</definedName>
    <definedName name="ราคาเหล็กฉาก" localSheetId="86">#REF!</definedName>
    <definedName name="ราคาเหล็กฉาก" localSheetId="2">#REF!</definedName>
    <definedName name="ราคาเหล็กฉาก">#REF!</definedName>
    <definedName name="ราคาเหล็กตัวซีหนา2.3มม.ยาว6เมตร" localSheetId="3">#REF!</definedName>
    <definedName name="ราคาเหล็กตัวซีหนา2.3มม.ยาว6เมตร" localSheetId="4">#REF!</definedName>
    <definedName name="ราคาเหล็กตัวซีหนา2.3มม.ยาว6เมตร" localSheetId="18">#REF!</definedName>
    <definedName name="ราคาเหล็กตัวซีหนา2.3มม.ยาว6เมตร" localSheetId="19">#REF!</definedName>
    <definedName name="ราคาเหล็กตัวซีหนา2.3มม.ยาว6เมตร" localSheetId="9">#REF!</definedName>
    <definedName name="ราคาเหล็กตัวซีหนา2.3มม.ยาว6เมตร" localSheetId="10">#REF!</definedName>
    <definedName name="ราคาเหล็กตัวซีหนา2.3มม.ยาว6เมตร" localSheetId="11">#REF!</definedName>
    <definedName name="ราคาเหล็กตัวซีหนา2.3มม.ยาว6เมตร" localSheetId="12">#REF!</definedName>
    <definedName name="ราคาเหล็กตัวซีหนา2.3มม.ยาว6เมตร" localSheetId="13">#REF!</definedName>
    <definedName name="ราคาเหล็กตัวซีหนา2.3มม.ยาว6เมตร" localSheetId="14">#REF!</definedName>
    <definedName name="ราคาเหล็กตัวซีหนา2.3มม.ยาว6เมตร" localSheetId="15">#REF!</definedName>
    <definedName name="ราคาเหล็กตัวซีหนา2.3มม.ยาว6เมตร" localSheetId="16">#REF!</definedName>
    <definedName name="ราคาเหล็กตัวซีหนา2.3มม.ยาว6เมตร" localSheetId="17">#REF!</definedName>
    <definedName name="ราคาเหล็กตัวซีหนา2.3มม.ยาว6เมตร" localSheetId="8">#REF!</definedName>
    <definedName name="ราคาเหล็กตัวซีหนา2.3มม.ยาว6เมตร" localSheetId="7">#REF!</definedName>
    <definedName name="ราคาเหล็กตัวซีหนา2.3มม.ยาว6เมตร" localSheetId="6">#REF!</definedName>
    <definedName name="ราคาเหล็กตัวซีหนา2.3มม.ยาว6เมตร" localSheetId="20">#REF!</definedName>
    <definedName name="ราคาเหล็กตัวซีหนา2.3มม.ยาว6เมตร" localSheetId="5">#REF!</definedName>
    <definedName name="ราคาเหล็กตัวซีหนา2.3มม.ยาว6เมตร" localSheetId="21">#REF!</definedName>
    <definedName name="ราคาเหล็กตัวซีหนา2.3มม.ยาว6เมตร" localSheetId="34">#REF!</definedName>
    <definedName name="ราคาเหล็กตัวซีหนา2.3มม.ยาว6เมตร" localSheetId="35">#REF!</definedName>
    <definedName name="ราคาเหล็กตัวซีหนา2.3มม.ยาว6เมตร" localSheetId="25">#REF!</definedName>
    <definedName name="ราคาเหล็กตัวซีหนา2.3มม.ยาว6เมตร" localSheetId="27">#REF!</definedName>
    <definedName name="ราคาเหล็กตัวซีหนา2.3มม.ยาว6เมตร" localSheetId="28">#REF!</definedName>
    <definedName name="ราคาเหล็กตัวซีหนา2.3มม.ยาว6เมตร" localSheetId="29">#REF!</definedName>
    <definedName name="ราคาเหล็กตัวซีหนา2.3มม.ยาว6เมตร" localSheetId="31">#REF!</definedName>
    <definedName name="ราคาเหล็กตัวซีหนา2.3มม.ยาว6เมตร" localSheetId="32">#REF!</definedName>
    <definedName name="ราคาเหล็กตัวซีหนา2.3มม.ยาว6เมตร" localSheetId="33">#REF!</definedName>
    <definedName name="ราคาเหล็กตัวซีหนา2.3มม.ยาว6เมตร" localSheetId="24">#REF!</definedName>
    <definedName name="ราคาเหล็กตัวซีหนา2.3มม.ยาว6เมตร" localSheetId="23">#REF!</definedName>
    <definedName name="ราคาเหล็กตัวซีหนา2.3มม.ยาว6เมตร" localSheetId="36">#REF!</definedName>
    <definedName name="ราคาเหล็กตัวซีหนา2.3มม.ยาว6เมตร" localSheetId="22">#REF!</definedName>
    <definedName name="ราคาเหล็กตัวซีหนา2.3มม.ยาว6เมตร" localSheetId="26">#REF!</definedName>
    <definedName name="ราคาเหล็กตัวซีหนา2.3มม.ยาว6เมตร" localSheetId="30">#REF!</definedName>
    <definedName name="ราคาเหล็กตัวซีหนา2.3มม.ยาว6เมตร" localSheetId="85">#REF!</definedName>
    <definedName name="ราคาเหล็กตัวซีหนา2.3มม.ยาว6เมตร" localSheetId="86">#REF!</definedName>
    <definedName name="ราคาเหล็กตัวซีหนา2.3มม.ยาว6เมตร" localSheetId="2">#REF!</definedName>
    <definedName name="ราคาเหล็กตัวซีหนา2.3มม.ยาว6เมตร">#REF!</definedName>
    <definedName name="ราคาเหล็กตัวซีหนา2.3มม.ยาว6เมตร100" localSheetId="3">#REF!</definedName>
    <definedName name="ราคาเหล็กตัวซีหนา2.3มม.ยาว6เมตร100" localSheetId="4">#REF!</definedName>
    <definedName name="ราคาเหล็กตัวซีหนา2.3มม.ยาว6เมตร100" localSheetId="85">#REF!</definedName>
    <definedName name="ราคาเหล็กตัวซีหนา2.3มม.ยาว6เมตร100" localSheetId="86">#REF!</definedName>
    <definedName name="ราคาเหล็กตัวซีหนา2.3มม.ยาว6เมตร100" localSheetId="2">#REF!</definedName>
    <definedName name="ราคาเหล็กตัวซีหนา2.3มม.ยาว6เมตร100">#REF!</definedName>
    <definedName name="ราคาเหล็กตัวซีหนา2.3มม.ยาว6เมตร125" localSheetId="3">#REF!</definedName>
    <definedName name="ราคาเหล็กตัวซีหนา2.3มม.ยาว6เมตร125" localSheetId="2">#REF!</definedName>
    <definedName name="ราคาเหล็กตัวซีหนา2.3มม.ยาว6เมตร125">#REF!</definedName>
    <definedName name="ราคาเหล็กตัวซีหนา3.2มม.ยาว6เมตร" localSheetId="3">#REF!</definedName>
    <definedName name="ราคาเหล็กตัวซีหนา3.2มม.ยาว6เมตร" localSheetId="2">#REF!</definedName>
    <definedName name="ราคาเหล็กตัวซีหนา3.2มม.ยาว6เมตร">#REF!</definedName>
    <definedName name="ราคาเหล็กตัวซีหนา3.2มม.ยาว6เมตร100" localSheetId="3">#REF!</definedName>
    <definedName name="ราคาเหล็กตัวซีหนา3.2มม.ยาว6เมตร100" localSheetId="2">#REF!</definedName>
    <definedName name="ราคาเหล็กตัวซีหนา3.2มม.ยาว6เมตร100">#REF!</definedName>
    <definedName name="ราคาเหล็กตัวซีหนา3.2มม.ยาว6เมตร125" localSheetId="3">#REF!</definedName>
    <definedName name="ราคาเหล็กตัวซีหนา3.2มม.ยาว6เมตร125" localSheetId="2">#REF!</definedName>
    <definedName name="ราคาเหล็กตัวซีหนา3.2มม.ยาว6เมตร125">#REF!</definedName>
    <definedName name="ราคาเหล็กรูปตัวเอช" localSheetId="3">#REF!</definedName>
    <definedName name="ราคาเหล็กรูปตัวเอช" localSheetId="2">#REF!</definedName>
    <definedName name="ราคาเหล็กรูปตัวเอช">#REF!</definedName>
    <definedName name="ราคาเหล็กรูปตัวไอ" localSheetId="3">#REF!</definedName>
    <definedName name="ราคาเหล็กรูปตัวไอ" localSheetId="2">#REF!</definedName>
    <definedName name="ราคาเหล็กรูปตัวไอ">#REF!</definedName>
    <definedName name="ราคาแผ่นใยไม้อัดแข็ง4มม." localSheetId="3">#REF!</definedName>
    <definedName name="ราคาแผ่นใยไม้อัดแข็ง4มม." localSheetId="2">#REF!</definedName>
    <definedName name="ราคาแผ่นใยไม้อัดแข็ง4มม.">#REF!</definedName>
    <definedName name="ราคาแผ่นใยไม้อัดแข็ง6มม." localSheetId="3">#REF!</definedName>
    <definedName name="ราคาแผ่นใยไม้อัดแข็ง6มม." localSheetId="2">#REF!</definedName>
    <definedName name="ราคาแผ่นใยไม้อัดแข็ง6มม.">#REF!</definedName>
    <definedName name="ราคาแอสฟัลท์" localSheetId="3">#REF!</definedName>
    <definedName name="ราคาแอสฟัลท์" localSheetId="4">#REF!</definedName>
    <definedName name="ราคาแอสฟัลท์" localSheetId="86">#REF!</definedName>
    <definedName name="ราคาแอสฟัลท์" localSheetId="2">#REF!</definedName>
    <definedName name="ราคาแอสฟัลท์">#REF!</definedName>
    <definedName name="ราคาแอสฟัลท์เปเปอร์" localSheetId="3">#REF!</definedName>
    <definedName name="ราคาแอสฟัลท์เปเปอร์" localSheetId="86">#REF!</definedName>
    <definedName name="ราคาแอสฟัลท์เปเปอร์" localSheetId="2">#REF!</definedName>
    <definedName name="ราคาแอสฟัลท์เปเปอร์">#REF!</definedName>
    <definedName name="ราคากระเบื้องแผ่นเรียบ4มม." localSheetId="3">#REF!</definedName>
    <definedName name="ราคากระเบื้องแผ่นเรียบ4มม." localSheetId="2">#REF!</definedName>
    <definedName name="ราคากระเบื้องแผ่นเรียบ4มม.">#REF!</definedName>
    <definedName name="ราคากระเบื้องแผ่นเรียบ6มม." localSheetId="3">#REF!</definedName>
    <definedName name="ราคากระเบื้องแผ่นเรียบ6มม." localSheetId="2">#REF!</definedName>
    <definedName name="ราคากระเบื้องแผ่นเรียบ6มม.">#REF!</definedName>
    <definedName name="ราคากระดาษชานอ้อย10มม." localSheetId="3">#REF!</definedName>
    <definedName name="ราคากระดาษชานอ้อย10มม." localSheetId="2">#REF!</definedName>
    <definedName name="ราคากระดาษชานอ้อย10มม.">#REF!</definedName>
    <definedName name="ราคากระดาษชานอ้อย12มม." localSheetId="3">#REF!</definedName>
    <definedName name="ราคากระดาษชานอ้อย12มม." localSheetId="2">#REF!</definedName>
    <definedName name="ราคากระดาษชานอ้อย12มม.">#REF!</definedName>
    <definedName name="ราคากระดาษชานอ้อย20มม." localSheetId="3">#REF!</definedName>
    <definedName name="ราคากระดาษชานอ้อย20มม." localSheetId="2">#REF!</definedName>
    <definedName name="ราคากระดาษชานอ้อย20มม.">#REF!</definedName>
    <definedName name="ราคากระดาษชานอ้อย25มม." localSheetId="3">#REF!</definedName>
    <definedName name="ราคากระดาษชานอ้อย25มม." localSheetId="2">#REF!</definedName>
    <definedName name="ราคากระดาษชานอ้อย25มม.">#REF!</definedName>
    <definedName name="ราคาคอนกรีต150">[17]unitcost!$Q$512</definedName>
    <definedName name="ราคาค่าขนส่งคอนกรีต" localSheetId="3">#REF!</definedName>
    <definedName name="ราคาค่าขนส่งคอนกรีต" localSheetId="4">#REF!</definedName>
    <definedName name="ราคาค่าขนส่งคอนกรีต" localSheetId="18">#REF!</definedName>
    <definedName name="ราคาค่าขนส่งคอนกรีต" localSheetId="19">#REF!</definedName>
    <definedName name="ราคาค่าขนส่งคอนกรีต" localSheetId="9">#REF!</definedName>
    <definedName name="ราคาค่าขนส่งคอนกรีต" localSheetId="10">#REF!</definedName>
    <definedName name="ราคาค่าขนส่งคอนกรีต" localSheetId="11">#REF!</definedName>
    <definedName name="ราคาค่าขนส่งคอนกรีต" localSheetId="12">#REF!</definedName>
    <definedName name="ราคาค่าขนส่งคอนกรีต" localSheetId="13">#REF!</definedName>
    <definedName name="ราคาค่าขนส่งคอนกรีต" localSheetId="14">#REF!</definedName>
    <definedName name="ราคาค่าขนส่งคอนกรีต" localSheetId="15">#REF!</definedName>
    <definedName name="ราคาค่าขนส่งคอนกรีต" localSheetId="16">#REF!</definedName>
    <definedName name="ราคาค่าขนส่งคอนกรีต" localSheetId="17">#REF!</definedName>
    <definedName name="ราคาค่าขนส่งคอนกรีต" localSheetId="8">#REF!</definedName>
    <definedName name="ราคาค่าขนส่งคอนกรีต" localSheetId="7">#REF!</definedName>
    <definedName name="ราคาค่าขนส่งคอนกรีต" localSheetId="6">#REF!</definedName>
    <definedName name="ราคาค่าขนส่งคอนกรีต" localSheetId="20">#REF!</definedName>
    <definedName name="ราคาค่าขนส่งคอนกรีต" localSheetId="5">#REF!</definedName>
    <definedName name="ราคาค่าขนส่งคอนกรีต" localSheetId="21">#REF!</definedName>
    <definedName name="ราคาค่าขนส่งคอนกรีต" localSheetId="34">#REF!</definedName>
    <definedName name="ราคาค่าขนส่งคอนกรีต" localSheetId="35">#REF!</definedName>
    <definedName name="ราคาค่าขนส่งคอนกรีต" localSheetId="25">#REF!</definedName>
    <definedName name="ราคาค่าขนส่งคอนกรีต" localSheetId="27">#REF!</definedName>
    <definedName name="ราคาค่าขนส่งคอนกรีต" localSheetId="28">#REF!</definedName>
    <definedName name="ราคาค่าขนส่งคอนกรีต" localSheetId="29">#REF!</definedName>
    <definedName name="ราคาค่าขนส่งคอนกรีต" localSheetId="31">#REF!</definedName>
    <definedName name="ราคาค่าขนส่งคอนกรีต" localSheetId="32">#REF!</definedName>
    <definedName name="ราคาค่าขนส่งคอนกรีต" localSheetId="33">#REF!</definedName>
    <definedName name="ราคาค่าขนส่งคอนกรีต" localSheetId="24">#REF!</definedName>
    <definedName name="ราคาค่าขนส่งคอนกรีต" localSheetId="23">#REF!</definedName>
    <definedName name="ราคาค่าขนส่งคอนกรีต" localSheetId="36">#REF!</definedName>
    <definedName name="ราคาค่าขนส่งคอนกรีต" localSheetId="22">#REF!</definedName>
    <definedName name="ราคาค่าขนส่งคอนกรีต" localSheetId="26">#REF!</definedName>
    <definedName name="ราคาค่าขนส่งคอนกรีต" localSheetId="30">#REF!</definedName>
    <definedName name="ราคาค่าขนส่งคอนกรีต" localSheetId="41">#REF!</definedName>
    <definedName name="ราคาค่าขนส่งคอนกรีต" localSheetId="50">#REF!</definedName>
    <definedName name="ราคาค่าขนส่งคอนกรีต" localSheetId="51">#REF!</definedName>
    <definedName name="ราคาค่าขนส่งคอนกรีต" localSheetId="42">#REF!</definedName>
    <definedName name="ราคาค่าขนส่งคอนกรีต" localSheetId="43">#REF!</definedName>
    <definedName name="ราคาค่าขนส่งคอนกรีต" localSheetId="44">#REF!</definedName>
    <definedName name="ราคาค่าขนส่งคอนกรีต" localSheetId="45">#REF!</definedName>
    <definedName name="ราคาค่าขนส่งคอนกรีต" localSheetId="46">#REF!</definedName>
    <definedName name="ราคาค่าขนส่งคอนกรีต" localSheetId="47">#REF!</definedName>
    <definedName name="ราคาค่าขนส่งคอนกรีต" localSheetId="48">#REF!</definedName>
    <definedName name="ราคาค่าขนส่งคอนกรีต" localSheetId="49">#REF!</definedName>
    <definedName name="ราคาค่าขนส่งคอนกรีต" localSheetId="52">#REF!</definedName>
    <definedName name="ราคาค่าขนส่งคอนกรีต" localSheetId="40">#REF!</definedName>
    <definedName name="ราคาค่าขนส่งคอนกรีต" localSheetId="39">#REF!</definedName>
    <definedName name="ราคาค่าขนส่งคอนกรีต" localSheetId="38">#REF!</definedName>
    <definedName name="ราคาค่าขนส่งคอนกรีต" localSheetId="37">#REF!</definedName>
    <definedName name="ราคาค่าขนส่งคอนกรีต" localSheetId="57">#REF!</definedName>
    <definedName name="ราคาค่าขนส่งคอนกรีต" localSheetId="66">#REF!</definedName>
    <definedName name="ราคาค่าขนส่งคอนกรีต" localSheetId="67">#REF!</definedName>
    <definedName name="ราคาค่าขนส่งคอนกรีต" localSheetId="58">#REF!</definedName>
    <definedName name="ราคาค่าขนส่งคอนกรีต" localSheetId="59">#REF!</definedName>
    <definedName name="ราคาค่าขนส่งคอนกรีต" localSheetId="60">#REF!</definedName>
    <definedName name="ราคาค่าขนส่งคอนกรีต" localSheetId="61">#REF!</definedName>
    <definedName name="ราคาค่าขนส่งคอนกรีต" localSheetId="62">#REF!</definedName>
    <definedName name="ราคาค่าขนส่งคอนกรีต" localSheetId="63">#REF!</definedName>
    <definedName name="ราคาค่าขนส่งคอนกรีต" localSheetId="64">#REF!</definedName>
    <definedName name="ราคาค่าขนส่งคอนกรีต" localSheetId="65">#REF!</definedName>
    <definedName name="ราคาค่าขนส่งคอนกรีต" localSheetId="68">#REF!</definedName>
    <definedName name="ราคาค่าขนส่งคอนกรีต" localSheetId="56">#REF!</definedName>
    <definedName name="ราคาค่าขนส่งคอนกรีต" localSheetId="55">#REF!</definedName>
    <definedName name="ราคาค่าขนส่งคอนกรีต" localSheetId="54">#REF!</definedName>
    <definedName name="ราคาค่าขนส่งคอนกรีต" localSheetId="69">#REF!</definedName>
    <definedName name="ราคาค่าขนส่งคอนกรีต" localSheetId="53">#REF!</definedName>
    <definedName name="ราคาค่าขนส่งคอนกรีต" localSheetId="85">#REF!</definedName>
    <definedName name="ราคาค่าขนส่งคอนกรีต" localSheetId="86">#REF!</definedName>
    <definedName name="ราคาค่าขนส่งคอนกรีต" localSheetId="2">#REF!</definedName>
    <definedName name="ราคาค่าขนส่งคอนกรีต">#REF!</definedName>
    <definedName name="ราคาดินตัด" localSheetId="3">#REF!</definedName>
    <definedName name="ราคาดินตัด" localSheetId="4">#REF!</definedName>
    <definedName name="ราคาดินตัด" localSheetId="18">#REF!</definedName>
    <definedName name="ราคาดินตัด" localSheetId="19">#REF!</definedName>
    <definedName name="ราคาดินตัด" localSheetId="9">#REF!</definedName>
    <definedName name="ราคาดินตัด" localSheetId="10">#REF!</definedName>
    <definedName name="ราคาดินตัด" localSheetId="11">#REF!</definedName>
    <definedName name="ราคาดินตัด" localSheetId="12">#REF!</definedName>
    <definedName name="ราคาดินตัด" localSheetId="13">#REF!</definedName>
    <definedName name="ราคาดินตัด" localSheetId="14">#REF!</definedName>
    <definedName name="ราคาดินตัด" localSheetId="15">#REF!</definedName>
    <definedName name="ราคาดินตัด" localSheetId="16">#REF!</definedName>
    <definedName name="ราคาดินตัด" localSheetId="17">#REF!</definedName>
    <definedName name="ราคาดินตัด" localSheetId="8">#REF!</definedName>
    <definedName name="ราคาดินตัด" localSheetId="7">#REF!</definedName>
    <definedName name="ราคาดินตัด" localSheetId="6">#REF!</definedName>
    <definedName name="ราคาดินตัด" localSheetId="20">#REF!</definedName>
    <definedName name="ราคาดินตัด" localSheetId="5">#REF!</definedName>
    <definedName name="ราคาดินตัด" localSheetId="21">#REF!</definedName>
    <definedName name="ราคาดินตัด" localSheetId="34">#REF!</definedName>
    <definedName name="ราคาดินตัด" localSheetId="35">#REF!</definedName>
    <definedName name="ราคาดินตัด" localSheetId="25">#REF!</definedName>
    <definedName name="ราคาดินตัด" localSheetId="27">#REF!</definedName>
    <definedName name="ราคาดินตัด" localSheetId="28">#REF!</definedName>
    <definedName name="ราคาดินตัด" localSheetId="29">#REF!</definedName>
    <definedName name="ราคาดินตัด" localSheetId="31">#REF!</definedName>
    <definedName name="ราคาดินตัด" localSheetId="32">#REF!</definedName>
    <definedName name="ราคาดินตัด" localSheetId="33">#REF!</definedName>
    <definedName name="ราคาดินตัด" localSheetId="24">#REF!</definedName>
    <definedName name="ราคาดินตัด" localSheetId="23">#REF!</definedName>
    <definedName name="ราคาดินตัด" localSheetId="36">#REF!</definedName>
    <definedName name="ราคาดินตัด" localSheetId="22">#REF!</definedName>
    <definedName name="ราคาดินตัด" localSheetId="26">#REF!</definedName>
    <definedName name="ราคาดินตัด" localSheetId="30">#REF!</definedName>
    <definedName name="ราคาดินตัด" localSheetId="85">#REF!</definedName>
    <definedName name="ราคาดินตัด" localSheetId="86">#REF!</definedName>
    <definedName name="ราคาดินตัด" localSheetId="2">#REF!</definedName>
    <definedName name="ราคาดินตัด">#REF!</definedName>
    <definedName name="ราคาดินถม" localSheetId="3">#REF!</definedName>
    <definedName name="ราคาดินถม" localSheetId="4">#REF!</definedName>
    <definedName name="ราคาดินถม" localSheetId="85">#REF!</definedName>
    <definedName name="ราคาดินถม" localSheetId="86">#REF!</definedName>
    <definedName name="ราคาดินถม" localSheetId="2">#REF!</definedName>
    <definedName name="ราคาดินถม">#REF!</definedName>
    <definedName name="ราคาต่อหน่วย1.1" localSheetId="3">#REF!</definedName>
    <definedName name="ราคาต่อหน่วย1.1" localSheetId="2">#REF!</definedName>
    <definedName name="ราคาต่อหน่วย1.1">#REF!</definedName>
    <definedName name="ราคาต่อหน่วย1.2" localSheetId="3">#REF!</definedName>
    <definedName name="ราคาต่อหน่วย1.2" localSheetId="2">#REF!</definedName>
    <definedName name="ราคาต่อหน่วย1.2">#REF!</definedName>
    <definedName name="ราคาต่อหน่วย1.3" localSheetId="3">#REF!</definedName>
    <definedName name="ราคาต่อหน่วย1.3" localSheetId="2">#REF!</definedName>
    <definedName name="ราคาต่อหน่วย1.3">#REF!</definedName>
    <definedName name="ราคาต่อหน่วย1.3.1" localSheetId="3">#REF!</definedName>
    <definedName name="ราคาต่อหน่วย1.3.1" localSheetId="2">#REF!</definedName>
    <definedName name="ราคาต่อหน่วย1.3.1">#REF!</definedName>
    <definedName name="ราคาต่อหน่วย1.3.2" localSheetId="3">#REF!</definedName>
    <definedName name="ราคาต่อหน่วย1.3.2" localSheetId="2">#REF!</definedName>
    <definedName name="ราคาต่อหน่วย1.3.2">#REF!</definedName>
    <definedName name="ราคาต่อหน่วย1.3.3" localSheetId="3">#REF!</definedName>
    <definedName name="ราคาต่อหน่วย1.3.3" localSheetId="2">#REF!</definedName>
    <definedName name="ราคาต่อหน่วย1.3.3">#REF!</definedName>
    <definedName name="ราคาต่อหน่วย1.3.4" localSheetId="3">#REF!</definedName>
    <definedName name="ราคาต่อหน่วย1.3.4" localSheetId="2">#REF!</definedName>
    <definedName name="ราคาต่อหน่วย1.3.4">#REF!</definedName>
    <definedName name="ราคาต่อหน่วย1.4" localSheetId="3">#REF!</definedName>
    <definedName name="ราคาต่อหน่วย1.4" localSheetId="2">#REF!</definedName>
    <definedName name="ราคาต่อหน่วย1.4">#REF!</definedName>
    <definedName name="ราคาต่อหน่วย1.4.1" localSheetId="3">#REF!</definedName>
    <definedName name="ราคาต่อหน่วย1.4.1" localSheetId="2">#REF!</definedName>
    <definedName name="ราคาต่อหน่วย1.4.1">#REF!</definedName>
    <definedName name="ราคาต่อหน่วย1.4.2" localSheetId="3">#REF!</definedName>
    <definedName name="ราคาต่อหน่วย1.4.2" localSheetId="2">#REF!</definedName>
    <definedName name="ราคาต่อหน่วย1.4.2">#REF!</definedName>
    <definedName name="ราคาต่อหน่วย1.4.3" localSheetId="3">#REF!</definedName>
    <definedName name="ราคาต่อหน่วย1.4.3" localSheetId="2">#REF!</definedName>
    <definedName name="ราคาต่อหน่วย1.4.3">#REF!</definedName>
    <definedName name="ราคาต่อหน่วย1.5" localSheetId="3">#REF!</definedName>
    <definedName name="ราคาต่อหน่วย1.5" localSheetId="2">#REF!</definedName>
    <definedName name="ราคาต่อหน่วย1.5">#REF!</definedName>
    <definedName name="ราคาต่อหน่วย1.6" localSheetId="3">#REF!</definedName>
    <definedName name="ราคาต่อหน่วย1.6" localSheetId="2">#REF!</definedName>
    <definedName name="ราคาต่อหน่วย1.6">#REF!</definedName>
    <definedName name="ราคาต่อหน่วย1.6.1" localSheetId="3">#REF!</definedName>
    <definedName name="ราคาต่อหน่วย1.6.1" localSheetId="2">#REF!</definedName>
    <definedName name="ราคาต่อหน่วย1.6.1">#REF!</definedName>
    <definedName name="ราคาต่อหน่วย1.6.2" localSheetId="3">#REF!</definedName>
    <definedName name="ราคาต่อหน่วย1.6.2" localSheetId="2">#REF!</definedName>
    <definedName name="ราคาต่อหน่วย1.6.2">#REF!</definedName>
    <definedName name="ราคาต่อหน่วย2.1" localSheetId="3">#REF!</definedName>
    <definedName name="ราคาต่อหน่วย2.1" localSheetId="2">#REF!</definedName>
    <definedName name="ราคาต่อหน่วย2.1">#REF!</definedName>
    <definedName name="ราคาต่อหน่วย2.2_1" localSheetId="3">#REF!</definedName>
    <definedName name="ราคาต่อหน่วย2.2_1" localSheetId="2">#REF!</definedName>
    <definedName name="ราคาต่อหน่วย2.2_1">#REF!</definedName>
    <definedName name="ราคาต่อหน่วย2.2_2" localSheetId="3">#REF!</definedName>
    <definedName name="ราคาต่อหน่วย2.2_2" localSheetId="2">#REF!</definedName>
    <definedName name="ราคาต่อหน่วย2.2_2">#REF!</definedName>
    <definedName name="ราคาต่อหน่วย2.2_3" localSheetId="3">#REF!</definedName>
    <definedName name="ราคาต่อหน่วย2.2_3" localSheetId="2">#REF!</definedName>
    <definedName name="ราคาต่อหน่วย2.2_3">#REF!</definedName>
    <definedName name="ราคาต่อหน่วย2.2_4" localSheetId="3">#REF!</definedName>
    <definedName name="ราคาต่อหน่วย2.2_4" localSheetId="2">#REF!</definedName>
    <definedName name="ราคาต่อหน่วย2.2_4">#REF!</definedName>
    <definedName name="ราคาต่อหน่วย2.2_5" localSheetId="3">#REF!</definedName>
    <definedName name="ราคาต่อหน่วย2.2_5" localSheetId="2">#REF!</definedName>
    <definedName name="ราคาต่อหน่วย2.2_5">#REF!</definedName>
    <definedName name="ราคาต่อหน่วย2.3_1" localSheetId="3">#REF!</definedName>
    <definedName name="ราคาต่อหน่วย2.3_1" localSheetId="2">#REF!</definedName>
    <definedName name="ราคาต่อหน่วย2.3_1">#REF!</definedName>
    <definedName name="ราคาต่อหน่วย2.3_10.1" localSheetId="3">#REF!</definedName>
    <definedName name="ราคาต่อหน่วย2.3_10.1" localSheetId="2">#REF!</definedName>
    <definedName name="ราคาต่อหน่วย2.3_10.1">#REF!</definedName>
    <definedName name="ราคาต่อหน่วย2.3_10.2" localSheetId="3">#REF!</definedName>
    <definedName name="ราคาต่อหน่วย2.3_10.2" localSheetId="2">#REF!</definedName>
    <definedName name="ราคาต่อหน่วย2.3_10.2">#REF!</definedName>
    <definedName name="ราคาต่อหน่วย2.3_2" localSheetId="3">#REF!</definedName>
    <definedName name="ราคาต่อหน่วย2.3_2" localSheetId="2">#REF!</definedName>
    <definedName name="ราคาต่อหน่วย2.3_2">#REF!</definedName>
    <definedName name="ราคาต่อหน่วย2.3_3" localSheetId="3">#REF!</definedName>
    <definedName name="ราคาต่อหน่วย2.3_3" localSheetId="2">#REF!</definedName>
    <definedName name="ราคาต่อหน่วย2.3_3">#REF!</definedName>
    <definedName name="ราคาต่อหน่วย2.3_4" localSheetId="3">#REF!</definedName>
    <definedName name="ราคาต่อหน่วย2.3_4" localSheetId="2">#REF!</definedName>
    <definedName name="ราคาต่อหน่วย2.3_4">#REF!</definedName>
    <definedName name="ราคาต่อหน่วย2.3_5" localSheetId="3">#REF!</definedName>
    <definedName name="ราคาต่อหน่วย2.3_5" localSheetId="2">#REF!</definedName>
    <definedName name="ราคาต่อหน่วย2.3_5">#REF!</definedName>
    <definedName name="ราคาต่อหน่วย2.3_6" localSheetId="3">#REF!</definedName>
    <definedName name="ราคาต่อหน่วย2.3_6" localSheetId="2">#REF!</definedName>
    <definedName name="ราคาต่อหน่วย2.3_6">#REF!</definedName>
    <definedName name="ราคาต่อหน่วย2.3_7" localSheetId="3">#REF!</definedName>
    <definedName name="ราคาต่อหน่วย2.3_7" localSheetId="2">#REF!</definedName>
    <definedName name="ราคาต่อหน่วย2.3_7">#REF!</definedName>
    <definedName name="ราคาต่อหน่วย2.3_8" localSheetId="3">#REF!</definedName>
    <definedName name="ราคาต่อหน่วย2.3_8" localSheetId="2">#REF!</definedName>
    <definedName name="ราคาต่อหน่วย2.3_8">#REF!</definedName>
    <definedName name="ราคาต่อหน่วย2.3_9" localSheetId="3">#REF!</definedName>
    <definedName name="ราคาต่อหน่วย2.3_9" localSheetId="2">#REF!</definedName>
    <definedName name="ราคาต่อหน่วย2.3_9">#REF!</definedName>
    <definedName name="ราคาต่อหน่วย2.4_1" localSheetId="3">#REF!</definedName>
    <definedName name="ราคาต่อหน่วย2.4_1" localSheetId="2">#REF!</definedName>
    <definedName name="ราคาต่อหน่วย2.4_1">#REF!</definedName>
    <definedName name="ราคาต่อหน่วย2.4_2" localSheetId="3">#REF!</definedName>
    <definedName name="ราคาต่อหน่วย2.4_2" localSheetId="2">#REF!</definedName>
    <definedName name="ราคาต่อหน่วย2.4_2">#REF!</definedName>
    <definedName name="ราคาต่อหน่วย3.1_1" localSheetId="3">#REF!</definedName>
    <definedName name="ราคาต่อหน่วย3.1_1" localSheetId="2">#REF!</definedName>
    <definedName name="ราคาต่อหน่วย3.1_1">#REF!</definedName>
    <definedName name="ราคาต่อหน่วย3.1_2" localSheetId="3">#REF!</definedName>
    <definedName name="ราคาต่อหน่วย3.1_2" localSheetId="2">#REF!</definedName>
    <definedName name="ราคาต่อหน่วย3.1_2">#REF!</definedName>
    <definedName name="ราคาต่อหน่วย3.2_1" localSheetId="3">#REF!</definedName>
    <definedName name="ราคาต่อหน่วย3.2_1" localSheetId="2">#REF!</definedName>
    <definedName name="ราคาต่อหน่วย3.2_1">#REF!</definedName>
    <definedName name="ราคาต่อหน่วย3.2_2" localSheetId="3">#REF!</definedName>
    <definedName name="ราคาต่อหน่วย3.2_2" localSheetId="2">#REF!</definedName>
    <definedName name="ราคาต่อหน่วย3.2_2">#REF!</definedName>
    <definedName name="ราคาต่อหน่วย3.2_3" localSheetId="3">#REF!</definedName>
    <definedName name="ราคาต่อหน่วย3.2_3" localSheetId="2">#REF!</definedName>
    <definedName name="ราคาต่อหน่วย3.2_3">#REF!</definedName>
    <definedName name="ราคาต่อหน่วย3.2_4" localSheetId="3">#REF!</definedName>
    <definedName name="ราคาต่อหน่วย3.2_4" localSheetId="2">#REF!</definedName>
    <definedName name="ราคาต่อหน่วย3.2_4">#REF!</definedName>
    <definedName name="ราคาต่อหน่วย3.3_1" localSheetId="3">#REF!</definedName>
    <definedName name="ราคาต่อหน่วย3.3_1" localSheetId="2">#REF!</definedName>
    <definedName name="ราคาต่อหน่วย3.3_1">#REF!</definedName>
    <definedName name="ราคาต่อหน่วย3.4_1" localSheetId="3">#REF!</definedName>
    <definedName name="ราคาต่อหน่วย3.4_1" localSheetId="2">#REF!</definedName>
    <definedName name="ราคาต่อหน่วย3.4_1">#REF!</definedName>
    <definedName name="ราคาต่อหน่วย3.4_2" localSheetId="3">#REF!</definedName>
    <definedName name="ราคาต่อหน่วย3.4_2" localSheetId="2">#REF!</definedName>
    <definedName name="ราคาต่อหน่วย3.4_2">#REF!</definedName>
    <definedName name="ราคาต่อหน่วย3.5" localSheetId="3">#REF!</definedName>
    <definedName name="ราคาต่อหน่วย3.5" localSheetId="2">#REF!</definedName>
    <definedName name="ราคาต่อหน่วย3.5">#REF!</definedName>
    <definedName name="ราคาต่อหน่วย3.6" localSheetId="3">#REF!</definedName>
    <definedName name="ราคาต่อหน่วย3.6" localSheetId="2">#REF!</definedName>
    <definedName name="ราคาต่อหน่วย3.6">#REF!</definedName>
    <definedName name="ราคาต่อหน่วย3.7_1" localSheetId="3">#REF!</definedName>
    <definedName name="ราคาต่อหน่วย3.7_1" localSheetId="2">#REF!</definedName>
    <definedName name="ราคาต่อหน่วย3.7_1">#REF!</definedName>
    <definedName name="ราคาต่อหน่วย3.7_2" localSheetId="3">#REF!</definedName>
    <definedName name="ราคาต่อหน่วย3.7_2" localSheetId="2">#REF!</definedName>
    <definedName name="ราคาต่อหน่วย3.7_2">#REF!</definedName>
    <definedName name="ราคาต่อหน่วย4.1_1" localSheetId="3">#REF!</definedName>
    <definedName name="ราคาต่อหน่วย4.1_1" localSheetId="2">#REF!</definedName>
    <definedName name="ราคาต่อหน่วย4.1_1">#REF!</definedName>
    <definedName name="ราคาต่อหน่วย4.1_2" localSheetId="3">#REF!</definedName>
    <definedName name="ราคาต่อหน่วย4.1_2" localSheetId="2">#REF!</definedName>
    <definedName name="ราคาต่อหน่วย4.1_2">#REF!</definedName>
    <definedName name="ราคาต่อหน่วย4.2_1" localSheetId="3">#REF!</definedName>
    <definedName name="ราคาต่อหน่วย4.2_1" localSheetId="2">#REF!</definedName>
    <definedName name="ราคาต่อหน่วย4.2_1">#REF!</definedName>
    <definedName name="ราคาต่อหน่วย4.2_2" localSheetId="3">#REF!</definedName>
    <definedName name="ราคาต่อหน่วย4.2_2" localSheetId="2">#REF!</definedName>
    <definedName name="ราคาต่อหน่วย4.2_2">#REF!</definedName>
    <definedName name="ราคาต่อหน่วย4.3" localSheetId="3">#REF!</definedName>
    <definedName name="ราคาต่อหน่วย4.3" localSheetId="2">#REF!</definedName>
    <definedName name="ราคาต่อหน่วย4.3">#REF!</definedName>
    <definedName name="ราคาต่อหน่วย4.4_1" localSheetId="3">#REF!</definedName>
    <definedName name="ราคาต่อหน่วย4.4_1" localSheetId="2">#REF!</definedName>
    <definedName name="ราคาต่อหน่วย4.4_1">#REF!</definedName>
    <definedName name="ราคาต่อหน่วย4.4_2" localSheetId="3">#REF!</definedName>
    <definedName name="ราคาต่อหน่วย4.4_2" localSheetId="2">#REF!</definedName>
    <definedName name="ราคาต่อหน่วย4.4_2">#REF!</definedName>
    <definedName name="ราคาต่อหน่วย4.4_3" localSheetId="3">#REF!</definedName>
    <definedName name="ราคาต่อหน่วย4.4_3" localSheetId="2">#REF!</definedName>
    <definedName name="ราคาต่อหน่วย4.4_3">#REF!</definedName>
    <definedName name="ราคาต่อหน่วย4.4_4" localSheetId="3">#REF!</definedName>
    <definedName name="ราคาต่อหน่วย4.4_4" localSheetId="2">#REF!</definedName>
    <definedName name="ราคาต่อหน่วย4.4_4">#REF!</definedName>
    <definedName name="ราคาต่อหน่วย4.4_5" localSheetId="3">#REF!</definedName>
    <definedName name="ราคาต่อหน่วย4.4_5" localSheetId="2">#REF!</definedName>
    <definedName name="ราคาต่อหน่วย4.4_5">#REF!</definedName>
    <definedName name="ราคาต่อหน่วย4.4_6" localSheetId="3">#REF!</definedName>
    <definedName name="ราคาต่อหน่วย4.4_6" localSheetId="2">#REF!</definedName>
    <definedName name="ราคาต่อหน่วย4.4_6">#REF!</definedName>
    <definedName name="ราคาต่อหน่วย4.4_7" localSheetId="3">#REF!</definedName>
    <definedName name="ราคาต่อหน่วย4.4_7" localSheetId="2">#REF!</definedName>
    <definedName name="ราคาต่อหน่วย4.4_7">#REF!</definedName>
    <definedName name="ราคาต่อหน่วย4.5" localSheetId="3">#REF!</definedName>
    <definedName name="ราคาต่อหน่วย4.5" localSheetId="2">#REF!</definedName>
    <definedName name="ราคาต่อหน่วย4.5">#REF!</definedName>
    <definedName name="ราคาต่อหน่วย4.6" localSheetId="3">#REF!</definedName>
    <definedName name="ราคาต่อหน่วย4.6" localSheetId="2">#REF!</definedName>
    <definedName name="ราคาต่อหน่วย4.6">#REF!</definedName>
    <definedName name="ราคาต่อหน่วย4.7_1" localSheetId="3">#REF!</definedName>
    <definedName name="ราคาต่อหน่วย4.7_1" localSheetId="2">#REF!</definedName>
    <definedName name="ราคาต่อหน่วย4.7_1">#REF!</definedName>
    <definedName name="ราคาต่อหน่วย4.7_2" localSheetId="3">#REF!</definedName>
    <definedName name="ราคาต่อหน่วย4.7_2" localSheetId="2">#REF!</definedName>
    <definedName name="ราคาต่อหน่วย4.7_2">#REF!</definedName>
    <definedName name="ราคาต่อหน่วย4.7_3" localSheetId="3">#REF!</definedName>
    <definedName name="ราคาต่อหน่วย4.7_3" localSheetId="2">#REF!</definedName>
    <definedName name="ราคาต่อหน่วย4.7_3">#REF!</definedName>
    <definedName name="ราคาต่อหน่วย4.8_1" localSheetId="3">#REF!</definedName>
    <definedName name="ราคาต่อหน่วย4.8_1" localSheetId="2">#REF!</definedName>
    <definedName name="ราคาต่อหน่วย4.8_1">#REF!</definedName>
    <definedName name="ราคาต่อหน่วย4.8_2" localSheetId="3">#REF!</definedName>
    <definedName name="ราคาต่อหน่วย4.8_2" localSheetId="2">#REF!</definedName>
    <definedName name="ราคาต่อหน่วย4.8_2">#REF!</definedName>
    <definedName name="ราคาต่อหน่วย4.9_1" localSheetId="3">#REF!</definedName>
    <definedName name="ราคาต่อหน่วย4.9_1" localSheetId="2">#REF!</definedName>
    <definedName name="ราคาต่อหน่วย4.9_1">#REF!</definedName>
    <definedName name="ราคาต่อหน่วย4.9_2" localSheetId="3">#REF!</definedName>
    <definedName name="ราคาต่อหน่วย4.9_2" localSheetId="2">#REF!</definedName>
    <definedName name="ราคาต่อหน่วย4.9_2">#REF!</definedName>
    <definedName name="ราคาต่อหน่วย4.9_3" localSheetId="3">#REF!</definedName>
    <definedName name="ราคาต่อหน่วย4.9_3" localSheetId="2">#REF!</definedName>
    <definedName name="ราคาต่อหน่วย4.9_3">#REF!</definedName>
    <definedName name="ราคาต่อหน่วย4.9_4" localSheetId="3">#REF!</definedName>
    <definedName name="ราคาต่อหน่วย4.9_4" localSheetId="2">#REF!</definedName>
    <definedName name="ราคาต่อหน่วย4.9_4">#REF!</definedName>
    <definedName name="ราคาต่อหน่วย4.9_5" localSheetId="3">#REF!</definedName>
    <definedName name="ราคาต่อหน่วย4.9_5" localSheetId="2">#REF!</definedName>
    <definedName name="ราคาต่อหน่วย4.9_5">#REF!</definedName>
    <definedName name="ราคาต่อหน่วย4.9_6" localSheetId="3">#REF!</definedName>
    <definedName name="ราคาต่อหน่วย4.9_6" localSheetId="2">#REF!</definedName>
    <definedName name="ราคาต่อหน่วย4.9_6">#REF!</definedName>
    <definedName name="ราคาต่อหน่วย4.9_7" localSheetId="3">#REF!</definedName>
    <definedName name="ราคาต่อหน่วย4.9_7" localSheetId="2">#REF!</definedName>
    <definedName name="ราคาต่อหน่วย4.9_7">#REF!</definedName>
    <definedName name="ราคาต่อหน่วย5.1_1.1" localSheetId="3">#REF!</definedName>
    <definedName name="ราคาต่อหน่วย5.1_1.1" localSheetId="2">#REF!</definedName>
    <definedName name="ราคาต่อหน่วย5.1_1.1">#REF!</definedName>
    <definedName name="ราคาต่อหน่วย5.1_1.2" localSheetId="3">#REF!</definedName>
    <definedName name="ราคาต่อหน่วย5.1_1.2" localSheetId="2">#REF!</definedName>
    <definedName name="ราคาต่อหน่วย5.1_1.2">#REF!</definedName>
    <definedName name="ราคาต่อหน่วย5.1_1.3" localSheetId="3">#REF!</definedName>
    <definedName name="ราคาต่อหน่วย5.1_1.3" localSheetId="2">#REF!</definedName>
    <definedName name="ราคาต่อหน่วย5.1_1.3">#REF!</definedName>
    <definedName name="ราคาต่อหน่วย5.1_1.4" localSheetId="3">#REF!</definedName>
    <definedName name="ราคาต่อหน่วย5.1_1.4" localSheetId="2">#REF!</definedName>
    <definedName name="ราคาต่อหน่วย5.1_1.4">#REF!</definedName>
    <definedName name="ราคาต่อหน่วย5.1_1.5" localSheetId="3">#REF!</definedName>
    <definedName name="ราคาต่อหน่วย5.1_1.5" localSheetId="2">#REF!</definedName>
    <definedName name="ราคาต่อหน่วย5.1_1.5">#REF!</definedName>
    <definedName name="ราคาต่อหน่วย5.1_1.6" localSheetId="3">#REF!</definedName>
    <definedName name="ราคาต่อหน่วย5.1_1.6" localSheetId="2">#REF!</definedName>
    <definedName name="ราคาต่อหน่วย5.1_1.6">#REF!</definedName>
    <definedName name="ราคาต่อหน่วย5.1_2.1.1" localSheetId="3">#REF!</definedName>
    <definedName name="ราคาต่อหน่วย5.1_2.1.1" localSheetId="2">#REF!</definedName>
    <definedName name="ราคาต่อหน่วย5.1_2.1.1">#REF!</definedName>
    <definedName name="ราคาต่อหน่วย5.1_2.1.2" localSheetId="3">#REF!</definedName>
    <definedName name="ราคาต่อหน่วย5.1_2.1.2" localSheetId="2">#REF!</definedName>
    <definedName name="ราคาต่อหน่วย5.1_2.1.2">#REF!</definedName>
    <definedName name="ราคาต่อหน่วย5.1_2.2.1" localSheetId="3">#REF!</definedName>
    <definedName name="ราคาต่อหน่วย5.1_2.2.1" localSheetId="2">#REF!</definedName>
    <definedName name="ราคาต่อหน่วย5.1_2.2.1">#REF!</definedName>
    <definedName name="ราคาต่อหน่วย5.1_2.2.2" localSheetId="3">#REF!</definedName>
    <definedName name="ราคาต่อหน่วย5.1_2.2.2" localSheetId="2">#REF!</definedName>
    <definedName name="ราคาต่อหน่วย5.1_2.2.2">#REF!</definedName>
    <definedName name="ราคาต่อหน่วย5.1_3.1" localSheetId="3">#REF!</definedName>
    <definedName name="ราคาต่อหน่วย5.1_3.1" localSheetId="2">#REF!</definedName>
    <definedName name="ราคาต่อหน่วย5.1_3.1">#REF!</definedName>
    <definedName name="ราคาต่อหน่วย5.1_3.2" localSheetId="3">#REF!</definedName>
    <definedName name="ราคาต่อหน่วย5.1_3.2" localSheetId="2">#REF!</definedName>
    <definedName name="ราคาต่อหน่วย5.1_3.2">#REF!</definedName>
    <definedName name="ราคาต่อหน่วย5.1_4" localSheetId="3">#REF!</definedName>
    <definedName name="ราคาต่อหน่วย5.1_4" localSheetId="2">#REF!</definedName>
    <definedName name="ราคาต่อหน่วย5.1_4">#REF!</definedName>
    <definedName name="ราคาต่อหน่วย5.1_5" localSheetId="3">#REF!</definedName>
    <definedName name="ราคาต่อหน่วย5.1_5" localSheetId="2">#REF!</definedName>
    <definedName name="ราคาต่อหน่วย5.1_5">#REF!</definedName>
    <definedName name="ราคาต่อหน่วย5.1_6" localSheetId="3">#REF!</definedName>
    <definedName name="ราคาต่อหน่วย5.1_6" localSheetId="2">#REF!</definedName>
    <definedName name="ราคาต่อหน่วย5.1_6">#REF!</definedName>
    <definedName name="ราคาต่อหน่วย5.1_7.1" localSheetId="3">#REF!</definedName>
    <definedName name="ราคาต่อหน่วย5.1_7.1" localSheetId="2">#REF!</definedName>
    <definedName name="ราคาต่อหน่วย5.1_7.1">#REF!</definedName>
    <definedName name="ราคาต่อหน่วย5.1_7.2" localSheetId="3">#REF!</definedName>
    <definedName name="ราคาต่อหน่วย5.1_7.2" localSheetId="2">#REF!</definedName>
    <definedName name="ราคาต่อหน่วย5.1_7.2">#REF!</definedName>
    <definedName name="ราคาต่อหน่วย5.2_1.1" localSheetId="3">#REF!</definedName>
    <definedName name="ราคาต่อหน่วย5.2_1.1" localSheetId="2">#REF!</definedName>
    <definedName name="ราคาต่อหน่วย5.2_1.1">#REF!</definedName>
    <definedName name="ราคาต่อหน่วย5.2_1.2" localSheetId="3">#REF!</definedName>
    <definedName name="ราคาต่อหน่วย5.2_1.2" localSheetId="2">#REF!</definedName>
    <definedName name="ราคาต่อหน่วย5.2_1.2">#REF!</definedName>
    <definedName name="ราคาต่อหน่วย5.2_1.3" localSheetId="3">#REF!</definedName>
    <definedName name="ราคาต่อหน่วย5.2_1.3" localSheetId="2">#REF!</definedName>
    <definedName name="ราคาต่อหน่วย5.2_1.3">#REF!</definedName>
    <definedName name="ราคาต่อหน่วย5.2_1.4" localSheetId="3">#REF!</definedName>
    <definedName name="ราคาต่อหน่วย5.2_1.4" localSheetId="2">#REF!</definedName>
    <definedName name="ราคาต่อหน่วย5.2_1.4">#REF!</definedName>
    <definedName name="ราคาต่อหน่วย5.2_1.5" localSheetId="3">#REF!</definedName>
    <definedName name="ราคาต่อหน่วย5.2_1.5" localSheetId="2">#REF!</definedName>
    <definedName name="ราคาต่อหน่วย5.2_1.5">#REF!</definedName>
    <definedName name="ราคาต่อหน่วย5.2_1.6" localSheetId="3">#REF!</definedName>
    <definedName name="ราคาต่อหน่วย5.2_1.6" localSheetId="2">#REF!</definedName>
    <definedName name="ราคาต่อหน่วย5.2_1.6">#REF!</definedName>
    <definedName name="ราคาต่อหน่วย5.2_2.1" localSheetId="3">#REF!</definedName>
    <definedName name="ราคาต่อหน่วย5.2_2.1" localSheetId="2">#REF!</definedName>
    <definedName name="ราคาต่อหน่วย5.2_2.1">#REF!</definedName>
    <definedName name="ราคาต่อหน่วย5.2_2.2" localSheetId="3">#REF!</definedName>
    <definedName name="ราคาต่อหน่วย5.2_2.2" localSheetId="2">#REF!</definedName>
    <definedName name="ราคาต่อหน่วย5.2_2.2">#REF!</definedName>
    <definedName name="ราคาต่อหน่วย5.2_2.3" localSheetId="3">#REF!</definedName>
    <definedName name="ราคาต่อหน่วย5.2_2.3" localSheetId="2">#REF!</definedName>
    <definedName name="ราคาต่อหน่วย5.2_2.3">#REF!</definedName>
    <definedName name="ราคาต่อหน่วย5.2_2.4" localSheetId="3">#REF!</definedName>
    <definedName name="ราคาต่อหน่วย5.2_2.4" localSheetId="2">#REF!</definedName>
    <definedName name="ราคาต่อหน่วย5.2_2.4">#REF!</definedName>
    <definedName name="ราคาต่อหน่วย5.2_2.5" localSheetId="3">#REF!</definedName>
    <definedName name="ราคาต่อหน่วย5.2_2.5" localSheetId="2">#REF!</definedName>
    <definedName name="ราคาต่อหน่วย5.2_2.5">#REF!</definedName>
    <definedName name="ราคาต่อหน่วย5.2_2.6" localSheetId="3">#REF!</definedName>
    <definedName name="ราคาต่อหน่วย5.2_2.6" localSheetId="2">#REF!</definedName>
    <definedName name="ราคาต่อหน่วย5.2_2.6">#REF!</definedName>
    <definedName name="ราคาต่อหน่วย5.2_3.1" localSheetId="3">#REF!</definedName>
    <definedName name="ราคาต่อหน่วย5.2_3.1" localSheetId="2">#REF!</definedName>
    <definedName name="ราคาต่อหน่วย5.2_3.1">#REF!</definedName>
    <definedName name="ราคาต่อหน่วย5.2_3.2" localSheetId="3">#REF!</definedName>
    <definedName name="ราคาต่อหน่วย5.2_3.2" localSheetId="2">#REF!</definedName>
    <definedName name="ราคาต่อหน่วย5.2_3.2">#REF!</definedName>
    <definedName name="ราคาต่อหน่วย5.3_100.2" localSheetId="3">#REF!</definedName>
    <definedName name="ราคาต่อหน่วย5.3_100.2" localSheetId="2">#REF!</definedName>
    <definedName name="ราคาต่อหน่วย5.3_100.2">#REF!</definedName>
    <definedName name="ราคาต่อหน่วย5.3_100.3" localSheetId="3">#REF!</definedName>
    <definedName name="ราคาต่อหน่วย5.3_100.3" localSheetId="2">#REF!</definedName>
    <definedName name="ราคาต่อหน่วย5.3_100.3">#REF!</definedName>
    <definedName name="ราคาต่อหน่วย5.3_120.2" localSheetId="3">#REF!</definedName>
    <definedName name="ราคาต่อหน่วย5.3_120.2" localSheetId="2">#REF!</definedName>
    <definedName name="ราคาต่อหน่วย5.3_120.2">#REF!</definedName>
    <definedName name="ราคาต่อหน่วย5.3_120.3" localSheetId="3">#REF!</definedName>
    <definedName name="ราคาต่อหน่วย5.3_120.3" localSheetId="2">#REF!</definedName>
    <definedName name="ราคาต่อหน่วย5.3_120.3">#REF!</definedName>
    <definedName name="ราคาต่อหน่วย5.3_150.2" localSheetId="3">#REF!</definedName>
    <definedName name="ราคาต่อหน่วย5.3_150.2" localSheetId="2">#REF!</definedName>
    <definedName name="ราคาต่อหน่วย5.3_150.2">#REF!</definedName>
    <definedName name="ราคาต่อหน่วย5.3_150.3" localSheetId="3">#REF!</definedName>
    <definedName name="ราคาต่อหน่วย5.3_150.3" localSheetId="2">#REF!</definedName>
    <definedName name="ราคาต่อหน่วย5.3_150.3">#REF!</definedName>
    <definedName name="ราคาต่อหน่วย5.3_30.2" localSheetId="3">#REF!</definedName>
    <definedName name="ราคาต่อหน่วย5.3_30.2" localSheetId="2">#REF!</definedName>
    <definedName name="ราคาต่อหน่วย5.3_30.2">#REF!</definedName>
    <definedName name="ราคาต่อหน่วย5.3_30.3" localSheetId="3">#REF!</definedName>
    <definedName name="ราคาต่อหน่วย5.3_30.3" localSheetId="2">#REF!</definedName>
    <definedName name="ราคาต่อหน่วย5.3_30.3">#REF!</definedName>
    <definedName name="ราคาต่อหน่วย5.3_40.2" localSheetId="3">#REF!</definedName>
    <definedName name="ราคาต่อหน่วย5.3_40.2" localSheetId="2">#REF!</definedName>
    <definedName name="ราคาต่อหน่วย5.3_40.2">#REF!</definedName>
    <definedName name="ราคาต่อหน่วย5.3_40.3" localSheetId="3">#REF!</definedName>
    <definedName name="ราคาต่อหน่วย5.3_40.3" localSheetId="2">#REF!</definedName>
    <definedName name="ราคาต่อหน่วย5.3_40.3">#REF!</definedName>
    <definedName name="ราคาต่อหน่วย5.3_60.2" localSheetId="3">#REF!</definedName>
    <definedName name="ราคาต่อหน่วย5.3_60.2" localSheetId="2">#REF!</definedName>
    <definedName name="ราคาต่อหน่วย5.3_60.2">#REF!</definedName>
    <definedName name="ราคาต่อหน่วย5.3_60.3" localSheetId="3">#REF!</definedName>
    <definedName name="ราคาต่อหน่วย5.3_60.3" localSheetId="2">#REF!</definedName>
    <definedName name="ราคาต่อหน่วย5.3_60.3">#REF!</definedName>
    <definedName name="ราคาต่อหน่วย5.3_80.2" localSheetId="3">#REF!</definedName>
    <definedName name="ราคาต่อหน่วย5.3_80.2" localSheetId="2">#REF!</definedName>
    <definedName name="ราคาต่อหน่วย5.3_80.2">#REF!</definedName>
    <definedName name="ราคาต่อหน่วย5.3_80.3" localSheetId="3">#REF!</definedName>
    <definedName name="ราคาต่อหน่วย5.3_80.3" localSheetId="2">#REF!</definedName>
    <definedName name="ราคาต่อหน่วย5.3_80.3">#REF!</definedName>
    <definedName name="ราคาต่อหน่วย6.1_1" localSheetId="3">#REF!</definedName>
    <definedName name="ราคาต่อหน่วย6.1_1" localSheetId="2">#REF!</definedName>
    <definedName name="ราคาต่อหน่วย6.1_1">#REF!</definedName>
    <definedName name="ราคาต่อหน่วย6.1_10" localSheetId="3">#REF!</definedName>
    <definedName name="ราคาต่อหน่วย6.1_10" localSheetId="2">#REF!</definedName>
    <definedName name="ราคาต่อหน่วย6.1_10">#REF!</definedName>
    <definedName name="ราคาต่อหน่วย6.1_11" localSheetId="3">#REF!</definedName>
    <definedName name="ราคาต่อหน่วย6.1_11" localSheetId="2">#REF!</definedName>
    <definedName name="ราคาต่อหน่วย6.1_11">#REF!</definedName>
    <definedName name="ราคาต่อหน่วย6.1_12" localSheetId="3">#REF!</definedName>
    <definedName name="ราคาต่อหน่วย6.1_12" localSheetId="2">#REF!</definedName>
    <definedName name="ราคาต่อหน่วย6.1_12">#REF!</definedName>
    <definedName name="ราคาต่อหน่วย6.1_13" localSheetId="3">#REF!</definedName>
    <definedName name="ราคาต่อหน่วย6.1_13" localSheetId="2">#REF!</definedName>
    <definedName name="ราคาต่อหน่วย6.1_13">#REF!</definedName>
    <definedName name="ราคาต่อหน่วย6.1_14" localSheetId="3">#REF!</definedName>
    <definedName name="ราคาต่อหน่วย6.1_14" localSheetId="2">#REF!</definedName>
    <definedName name="ราคาต่อหน่วย6.1_14">#REF!</definedName>
    <definedName name="ราคาต่อหน่วย6.1_15" localSheetId="3">#REF!</definedName>
    <definedName name="ราคาต่อหน่วย6.1_15" localSheetId="2">#REF!</definedName>
    <definedName name="ราคาต่อหน่วย6.1_15">#REF!</definedName>
    <definedName name="ราคาต่อหน่วย6.1_16" localSheetId="3">#REF!</definedName>
    <definedName name="ราคาต่อหน่วย6.1_16" localSheetId="2">#REF!</definedName>
    <definedName name="ราคาต่อหน่วย6.1_16">#REF!</definedName>
    <definedName name="ราคาต่อหน่วย6.1_17" localSheetId="3">#REF!</definedName>
    <definedName name="ราคาต่อหน่วย6.1_17" localSheetId="2">#REF!</definedName>
    <definedName name="ราคาต่อหน่วย6.1_17">#REF!</definedName>
    <definedName name="ราคาต่อหน่วย6.1_18" localSheetId="3">#REF!</definedName>
    <definedName name="ราคาต่อหน่วย6.1_18" localSheetId="2">#REF!</definedName>
    <definedName name="ราคาต่อหน่วย6.1_18">#REF!</definedName>
    <definedName name="ราคาต่อหน่วย6.1_19" localSheetId="3">#REF!</definedName>
    <definedName name="ราคาต่อหน่วย6.1_19" localSheetId="2">#REF!</definedName>
    <definedName name="ราคาต่อหน่วย6.1_19">#REF!</definedName>
    <definedName name="ราคาต่อหน่วย6.1_2" localSheetId="3">#REF!</definedName>
    <definedName name="ราคาต่อหน่วย6.1_2" localSheetId="2">#REF!</definedName>
    <definedName name="ราคาต่อหน่วย6.1_2">#REF!</definedName>
    <definedName name="ราคาต่อหน่วย6.1_20" localSheetId="3">#REF!</definedName>
    <definedName name="ราคาต่อหน่วย6.1_20" localSheetId="2">#REF!</definedName>
    <definedName name="ราคาต่อหน่วย6.1_20">#REF!</definedName>
    <definedName name="ราคาต่อหน่วย6.1_3" localSheetId="3">#REF!</definedName>
    <definedName name="ราคาต่อหน่วย6.1_3" localSheetId="2">#REF!</definedName>
    <definedName name="ราคาต่อหน่วย6.1_3">#REF!</definedName>
    <definedName name="ราคาต่อหน่วย6.1_4.1" localSheetId="3">#REF!</definedName>
    <definedName name="ราคาต่อหน่วย6.1_4.1" localSheetId="2">#REF!</definedName>
    <definedName name="ราคาต่อหน่วย6.1_4.1">#REF!</definedName>
    <definedName name="ราคาต่อหน่วย6.1_4.2" localSheetId="3">#REF!</definedName>
    <definedName name="ราคาต่อหน่วย6.1_4.2" localSheetId="2">#REF!</definedName>
    <definedName name="ราคาต่อหน่วย6.1_4.2">#REF!</definedName>
    <definedName name="ราคาต่อหน่วย6.1_5" localSheetId="3">#REF!</definedName>
    <definedName name="ราคาต่อหน่วย6.1_5" localSheetId="2">#REF!</definedName>
    <definedName name="ราคาต่อหน่วย6.1_5">#REF!</definedName>
    <definedName name="ราคาต่อหน่วย6.1_6" localSheetId="3">#REF!</definedName>
    <definedName name="ราคาต่อหน่วย6.1_6" localSheetId="2">#REF!</definedName>
    <definedName name="ราคาต่อหน่วย6.1_6">#REF!</definedName>
    <definedName name="ราคาต่อหน่วย6.1_7" localSheetId="3">#REF!</definedName>
    <definedName name="ราคาต่อหน่วย6.1_7" localSheetId="2">#REF!</definedName>
    <definedName name="ราคาต่อหน่วย6.1_7">#REF!</definedName>
    <definedName name="ราคาต่อหน่วย6.1_8" localSheetId="3">#REF!</definedName>
    <definedName name="ราคาต่อหน่วย6.1_8" localSheetId="2">#REF!</definedName>
    <definedName name="ราคาต่อหน่วย6.1_8">#REF!</definedName>
    <definedName name="ราคาต่อหน่วย6.1_9" localSheetId="3">#REF!</definedName>
    <definedName name="ราคาต่อหน่วย6.1_9" localSheetId="2">#REF!</definedName>
    <definedName name="ราคาต่อหน่วย6.1_9">#REF!</definedName>
    <definedName name="ราคาต่อหน่วย6.10_1" localSheetId="3">#REF!</definedName>
    <definedName name="ราคาต่อหน่วย6.10_1" localSheetId="2">#REF!</definedName>
    <definedName name="ราคาต่อหน่วย6.10_1">#REF!</definedName>
    <definedName name="ราคาต่อหน่วย6.10_2" localSheetId="3">#REF!</definedName>
    <definedName name="ราคาต่อหน่วย6.10_2" localSheetId="2">#REF!</definedName>
    <definedName name="ราคาต่อหน่วย6.10_2">#REF!</definedName>
    <definedName name="ราคาต่อหน่วย6.10_3" localSheetId="3">#REF!</definedName>
    <definedName name="ราคาต่อหน่วย6.10_3" localSheetId="2">#REF!</definedName>
    <definedName name="ราคาต่อหน่วย6.10_3">#REF!</definedName>
    <definedName name="ราคาต่อหน่วย6.10_4.1" localSheetId="3">#REF!</definedName>
    <definedName name="ราคาต่อหน่วย6.10_4.1" localSheetId="2">#REF!</definedName>
    <definedName name="ราคาต่อหน่วย6.10_4.1">#REF!</definedName>
    <definedName name="ราคาต่อหน่วย6.10_4.2" localSheetId="3">#REF!</definedName>
    <definedName name="ราคาต่อหน่วย6.10_4.2" localSheetId="2">#REF!</definedName>
    <definedName name="ราคาต่อหน่วย6.10_4.2">#REF!</definedName>
    <definedName name="ราคาต่อหน่วย6.10_4.3" localSheetId="3">#REF!</definedName>
    <definedName name="ราคาต่อหน่วย6.10_4.3" localSheetId="2">#REF!</definedName>
    <definedName name="ราคาต่อหน่วย6.10_4.3">#REF!</definedName>
    <definedName name="ราคาต่อหน่วย6.10_5" localSheetId="3">#REF!</definedName>
    <definedName name="ราคาต่อหน่วย6.10_5" localSheetId="2">#REF!</definedName>
    <definedName name="ราคาต่อหน่วย6.10_5">#REF!</definedName>
    <definedName name="ราคาต่อหน่วย6.10_6" localSheetId="3">#REF!</definedName>
    <definedName name="ราคาต่อหน่วย6.10_6" localSheetId="2">#REF!</definedName>
    <definedName name="ราคาต่อหน่วย6.10_6">#REF!</definedName>
    <definedName name="ราคาต่อหน่วย6.11_1" localSheetId="3">#REF!</definedName>
    <definedName name="ราคาต่อหน่วย6.11_1" localSheetId="2">#REF!</definedName>
    <definedName name="ราคาต่อหน่วย6.11_1">#REF!</definedName>
    <definedName name="ราคาต่อหน่วย6.11_2.1" localSheetId="3">#REF!</definedName>
    <definedName name="ราคาต่อหน่วย6.11_2.1" localSheetId="2">#REF!</definedName>
    <definedName name="ราคาต่อหน่วย6.11_2.1">#REF!</definedName>
    <definedName name="ราคาต่อหน่วย6.11_2.2" localSheetId="3">#REF!</definedName>
    <definedName name="ราคาต่อหน่วย6.11_2.2" localSheetId="2">#REF!</definedName>
    <definedName name="ราคาต่อหน่วย6.11_2.2">#REF!</definedName>
    <definedName name="ราคาต่อหน่วย6.11_2.3" localSheetId="3">#REF!</definedName>
    <definedName name="ราคาต่อหน่วย6.11_2.3" localSheetId="2">#REF!</definedName>
    <definedName name="ราคาต่อหน่วย6.11_2.3">#REF!</definedName>
    <definedName name="ราคาต่อหน่วย6.11_3.1" localSheetId="3">#REF!</definedName>
    <definedName name="ราคาต่อหน่วย6.11_3.1" localSheetId="2">#REF!</definedName>
    <definedName name="ราคาต่อหน่วย6.11_3.1">#REF!</definedName>
    <definedName name="ราคาต่อหน่วย6.11_3.2" localSheetId="3">#REF!</definedName>
    <definedName name="ราคาต่อหน่วย6.11_3.2" localSheetId="2">#REF!</definedName>
    <definedName name="ราคาต่อหน่วย6.11_3.2">#REF!</definedName>
    <definedName name="ราคาต่อหน่วย6.11_4.1" localSheetId="3">#REF!</definedName>
    <definedName name="ราคาต่อหน่วย6.11_4.1" localSheetId="2">#REF!</definedName>
    <definedName name="ราคาต่อหน่วย6.11_4.1">#REF!</definedName>
    <definedName name="ราคาต่อหน่วย6.11_4.2" localSheetId="3">#REF!</definedName>
    <definedName name="ราคาต่อหน่วย6.11_4.2" localSheetId="2">#REF!</definedName>
    <definedName name="ราคาต่อหน่วย6.11_4.2">#REF!</definedName>
    <definedName name="ราคาต่อหน่วย6.11_4.3" localSheetId="3">#REF!</definedName>
    <definedName name="ราคาต่อหน่วย6.11_4.3" localSheetId="2">#REF!</definedName>
    <definedName name="ราคาต่อหน่วย6.11_4.3">#REF!</definedName>
    <definedName name="ราคาต่อหน่วย6.11_5.1" localSheetId="3">#REF!</definedName>
    <definedName name="ราคาต่อหน่วย6.11_5.1" localSheetId="2">#REF!</definedName>
    <definedName name="ราคาต่อหน่วย6.11_5.1">#REF!</definedName>
    <definedName name="ราคาต่อหน่วย6.11_5.2" localSheetId="3">#REF!</definedName>
    <definedName name="ราคาต่อหน่วย6.11_5.2" localSheetId="2">#REF!</definedName>
    <definedName name="ราคาต่อหน่วย6.11_5.2">#REF!</definedName>
    <definedName name="ราคาต่อหน่วย6.11_6.1" localSheetId="3">#REF!</definedName>
    <definedName name="ราคาต่อหน่วย6.11_6.1" localSheetId="2">#REF!</definedName>
    <definedName name="ราคาต่อหน่วย6.11_6.1">#REF!</definedName>
    <definedName name="ราคาต่อหน่วย6.11_6.2" localSheetId="3">#REF!</definedName>
    <definedName name="ราคาต่อหน่วย6.11_6.2" localSheetId="2">#REF!</definedName>
    <definedName name="ราคาต่อหน่วย6.11_6.2">#REF!</definedName>
    <definedName name="ราคาต่อหน่วย6.11_7" localSheetId="3">#REF!</definedName>
    <definedName name="ราคาต่อหน่วย6.11_7" localSheetId="2">#REF!</definedName>
    <definedName name="ราคาต่อหน่วย6.11_7">#REF!</definedName>
    <definedName name="ราคาต่อหน่วย6.11_8" localSheetId="3">#REF!</definedName>
    <definedName name="ราคาต่อหน่วย6.11_8" localSheetId="2">#REF!</definedName>
    <definedName name="ราคาต่อหน่วย6.11_8">#REF!</definedName>
    <definedName name="ราคาต่อหน่วย6.12_1" localSheetId="3">#REF!</definedName>
    <definedName name="ราคาต่อหน่วย6.12_1" localSheetId="2">#REF!</definedName>
    <definedName name="ราคาต่อหน่วย6.12_1">#REF!</definedName>
    <definedName name="ราคาต่อหน่วย6.12_10.1" localSheetId="3">#REF!</definedName>
    <definedName name="ราคาต่อหน่วย6.12_10.1" localSheetId="2">#REF!</definedName>
    <definedName name="ราคาต่อหน่วย6.12_10.1">#REF!</definedName>
    <definedName name="ราคาต่อหน่วย6.12_10.2" localSheetId="3">#REF!</definedName>
    <definedName name="ราคาต่อหน่วย6.12_10.2" localSheetId="2">#REF!</definedName>
    <definedName name="ราคาต่อหน่วย6.12_10.2">#REF!</definedName>
    <definedName name="ราคาต่อหน่วย6.12_10.3" localSheetId="3">#REF!</definedName>
    <definedName name="ราคาต่อหน่วย6.12_10.3" localSheetId="2">#REF!</definedName>
    <definedName name="ราคาต่อหน่วย6.12_10.3">#REF!</definedName>
    <definedName name="ราคาต่อหน่วย6.12_11.1" localSheetId="3">#REF!</definedName>
    <definedName name="ราคาต่อหน่วย6.12_11.1" localSheetId="2">#REF!</definedName>
    <definedName name="ราคาต่อหน่วย6.12_11.1">#REF!</definedName>
    <definedName name="ราคาต่อหน่วย6.12_11.2" localSheetId="3">#REF!</definedName>
    <definedName name="ราคาต่อหน่วย6.12_11.2" localSheetId="2">#REF!</definedName>
    <definedName name="ราคาต่อหน่วย6.12_11.2">#REF!</definedName>
    <definedName name="ราคาต่อหน่วย6.12_11.3" localSheetId="3">#REF!</definedName>
    <definedName name="ราคาต่อหน่วย6.12_11.3" localSheetId="2">#REF!</definedName>
    <definedName name="ราคาต่อหน่วย6.12_11.3">#REF!</definedName>
    <definedName name="ราคาต่อหน่วย6.12_2" localSheetId="3">#REF!</definedName>
    <definedName name="ราคาต่อหน่วย6.12_2" localSheetId="2">#REF!</definedName>
    <definedName name="ราคาต่อหน่วย6.12_2">#REF!</definedName>
    <definedName name="ราคาต่อหน่วย6.12_3" localSheetId="3">#REF!</definedName>
    <definedName name="ราคาต่อหน่วย6.12_3" localSheetId="2">#REF!</definedName>
    <definedName name="ราคาต่อหน่วย6.12_3">#REF!</definedName>
    <definedName name="ราคาต่อหน่วย6.12_4" localSheetId="3">#REF!</definedName>
    <definedName name="ราคาต่อหน่วย6.12_4" localSheetId="2">#REF!</definedName>
    <definedName name="ราคาต่อหน่วย6.12_4">#REF!</definedName>
    <definedName name="ราคาต่อหน่วย6.12_5.1" localSheetId="3">#REF!</definedName>
    <definedName name="ราคาต่อหน่วย6.12_5.1" localSheetId="2">#REF!</definedName>
    <definedName name="ราคาต่อหน่วย6.12_5.1">#REF!</definedName>
    <definedName name="ราคาต่อหน่วย6.12_5.2" localSheetId="3">#REF!</definedName>
    <definedName name="ราคาต่อหน่วย6.12_5.2" localSheetId="2">#REF!</definedName>
    <definedName name="ราคาต่อหน่วย6.12_5.2">#REF!</definedName>
    <definedName name="ราคาต่อหน่วย6.12_5.3" localSheetId="3">#REF!</definedName>
    <definedName name="ราคาต่อหน่วย6.12_5.3" localSheetId="2">#REF!</definedName>
    <definedName name="ราคาต่อหน่วย6.12_5.3">#REF!</definedName>
    <definedName name="ราคาต่อหน่วย6.12_6" localSheetId="3">#REF!</definedName>
    <definedName name="ราคาต่อหน่วย6.12_6" localSheetId="2">#REF!</definedName>
    <definedName name="ราคาต่อหน่วย6.12_6">#REF!</definedName>
    <definedName name="ราคาต่อหน่วย6.12_7" localSheetId="3">#REF!</definedName>
    <definedName name="ราคาต่อหน่วย6.12_7" localSheetId="2">#REF!</definedName>
    <definedName name="ราคาต่อหน่วย6.12_7">#REF!</definedName>
    <definedName name="ราคาต่อหน่วย6.12_8" localSheetId="3">#REF!</definedName>
    <definedName name="ราคาต่อหน่วย6.12_8" localSheetId="2">#REF!</definedName>
    <definedName name="ราคาต่อหน่วย6.12_8">#REF!</definedName>
    <definedName name="ราคาต่อหน่วย6.12_9" localSheetId="3">#REF!</definedName>
    <definedName name="ราคาต่อหน่วย6.12_9" localSheetId="2">#REF!</definedName>
    <definedName name="ราคาต่อหน่วย6.12_9">#REF!</definedName>
    <definedName name="ราคาต่อหน่วย6.13_1.1" localSheetId="3">#REF!</definedName>
    <definedName name="ราคาต่อหน่วย6.13_1.1" localSheetId="2">#REF!</definedName>
    <definedName name="ราคาต่อหน่วย6.13_1.1">#REF!</definedName>
    <definedName name="ราคาต่อหน่วย6.13_1.2" localSheetId="3">#REF!</definedName>
    <definedName name="ราคาต่อหน่วย6.13_1.2" localSheetId="2">#REF!</definedName>
    <definedName name="ราคาต่อหน่วย6.13_1.2">#REF!</definedName>
    <definedName name="ราคาต่อหน่วย6.13_2.1" localSheetId="3">#REF!</definedName>
    <definedName name="ราคาต่อหน่วย6.13_2.1" localSheetId="2">#REF!</definedName>
    <definedName name="ราคาต่อหน่วย6.13_2.1">#REF!</definedName>
    <definedName name="ราคาต่อหน่วย6.13_2.2" localSheetId="3">#REF!</definedName>
    <definedName name="ราคาต่อหน่วย6.13_2.2" localSheetId="2">#REF!</definedName>
    <definedName name="ราคาต่อหน่วย6.13_2.2">#REF!</definedName>
    <definedName name="ราคาต่อหน่วย6.14_1.1" localSheetId="3">#REF!</definedName>
    <definedName name="ราคาต่อหน่วย6.14_1.1" localSheetId="2">#REF!</definedName>
    <definedName name="ราคาต่อหน่วย6.14_1.1">#REF!</definedName>
    <definedName name="ราคาต่อหน่วย6.14_1.2" localSheetId="3">#REF!</definedName>
    <definedName name="ราคาต่อหน่วย6.14_1.2" localSheetId="2">#REF!</definedName>
    <definedName name="ราคาต่อหน่วย6.14_1.2">#REF!</definedName>
    <definedName name="ราคาต่อหน่วย6.14_2.1" localSheetId="3">#REF!</definedName>
    <definedName name="ราคาต่อหน่วย6.14_2.1" localSheetId="2">#REF!</definedName>
    <definedName name="ราคาต่อหน่วย6.14_2.1">#REF!</definedName>
    <definedName name="ราคาต่อหน่วย6.14_2.2" localSheetId="3">#REF!</definedName>
    <definedName name="ราคาต่อหน่วย6.14_2.2" localSheetId="2">#REF!</definedName>
    <definedName name="ราคาต่อหน่วย6.14_2.2">#REF!</definedName>
    <definedName name="ราคาต่อหน่วย6.15_1.1" localSheetId="3">#REF!</definedName>
    <definedName name="ราคาต่อหน่วย6.15_1.1" localSheetId="2">#REF!</definedName>
    <definedName name="ราคาต่อหน่วย6.15_1.1">#REF!</definedName>
    <definedName name="ราคาต่อหน่วย6.15_1.2" localSheetId="3">#REF!</definedName>
    <definedName name="ราคาต่อหน่วย6.15_1.2" localSheetId="2">#REF!</definedName>
    <definedName name="ราคาต่อหน่วย6.15_1.2">#REF!</definedName>
    <definedName name="ราคาต่อหน่วย6.15_2.1" localSheetId="3">#REF!</definedName>
    <definedName name="ราคาต่อหน่วย6.15_2.1" localSheetId="2">#REF!</definedName>
    <definedName name="ราคาต่อหน่วย6.15_2.1">#REF!</definedName>
    <definedName name="ราคาต่อหน่วย6.15_2.2" localSheetId="3">#REF!</definedName>
    <definedName name="ราคาต่อหน่วย6.15_2.2" localSheetId="2">#REF!</definedName>
    <definedName name="ราคาต่อหน่วย6.15_2.2">#REF!</definedName>
    <definedName name="ราคาต่อหน่วย6.15_3.1" localSheetId="3">#REF!</definedName>
    <definedName name="ราคาต่อหน่วย6.15_3.1" localSheetId="2">#REF!</definedName>
    <definedName name="ราคาต่อหน่วย6.15_3.1">#REF!</definedName>
    <definedName name="ราคาต่อหน่วย6.15_3.2" localSheetId="3">#REF!</definedName>
    <definedName name="ราคาต่อหน่วย6.15_3.2" localSheetId="2">#REF!</definedName>
    <definedName name="ราคาต่อหน่วย6.15_3.2">#REF!</definedName>
    <definedName name="ราคาต่อหน่วย6.15_4.1" localSheetId="3">#REF!</definedName>
    <definedName name="ราคาต่อหน่วย6.15_4.1" localSheetId="2">#REF!</definedName>
    <definedName name="ราคาต่อหน่วย6.15_4.1">#REF!</definedName>
    <definedName name="ราคาต่อหน่วย6.15_4.2" localSheetId="3">#REF!</definedName>
    <definedName name="ราคาต่อหน่วย6.15_4.2" localSheetId="2">#REF!</definedName>
    <definedName name="ราคาต่อหน่วย6.15_4.2">#REF!</definedName>
    <definedName name="ราคาต่อหน่วย6.15_5.1" localSheetId="3">#REF!</definedName>
    <definedName name="ราคาต่อหน่วย6.15_5.1" localSheetId="2">#REF!</definedName>
    <definedName name="ราคาต่อหน่วย6.15_5.1">#REF!</definedName>
    <definedName name="ราคาต่อหน่วย6.15_5.2" localSheetId="3">#REF!</definedName>
    <definedName name="ราคาต่อหน่วย6.15_5.2" localSheetId="2">#REF!</definedName>
    <definedName name="ราคาต่อหน่วย6.15_5.2">#REF!</definedName>
    <definedName name="ราคาต่อหน่วย6.15_6" localSheetId="3">#REF!</definedName>
    <definedName name="ราคาต่อหน่วย6.15_6" localSheetId="2">#REF!</definedName>
    <definedName name="ราคาต่อหน่วย6.15_6">#REF!</definedName>
    <definedName name="ราคาต่อหน่วย6.15_7" localSheetId="3">#REF!</definedName>
    <definedName name="ราคาต่อหน่วย6.15_7" localSheetId="2">#REF!</definedName>
    <definedName name="ราคาต่อหน่วย6.15_7">#REF!</definedName>
    <definedName name="ราคาต่อหน่วย6.16" localSheetId="3">#REF!</definedName>
    <definedName name="ราคาต่อหน่วย6.16" localSheetId="2">#REF!</definedName>
    <definedName name="ราคาต่อหน่วย6.16">#REF!</definedName>
    <definedName name="ราคาต่อหน่วย6.17_1" localSheetId="3">#REF!</definedName>
    <definedName name="ราคาต่อหน่วย6.17_1" localSheetId="2">#REF!</definedName>
    <definedName name="ราคาต่อหน่วย6.17_1">#REF!</definedName>
    <definedName name="ราคาต่อหน่วย6.17_10" localSheetId="3">#REF!</definedName>
    <definedName name="ราคาต่อหน่วย6.17_10" localSheetId="2">#REF!</definedName>
    <definedName name="ราคาต่อหน่วย6.17_10">#REF!</definedName>
    <definedName name="ราคาต่อหน่วย6.17_11" localSheetId="3">#REF!</definedName>
    <definedName name="ราคาต่อหน่วย6.17_11" localSheetId="2">#REF!</definedName>
    <definedName name="ราคาต่อหน่วย6.17_11">#REF!</definedName>
    <definedName name="ราคาต่อหน่วย6.17_12" localSheetId="3">#REF!</definedName>
    <definedName name="ราคาต่อหน่วย6.17_12" localSheetId="2">#REF!</definedName>
    <definedName name="ราคาต่อหน่วย6.17_12">#REF!</definedName>
    <definedName name="ราคาต่อหน่วย6.17_2" localSheetId="3">#REF!</definedName>
    <definedName name="ราคาต่อหน่วย6.17_2" localSheetId="2">#REF!</definedName>
    <definedName name="ราคาต่อหน่วย6.17_2">#REF!</definedName>
    <definedName name="ราคาต่อหน่วย6.17_3" localSheetId="3">#REF!</definedName>
    <definedName name="ราคาต่อหน่วย6.17_3" localSheetId="2">#REF!</definedName>
    <definedName name="ราคาต่อหน่วย6.17_3">#REF!</definedName>
    <definedName name="ราคาต่อหน่วย6.17_4" localSheetId="3">#REF!</definedName>
    <definedName name="ราคาต่อหน่วย6.17_4" localSheetId="2">#REF!</definedName>
    <definedName name="ราคาต่อหน่วย6.17_4">#REF!</definedName>
    <definedName name="ราคาต่อหน่วย6.17_5" localSheetId="3">#REF!</definedName>
    <definedName name="ราคาต่อหน่วย6.17_5" localSheetId="2">#REF!</definedName>
    <definedName name="ราคาต่อหน่วย6.17_5">#REF!</definedName>
    <definedName name="ราคาต่อหน่วย6.17_6" localSheetId="3">#REF!</definedName>
    <definedName name="ราคาต่อหน่วย6.17_6" localSheetId="2">#REF!</definedName>
    <definedName name="ราคาต่อหน่วย6.17_6">#REF!</definedName>
    <definedName name="ราคาต่อหน่วย6.17_7" localSheetId="3">#REF!</definedName>
    <definedName name="ราคาต่อหน่วย6.17_7" localSheetId="2">#REF!</definedName>
    <definedName name="ราคาต่อหน่วย6.17_7">#REF!</definedName>
    <definedName name="ราคาต่อหน่วย6.17_8" localSheetId="3">#REF!</definedName>
    <definedName name="ราคาต่อหน่วย6.17_8" localSheetId="2">#REF!</definedName>
    <definedName name="ราคาต่อหน่วย6.17_8">#REF!</definedName>
    <definedName name="ราคาต่อหน่วย6.17_9" localSheetId="3">#REF!</definedName>
    <definedName name="ราคาต่อหน่วย6.17_9" localSheetId="2">#REF!</definedName>
    <definedName name="ราคาต่อหน่วย6.17_9">#REF!</definedName>
    <definedName name="ราคาต่อหน่วย6.18_1.1" localSheetId="3">#REF!</definedName>
    <definedName name="ราคาต่อหน่วย6.18_1.1" localSheetId="2">#REF!</definedName>
    <definedName name="ราคาต่อหน่วย6.18_1.1">#REF!</definedName>
    <definedName name="ราคาต่อหน่วย6.18_1.2" localSheetId="3">#REF!</definedName>
    <definedName name="ราคาต่อหน่วย6.18_1.2" localSheetId="2">#REF!</definedName>
    <definedName name="ราคาต่อหน่วย6.18_1.2">#REF!</definedName>
    <definedName name="ราคาต่อหน่วย6.18_1.3" localSheetId="3">#REF!</definedName>
    <definedName name="ราคาต่อหน่วย6.18_1.3" localSheetId="2">#REF!</definedName>
    <definedName name="ราคาต่อหน่วย6.18_1.3">#REF!</definedName>
    <definedName name="ราคาต่อหน่วย6.18_2" localSheetId="3">#REF!</definedName>
    <definedName name="ราคาต่อหน่วย6.18_2" localSheetId="2">#REF!</definedName>
    <definedName name="ราคาต่อหน่วย6.18_2">#REF!</definedName>
    <definedName name="ราคาต่อหน่วย6.18_3" localSheetId="3">#REF!</definedName>
    <definedName name="ราคาต่อหน่วย6.18_3" localSheetId="2">#REF!</definedName>
    <definedName name="ราคาต่อหน่วย6.18_3">#REF!</definedName>
    <definedName name="ราคาต่อหน่วย6.18_4.1" localSheetId="3">#REF!</definedName>
    <definedName name="ราคาต่อหน่วย6.18_4.1" localSheetId="2">#REF!</definedName>
    <definedName name="ราคาต่อหน่วย6.18_4.1">#REF!</definedName>
    <definedName name="ราคาต่อหน่วย6.18_4.2" localSheetId="3">#REF!</definedName>
    <definedName name="ราคาต่อหน่วย6.18_4.2" localSheetId="2">#REF!</definedName>
    <definedName name="ราคาต่อหน่วย6.18_4.2">#REF!</definedName>
    <definedName name="ราคาต่อหน่วย6.18_4.3" localSheetId="3">#REF!</definedName>
    <definedName name="ราคาต่อหน่วย6.18_4.3" localSheetId="2">#REF!</definedName>
    <definedName name="ราคาต่อหน่วย6.18_4.3">#REF!</definedName>
    <definedName name="ราคาต่อหน่วย6.18_5" localSheetId="3">#REF!</definedName>
    <definedName name="ราคาต่อหน่วย6.18_5" localSheetId="2">#REF!</definedName>
    <definedName name="ราคาต่อหน่วย6.18_5">#REF!</definedName>
    <definedName name="ราคาต่อหน่วย6.19_1" localSheetId="3">#REF!</definedName>
    <definedName name="ราคาต่อหน่วย6.19_1" localSheetId="2">#REF!</definedName>
    <definedName name="ราคาต่อหน่วย6.19_1">#REF!</definedName>
    <definedName name="ราคาต่อหน่วย6.19_2" localSheetId="3">#REF!</definedName>
    <definedName name="ราคาต่อหน่วย6.19_2" localSheetId="2">#REF!</definedName>
    <definedName name="ราคาต่อหน่วย6.19_2">#REF!</definedName>
    <definedName name="ราคาต่อหน่วย6.19_3" localSheetId="3">#REF!</definedName>
    <definedName name="ราคาต่อหน่วย6.19_3" localSheetId="2">#REF!</definedName>
    <definedName name="ราคาต่อหน่วย6.19_3">#REF!</definedName>
    <definedName name="ราคาต่อหน่วย6.19_4" localSheetId="3">#REF!</definedName>
    <definedName name="ราคาต่อหน่วย6.19_4" localSheetId="2">#REF!</definedName>
    <definedName name="ราคาต่อหน่วย6.19_4">#REF!</definedName>
    <definedName name="ราคาต่อหน่วย6.2_1" localSheetId="3">#REF!</definedName>
    <definedName name="ราคาต่อหน่วย6.2_1" localSheetId="2">#REF!</definedName>
    <definedName name="ราคาต่อหน่วย6.2_1">#REF!</definedName>
    <definedName name="ราคาต่อหน่วย6.2_2" localSheetId="3">#REF!</definedName>
    <definedName name="ราคาต่อหน่วย6.2_2" localSheetId="2">#REF!</definedName>
    <definedName name="ราคาต่อหน่วย6.2_2">#REF!</definedName>
    <definedName name="ราคาต่อหน่วย6.3_1.1" localSheetId="3">#REF!</definedName>
    <definedName name="ราคาต่อหน่วย6.3_1.1" localSheetId="2">#REF!</definedName>
    <definedName name="ราคาต่อหน่วย6.3_1.1">#REF!</definedName>
    <definedName name="ราคาต่อหน่วย6.3_1.2" localSheetId="3">#REF!</definedName>
    <definedName name="ราคาต่อหน่วย6.3_1.2" localSheetId="2">#REF!</definedName>
    <definedName name="ราคาต่อหน่วย6.3_1.2">#REF!</definedName>
    <definedName name="ราคาต่อหน่วย6.3_1.3" localSheetId="3">#REF!</definedName>
    <definedName name="ราคาต่อหน่วย6.3_1.3" localSheetId="2">#REF!</definedName>
    <definedName name="ราคาต่อหน่วย6.3_1.3">#REF!</definedName>
    <definedName name="ราคาต่อหน่วย6.3_1.4" localSheetId="3">#REF!</definedName>
    <definedName name="ราคาต่อหน่วย6.3_1.4" localSheetId="2">#REF!</definedName>
    <definedName name="ราคาต่อหน่วย6.3_1.4">#REF!</definedName>
    <definedName name="ราคาต่อหน่วย6.3_1.5" localSheetId="3">#REF!</definedName>
    <definedName name="ราคาต่อหน่วย6.3_1.5" localSheetId="2">#REF!</definedName>
    <definedName name="ราคาต่อหน่วย6.3_1.5">#REF!</definedName>
    <definedName name="ราคาต่อหน่วย6.3_1.6" localSheetId="3">#REF!</definedName>
    <definedName name="ราคาต่อหน่วย6.3_1.6" localSheetId="2">#REF!</definedName>
    <definedName name="ราคาต่อหน่วย6.3_1.6">#REF!</definedName>
    <definedName name="ราคาต่อหน่วย6.3_1.7" localSheetId="3">#REF!</definedName>
    <definedName name="ราคาต่อหน่วย6.3_1.7" localSheetId="2">#REF!</definedName>
    <definedName name="ราคาต่อหน่วย6.3_1.7">#REF!</definedName>
    <definedName name="ราคาต่อหน่วย6.3_10" localSheetId="3">#REF!</definedName>
    <definedName name="ราคาต่อหน่วย6.3_10" localSheetId="2">#REF!</definedName>
    <definedName name="ราคาต่อหน่วย6.3_10">#REF!</definedName>
    <definedName name="ราคาต่อหน่วย6.3_11" localSheetId="3">#REF!</definedName>
    <definedName name="ราคาต่อหน่วย6.3_11" localSheetId="2">#REF!</definedName>
    <definedName name="ราคาต่อหน่วย6.3_11">#REF!</definedName>
    <definedName name="ราคาต่อหน่วย6.3_12.1" localSheetId="3">#REF!</definedName>
    <definedName name="ราคาต่อหน่วย6.3_12.1" localSheetId="2">#REF!</definedName>
    <definedName name="ราคาต่อหน่วย6.3_12.1">#REF!</definedName>
    <definedName name="ราคาต่อหน่วย6.3_12.2" localSheetId="3">#REF!</definedName>
    <definedName name="ราคาต่อหน่วย6.3_12.2" localSheetId="2">#REF!</definedName>
    <definedName name="ราคาต่อหน่วย6.3_12.2">#REF!</definedName>
    <definedName name="ราคาต่อหน่วย6.3_12.3" localSheetId="3">#REF!</definedName>
    <definedName name="ราคาต่อหน่วย6.3_12.3" localSheetId="2">#REF!</definedName>
    <definedName name="ราคาต่อหน่วย6.3_12.3">#REF!</definedName>
    <definedName name="ราคาต่อหน่วย6.3_13.1" localSheetId="3">#REF!</definedName>
    <definedName name="ราคาต่อหน่วย6.3_13.1" localSheetId="2">#REF!</definedName>
    <definedName name="ราคาต่อหน่วย6.3_13.1">#REF!</definedName>
    <definedName name="ราคาต่อหน่วย6.3_13.2" localSheetId="3">#REF!</definedName>
    <definedName name="ราคาต่อหน่วย6.3_13.2" localSheetId="2">#REF!</definedName>
    <definedName name="ราคาต่อหน่วย6.3_13.2">#REF!</definedName>
    <definedName name="ราคาต่อหน่วย6.3_14.1" localSheetId="3">#REF!</definedName>
    <definedName name="ราคาต่อหน่วย6.3_14.1" localSheetId="2">#REF!</definedName>
    <definedName name="ราคาต่อหน่วย6.3_14.1">#REF!</definedName>
    <definedName name="ราคาต่อหน่วย6.3_14.2" localSheetId="3">#REF!</definedName>
    <definedName name="ราคาต่อหน่วย6.3_14.2" localSheetId="2">#REF!</definedName>
    <definedName name="ราคาต่อหน่วย6.3_14.2">#REF!</definedName>
    <definedName name="ราคาต่อหน่วย6.3_14.3" localSheetId="3">#REF!</definedName>
    <definedName name="ราคาต่อหน่วย6.3_14.3" localSheetId="2">#REF!</definedName>
    <definedName name="ราคาต่อหน่วย6.3_14.3">#REF!</definedName>
    <definedName name="ราคาต่อหน่วย6.3_14.4.1" localSheetId="3">#REF!</definedName>
    <definedName name="ราคาต่อหน่วย6.3_14.4.1" localSheetId="2">#REF!</definedName>
    <definedName name="ราคาต่อหน่วย6.3_14.4.1">#REF!</definedName>
    <definedName name="ราคาต่อหน่วย6.3_14.5.1" localSheetId="3">#REF!</definedName>
    <definedName name="ราคาต่อหน่วย6.3_14.5.1" localSheetId="2">#REF!</definedName>
    <definedName name="ราคาต่อหน่วย6.3_14.5.1">#REF!</definedName>
    <definedName name="ราคาต่อหน่วย6.3_14.5.2" localSheetId="3">#REF!</definedName>
    <definedName name="ราคาต่อหน่วย6.3_14.5.2" localSheetId="2">#REF!</definedName>
    <definedName name="ราคาต่อหน่วย6.3_14.5.2">#REF!</definedName>
    <definedName name="ราคาต่อหน่วย6.3_14.5.3" localSheetId="3">#REF!</definedName>
    <definedName name="ราคาต่อหน่วย6.3_14.5.3" localSheetId="2">#REF!</definedName>
    <definedName name="ราคาต่อหน่วย6.3_14.5.3">#REF!</definedName>
    <definedName name="ราคาต่อหน่วย6.3_2" localSheetId="3">#REF!</definedName>
    <definedName name="ราคาต่อหน่วย6.3_2" localSheetId="2">#REF!</definedName>
    <definedName name="ราคาต่อหน่วย6.3_2">#REF!</definedName>
    <definedName name="ราคาต่อหน่วย6.3_3.1" localSheetId="3">#REF!</definedName>
    <definedName name="ราคาต่อหน่วย6.3_3.1" localSheetId="2">#REF!</definedName>
    <definedName name="ราคาต่อหน่วย6.3_3.1">#REF!</definedName>
    <definedName name="ราคาต่อหน่วย6.3_3.2" localSheetId="3">#REF!</definedName>
    <definedName name="ราคาต่อหน่วย6.3_3.2" localSheetId="2">#REF!</definedName>
    <definedName name="ราคาต่อหน่วย6.3_3.2">#REF!</definedName>
    <definedName name="ราคาต่อหน่วย6.3_4" localSheetId="3">#REF!</definedName>
    <definedName name="ราคาต่อหน่วย6.3_4" localSheetId="2">#REF!</definedName>
    <definedName name="ราคาต่อหน่วย6.3_4">#REF!</definedName>
    <definedName name="ราคาต่อหน่วย6.3_5.1" localSheetId="3">#REF!</definedName>
    <definedName name="ราคาต่อหน่วย6.3_5.1" localSheetId="2">#REF!</definedName>
    <definedName name="ราคาต่อหน่วย6.3_5.1">#REF!</definedName>
    <definedName name="ราคาต่อหน่วย6.3_5.2" localSheetId="3">#REF!</definedName>
    <definedName name="ราคาต่อหน่วย6.3_5.2" localSheetId="2">#REF!</definedName>
    <definedName name="ราคาต่อหน่วย6.3_5.2">#REF!</definedName>
    <definedName name="ราคาต่อหน่วย6.3_6.1.1" localSheetId="3">#REF!</definedName>
    <definedName name="ราคาต่อหน่วย6.3_6.1.1" localSheetId="2">#REF!</definedName>
    <definedName name="ราคาต่อหน่วย6.3_6.1.1">#REF!</definedName>
    <definedName name="ราคาต่อหน่วย6.3_6.2.1" localSheetId="3">#REF!</definedName>
    <definedName name="ราคาต่อหน่วย6.3_6.2.1" localSheetId="2">#REF!</definedName>
    <definedName name="ราคาต่อหน่วย6.3_6.2.1">#REF!</definedName>
    <definedName name="ราคาต่อหน่วย6.3_7" localSheetId="3">#REF!</definedName>
    <definedName name="ราคาต่อหน่วย6.3_7" localSheetId="2">#REF!</definedName>
    <definedName name="ราคาต่อหน่วย6.3_7">#REF!</definedName>
    <definedName name="ราคาต่อหน่วย6.3_8.1" localSheetId="3">#REF!</definedName>
    <definedName name="ราคาต่อหน่วย6.3_8.1" localSheetId="2">#REF!</definedName>
    <definedName name="ราคาต่อหน่วย6.3_8.1">#REF!</definedName>
    <definedName name="ราคาต่อหน่วย6.3_8.2" localSheetId="3">#REF!</definedName>
    <definedName name="ราคาต่อหน่วย6.3_8.2" localSheetId="2">#REF!</definedName>
    <definedName name="ราคาต่อหน่วย6.3_8.2">#REF!</definedName>
    <definedName name="ราคาต่อหน่วย6.3_8.3" localSheetId="3">#REF!</definedName>
    <definedName name="ราคาต่อหน่วย6.3_8.3" localSheetId="2">#REF!</definedName>
    <definedName name="ราคาต่อหน่วย6.3_8.3">#REF!</definedName>
    <definedName name="ราคาต่อหน่วย6.3_9" localSheetId="3">#REF!</definedName>
    <definedName name="ราคาต่อหน่วย6.3_9" localSheetId="2">#REF!</definedName>
    <definedName name="ราคาต่อหน่วย6.3_9">#REF!</definedName>
    <definedName name="ราคาต่อหน่วย6.4_1" localSheetId="3">#REF!</definedName>
    <definedName name="ราคาต่อหน่วย6.4_1" localSheetId="2">#REF!</definedName>
    <definedName name="ราคาต่อหน่วย6.4_1">#REF!</definedName>
    <definedName name="ราคาต่อหน่วย6.4_2" localSheetId="3">#REF!</definedName>
    <definedName name="ราคาต่อหน่วย6.4_2" localSheetId="2">#REF!</definedName>
    <definedName name="ราคาต่อหน่วย6.4_2">#REF!</definedName>
    <definedName name="ราคาต่อหน่วย6.4_3" localSheetId="3">#REF!</definedName>
    <definedName name="ราคาต่อหน่วย6.4_3" localSheetId="2">#REF!</definedName>
    <definedName name="ราคาต่อหน่วย6.4_3">#REF!</definedName>
    <definedName name="ราคาต่อหน่วย6.4_4" localSheetId="3">#REF!</definedName>
    <definedName name="ราคาต่อหน่วย6.4_4" localSheetId="2">#REF!</definedName>
    <definedName name="ราคาต่อหน่วย6.4_4">#REF!</definedName>
    <definedName name="ราคาต่อหน่วย6.4_5.1" localSheetId="3">#REF!</definedName>
    <definedName name="ราคาต่อหน่วย6.4_5.1" localSheetId="2">#REF!</definedName>
    <definedName name="ราคาต่อหน่วย6.4_5.1">#REF!</definedName>
    <definedName name="ราคาต่อหน่วย6.4_5.2" localSheetId="3">#REF!</definedName>
    <definedName name="ราคาต่อหน่วย6.4_5.2" localSheetId="2">#REF!</definedName>
    <definedName name="ราคาต่อหน่วย6.4_5.2">#REF!</definedName>
    <definedName name="ราคาต่อหน่วย6.4_5.3" localSheetId="3">#REF!</definedName>
    <definedName name="ราคาต่อหน่วย6.4_5.3" localSheetId="2">#REF!</definedName>
    <definedName name="ราคาต่อหน่วย6.4_5.3">#REF!</definedName>
    <definedName name="ราคาต่อหน่วย6.4_5.4" localSheetId="3">#REF!</definedName>
    <definedName name="ราคาต่อหน่วย6.4_5.4" localSheetId="2">#REF!</definedName>
    <definedName name="ราคาต่อหน่วย6.4_5.4">#REF!</definedName>
    <definedName name="ราคาต่อหน่วย6.4_6.1" localSheetId="3">#REF!</definedName>
    <definedName name="ราคาต่อหน่วย6.4_6.1" localSheetId="2">#REF!</definedName>
    <definedName name="ราคาต่อหน่วย6.4_6.1">#REF!</definedName>
    <definedName name="ราคาต่อหน่วย6.4_6.2" localSheetId="3">#REF!</definedName>
    <definedName name="ราคาต่อหน่วย6.4_6.2" localSheetId="2">#REF!</definedName>
    <definedName name="ราคาต่อหน่วย6.4_6.2">#REF!</definedName>
    <definedName name="ราคาต่อหน่วย6.4_6.3" localSheetId="3">#REF!</definedName>
    <definedName name="ราคาต่อหน่วย6.4_6.3" localSheetId="2">#REF!</definedName>
    <definedName name="ราคาต่อหน่วย6.4_6.3">#REF!</definedName>
    <definedName name="ราคาต่อหน่วย6.4_6.4" localSheetId="3">#REF!</definedName>
    <definedName name="ราคาต่อหน่วย6.4_6.4" localSheetId="2">#REF!</definedName>
    <definedName name="ราคาต่อหน่วย6.4_6.4">#REF!</definedName>
    <definedName name="ราคาต่อหน่วย6.4_6.5" localSheetId="3">#REF!</definedName>
    <definedName name="ราคาต่อหน่วย6.4_6.5" localSheetId="2">#REF!</definedName>
    <definedName name="ราคาต่อหน่วย6.4_6.5">#REF!</definedName>
    <definedName name="ราคาต่อหน่วย6.5_1" localSheetId="3">#REF!</definedName>
    <definedName name="ราคาต่อหน่วย6.5_1" localSheetId="2">#REF!</definedName>
    <definedName name="ราคาต่อหน่วย6.5_1">#REF!</definedName>
    <definedName name="ราคาต่อหน่วย6.5_2" localSheetId="3">#REF!</definedName>
    <definedName name="ราคาต่อหน่วย6.5_2" localSheetId="2">#REF!</definedName>
    <definedName name="ราคาต่อหน่วย6.5_2">#REF!</definedName>
    <definedName name="ราคาต่อหน่วย6.6_1" localSheetId="3">#REF!</definedName>
    <definedName name="ราคาต่อหน่วย6.6_1" localSheetId="2">#REF!</definedName>
    <definedName name="ราคาต่อหน่วย6.6_1">#REF!</definedName>
    <definedName name="ราคาต่อหน่วย6.6_2" localSheetId="3">#REF!</definedName>
    <definedName name="ราคาต่อหน่วย6.6_2" localSheetId="2">#REF!</definedName>
    <definedName name="ราคาต่อหน่วย6.6_2">#REF!</definedName>
    <definedName name="ราคาต่อหน่วย6.7_1" localSheetId="3">#REF!</definedName>
    <definedName name="ราคาต่อหน่วย6.7_1" localSheetId="2">#REF!</definedName>
    <definedName name="ราคาต่อหน่วย6.7_1">#REF!</definedName>
    <definedName name="ราคาต่อหน่วย6.7_2" localSheetId="3">#REF!</definedName>
    <definedName name="ราคาต่อหน่วย6.7_2" localSheetId="2">#REF!</definedName>
    <definedName name="ราคาต่อหน่วย6.7_2">#REF!</definedName>
    <definedName name="ราคาต่อหน่วย6.8_1.1" localSheetId="3">#REF!</definedName>
    <definedName name="ราคาต่อหน่วย6.8_1.1" localSheetId="2">#REF!</definedName>
    <definedName name="ราคาต่อหน่วย6.8_1.1">#REF!</definedName>
    <definedName name="ราคาต่อหน่วย6.8_1.2" localSheetId="3">#REF!</definedName>
    <definedName name="ราคาต่อหน่วย6.8_1.2" localSheetId="2">#REF!</definedName>
    <definedName name="ราคาต่อหน่วย6.8_1.2">#REF!</definedName>
    <definedName name="ราคาต่อหน่วย6.8_1.3" localSheetId="3">#REF!</definedName>
    <definedName name="ราคาต่อหน่วย6.8_1.3" localSheetId="2">#REF!</definedName>
    <definedName name="ราคาต่อหน่วย6.8_1.3">#REF!</definedName>
    <definedName name="ราคาต่อหน่วย6.8_2" localSheetId="3">#REF!</definedName>
    <definedName name="ราคาต่อหน่วย6.8_2" localSheetId="2">#REF!</definedName>
    <definedName name="ราคาต่อหน่วย6.8_2">#REF!</definedName>
    <definedName name="ราคาต่อหน่วย6.9_1" localSheetId="3">#REF!</definedName>
    <definedName name="ราคาต่อหน่วย6.9_1" localSheetId="2">#REF!</definedName>
    <definedName name="ราคาต่อหน่วย6.9_1">#REF!</definedName>
    <definedName name="ราคาต่อหน่วย6.9_2" localSheetId="3">#REF!</definedName>
    <definedName name="ราคาต่อหน่วย6.9_2" localSheetId="2">#REF!</definedName>
    <definedName name="ราคาต่อหน่วย6.9_2">#REF!</definedName>
    <definedName name="ราคาทรายถม" localSheetId="3">#REF!</definedName>
    <definedName name="ราคาทรายถม" localSheetId="2">#REF!</definedName>
    <definedName name="ราคาทรายถม">#REF!</definedName>
    <definedName name="ราคาทรายหยาบ" localSheetId="3">#REF!</definedName>
    <definedName name="ราคาทรายหยาบ" localSheetId="2">#REF!</definedName>
    <definedName name="ราคาทรายหยาบ">#REF!</definedName>
    <definedName name="ราคาท่อเหล็ก1.5x3.2" localSheetId="3">#REF!</definedName>
    <definedName name="ราคาท่อเหล็ก1.5x3.2" localSheetId="2">#REF!</definedName>
    <definedName name="ราคาท่อเหล็ก1.5x3.2">#REF!</definedName>
    <definedName name="ราคาท่อเหล็ก2x4" localSheetId="3">#REF!</definedName>
    <definedName name="ราคาท่อเหล็ก2x4" localSheetId="2">#REF!</definedName>
    <definedName name="ราคาท่อเหล็ก2x4">#REF!</definedName>
    <definedName name="ราคาท่อเหล็ก3x3.2" localSheetId="3">#REF!</definedName>
    <definedName name="ราคาท่อเหล็ก3x3.2" localSheetId="2">#REF!</definedName>
    <definedName name="ราคาท่อเหล็ก3x3.2">#REF!</definedName>
    <definedName name="ราคาท่อเหล็ก4x4" localSheetId="3">#REF!</definedName>
    <definedName name="ราคาท่อเหล็ก4x4" localSheetId="2">#REF!</definedName>
    <definedName name="ราคาท่อเหล็ก4x4">#REF!</definedName>
    <definedName name="ราคาท่อกลวงชุบกัลวาไนซ์1.5x1.5x3.2mm" localSheetId="3">#REF!</definedName>
    <definedName name="ราคาท่อกลวงชุบกัลวาไนซ์1.5x1.5x3.2mm" localSheetId="2">#REF!</definedName>
    <definedName name="ราคาท่อกลวงชุบกัลวาไนซ์1.5x1.5x3.2mm">#REF!</definedName>
    <definedName name="ราคาท่อกลวงชุบกัลวาไนซ์50x50x3.2mm." localSheetId="3">#REF!</definedName>
    <definedName name="ราคาท่อกลวงชุบกัลวาไนซ์50x50x3.2mm." localSheetId="2">#REF!</definedName>
    <definedName name="ราคาท่อกลวงชุบกัลวาไนซ์50x50x3.2mm.">#REF!</definedName>
    <definedName name="ราคาน้ำมันโซล่า14.00_14.99_บาท_ลิตร" localSheetId="3">#REF!</definedName>
    <definedName name="ราคาน้ำมันโซล่า14.00_14.99_บาท_ลิตร" localSheetId="2">#REF!</definedName>
    <definedName name="ราคาน้ำมันโซล่า14.00_14.99_บาท_ลิตร">#REF!</definedName>
    <definedName name="ราคาปูนซีเมนต์ขาว" localSheetId="3">#REF!</definedName>
    <definedName name="ราคาปูนซีเมนต์ขาว" localSheetId="2">#REF!</definedName>
    <definedName name="ราคาปูนซีเมนต์ขาว">#REF!</definedName>
    <definedName name="ราคาปูนต์" localSheetId="3">#REF!</definedName>
    <definedName name="ราคาปูนต์" localSheetId="2">#REF!</definedName>
    <definedName name="ราคาปูนต์">#REF!</definedName>
    <definedName name="ราคาลวดเหล็กอัดแรงชนิดเดี่ยว">[11]ราคาวัสดุ!$D$62</definedName>
    <definedName name="ราคาลูกรัง" localSheetId="3">#REF!</definedName>
    <definedName name="ราคาลูกรัง" localSheetId="4">#REF!</definedName>
    <definedName name="ราคาลูกรัง" localSheetId="18">#REF!</definedName>
    <definedName name="ราคาลูกรัง" localSheetId="19">#REF!</definedName>
    <definedName name="ราคาลูกรัง" localSheetId="9">#REF!</definedName>
    <definedName name="ราคาลูกรัง" localSheetId="10">#REF!</definedName>
    <definedName name="ราคาลูกรัง" localSheetId="11">#REF!</definedName>
    <definedName name="ราคาลูกรัง" localSheetId="12">#REF!</definedName>
    <definedName name="ราคาลูกรัง" localSheetId="13">#REF!</definedName>
    <definedName name="ราคาลูกรัง" localSheetId="14">#REF!</definedName>
    <definedName name="ราคาลูกรัง" localSheetId="15">#REF!</definedName>
    <definedName name="ราคาลูกรัง" localSheetId="16">#REF!</definedName>
    <definedName name="ราคาลูกรัง" localSheetId="17">#REF!</definedName>
    <definedName name="ราคาลูกรัง" localSheetId="8">#REF!</definedName>
    <definedName name="ราคาลูกรัง" localSheetId="7">#REF!</definedName>
    <definedName name="ราคาลูกรัง" localSheetId="6">#REF!</definedName>
    <definedName name="ราคาลูกรัง" localSheetId="20">#REF!</definedName>
    <definedName name="ราคาลูกรัง" localSheetId="5">#REF!</definedName>
    <definedName name="ราคาลูกรัง" localSheetId="21">#REF!</definedName>
    <definedName name="ราคาลูกรัง" localSheetId="34">#REF!</definedName>
    <definedName name="ราคาลูกรัง" localSheetId="35">#REF!</definedName>
    <definedName name="ราคาลูกรัง" localSheetId="25">#REF!</definedName>
    <definedName name="ราคาลูกรัง" localSheetId="27">#REF!</definedName>
    <definedName name="ราคาลูกรัง" localSheetId="28">#REF!</definedName>
    <definedName name="ราคาลูกรัง" localSheetId="29">#REF!</definedName>
    <definedName name="ราคาลูกรัง" localSheetId="31">#REF!</definedName>
    <definedName name="ราคาลูกรัง" localSheetId="32">#REF!</definedName>
    <definedName name="ราคาลูกรัง" localSheetId="33">#REF!</definedName>
    <definedName name="ราคาลูกรัง" localSheetId="24">#REF!</definedName>
    <definedName name="ราคาลูกรัง" localSheetId="23">#REF!</definedName>
    <definedName name="ราคาลูกรัง" localSheetId="36">#REF!</definedName>
    <definedName name="ราคาลูกรัง" localSheetId="22">#REF!</definedName>
    <definedName name="ราคาลูกรัง" localSheetId="26">#REF!</definedName>
    <definedName name="ราคาลูกรัง" localSheetId="30">#REF!</definedName>
    <definedName name="ราคาลูกรัง" localSheetId="41">#REF!</definedName>
    <definedName name="ราคาลูกรัง" localSheetId="50">#REF!</definedName>
    <definedName name="ราคาลูกรัง" localSheetId="51">#REF!</definedName>
    <definedName name="ราคาลูกรัง" localSheetId="42">#REF!</definedName>
    <definedName name="ราคาลูกรัง" localSheetId="43">#REF!</definedName>
    <definedName name="ราคาลูกรัง" localSheetId="44">#REF!</definedName>
    <definedName name="ราคาลูกรัง" localSheetId="45">#REF!</definedName>
    <definedName name="ราคาลูกรัง" localSheetId="46">#REF!</definedName>
    <definedName name="ราคาลูกรัง" localSheetId="47">#REF!</definedName>
    <definedName name="ราคาลูกรัง" localSheetId="48">#REF!</definedName>
    <definedName name="ราคาลูกรัง" localSheetId="49">#REF!</definedName>
    <definedName name="ราคาลูกรัง" localSheetId="52">#REF!</definedName>
    <definedName name="ราคาลูกรัง" localSheetId="40">#REF!</definedName>
    <definedName name="ราคาลูกรัง" localSheetId="39">#REF!</definedName>
    <definedName name="ราคาลูกรัง" localSheetId="38">#REF!</definedName>
    <definedName name="ราคาลูกรัง" localSheetId="37">#REF!</definedName>
    <definedName name="ราคาลูกรัง" localSheetId="57">#REF!</definedName>
    <definedName name="ราคาลูกรัง" localSheetId="66">#REF!</definedName>
    <definedName name="ราคาลูกรัง" localSheetId="67">#REF!</definedName>
    <definedName name="ราคาลูกรัง" localSheetId="58">#REF!</definedName>
    <definedName name="ราคาลูกรัง" localSheetId="59">#REF!</definedName>
    <definedName name="ราคาลูกรัง" localSheetId="60">#REF!</definedName>
    <definedName name="ราคาลูกรัง" localSheetId="61">#REF!</definedName>
    <definedName name="ราคาลูกรัง" localSheetId="62">#REF!</definedName>
    <definedName name="ราคาลูกรัง" localSheetId="63">#REF!</definedName>
    <definedName name="ราคาลูกรัง" localSheetId="64">#REF!</definedName>
    <definedName name="ราคาลูกรัง" localSheetId="65">#REF!</definedName>
    <definedName name="ราคาลูกรัง" localSheetId="68">#REF!</definedName>
    <definedName name="ราคาลูกรัง" localSheetId="56">#REF!</definedName>
    <definedName name="ราคาลูกรัง" localSheetId="55">#REF!</definedName>
    <definedName name="ราคาลูกรัง" localSheetId="54">#REF!</definedName>
    <definedName name="ราคาลูกรัง" localSheetId="69">#REF!</definedName>
    <definedName name="ราคาลูกรัง" localSheetId="53">#REF!</definedName>
    <definedName name="ราคาลูกรัง" localSheetId="85">#REF!</definedName>
    <definedName name="ราคาลูกรัง" localSheetId="86">#REF!</definedName>
    <definedName name="ราคาลูกรัง" localSheetId="2">#REF!</definedName>
    <definedName name="ราคาลูกรัง">#REF!</definedName>
    <definedName name="ราคาวัสดุคัดเลือก" localSheetId="3">#REF!</definedName>
    <definedName name="ราคาวัสดุคัดเลือก" localSheetId="4">#REF!</definedName>
    <definedName name="ราคาวัสดุคัดเลือก" localSheetId="18">#REF!</definedName>
    <definedName name="ราคาวัสดุคัดเลือก" localSheetId="19">#REF!</definedName>
    <definedName name="ราคาวัสดุคัดเลือก" localSheetId="9">#REF!</definedName>
    <definedName name="ราคาวัสดุคัดเลือก" localSheetId="10">#REF!</definedName>
    <definedName name="ราคาวัสดุคัดเลือก" localSheetId="11">#REF!</definedName>
    <definedName name="ราคาวัสดุคัดเลือก" localSheetId="12">#REF!</definedName>
    <definedName name="ราคาวัสดุคัดเลือก" localSheetId="13">#REF!</definedName>
    <definedName name="ราคาวัสดุคัดเลือก" localSheetId="14">#REF!</definedName>
    <definedName name="ราคาวัสดุคัดเลือก" localSheetId="15">#REF!</definedName>
    <definedName name="ราคาวัสดุคัดเลือก" localSheetId="16">#REF!</definedName>
    <definedName name="ราคาวัสดุคัดเลือก" localSheetId="17">#REF!</definedName>
    <definedName name="ราคาวัสดุคัดเลือก" localSheetId="8">#REF!</definedName>
    <definedName name="ราคาวัสดุคัดเลือก" localSheetId="7">#REF!</definedName>
    <definedName name="ราคาวัสดุคัดเลือก" localSheetId="6">#REF!</definedName>
    <definedName name="ราคาวัสดุคัดเลือก" localSheetId="20">#REF!</definedName>
    <definedName name="ราคาวัสดุคัดเลือก" localSheetId="5">#REF!</definedName>
    <definedName name="ราคาวัสดุคัดเลือก" localSheetId="21">#REF!</definedName>
    <definedName name="ราคาวัสดุคัดเลือก" localSheetId="34">#REF!</definedName>
    <definedName name="ราคาวัสดุคัดเลือก" localSheetId="35">#REF!</definedName>
    <definedName name="ราคาวัสดุคัดเลือก" localSheetId="25">#REF!</definedName>
    <definedName name="ราคาวัสดุคัดเลือก" localSheetId="27">#REF!</definedName>
    <definedName name="ราคาวัสดุคัดเลือก" localSheetId="28">#REF!</definedName>
    <definedName name="ราคาวัสดุคัดเลือก" localSheetId="29">#REF!</definedName>
    <definedName name="ราคาวัสดุคัดเลือก" localSheetId="31">#REF!</definedName>
    <definedName name="ราคาวัสดุคัดเลือก" localSheetId="32">#REF!</definedName>
    <definedName name="ราคาวัสดุคัดเลือก" localSheetId="33">#REF!</definedName>
    <definedName name="ราคาวัสดุคัดเลือก" localSheetId="24">#REF!</definedName>
    <definedName name="ราคาวัสดุคัดเลือก" localSheetId="23">#REF!</definedName>
    <definedName name="ราคาวัสดุคัดเลือก" localSheetId="36">#REF!</definedName>
    <definedName name="ราคาวัสดุคัดเลือก" localSheetId="22">#REF!</definedName>
    <definedName name="ราคาวัสดุคัดเลือก" localSheetId="26">#REF!</definedName>
    <definedName name="ราคาวัสดุคัดเลือก" localSheetId="30">#REF!</definedName>
    <definedName name="ราคาวัสดุคัดเลือก" localSheetId="85">#REF!</definedName>
    <definedName name="ราคาวัสดุคัดเลือก" localSheetId="86">#REF!</definedName>
    <definedName name="ราคาวัสดุคัดเลือก" localSheetId="2">#REF!</definedName>
    <definedName name="ราคาวัสดุคัดเลือก">#REF!</definedName>
    <definedName name="ราคาสีเทอโมพลาสติก18ลิตร" localSheetId="3">#REF!</definedName>
    <definedName name="ราคาสีเทอโมพลาสติก18ลิตร" localSheetId="4">#REF!</definedName>
    <definedName name="ราคาสีเทอโมพลาสติก18ลิตร" localSheetId="85">#REF!</definedName>
    <definedName name="ราคาสีเทอโมพลาสติก18ลิตร" localSheetId="86">#REF!</definedName>
    <definedName name="ราคาสีเทอโมพลาสติก18ลิตร" localSheetId="2">#REF!</definedName>
    <definedName name="ราคาสีเทอโมพลาสติก18ลิตร">#REF!</definedName>
    <definedName name="ราคาสีเทอโมพลาสติก3.785ลิตร" localSheetId="3">#REF!</definedName>
    <definedName name="ราคาสีเทอโมพลาสติก3.785ลิตร" localSheetId="2">#REF!</definedName>
    <definedName name="ราคาสีเทอโมพลาสติก3.785ลิตร">#REF!</definedName>
    <definedName name="ราคาหิน12" localSheetId="3">#REF!</definedName>
    <definedName name="ราคาหิน12" localSheetId="2">#REF!</definedName>
    <definedName name="ราคาหิน12">#REF!</definedName>
    <definedName name="ราคาหินเกล็ดสีเลือดหมู" localSheetId="3">#REF!</definedName>
    <definedName name="ราคาหินเกล็ดสีเลือดหมู" localSheetId="2">#REF!</definedName>
    <definedName name="ราคาหินเกล็ดสีเลือดหมู">#REF!</definedName>
    <definedName name="ราคาหินเกล็ดสีเหลือง_ชมพู" localSheetId="3">#REF!</definedName>
    <definedName name="ราคาหินเกล็ดสีเหลือง_ชมพู" localSheetId="2">#REF!</definedName>
    <definedName name="ราคาหินเกล็ดสีเหลือง_ชมพู">#REF!</definedName>
    <definedName name="ราคาหินเกล็ดสีดำ_ขาว" localSheetId="3">#REF!</definedName>
    <definedName name="ราคาหินเกล็ดสีดำ_ขาว" localSheetId="2">#REF!</definedName>
    <definedName name="ราคาหินเกล็ดสีดำ_ขาว">#REF!</definedName>
    <definedName name="ราคาหินแกรนิตสีเทาขาว" localSheetId="3">#REF!</definedName>
    <definedName name="ราคาหินแกรนิตสีเทาขาว" localSheetId="2">#REF!</definedName>
    <definedName name="ราคาหินแกรนิตสีเทาขาว">#REF!</definedName>
    <definedName name="ราคาหินคลุก" localSheetId="3">#REF!</definedName>
    <definedName name="ราคาหินคลุก" localSheetId="2">#REF!</definedName>
    <definedName name="ราคาหินคลุก">#REF!</definedName>
    <definedName name="ราคาหินผสม" localSheetId="3">#REF!</definedName>
    <definedName name="ราคาหินผสม" localSheetId="2">#REF!</definedName>
    <definedName name="ราคาหินผสม">#REF!</definedName>
    <definedName name="รางระบายน้ำ" localSheetId="3">#REF!</definedName>
    <definedName name="รางระบายน้ำ" localSheetId="86">#REF!</definedName>
    <definedName name="รางระบายน้ำ" localSheetId="2">#REF!</definedName>
    <definedName name="รางระบายน้ำ">#REF!</definedName>
    <definedName name="รางระบายน้ำบนลาดดินตัด" localSheetId="3">#REF!</definedName>
    <definedName name="รางระบายน้ำบนลาดดินตัด" localSheetId="2">#REF!</definedName>
    <definedName name="รางระบายน้ำบนลาดดินตัด">#REF!</definedName>
    <definedName name="ราวบันไดเหล็ก1.5นิ้วตามแบบอาคาร22" localSheetId="3">#REF!</definedName>
    <definedName name="ราวบันไดเหล็ก1.5นิ้วตามแบบอาคาร22" localSheetId="2">#REF!</definedName>
    <definedName name="ราวบันไดเหล็ก1.5นิ้วตามแบบอาคาร22">#REF!</definedName>
    <definedName name="ราวบันไดเหล็ก1.5นิ้วทาสี" localSheetId="3">#REF!</definedName>
    <definedName name="ราวบันไดเหล็ก1.5นิ้วทาสี" localSheetId="2">#REF!</definedName>
    <definedName name="ราวบันไดเหล็ก1.5นิ้วทาสี">#REF!</definedName>
    <definedName name="รื้อถนนคอนกรีต">'[8]1'!$J$24</definedName>
    <definedName name="รื้อถนนลาดยาง">'[8]1'!$J$13</definedName>
    <definedName name="รื้อสะพานคอนกรีต">'[8]1'!$J$36</definedName>
    <definedName name="รูป_สี่เหลี่ยมคางหมู_ขนาด3.0x0.5ม." localSheetId="3">'[11]หมวด 6(2)'!#REF!</definedName>
    <definedName name="รูป_สี่เหลี่ยมคางหมู_ขนาด3.0x0.5ม." localSheetId="4">'[11]หมวด 6(2)'!#REF!</definedName>
    <definedName name="รูป_สี่เหลี่ยมคางหมู_ขนาด3.0x0.5ม." localSheetId="18">'[11]หมวด 6(2)'!#REF!</definedName>
    <definedName name="รูป_สี่เหลี่ยมคางหมู_ขนาด3.0x0.5ม." localSheetId="19">'[11]หมวด 6(2)'!#REF!</definedName>
    <definedName name="รูป_สี่เหลี่ยมคางหมู_ขนาด3.0x0.5ม." localSheetId="9">'[11]หมวด 6(2)'!#REF!</definedName>
    <definedName name="รูป_สี่เหลี่ยมคางหมู_ขนาด3.0x0.5ม." localSheetId="10">'[11]หมวด 6(2)'!#REF!</definedName>
    <definedName name="รูป_สี่เหลี่ยมคางหมู_ขนาด3.0x0.5ม." localSheetId="11">'[11]หมวด 6(2)'!#REF!</definedName>
    <definedName name="รูป_สี่เหลี่ยมคางหมู_ขนาด3.0x0.5ม." localSheetId="12">'[11]หมวด 6(2)'!#REF!</definedName>
    <definedName name="รูป_สี่เหลี่ยมคางหมู_ขนาด3.0x0.5ม." localSheetId="13">'[11]หมวด 6(2)'!#REF!</definedName>
    <definedName name="รูป_สี่เหลี่ยมคางหมู_ขนาด3.0x0.5ม." localSheetId="14">'[11]หมวด 6(2)'!#REF!</definedName>
    <definedName name="รูป_สี่เหลี่ยมคางหมู_ขนาด3.0x0.5ม." localSheetId="15">'[11]หมวด 6(2)'!#REF!</definedName>
    <definedName name="รูป_สี่เหลี่ยมคางหมู_ขนาด3.0x0.5ม." localSheetId="16">'[11]หมวด 6(2)'!#REF!</definedName>
    <definedName name="รูป_สี่เหลี่ยมคางหมู_ขนาด3.0x0.5ม." localSheetId="17">'[11]หมวด 6(2)'!#REF!</definedName>
    <definedName name="รูป_สี่เหลี่ยมคางหมู_ขนาด3.0x0.5ม." localSheetId="8">'[11]หมวด 6(2)'!#REF!</definedName>
    <definedName name="รูป_สี่เหลี่ยมคางหมู_ขนาด3.0x0.5ม." localSheetId="7">'[11]หมวด 6(2)'!#REF!</definedName>
    <definedName name="รูป_สี่เหลี่ยมคางหมู_ขนาด3.0x0.5ม." localSheetId="6">'[11]หมวด 6(2)'!#REF!</definedName>
    <definedName name="รูป_สี่เหลี่ยมคางหมู_ขนาด3.0x0.5ม." localSheetId="20">'[11]หมวด 6(2)'!#REF!</definedName>
    <definedName name="รูป_สี่เหลี่ยมคางหมู_ขนาด3.0x0.5ม." localSheetId="5">'[11]หมวด 6(2)'!#REF!</definedName>
    <definedName name="รูป_สี่เหลี่ยมคางหมู_ขนาด3.0x0.5ม." localSheetId="21">'[11]หมวด 6(2)'!#REF!</definedName>
    <definedName name="รูป_สี่เหลี่ยมคางหมู_ขนาด3.0x0.5ม." localSheetId="34">'[11]หมวด 6(2)'!#REF!</definedName>
    <definedName name="รูป_สี่เหลี่ยมคางหมู_ขนาด3.0x0.5ม." localSheetId="35">'[11]หมวด 6(2)'!#REF!</definedName>
    <definedName name="รูป_สี่เหลี่ยมคางหมู_ขนาด3.0x0.5ม." localSheetId="25">'[11]หมวด 6(2)'!#REF!</definedName>
    <definedName name="รูป_สี่เหลี่ยมคางหมู_ขนาด3.0x0.5ม." localSheetId="27">'[11]หมวด 6(2)'!#REF!</definedName>
    <definedName name="รูป_สี่เหลี่ยมคางหมู_ขนาด3.0x0.5ม." localSheetId="28">'[11]หมวด 6(2)'!#REF!</definedName>
    <definedName name="รูป_สี่เหลี่ยมคางหมู_ขนาด3.0x0.5ม." localSheetId="29">'[11]หมวด 6(2)'!#REF!</definedName>
    <definedName name="รูป_สี่เหลี่ยมคางหมู_ขนาด3.0x0.5ม." localSheetId="31">'[11]หมวด 6(2)'!#REF!</definedName>
    <definedName name="รูป_สี่เหลี่ยมคางหมู_ขนาด3.0x0.5ม." localSheetId="32">'[11]หมวด 6(2)'!#REF!</definedName>
    <definedName name="รูป_สี่เหลี่ยมคางหมู_ขนาด3.0x0.5ม." localSheetId="33">'[11]หมวด 6(2)'!#REF!</definedName>
    <definedName name="รูป_สี่เหลี่ยมคางหมู_ขนาด3.0x0.5ม." localSheetId="24">'[11]หมวด 6(2)'!#REF!</definedName>
    <definedName name="รูป_สี่เหลี่ยมคางหมู_ขนาด3.0x0.5ม." localSheetId="23">'[11]หมวด 6(2)'!#REF!</definedName>
    <definedName name="รูป_สี่เหลี่ยมคางหมู_ขนาด3.0x0.5ม." localSheetId="36">'[11]หมวด 6(2)'!#REF!</definedName>
    <definedName name="รูป_สี่เหลี่ยมคางหมู_ขนาด3.0x0.5ม." localSheetId="22">'[11]หมวด 6(2)'!#REF!</definedName>
    <definedName name="รูป_สี่เหลี่ยมคางหมู_ขนาด3.0x0.5ม." localSheetId="26">'[11]หมวด 6(2)'!#REF!</definedName>
    <definedName name="รูป_สี่เหลี่ยมคางหมู_ขนาด3.0x0.5ม." localSheetId="30">'[11]หมวด 6(2)'!#REF!</definedName>
    <definedName name="รูป_สี่เหลี่ยมคางหมู_ขนาด3.0x0.5ม." localSheetId="41">'[11]หมวด 6(2)'!#REF!</definedName>
    <definedName name="รูป_สี่เหลี่ยมคางหมู_ขนาด3.0x0.5ม." localSheetId="50">'[11]หมวด 6(2)'!#REF!</definedName>
    <definedName name="รูป_สี่เหลี่ยมคางหมู_ขนาด3.0x0.5ม." localSheetId="51">'[11]หมวด 6(2)'!#REF!</definedName>
    <definedName name="รูป_สี่เหลี่ยมคางหมู_ขนาด3.0x0.5ม." localSheetId="42">'[11]หมวด 6(2)'!#REF!</definedName>
    <definedName name="รูป_สี่เหลี่ยมคางหมู_ขนาด3.0x0.5ม." localSheetId="43">'[11]หมวด 6(2)'!#REF!</definedName>
    <definedName name="รูป_สี่เหลี่ยมคางหมู_ขนาด3.0x0.5ม." localSheetId="44">'[11]หมวด 6(2)'!#REF!</definedName>
    <definedName name="รูป_สี่เหลี่ยมคางหมู_ขนาด3.0x0.5ม." localSheetId="45">'[11]หมวด 6(2)'!#REF!</definedName>
    <definedName name="รูป_สี่เหลี่ยมคางหมู_ขนาด3.0x0.5ม." localSheetId="46">'[11]หมวด 6(2)'!#REF!</definedName>
    <definedName name="รูป_สี่เหลี่ยมคางหมู_ขนาด3.0x0.5ม." localSheetId="47">'[11]หมวด 6(2)'!#REF!</definedName>
    <definedName name="รูป_สี่เหลี่ยมคางหมู_ขนาด3.0x0.5ม." localSheetId="48">'[11]หมวด 6(2)'!#REF!</definedName>
    <definedName name="รูป_สี่เหลี่ยมคางหมู_ขนาด3.0x0.5ม." localSheetId="49">'[11]หมวด 6(2)'!#REF!</definedName>
    <definedName name="รูป_สี่เหลี่ยมคางหมู_ขนาด3.0x0.5ม." localSheetId="52">'[11]หมวด 6(2)'!#REF!</definedName>
    <definedName name="รูป_สี่เหลี่ยมคางหมู_ขนาด3.0x0.5ม." localSheetId="40">'[11]หมวด 6(2)'!#REF!</definedName>
    <definedName name="รูป_สี่เหลี่ยมคางหมู_ขนาด3.0x0.5ม." localSheetId="39">'[11]หมวด 6(2)'!#REF!</definedName>
    <definedName name="รูป_สี่เหลี่ยมคางหมู_ขนาด3.0x0.5ม." localSheetId="38">'[11]หมวด 6(2)'!#REF!</definedName>
    <definedName name="รูป_สี่เหลี่ยมคางหมู_ขนาด3.0x0.5ม." localSheetId="37">'[11]หมวด 6(2)'!#REF!</definedName>
    <definedName name="รูป_สี่เหลี่ยมคางหมู_ขนาด3.0x0.5ม." localSheetId="57">'[11]หมวด 6(2)'!#REF!</definedName>
    <definedName name="รูป_สี่เหลี่ยมคางหมู_ขนาด3.0x0.5ม." localSheetId="66">'[11]หมวด 6(2)'!#REF!</definedName>
    <definedName name="รูป_สี่เหลี่ยมคางหมู_ขนาด3.0x0.5ม." localSheetId="67">'[11]หมวด 6(2)'!#REF!</definedName>
    <definedName name="รูป_สี่เหลี่ยมคางหมู_ขนาด3.0x0.5ม." localSheetId="58">'[11]หมวด 6(2)'!#REF!</definedName>
    <definedName name="รูป_สี่เหลี่ยมคางหมู_ขนาด3.0x0.5ม." localSheetId="59">'[11]หมวด 6(2)'!#REF!</definedName>
    <definedName name="รูป_สี่เหลี่ยมคางหมู_ขนาด3.0x0.5ม." localSheetId="60">'[11]หมวด 6(2)'!#REF!</definedName>
    <definedName name="รูป_สี่เหลี่ยมคางหมู_ขนาด3.0x0.5ม." localSheetId="61">'[11]หมวด 6(2)'!#REF!</definedName>
    <definedName name="รูป_สี่เหลี่ยมคางหมู_ขนาด3.0x0.5ม." localSheetId="62">'[11]หมวด 6(2)'!#REF!</definedName>
    <definedName name="รูป_สี่เหลี่ยมคางหมู_ขนาด3.0x0.5ม." localSheetId="63">'[11]หมวด 6(2)'!#REF!</definedName>
    <definedName name="รูป_สี่เหลี่ยมคางหมู_ขนาด3.0x0.5ม." localSheetId="64">'[11]หมวด 6(2)'!#REF!</definedName>
    <definedName name="รูป_สี่เหลี่ยมคางหมู_ขนาด3.0x0.5ม." localSheetId="65">'[11]หมวด 6(2)'!#REF!</definedName>
    <definedName name="รูป_สี่เหลี่ยมคางหมู_ขนาด3.0x0.5ม." localSheetId="68">'[11]หมวด 6(2)'!#REF!</definedName>
    <definedName name="รูป_สี่เหลี่ยมคางหมู_ขนาด3.0x0.5ม." localSheetId="56">'[11]หมวด 6(2)'!#REF!</definedName>
    <definedName name="รูป_สี่เหลี่ยมคางหมู_ขนาด3.0x0.5ม." localSheetId="55">'[11]หมวด 6(2)'!#REF!</definedName>
    <definedName name="รูป_สี่เหลี่ยมคางหมู_ขนาด3.0x0.5ม." localSheetId="54">'[11]หมวด 6(2)'!#REF!</definedName>
    <definedName name="รูป_สี่เหลี่ยมคางหมู_ขนาด3.0x0.5ม." localSheetId="53">'[11]หมวด 6(2)'!#REF!</definedName>
    <definedName name="รูป_สี่เหลี่ยมคางหมู_ขนาด3.0x0.5ม." localSheetId="85">'[11]หมวด 6(2)'!#REF!</definedName>
    <definedName name="รูป_สี่เหลี่ยมคางหมู_ขนาด3.0x0.5ม." localSheetId="86">'[11]หมวด 6(2)'!#REF!</definedName>
    <definedName name="รูป_สี่เหลี่ยมคางหมู_ขนาด3.0x0.5ม.">'[11]หมวด 6(2)'!#REF!</definedName>
    <definedName name="รูป_สี่เหลี่ยมคางหมู_ขนาด4.0x1.0ม." localSheetId="3">'[11]หมวด 6(2)'!#REF!</definedName>
    <definedName name="รูป_สี่เหลี่ยมคางหมู_ขนาด4.0x1.0ม." localSheetId="4">'[11]หมวด 6(2)'!#REF!</definedName>
    <definedName name="รูป_สี่เหลี่ยมคางหมู_ขนาด4.0x1.0ม." localSheetId="18">'[11]หมวด 6(2)'!#REF!</definedName>
    <definedName name="รูป_สี่เหลี่ยมคางหมู_ขนาด4.0x1.0ม." localSheetId="19">'[11]หมวด 6(2)'!#REF!</definedName>
    <definedName name="รูป_สี่เหลี่ยมคางหมู_ขนาด4.0x1.0ม." localSheetId="9">'[11]หมวด 6(2)'!#REF!</definedName>
    <definedName name="รูป_สี่เหลี่ยมคางหมู_ขนาด4.0x1.0ม." localSheetId="10">'[11]หมวด 6(2)'!#REF!</definedName>
    <definedName name="รูป_สี่เหลี่ยมคางหมู_ขนาด4.0x1.0ม." localSheetId="11">'[11]หมวด 6(2)'!#REF!</definedName>
    <definedName name="รูป_สี่เหลี่ยมคางหมู_ขนาด4.0x1.0ม." localSheetId="12">'[11]หมวด 6(2)'!#REF!</definedName>
    <definedName name="รูป_สี่เหลี่ยมคางหมู_ขนาด4.0x1.0ม." localSheetId="13">'[11]หมวด 6(2)'!#REF!</definedName>
    <definedName name="รูป_สี่เหลี่ยมคางหมู_ขนาด4.0x1.0ม." localSheetId="14">'[11]หมวด 6(2)'!#REF!</definedName>
    <definedName name="รูป_สี่เหลี่ยมคางหมู_ขนาด4.0x1.0ม." localSheetId="15">'[11]หมวด 6(2)'!#REF!</definedName>
    <definedName name="รูป_สี่เหลี่ยมคางหมู_ขนาด4.0x1.0ม." localSheetId="16">'[11]หมวด 6(2)'!#REF!</definedName>
    <definedName name="รูป_สี่เหลี่ยมคางหมู_ขนาด4.0x1.0ม." localSheetId="17">'[11]หมวด 6(2)'!#REF!</definedName>
    <definedName name="รูป_สี่เหลี่ยมคางหมู_ขนาด4.0x1.0ม." localSheetId="8">'[11]หมวด 6(2)'!#REF!</definedName>
    <definedName name="รูป_สี่เหลี่ยมคางหมู_ขนาด4.0x1.0ม." localSheetId="7">'[11]หมวด 6(2)'!#REF!</definedName>
    <definedName name="รูป_สี่เหลี่ยมคางหมู_ขนาด4.0x1.0ม." localSheetId="6">'[11]หมวด 6(2)'!#REF!</definedName>
    <definedName name="รูป_สี่เหลี่ยมคางหมู_ขนาด4.0x1.0ม." localSheetId="20">'[11]หมวด 6(2)'!#REF!</definedName>
    <definedName name="รูป_สี่เหลี่ยมคางหมู_ขนาด4.0x1.0ม." localSheetId="5">'[11]หมวด 6(2)'!#REF!</definedName>
    <definedName name="รูป_สี่เหลี่ยมคางหมู_ขนาด4.0x1.0ม." localSheetId="21">'[11]หมวด 6(2)'!#REF!</definedName>
    <definedName name="รูป_สี่เหลี่ยมคางหมู_ขนาด4.0x1.0ม." localSheetId="34">'[11]หมวด 6(2)'!#REF!</definedName>
    <definedName name="รูป_สี่เหลี่ยมคางหมู_ขนาด4.0x1.0ม." localSheetId="35">'[11]หมวด 6(2)'!#REF!</definedName>
    <definedName name="รูป_สี่เหลี่ยมคางหมู_ขนาด4.0x1.0ม." localSheetId="25">'[11]หมวด 6(2)'!#REF!</definedName>
    <definedName name="รูป_สี่เหลี่ยมคางหมู_ขนาด4.0x1.0ม." localSheetId="27">'[11]หมวด 6(2)'!#REF!</definedName>
    <definedName name="รูป_สี่เหลี่ยมคางหมู_ขนาด4.0x1.0ม." localSheetId="28">'[11]หมวด 6(2)'!#REF!</definedName>
    <definedName name="รูป_สี่เหลี่ยมคางหมู_ขนาด4.0x1.0ม." localSheetId="29">'[11]หมวด 6(2)'!#REF!</definedName>
    <definedName name="รูป_สี่เหลี่ยมคางหมู_ขนาด4.0x1.0ม." localSheetId="31">'[11]หมวด 6(2)'!#REF!</definedName>
    <definedName name="รูป_สี่เหลี่ยมคางหมู_ขนาด4.0x1.0ม." localSheetId="32">'[11]หมวด 6(2)'!#REF!</definedName>
    <definedName name="รูป_สี่เหลี่ยมคางหมู_ขนาด4.0x1.0ม." localSheetId="33">'[11]หมวด 6(2)'!#REF!</definedName>
    <definedName name="รูป_สี่เหลี่ยมคางหมู_ขนาด4.0x1.0ม." localSheetId="24">'[11]หมวด 6(2)'!#REF!</definedName>
    <definedName name="รูป_สี่เหลี่ยมคางหมู_ขนาด4.0x1.0ม." localSheetId="23">'[11]หมวด 6(2)'!#REF!</definedName>
    <definedName name="รูป_สี่เหลี่ยมคางหมู_ขนาด4.0x1.0ม." localSheetId="36">'[11]หมวด 6(2)'!#REF!</definedName>
    <definedName name="รูป_สี่เหลี่ยมคางหมู_ขนาด4.0x1.0ม." localSheetId="22">'[11]หมวด 6(2)'!#REF!</definedName>
    <definedName name="รูป_สี่เหลี่ยมคางหมู_ขนาด4.0x1.0ม." localSheetId="26">'[11]หมวด 6(2)'!#REF!</definedName>
    <definedName name="รูป_สี่เหลี่ยมคางหมู_ขนาด4.0x1.0ม." localSheetId="30">'[11]หมวด 6(2)'!#REF!</definedName>
    <definedName name="รูป_สี่เหลี่ยมคางหมู_ขนาด4.0x1.0ม." localSheetId="41">'[11]หมวด 6(2)'!#REF!</definedName>
    <definedName name="รูป_สี่เหลี่ยมคางหมู_ขนาด4.0x1.0ม." localSheetId="50">'[11]หมวด 6(2)'!#REF!</definedName>
    <definedName name="รูป_สี่เหลี่ยมคางหมู_ขนาด4.0x1.0ม." localSheetId="51">'[11]หมวด 6(2)'!#REF!</definedName>
    <definedName name="รูป_สี่เหลี่ยมคางหมู_ขนาด4.0x1.0ม." localSheetId="42">'[11]หมวด 6(2)'!#REF!</definedName>
    <definedName name="รูป_สี่เหลี่ยมคางหมู_ขนาด4.0x1.0ม." localSheetId="43">'[11]หมวด 6(2)'!#REF!</definedName>
    <definedName name="รูป_สี่เหลี่ยมคางหมู_ขนาด4.0x1.0ม." localSheetId="44">'[11]หมวด 6(2)'!#REF!</definedName>
    <definedName name="รูป_สี่เหลี่ยมคางหมู_ขนาด4.0x1.0ม." localSheetId="45">'[11]หมวด 6(2)'!#REF!</definedName>
    <definedName name="รูป_สี่เหลี่ยมคางหมู_ขนาด4.0x1.0ม." localSheetId="46">'[11]หมวด 6(2)'!#REF!</definedName>
    <definedName name="รูป_สี่เหลี่ยมคางหมู_ขนาด4.0x1.0ม." localSheetId="47">'[11]หมวด 6(2)'!#REF!</definedName>
    <definedName name="รูป_สี่เหลี่ยมคางหมู_ขนาด4.0x1.0ม." localSheetId="48">'[11]หมวด 6(2)'!#REF!</definedName>
    <definedName name="รูป_สี่เหลี่ยมคางหมู_ขนาด4.0x1.0ม." localSheetId="49">'[11]หมวด 6(2)'!#REF!</definedName>
    <definedName name="รูป_สี่เหลี่ยมคางหมู_ขนาด4.0x1.0ม." localSheetId="52">'[11]หมวด 6(2)'!#REF!</definedName>
    <definedName name="รูป_สี่เหลี่ยมคางหมู_ขนาด4.0x1.0ม." localSheetId="40">'[11]หมวด 6(2)'!#REF!</definedName>
    <definedName name="รูป_สี่เหลี่ยมคางหมู_ขนาด4.0x1.0ม." localSheetId="39">'[11]หมวด 6(2)'!#REF!</definedName>
    <definedName name="รูป_สี่เหลี่ยมคางหมู_ขนาด4.0x1.0ม." localSheetId="38">'[11]หมวด 6(2)'!#REF!</definedName>
    <definedName name="รูป_สี่เหลี่ยมคางหมู_ขนาด4.0x1.0ม." localSheetId="37">'[11]หมวด 6(2)'!#REF!</definedName>
    <definedName name="รูป_สี่เหลี่ยมคางหมู_ขนาด4.0x1.0ม." localSheetId="57">'[11]หมวด 6(2)'!#REF!</definedName>
    <definedName name="รูป_สี่เหลี่ยมคางหมู_ขนาด4.0x1.0ม." localSheetId="66">'[11]หมวด 6(2)'!#REF!</definedName>
    <definedName name="รูป_สี่เหลี่ยมคางหมู_ขนาด4.0x1.0ม." localSheetId="67">'[11]หมวด 6(2)'!#REF!</definedName>
    <definedName name="รูป_สี่เหลี่ยมคางหมู_ขนาด4.0x1.0ม." localSheetId="58">'[11]หมวด 6(2)'!#REF!</definedName>
    <definedName name="รูป_สี่เหลี่ยมคางหมู_ขนาด4.0x1.0ม." localSheetId="59">'[11]หมวด 6(2)'!#REF!</definedName>
    <definedName name="รูป_สี่เหลี่ยมคางหมู_ขนาด4.0x1.0ม." localSheetId="60">'[11]หมวด 6(2)'!#REF!</definedName>
    <definedName name="รูป_สี่เหลี่ยมคางหมู_ขนาด4.0x1.0ม." localSheetId="61">'[11]หมวด 6(2)'!#REF!</definedName>
    <definedName name="รูป_สี่เหลี่ยมคางหมู_ขนาด4.0x1.0ม." localSheetId="62">'[11]หมวด 6(2)'!#REF!</definedName>
    <definedName name="รูป_สี่เหลี่ยมคางหมู_ขนาด4.0x1.0ม." localSheetId="63">'[11]หมวด 6(2)'!#REF!</definedName>
    <definedName name="รูป_สี่เหลี่ยมคางหมู_ขนาด4.0x1.0ม." localSheetId="64">'[11]หมวด 6(2)'!#REF!</definedName>
    <definedName name="รูป_สี่เหลี่ยมคางหมู_ขนาด4.0x1.0ม." localSheetId="65">'[11]หมวด 6(2)'!#REF!</definedName>
    <definedName name="รูป_สี่เหลี่ยมคางหมู_ขนาด4.0x1.0ม." localSheetId="68">'[11]หมวด 6(2)'!#REF!</definedName>
    <definedName name="รูป_สี่เหลี่ยมคางหมู_ขนาด4.0x1.0ม." localSheetId="56">'[11]หมวด 6(2)'!#REF!</definedName>
    <definedName name="รูป_สี่เหลี่ยมคางหมู_ขนาด4.0x1.0ม." localSheetId="55">'[11]หมวด 6(2)'!#REF!</definedName>
    <definedName name="รูป_สี่เหลี่ยมคางหมู_ขนาด4.0x1.0ม." localSheetId="54">'[11]หมวด 6(2)'!#REF!</definedName>
    <definedName name="รูป_สี่เหลี่ยมคางหมู_ขนาด4.0x1.0ม." localSheetId="53">'[11]หมวด 6(2)'!#REF!</definedName>
    <definedName name="รูป_สี่เหลี่ยมคางหมู_ขนาด4.0x1.0ม." localSheetId="85">'[11]หมวด 6(2)'!#REF!</definedName>
    <definedName name="รูป_สี่เหลี่ยมคางหมู_ขนาด4.0x1.0ม." localSheetId="86">'[11]หมวด 6(2)'!#REF!</definedName>
    <definedName name="รูป_สี่เหลี่ยมคางหมู_ขนาด4.0x1.0ม.">'[11]หมวด 6(2)'!#REF!</definedName>
    <definedName name="รูป_สี่เหลี่ยมคางหมู_ขนาด6.0x1.0ม." localSheetId="3">'[11]หมวด 6(2)'!#REF!</definedName>
    <definedName name="รูป_สี่เหลี่ยมคางหมู_ขนาด6.0x1.0ม." localSheetId="4">'[11]หมวด 6(2)'!#REF!</definedName>
    <definedName name="รูป_สี่เหลี่ยมคางหมู_ขนาด6.0x1.0ม." localSheetId="18">'[11]หมวด 6(2)'!#REF!</definedName>
    <definedName name="รูป_สี่เหลี่ยมคางหมู_ขนาด6.0x1.0ม." localSheetId="19">'[11]หมวด 6(2)'!#REF!</definedName>
    <definedName name="รูป_สี่เหลี่ยมคางหมู_ขนาด6.0x1.0ม." localSheetId="9">'[11]หมวด 6(2)'!#REF!</definedName>
    <definedName name="รูป_สี่เหลี่ยมคางหมู_ขนาด6.0x1.0ม." localSheetId="10">'[11]หมวด 6(2)'!#REF!</definedName>
    <definedName name="รูป_สี่เหลี่ยมคางหมู_ขนาด6.0x1.0ม." localSheetId="11">'[11]หมวด 6(2)'!#REF!</definedName>
    <definedName name="รูป_สี่เหลี่ยมคางหมู_ขนาด6.0x1.0ม." localSheetId="12">'[11]หมวด 6(2)'!#REF!</definedName>
    <definedName name="รูป_สี่เหลี่ยมคางหมู_ขนาด6.0x1.0ม." localSheetId="13">'[11]หมวด 6(2)'!#REF!</definedName>
    <definedName name="รูป_สี่เหลี่ยมคางหมู_ขนาด6.0x1.0ม." localSheetId="14">'[11]หมวด 6(2)'!#REF!</definedName>
    <definedName name="รูป_สี่เหลี่ยมคางหมู_ขนาด6.0x1.0ม." localSheetId="15">'[11]หมวด 6(2)'!#REF!</definedName>
    <definedName name="รูป_สี่เหลี่ยมคางหมู_ขนาด6.0x1.0ม." localSheetId="16">'[11]หมวด 6(2)'!#REF!</definedName>
    <definedName name="รูป_สี่เหลี่ยมคางหมู_ขนาด6.0x1.0ม." localSheetId="17">'[11]หมวด 6(2)'!#REF!</definedName>
    <definedName name="รูป_สี่เหลี่ยมคางหมู_ขนาด6.0x1.0ม." localSheetId="8">'[11]หมวด 6(2)'!#REF!</definedName>
    <definedName name="รูป_สี่เหลี่ยมคางหมู_ขนาด6.0x1.0ม." localSheetId="7">'[11]หมวด 6(2)'!#REF!</definedName>
    <definedName name="รูป_สี่เหลี่ยมคางหมู_ขนาด6.0x1.0ม." localSheetId="6">'[11]หมวด 6(2)'!#REF!</definedName>
    <definedName name="รูป_สี่เหลี่ยมคางหมู_ขนาด6.0x1.0ม." localSheetId="20">'[11]หมวด 6(2)'!#REF!</definedName>
    <definedName name="รูป_สี่เหลี่ยมคางหมู_ขนาด6.0x1.0ม." localSheetId="5">'[11]หมวด 6(2)'!#REF!</definedName>
    <definedName name="รูป_สี่เหลี่ยมคางหมู_ขนาด6.0x1.0ม." localSheetId="21">'[11]หมวด 6(2)'!#REF!</definedName>
    <definedName name="รูป_สี่เหลี่ยมคางหมู_ขนาด6.0x1.0ม." localSheetId="34">'[11]หมวด 6(2)'!#REF!</definedName>
    <definedName name="รูป_สี่เหลี่ยมคางหมู_ขนาด6.0x1.0ม." localSheetId="35">'[11]หมวด 6(2)'!#REF!</definedName>
    <definedName name="รูป_สี่เหลี่ยมคางหมู_ขนาด6.0x1.0ม." localSheetId="25">'[11]หมวด 6(2)'!#REF!</definedName>
    <definedName name="รูป_สี่เหลี่ยมคางหมู_ขนาด6.0x1.0ม." localSheetId="27">'[11]หมวด 6(2)'!#REF!</definedName>
    <definedName name="รูป_สี่เหลี่ยมคางหมู_ขนาด6.0x1.0ม." localSheetId="28">'[11]หมวด 6(2)'!#REF!</definedName>
    <definedName name="รูป_สี่เหลี่ยมคางหมู_ขนาด6.0x1.0ม." localSheetId="29">'[11]หมวด 6(2)'!#REF!</definedName>
    <definedName name="รูป_สี่เหลี่ยมคางหมู_ขนาด6.0x1.0ม." localSheetId="31">'[11]หมวด 6(2)'!#REF!</definedName>
    <definedName name="รูป_สี่เหลี่ยมคางหมู_ขนาด6.0x1.0ม." localSheetId="32">'[11]หมวด 6(2)'!#REF!</definedName>
    <definedName name="รูป_สี่เหลี่ยมคางหมู_ขนาด6.0x1.0ม." localSheetId="33">'[11]หมวด 6(2)'!#REF!</definedName>
    <definedName name="รูป_สี่เหลี่ยมคางหมู_ขนาด6.0x1.0ม." localSheetId="24">'[11]หมวด 6(2)'!#REF!</definedName>
    <definedName name="รูป_สี่เหลี่ยมคางหมู_ขนาด6.0x1.0ม." localSheetId="23">'[11]หมวด 6(2)'!#REF!</definedName>
    <definedName name="รูป_สี่เหลี่ยมคางหมู_ขนาด6.0x1.0ม." localSheetId="36">'[11]หมวด 6(2)'!#REF!</definedName>
    <definedName name="รูป_สี่เหลี่ยมคางหมู_ขนาด6.0x1.0ม." localSheetId="22">'[11]หมวด 6(2)'!#REF!</definedName>
    <definedName name="รูป_สี่เหลี่ยมคางหมู_ขนาด6.0x1.0ม." localSheetId="26">'[11]หมวด 6(2)'!#REF!</definedName>
    <definedName name="รูป_สี่เหลี่ยมคางหมู_ขนาด6.0x1.0ม." localSheetId="30">'[11]หมวด 6(2)'!#REF!</definedName>
    <definedName name="รูป_สี่เหลี่ยมคางหมู_ขนาด6.0x1.0ม." localSheetId="41">'[11]หมวด 6(2)'!#REF!</definedName>
    <definedName name="รูป_สี่เหลี่ยมคางหมู_ขนาด6.0x1.0ม." localSheetId="50">'[11]หมวด 6(2)'!#REF!</definedName>
    <definedName name="รูป_สี่เหลี่ยมคางหมู_ขนาด6.0x1.0ม." localSheetId="51">'[11]หมวด 6(2)'!#REF!</definedName>
    <definedName name="รูป_สี่เหลี่ยมคางหมู_ขนาด6.0x1.0ม." localSheetId="42">'[11]หมวด 6(2)'!#REF!</definedName>
    <definedName name="รูป_สี่เหลี่ยมคางหมู_ขนาด6.0x1.0ม." localSheetId="43">'[11]หมวด 6(2)'!#REF!</definedName>
    <definedName name="รูป_สี่เหลี่ยมคางหมู_ขนาด6.0x1.0ม." localSheetId="44">'[11]หมวด 6(2)'!#REF!</definedName>
    <definedName name="รูป_สี่เหลี่ยมคางหมู_ขนาด6.0x1.0ม." localSheetId="45">'[11]หมวด 6(2)'!#REF!</definedName>
    <definedName name="รูป_สี่เหลี่ยมคางหมู_ขนาด6.0x1.0ม." localSheetId="46">'[11]หมวด 6(2)'!#REF!</definedName>
    <definedName name="รูป_สี่เหลี่ยมคางหมู_ขนาด6.0x1.0ม." localSheetId="47">'[11]หมวด 6(2)'!#REF!</definedName>
    <definedName name="รูป_สี่เหลี่ยมคางหมู_ขนาด6.0x1.0ม." localSheetId="48">'[11]หมวด 6(2)'!#REF!</definedName>
    <definedName name="รูป_สี่เหลี่ยมคางหมู_ขนาด6.0x1.0ม." localSheetId="49">'[11]หมวด 6(2)'!#REF!</definedName>
    <definedName name="รูป_สี่เหลี่ยมคางหมู_ขนาด6.0x1.0ม." localSheetId="52">'[11]หมวด 6(2)'!#REF!</definedName>
    <definedName name="รูป_สี่เหลี่ยมคางหมู_ขนาด6.0x1.0ม." localSheetId="40">'[11]หมวด 6(2)'!#REF!</definedName>
    <definedName name="รูป_สี่เหลี่ยมคางหมู_ขนาด6.0x1.0ม." localSheetId="39">'[11]หมวด 6(2)'!#REF!</definedName>
    <definedName name="รูป_สี่เหลี่ยมคางหมู_ขนาด6.0x1.0ม." localSheetId="38">'[11]หมวด 6(2)'!#REF!</definedName>
    <definedName name="รูป_สี่เหลี่ยมคางหมู_ขนาด6.0x1.0ม." localSheetId="37">'[11]หมวด 6(2)'!#REF!</definedName>
    <definedName name="รูป_สี่เหลี่ยมคางหมู_ขนาด6.0x1.0ม." localSheetId="57">'[11]หมวด 6(2)'!#REF!</definedName>
    <definedName name="รูป_สี่เหลี่ยมคางหมู_ขนาด6.0x1.0ม." localSheetId="66">'[11]หมวด 6(2)'!#REF!</definedName>
    <definedName name="รูป_สี่เหลี่ยมคางหมู_ขนาด6.0x1.0ม." localSheetId="67">'[11]หมวด 6(2)'!#REF!</definedName>
    <definedName name="รูป_สี่เหลี่ยมคางหมู_ขนาด6.0x1.0ม." localSheetId="58">'[11]หมวด 6(2)'!#REF!</definedName>
    <definedName name="รูป_สี่เหลี่ยมคางหมู_ขนาด6.0x1.0ม." localSheetId="59">'[11]หมวด 6(2)'!#REF!</definedName>
    <definedName name="รูป_สี่เหลี่ยมคางหมู_ขนาด6.0x1.0ม." localSheetId="60">'[11]หมวด 6(2)'!#REF!</definedName>
    <definedName name="รูป_สี่เหลี่ยมคางหมู_ขนาด6.0x1.0ม." localSheetId="61">'[11]หมวด 6(2)'!#REF!</definedName>
    <definedName name="รูป_สี่เหลี่ยมคางหมู_ขนาด6.0x1.0ม." localSheetId="62">'[11]หมวด 6(2)'!#REF!</definedName>
    <definedName name="รูป_สี่เหลี่ยมคางหมู_ขนาด6.0x1.0ม." localSheetId="63">'[11]หมวด 6(2)'!#REF!</definedName>
    <definedName name="รูป_สี่เหลี่ยมคางหมู_ขนาด6.0x1.0ม." localSheetId="64">'[11]หมวด 6(2)'!#REF!</definedName>
    <definedName name="รูป_สี่เหลี่ยมคางหมู_ขนาด6.0x1.0ม." localSheetId="65">'[11]หมวด 6(2)'!#REF!</definedName>
    <definedName name="รูป_สี่เหลี่ยมคางหมู_ขนาด6.0x1.0ม." localSheetId="68">'[11]หมวด 6(2)'!#REF!</definedName>
    <definedName name="รูป_สี่เหลี่ยมคางหมู_ขนาด6.0x1.0ม." localSheetId="56">'[11]หมวด 6(2)'!#REF!</definedName>
    <definedName name="รูป_สี่เหลี่ยมคางหมู_ขนาด6.0x1.0ม." localSheetId="55">'[11]หมวด 6(2)'!#REF!</definedName>
    <definedName name="รูป_สี่เหลี่ยมคางหมู_ขนาด6.0x1.0ม." localSheetId="54">'[11]หมวด 6(2)'!#REF!</definedName>
    <definedName name="รูป_สี่เหลี่ยมคางหมู_ขนาด6.0x1.0ม." localSheetId="53">'[11]หมวด 6(2)'!#REF!</definedName>
    <definedName name="รูป_สี่เหลี่ยมคางหมู_ขนาด6.0x1.0ม." localSheetId="85">'[11]หมวด 6(2)'!#REF!</definedName>
    <definedName name="รูป_สี่เหลี่ยมคางหมู_ขนาด6.0x1.0ม." localSheetId="86">'[11]หมวด 6(2)'!#REF!</definedName>
    <definedName name="รูป_สี่เหลี่ยมคางหมู_ขนาด6.0x1.0ม.">'[11]หมวด 6(2)'!#REF!</definedName>
    <definedName name="ล" localSheetId="3">#REF!</definedName>
    <definedName name="ล" localSheetId="18">#REF!</definedName>
    <definedName name="ล" localSheetId="19">#REF!</definedName>
    <definedName name="ล" localSheetId="9">#REF!</definedName>
    <definedName name="ล" localSheetId="10">#REF!</definedName>
    <definedName name="ล" localSheetId="11">#REF!</definedName>
    <definedName name="ล" localSheetId="12">#REF!</definedName>
    <definedName name="ล" localSheetId="13">#REF!</definedName>
    <definedName name="ล" localSheetId="14">#REF!</definedName>
    <definedName name="ล" localSheetId="15">#REF!</definedName>
    <definedName name="ล" localSheetId="16">#REF!</definedName>
    <definedName name="ล" localSheetId="17">#REF!</definedName>
    <definedName name="ล" localSheetId="8">#REF!</definedName>
    <definedName name="ล" localSheetId="7">#REF!</definedName>
    <definedName name="ล" localSheetId="6">#REF!</definedName>
    <definedName name="ล" localSheetId="20">#REF!</definedName>
    <definedName name="ล" localSheetId="5">#REF!</definedName>
    <definedName name="ล" localSheetId="21">#REF!</definedName>
    <definedName name="ล" localSheetId="34">#REF!</definedName>
    <definedName name="ล" localSheetId="35">#REF!</definedName>
    <definedName name="ล" localSheetId="25">#REF!</definedName>
    <definedName name="ล" localSheetId="27">#REF!</definedName>
    <definedName name="ล" localSheetId="28">#REF!</definedName>
    <definedName name="ล" localSheetId="29">#REF!</definedName>
    <definedName name="ล" localSheetId="31">#REF!</definedName>
    <definedName name="ล" localSheetId="32">#REF!</definedName>
    <definedName name="ล" localSheetId="33">#REF!</definedName>
    <definedName name="ล" localSheetId="24">#REF!</definedName>
    <definedName name="ล" localSheetId="23">#REF!</definedName>
    <definedName name="ล" localSheetId="36">#REF!</definedName>
    <definedName name="ล" localSheetId="22">#REF!</definedName>
    <definedName name="ล" localSheetId="26">#REF!</definedName>
    <definedName name="ล" localSheetId="30">#REF!</definedName>
    <definedName name="ล" localSheetId="41">#REF!</definedName>
    <definedName name="ล" localSheetId="50">#REF!</definedName>
    <definedName name="ล" localSheetId="51">#REF!</definedName>
    <definedName name="ล" localSheetId="42">#REF!</definedName>
    <definedName name="ล" localSheetId="43">#REF!</definedName>
    <definedName name="ล" localSheetId="44">#REF!</definedName>
    <definedName name="ล" localSheetId="45">#REF!</definedName>
    <definedName name="ล" localSheetId="46">#REF!</definedName>
    <definedName name="ล" localSheetId="47">#REF!</definedName>
    <definedName name="ล" localSheetId="48">#REF!</definedName>
    <definedName name="ล" localSheetId="49">#REF!</definedName>
    <definedName name="ล" localSheetId="52">#REF!</definedName>
    <definedName name="ล" localSheetId="40">#REF!</definedName>
    <definedName name="ล" localSheetId="39">#REF!</definedName>
    <definedName name="ล" localSheetId="38">#REF!</definedName>
    <definedName name="ล" localSheetId="37">#REF!</definedName>
    <definedName name="ล" localSheetId="57">#REF!</definedName>
    <definedName name="ล" localSheetId="66">#REF!</definedName>
    <definedName name="ล" localSheetId="67">#REF!</definedName>
    <definedName name="ล" localSheetId="58">#REF!</definedName>
    <definedName name="ล" localSheetId="59">#REF!</definedName>
    <definedName name="ล" localSheetId="60">#REF!</definedName>
    <definedName name="ล" localSheetId="61">#REF!</definedName>
    <definedName name="ล" localSheetId="62">#REF!</definedName>
    <definedName name="ล" localSheetId="63">#REF!</definedName>
    <definedName name="ล" localSheetId="64">#REF!</definedName>
    <definedName name="ล" localSheetId="65">#REF!</definedName>
    <definedName name="ล" localSheetId="68">#REF!</definedName>
    <definedName name="ล" localSheetId="56">#REF!</definedName>
    <definedName name="ล" localSheetId="55">#REF!</definedName>
    <definedName name="ล" localSheetId="54">#REF!</definedName>
    <definedName name="ล" localSheetId="53">#REF!</definedName>
    <definedName name="ล" localSheetId="85">#REF!</definedName>
    <definedName name="ล" localSheetId="86">#REF!</definedName>
    <definedName name="ล" localSheetId="2">#REF!</definedName>
    <definedName name="ล">#REF!</definedName>
    <definedName name="ลบ.ม." localSheetId="3">#REF!</definedName>
    <definedName name="ลบ.ม." localSheetId="18">#REF!</definedName>
    <definedName name="ลบ.ม." localSheetId="19">#REF!</definedName>
    <definedName name="ลบ.ม." localSheetId="9">#REF!</definedName>
    <definedName name="ลบ.ม." localSheetId="10">#REF!</definedName>
    <definedName name="ลบ.ม." localSheetId="11">#REF!</definedName>
    <definedName name="ลบ.ม." localSheetId="12">#REF!</definedName>
    <definedName name="ลบ.ม." localSheetId="13">#REF!</definedName>
    <definedName name="ลบ.ม." localSheetId="14">#REF!</definedName>
    <definedName name="ลบ.ม." localSheetId="15">#REF!</definedName>
    <definedName name="ลบ.ม." localSheetId="16">#REF!</definedName>
    <definedName name="ลบ.ม." localSheetId="17">#REF!</definedName>
    <definedName name="ลบ.ม." localSheetId="8">#REF!</definedName>
    <definedName name="ลบ.ม." localSheetId="7">#REF!</definedName>
    <definedName name="ลบ.ม." localSheetId="6">#REF!</definedName>
    <definedName name="ลบ.ม." localSheetId="20">#REF!</definedName>
    <definedName name="ลบ.ม." localSheetId="5">#REF!</definedName>
    <definedName name="ลบ.ม." localSheetId="21">#REF!</definedName>
    <definedName name="ลบ.ม." localSheetId="34">#REF!</definedName>
    <definedName name="ลบ.ม." localSheetId="35">#REF!</definedName>
    <definedName name="ลบ.ม." localSheetId="25">#REF!</definedName>
    <definedName name="ลบ.ม." localSheetId="27">#REF!</definedName>
    <definedName name="ลบ.ม." localSheetId="28">#REF!</definedName>
    <definedName name="ลบ.ม." localSheetId="29">#REF!</definedName>
    <definedName name="ลบ.ม." localSheetId="31">#REF!</definedName>
    <definedName name="ลบ.ม." localSheetId="32">#REF!</definedName>
    <definedName name="ลบ.ม." localSheetId="33">#REF!</definedName>
    <definedName name="ลบ.ม." localSheetId="24">#REF!</definedName>
    <definedName name="ลบ.ม." localSheetId="23">#REF!</definedName>
    <definedName name="ลบ.ม." localSheetId="36">#REF!</definedName>
    <definedName name="ลบ.ม." localSheetId="22">#REF!</definedName>
    <definedName name="ลบ.ม." localSheetId="26">#REF!</definedName>
    <definedName name="ลบ.ม." localSheetId="30">#REF!</definedName>
    <definedName name="ลบ.ม." localSheetId="85">#REF!</definedName>
    <definedName name="ลบ.ม." localSheetId="86">#REF!</definedName>
    <definedName name="ลบ.ม." localSheetId="2">#REF!</definedName>
    <definedName name="ลบ.ม.">#REF!</definedName>
    <definedName name="ลวดผูกเหล็ก" localSheetId="3">#REF!</definedName>
    <definedName name="ลวดผูกเหล็ก" localSheetId="18">#REF!</definedName>
    <definedName name="ลวดผูกเหล็ก" localSheetId="19">#REF!</definedName>
    <definedName name="ลวดผูกเหล็ก" localSheetId="9">#REF!</definedName>
    <definedName name="ลวดผูกเหล็ก" localSheetId="10">#REF!</definedName>
    <definedName name="ลวดผูกเหล็ก" localSheetId="11">#REF!</definedName>
    <definedName name="ลวดผูกเหล็ก" localSheetId="12">#REF!</definedName>
    <definedName name="ลวดผูกเหล็ก" localSheetId="13">#REF!</definedName>
    <definedName name="ลวดผูกเหล็ก" localSheetId="14">#REF!</definedName>
    <definedName name="ลวดผูกเหล็ก" localSheetId="15">#REF!</definedName>
    <definedName name="ลวดผูกเหล็ก" localSheetId="16">#REF!</definedName>
    <definedName name="ลวดผูกเหล็ก" localSheetId="17">#REF!</definedName>
    <definedName name="ลวดผูกเหล็ก" localSheetId="8">#REF!</definedName>
    <definedName name="ลวดผูกเหล็ก" localSheetId="7">#REF!</definedName>
    <definedName name="ลวดผูกเหล็ก" localSheetId="6">#REF!</definedName>
    <definedName name="ลวดผูกเหล็ก" localSheetId="20">#REF!</definedName>
    <definedName name="ลวดผูกเหล็ก" localSheetId="5">#REF!</definedName>
    <definedName name="ลวดผูกเหล็ก" localSheetId="21">#REF!</definedName>
    <definedName name="ลวดผูกเหล็ก" localSheetId="34">#REF!</definedName>
    <definedName name="ลวดผูกเหล็ก" localSheetId="35">#REF!</definedName>
    <definedName name="ลวดผูกเหล็ก" localSheetId="25">#REF!</definedName>
    <definedName name="ลวดผูกเหล็ก" localSheetId="27">#REF!</definedName>
    <definedName name="ลวดผูกเหล็ก" localSheetId="28">#REF!</definedName>
    <definedName name="ลวดผูกเหล็ก" localSheetId="29">#REF!</definedName>
    <definedName name="ลวดผูกเหล็ก" localSheetId="31">#REF!</definedName>
    <definedName name="ลวดผูกเหล็ก" localSheetId="32">#REF!</definedName>
    <definedName name="ลวดผูกเหล็ก" localSheetId="33">#REF!</definedName>
    <definedName name="ลวดผูกเหล็ก" localSheetId="24">#REF!</definedName>
    <definedName name="ลวดผูกเหล็ก" localSheetId="23">#REF!</definedName>
    <definedName name="ลวดผูกเหล็ก" localSheetId="36">#REF!</definedName>
    <definedName name="ลวดผูกเหล็ก" localSheetId="22">#REF!</definedName>
    <definedName name="ลวดผูกเหล็ก" localSheetId="26">#REF!</definedName>
    <definedName name="ลวดผูกเหล็ก" localSheetId="30">#REF!</definedName>
    <definedName name="ลวดผูกเหล็ก" localSheetId="85">#REF!</definedName>
    <definedName name="ลวดผูกเหล็ก" localSheetId="86">#REF!</definedName>
    <definedName name="ลวดผูกเหล็ก" localSheetId="2">#REF!</definedName>
    <definedName name="ลวดผูกเหล็ก">#REF!</definedName>
    <definedName name="ลวดผูกเหล็กไม่รวมขนส่ง" localSheetId="3">#REF!</definedName>
    <definedName name="ลวดผูกเหล็กไม่รวมขนส่ง" localSheetId="2">#REF!</definedName>
    <definedName name="ลวดผูกเหล็กไม่รวมขนส่ง">#REF!</definedName>
    <definedName name="ลาดACบนPrimeCoat" localSheetId="3">#REF!</definedName>
    <definedName name="ลาดACบนPrimeCoat" localSheetId="2">#REF!</definedName>
    <definedName name="ลาดACบนPrimeCoat">#REF!</definedName>
    <definedName name="ลาดACบนTackCoat" localSheetId="3">#REF!</definedName>
    <definedName name="ลาดACบนTackCoat" localSheetId="2">#REF!</definedName>
    <definedName name="ลาดACบนTackCoat">#REF!</definedName>
    <definedName name="ลีลาวดีขาว" localSheetId="3">#REF!</definedName>
    <definedName name="ลีลาวดีขาว" localSheetId="2">#REF!</definedName>
    <definedName name="ลีลาวดีขาว">#REF!</definedName>
    <definedName name="ลีลาวดีชมพู" localSheetId="3">#REF!</definedName>
    <definedName name="ลีลาวดีชมพู" localSheetId="2">#REF!</definedName>
    <definedName name="ลีลาวดีชมพู">#REF!</definedName>
    <definedName name="ลูกนอนไม้เนื้อแข็ง2x10นิ้ว" localSheetId="3">#REF!</definedName>
    <definedName name="ลูกนอนไม้เนื้อแข็ง2x10นิ้ว" localSheetId="2">#REF!</definedName>
    <definedName name="ลูกนอนไม้เนื้อแข็ง2x10นิ้ว">#REF!</definedName>
    <definedName name="ว" localSheetId="3">#REF!</definedName>
    <definedName name="ว" localSheetId="2">#REF!</definedName>
    <definedName name="ว">#REF!</definedName>
    <definedName name="วววววววว">#REF!</definedName>
    <definedName name="ววววววววว">#REF!</definedName>
    <definedName name="ศาลปกครอง">#REF!</definedName>
    <definedName name="สกัดหัวเสาเข็ม">[10]FCalSH!$G$20</definedName>
    <definedName name="สถานที่">[8]รายละเอียดโครงการ!$B$9</definedName>
    <definedName name="สนประดิพัทธ์" localSheetId="3">#REF!</definedName>
    <definedName name="สนประดิพัทธ์" localSheetId="4">#REF!</definedName>
    <definedName name="สนประดิพัทธ์" localSheetId="18">#REF!</definedName>
    <definedName name="สนประดิพัทธ์" localSheetId="19">#REF!</definedName>
    <definedName name="สนประดิพัทธ์" localSheetId="9">#REF!</definedName>
    <definedName name="สนประดิพัทธ์" localSheetId="10">#REF!</definedName>
    <definedName name="สนประดิพัทธ์" localSheetId="11">#REF!</definedName>
    <definedName name="สนประดิพัทธ์" localSheetId="12">#REF!</definedName>
    <definedName name="สนประดิพัทธ์" localSheetId="13">#REF!</definedName>
    <definedName name="สนประดิพัทธ์" localSheetId="14">#REF!</definedName>
    <definedName name="สนประดิพัทธ์" localSheetId="15">#REF!</definedName>
    <definedName name="สนประดิพัทธ์" localSheetId="16">#REF!</definedName>
    <definedName name="สนประดิพัทธ์" localSheetId="17">#REF!</definedName>
    <definedName name="สนประดิพัทธ์" localSheetId="8">#REF!</definedName>
    <definedName name="สนประดิพัทธ์" localSheetId="7">#REF!</definedName>
    <definedName name="สนประดิพัทธ์" localSheetId="6">#REF!</definedName>
    <definedName name="สนประดิพัทธ์" localSheetId="20">#REF!</definedName>
    <definedName name="สนประดิพัทธ์" localSheetId="5">#REF!</definedName>
    <definedName name="สนประดิพัทธ์" localSheetId="21">#REF!</definedName>
    <definedName name="สนประดิพัทธ์" localSheetId="34">#REF!</definedName>
    <definedName name="สนประดิพัทธ์" localSheetId="35">#REF!</definedName>
    <definedName name="สนประดิพัทธ์" localSheetId="25">#REF!</definedName>
    <definedName name="สนประดิพัทธ์" localSheetId="27">#REF!</definedName>
    <definedName name="สนประดิพัทธ์" localSheetId="28">#REF!</definedName>
    <definedName name="สนประดิพัทธ์" localSheetId="29">#REF!</definedName>
    <definedName name="สนประดิพัทธ์" localSheetId="31">#REF!</definedName>
    <definedName name="สนประดิพัทธ์" localSheetId="32">#REF!</definedName>
    <definedName name="สนประดิพัทธ์" localSheetId="33">#REF!</definedName>
    <definedName name="สนประดิพัทธ์" localSheetId="24">#REF!</definedName>
    <definedName name="สนประดิพัทธ์" localSheetId="23">#REF!</definedName>
    <definedName name="สนประดิพัทธ์" localSheetId="36">#REF!</definedName>
    <definedName name="สนประดิพัทธ์" localSheetId="22">#REF!</definedName>
    <definedName name="สนประดิพัทธ์" localSheetId="26">#REF!</definedName>
    <definedName name="สนประดิพัทธ์" localSheetId="30">#REF!</definedName>
    <definedName name="สนประดิพัทธ์" localSheetId="41">#REF!</definedName>
    <definedName name="สนประดิพัทธ์" localSheetId="50">#REF!</definedName>
    <definedName name="สนประดิพัทธ์" localSheetId="51">#REF!</definedName>
    <definedName name="สนประดิพัทธ์" localSheetId="42">#REF!</definedName>
    <definedName name="สนประดิพัทธ์" localSheetId="43">#REF!</definedName>
    <definedName name="สนประดิพัทธ์" localSheetId="44">#REF!</definedName>
    <definedName name="สนประดิพัทธ์" localSheetId="45">#REF!</definedName>
    <definedName name="สนประดิพัทธ์" localSheetId="46">#REF!</definedName>
    <definedName name="สนประดิพัทธ์" localSheetId="47">#REF!</definedName>
    <definedName name="สนประดิพัทธ์" localSheetId="48">#REF!</definedName>
    <definedName name="สนประดิพัทธ์" localSheetId="49">#REF!</definedName>
    <definedName name="สนประดิพัทธ์" localSheetId="52">#REF!</definedName>
    <definedName name="สนประดิพัทธ์" localSheetId="40">#REF!</definedName>
    <definedName name="สนประดิพัทธ์" localSheetId="39">#REF!</definedName>
    <definedName name="สนประดิพัทธ์" localSheetId="38">#REF!</definedName>
    <definedName name="สนประดิพัทธ์" localSheetId="37">#REF!</definedName>
    <definedName name="สนประดิพัทธ์" localSheetId="57">#REF!</definedName>
    <definedName name="สนประดิพัทธ์" localSheetId="66">#REF!</definedName>
    <definedName name="สนประดิพัทธ์" localSheetId="67">#REF!</definedName>
    <definedName name="สนประดิพัทธ์" localSheetId="58">#REF!</definedName>
    <definedName name="สนประดิพัทธ์" localSheetId="59">#REF!</definedName>
    <definedName name="สนประดิพัทธ์" localSheetId="60">#REF!</definedName>
    <definedName name="สนประดิพัทธ์" localSheetId="61">#REF!</definedName>
    <definedName name="สนประดิพัทธ์" localSheetId="62">#REF!</definedName>
    <definedName name="สนประดิพัทธ์" localSheetId="63">#REF!</definedName>
    <definedName name="สนประดิพัทธ์" localSheetId="64">#REF!</definedName>
    <definedName name="สนประดิพัทธ์" localSheetId="65">#REF!</definedName>
    <definedName name="สนประดิพัทธ์" localSheetId="68">#REF!</definedName>
    <definedName name="สนประดิพัทธ์" localSheetId="56">#REF!</definedName>
    <definedName name="สนประดิพัทธ์" localSheetId="55">#REF!</definedName>
    <definedName name="สนประดิพัทธ์" localSheetId="54">#REF!</definedName>
    <definedName name="สนประดิพัทธ์" localSheetId="69">#REF!</definedName>
    <definedName name="สนประดิพัทธ์" localSheetId="53">#REF!</definedName>
    <definedName name="สนประดิพัทธ์" localSheetId="85">#REF!</definedName>
    <definedName name="สนประดิพัทธ์" localSheetId="86">#REF!</definedName>
    <definedName name="สนประดิพัทธ์" localSheetId="2">#REF!</definedName>
    <definedName name="สนประดิพัทธ์">#REF!</definedName>
    <definedName name="สนประดิพัทธ์_" localSheetId="3">'[45]หมวด 10'!#REF!</definedName>
    <definedName name="สนประดิพัทธ์_" localSheetId="4">'[45]หมวด 10'!#REF!</definedName>
    <definedName name="สนประดิพัทธ์_" localSheetId="18">'[45]หมวด 10'!#REF!</definedName>
    <definedName name="สนประดิพัทธ์_" localSheetId="19">'[45]หมวด 10'!#REF!</definedName>
    <definedName name="สนประดิพัทธ์_" localSheetId="9">'[45]หมวด 10'!#REF!</definedName>
    <definedName name="สนประดิพัทธ์_" localSheetId="10">'[45]หมวด 10'!#REF!</definedName>
    <definedName name="สนประดิพัทธ์_" localSheetId="11">'[45]หมวด 10'!#REF!</definedName>
    <definedName name="สนประดิพัทธ์_" localSheetId="12">'[45]หมวด 10'!#REF!</definedName>
    <definedName name="สนประดิพัทธ์_" localSheetId="13">'[45]หมวด 10'!#REF!</definedName>
    <definedName name="สนประดิพัทธ์_" localSheetId="14">'[45]หมวด 10'!#REF!</definedName>
    <definedName name="สนประดิพัทธ์_" localSheetId="15">'[45]หมวด 10'!#REF!</definedName>
    <definedName name="สนประดิพัทธ์_" localSheetId="16">'[45]หมวด 10'!#REF!</definedName>
    <definedName name="สนประดิพัทธ์_" localSheetId="17">'[45]หมวด 10'!#REF!</definedName>
    <definedName name="สนประดิพัทธ์_" localSheetId="8">'[45]หมวด 10'!#REF!</definedName>
    <definedName name="สนประดิพัทธ์_" localSheetId="7">'[45]หมวด 10'!#REF!</definedName>
    <definedName name="สนประดิพัทธ์_" localSheetId="6">'[45]หมวด 10'!#REF!</definedName>
    <definedName name="สนประดิพัทธ์_" localSheetId="20">'[45]หมวด 10'!#REF!</definedName>
    <definedName name="สนประดิพัทธ์_" localSheetId="5">'[45]หมวด 10'!#REF!</definedName>
    <definedName name="สนประดิพัทธ์_" localSheetId="21">'[45]หมวด 10'!#REF!</definedName>
    <definedName name="สนประดิพัทธ์_" localSheetId="34">'[45]หมวด 10'!#REF!</definedName>
    <definedName name="สนประดิพัทธ์_" localSheetId="35">'[45]หมวด 10'!#REF!</definedName>
    <definedName name="สนประดิพัทธ์_" localSheetId="25">'[45]หมวด 10'!#REF!</definedName>
    <definedName name="สนประดิพัทธ์_" localSheetId="27">'[45]หมวด 10'!#REF!</definedName>
    <definedName name="สนประดิพัทธ์_" localSheetId="28">'[45]หมวด 10'!#REF!</definedName>
    <definedName name="สนประดิพัทธ์_" localSheetId="29">'[45]หมวด 10'!#REF!</definedName>
    <definedName name="สนประดิพัทธ์_" localSheetId="31">'[45]หมวด 10'!#REF!</definedName>
    <definedName name="สนประดิพัทธ์_" localSheetId="32">'[45]หมวด 10'!#REF!</definedName>
    <definedName name="สนประดิพัทธ์_" localSheetId="33">'[45]หมวด 10'!#REF!</definedName>
    <definedName name="สนประดิพัทธ์_" localSheetId="24">'[45]หมวด 10'!#REF!</definedName>
    <definedName name="สนประดิพัทธ์_" localSheetId="23">'[45]หมวด 10'!#REF!</definedName>
    <definedName name="สนประดิพัทธ์_" localSheetId="36">'[45]หมวด 10'!#REF!</definedName>
    <definedName name="สนประดิพัทธ์_" localSheetId="22">'[45]หมวด 10'!#REF!</definedName>
    <definedName name="สนประดิพัทธ์_" localSheetId="26">'[45]หมวด 10'!#REF!</definedName>
    <definedName name="สนประดิพัทธ์_" localSheetId="30">'[45]หมวด 10'!#REF!</definedName>
    <definedName name="สนประดิพัทธ์_" localSheetId="41">'[45]หมวด 10'!#REF!</definedName>
    <definedName name="สนประดิพัทธ์_" localSheetId="50">'[45]หมวด 10'!#REF!</definedName>
    <definedName name="สนประดิพัทธ์_" localSheetId="51">'[45]หมวด 10'!#REF!</definedName>
    <definedName name="สนประดิพัทธ์_" localSheetId="42">'[45]หมวด 10'!#REF!</definedName>
    <definedName name="สนประดิพัทธ์_" localSheetId="43">'[45]หมวด 10'!#REF!</definedName>
    <definedName name="สนประดิพัทธ์_" localSheetId="44">'[45]หมวด 10'!#REF!</definedName>
    <definedName name="สนประดิพัทธ์_" localSheetId="45">'[45]หมวด 10'!#REF!</definedName>
    <definedName name="สนประดิพัทธ์_" localSheetId="46">'[45]หมวด 10'!#REF!</definedName>
    <definedName name="สนประดิพัทธ์_" localSheetId="47">'[45]หมวด 10'!#REF!</definedName>
    <definedName name="สนประดิพัทธ์_" localSheetId="48">'[45]หมวด 10'!#REF!</definedName>
    <definedName name="สนประดิพัทธ์_" localSheetId="49">'[45]หมวด 10'!#REF!</definedName>
    <definedName name="สนประดิพัทธ์_" localSheetId="52">'[45]หมวด 10'!#REF!</definedName>
    <definedName name="สนประดิพัทธ์_" localSheetId="40">'[45]หมวด 10'!#REF!</definedName>
    <definedName name="สนประดิพัทธ์_" localSheetId="39">'[45]หมวด 10'!#REF!</definedName>
    <definedName name="สนประดิพัทธ์_" localSheetId="38">'[45]หมวด 10'!#REF!</definedName>
    <definedName name="สนประดิพัทธ์_" localSheetId="37">'[45]หมวด 10'!#REF!</definedName>
    <definedName name="สนประดิพัทธ์_" localSheetId="57">'[45]หมวด 10'!#REF!</definedName>
    <definedName name="สนประดิพัทธ์_" localSheetId="66">'[45]หมวด 10'!#REF!</definedName>
    <definedName name="สนประดิพัทธ์_" localSheetId="67">'[45]หมวด 10'!#REF!</definedName>
    <definedName name="สนประดิพัทธ์_" localSheetId="58">'[45]หมวด 10'!#REF!</definedName>
    <definedName name="สนประดิพัทธ์_" localSheetId="59">'[45]หมวด 10'!#REF!</definedName>
    <definedName name="สนประดิพัทธ์_" localSheetId="60">'[45]หมวด 10'!#REF!</definedName>
    <definedName name="สนประดิพัทธ์_" localSheetId="61">'[45]หมวด 10'!#REF!</definedName>
    <definedName name="สนประดิพัทธ์_" localSheetId="62">'[45]หมวด 10'!#REF!</definedName>
    <definedName name="สนประดิพัทธ์_" localSheetId="63">'[45]หมวด 10'!#REF!</definedName>
    <definedName name="สนประดิพัทธ์_" localSheetId="64">'[45]หมวด 10'!#REF!</definedName>
    <definedName name="สนประดิพัทธ์_" localSheetId="65">'[45]หมวด 10'!#REF!</definedName>
    <definedName name="สนประดิพัทธ์_" localSheetId="68">'[45]หมวด 10'!#REF!</definedName>
    <definedName name="สนประดิพัทธ์_" localSheetId="56">'[45]หมวด 10'!#REF!</definedName>
    <definedName name="สนประดิพัทธ์_" localSheetId="55">'[45]หมวด 10'!#REF!</definedName>
    <definedName name="สนประดิพัทธ์_" localSheetId="54">'[45]หมวด 10'!#REF!</definedName>
    <definedName name="สนประดิพัทธ์_" localSheetId="69">'[45]หมวด 10'!#REF!</definedName>
    <definedName name="สนประดิพัทธ์_" localSheetId="53">'[45]หมวด 10'!#REF!</definedName>
    <definedName name="สนประดิพัทธ์_" localSheetId="85">'[45]หมวด 10'!#REF!</definedName>
    <definedName name="สนประดิพัทธ์_" localSheetId="86">'[45]หมวด 10'!#REF!</definedName>
    <definedName name="สนประดิพัทธ์_">'[45]หมวด 10'!#REF!</definedName>
    <definedName name="สรุปaccess_road" localSheetId="3">[15]Summary!#REF!</definedName>
    <definedName name="สรุปaccess_road" localSheetId="4">[15]Summary!#REF!</definedName>
    <definedName name="สรุปaccess_road" localSheetId="18">[15]Summary!#REF!</definedName>
    <definedName name="สรุปaccess_road" localSheetId="19">[15]Summary!#REF!</definedName>
    <definedName name="สรุปaccess_road" localSheetId="9">[15]Summary!#REF!</definedName>
    <definedName name="สรุปaccess_road" localSheetId="10">[15]Summary!#REF!</definedName>
    <definedName name="สรุปaccess_road" localSheetId="11">[15]Summary!#REF!</definedName>
    <definedName name="สรุปaccess_road" localSheetId="12">[15]Summary!#REF!</definedName>
    <definedName name="สรุปaccess_road" localSheetId="13">[15]Summary!#REF!</definedName>
    <definedName name="สรุปaccess_road" localSheetId="14">[15]Summary!#REF!</definedName>
    <definedName name="สรุปaccess_road" localSheetId="15">[15]Summary!#REF!</definedName>
    <definedName name="สรุปaccess_road" localSheetId="16">[15]Summary!#REF!</definedName>
    <definedName name="สรุปaccess_road" localSheetId="17">[15]Summary!#REF!</definedName>
    <definedName name="สรุปaccess_road" localSheetId="8">[15]Summary!#REF!</definedName>
    <definedName name="สรุปaccess_road" localSheetId="7">[15]Summary!#REF!</definedName>
    <definedName name="สรุปaccess_road" localSheetId="6">[15]Summary!#REF!</definedName>
    <definedName name="สรุปaccess_road" localSheetId="20">[15]Summary!#REF!</definedName>
    <definedName name="สรุปaccess_road" localSheetId="5">[15]Summary!#REF!</definedName>
    <definedName name="สรุปaccess_road" localSheetId="21">[15]Summary!#REF!</definedName>
    <definedName name="สรุปaccess_road" localSheetId="34">[15]Summary!#REF!</definedName>
    <definedName name="สรุปaccess_road" localSheetId="35">[15]Summary!#REF!</definedName>
    <definedName name="สรุปaccess_road" localSheetId="25">[15]Summary!#REF!</definedName>
    <definedName name="สรุปaccess_road" localSheetId="27">[15]Summary!#REF!</definedName>
    <definedName name="สรุปaccess_road" localSheetId="28">[15]Summary!#REF!</definedName>
    <definedName name="สรุปaccess_road" localSheetId="29">[15]Summary!#REF!</definedName>
    <definedName name="สรุปaccess_road" localSheetId="31">[15]Summary!#REF!</definedName>
    <definedName name="สรุปaccess_road" localSheetId="32">[15]Summary!#REF!</definedName>
    <definedName name="สรุปaccess_road" localSheetId="33">[15]Summary!#REF!</definedName>
    <definedName name="สรุปaccess_road" localSheetId="24">[15]Summary!#REF!</definedName>
    <definedName name="สรุปaccess_road" localSheetId="23">[15]Summary!#REF!</definedName>
    <definedName name="สรุปaccess_road" localSheetId="36">[15]Summary!#REF!</definedName>
    <definedName name="สรุปaccess_road" localSheetId="22">[15]Summary!#REF!</definedName>
    <definedName name="สรุปaccess_road" localSheetId="26">[15]Summary!#REF!</definedName>
    <definedName name="สรุปaccess_road" localSheetId="30">[15]Summary!#REF!</definedName>
    <definedName name="สรุปaccess_road" localSheetId="41">[15]Summary!#REF!</definedName>
    <definedName name="สรุปaccess_road" localSheetId="50">[15]Summary!#REF!</definedName>
    <definedName name="สรุปaccess_road" localSheetId="51">[15]Summary!#REF!</definedName>
    <definedName name="สรุปaccess_road" localSheetId="42">[15]Summary!#REF!</definedName>
    <definedName name="สรุปaccess_road" localSheetId="43">[15]Summary!#REF!</definedName>
    <definedName name="สรุปaccess_road" localSheetId="44">[15]Summary!#REF!</definedName>
    <definedName name="สรุปaccess_road" localSheetId="45">[15]Summary!#REF!</definedName>
    <definedName name="สรุปaccess_road" localSheetId="46">[15]Summary!#REF!</definedName>
    <definedName name="สรุปaccess_road" localSheetId="47">[15]Summary!#REF!</definedName>
    <definedName name="สรุปaccess_road" localSheetId="48">[15]Summary!#REF!</definedName>
    <definedName name="สรุปaccess_road" localSheetId="49">[15]Summary!#REF!</definedName>
    <definedName name="สรุปaccess_road" localSheetId="52">[15]Summary!#REF!</definedName>
    <definedName name="สรุปaccess_road" localSheetId="40">[15]Summary!#REF!</definedName>
    <definedName name="สรุปaccess_road" localSheetId="39">[15]Summary!#REF!</definedName>
    <definedName name="สรุปaccess_road" localSheetId="38">[15]Summary!#REF!</definedName>
    <definedName name="สรุปaccess_road" localSheetId="37">[15]Summary!#REF!</definedName>
    <definedName name="สรุปaccess_road" localSheetId="57">[15]Summary!#REF!</definedName>
    <definedName name="สรุปaccess_road" localSheetId="66">[15]Summary!#REF!</definedName>
    <definedName name="สรุปaccess_road" localSheetId="67">[15]Summary!#REF!</definedName>
    <definedName name="สรุปaccess_road" localSheetId="58">[15]Summary!#REF!</definedName>
    <definedName name="สรุปaccess_road" localSheetId="59">[15]Summary!#REF!</definedName>
    <definedName name="สรุปaccess_road" localSheetId="60">[15]Summary!#REF!</definedName>
    <definedName name="สรุปaccess_road" localSheetId="61">[15]Summary!#REF!</definedName>
    <definedName name="สรุปaccess_road" localSheetId="62">[15]Summary!#REF!</definedName>
    <definedName name="สรุปaccess_road" localSheetId="63">[15]Summary!#REF!</definedName>
    <definedName name="สรุปaccess_road" localSheetId="64">[15]Summary!#REF!</definedName>
    <definedName name="สรุปaccess_road" localSheetId="65">[15]Summary!#REF!</definedName>
    <definedName name="สรุปaccess_road" localSheetId="68">[15]Summary!#REF!</definedName>
    <definedName name="สรุปaccess_road" localSheetId="56">[15]Summary!#REF!</definedName>
    <definedName name="สรุปaccess_road" localSheetId="55">[15]Summary!#REF!</definedName>
    <definedName name="สรุปaccess_road" localSheetId="54">[15]Summary!#REF!</definedName>
    <definedName name="สรุปaccess_road" localSheetId="53">[15]Summary!#REF!</definedName>
    <definedName name="สรุปaccess_road" localSheetId="86">[15]Summary!#REF!</definedName>
    <definedName name="สรุปaccess_road">[15]Summary!#REF!</definedName>
    <definedName name="สรุปCrossing_load" localSheetId="3">[15]Summary!#REF!</definedName>
    <definedName name="สรุปCrossing_load" localSheetId="18">[15]Summary!#REF!</definedName>
    <definedName name="สรุปCrossing_load" localSheetId="19">[15]Summary!#REF!</definedName>
    <definedName name="สรุปCrossing_load" localSheetId="9">[15]Summary!#REF!</definedName>
    <definedName name="สรุปCrossing_load" localSheetId="10">[15]Summary!#REF!</definedName>
    <definedName name="สรุปCrossing_load" localSheetId="11">[15]Summary!#REF!</definedName>
    <definedName name="สรุปCrossing_load" localSheetId="12">[15]Summary!#REF!</definedName>
    <definedName name="สรุปCrossing_load" localSheetId="13">[15]Summary!#REF!</definedName>
    <definedName name="สรุปCrossing_load" localSheetId="14">[15]Summary!#REF!</definedName>
    <definedName name="สรุปCrossing_load" localSheetId="15">[15]Summary!#REF!</definedName>
    <definedName name="สรุปCrossing_load" localSheetId="16">[15]Summary!#REF!</definedName>
    <definedName name="สรุปCrossing_load" localSheetId="17">[15]Summary!#REF!</definedName>
    <definedName name="สรุปCrossing_load" localSheetId="8">[15]Summary!#REF!</definedName>
    <definedName name="สรุปCrossing_load" localSheetId="7">[15]Summary!#REF!</definedName>
    <definedName name="สรุปCrossing_load" localSheetId="6">[15]Summary!#REF!</definedName>
    <definedName name="สรุปCrossing_load" localSheetId="20">[15]Summary!#REF!</definedName>
    <definedName name="สรุปCrossing_load" localSheetId="5">[15]Summary!#REF!</definedName>
    <definedName name="สรุปCrossing_load" localSheetId="21">[15]Summary!#REF!</definedName>
    <definedName name="สรุปCrossing_load" localSheetId="34">[15]Summary!#REF!</definedName>
    <definedName name="สรุปCrossing_load" localSheetId="35">[15]Summary!#REF!</definedName>
    <definedName name="สรุปCrossing_load" localSheetId="25">[15]Summary!#REF!</definedName>
    <definedName name="สรุปCrossing_load" localSheetId="27">[15]Summary!#REF!</definedName>
    <definedName name="สรุปCrossing_load" localSheetId="28">[15]Summary!#REF!</definedName>
    <definedName name="สรุปCrossing_load" localSheetId="29">[15]Summary!#REF!</definedName>
    <definedName name="สรุปCrossing_load" localSheetId="31">[15]Summary!#REF!</definedName>
    <definedName name="สรุปCrossing_load" localSheetId="32">[15]Summary!#REF!</definedName>
    <definedName name="สรุปCrossing_load" localSheetId="33">[15]Summary!#REF!</definedName>
    <definedName name="สรุปCrossing_load" localSheetId="24">[15]Summary!#REF!</definedName>
    <definedName name="สรุปCrossing_load" localSheetId="23">[15]Summary!#REF!</definedName>
    <definedName name="สรุปCrossing_load" localSheetId="36">[15]Summary!#REF!</definedName>
    <definedName name="สรุปCrossing_load" localSheetId="22">[15]Summary!#REF!</definedName>
    <definedName name="สรุปCrossing_load" localSheetId="26">[15]Summary!#REF!</definedName>
    <definedName name="สรุปCrossing_load" localSheetId="30">[15]Summary!#REF!</definedName>
    <definedName name="สรุปCrossing_load" localSheetId="41">[15]Summary!#REF!</definedName>
    <definedName name="สรุปCrossing_load" localSheetId="50">[15]Summary!#REF!</definedName>
    <definedName name="สรุปCrossing_load" localSheetId="51">[15]Summary!#REF!</definedName>
    <definedName name="สรุปCrossing_load" localSheetId="42">[15]Summary!#REF!</definedName>
    <definedName name="สรุปCrossing_load" localSheetId="43">[15]Summary!#REF!</definedName>
    <definedName name="สรุปCrossing_load" localSheetId="44">[15]Summary!#REF!</definedName>
    <definedName name="สรุปCrossing_load" localSheetId="45">[15]Summary!#REF!</definedName>
    <definedName name="สรุปCrossing_load" localSheetId="46">[15]Summary!#REF!</definedName>
    <definedName name="สรุปCrossing_load" localSheetId="47">[15]Summary!#REF!</definedName>
    <definedName name="สรุปCrossing_load" localSheetId="48">[15]Summary!#REF!</definedName>
    <definedName name="สรุปCrossing_load" localSheetId="49">[15]Summary!#REF!</definedName>
    <definedName name="สรุปCrossing_load" localSheetId="52">[15]Summary!#REF!</definedName>
    <definedName name="สรุปCrossing_load" localSheetId="40">[15]Summary!#REF!</definedName>
    <definedName name="สรุปCrossing_load" localSheetId="39">[15]Summary!#REF!</definedName>
    <definedName name="สรุปCrossing_load" localSheetId="38">[15]Summary!#REF!</definedName>
    <definedName name="สรุปCrossing_load" localSheetId="37">[15]Summary!#REF!</definedName>
    <definedName name="สรุปCrossing_load" localSheetId="57">[15]Summary!#REF!</definedName>
    <definedName name="สรุปCrossing_load" localSheetId="66">[15]Summary!#REF!</definedName>
    <definedName name="สรุปCrossing_load" localSheetId="67">[15]Summary!#REF!</definedName>
    <definedName name="สรุปCrossing_load" localSheetId="58">[15]Summary!#REF!</definedName>
    <definedName name="สรุปCrossing_load" localSheetId="59">[15]Summary!#REF!</definedName>
    <definedName name="สรุปCrossing_load" localSheetId="60">[15]Summary!#REF!</definedName>
    <definedName name="สรุปCrossing_load" localSheetId="61">[15]Summary!#REF!</definedName>
    <definedName name="สรุปCrossing_load" localSheetId="62">[15]Summary!#REF!</definedName>
    <definedName name="สรุปCrossing_load" localSheetId="63">[15]Summary!#REF!</definedName>
    <definedName name="สรุปCrossing_load" localSheetId="64">[15]Summary!#REF!</definedName>
    <definedName name="สรุปCrossing_load" localSheetId="65">[15]Summary!#REF!</definedName>
    <definedName name="สรุปCrossing_load" localSheetId="68">[15]Summary!#REF!</definedName>
    <definedName name="สรุปCrossing_load" localSheetId="56">[15]Summary!#REF!</definedName>
    <definedName name="สรุปCrossing_load" localSheetId="55">[15]Summary!#REF!</definedName>
    <definedName name="สรุปCrossing_load" localSheetId="54">[15]Summary!#REF!</definedName>
    <definedName name="สรุปCrossing_load" localSheetId="53">[15]Summary!#REF!</definedName>
    <definedName name="สรุปCrossing_load">[15]Summary!#REF!</definedName>
    <definedName name="สรุปLOCAL_ROAD" localSheetId="3">[15]Summary!#REF!</definedName>
    <definedName name="สรุปLOCAL_ROAD">[15]Summary!#REF!</definedName>
    <definedName name="สรุปoverpass" localSheetId="3">[15]Summary!#REF!</definedName>
    <definedName name="สรุปoverpass">[15]Summary!#REF!</definedName>
    <definedName name="สรุปservice_road" localSheetId="3">[15]Summary!#REF!</definedName>
    <definedName name="สรุปservice_road">[15]Summary!#REF!</definedName>
    <definedName name="สรุปเข็มท่าเทียบเรือ" localSheetId="3">#REF!</definedName>
    <definedName name="สรุปเข็มท่าเทียบเรือ" localSheetId="4">#REF!</definedName>
    <definedName name="สรุปเข็มท่าเทียบเรือ" localSheetId="18">#REF!</definedName>
    <definedName name="สรุปเข็มท่าเทียบเรือ" localSheetId="19">#REF!</definedName>
    <definedName name="สรุปเข็มท่าเทียบเรือ" localSheetId="9">#REF!</definedName>
    <definedName name="สรุปเข็มท่าเทียบเรือ" localSheetId="10">#REF!</definedName>
    <definedName name="สรุปเข็มท่าเทียบเรือ" localSheetId="11">#REF!</definedName>
    <definedName name="สรุปเข็มท่าเทียบเรือ" localSheetId="12">#REF!</definedName>
    <definedName name="สรุปเข็มท่าเทียบเรือ" localSheetId="13">#REF!</definedName>
    <definedName name="สรุปเข็มท่าเทียบเรือ" localSheetId="14">#REF!</definedName>
    <definedName name="สรุปเข็มท่าเทียบเรือ" localSheetId="15">#REF!</definedName>
    <definedName name="สรุปเข็มท่าเทียบเรือ" localSheetId="16">#REF!</definedName>
    <definedName name="สรุปเข็มท่าเทียบเรือ" localSheetId="17">#REF!</definedName>
    <definedName name="สรุปเข็มท่าเทียบเรือ" localSheetId="8">#REF!</definedName>
    <definedName name="สรุปเข็มท่าเทียบเรือ" localSheetId="7">#REF!</definedName>
    <definedName name="สรุปเข็มท่าเทียบเรือ" localSheetId="6">#REF!</definedName>
    <definedName name="สรุปเข็มท่าเทียบเรือ" localSheetId="20">#REF!</definedName>
    <definedName name="สรุปเข็มท่าเทียบเรือ" localSheetId="5">#REF!</definedName>
    <definedName name="สรุปเข็มท่าเทียบเรือ" localSheetId="21">#REF!</definedName>
    <definedName name="สรุปเข็มท่าเทียบเรือ" localSheetId="34">#REF!</definedName>
    <definedName name="สรุปเข็มท่าเทียบเรือ" localSheetId="35">#REF!</definedName>
    <definedName name="สรุปเข็มท่าเทียบเรือ" localSheetId="25">#REF!</definedName>
    <definedName name="สรุปเข็มท่าเทียบเรือ" localSheetId="27">#REF!</definedName>
    <definedName name="สรุปเข็มท่าเทียบเรือ" localSheetId="28">#REF!</definedName>
    <definedName name="สรุปเข็มท่าเทียบเรือ" localSheetId="29">#REF!</definedName>
    <definedName name="สรุปเข็มท่าเทียบเรือ" localSheetId="31">#REF!</definedName>
    <definedName name="สรุปเข็มท่าเทียบเรือ" localSheetId="32">#REF!</definedName>
    <definedName name="สรุปเข็มท่าเทียบเรือ" localSheetId="33">#REF!</definedName>
    <definedName name="สรุปเข็มท่าเทียบเรือ" localSheetId="24">#REF!</definedName>
    <definedName name="สรุปเข็มท่าเทียบเรือ" localSheetId="23">#REF!</definedName>
    <definedName name="สรุปเข็มท่าเทียบเรือ" localSheetId="36">#REF!</definedName>
    <definedName name="สรุปเข็มท่าเทียบเรือ" localSheetId="22">#REF!</definedName>
    <definedName name="สรุปเข็มท่าเทียบเรือ" localSheetId="26">#REF!</definedName>
    <definedName name="สรุปเข็มท่าเทียบเรือ" localSheetId="30">#REF!</definedName>
    <definedName name="สรุปเข็มท่าเทียบเรือ" localSheetId="41">#REF!</definedName>
    <definedName name="สรุปเข็มท่าเทียบเรือ" localSheetId="50">#REF!</definedName>
    <definedName name="สรุปเข็มท่าเทียบเรือ" localSheetId="51">#REF!</definedName>
    <definedName name="สรุปเข็มท่าเทียบเรือ" localSheetId="42">#REF!</definedName>
    <definedName name="สรุปเข็มท่าเทียบเรือ" localSheetId="43">#REF!</definedName>
    <definedName name="สรุปเข็มท่าเทียบเรือ" localSheetId="44">#REF!</definedName>
    <definedName name="สรุปเข็มท่าเทียบเรือ" localSheetId="45">#REF!</definedName>
    <definedName name="สรุปเข็มท่าเทียบเรือ" localSheetId="46">#REF!</definedName>
    <definedName name="สรุปเข็มท่าเทียบเรือ" localSheetId="47">#REF!</definedName>
    <definedName name="สรุปเข็มท่าเทียบเรือ" localSheetId="48">#REF!</definedName>
    <definedName name="สรุปเข็มท่าเทียบเรือ" localSheetId="49">#REF!</definedName>
    <definedName name="สรุปเข็มท่าเทียบเรือ" localSheetId="52">#REF!</definedName>
    <definedName name="สรุปเข็มท่าเทียบเรือ" localSheetId="40">#REF!</definedName>
    <definedName name="สรุปเข็มท่าเทียบเรือ" localSheetId="39">#REF!</definedName>
    <definedName name="สรุปเข็มท่าเทียบเรือ" localSheetId="38">#REF!</definedName>
    <definedName name="สรุปเข็มท่าเทียบเรือ" localSheetId="37">#REF!</definedName>
    <definedName name="สรุปเข็มท่าเทียบเรือ" localSheetId="57">#REF!</definedName>
    <definedName name="สรุปเข็มท่าเทียบเรือ" localSheetId="66">#REF!</definedName>
    <definedName name="สรุปเข็มท่าเทียบเรือ" localSheetId="67">#REF!</definedName>
    <definedName name="สรุปเข็มท่าเทียบเรือ" localSheetId="58">#REF!</definedName>
    <definedName name="สรุปเข็มท่าเทียบเรือ" localSheetId="59">#REF!</definedName>
    <definedName name="สรุปเข็มท่าเทียบเรือ" localSheetId="60">#REF!</definedName>
    <definedName name="สรุปเข็มท่าเทียบเรือ" localSheetId="61">#REF!</definedName>
    <definedName name="สรุปเข็มท่าเทียบเรือ" localSheetId="62">#REF!</definedName>
    <definedName name="สรุปเข็มท่าเทียบเรือ" localSheetId="63">#REF!</definedName>
    <definedName name="สรุปเข็มท่าเทียบเรือ" localSheetId="64">#REF!</definedName>
    <definedName name="สรุปเข็มท่าเทียบเรือ" localSheetId="65">#REF!</definedName>
    <definedName name="สรุปเข็มท่าเทียบเรือ" localSheetId="68">#REF!</definedName>
    <definedName name="สรุปเข็มท่าเทียบเรือ" localSheetId="56">#REF!</definedName>
    <definedName name="สรุปเข็มท่าเทียบเรือ" localSheetId="55">#REF!</definedName>
    <definedName name="สรุปเข็มท่าเทียบเรือ" localSheetId="54">#REF!</definedName>
    <definedName name="สรุปเข็มท่าเทียบเรือ" localSheetId="53">#REF!</definedName>
    <definedName name="สรุปเข็มท่าเทียบเรือ" localSheetId="85">#REF!</definedName>
    <definedName name="สรุปเข็มท่าเทียบเรือ" localSheetId="86">#REF!</definedName>
    <definedName name="สรุปเข็มท่าเทียบเรือ" localSheetId="2">#REF!</definedName>
    <definedName name="สรุปเข็มท่าเทียบเรือ">#REF!</definedName>
    <definedName name="สรุปโครงสร้างท่าเทียบเรือ" localSheetId="3">#REF!</definedName>
    <definedName name="สรุปโครงสร้างท่าเทียบเรือ" localSheetId="4">#REF!</definedName>
    <definedName name="สรุปโครงสร้างท่าเทียบเรือ" localSheetId="18">#REF!</definedName>
    <definedName name="สรุปโครงสร้างท่าเทียบเรือ" localSheetId="19">#REF!</definedName>
    <definedName name="สรุปโครงสร้างท่าเทียบเรือ" localSheetId="9">#REF!</definedName>
    <definedName name="สรุปโครงสร้างท่าเทียบเรือ" localSheetId="10">#REF!</definedName>
    <definedName name="สรุปโครงสร้างท่าเทียบเรือ" localSheetId="11">#REF!</definedName>
    <definedName name="สรุปโครงสร้างท่าเทียบเรือ" localSheetId="12">#REF!</definedName>
    <definedName name="สรุปโครงสร้างท่าเทียบเรือ" localSheetId="13">#REF!</definedName>
    <definedName name="สรุปโครงสร้างท่าเทียบเรือ" localSheetId="14">#REF!</definedName>
    <definedName name="สรุปโครงสร้างท่าเทียบเรือ" localSheetId="15">#REF!</definedName>
    <definedName name="สรุปโครงสร้างท่าเทียบเรือ" localSheetId="16">#REF!</definedName>
    <definedName name="สรุปโครงสร้างท่าเทียบเรือ" localSheetId="17">#REF!</definedName>
    <definedName name="สรุปโครงสร้างท่าเทียบเรือ" localSheetId="8">#REF!</definedName>
    <definedName name="สรุปโครงสร้างท่าเทียบเรือ" localSheetId="7">#REF!</definedName>
    <definedName name="สรุปโครงสร้างท่าเทียบเรือ" localSheetId="6">#REF!</definedName>
    <definedName name="สรุปโครงสร้างท่าเทียบเรือ" localSheetId="20">#REF!</definedName>
    <definedName name="สรุปโครงสร้างท่าเทียบเรือ" localSheetId="5">#REF!</definedName>
    <definedName name="สรุปโครงสร้างท่าเทียบเรือ" localSheetId="21">#REF!</definedName>
    <definedName name="สรุปโครงสร้างท่าเทียบเรือ" localSheetId="34">#REF!</definedName>
    <definedName name="สรุปโครงสร้างท่าเทียบเรือ" localSheetId="35">#REF!</definedName>
    <definedName name="สรุปโครงสร้างท่าเทียบเรือ" localSheetId="25">#REF!</definedName>
    <definedName name="สรุปโครงสร้างท่าเทียบเรือ" localSheetId="27">#REF!</definedName>
    <definedName name="สรุปโครงสร้างท่าเทียบเรือ" localSheetId="28">#REF!</definedName>
    <definedName name="สรุปโครงสร้างท่าเทียบเรือ" localSheetId="29">#REF!</definedName>
    <definedName name="สรุปโครงสร้างท่าเทียบเรือ" localSheetId="31">#REF!</definedName>
    <definedName name="สรุปโครงสร้างท่าเทียบเรือ" localSheetId="32">#REF!</definedName>
    <definedName name="สรุปโครงสร้างท่าเทียบเรือ" localSheetId="33">#REF!</definedName>
    <definedName name="สรุปโครงสร้างท่าเทียบเรือ" localSheetId="24">#REF!</definedName>
    <definedName name="สรุปโครงสร้างท่าเทียบเรือ" localSheetId="23">#REF!</definedName>
    <definedName name="สรุปโครงสร้างท่าเทียบเรือ" localSheetId="36">#REF!</definedName>
    <definedName name="สรุปโครงสร้างท่าเทียบเรือ" localSheetId="22">#REF!</definedName>
    <definedName name="สรุปโครงสร้างท่าเทียบเรือ" localSheetId="26">#REF!</definedName>
    <definedName name="สรุปโครงสร้างท่าเทียบเรือ" localSheetId="30">#REF!</definedName>
    <definedName name="สรุปโครงสร้างท่าเทียบเรือ" localSheetId="85">#REF!</definedName>
    <definedName name="สรุปโครงสร้างท่าเทียบเรือ" localSheetId="86">#REF!</definedName>
    <definedName name="สรุปโครงสร้างท่าเทียบเรือ" localSheetId="2">#REF!</definedName>
    <definedName name="สรุปโครงสร้างท่าเทียบเรือ">#REF!</definedName>
    <definedName name="สรุปไฟฟ้าท่าเทียบเรือ" localSheetId="3">#REF!</definedName>
    <definedName name="สรุปไฟฟ้าท่าเทียบเรือ" localSheetId="4">#REF!</definedName>
    <definedName name="สรุปไฟฟ้าท่าเทียบเรือ" localSheetId="18">#REF!</definedName>
    <definedName name="สรุปไฟฟ้าท่าเทียบเรือ" localSheetId="19">#REF!</definedName>
    <definedName name="สรุปไฟฟ้าท่าเทียบเรือ" localSheetId="9">#REF!</definedName>
    <definedName name="สรุปไฟฟ้าท่าเทียบเรือ" localSheetId="10">#REF!</definedName>
    <definedName name="สรุปไฟฟ้าท่าเทียบเรือ" localSheetId="11">#REF!</definedName>
    <definedName name="สรุปไฟฟ้าท่าเทียบเรือ" localSheetId="12">#REF!</definedName>
    <definedName name="สรุปไฟฟ้าท่าเทียบเรือ" localSheetId="13">#REF!</definedName>
    <definedName name="สรุปไฟฟ้าท่าเทียบเรือ" localSheetId="14">#REF!</definedName>
    <definedName name="สรุปไฟฟ้าท่าเทียบเรือ" localSheetId="15">#REF!</definedName>
    <definedName name="สรุปไฟฟ้าท่าเทียบเรือ" localSheetId="16">#REF!</definedName>
    <definedName name="สรุปไฟฟ้าท่าเทียบเรือ" localSheetId="17">#REF!</definedName>
    <definedName name="สรุปไฟฟ้าท่าเทียบเรือ" localSheetId="8">#REF!</definedName>
    <definedName name="สรุปไฟฟ้าท่าเทียบเรือ" localSheetId="7">#REF!</definedName>
    <definedName name="สรุปไฟฟ้าท่าเทียบเรือ" localSheetId="6">#REF!</definedName>
    <definedName name="สรุปไฟฟ้าท่าเทียบเรือ" localSheetId="20">#REF!</definedName>
    <definedName name="สรุปไฟฟ้าท่าเทียบเรือ" localSheetId="5">#REF!</definedName>
    <definedName name="สรุปไฟฟ้าท่าเทียบเรือ" localSheetId="21">#REF!</definedName>
    <definedName name="สรุปไฟฟ้าท่าเทียบเรือ" localSheetId="34">#REF!</definedName>
    <definedName name="สรุปไฟฟ้าท่าเทียบเรือ" localSheetId="35">#REF!</definedName>
    <definedName name="สรุปไฟฟ้าท่าเทียบเรือ" localSheetId="25">#REF!</definedName>
    <definedName name="สรุปไฟฟ้าท่าเทียบเรือ" localSheetId="27">#REF!</definedName>
    <definedName name="สรุปไฟฟ้าท่าเทียบเรือ" localSheetId="28">#REF!</definedName>
    <definedName name="สรุปไฟฟ้าท่าเทียบเรือ" localSheetId="29">#REF!</definedName>
    <definedName name="สรุปไฟฟ้าท่าเทียบเรือ" localSheetId="31">#REF!</definedName>
    <definedName name="สรุปไฟฟ้าท่าเทียบเรือ" localSheetId="32">#REF!</definedName>
    <definedName name="สรุปไฟฟ้าท่าเทียบเรือ" localSheetId="33">#REF!</definedName>
    <definedName name="สรุปไฟฟ้าท่าเทียบเรือ" localSheetId="24">#REF!</definedName>
    <definedName name="สรุปไฟฟ้าท่าเทียบเรือ" localSheetId="23">#REF!</definedName>
    <definedName name="สรุปไฟฟ้าท่าเทียบเรือ" localSheetId="36">#REF!</definedName>
    <definedName name="สรุปไฟฟ้าท่าเทียบเรือ" localSheetId="22">#REF!</definedName>
    <definedName name="สรุปไฟฟ้าท่าเทียบเรือ" localSheetId="26">#REF!</definedName>
    <definedName name="สรุปไฟฟ้าท่าเทียบเรือ" localSheetId="30">#REF!</definedName>
    <definedName name="สรุปไฟฟ้าท่าเทียบเรือ" localSheetId="85">#REF!</definedName>
    <definedName name="สรุปไฟฟ้าท่าเทียบเรือ" localSheetId="86">#REF!</definedName>
    <definedName name="สรุปไฟฟ้าท่าเทียบเรือ" localSheetId="2">#REF!</definedName>
    <definedName name="สรุปไฟฟ้าท่าเทียบเรือ">#REF!</definedName>
    <definedName name="สรุปศาลาB" localSheetId="3">#REF!</definedName>
    <definedName name="สรุปศาลาB" localSheetId="2">#REF!</definedName>
    <definedName name="สรุปศาลาB">#REF!</definedName>
    <definedName name="สรุปสถาปัตยกรรมท่าเทียบเรือ" localSheetId="3">#REF!</definedName>
    <definedName name="สรุปสถาปัตยกรรมท่าเทียบเรือ" localSheetId="2">#REF!</definedName>
    <definedName name="สรุปสถาปัตยกรรมท่าเทียบเรือ">#REF!</definedName>
    <definedName name="สรุปสุขาภิบาลท่าเทียบเรือ" localSheetId="3">#REF!</definedName>
    <definedName name="สรุปสุขาภิบาลท่าเทียบเรือ" localSheetId="2">#REF!</definedName>
    <definedName name="สรุปสุขาภิบาลท่าเทียบเรือ">#REF!</definedName>
    <definedName name="สะพาน" localSheetId="3">#REF!</definedName>
    <definedName name="สะพาน" localSheetId="2">#REF!</definedName>
    <definedName name="สะพาน">#REF!</definedName>
    <definedName name="สะพาน_28_218.200" localSheetId="3">'[13]5-2'!#REF!</definedName>
    <definedName name="สะพาน_28_218.200" localSheetId="2">'[13]5-2'!#REF!</definedName>
    <definedName name="สะพาน_28_218.200">'[13]5-2'!#REF!</definedName>
    <definedName name="สะพาน3_803.600">'[8]5-2'!$J$34</definedName>
    <definedName name="สีเทอโมพลาสติก" localSheetId="3">#REF!</definedName>
    <definedName name="สีเทอโมพลาสติก" localSheetId="4">#REF!</definedName>
    <definedName name="สีเทอโมพลาสติก" localSheetId="18">#REF!</definedName>
    <definedName name="สีเทอโมพลาสติก" localSheetId="19">#REF!</definedName>
    <definedName name="สีเทอโมพลาสติก" localSheetId="9">#REF!</definedName>
    <definedName name="สีเทอโมพลาสติก" localSheetId="10">#REF!</definedName>
    <definedName name="สีเทอโมพลาสติก" localSheetId="11">#REF!</definedName>
    <definedName name="สีเทอโมพลาสติก" localSheetId="12">#REF!</definedName>
    <definedName name="สีเทอโมพลาสติก" localSheetId="13">#REF!</definedName>
    <definedName name="สีเทอโมพลาสติก" localSheetId="14">#REF!</definedName>
    <definedName name="สีเทอโมพลาสติก" localSheetId="15">#REF!</definedName>
    <definedName name="สีเทอโมพลาสติก" localSheetId="16">#REF!</definedName>
    <definedName name="สีเทอโมพลาสติก" localSheetId="17">#REF!</definedName>
    <definedName name="สีเทอโมพลาสติก" localSheetId="8">#REF!</definedName>
    <definedName name="สีเทอโมพลาสติก" localSheetId="7">#REF!</definedName>
    <definedName name="สีเทอโมพลาสติก" localSheetId="6">#REF!</definedName>
    <definedName name="สีเทอโมพลาสติก" localSheetId="20">#REF!</definedName>
    <definedName name="สีเทอโมพลาสติก" localSheetId="5">#REF!</definedName>
    <definedName name="สีเทอโมพลาสติก" localSheetId="21">#REF!</definedName>
    <definedName name="สีเทอโมพลาสติก" localSheetId="34">#REF!</definedName>
    <definedName name="สีเทอโมพลาสติก" localSheetId="35">#REF!</definedName>
    <definedName name="สีเทอโมพลาสติก" localSheetId="25">#REF!</definedName>
    <definedName name="สีเทอโมพลาสติก" localSheetId="27">#REF!</definedName>
    <definedName name="สีเทอโมพลาสติก" localSheetId="28">#REF!</definedName>
    <definedName name="สีเทอโมพลาสติก" localSheetId="29">#REF!</definedName>
    <definedName name="สีเทอโมพลาสติก" localSheetId="31">#REF!</definedName>
    <definedName name="สีเทอโมพลาสติก" localSheetId="32">#REF!</definedName>
    <definedName name="สีเทอโมพลาสติก" localSheetId="33">#REF!</definedName>
    <definedName name="สีเทอโมพลาสติก" localSheetId="24">#REF!</definedName>
    <definedName name="สีเทอโมพลาสติก" localSheetId="23">#REF!</definedName>
    <definedName name="สีเทอโมพลาสติก" localSheetId="36">#REF!</definedName>
    <definedName name="สีเทอโมพลาสติก" localSheetId="22">#REF!</definedName>
    <definedName name="สีเทอโมพลาสติก" localSheetId="26">#REF!</definedName>
    <definedName name="สีเทอโมพลาสติก" localSheetId="30">#REF!</definedName>
    <definedName name="สีเทอโมพลาสติก" localSheetId="41">#REF!</definedName>
    <definedName name="สีเทอโมพลาสติก" localSheetId="50">#REF!</definedName>
    <definedName name="สีเทอโมพลาสติก" localSheetId="51">#REF!</definedName>
    <definedName name="สีเทอโมพลาสติก" localSheetId="42">#REF!</definedName>
    <definedName name="สีเทอโมพลาสติก" localSheetId="43">#REF!</definedName>
    <definedName name="สีเทอโมพลาสติก" localSheetId="44">#REF!</definedName>
    <definedName name="สีเทอโมพลาสติก" localSheetId="45">#REF!</definedName>
    <definedName name="สีเทอโมพลาสติก" localSheetId="46">#REF!</definedName>
    <definedName name="สีเทอโมพลาสติก" localSheetId="47">#REF!</definedName>
    <definedName name="สีเทอโมพลาสติก" localSheetId="48">#REF!</definedName>
    <definedName name="สีเทอโมพลาสติก" localSheetId="49">#REF!</definedName>
    <definedName name="สีเทอโมพลาสติก" localSheetId="52">#REF!</definedName>
    <definedName name="สีเทอโมพลาสติก" localSheetId="40">#REF!</definedName>
    <definedName name="สีเทอโมพลาสติก" localSheetId="39">#REF!</definedName>
    <definedName name="สีเทอโมพลาสติก" localSheetId="38">#REF!</definedName>
    <definedName name="สีเทอโมพลาสติก" localSheetId="37">#REF!</definedName>
    <definedName name="สีเทอโมพลาสติก" localSheetId="57">#REF!</definedName>
    <definedName name="สีเทอโมพลาสติก" localSheetId="66">#REF!</definedName>
    <definedName name="สีเทอโมพลาสติก" localSheetId="67">#REF!</definedName>
    <definedName name="สีเทอโมพลาสติก" localSheetId="58">#REF!</definedName>
    <definedName name="สีเทอโมพลาสติก" localSheetId="59">#REF!</definedName>
    <definedName name="สีเทอโมพลาสติก" localSheetId="60">#REF!</definedName>
    <definedName name="สีเทอโมพลาสติก" localSheetId="61">#REF!</definedName>
    <definedName name="สีเทอโมพลาสติก" localSheetId="62">#REF!</definedName>
    <definedName name="สีเทอโมพลาสติก" localSheetId="63">#REF!</definedName>
    <definedName name="สีเทอโมพลาสติก" localSheetId="64">#REF!</definedName>
    <definedName name="สีเทอโมพลาสติก" localSheetId="65">#REF!</definedName>
    <definedName name="สีเทอโมพลาสติก" localSheetId="68">#REF!</definedName>
    <definedName name="สีเทอโมพลาสติก" localSheetId="56">#REF!</definedName>
    <definedName name="สีเทอโมพลาสติก" localSheetId="55">#REF!</definedName>
    <definedName name="สีเทอโมพลาสติก" localSheetId="54">#REF!</definedName>
    <definedName name="สีเทอโมพลาสติก" localSheetId="69">#REF!</definedName>
    <definedName name="สีเทอโมพลาสติก" localSheetId="53">#REF!</definedName>
    <definedName name="สีเทอโมพลาสติก" localSheetId="85">#REF!</definedName>
    <definedName name="สีเทอโมพลาสติก" localSheetId="86">#REF!</definedName>
    <definedName name="สีเทอโมพลาสติก" localSheetId="2">#REF!</definedName>
    <definedName name="สีเทอโมพลาสติก">#REF!</definedName>
    <definedName name="สีผสมAC" localSheetId="3">#REF!</definedName>
    <definedName name="สีผสมAC" localSheetId="4">#REF!</definedName>
    <definedName name="สีผสมAC" localSheetId="18">#REF!</definedName>
    <definedName name="สีผสมAC" localSheetId="19">#REF!</definedName>
    <definedName name="สีผสมAC" localSheetId="9">#REF!</definedName>
    <definedName name="สีผสมAC" localSheetId="10">#REF!</definedName>
    <definedName name="สีผสมAC" localSheetId="11">#REF!</definedName>
    <definedName name="สีผสมAC" localSheetId="12">#REF!</definedName>
    <definedName name="สีผสมAC" localSheetId="13">#REF!</definedName>
    <definedName name="สีผสมAC" localSheetId="14">#REF!</definedName>
    <definedName name="สีผสมAC" localSheetId="15">#REF!</definedName>
    <definedName name="สีผสมAC" localSheetId="16">#REF!</definedName>
    <definedName name="สีผสมAC" localSheetId="17">#REF!</definedName>
    <definedName name="สีผสมAC" localSheetId="8">#REF!</definedName>
    <definedName name="สีผสมAC" localSheetId="7">#REF!</definedName>
    <definedName name="สีผสมAC" localSheetId="6">#REF!</definedName>
    <definedName name="สีผสมAC" localSheetId="20">#REF!</definedName>
    <definedName name="สีผสมAC" localSheetId="5">#REF!</definedName>
    <definedName name="สีผสมAC" localSheetId="21">#REF!</definedName>
    <definedName name="สีผสมAC" localSheetId="34">#REF!</definedName>
    <definedName name="สีผสมAC" localSheetId="35">#REF!</definedName>
    <definedName name="สีผสมAC" localSheetId="25">#REF!</definedName>
    <definedName name="สีผสมAC" localSheetId="27">#REF!</definedName>
    <definedName name="สีผสมAC" localSheetId="28">#REF!</definedName>
    <definedName name="สีผสมAC" localSheetId="29">#REF!</definedName>
    <definedName name="สีผสมAC" localSheetId="31">#REF!</definedName>
    <definedName name="สีผสมAC" localSheetId="32">#REF!</definedName>
    <definedName name="สีผสมAC" localSheetId="33">#REF!</definedName>
    <definedName name="สีผสมAC" localSheetId="24">#REF!</definedName>
    <definedName name="สีผสมAC" localSheetId="23">#REF!</definedName>
    <definedName name="สีผสมAC" localSheetId="36">#REF!</definedName>
    <definedName name="สีผสมAC" localSheetId="22">#REF!</definedName>
    <definedName name="สีผสมAC" localSheetId="26">#REF!</definedName>
    <definedName name="สีผสมAC" localSheetId="30">#REF!</definedName>
    <definedName name="สีผสมAC" localSheetId="85">#REF!</definedName>
    <definedName name="สีผสมAC" localSheetId="86">#REF!</definedName>
    <definedName name="สีผสมAC" localSheetId="2">#REF!</definedName>
    <definedName name="สีผสมAC">#REF!</definedName>
    <definedName name="สีผสมACไม่รวมขนส่ง" localSheetId="3">#REF!</definedName>
    <definedName name="สีผสมACไม่รวมขนส่ง" localSheetId="4">#REF!</definedName>
    <definedName name="สีผสมACไม่รวมขนส่ง" localSheetId="85">#REF!</definedName>
    <definedName name="สีผสมACไม่รวมขนส่ง" localSheetId="86">#REF!</definedName>
    <definedName name="สีผสมACไม่รวมขนส่ง" localSheetId="2">#REF!</definedName>
    <definedName name="สีผสมACไม่รวมขนส่ง">#REF!</definedName>
    <definedName name="สีอะคริลิกภายใน" localSheetId="3">#REF!</definedName>
    <definedName name="สีอะคริลิกภายใน" localSheetId="2">#REF!</definedName>
    <definedName name="สีอะคริลิกภายใน">#REF!</definedName>
    <definedName name="สีอะครีลิกภายนอก" localSheetId="3">#REF!</definedName>
    <definedName name="สีอะครีลิกภายนอก" localSheetId="2">#REF!</definedName>
    <definedName name="สีอะครีลิกภายนอก">#REF!</definedName>
    <definedName name="หยาบ" localSheetId="3">#REF!</definedName>
    <definedName name="หยาบ" localSheetId="2">#REF!</definedName>
    <definedName name="หยาบ">#REF!</definedName>
    <definedName name="หห" localSheetId="3">#REF!</definedName>
    <definedName name="หห" localSheetId="2">#REF!</definedName>
    <definedName name="หห">#REF!</definedName>
    <definedName name="หินriprap">[50]ราคาวัสดุ!$F$28</definedName>
    <definedName name="หินsingle" localSheetId="3">#REF!</definedName>
    <definedName name="หินsingle" localSheetId="4">#REF!</definedName>
    <definedName name="หินsingle" localSheetId="18">#REF!</definedName>
    <definedName name="หินsingle" localSheetId="19">#REF!</definedName>
    <definedName name="หินsingle" localSheetId="9">#REF!</definedName>
    <definedName name="หินsingle" localSheetId="10">#REF!</definedName>
    <definedName name="หินsingle" localSheetId="11">#REF!</definedName>
    <definedName name="หินsingle" localSheetId="12">#REF!</definedName>
    <definedName name="หินsingle" localSheetId="13">#REF!</definedName>
    <definedName name="หินsingle" localSheetId="14">#REF!</definedName>
    <definedName name="หินsingle" localSheetId="15">#REF!</definedName>
    <definedName name="หินsingle" localSheetId="16">#REF!</definedName>
    <definedName name="หินsingle" localSheetId="17">#REF!</definedName>
    <definedName name="หินsingle" localSheetId="8">#REF!</definedName>
    <definedName name="หินsingle" localSheetId="7">#REF!</definedName>
    <definedName name="หินsingle" localSheetId="6">#REF!</definedName>
    <definedName name="หินsingle" localSheetId="20">#REF!</definedName>
    <definedName name="หินsingle" localSheetId="5">#REF!</definedName>
    <definedName name="หินsingle" localSheetId="21">#REF!</definedName>
    <definedName name="หินsingle" localSheetId="34">#REF!</definedName>
    <definedName name="หินsingle" localSheetId="35">#REF!</definedName>
    <definedName name="หินsingle" localSheetId="25">#REF!</definedName>
    <definedName name="หินsingle" localSheetId="27">#REF!</definedName>
    <definedName name="หินsingle" localSheetId="28">#REF!</definedName>
    <definedName name="หินsingle" localSheetId="29">#REF!</definedName>
    <definedName name="หินsingle" localSheetId="31">#REF!</definedName>
    <definedName name="หินsingle" localSheetId="32">#REF!</definedName>
    <definedName name="หินsingle" localSheetId="33">#REF!</definedName>
    <definedName name="หินsingle" localSheetId="24">#REF!</definedName>
    <definedName name="หินsingle" localSheetId="23">#REF!</definedName>
    <definedName name="หินsingle" localSheetId="36">#REF!</definedName>
    <definedName name="หินsingle" localSheetId="22">#REF!</definedName>
    <definedName name="หินsingle" localSheetId="26">#REF!</definedName>
    <definedName name="หินsingle" localSheetId="30">#REF!</definedName>
    <definedName name="หินsingle" localSheetId="41">#REF!</definedName>
    <definedName name="หินsingle" localSheetId="50">#REF!</definedName>
    <definedName name="หินsingle" localSheetId="51">#REF!</definedName>
    <definedName name="หินsingle" localSheetId="42">#REF!</definedName>
    <definedName name="หินsingle" localSheetId="43">#REF!</definedName>
    <definedName name="หินsingle" localSheetId="44">#REF!</definedName>
    <definedName name="หินsingle" localSheetId="45">#REF!</definedName>
    <definedName name="หินsingle" localSheetId="46">#REF!</definedName>
    <definedName name="หินsingle" localSheetId="47">#REF!</definedName>
    <definedName name="หินsingle" localSheetId="48">#REF!</definedName>
    <definedName name="หินsingle" localSheetId="49">#REF!</definedName>
    <definedName name="หินsingle" localSheetId="52">#REF!</definedName>
    <definedName name="หินsingle" localSheetId="40">#REF!</definedName>
    <definedName name="หินsingle" localSheetId="39">#REF!</definedName>
    <definedName name="หินsingle" localSheetId="38">#REF!</definedName>
    <definedName name="หินsingle" localSheetId="37">#REF!</definedName>
    <definedName name="หินsingle" localSheetId="57">#REF!</definedName>
    <definedName name="หินsingle" localSheetId="66">#REF!</definedName>
    <definedName name="หินsingle" localSheetId="67">#REF!</definedName>
    <definedName name="หินsingle" localSheetId="58">#REF!</definedName>
    <definedName name="หินsingle" localSheetId="59">#REF!</definedName>
    <definedName name="หินsingle" localSheetId="60">#REF!</definedName>
    <definedName name="หินsingle" localSheetId="61">#REF!</definedName>
    <definedName name="หินsingle" localSheetId="62">#REF!</definedName>
    <definedName name="หินsingle" localSheetId="63">#REF!</definedName>
    <definedName name="หินsingle" localSheetId="64">#REF!</definedName>
    <definedName name="หินsingle" localSheetId="65">#REF!</definedName>
    <definedName name="หินsingle" localSheetId="68">#REF!</definedName>
    <definedName name="หินsingle" localSheetId="56">#REF!</definedName>
    <definedName name="หินsingle" localSheetId="55">#REF!</definedName>
    <definedName name="หินsingle" localSheetId="54">#REF!</definedName>
    <definedName name="หินsingle" localSheetId="69">#REF!</definedName>
    <definedName name="หินsingle" localSheetId="53">#REF!</definedName>
    <definedName name="หินsingle" localSheetId="85">#REF!</definedName>
    <definedName name="หินsingle" localSheetId="86">#REF!</definedName>
    <definedName name="หินsingle" localSheetId="2">#REF!</definedName>
    <definedName name="หินsingle">#REF!</definedName>
    <definedName name="หินเกร็ด" localSheetId="3">#REF!</definedName>
    <definedName name="หินเกร็ด" localSheetId="4">#REF!</definedName>
    <definedName name="หินเกร็ด" localSheetId="18">#REF!</definedName>
    <definedName name="หินเกร็ด" localSheetId="19">#REF!</definedName>
    <definedName name="หินเกร็ด" localSheetId="9">#REF!</definedName>
    <definedName name="หินเกร็ด" localSheetId="10">#REF!</definedName>
    <definedName name="หินเกร็ด" localSheetId="11">#REF!</definedName>
    <definedName name="หินเกร็ด" localSheetId="12">#REF!</definedName>
    <definedName name="หินเกร็ด" localSheetId="13">#REF!</definedName>
    <definedName name="หินเกร็ด" localSheetId="14">#REF!</definedName>
    <definedName name="หินเกร็ด" localSheetId="15">#REF!</definedName>
    <definedName name="หินเกร็ด" localSheetId="16">#REF!</definedName>
    <definedName name="หินเกร็ด" localSheetId="17">#REF!</definedName>
    <definedName name="หินเกร็ด" localSheetId="8">#REF!</definedName>
    <definedName name="หินเกร็ด" localSheetId="7">#REF!</definedName>
    <definedName name="หินเกร็ด" localSheetId="6">#REF!</definedName>
    <definedName name="หินเกร็ด" localSheetId="20">#REF!</definedName>
    <definedName name="หินเกร็ด" localSheetId="5">#REF!</definedName>
    <definedName name="หินเกร็ด" localSheetId="21">#REF!</definedName>
    <definedName name="หินเกร็ด" localSheetId="34">#REF!</definedName>
    <definedName name="หินเกร็ด" localSheetId="35">#REF!</definedName>
    <definedName name="หินเกร็ด" localSheetId="25">#REF!</definedName>
    <definedName name="หินเกร็ด" localSheetId="27">#REF!</definedName>
    <definedName name="หินเกร็ด" localSheetId="28">#REF!</definedName>
    <definedName name="หินเกร็ด" localSheetId="29">#REF!</definedName>
    <definedName name="หินเกร็ด" localSheetId="31">#REF!</definedName>
    <definedName name="หินเกร็ด" localSheetId="32">#REF!</definedName>
    <definedName name="หินเกร็ด" localSheetId="33">#REF!</definedName>
    <definedName name="หินเกร็ด" localSheetId="24">#REF!</definedName>
    <definedName name="หินเกร็ด" localSheetId="23">#REF!</definedName>
    <definedName name="หินเกร็ด" localSheetId="36">#REF!</definedName>
    <definedName name="หินเกร็ด" localSheetId="22">#REF!</definedName>
    <definedName name="หินเกร็ด" localSheetId="26">#REF!</definedName>
    <definedName name="หินเกร็ด" localSheetId="30">#REF!</definedName>
    <definedName name="หินเกร็ด" localSheetId="85">#REF!</definedName>
    <definedName name="หินเกร็ด" localSheetId="86">#REF!</definedName>
    <definedName name="หินเกร็ด" localSheetId="2">#REF!</definedName>
    <definedName name="หินเกร็ด">#REF!</definedName>
    <definedName name="หินเกร็ดไม่รวมขนส่ง" localSheetId="3">#REF!</definedName>
    <definedName name="หินเกร็ดไม่รวมขนส่ง" localSheetId="4">#REF!</definedName>
    <definedName name="หินเกร็ดไม่รวมขนส่ง" localSheetId="85">#REF!</definedName>
    <definedName name="หินเกร็ดไม่รวมขนส่ง" localSheetId="86">#REF!</definedName>
    <definedName name="หินเกร็ดไม่รวมขนส่ง" localSheetId="2">#REF!</definedName>
    <definedName name="หินเกร็ดไม่รวมขนส่ง">#REF!</definedName>
    <definedName name="หินเกล็ด" localSheetId="3">#REF!</definedName>
    <definedName name="หินเกล็ด" localSheetId="2">#REF!</definedName>
    <definedName name="หินเกล็ด">#REF!</definedName>
    <definedName name="หินแกรนิตดำ" localSheetId="3">#REF!</definedName>
    <definedName name="หินแกรนิตดำ" localSheetId="2">#REF!</definedName>
    <definedName name="หินแกรนิตดำ">#REF!</definedName>
    <definedName name="หินแข็ง_ดันตัก" localSheetId="3">#REF!</definedName>
    <definedName name="หินแข็ง_ดันตัก" localSheetId="2">#REF!</definedName>
    <definedName name="หินแข็ง_ดันตัก">#REF!</definedName>
    <definedName name="หินแข็ง_ระเบิด" localSheetId="3">#REF!</definedName>
    <definedName name="หินแข็ง_ระเบิด" localSheetId="2">#REF!</definedName>
    <definedName name="หินแข็ง_ระเบิด">#REF!</definedName>
    <definedName name="หินแอสฟัลท์" localSheetId="3">#REF!</definedName>
    <definedName name="หินแอสฟัลท์" localSheetId="2">#REF!</definedName>
    <definedName name="หินแอสฟัลท์">#REF!</definedName>
    <definedName name="หินโม่ผสมคอนกรีต" localSheetId="3">#REF!</definedName>
    <definedName name="หินโม่ผสมคอนกรีต" localSheetId="2">#REF!</definedName>
    <definedName name="หินโม่ผสมคอนกรีต">#REF!</definedName>
    <definedName name="หินโม่ผสมคอนกรีตไม่รวมขนส่ง" localSheetId="3">#REF!</definedName>
    <definedName name="หินโม่ผสมคอนกรีตไม่รวมขนส่ง" localSheetId="2">#REF!</definedName>
    <definedName name="หินโม่ผสมคอนกรีตไม่รวมขนส่ง">#REF!</definedName>
    <definedName name="หินใหญ่" localSheetId="3">#REF!</definedName>
    <definedName name="หินใหญ่" localSheetId="2">#REF!</definedName>
    <definedName name="หินใหญ่">#REF!</definedName>
    <definedName name="หินใหญ่ไม่รวมขนส่ง" localSheetId="3">#REF!</definedName>
    <definedName name="หินใหญ่ไม่รวมขนส่ง" localSheetId="2">#REF!</definedName>
    <definedName name="หินใหญ่ไม่รวมขนส่ง">#REF!</definedName>
    <definedName name="หินคละ" localSheetId="3">#REF!</definedName>
    <definedName name="หินคละ" localSheetId="2">#REF!</definedName>
    <definedName name="หินคละ">#REF!</definedName>
    <definedName name="หินคละไม่รวมขนส่ง" localSheetId="3">#REF!</definedName>
    <definedName name="หินคละไม่รวมขนส่ง" localSheetId="2">#REF!</definedName>
    <definedName name="หินคละไม่รวมขนส่ง">#REF!</definedName>
    <definedName name="หินผสม" localSheetId="3">#REF!</definedName>
    <definedName name="หินผสม" localSheetId="2">#REF!</definedName>
    <definedName name="หินผสม">#REF!</definedName>
    <definedName name="หินผุ_ขุดตัก" localSheetId="3">#REF!</definedName>
    <definedName name="หินผุ_ขุดตัก" localSheetId="2">#REF!</definedName>
    <definedName name="หินผุ_ขุดตัก">#REF!</definedName>
    <definedName name="หินผุ_ดันตัก" localSheetId="3">#REF!</definedName>
    <definedName name="หินผุ_ดันตัก" localSheetId="2">#REF!</definedName>
    <definedName name="หินผุ_ดันตัก">#REF!</definedName>
    <definedName name="หินฝุ่น" localSheetId="3">#REF!</definedName>
    <definedName name="หินฝุ่น" localSheetId="2">#REF!</definedName>
    <definedName name="หินฝุ่น">#REF!</definedName>
    <definedName name="หินฝุ่นไม่รวมขนส่ง" localSheetId="3">#REF!</definedName>
    <definedName name="หินฝุ่นไม่รวมขนส่ง" localSheetId="2">#REF!</definedName>
    <definedName name="หินฝุ่นไม่รวมขนส่ง">#REF!</definedName>
    <definedName name="หินย่อยเบอร์1" localSheetId="3">#REF!</definedName>
    <definedName name="หินย่อยเบอร์1" localSheetId="2">#REF!</definedName>
    <definedName name="หินย่อยเบอร์1">#REF!</definedName>
    <definedName name="หินย่อยเบอร์1ไม่รวมขนส่ง" localSheetId="3">#REF!</definedName>
    <definedName name="หินย่อยเบอร์1ไม่รวมขนส่ง" localSheetId="2">#REF!</definedName>
    <definedName name="หินย่อยเบอร์1ไม่รวมขนส่ง">#REF!</definedName>
    <definedName name="หินย่อยเบอร์2" localSheetId="3">#REF!</definedName>
    <definedName name="หินย่อยเบอร์2" localSheetId="2">#REF!</definedName>
    <definedName name="หินย่อยเบอร์2">#REF!</definedName>
    <definedName name="หินย่อยเบอร์2ไม่รวมขนส่ง" localSheetId="3">#REF!</definedName>
    <definedName name="หินย่อยเบอร์2ไม่รวมขนส่ง" localSheetId="2">#REF!</definedName>
    <definedName name="หินย่อยเบอร์2ไม่รวมขนส่ง">#REF!</definedName>
    <definedName name="อินทผาลัมใบเงิน" localSheetId="3">#REF!</definedName>
    <definedName name="อินทผาลัมใบเงิน" localSheetId="2">#REF!</definedName>
    <definedName name="อินทผาลัมใบเงิน">#REF!</definedName>
    <definedName name="อินทผาลัมใบเงิน_" localSheetId="3">'[45]หมวด 10'!#REF!</definedName>
    <definedName name="อินทผาลัมใบเงิน_" localSheetId="2">'[45]หมวด 10'!#REF!</definedName>
    <definedName name="อินทผาลัมใบเงิน_">'[45]หมวด 10'!#REF!</definedName>
    <definedName name="านรื้อผิวจราจรคอนกรีต" localSheetId="3">#REF!</definedName>
    <definedName name="านรื้อผิวจราจรคอนกรีต" localSheetId="4">#REF!</definedName>
    <definedName name="านรื้อผิวจราจรคอนกรีต" localSheetId="18">#REF!</definedName>
    <definedName name="านรื้อผิวจราจรคอนกรีต" localSheetId="19">#REF!</definedName>
    <definedName name="านรื้อผิวจราจรคอนกรีต" localSheetId="9">#REF!</definedName>
    <definedName name="านรื้อผิวจราจรคอนกรีต" localSheetId="10">#REF!</definedName>
    <definedName name="านรื้อผิวจราจรคอนกรีต" localSheetId="11">#REF!</definedName>
    <definedName name="านรื้อผิวจราจรคอนกรีต" localSheetId="12">#REF!</definedName>
    <definedName name="านรื้อผิวจราจรคอนกรีต" localSheetId="13">#REF!</definedName>
    <definedName name="านรื้อผิวจราจรคอนกรีต" localSheetId="14">#REF!</definedName>
    <definedName name="านรื้อผิวจราจรคอนกรีต" localSheetId="15">#REF!</definedName>
    <definedName name="านรื้อผิวจราจรคอนกรีต" localSheetId="16">#REF!</definedName>
    <definedName name="านรื้อผิวจราจรคอนกรีต" localSheetId="17">#REF!</definedName>
    <definedName name="านรื้อผิวจราจรคอนกรีต" localSheetId="8">#REF!</definedName>
    <definedName name="านรื้อผิวจราจรคอนกรีต" localSheetId="7">#REF!</definedName>
    <definedName name="านรื้อผิวจราจรคอนกรีต" localSheetId="6">#REF!</definedName>
    <definedName name="านรื้อผิวจราจรคอนกรีต" localSheetId="20">#REF!</definedName>
    <definedName name="านรื้อผิวจราจรคอนกรีต" localSheetId="5">#REF!</definedName>
    <definedName name="านรื้อผิวจราจรคอนกรีต" localSheetId="21">#REF!</definedName>
    <definedName name="านรื้อผิวจราจรคอนกรีต" localSheetId="34">#REF!</definedName>
    <definedName name="านรื้อผิวจราจรคอนกรีต" localSheetId="35">#REF!</definedName>
    <definedName name="านรื้อผิวจราจรคอนกรีต" localSheetId="25">#REF!</definedName>
    <definedName name="านรื้อผิวจราจรคอนกรีต" localSheetId="27">#REF!</definedName>
    <definedName name="านรื้อผิวจราจรคอนกรีต" localSheetId="28">#REF!</definedName>
    <definedName name="านรื้อผิวจราจรคอนกรีต" localSheetId="29">#REF!</definedName>
    <definedName name="านรื้อผิวจราจรคอนกรีต" localSheetId="31">#REF!</definedName>
    <definedName name="านรื้อผิวจราจรคอนกรีต" localSheetId="32">#REF!</definedName>
    <definedName name="านรื้อผิวจราจรคอนกรีต" localSheetId="33">#REF!</definedName>
    <definedName name="านรื้อผิวจราจรคอนกรีต" localSheetId="24">#REF!</definedName>
    <definedName name="านรื้อผิวจราจรคอนกรีต" localSheetId="23">#REF!</definedName>
    <definedName name="านรื้อผิวจราจรคอนกรีต" localSheetId="36">#REF!</definedName>
    <definedName name="านรื้อผิวจราจรคอนกรีต" localSheetId="22">#REF!</definedName>
    <definedName name="านรื้อผิวจราจรคอนกรีต" localSheetId="26">#REF!</definedName>
    <definedName name="านรื้อผิวจราจรคอนกรีต" localSheetId="30">#REF!</definedName>
    <definedName name="านรื้อผิวจราจรคอนกรีต" localSheetId="41">#REF!</definedName>
    <definedName name="านรื้อผิวจราจรคอนกรีต" localSheetId="50">#REF!</definedName>
    <definedName name="านรื้อผิวจราจรคอนกรีต" localSheetId="51">#REF!</definedName>
    <definedName name="านรื้อผิวจราจรคอนกรีต" localSheetId="42">#REF!</definedName>
    <definedName name="านรื้อผิวจราจรคอนกรีต" localSheetId="43">#REF!</definedName>
    <definedName name="านรื้อผิวจราจรคอนกรีต" localSheetId="44">#REF!</definedName>
    <definedName name="านรื้อผิวจราจรคอนกรีต" localSheetId="45">#REF!</definedName>
    <definedName name="านรื้อผิวจราจรคอนกรีต" localSheetId="46">#REF!</definedName>
    <definedName name="านรื้อผิวจราจรคอนกรีต" localSheetId="47">#REF!</definedName>
    <definedName name="านรื้อผิวจราจรคอนกรีต" localSheetId="48">#REF!</definedName>
    <definedName name="านรื้อผิวจราจรคอนกรีต" localSheetId="49">#REF!</definedName>
    <definedName name="านรื้อผิวจราจรคอนกรีต" localSheetId="52">#REF!</definedName>
    <definedName name="านรื้อผิวจราจรคอนกรีต" localSheetId="40">#REF!</definedName>
    <definedName name="านรื้อผิวจราจรคอนกรีต" localSheetId="39">#REF!</definedName>
    <definedName name="านรื้อผิวจราจรคอนกรีต" localSheetId="38">#REF!</definedName>
    <definedName name="านรื้อผิวจราจรคอนกรีต" localSheetId="37">#REF!</definedName>
    <definedName name="านรื้อผิวจราจรคอนกรีต" localSheetId="57">#REF!</definedName>
    <definedName name="านรื้อผิวจราจรคอนกรีต" localSheetId="66">#REF!</definedName>
    <definedName name="านรื้อผิวจราจรคอนกรีต" localSheetId="67">#REF!</definedName>
    <definedName name="านรื้อผิวจราจรคอนกรีต" localSheetId="58">#REF!</definedName>
    <definedName name="านรื้อผิวจราจรคอนกรีต" localSheetId="59">#REF!</definedName>
    <definedName name="านรื้อผิวจราจรคอนกรีต" localSheetId="60">#REF!</definedName>
    <definedName name="านรื้อผิวจราจรคอนกรีต" localSheetId="61">#REF!</definedName>
    <definedName name="านรื้อผิวจราจรคอนกรีต" localSheetId="62">#REF!</definedName>
    <definedName name="านรื้อผิวจราจรคอนกรีต" localSheetId="63">#REF!</definedName>
    <definedName name="านรื้อผิวจราจรคอนกรีต" localSheetId="64">#REF!</definedName>
    <definedName name="านรื้อผิวจราจรคอนกรีต" localSheetId="65">#REF!</definedName>
    <definedName name="านรื้อผิวจราจรคอนกรีต" localSheetId="68">#REF!</definedName>
    <definedName name="านรื้อผิวจราจรคอนกรีต" localSheetId="56">#REF!</definedName>
    <definedName name="านรื้อผิวจราจรคอนกรีต" localSheetId="55">#REF!</definedName>
    <definedName name="านรื้อผิวจราจรคอนกรีต" localSheetId="54">#REF!</definedName>
    <definedName name="านรื้อผิวจราจรคอนกรีต" localSheetId="69">#REF!</definedName>
    <definedName name="านรื้อผิวจราจรคอนกรีต" localSheetId="53">#REF!</definedName>
    <definedName name="านรื้อผิวจราจรคอนกรีต" localSheetId="85">#REF!</definedName>
    <definedName name="านรื้อผิวจราจรคอนกรีต" localSheetId="86">#REF!</definedName>
    <definedName name="านรื้อผิวจราจรคอนกรีต" localSheetId="2">#REF!</definedName>
    <definedName name="านรื้อผิวจราจรคอนกรีต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6" i="847" l="1"/>
  <c r="J342" i="847"/>
  <c r="K342" i="847" s="1"/>
  <c r="H342" i="847"/>
  <c r="G343" i="847" s="1"/>
  <c r="J339" i="847"/>
  <c r="H339" i="847"/>
  <c r="K339" i="847" s="1"/>
  <c r="J338" i="847"/>
  <c r="H338" i="847"/>
  <c r="I336" i="847"/>
  <c r="J336" i="847" s="1"/>
  <c r="K336" i="847" s="1"/>
  <c r="H336" i="847"/>
  <c r="I335" i="847"/>
  <c r="J335" i="847" s="1"/>
  <c r="H335" i="847"/>
  <c r="I334" i="847"/>
  <c r="J334" i="847" s="1"/>
  <c r="H334" i="847"/>
  <c r="I333" i="847"/>
  <c r="J333" i="847" s="1"/>
  <c r="K333" i="847" s="1"/>
  <c r="H333" i="847"/>
  <c r="I332" i="847"/>
  <c r="J332" i="847" s="1"/>
  <c r="H332" i="847"/>
  <c r="I331" i="847"/>
  <c r="J331" i="847" s="1"/>
  <c r="H331" i="847"/>
  <c r="I330" i="847"/>
  <c r="J330" i="847" s="1"/>
  <c r="K330" i="847" s="1"/>
  <c r="H330" i="847"/>
  <c r="I328" i="847"/>
  <c r="J328" i="847" s="1"/>
  <c r="H328" i="847"/>
  <c r="I327" i="847"/>
  <c r="J327" i="847" s="1"/>
  <c r="H327" i="847"/>
  <c r="I326" i="847"/>
  <c r="J326" i="847" s="1"/>
  <c r="K326" i="847" s="1"/>
  <c r="H326" i="847"/>
  <c r="I325" i="847"/>
  <c r="J325" i="847" s="1"/>
  <c r="H325" i="847"/>
  <c r="B322" i="847"/>
  <c r="K319" i="847"/>
  <c r="J319" i="847"/>
  <c r="H319" i="847"/>
  <c r="J318" i="847"/>
  <c r="K318" i="847" s="1"/>
  <c r="H318" i="847"/>
  <c r="G317" i="847"/>
  <c r="O316" i="847"/>
  <c r="K316" i="847"/>
  <c r="J316" i="847"/>
  <c r="H316" i="847"/>
  <c r="O315" i="847"/>
  <c r="K315" i="847"/>
  <c r="J315" i="847"/>
  <c r="H315" i="847"/>
  <c r="K314" i="847"/>
  <c r="J314" i="847"/>
  <c r="H314" i="847"/>
  <c r="O312" i="847"/>
  <c r="K312" i="847"/>
  <c r="J312" i="847"/>
  <c r="H312" i="847"/>
  <c r="G313" i="847" s="1"/>
  <c r="K311" i="847"/>
  <c r="J311" i="847"/>
  <c r="H311" i="847"/>
  <c r="J309" i="847"/>
  <c r="K309" i="847" s="1"/>
  <c r="H309" i="847"/>
  <c r="J308" i="847"/>
  <c r="H308" i="847"/>
  <c r="K308" i="847" s="1"/>
  <c r="J307" i="847"/>
  <c r="H307" i="847"/>
  <c r="K306" i="847"/>
  <c r="J306" i="847"/>
  <c r="H306" i="847"/>
  <c r="J305" i="847"/>
  <c r="K305" i="847" s="1"/>
  <c r="H305" i="847"/>
  <c r="J304" i="847"/>
  <c r="H304" i="847"/>
  <c r="K304" i="847" s="1"/>
  <c r="J303" i="847"/>
  <c r="H303" i="847"/>
  <c r="K303" i="847" s="1"/>
  <c r="K302" i="847"/>
  <c r="J302" i="847"/>
  <c r="H302" i="847"/>
  <c r="J301" i="847"/>
  <c r="K301" i="847" s="1"/>
  <c r="H301" i="847"/>
  <c r="J300" i="847"/>
  <c r="H300" i="847"/>
  <c r="K300" i="847" s="1"/>
  <c r="J299" i="847"/>
  <c r="H299" i="847"/>
  <c r="G299" i="847"/>
  <c r="J298" i="847"/>
  <c r="H298" i="847"/>
  <c r="K298" i="847" s="1"/>
  <c r="K297" i="847"/>
  <c r="J297" i="847"/>
  <c r="H297" i="847"/>
  <c r="K296" i="847"/>
  <c r="J296" i="847"/>
  <c r="H296" i="847"/>
  <c r="J295" i="847"/>
  <c r="K295" i="847" s="1"/>
  <c r="H295" i="847"/>
  <c r="J294" i="847"/>
  <c r="H294" i="847"/>
  <c r="K294" i="847" s="1"/>
  <c r="K293" i="847"/>
  <c r="J293" i="847"/>
  <c r="H293" i="847"/>
  <c r="K292" i="847"/>
  <c r="J292" i="847"/>
  <c r="H292" i="847"/>
  <c r="J291" i="847"/>
  <c r="K291" i="847" s="1"/>
  <c r="H291" i="847"/>
  <c r="J290" i="847"/>
  <c r="H290" i="847"/>
  <c r="K290" i="847" s="1"/>
  <c r="K289" i="847"/>
  <c r="J289" i="847"/>
  <c r="H289" i="847"/>
  <c r="K288" i="847"/>
  <c r="J288" i="847"/>
  <c r="H288" i="847"/>
  <c r="B286" i="847"/>
  <c r="K281" i="847"/>
  <c r="J281" i="847"/>
  <c r="H281" i="847"/>
  <c r="J280" i="847"/>
  <c r="K280" i="847" s="1"/>
  <c r="H280" i="847"/>
  <c r="K279" i="847"/>
  <c r="J279" i="847"/>
  <c r="H279" i="847"/>
  <c r="J278" i="847"/>
  <c r="H278" i="847"/>
  <c r="K278" i="847" s="1"/>
  <c r="K277" i="847"/>
  <c r="J277" i="847"/>
  <c r="H277" i="847"/>
  <c r="K276" i="847"/>
  <c r="J276" i="847"/>
  <c r="H276" i="847"/>
  <c r="K275" i="847"/>
  <c r="J275" i="847"/>
  <c r="H275" i="847"/>
  <c r="J274" i="847"/>
  <c r="H274" i="847"/>
  <c r="K274" i="847" s="1"/>
  <c r="K273" i="847"/>
  <c r="J273" i="847"/>
  <c r="H273" i="847"/>
  <c r="J272" i="847"/>
  <c r="K272" i="847" s="1"/>
  <c r="H272" i="847"/>
  <c r="K271" i="847"/>
  <c r="J271" i="847"/>
  <c r="H271" i="847"/>
  <c r="J270" i="847"/>
  <c r="H270" i="847"/>
  <c r="K270" i="847" s="1"/>
  <c r="K269" i="847"/>
  <c r="J269" i="847"/>
  <c r="H269" i="847"/>
  <c r="K268" i="847"/>
  <c r="J268" i="847"/>
  <c r="H268" i="847"/>
  <c r="K267" i="847"/>
  <c r="J267" i="847"/>
  <c r="H267" i="847"/>
  <c r="J266" i="847"/>
  <c r="H266" i="847"/>
  <c r="K266" i="847" s="1"/>
  <c r="K265" i="847"/>
  <c r="J265" i="847"/>
  <c r="H265" i="847"/>
  <c r="J264" i="847"/>
  <c r="K264" i="847" s="1"/>
  <c r="H264" i="847"/>
  <c r="K263" i="847"/>
  <c r="J263" i="847"/>
  <c r="H263" i="847"/>
  <c r="J262" i="847"/>
  <c r="H262" i="847"/>
  <c r="K262" i="847" s="1"/>
  <c r="K261" i="847"/>
  <c r="J261" i="847"/>
  <c r="H261" i="847"/>
  <c r="J260" i="847"/>
  <c r="H260" i="847"/>
  <c r="K259" i="847"/>
  <c r="J259" i="847"/>
  <c r="H259" i="847"/>
  <c r="G282" i="847" s="1"/>
  <c r="B257" i="847"/>
  <c r="I254" i="847"/>
  <c r="J254" i="847" s="1"/>
  <c r="H254" i="847"/>
  <c r="G254" i="847"/>
  <c r="H253" i="847"/>
  <c r="G253" i="847"/>
  <c r="I253" i="847" s="1"/>
  <c r="J253" i="847" s="1"/>
  <c r="J257" i="847" s="1"/>
  <c r="J18" i="847" s="1"/>
  <c r="B250" i="847"/>
  <c r="J247" i="847"/>
  <c r="K247" i="847" s="1"/>
  <c r="H247" i="847"/>
  <c r="K246" i="847"/>
  <c r="J246" i="847"/>
  <c r="H246" i="847"/>
  <c r="J245" i="847"/>
  <c r="H245" i="847"/>
  <c r="K245" i="847" s="1"/>
  <c r="K244" i="847"/>
  <c r="J244" i="847"/>
  <c r="H244" i="847"/>
  <c r="J243" i="847"/>
  <c r="K243" i="847" s="1"/>
  <c r="H243" i="847"/>
  <c r="J242" i="847"/>
  <c r="H242" i="847"/>
  <c r="K242" i="847" s="1"/>
  <c r="J241" i="847"/>
  <c r="H241" i="847"/>
  <c r="K241" i="847" s="1"/>
  <c r="K240" i="847"/>
  <c r="J240" i="847"/>
  <c r="H240" i="847"/>
  <c r="J239" i="847"/>
  <c r="H239" i="847"/>
  <c r="J238" i="847"/>
  <c r="H238" i="847"/>
  <c r="K238" i="847" s="1"/>
  <c r="B235" i="847"/>
  <c r="I233" i="847"/>
  <c r="J233" i="847" s="1"/>
  <c r="J232" i="847"/>
  <c r="H232" i="847"/>
  <c r="K232" i="847" s="1"/>
  <c r="J231" i="847"/>
  <c r="H231" i="847"/>
  <c r="K231" i="847" s="1"/>
  <c r="K230" i="847"/>
  <c r="J230" i="847"/>
  <c r="H230" i="847"/>
  <c r="G233" i="847" s="1"/>
  <c r="H233" i="847" s="1"/>
  <c r="K233" i="847" s="1"/>
  <c r="J229" i="847"/>
  <c r="H229" i="847"/>
  <c r="O227" i="847"/>
  <c r="J227" i="847"/>
  <c r="K227" i="847" s="1"/>
  <c r="H227" i="847"/>
  <c r="O226" i="847"/>
  <c r="J226" i="847"/>
  <c r="K226" i="847" s="1"/>
  <c r="H226" i="847"/>
  <c r="O225" i="847"/>
  <c r="J225" i="847"/>
  <c r="H225" i="847"/>
  <c r="K225" i="847" s="1"/>
  <c r="J224" i="847"/>
  <c r="H224" i="847"/>
  <c r="G223" i="847"/>
  <c r="I223" i="847" s="1"/>
  <c r="J223" i="847" s="1"/>
  <c r="K222" i="847"/>
  <c r="J222" i="847"/>
  <c r="H222" i="847"/>
  <c r="J221" i="847"/>
  <c r="H221" i="847"/>
  <c r="J220" i="847"/>
  <c r="H220" i="847"/>
  <c r="B218" i="847"/>
  <c r="J215" i="847"/>
  <c r="H215" i="847"/>
  <c r="K215" i="847" s="1"/>
  <c r="K214" i="847"/>
  <c r="J214" i="847"/>
  <c r="H214" i="847"/>
  <c r="J213" i="847"/>
  <c r="K213" i="847" s="1"/>
  <c r="H213" i="847"/>
  <c r="J212" i="847"/>
  <c r="H212" i="847"/>
  <c r="J211" i="847"/>
  <c r="H211" i="847"/>
  <c r="K211" i="847" s="1"/>
  <c r="J210" i="847"/>
  <c r="K210" i="847" s="1"/>
  <c r="H210" i="847"/>
  <c r="J209" i="847"/>
  <c r="H209" i="847"/>
  <c r="O208" i="847"/>
  <c r="K208" i="847"/>
  <c r="J208" i="847"/>
  <c r="H208" i="847"/>
  <c r="O207" i="847"/>
  <c r="J207" i="847"/>
  <c r="H207" i="847"/>
  <c r="K207" i="847" s="1"/>
  <c r="O206" i="847"/>
  <c r="J206" i="847"/>
  <c r="H206" i="847"/>
  <c r="K206" i="847" s="1"/>
  <c r="O205" i="847"/>
  <c r="K205" i="847"/>
  <c r="J205" i="847"/>
  <c r="H205" i="847"/>
  <c r="J204" i="847"/>
  <c r="H204" i="847"/>
  <c r="J203" i="847"/>
  <c r="H203" i="847"/>
  <c r="B202" i="847"/>
  <c r="K198" i="847"/>
  <c r="J198" i="847"/>
  <c r="H198" i="847"/>
  <c r="J197" i="847"/>
  <c r="H197" i="847"/>
  <c r="K197" i="847" s="1"/>
  <c r="J196" i="847"/>
  <c r="H196" i="847"/>
  <c r="K196" i="847" s="1"/>
  <c r="J195" i="847"/>
  <c r="H195" i="847"/>
  <c r="K195" i="847" s="1"/>
  <c r="K194" i="847"/>
  <c r="J194" i="847"/>
  <c r="H194" i="847"/>
  <c r="J193" i="847"/>
  <c r="H193" i="847"/>
  <c r="K193" i="847" s="1"/>
  <c r="J192" i="847"/>
  <c r="H192" i="847"/>
  <c r="K192" i="847" s="1"/>
  <c r="J191" i="847"/>
  <c r="H191" i="847"/>
  <c r="K191" i="847" s="1"/>
  <c r="K190" i="847"/>
  <c r="J190" i="847"/>
  <c r="H190" i="847"/>
  <c r="J189" i="847"/>
  <c r="H189" i="847"/>
  <c r="K189" i="847" s="1"/>
  <c r="J188" i="847"/>
  <c r="H188" i="847"/>
  <c r="K188" i="847" s="1"/>
  <c r="J187" i="847"/>
  <c r="H187" i="847"/>
  <c r="K187" i="847" s="1"/>
  <c r="K186" i="847"/>
  <c r="J186" i="847"/>
  <c r="H186" i="847"/>
  <c r="J185" i="847"/>
  <c r="H185" i="847"/>
  <c r="K185" i="847" s="1"/>
  <c r="J184" i="847"/>
  <c r="H184" i="847"/>
  <c r="K184" i="847" s="1"/>
  <c r="J183" i="847"/>
  <c r="H183" i="847"/>
  <c r="K183" i="847" s="1"/>
  <c r="K182" i="847"/>
  <c r="J182" i="847"/>
  <c r="H182" i="847"/>
  <c r="J181" i="847"/>
  <c r="H181" i="847"/>
  <c r="K181" i="847" s="1"/>
  <c r="J180" i="847"/>
  <c r="H180" i="847"/>
  <c r="K180" i="847" s="1"/>
  <c r="J179" i="847"/>
  <c r="H179" i="847"/>
  <c r="K179" i="847" s="1"/>
  <c r="K176" i="847"/>
  <c r="J176" i="847"/>
  <c r="H176" i="847"/>
  <c r="J175" i="847"/>
  <c r="H175" i="847"/>
  <c r="K175" i="847" s="1"/>
  <c r="J174" i="847"/>
  <c r="H174" i="847"/>
  <c r="K174" i="847" s="1"/>
  <c r="J173" i="847"/>
  <c r="H173" i="847"/>
  <c r="K173" i="847" s="1"/>
  <c r="K172" i="847"/>
  <c r="J172" i="847"/>
  <c r="H172" i="847"/>
  <c r="J171" i="847"/>
  <c r="H171" i="847"/>
  <c r="K171" i="847" s="1"/>
  <c r="J170" i="847"/>
  <c r="H170" i="847"/>
  <c r="K170" i="847" s="1"/>
  <c r="J169" i="847"/>
  <c r="H169" i="847"/>
  <c r="K169" i="847" s="1"/>
  <c r="K168" i="847"/>
  <c r="J168" i="847"/>
  <c r="H168" i="847"/>
  <c r="J167" i="847"/>
  <c r="H167" i="847"/>
  <c r="K167" i="847" s="1"/>
  <c r="J166" i="847"/>
  <c r="H166" i="847"/>
  <c r="K166" i="847" s="1"/>
  <c r="J165" i="847"/>
  <c r="H165" i="847"/>
  <c r="K165" i="847" s="1"/>
  <c r="K164" i="847"/>
  <c r="J164" i="847"/>
  <c r="H164" i="847"/>
  <c r="J163" i="847"/>
  <c r="H163" i="847"/>
  <c r="K163" i="847" s="1"/>
  <c r="J162" i="847"/>
  <c r="H162" i="847"/>
  <c r="K162" i="847" s="1"/>
  <c r="J161" i="847"/>
  <c r="H161" i="847"/>
  <c r="K161" i="847" s="1"/>
  <c r="K160" i="847"/>
  <c r="J160" i="847"/>
  <c r="H160" i="847"/>
  <c r="J159" i="847"/>
  <c r="H159" i="847"/>
  <c r="K159" i="847" s="1"/>
  <c r="J158" i="847"/>
  <c r="H158" i="847"/>
  <c r="K158" i="847" s="1"/>
  <c r="J157" i="847"/>
  <c r="H157" i="847"/>
  <c r="K157" i="847" s="1"/>
  <c r="K156" i="847"/>
  <c r="J156" i="847"/>
  <c r="J202" i="847" s="1"/>
  <c r="J14" i="847" s="1"/>
  <c r="H156" i="847"/>
  <c r="B154" i="847"/>
  <c r="J144" i="847"/>
  <c r="K144" i="847" s="1"/>
  <c r="I144" i="847"/>
  <c r="H144" i="847"/>
  <c r="K143" i="847"/>
  <c r="H143" i="847"/>
  <c r="K142" i="847"/>
  <c r="H142" i="847"/>
  <c r="H141" i="847"/>
  <c r="K141" i="847" s="1"/>
  <c r="H140" i="847"/>
  <c r="K140" i="847" s="1"/>
  <c r="H139" i="847"/>
  <c r="K139" i="847" s="1"/>
  <c r="H138" i="847"/>
  <c r="K138" i="847" s="1"/>
  <c r="H137" i="847"/>
  <c r="K137" i="847" s="1"/>
  <c r="K136" i="847"/>
  <c r="H136" i="847"/>
  <c r="H135" i="847"/>
  <c r="K135" i="847" s="1"/>
  <c r="H134" i="847"/>
  <c r="K134" i="847" s="1"/>
  <c r="H133" i="847"/>
  <c r="K133" i="847" s="1"/>
  <c r="H132" i="847"/>
  <c r="K132" i="847" s="1"/>
  <c r="K131" i="847"/>
  <c r="H131" i="847"/>
  <c r="K130" i="847"/>
  <c r="H130" i="847"/>
  <c r="H129" i="847"/>
  <c r="K129" i="847" s="1"/>
  <c r="H128" i="847"/>
  <c r="K128" i="847" s="1"/>
  <c r="H127" i="847"/>
  <c r="K127" i="847" s="1"/>
  <c r="H126" i="847"/>
  <c r="K126" i="847" s="1"/>
  <c r="K125" i="847"/>
  <c r="H125" i="847"/>
  <c r="K124" i="847"/>
  <c r="H124" i="847"/>
  <c r="H123" i="847"/>
  <c r="K123" i="847" s="1"/>
  <c r="H122" i="847"/>
  <c r="K122" i="847" s="1"/>
  <c r="J119" i="847"/>
  <c r="K119" i="847" s="1"/>
  <c r="I119" i="847"/>
  <c r="H119" i="847"/>
  <c r="K118" i="847"/>
  <c r="H118" i="847"/>
  <c r="K117" i="847"/>
  <c r="H117" i="847"/>
  <c r="H116" i="847"/>
  <c r="K116" i="847" s="1"/>
  <c r="H115" i="847"/>
  <c r="K115" i="847" s="1"/>
  <c r="H114" i="847"/>
  <c r="K114" i="847" s="1"/>
  <c r="H113" i="847"/>
  <c r="K113" i="847" s="1"/>
  <c r="H112" i="847"/>
  <c r="K112" i="847" s="1"/>
  <c r="K111" i="847"/>
  <c r="H111" i="847"/>
  <c r="H110" i="847"/>
  <c r="K110" i="847" s="1"/>
  <c r="H109" i="847"/>
  <c r="K109" i="847" s="1"/>
  <c r="H108" i="847"/>
  <c r="K108" i="847" s="1"/>
  <c r="H107" i="847"/>
  <c r="K107" i="847" s="1"/>
  <c r="H106" i="847"/>
  <c r="K106" i="847" s="1"/>
  <c r="K105" i="847"/>
  <c r="H105" i="847"/>
  <c r="H104" i="847"/>
  <c r="K104" i="847" s="1"/>
  <c r="H103" i="847"/>
  <c r="K103" i="847" s="1"/>
  <c r="H102" i="847"/>
  <c r="K102" i="847" s="1"/>
  <c r="H101" i="847"/>
  <c r="K101" i="847" s="1"/>
  <c r="K100" i="847"/>
  <c r="H100" i="847"/>
  <c r="K99" i="847"/>
  <c r="H99" i="847"/>
  <c r="H98" i="847"/>
  <c r="K98" i="847" s="1"/>
  <c r="H97" i="847"/>
  <c r="K97" i="847" s="1"/>
  <c r="J94" i="847"/>
  <c r="K94" i="847" s="1"/>
  <c r="I94" i="847"/>
  <c r="H94" i="847"/>
  <c r="K93" i="847"/>
  <c r="H93" i="847"/>
  <c r="K92" i="847"/>
  <c r="H92" i="847"/>
  <c r="H91" i="847"/>
  <c r="K91" i="847" s="1"/>
  <c r="H90" i="847"/>
  <c r="K90" i="847" s="1"/>
  <c r="H89" i="847"/>
  <c r="K89" i="847" s="1"/>
  <c r="H88" i="847"/>
  <c r="K88" i="847" s="1"/>
  <c r="K87" i="847"/>
  <c r="H87" i="847"/>
  <c r="H86" i="847"/>
  <c r="K86" i="847" s="1"/>
  <c r="H85" i="847"/>
  <c r="K85" i="847" s="1"/>
  <c r="H84" i="847"/>
  <c r="K84" i="847" s="1"/>
  <c r="H83" i="847"/>
  <c r="K83" i="847" s="1"/>
  <c r="H82" i="847"/>
  <c r="K82" i="847" s="1"/>
  <c r="K81" i="847"/>
  <c r="H81" i="847"/>
  <c r="H80" i="847"/>
  <c r="K80" i="847" s="1"/>
  <c r="H79" i="847"/>
  <c r="K79" i="847" s="1"/>
  <c r="H78" i="847"/>
  <c r="K78" i="847" s="1"/>
  <c r="H77" i="847"/>
  <c r="K77" i="847" s="1"/>
  <c r="H76" i="847"/>
  <c r="K76" i="847" s="1"/>
  <c r="K75" i="847"/>
  <c r="H75" i="847"/>
  <c r="H74" i="847"/>
  <c r="K74" i="847" s="1"/>
  <c r="H73" i="847"/>
  <c r="K73" i="847" s="1"/>
  <c r="H72" i="847"/>
  <c r="K72" i="847" s="1"/>
  <c r="J69" i="847"/>
  <c r="J154" i="847" s="1"/>
  <c r="J13" i="847" s="1"/>
  <c r="I69" i="847"/>
  <c r="H69" i="847"/>
  <c r="K68" i="847"/>
  <c r="H68" i="847"/>
  <c r="H67" i="847"/>
  <c r="K67" i="847" s="1"/>
  <c r="H66" i="847"/>
  <c r="K66" i="847" s="1"/>
  <c r="H65" i="847"/>
  <c r="K65" i="847" s="1"/>
  <c r="H64" i="847"/>
  <c r="K64" i="847" s="1"/>
  <c r="H63" i="847"/>
  <c r="K63" i="847" s="1"/>
  <c r="H62" i="847"/>
  <c r="K62" i="847" s="1"/>
  <c r="H61" i="847"/>
  <c r="K61" i="847" s="1"/>
  <c r="H60" i="847"/>
  <c r="K60" i="847" s="1"/>
  <c r="H59" i="847"/>
  <c r="K59" i="847" s="1"/>
  <c r="H58" i="847"/>
  <c r="K58" i="847" s="1"/>
  <c r="H57" i="847"/>
  <c r="K57" i="847" s="1"/>
  <c r="K56" i="847"/>
  <c r="H56" i="847"/>
  <c r="H55" i="847"/>
  <c r="K55" i="847" s="1"/>
  <c r="H54" i="847"/>
  <c r="K54" i="847" s="1"/>
  <c r="H53" i="847"/>
  <c r="K53" i="847" s="1"/>
  <c r="H52" i="847"/>
  <c r="K52" i="847" s="1"/>
  <c r="H51" i="847"/>
  <c r="K51" i="847" s="1"/>
  <c r="K50" i="847"/>
  <c r="H50" i="847"/>
  <c r="H49" i="847"/>
  <c r="K49" i="847" s="1"/>
  <c r="H48" i="847"/>
  <c r="K48" i="847" s="1"/>
  <c r="H47" i="847"/>
  <c r="B43" i="847"/>
  <c r="J38" i="847"/>
  <c r="K38" i="847" s="1"/>
  <c r="I38" i="847"/>
  <c r="H38" i="847"/>
  <c r="J37" i="847"/>
  <c r="I37" i="847"/>
  <c r="H37" i="847"/>
  <c r="K37" i="847" s="1"/>
  <c r="J36" i="847"/>
  <c r="J43" i="847" s="1"/>
  <c r="J12" i="847" s="1"/>
  <c r="I36" i="847"/>
  <c r="H36" i="847"/>
  <c r="K36" i="847" s="1"/>
  <c r="K43" i="847" s="1"/>
  <c r="K12" i="847" s="1"/>
  <c r="B34" i="847"/>
  <c r="B21" i="847"/>
  <c r="A21" i="847"/>
  <c r="B20" i="847"/>
  <c r="A20" i="847"/>
  <c r="B19" i="847"/>
  <c r="A19" i="847"/>
  <c r="B18" i="847"/>
  <c r="A18" i="847"/>
  <c r="B17" i="847"/>
  <c r="A17" i="847"/>
  <c r="B16" i="847"/>
  <c r="A16" i="847"/>
  <c r="B15" i="847"/>
  <c r="A15" i="847"/>
  <c r="B14" i="847"/>
  <c r="A14" i="847"/>
  <c r="B13" i="847"/>
  <c r="A13" i="847"/>
  <c r="B12" i="847"/>
  <c r="A12" i="847"/>
  <c r="B322" i="846"/>
  <c r="O307" i="846"/>
  <c r="J307" i="846"/>
  <c r="H307" i="846"/>
  <c r="K307" i="846" s="1"/>
  <c r="J305" i="846"/>
  <c r="H305" i="846"/>
  <c r="K305" i="846" s="1"/>
  <c r="J303" i="846"/>
  <c r="H303" i="846"/>
  <c r="K303" i="846" s="1"/>
  <c r="K301" i="846"/>
  <c r="J301" i="846"/>
  <c r="H301" i="846"/>
  <c r="J300" i="846"/>
  <c r="H300" i="846"/>
  <c r="K300" i="846" s="1"/>
  <c r="B298" i="846"/>
  <c r="I296" i="846"/>
  <c r="J296" i="846" s="1"/>
  <c r="G296" i="846"/>
  <c r="H296" i="846" s="1"/>
  <c r="J295" i="846"/>
  <c r="H295" i="846"/>
  <c r="K295" i="846" s="1"/>
  <c r="J292" i="846"/>
  <c r="K292" i="846" s="1"/>
  <c r="H292" i="846"/>
  <c r="J291" i="846"/>
  <c r="H291" i="846"/>
  <c r="K291" i="846" s="1"/>
  <c r="J289" i="846"/>
  <c r="I289" i="846"/>
  <c r="H289" i="846"/>
  <c r="K289" i="846" s="1"/>
  <c r="I288" i="846"/>
  <c r="J288" i="846" s="1"/>
  <c r="H288" i="846"/>
  <c r="J286" i="846"/>
  <c r="I286" i="846"/>
  <c r="H286" i="846"/>
  <c r="K286" i="846" s="1"/>
  <c r="J285" i="846"/>
  <c r="I285" i="846"/>
  <c r="H285" i="846"/>
  <c r="K285" i="846" s="1"/>
  <c r="B282" i="846"/>
  <c r="O279" i="846"/>
  <c r="J279" i="846"/>
  <c r="K279" i="846" s="1"/>
  <c r="H279" i="846"/>
  <c r="G280" i="846" s="1"/>
  <c r="J277" i="846"/>
  <c r="I277" i="846"/>
  <c r="G277" i="846"/>
  <c r="H277" i="846" s="1"/>
  <c r="K277" i="846" s="1"/>
  <c r="J276" i="846"/>
  <c r="H276" i="846"/>
  <c r="K276" i="846" s="1"/>
  <c r="K274" i="846"/>
  <c r="H274" i="846"/>
  <c r="K273" i="846"/>
  <c r="H273" i="846"/>
  <c r="H272" i="846"/>
  <c r="K272" i="846" s="1"/>
  <c r="K271" i="846"/>
  <c r="H271" i="846"/>
  <c r="K270" i="846"/>
  <c r="H270" i="846"/>
  <c r="K269" i="846"/>
  <c r="J269" i="846"/>
  <c r="H269" i="846"/>
  <c r="B266" i="846"/>
  <c r="K263" i="846"/>
  <c r="J263" i="846"/>
  <c r="H263" i="846"/>
  <c r="J262" i="846"/>
  <c r="H262" i="846"/>
  <c r="K262" i="846" s="1"/>
  <c r="J260" i="846"/>
  <c r="H260" i="846"/>
  <c r="J259" i="846"/>
  <c r="H259" i="846"/>
  <c r="K259" i="846" s="1"/>
  <c r="O257" i="846"/>
  <c r="J257" i="846"/>
  <c r="H257" i="846"/>
  <c r="O256" i="846"/>
  <c r="J256" i="846"/>
  <c r="H256" i="846"/>
  <c r="K256" i="846" s="1"/>
  <c r="J255" i="846"/>
  <c r="H255" i="846"/>
  <c r="K255" i="846" s="1"/>
  <c r="I254" i="846"/>
  <c r="J254" i="846" s="1"/>
  <c r="H254" i="846"/>
  <c r="K253" i="846"/>
  <c r="J253" i="846"/>
  <c r="H253" i="846"/>
  <c r="J252" i="846"/>
  <c r="K252" i="846" s="1"/>
  <c r="H252" i="846"/>
  <c r="B250" i="846"/>
  <c r="J244" i="846"/>
  <c r="H244" i="846"/>
  <c r="K244" i="846" s="1"/>
  <c r="J243" i="846"/>
  <c r="H243" i="846"/>
  <c r="K243" i="846" s="1"/>
  <c r="O241" i="846"/>
  <c r="J241" i="846"/>
  <c r="H241" i="846"/>
  <c r="O240" i="846"/>
  <c r="J240" i="846"/>
  <c r="H240" i="846"/>
  <c r="K240" i="846" s="1"/>
  <c r="J239" i="846"/>
  <c r="H239" i="846"/>
  <c r="K239" i="846" s="1"/>
  <c r="G238" i="846"/>
  <c r="I238" i="846" s="1"/>
  <c r="J238" i="846" s="1"/>
  <c r="O237" i="846"/>
  <c r="J237" i="846"/>
  <c r="H237" i="846"/>
  <c r="K237" i="846" s="1"/>
  <c r="J236" i="846"/>
  <c r="H236" i="846"/>
  <c r="K236" i="846" s="1"/>
  <c r="H235" i="846"/>
  <c r="K235" i="846" s="1"/>
  <c r="G235" i="846"/>
  <c r="I235" i="846" s="1"/>
  <c r="J235" i="846" s="1"/>
  <c r="J234" i="846"/>
  <c r="H234" i="846"/>
  <c r="K234" i="846" s="1"/>
  <c r="K233" i="846"/>
  <c r="J233" i="846"/>
  <c r="H233" i="846"/>
  <c r="J232" i="846"/>
  <c r="H232" i="846"/>
  <c r="K232" i="846" s="1"/>
  <c r="J231" i="846"/>
  <c r="H231" i="846"/>
  <c r="J230" i="846"/>
  <c r="H230" i="846"/>
  <c r="K230" i="846" s="1"/>
  <c r="K229" i="846"/>
  <c r="J229" i="846"/>
  <c r="H229" i="846"/>
  <c r="J228" i="846"/>
  <c r="H228" i="846"/>
  <c r="K228" i="846" s="1"/>
  <c r="J227" i="846"/>
  <c r="H227" i="846"/>
  <c r="J226" i="846"/>
  <c r="H226" i="846"/>
  <c r="K226" i="846" s="1"/>
  <c r="K225" i="846"/>
  <c r="J225" i="846"/>
  <c r="H225" i="846"/>
  <c r="J224" i="846"/>
  <c r="G224" i="846"/>
  <c r="H224" i="846" s="1"/>
  <c r="K224" i="846" s="1"/>
  <c r="J223" i="846"/>
  <c r="K223" i="846" s="1"/>
  <c r="H223" i="846"/>
  <c r="J222" i="846"/>
  <c r="H222" i="846"/>
  <c r="K222" i="846" s="1"/>
  <c r="J221" i="846"/>
  <c r="H221" i="846"/>
  <c r="K221" i="846" s="1"/>
  <c r="K220" i="846"/>
  <c r="J220" i="846"/>
  <c r="H220" i="846"/>
  <c r="J219" i="846"/>
  <c r="K219" i="846" s="1"/>
  <c r="H219" i="846"/>
  <c r="J218" i="846"/>
  <c r="H218" i="846"/>
  <c r="K218" i="846" s="1"/>
  <c r="J217" i="846"/>
  <c r="H217" i="846"/>
  <c r="K217" i="846" s="1"/>
  <c r="K216" i="846"/>
  <c r="J216" i="846"/>
  <c r="H216" i="846"/>
  <c r="J215" i="846"/>
  <c r="K215" i="846" s="1"/>
  <c r="H215" i="846"/>
  <c r="J214" i="846"/>
  <c r="H214" i="846"/>
  <c r="K214" i="846" s="1"/>
  <c r="J213" i="846"/>
  <c r="H213" i="846"/>
  <c r="K213" i="846" s="1"/>
  <c r="K212" i="846"/>
  <c r="J212" i="846"/>
  <c r="H212" i="846"/>
  <c r="K211" i="846"/>
  <c r="J211" i="846"/>
  <c r="H211" i="846"/>
  <c r="G210" i="846"/>
  <c r="I210" i="846" s="1"/>
  <c r="J210" i="846" s="1"/>
  <c r="B208" i="846"/>
  <c r="J202" i="846"/>
  <c r="H202" i="846"/>
  <c r="K202" i="846" s="1"/>
  <c r="J201" i="846"/>
  <c r="H201" i="846"/>
  <c r="K201" i="846" s="1"/>
  <c r="J200" i="846"/>
  <c r="H200" i="846"/>
  <c r="K200" i="846" s="1"/>
  <c r="J199" i="846"/>
  <c r="H199" i="846"/>
  <c r="K199" i="846" s="1"/>
  <c r="J198" i="846"/>
  <c r="H198" i="846"/>
  <c r="K198" i="846" s="1"/>
  <c r="J197" i="846"/>
  <c r="H197" i="846"/>
  <c r="K197" i="846" s="1"/>
  <c r="J196" i="846"/>
  <c r="H196" i="846"/>
  <c r="K196" i="846" s="1"/>
  <c r="J195" i="846"/>
  <c r="H195" i="846"/>
  <c r="K195" i="846" s="1"/>
  <c r="J194" i="846"/>
  <c r="H194" i="846"/>
  <c r="K194" i="846" s="1"/>
  <c r="J193" i="846"/>
  <c r="H193" i="846"/>
  <c r="K193" i="846" s="1"/>
  <c r="J192" i="846"/>
  <c r="H192" i="846"/>
  <c r="J191" i="846"/>
  <c r="H191" i="846"/>
  <c r="K191" i="846" s="1"/>
  <c r="J190" i="846"/>
  <c r="H190" i="846"/>
  <c r="K190" i="846" s="1"/>
  <c r="J189" i="846"/>
  <c r="H189" i="846"/>
  <c r="K189" i="846" s="1"/>
  <c r="J188" i="846"/>
  <c r="H188" i="846"/>
  <c r="K188" i="846" s="1"/>
  <c r="J187" i="846"/>
  <c r="H187" i="846"/>
  <c r="K187" i="846" s="1"/>
  <c r="J186" i="846"/>
  <c r="H186" i="846"/>
  <c r="K186" i="846" s="1"/>
  <c r="J185" i="846"/>
  <c r="H185" i="846"/>
  <c r="K185" i="846" s="1"/>
  <c r="J184" i="846"/>
  <c r="H184" i="846"/>
  <c r="K184" i="846" s="1"/>
  <c r="J183" i="846"/>
  <c r="H183" i="846"/>
  <c r="K183" i="846" s="1"/>
  <c r="J182" i="846"/>
  <c r="H182" i="846"/>
  <c r="K182" i="846" s="1"/>
  <c r="J181" i="846"/>
  <c r="H181" i="846"/>
  <c r="K181" i="846" s="1"/>
  <c r="J180" i="846"/>
  <c r="H180" i="846"/>
  <c r="B178" i="846"/>
  <c r="J172" i="846"/>
  <c r="H172" i="846"/>
  <c r="K172" i="846" s="1"/>
  <c r="K171" i="846"/>
  <c r="J171" i="846"/>
  <c r="H171" i="846"/>
  <c r="J170" i="846"/>
  <c r="K170" i="846" s="1"/>
  <c r="H170" i="846"/>
  <c r="J169" i="846"/>
  <c r="H169" i="846"/>
  <c r="K169" i="846" s="1"/>
  <c r="J168" i="846"/>
  <c r="H168" i="846"/>
  <c r="K168" i="846" s="1"/>
  <c r="K167" i="846"/>
  <c r="J167" i="846"/>
  <c r="H167" i="846"/>
  <c r="K166" i="846"/>
  <c r="J166" i="846"/>
  <c r="H166" i="846"/>
  <c r="J165" i="846"/>
  <c r="H165" i="846"/>
  <c r="K165" i="846" s="1"/>
  <c r="J164" i="846"/>
  <c r="H164" i="846"/>
  <c r="H178" i="846" s="1"/>
  <c r="H17" i="846" s="1"/>
  <c r="B161" i="846"/>
  <c r="K156" i="846"/>
  <c r="J156" i="846"/>
  <c r="H156" i="846"/>
  <c r="J155" i="846"/>
  <c r="H155" i="846"/>
  <c r="J153" i="846"/>
  <c r="H153" i="846"/>
  <c r="J152" i="846"/>
  <c r="H152" i="846"/>
  <c r="K152" i="846" s="1"/>
  <c r="J151" i="846"/>
  <c r="H151" i="846"/>
  <c r="K151" i="846" s="1"/>
  <c r="O150" i="846"/>
  <c r="K150" i="846"/>
  <c r="J150" i="846"/>
  <c r="H150" i="846"/>
  <c r="O149" i="846"/>
  <c r="K149" i="846"/>
  <c r="J149" i="846"/>
  <c r="H149" i="846"/>
  <c r="O148" i="846"/>
  <c r="J148" i="846"/>
  <c r="H148" i="846"/>
  <c r="K148" i="846" s="1"/>
  <c r="O147" i="846"/>
  <c r="K147" i="846"/>
  <c r="J147" i="846"/>
  <c r="H147" i="846"/>
  <c r="O146" i="846"/>
  <c r="K146" i="846"/>
  <c r="J146" i="846"/>
  <c r="H146" i="846"/>
  <c r="O145" i="846"/>
  <c r="J145" i="846"/>
  <c r="H145" i="846"/>
  <c r="K145" i="846" s="1"/>
  <c r="J144" i="846"/>
  <c r="H144" i="846"/>
  <c r="O142" i="846"/>
  <c r="K142" i="846"/>
  <c r="J142" i="846"/>
  <c r="H142" i="846"/>
  <c r="G143" i="846" s="1"/>
  <c r="H143" i="846" s="1"/>
  <c r="J141" i="846"/>
  <c r="H141" i="846"/>
  <c r="B139" i="846"/>
  <c r="J133" i="846"/>
  <c r="H133" i="846"/>
  <c r="K133" i="846" s="1"/>
  <c r="K132" i="846"/>
  <c r="J132" i="846"/>
  <c r="H132" i="846"/>
  <c r="J131" i="846"/>
  <c r="H131" i="846"/>
  <c r="O129" i="846"/>
  <c r="J129" i="846"/>
  <c r="H129" i="846"/>
  <c r="K129" i="846" s="1"/>
  <c r="O128" i="846"/>
  <c r="J128" i="846"/>
  <c r="H128" i="846"/>
  <c r="K128" i="846" s="1"/>
  <c r="O127" i="846"/>
  <c r="J127" i="846"/>
  <c r="H127" i="846"/>
  <c r="K127" i="846" s="1"/>
  <c r="O126" i="846"/>
  <c r="J126" i="846"/>
  <c r="H126" i="846"/>
  <c r="K126" i="846" s="1"/>
  <c r="J125" i="846"/>
  <c r="H125" i="846"/>
  <c r="P123" i="846"/>
  <c r="K123" i="846"/>
  <c r="J123" i="846"/>
  <c r="H123" i="846"/>
  <c r="P122" i="846"/>
  <c r="K122" i="846"/>
  <c r="J122" i="846"/>
  <c r="H122" i="846"/>
  <c r="P121" i="846"/>
  <c r="J121" i="846"/>
  <c r="H121" i="846"/>
  <c r="K121" i="846" s="1"/>
  <c r="P120" i="846"/>
  <c r="K120" i="846"/>
  <c r="J120" i="846"/>
  <c r="H120" i="846"/>
  <c r="P119" i="846"/>
  <c r="O119" i="846"/>
  <c r="J119" i="846"/>
  <c r="H119" i="846"/>
  <c r="K119" i="846" s="1"/>
  <c r="P118" i="846"/>
  <c r="O118" i="846"/>
  <c r="J118" i="846"/>
  <c r="H118" i="846"/>
  <c r="K118" i="846" s="1"/>
  <c r="P117" i="846"/>
  <c r="O117" i="846"/>
  <c r="K117" i="846"/>
  <c r="J117" i="846"/>
  <c r="H117" i="846"/>
  <c r="P116" i="846"/>
  <c r="O116" i="846"/>
  <c r="J116" i="846"/>
  <c r="H116" i="846"/>
  <c r="K116" i="846" s="1"/>
  <c r="P115" i="846"/>
  <c r="O115" i="846"/>
  <c r="J115" i="846"/>
  <c r="H115" i="846"/>
  <c r="K115" i="846" s="1"/>
  <c r="P114" i="846"/>
  <c r="O114" i="846"/>
  <c r="J114" i="846"/>
  <c r="H114" i="846"/>
  <c r="K114" i="846" s="1"/>
  <c r="P113" i="846"/>
  <c r="O113" i="846"/>
  <c r="J113" i="846"/>
  <c r="H113" i="846"/>
  <c r="K113" i="846" s="1"/>
  <c r="P112" i="846"/>
  <c r="O112" i="846"/>
  <c r="K112" i="846"/>
  <c r="J112" i="846"/>
  <c r="H112" i="846"/>
  <c r="P111" i="846"/>
  <c r="O111" i="846"/>
  <c r="J111" i="846"/>
  <c r="H111" i="846"/>
  <c r="K111" i="846" s="1"/>
  <c r="P110" i="846"/>
  <c r="O110" i="846"/>
  <c r="J110" i="846"/>
  <c r="H110" i="846"/>
  <c r="J107" i="846"/>
  <c r="H107" i="846"/>
  <c r="B106" i="846"/>
  <c r="J98" i="846"/>
  <c r="H98" i="846"/>
  <c r="K98" i="846" s="1"/>
  <c r="J97" i="846"/>
  <c r="J106" i="846" s="1"/>
  <c r="J14" i="846" s="1"/>
  <c r="H97" i="846"/>
  <c r="J96" i="846"/>
  <c r="H96" i="846"/>
  <c r="K96" i="846" s="1"/>
  <c r="J94" i="846"/>
  <c r="H94" i="846"/>
  <c r="K94" i="846" s="1"/>
  <c r="B91" i="846"/>
  <c r="J86" i="846"/>
  <c r="K86" i="846" s="1"/>
  <c r="I86" i="846"/>
  <c r="H86" i="846"/>
  <c r="J85" i="846"/>
  <c r="I85" i="846"/>
  <c r="H85" i="846"/>
  <c r="K85" i="846" s="1"/>
  <c r="J84" i="846"/>
  <c r="J91" i="846" s="1"/>
  <c r="J13" i="846" s="1"/>
  <c r="I84" i="846"/>
  <c r="H84" i="846"/>
  <c r="K84" i="846" s="1"/>
  <c r="J82" i="846"/>
  <c r="J12" i="846" s="1"/>
  <c r="B82" i="846"/>
  <c r="J78" i="846"/>
  <c r="K78" i="846" s="1"/>
  <c r="I78" i="846"/>
  <c r="H78" i="846"/>
  <c r="H77" i="846"/>
  <c r="K77" i="846" s="1"/>
  <c r="K76" i="846"/>
  <c r="H76" i="846"/>
  <c r="K75" i="846"/>
  <c r="H75" i="846"/>
  <c r="H74" i="846"/>
  <c r="K74" i="846" s="1"/>
  <c r="H73" i="846"/>
  <c r="K73" i="846" s="1"/>
  <c r="H72" i="846"/>
  <c r="K72" i="846" s="1"/>
  <c r="H71" i="846"/>
  <c r="K71" i="846" s="1"/>
  <c r="K70" i="846"/>
  <c r="H70" i="846"/>
  <c r="H69" i="846"/>
  <c r="K69" i="846" s="1"/>
  <c r="H68" i="846"/>
  <c r="K68" i="846" s="1"/>
  <c r="H67" i="846"/>
  <c r="K67" i="846" s="1"/>
  <c r="H66" i="846"/>
  <c r="K66" i="846" s="1"/>
  <c r="H65" i="846"/>
  <c r="K65" i="846" s="1"/>
  <c r="H64" i="846"/>
  <c r="K64" i="846" s="1"/>
  <c r="H63" i="846"/>
  <c r="K63" i="846" s="1"/>
  <c r="H62" i="846"/>
  <c r="K62" i="846" s="1"/>
  <c r="H61" i="846"/>
  <c r="K61" i="846" s="1"/>
  <c r="J55" i="846"/>
  <c r="I55" i="846"/>
  <c r="H55" i="846"/>
  <c r="H54" i="846"/>
  <c r="K54" i="846" s="1"/>
  <c r="H53" i="846"/>
  <c r="K53" i="846" s="1"/>
  <c r="H52" i="846"/>
  <c r="K52" i="846" s="1"/>
  <c r="H51" i="846"/>
  <c r="K51" i="846" s="1"/>
  <c r="H50" i="846"/>
  <c r="K50" i="846" s="1"/>
  <c r="H49" i="846"/>
  <c r="K49" i="846" s="1"/>
  <c r="H48" i="846"/>
  <c r="K48" i="846" s="1"/>
  <c r="K47" i="846"/>
  <c r="H47" i="846"/>
  <c r="H46" i="846"/>
  <c r="K46" i="846" s="1"/>
  <c r="H45" i="846"/>
  <c r="K45" i="846" s="1"/>
  <c r="H44" i="846"/>
  <c r="K44" i="846" s="1"/>
  <c r="H43" i="846"/>
  <c r="K43" i="846" s="1"/>
  <c r="H42" i="846"/>
  <c r="K42" i="846" s="1"/>
  <c r="H41" i="846"/>
  <c r="K41" i="846" s="1"/>
  <c r="H40" i="846"/>
  <c r="K40" i="846" s="1"/>
  <c r="H39" i="846"/>
  <c r="K39" i="846" s="1"/>
  <c r="H38" i="846"/>
  <c r="K38" i="846" s="1"/>
  <c r="B34" i="846"/>
  <c r="B23" i="846"/>
  <c r="A23" i="846"/>
  <c r="B22" i="846"/>
  <c r="A22" i="846"/>
  <c r="B21" i="846"/>
  <c r="A21" i="846"/>
  <c r="B20" i="846"/>
  <c r="A20" i="846"/>
  <c r="B19" i="846"/>
  <c r="A19" i="846"/>
  <c r="B18" i="846"/>
  <c r="A18" i="846"/>
  <c r="B17" i="846"/>
  <c r="A17" i="846"/>
  <c r="B16" i="846"/>
  <c r="A16" i="846"/>
  <c r="B15" i="846"/>
  <c r="A15" i="846"/>
  <c r="B14" i="846"/>
  <c r="A14" i="846"/>
  <c r="B13" i="846"/>
  <c r="A13" i="846"/>
  <c r="B12" i="846"/>
  <c r="A12" i="846"/>
  <c r="B346" i="845"/>
  <c r="O331" i="845"/>
  <c r="J331" i="845"/>
  <c r="H331" i="845"/>
  <c r="K331" i="845" s="1"/>
  <c r="K329" i="845"/>
  <c r="J329" i="845"/>
  <c r="H329" i="845"/>
  <c r="G332" i="845" s="1"/>
  <c r="J327" i="845"/>
  <c r="K327" i="845" s="1"/>
  <c r="H327" i="845"/>
  <c r="J325" i="845"/>
  <c r="H325" i="845"/>
  <c r="K325" i="845" s="1"/>
  <c r="J324" i="845"/>
  <c r="H324" i="845"/>
  <c r="B322" i="845"/>
  <c r="J310" i="845"/>
  <c r="H310" i="845"/>
  <c r="J307" i="845"/>
  <c r="H307" i="845"/>
  <c r="K307" i="845" s="1"/>
  <c r="K306" i="845"/>
  <c r="J306" i="845"/>
  <c r="H306" i="845"/>
  <c r="G308" i="845" s="1"/>
  <c r="J304" i="845"/>
  <c r="K304" i="845" s="1"/>
  <c r="I304" i="845"/>
  <c r="H304" i="845"/>
  <c r="J303" i="845"/>
  <c r="I303" i="845"/>
  <c r="H303" i="845"/>
  <c r="K303" i="845" s="1"/>
  <c r="J301" i="845"/>
  <c r="I301" i="845"/>
  <c r="H301" i="845"/>
  <c r="J300" i="845"/>
  <c r="K300" i="845" s="1"/>
  <c r="I300" i="845"/>
  <c r="H300" i="845"/>
  <c r="J296" i="845"/>
  <c r="I296" i="845"/>
  <c r="H296" i="845"/>
  <c r="K296" i="845" s="1"/>
  <c r="J295" i="845"/>
  <c r="I295" i="845"/>
  <c r="H295" i="845"/>
  <c r="J294" i="845"/>
  <c r="I294" i="845"/>
  <c r="H294" i="845"/>
  <c r="B291" i="845"/>
  <c r="G287" i="845"/>
  <c r="O286" i="845"/>
  <c r="J286" i="845"/>
  <c r="H286" i="845"/>
  <c r="K286" i="845" s="1"/>
  <c r="G284" i="845"/>
  <c r="J283" i="845"/>
  <c r="H283" i="845"/>
  <c r="K283" i="845" s="1"/>
  <c r="K281" i="845"/>
  <c r="H281" i="845"/>
  <c r="H280" i="845"/>
  <c r="K280" i="845" s="1"/>
  <c r="K279" i="845"/>
  <c r="H279" i="845"/>
  <c r="K278" i="845"/>
  <c r="H278" i="845"/>
  <c r="K277" i="845"/>
  <c r="H277" i="845"/>
  <c r="J276" i="845"/>
  <c r="H276" i="845"/>
  <c r="K276" i="845" s="1"/>
  <c r="I272" i="845"/>
  <c r="J272" i="845" s="1"/>
  <c r="H272" i="845"/>
  <c r="K272" i="845" s="1"/>
  <c r="J271" i="845"/>
  <c r="I271" i="845"/>
  <c r="H271" i="845"/>
  <c r="K271" i="845" s="1"/>
  <c r="I270" i="845"/>
  <c r="J270" i="845" s="1"/>
  <c r="H270" i="845"/>
  <c r="B267" i="845"/>
  <c r="J263" i="845"/>
  <c r="H263" i="845"/>
  <c r="K263" i="845" s="1"/>
  <c r="K262" i="845"/>
  <c r="J262" i="845"/>
  <c r="H262" i="845"/>
  <c r="G261" i="845"/>
  <c r="H261" i="845" s="1"/>
  <c r="O260" i="845"/>
  <c r="J260" i="845"/>
  <c r="H260" i="845"/>
  <c r="K260" i="845" s="1"/>
  <c r="K259" i="845"/>
  <c r="J259" i="845"/>
  <c r="H259" i="845"/>
  <c r="O257" i="845"/>
  <c r="J257" i="845"/>
  <c r="H257" i="845"/>
  <c r="K257" i="845" s="1"/>
  <c r="O256" i="845"/>
  <c r="J256" i="845"/>
  <c r="H256" i="845"/>
  <c r="K255" i="845"/>
  <c r="J255" i="845"/>
  <c r="H255" i="845"/>
  <c r="J254" i="845"/>
  <c r="I254" i="845"/>
  <c r="H254" i="845"/>
  <c r="K254" i="845" s="1"/>
  <c r="J253" i="845"/>
  <c r="K253" i="845" s="1"/>
  <c r="H253" i="845"/>
  <c r="J252" i="845"/>
  <c r="H252" i="845"/>
  <c r="B250" i="845"/>
  <c r="J244" i="845"/>
  <c r="H244" i="845"/>
  <c r="K244" i="845" s="1"/>
  <c r="K243" i="845"/>
  <c r="J243" i="845"/>
  <c r="H243" i="845"/>
  <c r="O241" i="845"/>
  <c r="J241" i="845"/>
  <c r="H241" i="845"/>
  <c r="K241" i="845" s="1"/>
  <c r="O240" i="845"/>
  <c r="J240" i="845"/>
  <c r="H240" i="845"/>
  <c r="K239" i="845"/>
  <c r="J239" i="845"/>
  <c r="H239" i="845"/>
  <c r="O237" i="845"/>
  <c r="J237" i="845"/>
  <c r="H237" i="845"/>
  <c r="K236" i="845"/>
  <c r="J236" i="845"/>
  <c r="H236" i="845"/>
  <c r="K234" i="845"/>
  <c r="J234" i="845"/>
  <c r="H234" i="845"/>
  <c r="J233" i="845"/>
  <c r="K233" i="845" s="1"/>
  <c r="H233" i="845"/>
  <c r="J232" i="845"/>
  <c r="H232" i="845"/>
  <c r="G235" i="845" s="1"/>
  <c r="J231" i="845"/>
  <c r="H231" i="845"/>
  <c r="K231" i="845" s="1"/>
  <c r="J230" i="845"/>
  <c r="H230" i="845"/>
  <c r="K230" i="845" s="1"/>
  <c r="J229" i="845"/>
  <c r="K229" i="845" s="1"/>
  <c r="H229" i="845"/>
  <c r="J228" i="845"/>
  <c r="H228" i="845"/>
  <c r="J227" i="845"/>
  <c r="H227" i="845"/>
  <c r="J226" i="845"/>
  <c r="H226" i="845"/>
  <c r="K226" i="845" s="1"/>
  <c r="J225" i="845"/>
  <c r="K225" i="845" s="1"/>
  <c r="H225" i="845"/>
  <c r="J224" i="845"/>
  <c r="H224" i="845"/>
  <c r="G224" i="845"/>
  <c r="J223" i="845"/>
  <c r="H223" i="845"/>
  <c r="K223" i="845" s="1"/>
  <c r="J222" i="845"/>
  <c r="H222" i="845"/>
  <c r="K222" i="845" s="1"/>
  <c r="K221" i="845"/>
  <c r="J221" i="845"/>
  <c r="H221" i="845"/>
  <c r="K220" i="845"/>
  <c r="J220" i="845"/>
  <c r="H220" i="845"/>
  <c r="J219" i="845"/>
  <c r="H219" i="845"/>
  <c r="K219" i="845" s="1"/>
  <c r="J218" i="845"/>
  <c r="H218" i="845"/>
  <c r="K218" i="845" s="1"/>
  <c r="J217" i="845"/>
  <c r="H217" i="845"/>
  <c r="K217" i="845" s="1"/>
  <c r="K216" i="845"/>
  <c r="J216" i="845"/>
  <c r="H216" i="845"/>
  <c r="J215" i="845"/>
  <c r="H215" i="845"/>
  <c r="K215" i="845" s="1"/>
  <c r="J214" i="845"/>
  <c r="H214" i="845"/>
  <c r="K214" i="845" s="1"/>
  <c r="J213" i="845"/>
  <c r="H213" i="845"/>
  <c r="K213" i="845" s="1"/>
  <c r="K212" i="845"/>
  <c r="J212" i="845"/>
  <c r="H212" i="845"/>
  <c r="J211" i="845"/>
  <c r="H211" i="845"/>
  <c r="K211" i="845" s="1"/>
  <c r="J210" i="845"/>
  <c r="I210" i="845"/>
  <c r="H210" i="845"/>
  <c r="G210" i="845"/>
  <c r="B208" i="845"/>
  <c r="K202" i="845"/>
  <c r="J202" i="845"/>
  <c r="H202" i="845"/>
  <c r="J201" i="845"/>
  <c r="K201" i="845" s="1"/>
  <c r="H201" i="845"/>
  <c r="J200" i="845"/>
  <c r="H200" i="845"/>
  <c r="K200" i="845" s="1"/>
  <c r="K199" i="845"/>
  <c r="J199" i="845"/>
  <c r="H199" i="845"/>
  <c r="K198" i="845"/>
  <c r="J198" i="845"/>
  <c r="H198" i="845"/>
  <c r="K197" i="845"/>
  <c r="J197" i="845"/>
  <c r="H197" i="845"/>
  <c r="G203" i="845" s="1"/>
  <c r="J196" i="845"/>
  <c r="H196" i="845"/>
  <c r="K196" i="845" s="1"/>
  <c r="J195" i="845"/>
  <c r="H195" i="845"/>
  <c r="K195" i="845" s="1"/>
  <c r="J194" i="845"/>
  <c r="K194" i="845" s="1"/>
  <c r="H194" i="845"/>
  <c r="J193" i="845"/>
  <c r="H193" i="845"/>
  <c r="K193" i="845" s="1"/>
  <c r="K192" i="845"/>
  <c r="J192" i="845"/>
  <c r="H192" i="845"/>
  <c r="J191" i="845"/>
  <c r="H191" i="845"/>
  <c r="K191" i="845" s="1"/>
  <c r="J190" i="845"/>
  <c r="H190" i="845"/>
  <c r="K190" i="845" s="1"/>
  <c r="J189" i="845"/>
  <c r="H189" i="845"/>
  <c r="K188" i="845"/>
  <c r="J188" i="845"/>
  <c r="H188" i="845"/>
  <c r="J187" i="845"/>
  <c r="H187" i="845"/>
  <c r="K187" i="845" s="1"/>
  <c r="J186" i="845"/>
  <c r="H186" i="845"/>
  <c r="K186" i="845" s="1"/>
  <c r="J185" i="845"/>
  <c r="H185" i="845"/>
  <c r="K185" i="845" s="1"/>
  <c r="K184" i="845"/>
  <c r="J184" i="845"/>
  <c r="H184" i="845"/>
  <c r="J183" i="845"/>
  <c r="H183" i="845"/>
  <c r="K183" i="845" s="1"/>
  <c r="J182" i="845"/>
  <c r="H182" i="845"/>
  <c r="K182" i="845" s="1"/>
  <c r="J181" i="845"/>
  <c r="H181" i="845"/>
  <c r="K181" i="845" s="1"/>
  <c r="K180" i="845"/>
  <c r="J180" i="845"/>
  <c r="H180" i="845"/>
  <c r="J178" i="845"/>
  <c r="J17" i="845" s="1"/>
  <c r="B178" i="845"/>
  <c r="K173" i="845"/>
  <c r="J173" i="845"/>
  <c r="H173" i="845"/>
  <c r="K172" i="845"/>
  <c r="J172" i="845"/>
  <c r="H172" i="845"/>
  <c r="J171" i="845"/>
  <c r="H171" i="845"/>
  <c r="K171" i="845" s="1"/>
  <c r="K170" i="845"/>
  <c r="J170" i="845"/>
  <c r="H170" i="845"/>
  <c r="K169" i="845"/>
  <c r="J169" i="845"/>
  <c r="H169" i="845"/>
  <c r="K168" i="845"/>
  <c r="J168" i="845"/>
  <c r="H168" i="845"/>
  <c r="J167" i="845"/>
  <c r="H167" i="845"/>
  <c r="K167" i="845" s="1"/>
  <c r="K166" i="845"/>
  <c r="J166" i="845"/>
  <c r="H166" i="845"/>
  <c r="K165" i="845"/>
  <c r="J165" i="845"/>
  <c r="H165" i="845"/>
  <c r="K164" i="845"/>
  <c r="J164" i="845"/>
  <c r="H164" i="845"/>
  <c r="H178" i="845" s="1"/>
  <c r="H17" i="845" s="1"/>
  <c r="K17" i="845" s="1"/>
  <c r="B161" i="845"/>
  <c r="J156" i="845"/>
  <c r="H156" i="845"/>
  <c r="K156" i="845" s="1"/>
  <c r="J155" i="845"/>
  <c r="H155" i="845"/>
  <c r="J153" i="845"/>
  <c r="H153" i="845"/>
  <c r="K153" i="845" s="1"/>
  <c r="J152" i="845"/>
  <c r="H152" i="845"/>
  <c r="K152" i="845" s="1"/>
  <c r="J151" i="845"/>
  <c r="H151" i="845"/>
  <c r="K151" i="845" s="1"/>
  <c r="O150" i="845"/>
  <c r="J150" i="845"/>
  <c r="H150" i="845"/>
  <c r="K150" i="845" s="1"/>
  <c r="O149" i="845"/>
  <c r="J149" i="845"/>
  <c r="H149" i="845"/>
  <c r="K149" i="845" s="1"/>
  <c r="O148" i="845"/>
  <c r="J148" i="845"/>
  <c r="H148" i="845"/>
  <c r="O147" i="845"/>
  <c r="J147" i="845"/>
  <c r="H147" i="845"/>
  <c r="K147" i="845" s="1"/>
  <c r="O146" i="845"/>
  <c r="J146" i="845"/>
  <c r="H146" i="845"/>
  <c r="K146" i="845" s="1"/>
  <c r="O145" i="845"/>
  <c r="J145" i="845"/>
  <c r="H145" i="845"/>
  <c r="G154" i="845" s="1"/>
  <c r="J144" i="845"/>
  <c r="H144" i="845"/>
  <c r="O142" i="845"/>
  <c r="J142" i="845"/>
  <c r="H142" i="845"/>
  <c r="J141" i="845"/>
  <c r="H141" i="845"/>
  <c r="B139" i="845"/>
  <c r="K133" i="845"/>
  <c r="J133" i="845"/>
  <c r="H133" i="845"/>
  <c r="J132" i="845"/>
  <c r="H132" i="845"/>
  <c r="K132" i="845" s="1"/>
  <c r="J131" i="845"/>
  <c r="H131" i="845"/>
  <c r="O129" i="845"/>
  <c r="K129" i="845"/>
  <c r="J129" i="845"/>
  <c r="H129" i="845"/>
  <c r="O128" i="845"/>
  <c r="J128" i="845"/>
  <c r="K128" i="845" s="1"/>
  <c r="H128" i="845"/>
  <c r="O127" i="845"/>
  <c r="J127" i="845"/>
  <c r="H127" i="845"/>
  <c r="K127" i="845" s="1"/>
  <c r="O126" i="845"/>
  <c r="K126" i="845"/>
  <c r="J126" i="845"/>
  <c r="H126" i="845"/>
  <c r="J125" i="845"/>
  <c r="H125" i="845"/>
  <c r="P123" i="845"/>
  <c r="J123" i="845"/>
  <c r="H123" i="845"/>
  <c r="K123" i="845" s="1"/>
  <c r="P122" i="845"/>
  <c r="J122" i="845"/>
  <c r="H122" i="845"/>
  <c r="K122" i="845" s="1"/>
  <c r="P121" i="845"/>
  <c r="J121" i="845"/>
  <c r="H121" i="845"/>
  <c r="P120" i="845"/>
  <c r="J120" i="845"/>
  <c r="H120" i="845"/>
  <c r="K120" i="845" s="1"/>
  <c r="P119" i="845"/>
  <c r="O119" i="845"/>
  <c r="J119" i="845"/>
  <c r="H119" i="845"/>
  <c r="K119" i="845" s="1"/>
  <c r="P118" i="845"/>
  <c r="O118" i="845"/>
  <c r="J118" i="845"/>
  <c r="K118" i="845" s="1"/>
  <c r="H118" i="845"/>
  <c r="P117" i="845"/>
  <c r="O117" i="845"/>
  <c r="K117" i="845"/>
  <c r="J117" i="845"/>
  <c r="H117" i="845"/>
  <c r="P116" i="845"/>
  <c r="O116" i="845"/>
  <c r="J116" i="845"/>
  <c r="H116" i="845"/>
  <c r="K116" i="845" s="1"/>
  <c r="P115" i="845"/>
  <c r="O115" i="845"/>
  <c r="J115" i="845"/>
  <c r="H115" i="845"/>
  <c r="K115" i="845" s="1"/>
  <c r="P114" i="845"/>
  <c r="O114" i="845"/>
  <c r="K114" i="845"/>
  <c r="J114" i="845"/>
  <c r="H114" i="845"/>
  <c r="P113" i="845"/>
  <c r="O113" i="845"/>
  <c r="K113" i="845"/>
  <c r="J113" i="845"/>
  <c r="H113" i="845"/>
  <c r="P112" i="845"/>
  <c r="O112" i="845"/>
  <c r="J112" i="845"/>
  <c r="H112" i="845"/>
  <c r="K112" i="845" s="1"/>
  <c r="P111" i="845"/>
  <c r="O111" i="845"/>
  <c r="K111" i="845"/>
  <c r="J111" i="845"/>
  <c r="H111" i="845"/>
  <c r="P110" i="845"/>
  <c r="O110" i="845"/>
  <c r="J110" i="845"/>
  <c r="H110" i="845"/>
  <c r="K110" i="845" s="1"/>
  <c r="J107" i="845"/>
  <c r="H107" i="845"/>
  <c r="H106" i="845"/>
  <c r="H14" i="845" s="1"/>
  <c r="B106" i="845"/>
  <c r="K98" i="845"/>
  <c r="J98" i="845"/>
  <c r="H98" i="845"/>
  <c r="J97" i="845"/>
  <c r="H97" i="845"/>
  <c r="K97" i="845" s="1"/>
  <c r="J96" i="845"/>
  <c r="H96" i="845"/>
  <c r="K96" i="845" s="1"/>
  <c r="J94" i="845"/>
  <c r="J106" i="845" s="1"/>
  <c r="J14" i="845" s="1"/>
  <c r="H94" i="845"/>
  <c r="B91" i="845"/>
  <c r="I86" i="845"/>
  <c r="J86" i="845" s="1"/>
  <c r="K86" i="845" s="1"/>
  <c r="H86" i="845"/>
  <c r="I85" i="845"/>
  <c r="J85" i="845" s="1"/>
  <c r="H85" i="845"/>
  <c r="K85" i="845" s="1"/>
  <c r="I84" i="845"/>
  <c r="J84" i="845" s="1"/>
  <c r="H84" i="845"/>
  <c r="H91" i="845" s="1"/>
  <c r="H13" i="845" s="1"/>
  <c r="B82" i="845"/>
  <c r="I78" i="845"/>
  <c r="J78" i="845" s="1"/>
  <c r="K78" i="845" s="1"/>
  <c r="H78" i="845"/>
  <c r="K77" i="845"/>
  <c r="H77" i="845"/>
  <c r="H76" i="845"/>
  <c r="K76" i="845" s="1"/>
  <c r="K75" i="845"/>
  <c r="H75" i="845"/>
  <c r="H74" i="845"/>
  <c r="K74" i="845" s="1"/>
  <c r="K73" i="845"/>
  <c r="H73" i="845"/>
  <c r="K72" i="845"/>
  <c r="H72" i="845"/>
  <c r="K71" i="845"/>
  <c r="H71" i="845"/>
  <c r="H70" i="845"/>
  <c r="K70" i="845" s="1"/>
  <c r="K69" i="845"/>
  <c r="H69" i="845"/>
  <c r="H68" i="845"/>
  <c r="K68" i="845" s="1"/>
  <c r="K67" i="845"/>
  <c r="H67" i="845"/>
  <c r="K66" i="845"/>
  <c r="H66" i="845"/>
  <c r="K65" i="845"/>
  <c r="H65" i="845"/>
  <c r="H64" i="845"/>
  <c r="K64" i="845" s="1"/>
  <c r="K63" i="845"/>
  <c r="H63" i="845"/>
  <c r="H62" i="845"/>
  <c r="K62" i="845" s="1"/>
  <c r="K61" i="845"/>
  <c r="H61" i="845"/>
  <c r="K55" i="845"/>
  <c r="I55" i="845"/>
  <c r="J55" i="845" s="1"/>
  <c r="H55" i="845"/>
  <c r="H54" i="845"/>
  <c r="K54" i="845" s="1"/>
  <c r="K53" i="845"/>
  <c r="H53" i="845"/>
  <c r="H52" i="845"/>
  <c r="K52" i="845" s="1"/>
  <c r="K51" i="845"/>
  <c r="H51" i="845"/>
  <c r="K50" i="845"/>
  <c r="H50" i="845"/>
  <c r="K49" i="845"/>
  <c r="H49" i="845"/>
  <c r="H48" i="845"/>
  <c r="K48" i="845" s="1"/>
  <c r="K47" i="845"/>
  <c r="H47" i="845"/>
  <c r="H46" i="845"/>
  <c r="K46" i="845" s="1"/>
  <c r="K45" i="845"/>
  <c r="H45" i="845"/>
  <c r="K44" i="845"/>
  <c r="H44" i="845"/>
  <c r="K43" i="845"/>
  <c r="H43" i="845"/>
  <c r="H42" i="845"/>
  <c r="K42" i="845" s="1"/>
  <c r="K41" i="845"/>
  <c r="H41" i="845"/>
  <c r="H40" i="845"/>
  <c r="K40" i="845" s="1"/>
  <c r="K39" i="845"/>
  <c r="H39" i="845"/>
  <c r="K38" i="845"/>
  <c r="H38" i="845"/>
  <c r="H82" i="845" s="1"/>
  <c r="H12" i="845" s="1"/>
  <c r="B34" i="845"/>
  <c r="B23" i="845"/>
  <c r="A23" i="845"/>
  <c r="B22" i="845"/>
  <c r="A22" i="845"/>
  <c r="B21" i="845"/>
  <c r="A21" i="845"/>
  <c r="B20" i="845"/>
  <c r="A20" i="845"/>
  <c r="B19" i="845"/>
  <c r="A19" i="845"/>
  <c r="B18" i="845"/>
  <c r="A18" i="845"/>
  <c r="B17" i="845"/>
  <c r="A17" i="845"/>
  <c r="B16" i="845"/>
  <c r="A16" i="845"/>
  <c r="B15" i="845"/>
  <c r="A15" i="845"/>
  <c r="B14" i="845"/>
  <c r="A14" i="845"/>
  <c r="B13" i="845"/>
  <c r="A13" i="845"/>
  <c r="B12" i="845"/>
  <c r="A12" i="845"/>
  <c r="B370" i="844"/>
  <c r="I364" i="844"/>
  <c r="J364" i="844" s="1"/>
  <c r="O363" i="844"/>
  <c r="J363" i="844"/>
  <c r="H363" i="844"/>
  <c r="G364" i="844" s="1"/>
  <c r="H364" i="844" s="1"/>
  <c r="J361" i="844"/>
  <c r="H361" i="844"/>
  <c r="K361" i="844" s="1"/>
  <c r="J359" i="844"/>
  <c r="H359" i="844"/>
  <c r="K359" i="844" s="1"/>
  <c r="J357" i="844"/>
  <c r="K357" i="844" s="1"/>
  <c r="H357" i="844"/>
  <c r="J356" i="844"/>
  <c r="H356" i="844"/>
  <c r="K356" i="844" s="1"/>
  <c r="B354" i="844"/>
  <c r="J348" i="844"/>
  <c r="H348" i="844"/>
  <c r="G349" i="844" s="1"/>
  <c r="K343" i="844"/>
  <c r="J343" i="844"/>
  <c r="H343" i="844"/>
  <c r="J342" i="844"/>
  <c r="H342" i="844"/>
  <c r="K342" i="844" s="1"/>
  <c r="I340" i="844"/>
  <c r="J340" i="844" s="1"/>
  <c r="K340" i="844" s="1"/>
  <c r="H340" i="844"/>
  <c r="I339" i="844"/>
  <c r="J339" i="844" s="1"/>
  <c r="H339" i="844"/>
  <c r="I337" i="844"/>
  <c r="J337" i="844" s="1"/>
  <c r="K337" i="844" s="1"/>
  <c r="H337" i="844"/>
  <c r="I336" i="844"/>
  <c r="J336" i="844" s="1"/>
  <c r="H336" i="844"/>
  <c r="B333" i="844"/>
  <c r="G328" i="844"/>
  <c r="I328" i="844" s="1"/>
  <c r="J328" i="844" s="1"/>
  <c r="O327" i="844"/>
  <c r="J327" i="844"/>
  <c r="H327" i="844"/>
  <c r="K327" i="844" s="1"/>
  <c r="J324" i="844"/>
  <c r="H324" i="844"/>
  <c r="G325" i="844" s="1"/>
  <c r="H322" i="844"/>
  <c r="K322" i="844" s="1"/>
  <c r="K321" i="844"/>
  <c r="H321" i="844"/>
  <c r="H320" i="844"/>
  <c r="K320" i="844" s="1"/>
  <c r="H319" i="844"/>
  <c r="K319" i="844" s="1"/>
  <c r="H318" i="844"/>
  <c r="K318" i="844" s="1"/>
  <c r="J317" i="844"/>
  <c r="K317" i="844" s="1"/>
  <c r="H317" i="844"/>
  <c r="B314" i="844"/>
  <c r="K311" i="844"/>
  <c r="J311" i="844"/>
  <c r="H311" i="844"/>
  <c r="J310" i="844"/>
  <c r="H310" i="844"/>
  <c r="K310" i="844" s="1"/>
  <c r="O308" i="844"/>
  <c r="K308" i="844"/>
  <c r="J308" i="844"/>
  <c r="H308" i="844"/>
  <c r="G309" i="844" s="1"/>
  <c r="J307" i="844"/>
  <c r="H307" i="844"/>
  <c r="K307" i="844" s="1"/>
  <c r="O305" i="844"/>
  <c r="K305" i="844"/>
  <c r="J305" i="844"/>
  <c r="H305" i="844"/>
  <c r="O304" i="844"/>
  <c r="J304" i="844"/>
  <c r="H304" i="844"/>
  <c r="K304" i="844" s="1"/>
  <c r="J303" i="844"/>
  <c r="H303" i="844"/>
  <c r="K303" i="844" s="1"/>
  <c r="I302" i="844"/>
  <c r="J302" i="844" s="1"/>
  <c r="H302" i="844"/>
  <c r="K301" i="844"/>
  <c r="J301" i="844"/>
  <c r="H301" i="844"/>
  <c r="J300" i="844"/>
  <c r="K300" i="844" s="1"/>
  <c r="H300" i="844"/>
  <c r="B298" i="844"/>
  <c r="K292" i="844"/>
  <c r="J292" i="844"/>
  <c r="H292" i="844"/>
  <c r="J291" i="844"/>
  <c r="H291" i="844"/>
  <c r="K291" i="844" s="1"/>
  <c r="O289" i="844"/>
  <c r="K289" i="844"/>
  <c r="J289" i="844"/>
  <c r="H289" i="844"/>
  <c r="O288" i="844"/>
  <c r="J288" i="844"/>
  <c r="H288" i="844"/>
  <c r="K288" i="844" s="1"/>
  <c r="J287" i="844"/>
  <c r="H287" i="844"/>
  <c r="K287" i="844" s="1"/>
  <c r="O285" i="844"/>
  <c r="J285" i="844"/>
  <c r="H285" i="844"/>
  <c r="G286" i="844" s="1"/>
  <c r="H286" i="844" s="1"/>
  <c r="J284" i="844"/>
  <c r="H284" i="844"/>
  <c r="K284" i="844" s="1"/>
  <c r="I283" i="844"/>
  <c r="J283" i="844" s="1"/>
  <c r="G283" i="844"/>
  <c r="H283" i="844" s="1"/>
  <c r="J282" i="844"/>
  <c r="H282" i="844"/>
  <c r="K282" i="844" s="1"/>
  <c r="K281" i="844"/>
  <c r="J281" i="844"/>
  <c r="H281" i="844"/>
  <c r="K280" i="844"/>
  <c r="J280" i="844"/>
  <c r="H280" i="844"/>
  <c r="K279" i="844"/>
  <c r="J279" i="844"/>
  <c r="H279" i="844"/>
  <c r="J278" i="844"/>
  <c r="H278" i="844"/>
  <c r="K278" i="844" s="1"/>
  <c r="K277" i="844"/>
  <c r="J277" i="844"/>
  <c r="H277" i="844"/>
  <c r="K276" i="844"/>
  <c r="J276" i="844"/>
  <c r="H276" i="844"/>
  <c r="K275" i="844"/>
  <c r="J275" i="844"/>
  <c r="H275" i="844"/>
  <c r="J274" i="844"/>
  <c r="H274" i="844"/>
  <c r="K274" i="844" s="1"/>
  <c r="K273" i="844"/>
  <c r="J273" i="844"/>
  <c r="H273" i="844"/>
  <c r="J272" i="844"/>
  <c r="G272" i="844"/>
  <c r="H272" i="844" s="1"/>
  <c r="K272" i="844" s="1"/>
  <c r="J271" i="844"/>
  <c r="K271" i="844" s="1"/>
  <c r="H271" i="844"/>
  <c r="J270" i="844"/>
  <c r="H270" i="844"/>
  <c r="K270" i="844" s="1"/>
  <c r="J269" i="844"/>
  <c r="H269" i="844"/>
  <c r="K269" i="844" s="1"/>
  <c r="J268" i="844"/>
  <c r="H268" i="844"/>
  <c r="K268" i="844" s="1"/>
  <c r="J267" i="844"/>
  <c r="K267" i="844" s="1"/>
  <c r="H267" i="844"/>
  <c r="J266" i="844"/>
  <c r="H266" i="844"/>
  <c r="K266" i="844" s="1"/>
  <c r="J265" i="844"/>
  <c r="H265" i="844"/>
  <c r="K265" i="844" s="1"/>
  <c r="J264" i="844"/>
  <c r="H264" i="844"/>
  <c r="K264" i="844" s="1"/>
  <c r="J263" i="844"/>
  <c r="K263" i="844" s="1"/>
  <c r="H263" i="844"/>
  <c r="J262" i="844"/>
  <c r="H262" i="844"/>
  <c r="K262" i="844" s="1"/>
  <c r="J261" i="844"/>
  <c r="H261" i="844"/>
  <c r="K261" i="844" s="1"/>
  <c r="J260" i="844"/>
  <c r="H260" i="844"/>
  <c r="K260" i="844" s="1"/>
  <c r="J259" i="844"/>
  <c r="K259" i="844" s="1"/>
  <c r="H259" i="844"/>
  <c r="I258" i="844"/>
  <c r="J258" i="844" s="1"/>
  <c r="G258" i="844"/>
  <c r="H258" i="844" s="1"/>
  <c r="B256" i="844"/>
  <c r="K250" i="844"/>
  <c r="J250" i="844"/>
  <c r="H250" i="844"/>
  <c r="K249" i="844"/>
  <c r="J249" i="844"/>
  <c r="H249" i="844"/>
  <c r="K248" i="844"/>
  <c r="J248" i="844"/>
  <c r="H248" i="844"/>
  <c r="J247" i="844"/>
  <c r="H247" i="844"/>
  <c r="K247" i="844" s="1"/>
  <c r="K246" i="844"/>
  <c r="J246" i="844"/>
  <c r="H246" i="844"/>
  <c r="K245" i="844"/>
  <c r="J245" i="844"/>
  <c r="H245" i="844"/>
  <c r="K244" i="844"/>
  <c r="J244" i="844"/>
  <c r="H244" i="844"/>
  <c r="J243" i="844"/>
  <c r="H243" i="844"/>
  <c r="K243" i="844" s="1"/>
  <c r="K242" i="844"/>
  <c r="J242" i="844"/>
  <c r="H242" i="844"/>
  <c r="K241" i="844"/>
  <c r="J241" i="844"/>
  <c r="H241" i="844"/>
  <c r="K240" i="844"/>
  <c r="J240" i="844"/>
  <c r="H240" i="844"/>
  <c r="J239" i="844"/>
  <c r="H239" i="844"/>
  <c r="K239" i="844" s="1"/>
  <c r="K238" i="844"/>
  <c r="J238" i="844"/>
  <c r="H238" i="844"/>
  <c r="K237" i="844"/>
  <c r="J237" i="844"/>
  <c r="H237" i="844"/>
  <c r="J236" i="844"/>
  <c r="H236" i="844"/>
  <c r="K236" i="844" s="1"/>
  <c r="J235" i="844"/>
  <c r="H235" i="844"/>
  <c r="K235" i="844" s="1"/>
  <c r="K234" i="844"/>
  <c r="J234" i="844"/>
  <c r="H234" i="844"/>
  <c r="K233" i="844"/>
  <c r="J233" i="844"/>
  <c r="H233" i="844"/>
  <c r="J232" i="844"/>
  <c r="H232" i="844"/>
  <c r="K232" i="844" s="1"/>
  <c r="J231" i="844"/>
  <c r="H231" i="844"/>
  <c r="K231" i="844" s="1"/>
  <c r="K230" i="844"/>
  <c r="J230" i="844"/>
  <c r="H230" i="844"/>
  <c r="K229" i="844"/>
  <c r="J229" i="844"/>
  <c r="H229" i="844"/>
  <c r="K228" i="844"/>
  <c r="J228" i="844"/>
  <c r="H228" i="844"/>
  <c r="B226" i="844"/>
  <c r="J221" i="844"/>
  <c r="H221" i="844"/>
  <c r="K221" i="844" s="1"/>
  <c r="J220" i="844"/>
  <c r="H220" i="844"/>
  <c r="K220" i="844" s="1"/>
  <c r="J219" i="844"/>
  <c r="K219" i="844" s="1"/>
  <c r="H219" i="844"/>
  <c r="J218" i="844"/>
  <c r="H218" i="844"/>
  <c r="K218" i="844" s="1"/>
  <c r="J217" i="844"/>
  <c r="H217" i="844"/>
  <c r="K217" i="844" s="1"/>
  <c r="J216" i="844"/>
  <c r="H216" i="844"/>
  <c r="K216" i="844" s="1"/>
  <c r="J215" i="844"/>
  <c r="K215" i="844" s="1"/>
  <c r="H215" i="844"/>
  <c r="J214" i="844"/>
  <c r="H214" i="844"/>
  <c r="K214" i="844" s="1"/>
  <c r="J213" i="844"/>
  <c r="H213" i="844"/>
  <c r="K213" i="844" s="1"/>
  <c r="J212" i="844"/>
  <c r="H212" i="844"/>
  <c r="B209" i="844"/>
  <c r="J204" i="844"/>
  <c r="K204" i="844" s="1"/>
  <c r="H204" i="844"/>
  <c r="J203" i="844"/>
  <c r="H203" i="844"/>
  <c r="I202" i="844"/>
  <c r="J202" i="844" s="1"/>
  <c r="G202" i="844"/>
  <c r="H202" i="844" s="1"/>
  <c r="J201" i="844"/>
  <c r="H201" i="844"/>
  <c r="K201" i="844" s="1"/>
  <c r="K200" i="844"/>
  <c r="J200" i="844"/>
  <c r="H200" i="844"/>
  <c r="K199" i="844"/>
  <c r="J199" i="844"/>
  <c r="H199" i="844"/>
  <c r="O198" i="844"/>
  <c r="J198" i="844"/>
  <c r="K198" i="844" s="1"/>
  <c r="H198" i="844"/>
  <c r="O197" i="844"/>
  <c r="J197" i="844"/>
  <c r="K197" i="844" s="1"/>
  <c r="H197" i="844"/>
  <c r="O196" i="844"/>
  <c r="K196" i="844"/>
  <c r="J196" i="844"/>
  <c r="H196" i="844"/>
  <c r="O195" i="844"/>
  <c r="J195" i="844"/>
  <c r="K195" i="844" s="1"/>
  <c r="H195" i="844"/>
  <c r="O194" i="844"/>
  <c r="J194" i="844"/>
  <c r="K194" i="844" s="1"/>
  <c r="H194" i="844"/>
  <c r="O193" i="844"/>
  <c r="K193" i="844"/>
  <c r="J193" i="844"/>
  <c r="H193" i="844"/>
  <c r="J192" i="844"/>
  <c r="H192" i="844"/>
  <c r="G191" i="844"/>
  <c r="O190" i="844"/>
  <c r="J190" i="844"/>
  <c r="K190" i="844" s="1"/>
  <c r="H190" i="844"/>
  <c r="J189" i="844"/>
  <c r="H189" i="844"/>
  <c r="B187" i="844"/>
  <c r="J181" i="844"/>
  <c r="H181" i="844"/>
  <c r="K181" i="844" s="1"/>
  <c r="J180" i="844"/>
  <c r="K180" i="844" s="1"/>
  <c r="H180" i="844"/>
  <c r="J179" i="844"/>
  <c r="H179" i="844"/>
  <c r="O177" i="844"/>
  <c r="J177" i="844"/>
  <c r="H177" i="844"/>
  <c r="K177" i="844" s="1"/>
  <c r="O176" i="844"/>
  <c r="J176" i="844"/>
  <c r="H176" i="844"/>
  <c r="K176" i="844" s="1"/>
  <c r="O175" i="844"/>
  <c r="J175" i="844"/>
  <c r="H175" i="844"/>
  <c r="K175" i="844" s="1"/>
  <c r="O174" i="844"/>
  <c r="J174" i="844"/>
  <c r="H174" i="844"/>
  <c r="K174" i="844" s="1"/>
  <c r="J173" i="844"/>
  <c r="H173" i="844"/>
  <c r="P171" i="844"/>
  <c r="J171" i="844"/>
  <c r="K171" i="844" s="1"/>
  <c r="H171" i="844"/>
  <c r="P170" i="844"/>
  <c r="J170" i="844"/>
  <c r="K170" i="844" s="1"/>
  <c r="H170" i="844"/>
  <c r="P169" i="844"/>
  <c r="K169" i="844"/>
  <c r="J169" i="844"/>
  <c r="H169" i="844"/>
  <c r="P168" i="844"/>
  <c r="J168" i="844"/>
  <c r="K168" i="844" s="1"/>
  <c r="H168" i="844"/>
  <c r="P167" i="844"/>
  <c r="O167" i="844"/>
  <c r="K167" i="844"/>
  <c r="J167" i="844"/>
  <c r="H167" i="844"/>
  <c r="P166" i="844"/>
  <c r="O166" i="844"/>
  <c r="J166" i="844"/>
  <c r="H166" i="844"/>
  <c r="K166" i="844" s="1"/>
  <c r="P165" i="844"/>
  <c r="O165" i="844"/>
  <c r="J165" i="844"/>
  <c r="H165" i="844"/>
  <c r="K165" i="844" s="1"/>
  <c r="P164" i="844"/>
  <c r="O164" i="844"/>
  <c r="K164" i="844"/>
  <c r="J164" i="844"/>
  <c r="H164" i="844"/>
  <c r="P163" i="844"/>
  <c r="O163" i="844"/>
  <c r="K163" i="844"/>
  <c r="J163" i="844"/>
  <c r="H163" i="844"/>
  <c r="P162" i="844"/>
  <c r="O162" i="844"/>
  <c r="J162" i="844"/>
  <c r="H162" i="844"/>
  <c r="K162" i="844" s="1"/>
  <c r="P161" i="844"/>
  <c r="O161" i="844"/>
  <c r="J161" i="844"/>
  <c r="H161" i="844"/>
  <c r="K161" i="844" s="1"/>
  <c r="P160" i="844"/>
  <c r="O160" i="844"/>
  <c r="J160" i="844"/>
  <c r="K160" i="844" s="1"/>
  <c r="H160" i="844"/>
  <c r="P159" i="844"/>
  <c r="O159" i="844"/>
  <c r="J159" i="844"/>
  <c r="H159" i="844"/>
  <c r="P158" i="844"/>
  <c r="O158" i="844"/>
  <c r="J158" i="844"/>
  <c r="H158" i="844"/>
  <c r="K158" i="844" s="1"/>
  <c r="J155" i="844"/>
  <c r="H155" i="844"/>
  <c r="J154" i="844"/>
  <c r="B154" i="844"/>
  <c r="J145" i="844"/>
  <c r="H145" i="844"/>
  <c r="K145" i="844" s="1"/>
  <c r="J144" i="844"/>
  <c r="H144" i="844"/>
  <c r="K144" i="844" s="1"/>
  <c r="K143" i="844"/>
  <c r="J143" i="844"/>
  <c r="H143" i="844"/>
  <c r="K141" i="844"/>
  <c r="J141" i="844"/>
  <c r="H141" i="844"/>
  <c r="H138" i="844"/>
  <c r="H13" i="844" s="1"/>
  <c r="B138" i="844"/>
  <c r="I133" i="844"/>
  <c r="J133" i="844" s="1"/>
  <c r="K133" i="844" s="1"/>
  <c r="H133" i="844"/>
  <c r="H132" i="844"/>
  <c r="K132" i="844" s="1"/>
  <c r="H131" i="844"/>
  <c r="K131" i="844" s="1"/>
  <c r="K130" i="844"/>
  <c r="H130" i="844"/>
  <c r="K129" i="844"/>
  <c r="H129" i="844"/>
  <c r="H128" i="844"/>
  <c r="K128" i="844" s="1"/>
  <c r="K127" i="844"/>
  <c r="H127" i="844"/>
  <c r="H126" i="844"/>
  <c r="K126" i="844" s="1"/>
  <c r="H125" i="844"/>
  <c r="K125" i="844" s="1"/>
  <c r="K124" i="844"/>
  <c r="H124" i="844"/>
  <c r="K123" i="844"/>
  <c r="H123" i="844"/>
  <c r="H122" i="844"/>
  <c r="K122" i="844" s="1"/>
  <c r="K121" i="844"/>
  <c r="H121" i="844"/>
  <c r="H120" i="844"/>
  <c r="K120" i="844" s="1"/>
  <c r="H119" i="844"/>
  <c r="K119" i="844" s="1"/>
  <c r="K118" i="844"/>
  <c r="H118" i="844"/>
  <c r="K117" i="844"/>
  <c r="H117" i="844"/>
  <c r="H116" i="844"/>
  <c r="K116" i="844" s="1"/>
  <c r="K115" i="844"/>
  <c r="H115" i="844"/>
  <c r="H114" i="844"/>
  <c r="K114" i="844" s="1"/>
  <c r="H113" i="844"/>
  <c r="K113" i="844" s="1"/>
  <c r="K112" i="844"/>
  <c r="H112" i="844"/>
  <c r="K111" i="844"/>
  <c r="H111" i="844"/>
  <c r="I108" i="844"/>
  <c r="J108" i="844" s="1"/>
  <c r="H108" i="844"/>
  <c r="H107" i="844"/>
  <c r="K107" i="844" s="1"/>
  <c r="H106" i="844"/>
  <c r="K106" i="844" s="1"/>
  <c r="K105" i="844"/>
  <c r="H105" i="844"/>
  <c r="K104" i="844"/>
  <c r="H104" i="844"/>
  <c r="H103" i="844"/>
  <c r="K103" i="844" s="1"/>
  <c r="K102" i="844"/>
  <c r="H102" i="844"/>
  <c r="H101" i="844"/>
  <c r="K101" i="844" s="1"/>
  <c r="H100" i="844"/>
  <c r="K100" i="844" s="1"/>
  <c r="K99" i="844"/>
  <c r="H99" i="844"/>
  <c r="K98" i="844"/>
  <c r="H98" i="844"/>
  <c r="H97" i="844"/>
  <c r="K97" i="844" s="1"/>
  <c r="K96" i="844"/>
  <c r="H96" i="844"/>
  <c r="H95" i="844"/>
  <c r="K95" i="844" s="1"/>
  <c r="H94" i="844"/>
  <c r="K94" i="844" s="1"/>
  <c r="K93" i="844"/>
  <c r="H93" i="844"/>
  <c r="K92" i="844"/>
  <c r="H92" i="844"/>
  <c r="H91" i="844"/>
  <c r="K91" i="844" s="1"/>
  <c r="K90" i="844"/>
  <c r="H90" i="844"/>
  <c r="H89" i="844"/>
  <c r="K89" i="844" s="1"/>
  <c r="H88" i="844"/>
  <c r="K88" i="844" s="1"/>
  <c r="K87" i="844"/>
  <c r="H87" i="844"/>
  <c r="K86" i="844"/>
  <c r="H86" i="844"/>
  <c r="H82" i="844"/>
  <c r="H12" i="844" s="1"/>
  <c r="B82" i="844"/>
  <c r="J78" i="844"/>
  <c r="K78" i="844" s="1"/>
  <c r="I78" i="844"/>
  <c r="H78" i="844"/>
  <c r="K77" i="844"/>
  <c r="H77" i="844"/>
  <c r="K76" i="844"/>
  <c r="H76" i="844"/>
  <c r="H75" i="844"/>
  <c r="K75" i="844" s="1"/>
  <c r="K74" i="844"/>
  <c r="H74" i="844"/>
  <c r="H73" i="844"/>
  <c r="K73" i="844" s="1"/>
  <c r="H72" i="844"/>
  <c r="K72" i="844" s="1"/>
  <c r="K71" i="844"/>
  <c r="H71" i="844"/>
  <c r="K70" i="844"/>
  <c r="H70" i="844"/>
  <c r="H69" i="844"/>
  <c r="K69" i="844" s="1"/>
  <c r="K68" i="844"/>
  <c r="H68" i="844"/>
  <c r="H67" i="844"/>
  <c r="K67" i="844" s="1"/>
  <c r="H66" i="844"/>
  <c r="K66" i="844" s="1"/>
  <c r="K65" i="844"/>
  <c r="H65" i="844"/>
  <c r="K64" i="844"/>
  <c r="H64" i="844"/>
  <c r="H63" i="844"/>
  <c r="K63" i="844" s="1"/>
  <c r="K62" i="844"/>
  <c r="H62" i="844"/>
  <c r="H61" i="844"/>
  <c r="K61" i="844" s="1"/>
  <c r="I55" i="844"/>
  <c r="J55" i="844" s="1"/>
  <c r="H55" i="844"/>
  <c r="K54" i="844"/>
  <c r="H54" i="844"/>
  <c r="H53" i="844"/>
  <c r="K53" i="844" s="1"/>
  <c r="K52" i="844"/>
  <c r="H52" i="844"/>
  <c r="H51" i="844"/>
  <c r="K51" i="844" s="1"/>
  <c r="H50" i="844"/>
  <c r="K50" i="844" s="1"/>
  <c r="K49" i="844"/>
  <c r="H49" i="844"/>
  <c r="K48" i="844"/>
  <c r="H48" i="844"/>
  <c r="H47" i="844"/>
  <c r="K47" i="844" s="1"/>
  <c r="K46" i="844"/>
  <c r="H46" i="844"/>
  <c r="H45" i="844"/>
  <c r="K45" i="844" s="1"/>
  <c r="H44" i="844"/>
  <c r="K44" i="844" s="1"/>
  <c r="K43" i="844"/>
  <c r="H43" i="844"/>
  <c r="K42" i="844"/>
  <c r="H42" i="844"/>
  <c r="H41" i="844"/>
  <c r="K41" i="844" s="1"/>
  <c r="K40" i="844"/>
  <c r="H40" i="844"/>
  <c r="H39" i="844"/>
  <c r="K39" i="844" s="1"/>
  <c r="H38" i="844"/>
  <c r="K38" i="844" s="1"/>
  <c r="B34" i="844"/>
  <c r="B23" i="844"/>
  <c r="A23" i="844"/>
  <c r="B22" i="844"/>
  <c r="A22" i="844"/>
  <c r="B21" i="844"/>
  <c r="A21" i="844"/>
  <c r="B20" i="844"/>
  <c r="A20" i="844"/>
  <c r="B19" i="844"/>
  <c r="A19" i="844"/>
  <c r="B18" i="844"/>
  <c r="A18" i="844"/>
  <c r="B17" i="844"/>
  <c r="A17" i="844"/>
  <c r="B16" i="844"/>
  <c r="A16" i="844"/>
  <c r="B15" i="844"/>
  <c r="A15" i="844"/>
  <c r="J14" i="844"/>
  <c r="B14" i="844"/>
  <c r="A14" i="844"/>
  <c r="B13" i="844"/>
  <c r="A13" i="844"/>
  <c r="B12" i="844"/>
  <c r="A12" i="844"/>
  <c r="B322" i="843"/>
  <c r="G316" i="843"/>
  <c r="O315" i="843"/>
  <c r="K315" i="843"/>
  <c r="J315" i="843"/>
  <c r="H315" i="843"/>
  <c r="J313" i="843"/>
  <c r="H313" i="843"/>
  <c r="J311" i="843"/>
  <c r="K311" i="843" s="1"/>
  <c r="H311" i="843"/>
  <c r="J309" i="843"/>
  <c r="H309" i="843"/>
  <c r="K308" i="843"/>
  <c r="J308" i="843"/>
  <c r="H308" i="843"/>
  <c r="B306" i="843"/>
  <c r="H301" i="843"/>
  <c r="G301" i="843"/>
  <c r="I301" i="843" s="1"/>
  <c r="J301" i="843" s="1"/>
  <c r="K300" i="843"/>
  <c r="J300" i="843"/>
  <c r="H300" i="843"/>
  <c r="J295" i="843"/>
  <c r="H295" i="843"/>
  <c r="J294" i="843"/>
  <c r="K294" i="843" s="1"/>
  <c r="H294" i="843"/>
  <c r="I292" i="843"/>
  <c r="J292" i="843" s="1"/>
  <c r="H292" i="843"/>
  <c r="J291" i="843"/>
  <c r="I291" i="843"/>
  <c r="H291" i="843"/>
  <c r="K291" i="843" s="1"/>
  <c r="I289" i="843"/>
  <c r="J289" i="843" s="1"/>
  <c r="K289" i="843" s="1"/>
  <c r="H289" i="843"/>
  <c r="I288" i="843"/>
  <c r="J288" i="843" s="1"/>
  <c r="H288" i="843"/>
  <c r="B285" i="843"/>
  <c r="K280" i="843"/>
  <c r="I280" i="843"/>
  <c r="J280" i="843" s="1"/>
  <c r="O279" i="843"/>
  <c r="K279" i="843"/>
  <c r="J279" i="843"/>
  <c r="H279" i="843"/>
  <c r="G280" i="843" s="1"/>
  <c r="H280" i="843" s="1"/>
  <c r="H277" i="843"/>
  <c r="K277" i="843" s="1"/>
  <c r="G277" i="843"/>
  <c r="I277" i="843" s="1"/>
  <c r="J277" i="843" s="1"/>
  <c r="J285" i="843" s="1"/>
  <c r="J21" i="843" s="1"/>
  <c r="K276" i="843"/>
  <c r="J276" i="843"/>
  <c r="H276" i="843"/>
  <c r="K274" i="843"/>
  <c r="H274" i="843"/>
  <c r="K273" i="843"/>
  <c r="H273" i="843"/>
  <c r="K272" i="843"/>
  <c r="H272" i="843"/>
  <c r="H271" i="843"/>
  <c r="K271" i="843" s="1"/>
  <c r="K270" i="843"/>
  <c r="H270" i="843"/>
  <c r="K269" i="843"/>
  <c r="J269" i="843"/>
  <c r="H269" i="843"/>
  <c r="B266" i="843"/>
  <c r="J263" i="843"/>
  <c r="H263" i="843"/>
  <c r="K263" i="843" s="1"/>
  <c r="J262" i="843"/>
  <c r="H262" i="843"/>
  <c r="K262" i="843" s="1"/>
  <c r="O260" i="843"/>
  <c r="J260" i="843"/>
  <c r="H260" i="843"/>
  <c r="J259" i="843"/>
  <c r="H259" i="843"/>
  <c r="K259" i="843" s="1"/>
  <c r="O257" i="843"/>
  <c r="J257" i="843"/>
  <c r="H257" i="843"/>
  <c r="O256" i="843"/>
  <c r="K256" i="843"/>
  <c r="J256" i="843"/>
  <c r="H256" i="843"/>
  <c r="J255" i="843"/>
  <c r="H255" i="843"/>
  <c r="K255" i="843" s="1"/>
  <c r="J254" i="843"/>
  <c r="I254" i="843"/>
  <c r="H254" i="843"/>
  <c r="K254" i="843" s="1"/>
  <c r="J253" i="843"/>
  <c r="K253" i="843" s="1"/>
  <c r="H253" i="843"/>
  <c r="K252" i="843"/>
  <c r="J252" i="843"/>
  <c r="H252" i="843"/>
  <c r="B250" i="843"/>
  <c r="J244" i="843"/>
  <c r="H244" i="843"/>
  <c r="K244" i="843" s="1"/>
  <c r="K243" i="843"/>
  <c r="J243" i="843"/>
  <c r="H243" i="843"/>
  <c r="O241" i="843"/>
  <c r="J241" i="843"/>
  <c r="H241" i="843"/>
  <c r="O240" i="843"/>
  <c r="J240" i="843"/>
  <c r="K240" i="843" s="1"/>
  <c r="H240" i="843"/>
  <c r="J239" i="843"/>
  <c r="K239" i="843" s="1"/>
  <c r="H239" i="843"/>
  <c r="J238" i="843"/>
  <c r="H238" i="843"/>
  <c r="G238" i="843"/>
  <c r="I238" i="843" s="1"/>
  <c r="O237" i="843"/>
  <c r="J237" i="843"/>
  <c r="K237" i="843" s="1"/>
  <c r="H237" i="843"/>
  <c r="K236" i="843"/>
  <c r="J236" i="843"/>
  <c r="H236" i="843"/>
  <c r="G235" i="843"/>
  <c r="K234" i="843"/>
  <c r="J234" i="843"/>
  <c r="H234" i="843"/>
  <c r="J233" i="843"/>
  <c r="H233" i="843"/>
  <c r="K233" i="843" s="1"/>
  <c r="J232" i="843"/>
  <c r="H232" i="843"/>
  <c r="K232" i="843" s="1"/>
  <c r="J231" i="843"/>
  <c r="H231" i="843"/>
  <c r="K231" i="843" s="1"/>
  <c r="J230" i="843"/>
  <c r="H230" i="843"/>
  <c r="K230" i="843" s="1"/>
  <c r="J229" i="843"/>
  <c r="H229" i="843"/>
  <c r="K229" i="843" s="1"/>
  <c r="J228" i="843"/>
  <c r="H228" i="843"/>
  <c r="K228" i="843" s="1"/>
  <c r="J227" i="843"/>
  <c r="H227" i="843"/>
  <c r="J226" i="843"/>
  <c r="K226" i="843" s="1"/>
  <c r="H226" i="843"/>
  <c r="J225" i="843"/>
  <c r="H225" i="843"/>
  <c r="J224" i="843"/>
  <c r="H224" i="843"/>
  <c r="K224" i="843" s="1"/>
  <c r="G224" i="843"/>
  <c r="J223" i="843"/>
  <c r="H223" i="843"/>
  <c r="K223" i="843" s="1"/>
  <c r="J222" i="843"/>
  <c r="K222" i="843" s="1"/>
  <c r="H222" i="843"/>
  <c r="K221" i="843"/>
  <c r="J221" i="843"/>
  <c r="H221" i="843"/>
  <c r="K220" i="843"/>
  <c r="J220" i="843"/>
  <c r="H220" i="843"/>
  <c r="J219" i="843"/>
  <c r="H219" i="843"/>
  <c r="K219" i="843" s="1"/>
  <c r="J218" i="843"/>
  <c r="K218" i="843" s="1"/>
  <c r="H218" i="843"/>
  <c r="K217" i="843"/>
  <c r="J217" i="843"/>
  <c r="H217" i="843"/>
  <c r="K216" i="843"/>
  <c r="J216" i="843"/>
  <c r="H216" i="843"/>
  <c r="J215" i="843"/>
  <c r="H215" i="843"/>
  <c r="K215" i="843" s="1"/>
  <c r="J214" i="843"/>
  <c r="K214" i="843" s="1"/>
  <c r="H214" i="843"/>
  <c r="K213" i="843"/>
  <c r="J213" i="843"/>
  <c r="H213" i="843"/>
  <c r="K212" i="843"/>
  <c r="J212" i="843"/>
  <c r="H212" i="843"/>
  <c r="J211" i="843"/>
  <c r="H211" i="843"/>
  <c r="K211" i="843" s="1"/>
  <c r="H210" i="843"/>
  <c r="G210" i="843"/>
  <c r="I210" i="843" s="1"/>
  <c r="J210" i="843" s="1"/>
  <c r="B208" i="843"/>
  <c r="J202" i="843"/>
  <c r="H202" i="843"/>
  <c r="J201" i="843"/>
  <c r="H201" i="843"/>
  <c r="K201" i="843" s="1"/>
  <c r="J200" i="843"/>
  <c r="H200" i="843"/>
  <c r="K200" i="843" s="1"/>
  <c r="K199" i="843"/>
  <c r="J199" i="843"/>
  <c r="H199" i="843"/>
  <c r="J198" i="843"/>
  <c r="H198" i="843"/>
  <c r="K198" i="843" s="1"/>
  <c r="J197" i="843"/>
  <c r="H197" i="843"/>
  <c r="K197" i="843" s="1"/>
  <c r="J196" i="843"/>
  <c r="H196" i="843"/>
  <c r="K196" i="843" s="1"/>
  <c r="K195" i="843"/>
  <c r="J195" i="843"/>
  <c r="H195" i="843"/>
  <c r="J194" i="843"/>
  <c r="H194" i="843"/>
  <c r="K194" i="843" s="1"/>
  <c r="J193" i="843"/>
  <c r="H193" i="843"/>
  <c r="K193" i="843" s="1"/>
  <c r="J192" i="843"/>
  <c r="H192" i="843"/>
  <c r="K192" i="843" s="1"/>
  <c r="K191" i="843"/>
  <c r="J191" i="843"/>
  <c r="H191" i="843"/>
  <c r="J190" i="843"/>
  <c r="H190" i="843"/>
  <c r="J189" i="843"/>
  <c r="H189" i="843"/>
  <c r="K189" i="843" s="1"/>
  <c r="J188" i="843"/>
  <c r="H188" i="843"/>
  <c r="K188" i="843" s="1"/>
  <c r="K187" i="843"/>
  <c r="J187" i="843"/>
  <c r="H187" i="843"/>
  <c r="J186" i="843"/>
  <c r="H186" i="843"/>
  <c r="J185" i="843"/>
  <c r="H185" i="843"/>
  <c r="K185" i="843" s="1"/>
  <c r="J184" i="843"/>
  <c r="H184" i="843"/>
  <c r="K184" i="843" s="1"/>
  <c r="K183" i="843"/>
  <c r="J183" i="843"/>
  <c r="H183" i="843"/>
  <c r="J182" i="843"/>
  <c r="H182" i="843"/>
  <c r="J181" i="843"/>
  <c r="H181" i="843"/>
  <c r="K181" i="843" s="1"/>
  <c r="J180" i="843"/>
  <c r="H180" i="843"/>
  <c r="B178" i="843"/>
  <c r="K173" i="843"/>
  <c r="J173" i="843"/>
  <c r="H173" i="843"/>
  <c r="J172" i="843"/>
  <c r="H172" i="843"/>
  <c r="K172" i="843" s="1"/>
  <c r="J171" i="843"/>
  <c r="H171" i="843"/>
  <c r="K171" i="843" s="1"/>
  <c r="J170" i="843"/>
  <c r="K170" i="843" s="1"/>
  <c r="H170" i="843"/>
  <c r="K169" i="843"/>
  <c r="J169" i="843"/>
  <c r="H169" i="843"/>
  <c r="J168" i="843"/>
  <c r="H168" i="843"/>
  <c r="K168" i="843" s="1"/>
  <c r="J167" i="843"/>
  <c r="H167" i="843"/>
  <c r="K167" i="843" s="1"/>
  <c r="J166" i="843"/>
  <c r="K166" i="843" s="1"/>
  <c r="H166" i="843"/>
  <c r="K165" i="843"/>
  <c r="J165" i="843"/>
  <c r="J178" i="843" s="1"/>
  <c r="J17" i="843" s="1"/>
  <c r="H165" i="843"/>
  <c r="J164" i="843"/>
  <c r="H164" i="843"/>
  <c r="K164" i="843" s="1"/>
  <c r="B161" i="843"/>
  <c r="J156" i="843"/>
  <c r="H156" i="843"/>
  <c r="K156" i="843" s="1"/>
  <c r="J155" i="843"/>
  <c r="H155" i="843"/>
  <c r="K153" i="843"/>
  <c r="J153" i="843"/>
  <c r="H153" i="843"/>
  <c r="J152" i="843"/>
  <c r="H152" i="843"/>
  <c r="K152" i="843" s="1"/>
  <c r="J151" i="843"/>
  <c r="H151" i="843"/>
  <c r="K151" i="843" s="1"/>
  <c r="O150" i="843"/>
  <c r="J150" i="843"/>
  <c r="H150" i="843"/>
  <c r="K150" i="843" s="1"/>
  <c r="O149" i="843"/>
  <c r="J149" i="843"/>
  <c r="H149" i="843"/>
  <c r="K149" i="843" s="1"/>
  <c r="O148" i="843"/>
  <c r="J148" i="843"/>
  <c r="H148" i="843"/>
  <c r="K148" i="843" s="1"/>
  <c r="O147" i="843"/>
  <c r="J147" i="843"/>
  <c r="H147" i="843"/>
  <c r="K147" i="843" s="1"/>
  <c r="O146" i="843"/>
  <c r="J146" i="843"/>
  <c r="H146" i="843"/>
  <c r="O145" i="843"/>
  <c r="J145" i="843"/>
  <c r="H145" i="843"/>
  <c r="K145" i="843" s="1"/>
  <c r="J144" i="843"/>
  <c r="H144" i="843"/>
  <c r="K143" i="843"/>
  <c r="J143" i="843"/>
  <c r="I143" i="843"/>
  <c r="H143" i="843"/>
  <c r="G143" i="843"/>
  <c r="O142" i="843"/>
  <c r="K142" i="843"/>
  <c r="J142" i="843"/>
  <c r="H142" i="843"/>
  <c r="J141" i="843"/>
  <c r="H141" i="843"/>
  <c r="B139" i="843"/>
  <c r="J133" i="843"/>
  <c r="H133" i="843"/>
  <c r="K133" i="843" s="1"/>
  <c r="J132" i="843"/>
  <c r="H132" i="843"/>
  <c r="K132" i="843" s="1"/>
  <c r="J131" i="843"/>
  <c r="H131" i="843"/>
  <c r="O129" i="843"/>
  <c r="K129" i="843"/>
  <c r="J129" i="843"/>
  <c r="H129" i="843"/>
  <c r="O128" i="843"/>
  <c r="J128" i="843"/>
  <c r="H128" i="843"/>
  <c r="K128" i="843" s="1"/>
  <c r="O127" i="843"/>
  <c r="K127" i="843"/>
  <c r="J127" i="843"/>
  <c r="H127" i="843"/>
  <c r="O126" i="843"/>
  <c r="K126" i="843"/>
  <c r="J126" i="843"/>
  <c r="H126" i="843"/>
  <c r="J125" i="843"/>
  <c r="H125" i="843"/>
  <c r="P123" i="843"/>
  <c r="J123" i="843"/>
  <c r="H123" i="843"/>
  <c r="K123" i="843" s="1"/>
  <c r="P122" i="843"/>
  <c r="J122" i="843"/>
  <c r="H122" i="843"/>
  <c r="K122" i="843" s="1"/>
  <c r="P121" i="843"/>
  <c r="J121" i="843"/>
  <c r="H121" i="843"/>
  <c r="K121" i="843" s="1"/>
  <c r="P120" i="843"/>
  <c r="J120" i="843"/>
  <c r="H120" i="843"/>
  <c r="K120" i="843" s="1"/>
  <c r="P119" i="843"/>
  <c r="O119" i="843"/>
  <c r="J119" i="843"/>
  <c r="H119" i="843"/>
  <c r="P118" i="843"/>
  <c r="O118" i="843"/>
  <c r="J118" i="843"/>
  <c r="H118" i="843"/>
  <c r="K118" i="843" s="1"/>
  <c r="P117" i="843"/>
  <c r="O117" i="843"/>
  <c r="K117" i="843"/>
  <c r="J117" i="843"/>
  <c r="H117" i="843"/>
  <c r="P116" i="843"/>
  <c r="O116" i="843"/>
  <c r="J116" i="843"/>
  <c r="H116" i="843"/>
  <c r="K116" i="843" s="1"/>
  <c r="P115" i="843"/>
  <c r="O115" i="843"/>
  <c r="K115" i="843"/>
  <c r="J115" i="843"/>
  <c r="H115" i="843"/>
  <c r="P114" i="843"/>
  <c r="O114" i="843"/>
  <c r="K114" i="843"/>
  <c r="J114" i="843"/>
  <c r="H114" i="843"/>
  <c r="P113" i="843"/>
  <c r="O113" i="843"/>
  <c r="J113" i="843"/>
  <c r="H113" i="843"/>
  <c r="K113" i="843" s="1"/>
  <c r="P112" i="843"/>
  <c r="O112" i="843"/>
  <c r="J112" i="843"/>
  <c r="H112" i="843"/>
  <c r="K112" i="843" s="1"/>
  <c r="P111" i="843"/>
  <c r="O111" i="843"/>
  <c r="J111" i="843"/>
  <c r="H111" i="843"/>
  <c r="K111" i="843" s="1"/>
  <c r="P110" i="843"/>
  <c r="O110" i="843"/>
  <c r="K110" i="843"/>
  <c r="J110" i="843"/>
  <c r="H110" i="843"/>
  <c r="G134" i="843" s="1"/>
  <c r="H134" i="843" s="1"/>
  <c r="J107" i="843"/>
  <c r="H107" i="843"/>
  <c r="B106" i="843"/>
  <c r="J98" i="843"/>
  <c r="H98" i="843"/>
  <c r="K98" i="843" s="1"/>
  <c r="K97" i="843"/>
  <c r="J97" i="843"/>
  <c r="H97" i="843"/>
  <c r="J96" i="843"/>
  <c r="H96" i="843"/>
  <c r="J94" i="843"/>
  <c r="J106" i="843" s="1"/>
  <c r="J14" i="843" s="1"/>
  <c r="H94" i="843"/>
  <c r="K94" i="843" s="1"/>
  <c r="B91" i="843"/>
  <c r="J86" i="843"/>
  <c r="I86" i="843"/>
  <c r="H86" i="843"/>
  <c r="K85" i="843"/>
  <c r="I85" i="843"/>
  <c r="J85" i="843" s="1"/>
  <c r="H85" i="843"/>
  <c r="I84" i="843"/>
  <c r="J84" i="843" s="1"/>
  <c r="H84" i="843"/>
  <c r="B82" i="843"/>
  <c r="I78" i="843"/>
  <c r="J78" i="843" s="1"/>
  <c r="K78" i="843" s="1"/>
  <c r="H78" i="843"/>
  <c r="H77" i="843"/>
  <c r="K77" i="843" s="1"/>
  <c r="K76" i="843"/>
  <c r="H76" i="843"/>
  <c r="K75" i="843"/>
  <c r="H75" i="843"/>
  <c r="H74" i="843"/>
  <c r="K74" i="843" s="1"/>
  <c r="K73" i="843"/>
  <c r="H73" i="843"/>
  <c r="K72" i="843"/>
  <c r="H72" i="843"/>
  <c r="H71" i="843"/>
  <c r="K71" i="843" s="1"/>
  <c r="K70" i="843"/>
  <c r="H70" i="843"/>
  <c r="K69" i="843"/>
  <c r="H69" i="843"/>
  <c r="H68" i="843"/>
  <c r="K68" i="843" s="1"/>
  <c r="K67" i="843"/>
  <c r="H67" i="843"/>
  <c r="K66" i="843"/>
  <c r="H66" i="843"/>
  <c r="H65" i="843"/>
  <c r="K65" i="843" s="1"/>
  <c r="K64" i="843"/>
  <c r="H64" i="843"/>
  <c r="K63" i="843"/>
  <c r="H63" i="843"/>
  <c r="H62" i="843"/>
  <c r="K62" i="843" s="1"/>
  <c r="K61" i="843"/>
  <c r="H61" i="843"/>
  <c r="I55" i="843"/>
  <c r="J55" i="843" s="1"/>
  <c r="H55" i="843"/>
  <c r="K54" i="843"/>
  <c r="H54" i="843"/>
  <c r="K53" i="843"/>
  <c r="H53" i="843"/>
  <c r="H52" i="843"/>
  <c r="K52" i="843" s="1"/>
  <c r="K51" i="843"/>
  <c r="H51" i="843"/>
  <c r="K50" i="843"/>
  <c r="H50" i="843"/>
  <c r="H49" i="843"/>
  <c r="K49" i="843" s="1"/>
  <c r="K48" i="843"/>
  <c r="H48" i="843"/>
  <c r="K47" i="843"/>
  <c r="H47" i="843"/>
  <c r="H46" i="843"/>
  <c r="K46" i="843" s="1"/>
  <c r="K45" i="843"/>
  <c r="H45" i="843"/>
  <c r="H44" i="843"/>
  <c r="K44" i="843" s="1"/>
  <c r="H43" i="843"/>
  <c r="K43" i="843" s="1"/>
  <c r="K42" i="843"/>
  <c r="H42" i="843"/>
  <c r="K41" i="843"/>
  <c r="H41" i="843"/>
  <c r="H40" i="843"/>
  <c r="K40" i="843" s="1"/>
  <c r="K39" i="843"/>
  <c r="H39" i="843"/>
  <c r="H38" i="843"/>
  <c r="K38" i="843" s="1"/>
  <c r="B34" i="843"/>
  <c r="B23" i="843"/>
  <c r="A23" i="843"/>
  <c r="B22" i="843"/>
  <c r="A22" i="843"/>
  <c r="B21" i="843"/>
  <c r="A21" i="843"/>
  <c r="B20" i="843"/>
  <c r="A20" i="843"/>
  <c r="B19" i="843"/>
  <c r="A19" i="843"/>
  <c r="B18" i="843"/>
  <c r="A18" i="843"/>
  <c r="B17" i="843"/>
  <c r="A17" i="843"/>
  <c r="B16" i="843"/>
  <c r="A16" i="843"/>
  <c r="B15" i="843"/>
  <c r="A15" i="843"/>
  <c r="B14" i="843"/>
  <c r="A14" i="843"/>
  <c r="B13" i="843"/>
  <c r="A13" i="843"/>
  <c r="B12" i="843"/>
  <c r="A12" i="843"/>
  <c r="B322" i="842"/>
  <c r="O317" i="842"/>
  <c r="K317" i="842"/>
  <c r="J317" i="842"/>
  <c r="H317" i="842"/>
  <c r="J315" i="842"/>
  <c r="H315" i="842"/>
  <c r="K313" i="842"/>
  <c r="J313" i="842"/>
  <c r="H313" i="842"/>
  <c r="J311" i="842"/>
  <c r="H311" i="842"/>
  <c r="K311" i="842" s="1"/>
  <c r="K310" i="842"/>
  <c r="J310" i="842"/>
  <c r="H310" i="842"/>
  <c r="B308" i="842"/>
  <c r="K304" i="842"/>
  <c r="J304" i="842"/>
  <c r="H304" i="842"/>
  <c r="G305" i="842" s="1"/>
  <c r="J301" i="842"/>
  <c r="H301" i="842"/>
  <c r="K301" i="842" s="1"/>
  <c r="J300" i="842"/>
  <c r="H300" i="842"/>
  <c r="G302" i="842" s="1"/>
  <c r="I302" i="842" s="1"/>
  <c r="J302" i="842" s="1"/>
  <c r="J298" i="842"/>
  <c r="I298" i="842"/>
  <c r="H298" i="842"/>
  <c r="K298" i="842" s="1"/>
  <c r="K297" i="842"/>
  <c r="I297" i="842"/>
  <c r="J297" i="842" s="1"/>
  <c r="H297" i="842"/>
  <c r="I295" i="842"/>
  <c r="J295" i="842" s="1"/>
  <c r="H295" i="842"/>
  <c r="K295" i="842" s="1"/>
  <c r="J294" i="842"/>
  <c r="I294" i="842"/>
  <c r="H294" i="842"/>
  <c r="K294" i="842" s="1"/>
  <c r="B291" i="842"/>
  <c r="O286" i="842"/>
  <c r="J286" i="842"/>
  <c r="H286" i="842"/>
  <c r="K283" i="842"/>
  <c r="J283" i="842"/>
  <c r="H283" i="842"/>
  <c r="G284" i="842" s="1"/>
  <c r="K281" i="842"/>
  <c r="H281" i="842"/>
  <c r="K280" i="842"/>
  <c r="H280" i="842"/>
  <c r="H279" i="842"/>
  <c r="K279" i="842" s="1"/>
  <c r="H278" i="842"/>
  <c r="K278" i="842" s="1"/>
  <c r="H277" i="842"/>
  <c r="K277" i="842" s="1"/>
  <c r="K276" i="842"/>
  <c r="J276" i="842"/>
  <c r="H276" i="842"/>
  <c r="I272" i="842"/>
  <c r="J272" i="842" s="1"/>
  <c r="K272" i="842" s="1"/>
  <c r="H272" i="842"/>
  <c r="I271" i="842"/>
  <c r="J271" i="842" s="1"/>
  <c r="H271" i="842"/>
  <c r="K270" i="842"/>
  <c r="J270" i="842"/>
  <c r="I270" i="842"/>
  <c r="H270" i="842"/>
  <c r="J267" i="842"/>
  <c r="J20" i="842" s="1"/>
  <c r="B267" i="842"/>
  <c r="J263" i="842"/>
  <c r="H263" i="842"/>
  <c r="K263" i="842" s="1"/>
  <c r="J262" i="842"/>
  <c r="H262" i="842"/>
  <c r="K262" i="842" s="1"/>
  <c r="H261" i="842"/>
  <c r="K261" i="842" s="1"/>
  <c r="G261" i="842"/>
  <c r="I261" i="842" s="1"/>
  <c r="J261" i="842" s="1"/>
  <c r="O260" i="842"/>
  <c r="J260" i="842"/>
  <c r="H260" i="842"/>
  <c r="K260" i="842" s="1"/>
  <c r="J259" i="842"/>
  <c r="H259" i="842"/>
  <c r="K259" i="842" s="1"/>
  <c r="G258" i="842"/>
  <c r="I258" i="842" s="1"/>
  <c r="J258" i="842" s="1"/>
  <c r="O257" i="842"/>
  <c r="J257" i="842"/>
  <c r="H257" i="842"/>
  <c r="K257" i="842" s="1"/>
  <c r="O256" i="842"/>
  <c r="K256" i="842"/>
  <c r="J256" i="842"/>
  <c r="H256" i="842"/>
  <c r="J255" i="842"/>
  <c r="H255" i="842"/>
  <c r="K255" i="842" s="1"/>
  <c r="K254" i="842"/>
  <c r="J254" i="842"/>
  <c r="I254" i="842"/>
  <c r="H254" i="842"/>
  <c r="J253" i="842"/>
  <c r="H253" i="842"/>
  <c r="K253" i="842" s="1"/>
  <c r="K252" i="842"/>
  <c r="J252" i="842"/>
  <c r="H252" i="842"/>
  <c r="B250" i="842"/>
  <c r="J246" i="842"/>
  <c r="H246" i="842"/>
  <c r="K246" i="842" s="1"/>
  <c r="J245" i="842"/>
  <c r="H245" i="842"/>
  <c r="K245" i="842" s="1"/>
  <c r="G244" i="842"/>
  <c r="I244" i="842" s="1"/>
  <c r="J244" i="842" s="1"/>
  <c r="O243" i="842"/>
  <c r="J243" i="842"/>
  <c r="H243" i="842"/>
  <c r="K243" i="842" s="1"/>
  <c r="O242" i="842"/>
  <c r="K242" i="842"/>
  <c r="J242" i="842"/>
  <c r="H242" i="842"/>
  <c r="J241" i="842"/>
  <c r="H241" i="842"/>
  <c r="K241" i="842" s="1"/>
  <c r="O239" i="842"/>
  <c r="K239" i="842"/>
  <c r="J239" i="842"/>
  <c r="H239" i="842"/>
  <c r="G240" i="842" s="1"/>
  <c r="J238" i="842"/>
  <c r="H238" i="842"/>
  <c r="K238" i="842" s="1"/>
  <c r="J236" i="842"/>
  <c r="H236" i="842"/>
  <c r="G237" i="842" s="1"/>
  <c r="K235" i="842"/>
  <c r="J235" i="842"/>
  <c r="H235" i="842"/>
  <c r="J234" i="842"/>
  <c r="K234" i="842" s="1"/>
  <c r="H234" i="842"/>
  <c r="J233" i="842"/>
  <c r="H233" i="842"/>
  <c r="K233" i="842" s="1"/>
  <c r="J232" i="842"/>
  <c r="H232" i="842"/>
  <c r="K232" i="842" s="1"/>
  <c r="K231" i="842"/>
  <c r="J231" i="842"/>
  <c r="H231" i="842"/>
  <c r="K230" i="842"/>
  <c r="J230" i="842"/>
  <c r="H230" i="842"/>
  <c r="J229" i="842"/>
  <c r="H229" i="842"/>
  <c r="K229" i="842" s="1"/>
  <c r="J228" i="842"/>
  <c r="H228" i="842"/>
  <c r="K228" i="842" s="1"/>
  <c r="J227" i="842"/>
  <c r="K227" i="842" s="1"/>
  <c r="H227" i="842"/>
  <c r="J226" i="842"/>
  <c r="K226" i="842" s="1"/>
  <c r="H226" i="842"/>
  <c r="J225" i="842"/>
  <c r="H225" i="842"/>
  <c r="K225" i="842" s="1"/>
  <c r="J224" i="842"/>
  <c r="H224" i="842"/>
  <c r="K224" i="842" s="1"/>
  <c r="G224" i="842"/>
  <c r="J223" i="842"/>
  <c r="H223" i="842"/>
  <c r="K223" i="842" s="1"/>
  <c r="K222" i="842"/>
  <c r="J222" i="842"/>
  <c r="H222" i="842"/>
  <c r="J221" i="842"/>
  <c r="H221" i="842"/>
  <c r="K221" i="842" s="1"/>
  <c r="K220" i="842"/>
  <c r="J220" i="842"/>
  <c r="H220" i="842"/>
  <c r="J219" i="842"/>
  <c r="H219" i="842"/>
  <c r="K219" i="842" s="1"/>
  <c r="K218" i="842"/>
  <c r="J218" i="842"/>
  <c r="H218" i="842"/>
  <c r="J217" i="842"/>
  <c r="H217" i="842"/>
  <c r="K217" i="842" s="1"/>
  <c r="K216" i="842"/>
  <c r="J216" i="842"/>
  <c r="H216" i="842"/>
  <c r="J215" i="842"/>
  <c r="H215" i="842"/>
  <c r="K215" i="842" s="1"/>
  <c r="K214" i="842"/>
  <c r="J214" i="842"/>
  <c r="H214" i="842"/>
  <c r="J213" i="842"/>
  <c r="H213" i="842"/>
  <c r="K213" i="842" s="1"/>
  <c r="K212" i="842"/>
  <c r="J212" i="842"/>
  <c r="H212" i="842"/>
  <c r="J211" i="842"/>
  <c r="H211" i="842"/>
  <c r="K211" i="842" s="1"/>
  <c r="G210" i="842"/>
  <c r="I210" i="842" s="1"/>
  <c r="J210" i="842" s="1"/>
  <c r="B208" i="842"/>
  <c r="I203" i="842"/>
  <c r="J203" i="842" s="1"/>
  <c r="H203" i="842"/>
  <c r="J202" i="842"/>
  <c r="H202" i="842"/>
  <c r="K202" i="842" s="1"/>
  <c r="J201" i="842"/>
  <c r="H201" i="842"/>
  <c r="K201" i="842" s="1"/>
  <c r="K200" i="842"/>
  <c r="J200" i="842"/>
  <c r="H200" i="842"/>
  <c r="J199" i="842"/>
  <c r="K199" i="842" s="1"/>
  <c r="H199" i="842"/>
  <c r="J198" i="842"/>
  <c r="H198" i="842"/>
  <c r="K198" i="842" s="1"/>
  <c r="J197" i="842"/>
  <c r="H197" i="842"/>
  <c r="K197" i="842" s="1"/>
  <c r="K196" i="842"/>
  <c r="J196" i="842"/>
  <c r="H196" i="842"/>
  <c r="J195" i="842"/>
  <c r="K195" i="842" s="1"/>
  <c r="H195" i="842"/>
  <c r="J194" i="842"/>
  <c r="H194" i="842"/>
  <c r="K194" i="842" s="1"/>
  <c r="J193" i="842"/>
  <c r="H193" i="842"/>
  <c r="K193" i="842" s="1"/>
  <c r="K192" i="842"/>
  <c r="J192" i="842"/>
  <c r="H192" i="842"/>
  <c r="J191" i="842"/>
  <c r="K191" i="842" s="1"/>
  <c r="H191" i="842"/>
  <c r="J190" i="842"/>
  <c r="H190" i="842"/>
  <c r="K190" i="842" s="1"/>
  <c r="J189" i="842"/>
  <c r="H189" i="842"/>
  <c r="K189" i="842" s="1"/>
  <c r="K188" i="842"/>
  <c r="J188" i="842"/>
  <c r="H188" i="842"/>
  <c r="J187" i="842"/>
  <c r="K187" i="842" s="1"/>
  <c r="H187" i="842"/>
  <c r="J186" i="842"/>
  <c r="H186" i="842"/>
  <c r="K186" i="842" s="1"/>
  <c r="J185" i="842"/>
  <c r="H185" i="842"/>
  <c r="K185" i="842" s="1"/>
  <c r="K184" i="842"/>
  <c r="J184" i="842"/>
  <c r="H184" i="842"/>
  <c r="J183" i="842"/>
  <c r="K183" i="842" s="1"/>
  <c r="H183" i="842"/>
  <c r="J182" i="842"/>
  <c r="H182" i="842"/>
  <c r="K182" i="842" s="1"/>
  <c r="J181" i="842"/>
  <c r="H181" i="842"/>
  <c r="K181" i="842" s="1"/>
  <c r="K180" i="842"/>
  <c r="J180" i="842"/>
  <c r="H180" i="842"/>
  <c r="G203" i="842" s="1"/>
  <c r="J178" i="842"/>
  <c r="J17" i="842" s="1"/>
  <c r="B178" i="842"/>
  <c r="J173" i="842"/>
  <c r="H173" i="842"/>
  <c r="K173" i="842" s="1"/>
  <c r="K172" i="842"/>
  <c r="J172" i="842"/>
  <c r="H172" i="842"/>
  <c r="J171" i="842"/>
  <c r="H171" i="842"/>
  <c r="K171" i="842" s="1"/>
  <c r="K170" i="842"/>
  <c r="J170" i="842"/>
  <c r="H170" i="842"/>
  <c r="J169" i="842"/>
  <c r="H169" i="842"/>
  <c r="K169" i="842" s="1"/>
  <c r="K168" i="842"/>
  <c r="J168" i="842"/>
  <c r="H168" i="842"/>
  <c r="J167" i="842"/>
  <c r="H167" i="842"/>
  <c r="K167" i="842" s="1"/>
  <c r="K166" i="842"/>
  <c r="J166" i="842"/>
  <c r="H166" i="842"/>
  <c r="J165" i="842"/>
  <c r="H165" i="842"/>
  <c r="K165" i="842" s="1"/>
  <c r="K178" i="842" s="1"/>
  <c r="K164" i="842"/>
  <c r="J164" i="842"/>
  <c r="H164" i="842"/>
  <c r="B161" i="842"/>
  <c r="K156" i="842"/>
  <c r="J156" i="842"/>
  <c r="H156" i="842"/>
  <c r="J155" i="842"/>
  <c r="H155" i="842"/>
  <c r="K153" i="842"/>
  <c r="J153" i="842"/>
  <c r="H153" i="842"/>
  <c r="J152" i="842"/>
  <c r="H152" i="842"/>
  <c r="K152" i="842" s="1"/>
  <c r="J151" i="842"/>
  <c r="H151" i="842"/>
  <c r="O150" i="842"/>
  <c r="J150" i="842"/>
  <c r="H150" i="842"/>
  <c r="K150" i="842" s="1"/>
  <c r="O149" i="842"/>
  <c r="K149" i="842"/>
  <c r="J149" i="842"/>
  <c r="H149" i="842"/>
  <c r="O148" i="842"/>
  <c r="J148" i="842"/>
  <c r="H148" i="842"/>
  <c r="O147" i="842"/>
  <c r="J147" i="842"/>
  <c r="H147" i="842"/>
  <c r="K147" i="842" s="1"/>
  <c r="O146" i="842"/>
  <c r="K146" i="842"/>
  <c r="J146" i="842"/>
  <c r="H146" i="842"/>
  <c r="O145" i="842"/>
  <c r="J145" i="842"/>
  <c r="H145" i="842"/>
  <c r="J144" i="842"/>
  <c r="H144" i="842"/>
  <c r="O142" i="842"/>
  <c r="J142" i="842"/>
  <c r="H142" i="842"/>
  <c r="J141" i="842"/>
  <c r="H141" i="842"/>
  <c r="B139" i="842"/>
  <c r="K133" i="842"/>
  <c r="J133" i="842"/>
  <c r="H133" i="842"/>
  <c r="J132" i="842"/>
  <c r="H132" i="842"/>
  <c r="K132" i="842" s="1"/>
  <c r="J131" i="842"/>
  <c r="H131" i="842"/>
  <c r="O129" i="842"/>
  <c r="J129" i="842"/>
  <c r="K129" i="842" s="1"/>
  <c r="H129" i="842"/>
  <c r="O128" i="842"/>
  <c r="K128" i="842"/>
  <c r="J128" i="842"/>
  <c r="H128" i="842"/>
  <c r="O127" i="842"/>
  <c r="K127" i="842"/>
  <c r="J127" i="842"/>
  <c r="H127" i="842"/>
  <c r="O126" i="842"/>
  <c r="J126" i="842"/>
  <c r="K126" i="842" s="1"/>
  <c r="H126" i="842"/>
  <c r="J125" i="842"/>
  <c r="H125" i="842"/>
  <c r="P123" i="842"/>
  <c r="J123" i="842"/>
  <c r="H123" i="842"/>
  <c r="K123" i="842" s="1"/>
  <c r="P122" i="842"/>
  <c r="K122" i="842"/>
  <c r="J122" i="842"/>
  <c r="H122" i="842"/>
  <c r="P121" i="842"/>
  <c r="J121" i="842"/>
  <c r="H121" i="842"/>
  <c r="P120" i="842"/>
  <c r="J120" i="842"/>
  <c r="H120" i="842"/>
  <c r="K120" i="842" s="1"/>
  <c r="P119" i="842"/>
  <c r="O119" i="842"/>
  <c r="J119" i="842"/>
  <c r="H119" i="842"/>
  <c r="K119" i="842" s="1"/>
  <c r="P118" i="842"/>
  <c r="O118" i="842"/>
  <c r="K118" i="842"/>
  <c r="J118" i="842"/>
  <c r="H118" i="842"/>
  <c r="P117" i="842"/>
  <c r="O117" i="842"/>
  <c r="K117" i="842"/>
  <c r="J117" i="842"/>
  <c r="H117" i="842"/>
  <c r="P116" i="842"/>
  <c r="O116" i="842"/>
  <c r="J116" i="842"/>
  <c r="H116" i="842"/>
  <c r="K116" i="842" s="1"/>
  <c r="P115" i="842"/>
  <c r="O115" i="842"/>
  <c r="J115" i="842"/>
  <c r="H115" i="842"/>
  <c r="K115" i="842" s="1"/>
  <c r="P114" i="842"/>
  <c r="O114" i="842"/>
  <c r="J114" i="842"/>
  <c r="H114" i="842"/>
  <c r="K114" i="842" s="1"/>
  <c r="P113" i="842"/>
  <c r="O113" i="842"/>
  <c r="K113" i="842"/>
  <c r="J113" i="842"/>
  <c r="H113" i="842"/>
  <c r="P112" i="842"/>
  <c r="O112" i="842"/>
  <c r="K112" i="842"/>
  <c r="J112" i="842"/>
  <c r="H112" i="842"/>
  <c r="P111" i="842"/>
  <c r="O111" i="842"/>
  <c r="K111" i="842"/>
  <c r="J111" i="842"/>
  <c r="H111" i="842"/>
  <c r="P110" i="842"/>
  <c r="O110" i="842"/>
  <c r="K110" i="842"/>
  <c r="J110" i="842"/>
  <c r="H110" i="842"/>
  <c r="J107" i="842"/>
  <c r="H107" i="842"/>
  <c r="H106" i="842"/>
  <c r="B106" i="842"/>
  <c r="K98" i="842"/>
  <c r="J98" i="842"/>
  <c r="H98" i="842"/>
  <c r="K97" i="842"/>
  <c r="J97" i="842"/>
  <c r="H97" i="842"/>
  <c r="J96" i="842"/>
  <c r="H96" i="842"/>
  <c r="K96" i="842" s="1"/>
  <c r="J94" i="842"/>
  <c r="J106" i="842" s="1"/>
  <c r="J14" i="842" s="1"/>
  <c r="H94" i="842"/>
  <c r="B91" i="842"/>
  <c r="K86" i="842"/>
  <c r="I86" i="842"/>
  <c r="J86" i="842" s="1"/>
  <c r="H86" i="842"/>
  <c r="I85" i="842"/>
  <c r="J85" i="842" s="1"/>
  <c r="H85" i="842"/>
  <c r="K85" i="842" s="1"/>
  <c r="J84" i="842"/>
  <c r="I84" i="842"/>
  <c r="H84" i="842"/>
  <c r="B82" i="842"/>
  <c r="I78" i="842"/>
  <c r="J78" i="842" s="1"/>
  <c r="K78" i="842" s="1"/>
  <c r="H78" i="842"/>
  <c r="H77" i="842"/>
  <c r="K77" i="842" s="1"/>
  <c r="H76" i="842"/>
  <c r="K76" i="842" s="1"/>
  <c r="K75" i="842"/>
  <c r="H75" i="842"/>
  <c r="H74" i="842"/>
  <c r="K74" i="842" s="1"/>
  <c r="K73" i="842"/>
  <c r="H73" i="842"/>
  <c r="K72" i="842"/>
  <c r="H72" i="842"/>
  <c r="H71" i="842"/>
  <c r="K71" i="842" s="1"/>
  <c r="H70" i="842"/>
  <c r="K70" i="842" s="1"/>
  <c r="K69" i="842"/>
  <c r="H69" i="842"/>
  <c r="H68" i="842"/>
  <c r="K68" i="842" s="1"/>
  <c r="K67" i="842"/>
  <c r="H67" i="842"/>
  <c r="K66" i="842"/>
  <c r="H66" i="842"/>
  <c r="H65" i="842"/>
  <c r="K65" i="842" s="1"/>
  <c r="H64" i="842"/>
  <c r="K64" i="842" s="1"/>
  <c r="K63" i="842"/>
  <c r="H63" i="842"/>
  <c r="H62" i="842"/>
  <c r="K62" i="842" s="1"/>
  <c r="K61" i="842"/>
  <c r="H61" i="842"/>
  <c r="K55" i="842"/>
  <c r="J55" i="842"/>
  <c r="J82" i="842" s="1"/>
  <c r="J12" i="842" s="1"/>
  <c r="I55" i="842"/>
  <c r="H55" i="842"/>
  <c r="H54" i="842"/>
  <c r="K54" i="842" s="1"/>
  <c r="K53" i="842"/>
  <c r="H53" i="842"/>
  <c r="H52" i="842"/>
  <c r="K52" i="842" s="1"/>
  <c r="K51" i="842"/>
  <c r="H51" i="842"/>
  <c r="K50" i="842"/>
  <c r="H50" i="842"/>
  <c r="H49" i="842"/>
  <c r="K49" i="842" s="1"/>
  <c r="H48" i="842"/>
  <c r="K48" i="842" s="1"/>
  <c r="K47" i="842"/>
  <c r="H47" i="842"/>
  <c r="H46" i="842"/>
  <c r="K46" i="842" s="1"/>
  <c r="K45" i="842"/>
  <c r="H45" i="842"/>
  <c r="K44" i="842"/>
  <c r="H44" i="842"/>
  <c r="H43" i="842"/>
  <c r="K43" i="842" s="1"/>
  <c r="H42" i="842"/>
  <c r="K42" i="842" s="1"/>
  <c r="K41" i="842"/>
  <c r="H41" i="842"/>
  <c r="H40" i="842"/>
  <c r="K40" i="842" s="1"/>
  <c r="K82" i="842" s="1"/>
  <c r="K12" i="842" s="1"/>
  <c r="K39" i="842"/>
  <c r="H39" i="842"/>
  <c r="K38" i="842"/>
  <c r="H38" i="842"/>
  <c r="B34" i="842"/>
  <c r="B23" i="842"/>
  <c r="A23" i="842"/>
  <c r="B22" i="842"/>
  <c r="A22" i="842"/>
  <c r="B21" i="842"/>
  <c r="A21" i="842"/>
  <c r="B20" i="842"/>
  <c r="A20" i="842"/>
  <c r="B19" i="842"/>
  <c r="A19" i="842"/>
  <c r="B18" i="842"/>
  <c r="A18" i="842"/>
  <c r="B17" i="842"/>
  <c r="A17" i="842"/>
  <c r="B16" i="842"/>
  <c r="A16" i="842"/>
  <c r="B15" i="842"/>
  <c r="A15" i="842"/>
  <c r="H14" i="842"/>
  <c r="B14" i="842"/>
  <c r="A14" i="842"/>
  <c r="B13" i="842"/>
  <c r="A13" i="842"/>
  <c r="B12" i="842"/>
  <c r="A12" i="842"/>
  <c r="B370" i="841"/>
  <c r="O363" i="841"/>
  <c r="J363" i="841"/>
  <c r="H363" i="841"/>
  <c r="J361" i="841"/>
  <c r="H361" i="841"/>
  <c r="K361" i="841" s="1"/>
  <c r="J359" i="841"/>
  <c r="H359" i="841"/>
  <c r="J357" i="841"/>
  <c r="H357" i="841"/>
  <c r="K357" i="841" s="1"/>
  <c r="J356" i="841"/>
  <c r="H356" i="841"/>
  <c r="B354" i="841"/>
  <c r="J348" i="841"/>
  <c r="H348" i="841"/>
  <c r="J343" i="841"/>
  <c r="H343" i="841"/>
  <c r="K343" i="841" s="1"/>
  <c r="J342" i="841"/>
  <c r="H342" i="841"/>
  <c r="I340" i="841"/>
  <c r="J340" i="841" s="1"/>
  <c r="H340" i="841"/>
  <c r="I339" i="841"/>
  <c r="J339" i="841" s="1"/>
  <c r="H339" i="841"/>
  <c r="J337" i="841"/>
  <c r="I337" i="841"/>
  <c r="H337" i="841"/>
  <c r="I336" i="841"/>
  <c r="J336" i="841" s="1"/>
  <c r="H336" i="841"/>
  <c r="B333" i="841"/>
  <c r="O327" i="841"/>
  <c r="J327" i="841"/>
  <c r="H327" i="841"/>
  <c r="J324" i="841"/>
  <c r="H324" i="841"/>
  <c r="H322" i="841"/>
  <c r="K322" i="841" s="1"/>
  <c r="H321" i="841"/>
  <c r="K321" i="841" s="1"/>
  <c r="H320" i="841"/>
  <c r="K320" i="841" s="1"/>
  <c r="H319" i="841"/>
  <c r="K319" i="841" s="1"/>
  <c r="H318" i="841"/>
  <c r="K318" i="841" s="1"/>
  <c r="J317" i="841"/>
  <c r="H317" i="841"/>
  <c r="B314" i="841"/>
  <c r="J311" i="841"/>
  <c r="H311" i="841"/>
  <c r="J310" i="841"/>
  <c r="H310" i="841"/>
  <c r="O308" i="841"/>
  <c r="J308" i="841"/>
  <c r="H308" i="841"/>
  <c r="G309" i="841" s="1"/>
  <c r="J307" i="841"/>
  <c r="H307" i="841"/>
  <c r="K307" i="841" s="1"/>
  <c r="O305" i="841"/>
  <c r="J305" i="841"/>
  <c r="H305" i="841"/>
  <c r="O304" i="841"/>
  <c r="J304" i="841"/>
  <c r="H304" i="841"/>
  <c r="J303" i="841"/>
  <c r="H303" i="841"/>
  <c r="I302" i="841"/>
  <c r="J302" i="841" s="1"/>
  <c r="H302" i="841"/>
  <c r="J301" i="841"/>
  <c r="H301" i="841"/>
  <c r="K301" i="841" s="1"/>
  <c r="J300" i="841"/>
  <c r="H300" i="841"/>
  <c r="K300" i="841" s="1"/>
  <c r="B298" i="841"/>
  <c r="J292" i="841"/>
  <c r="H292" i="841"/>
  <c r="J291" i="841"/>
  <c r="H291" i="841"/>
  <c r="O289" i="841"/>
  <c r="K289" i="841"/>
  <c r="J289" i="841"/>
  <c r="H289" i="841"/>
  <c r="O288" i="841"/>
  <c r="J288" i="841"/>
  <c r="H288" i="841"/>
  <c r="J287" i="841"/>
  <c r="H287" i="841"/>
  <c r="O285" i="841"/>
  <c r="J285" i="841"/>
  <c r="H285" i="841"/>
  <c r="J284" i="841"/>
  <c r="H284" i="841"/>
  <c r="J282" i="841"/>
  <c r="H282" i="841"/>
  <c r="J281" i="841"/>
  <c r="H281" i="841"/>
  <c r="J280" i="841"/>
  <c r="H280" i="841"/>
  <c r="K280" i="841" s="1"/>
  <c r="J279" i="841"/>
  <c r="K279" i="841" s="1"/>
  <c r="H279" i="841"/>
  <c r="J278" i="841"/>
  <c r="H278" i="841"/>
  <c r="J277" i="841"/>
  <c r="H277" i="841"/>
  <c r="J276" i="841"/>
  <c r="H276" i="841"/>
  <c r="J275" i="841"/>
  <c r="H275" i="841"/>
  <c r="K275" i="841" s="1"/>
  <c r="J274" i="841"/>
  <c r="H274" i="841"/>
  <c r="J273" i="841"/>
  <c r="H273" i="841"/>
  <c r="J272" i="841"/>
  <c r="G272" i="841"/>
  <c r="H272" i="841" s="1"/>
  <c r="J271" i="841"/>
  <c r="H271" i="841"/>
  <c r="J270" i="841"/>
  <c r="H270" i="841"/>
  <c r="J269" i="841"/>
  <c r="H269" i="841"/>
  <c r="J268" i="841"/>
  <c r="H268" i="841"/>
  <c r="K268" i="841" s="1"/>
  <c r="J267" i="841"/>
  <c r="H267" i="841"/>
  <c r="J266" i="841"/>
  <c r="H266" i="841"/>
  <c r="J265" i="841"/>
  <c r="H265" i="841"/>
  <c r="J264" i="841"/>
  <c r="H264" i="841"/>
  <c r="J263" i="841"/>
  <c r="H263" i="841"/>
  <c r="K263" i="841" s="1"/>
  <c r="J262" i="841"/>
  <c r="H262" i="841"/>
  <c r="K262" i="841" s="1"/>
  <c r="J261" i="841"/>
  <c r="H261" i="841"/>
  <c r="J260" i="841"/>
  <c r="H260" i="841"/>
  <c r="J259" i="841"/>
  <c r="H259" i="841"/>
  <c r="K259" i="841" s="1"/>
  <c r="G258" i="841"/>
  <c r="H258" i="841" s="1"/>
  <c r="B256" i="841"/>
  <c r="J250" i="841"/>
  <c r="H250" i="841"/>
  <c r="J249" i="841"/>
  <c r="H249" i="841"/>
  <c r="J248" i="841"/>
  <c r="H248" i="841"/>
  <c r="J247" i="841"/>
  <c r="H247" i="841"/>
  <c r="J246" i="841"/>
  <c r="K246" i="841" s="1"/>
  <c r="H246" i="841"/>
  <c r="J245" i="841"/>
  <c r="H245" i="841"/>
  <c r="J244" i="841"/>
  <c r="H244" i="841"/>
  <c r="J243" i="841"/>
  <c r="H243" i="841"/>
  <c r="J242" i="841"/>
  <c r="H242" i="841"/>
  <c r="K242" i="841" s="1"/>
  <c r="J241" i="841"/>
  <c r="H241" i="841"/>
  <c r="K240" i="841"/>
  <c r="J240" i="841"/>
  <c r="H240" i="841"/>
  <c r="J239" i="841"/>
  <c r="H239" i="841"/>
  <c r="J238" i="841"/>
  <c r="H238" i="841"/>
  <c r="K238" i="841" s="1"/>
  <c r="J237" i="841"/>
  <c r="H237" i="841"/>
  <c r="J236" i="841"/>
  <c r="H236" i="841"/>
  <c r="J235" i="841"/>
  <c r="H235" i="841"/>
  <c r="K235" i="841" s="1"/>
  <c r="J234" i="841"/>
  <c r="H234" i="841"/>
  <c r="K234" i="841" s="1"/>
  <c r="J233" i="841"/>
  <c r="H233" i="841"/>
  <c r="J232" i="841"/>
  <c r="H232" i="841"/>
  <c r="J231" i="841"/>
  <c r="H231" i="841"/>
  <c r="J230" i="841"/>
  <c r="H230" i="841"/>
  <c r="J229" i="841"/>
  <c r="H229" i="841"/>
  <c r="K229" i="841" s="1"/>
  <c r="J228" i="841"/>
  <c r="H228" i="841"/>
  <c r="B226" i="841"/>
  <c r="J220" i="841"/>
  <c r="H220" i="841"/>
  <c r="J219" i="841"/>
  <c r="H219" i="841"/>
  <c r="J218" i="841"/>
  <c r="H218" i="841"/>
  <c r="J217" i="841"/>
  <c r="H217" i="841"/>
  <c r="J216" i="841"/>
  <c r="H216" i="841"/>
  <c r="J215" i="841"/>
  <c r="H215" i="841"/>
  <c r="J214" i="841"/>
  <c r="H214" i="841"/>
  <c r="K214" i="841" s="1"/>
  <c r="J213" i="841"/>
  <c r="H213" i="841"/>
  <c r="J212" i="841"/>
  <c r="H212" i="841"/>
  <c r="B209" i="841"/>
  <c r="J204" i="841"/>
  <c r="H204" i="841"/>
  <c r="K204" i="841" s="1"/>
  <c r="J203" i="841"/>
  <c r="H203" i="841"/>
  <c r="J201" i="841"/>
  <c r="H201" i="841"/>
  <c r="J200" i="841"/>
  <c r="H200" i="841"/>
  <c r="J199" i="841"/>
  <c r="H199" i="841"/>
  <c r="O198" i="841"/>
  <c r="J198" i="841"/>
  <c r="H198" i="841"/>
  <c r="O197" i="841"/>
  <c r="J197" i="841"/>
  <c r="H197" i="841"/>
  <c r="K197" i="841" s="1"/>
  <c r="O196" i="841"/>
  <c r="J196" i="841"/>
  <c r="H196" i="841"/>
  <c r="K196" i="841" s="1"/>
  <c r="O195" i="841"/>
  <c r="J195" i="841"/>
  <c r="H195" i="841"/>
  <c r="O194" i="841"/>
  <c r="J194" i="841"/>
  <c r="H194" i="841"/>
  <c r="O193" i="841"/>
  <c r="J193" i="841"/>
  <c r="H193" i="841"/>
  <c r="J192" i="841"/>
  <c r="H192" i="841"/>
  <c r="O190" i="841"/>
  <c r="J190" i="841"/>
  <c r="H190" i="841"/>
  <c r="K190" i="841" s="1"/>
  <c r="J189" i="841"/>
  <c r="H189" i="841"/>
  <c r="B187" i="841"/>
  <c r="J181" i="841"/>
  <c r="H181" i="841"/>
  <c r="J180" i="841"/>
  <c r="H180" i="841"/>
  <c r="K180" i="841" s="1"/>
  <c r="J179" i="841"/>
  <c r="H179" i="841"/>
  <c r="O177" i="841"/>
  <c r="J177" i="841"/>
  <c r="H177" i="841"/>
  <c r="O176" i="841"/>
  <c r="J176" i="841"/>
  <c r="H176" i="841"/>
  <c r="K176" i="841" s="1"/>
  <c r="O175" i="841"/>
  <c r="J175" i="841"/>
  <c r="H175" i="841"/>
  <c r="O174" i="841"/>
  <c r="J174" i="841"/>
  <c r="H174" i="841"/>
  <c r="J173" i="841"/>
  <c r="H173" i="841"/>
  <c r="P171" i="841"/>
  <c r="J171" i="841"/>
  <c r="H171" i="841"/>
  <c r="P170" i="841"/>
  <c r="J170" i="841"/>
  <c r="H170" i="841"/>
  <c r="P169" i="841"/>
  <c r="J169" i="841"/>
  <c r="K169" i="841" s="1"/>
  <c r="H169" i="841"/>
  <c r="P168" i="841"/>
  <c r="J168" i="841"/>
  <c r="H168" i="841"/>
  <c r="K168" i="841" s="1"/>
  <c r="P167" i="841"/>
  <c r="O167" i="841"/>
  <c r="J167" i="841"/>
  <c r="H167" i="841"/>
  <c r="K167" i="841" s="1"/>
  <c r="P166" i="841"/>
  <c r="O166" i="841"/>
  <c r="J166" i="841"/>
  <c r="H166" i="841"/>
  <c r="P165" i="841"/>
  <c r="O165" i="841"/>
  <c r="J165" i="841"/>
  <c r="H165" i="841"/>
  <c r="K165" i="841" s="1"/>
  <c r="P164" i="841"/>
  <c r="O164" i="841"/>
  <c r="J164" i="841"/>
  <c r="H164" i="841"/>
  <c r="P163" i="841"/>
  <c r="O163" i="841"/>
  <c r="J163" i="841"/>
  <c r="H163" i="841"/>
  <c r="P162" i="841"/>
  <c r="O162" i="841"/>
  <c r="J162" i="841"/>
  <c r="H162" i="841"/>
  <c r="P161" i="841"/>
  <c r="O161" i="841"/>
  <c r="J161" i="841"/>
  <c r="H161" i="841"/>
  <c r="P160" i="841"/>
  <c r="O160" i="841"/>
  <c r="J160" i="841"/>
  <c r="H160" i="841"/>
  <c r="K160" i="841" s="1"/>
  <c r="P159" i="841"/>
  <c r="O159" i="841"/>
  <c r="J159" i="841"/>
  <c r="H159" i="841"/>
  <c r="P158" i="841"/>
  <c r="O158" i="841"/>
  <c r="J158" i="841"/>
  <c r="H158" i="841"/>
  <c r="J155" i="841"/>
  <c r="H155" i="841"/>
  <c r="B154" i="841"/>
  <c r="J145" i="841"/>
  <c r="H145" i="841"/>
  <c r="J144" i="841"/>
  <c r="H144" i="841"/>
  <c r="J143" i="841"/>
  <c r="H143" i="841"/>
  <c r="K143" i="841" s="1"/>
  <c r="J141" i="841"/>
  <c r="H141" i="841"/>
  <c r="B138" i="841"/>
  <c r="I133" i="841"/>
  <c r="J133" i="841" s="1"/>
  <c r="H133" i="841"/>
  <c r="H132" i="841"/>
  <c r="K132" i="841" s="1"/>
  <c r="H131" i="841"/>
  <c r="K131" i="841" s="1"/>
  <c r="H130" i="841"/>
  <c r="K130" i="841" s="1"/>
  <c r="H129" i="841"/>
  <c r="K129" i="841" s="1"/>
  <c r="H128" i="841"/>
  <c r="K128" i="841" s="1"/>
  <c r="H127" i="841"/>
  <c r="K127" i="841" s="1"/>
  <c r="K126" i="841"/>
  <c r="H126" i="841"/>
  <c r="H125" i="841"/>
  <c r="K125" i="841" s="1"/>
  <c r="H124" i="841"/>
  <c r="K124" i="841" s="1"/>
  <c r="H123" i="841"/>
  <c r="K123" i="841" s="1"/>
  <c r="H122" i="841"/>
  <c r="K122" i="841" s="1"/>
  <c r="H121" i="841"/>
  <c r="K121" i="841" s="1"/>
  <c r="H120" i="841"/>
  <c r="K120" i="841" s="1"/>
  <c r="H119" i="841"/>
  <c r="K119" i="841" s="1"/>
  <c r="H118" i="841"/>
  <c r="K118" i="841" s="1"/>
  <c r="H117" i="841"/>
  <c r="K117" i="841" s="1"/>
  <c r="H116" i="841"/>
  <c r="K116" i="841" s="1"/>
  <c r="H115" i="841"/>
  <c r="K115" i="841" s="1"/>
  <c r="H114" i="841"/>
  <c r="K114" i="841" s="1"/>
  <c r="H113" i="841"/>
  <c r="K113" i="841" s="1"/>
  <c r="H112" i="841"/>
  <c r="K112" i="841" s="1"/>
  <c r="H111" i="841"/>
  <c r="K111" i="841" s="1"/>
  <c r="I108" i="841"/>
  <c r="J108" i="841" s="1"/>
  <c r="H108" i="841"/>
  <c r="H107" i="841"/>
  <c r="K107" i="841" s="1"/>
  <c r="H106" i="841"/>
  <c r="K106" i="841" s="1"/>
  <c r="H105" i="841"/>
  <c r="K105" i="841" s="1"/>
  <c r="H104" i="841"/>
  <c r="K104" i="841" s="1"/>
  <c r="H103" i="841"/>
  <c r="K103" i="841" s="1"/>
  <c r="H102" i="841"/>
  <c r="K102" i="841" s="1"/>
  <c r="H101" i="841"/>
  <c r="K101" i="841" s="1"/>
  <c r="H100" i="841"/>
  <c r="K100" i="841" s="1"/>
  <c r="H99" i="841"/>
  <c r="K99" i="841" s="1"/>
  <c r="H98" i="841"/>
  <c r="K98" i="841" s="1"/>
  <c r="H97" i="841"/>
  <c r="K97" i="841" s="1"/>
  <c r="H96" i="841"/>
  <c r="K96" i="841" s="1"/>
  <c r="H95" i="841"/>
  <c r="K95" i="841" s="1"/>
  <c r="H94" i="841"/>
  <c r="K94" i="841" s="1"/>
  <c r="H93" i="841"/>
  <c r="K93" i="841" s="1"/>
  <c r="H92" i="841"/>
  <c r="K92" i="841" s="1"/>
  <c r="H91" i="841"/>
  <c r="K91" i="841" s="1"/>
  <c r="H90" i="841"/>
  <c r="K90" i="841" s="1"/>
  <c r="H89" i="841"/>
  <c r="K89" i="841" s="1"/>
  <c r="H88" i="841"/>
  <c r="K88" i="841" s="1"/>
  <c r="H87" i="841"/>
  <c r="K87" i="841" s="1"/>
  <c r="H86" i="841"/>
  <c r="K86" i="841" s="1"/>
  <c r="B82" i="841"/>
  <c r="I78" i="841"/>
  <c r="J78" i="841" s="1"/>
  <c r="K78" i="841" s="1"/>
  <c r="H78" i="841"/>
  <c r="H77" i="841"/>
  <c r="K77" i="841" s="1"/>
  <c r="H76" i="841"/>
  <c r="K76" i="841" s="1"/>
  <c r="H75" i="841"/>
  <c r="K75" i="841" s="1"/>
  <c r="H74" i="841"/>
  <c r="K74" i="841" s="1"/>
  <c r="H73" i="841"/>
  <c r="K73" i="841" s="1"/>
  <c r="H72" i="841"/>
  <c r="K72" i="841" s="1"/>
  <c r="H71" i="841"/>
  <c r="K71" i="841" s="1"/>
  <c r="H70" i="841"/>
  <c r="K70" i="841" s="1"/>
  <c r="H69" i="841"/>
  <c r="K69" i="841" s="1"/>
  <c r="K68" i="841"/>
  <c r="H68" i="841"/>
  <c r="H67" i="841"/>
  <c r="K67" i="841" s="1"/>
  <c r="H66" i="841"/>
  <c r="K66" i="841" s="1"/>
  <c r="H65" i="841"/>
  <c r="K65" i="841" s="1"/>
  <c r="H64" i="841"/>
  <c r="K64" i="841" s="1"/>
  <c r="H63" i="841"/>
  <c r="K63" i="841" s="1"/>
  <c r="H62" i="841"/>
  <c r="K62" i="841" s="1"/>
  <c r="H61" i="841"/>
  <c r="K61" i="841" s="1"/>
  <c r="I55" i="841"/>
  <c r="J55" i="841" s="1"/>
  <c r="H55" i="841"/>
  <c r="H54" i="841"/>
  <c r="K54" i="841" s="1"/>
  <c r="H53" i="841"/>
  <c r="K53" i="841" s="1"/>
  <c r="H52" i="841"/>
  <c r="K52" i="841" s="1"/>
  <c r="H51" i="841"/>
  <c r="K51" i="841" s="1"/>
  <c r="H50" i="841"/>
  <c r="K50" i="841" s="1"/>
  <c r="H49" i="841"/>
  <c r="K49" i="841" s="1"/>
  <c r="H48" i="841"/>
  <c r="K48" i="841" s="1"/>
  <c r="H47" i="841"/>
  <c r="K47" i="841" s="1"/>
  <c r="H46" i="841"/>
  <c r="K46" i="841" s="1"/>
  <c r="H45" i="841"/>
  <c r="K45" i="841" s="1"/>
  <c r="H44" i="841"/>
  <c r="K44" i="841" s="1"/>
  <c r="H43" i="841"/>
  <c r="K43" i="841" s="1"/>
  <c r="H42" i="841"/>
  <c r="K42" i="841" s="1"/>
  <c r="H41" i="841"/>
  <c r="K41" i="841" s="1"/>
  <c r="H40" i="841"/>
  <c r="K40" i="841" s="1"/>
  <c r="H39" i="841"/>
  <c r="K39" i="841" s="1"/>
  <c r="H38" i="841"/>
  <c r="B34" i="841"/>
  <c r="B23" i="841"/>
  <c r="A23" i="841"/>
  <c r="B22" i="841"/>
  <c r="A22" i="841"/>
  <c r="B21" i="841"/>
  <c r="A21" i="841"/>
  <c r="B20" i="841"/>
  <c r="A20" i="841"/>
  <c r="B19" i="841"/>
  <c r="A19" i="841"/>
  <c r="B18" i="841"/>
  <c r="A18" i="841"/>
  <c r="B17" i="841"/>
  <c r="A17" i="841"/>
  <c r="B16" i="841"/>
  <c r="A16" i="841"/>
  <c r="B15" i="841"/>
  <c r="A15" i="841"/>
  <c r="B14" i="841"/>
  <c r="A14" i="841"/>
  <c r="B13" i="841"/>
  <c r="A13" i="841"/>
  <c r="B12" i="841"/>
  <c r="A12" i="841"/>
  <c r="B322" i="840"/>
  <c r="O307" i="840"/>
  <c r="J307" i="840"/>
  <c r="K307" i="840" s="1"/>
  <c r="H307" i="840"/>
  <c r="J305" i="840"/>
  <c r="K305" i="840" s="1"/>
  <c r="H305" i="840"/>
  <c r="G308" i="840" s="1"/>
  <c r="K303" i="840"/>
  <c r="J303" i="840"/>
  <c r="H303" i="840"/>
  <c r="J301" i="840"/>
  <c r="H301" i="840"/>
  <c r="J300" i="840"/>
  <c r="H300" i="840"/>
  <c r="B298" i="840"/>
  <c r="G296" i="840"/>
  <c r="J295" i="840"/>
  <c r="K295" i="840" s="1"/>
  <c r="H295" i="840"/>
  <c r="J292" i="840"/>
  <c r="K292" i="840" s="1"/>
  <c r="H292" i="840"/>
  <c r="K291" i="840"/>
  <c r="J291" i="840"/>
  <c r="H291" i="840"/>
  <c r="G293" i="840" s="1"/>
  <c r="I289" i="840"/>
  <c r="J289" i="840" s="1"/>
  <c r="H289" i="840"/>
  <c r="K288" i="840"/>
  <c r="J288" i="840"/>
  <c r="I288" i="840"/>
  <c r="H288" i="840"/>
  <c r="J286" i="840"/>
  <c r="I286" i="840"/>
  <c r="H286" i="840"/>
  <c r="K286" i="840" s="1"/>
  <c r="I285" i="840"/>
  <c r="J285" i="840" s="1"/>
  <c r="H285" i="840"/>
  <c r="B282" i="840"/>
  <c r="O279" i="840"/>
  <c r="J279" i="840"/>
  <c r="H279" i="840"/>
  <c r="G280" i="840" s="1"/>
  <c r="G277" i="840"/>
  <c r="J276" i="840"/>
  <c r="H276" i="840"/>
  <c r="H274" i="840"/>
  <c r="K274" i="840" s="1"/>
  <c r="H273" i="840"/>
  <c r="K273" i="840" s="1"/>
  <c r="K272" i="840"/>
  <c r="H272" i="840"/>
  <c r="K271" i="840"/>
  <c r="H271" i="840"/>
  <c r="K270" i="840"/>
  <c r="H270" i="840"/>
  <c r="K269" i="840"/>
  <c r="J269" i="840"/>
  <c r="H269" i="840"/>
  <c r="B266" i="840"/>
  <c r="J263" i="840"/>
  <c r="K263" i="840" s="1"/>
  <c r="H263" i="840"/>
  <c r="K262" i="840"/>
  <c r="J262" i="840"/>
  <c r="H262" i="840"/>
  <c r="G261" i="840"/>
  <c r="I261" i="840" s="1"/>
  <c r="J261" i="840" s="1"/>
  <c r="O260" i="840"/>
  <c r="J260" i="840"/>
  <c r="K260" i="840" s="1"/>
  <c r="H260" i="840"/>
  <c r="K259" i="840"/>
  <c r="J259" i="840"/>
  <c r="H259" i="840"/>
  <c r="G258" i="840"/>
  <c r="I258" i="840" s="1"/>
  <c r="J258" i="840" s="1"/>
  <c r="O257" i="840"/>
  <c r="J257" i="840"/>
  <c r="K257" i="840" s="1"/>
  <c r="H257" i="840"/>
  <c r="O256" i="840"/>
  <c r="J256" i="840"/>
  <c r="K256" i="840" s="1"/>
  <c r="H256" i="840"/>
  <c r="J255" i="840"/>
  <c r="K255" i="840" s="1"/>
  <c r="H255" i="840"/>
  <c r="K254" i="840"/>
  <c r="J254" i="840"/>
  <c r="I254" i="840"/>
  <c r="H254" i="840"/>
  <c r="J253" i="840"/>
  <c r="H253" i="840"/>
  <c r="K253" i="840" s="1"/>
  <c r="K252" i="840"/>
  <c r="J252" i="840"/>
  <c r="H252" i="840"/>
  <c r="B250" i="840"/>
  <c r="J244" i="840"/>
  <c r="K244" i="840" s="1"/>
  <c r="H244" i="840"/>
  <c r="K243" i="840"/>
  <c r="J243" i="840"/>
  <c r="H243" i="840"/>
  <c r="G242" i="840"/>
  <c r="I242" i="840" s="1"/>
  <c r="J242" i="840" s="1"/>
  <c r="O241" i="840"/>
  <c r="J241" i="840"/>
  <c r="K241" i="840" s="1"/>
  <c r="H241" i="840"/>
  <c r="O240" i="840"/>
  <c r="J240" i="840"/>
  <c r="K240" i="840" s="1"/>
  <c r="H240" i="840"/>
  <c r="J239" i="840"/>
  <c r="H239" i="840"/>
  <c r="K239" i="840" s="1"/>
  <c r="K238" i="840"/>
  <c r="J238" i="840"/>
  <c r="I238" i="840"/>
  <c r="H238" i="840"/>
  <c r="G238" i="840"/>
  <c r="O237" i="840"/>
  <c r="J237" i="840"/>
  <c r="K237" i="840" s="1"/>
  <c r="H237" i="840"/>
  <c r="J236" i="840"/>
  <c r="H236" i="840"/>
  <c r="K236" i="840" s="1"/>
  <c r="K234" i="840"/>
  <c r="J234" i="840"/>
  <c r="H234" i="840"/>
  <c r="J233" i="840"/>
  <c r="H233" i="840"/>
  <c r="K233" i="840" s="1"/>
  <c r="J232" i="840"/>
  <c r="H232" i="840"/>
  <c r="K232" i="840" s="1"/>
  <c r="J231" i="840"/>
  <c r="H231" i="840"/>
  <c r="K231" i="840" s="1"/>
  <c r="K230" i="840"/>
  <c r="J230" i="840"/>
  <c r="H230" i="840"/>
  <c r="J229" i="840"/>
  <c r="H229" i="840"/>
  <c r="K229" i="840" s="1"/>
  <c r="J228" i="840"/>
  <c r="H228" i="840"/>
  <c r="K228" i="840" s="1"/>
  <c r="J227" i="840"/>
  <c r="H227" i="840"/>
  <c r="K227" i="840" s="1"/>
  <c r="K226" i="840"/>
  <c r="J226" i="840"/>
  <c r="H226" i="840"/>
  <c r="J225" i="840"/>
  <c r="H225" i="840"/>
  <c r="K225" i="840" s="1"/>
  <c r="J224" i="840"/>
  <c r="H224" i="840"/>
  <c r="K224" i="840" s="1"/>
  <c r="G224" i="840"/>
  <c r="J223" i="840"/>
  <c r="H223" i="840"/>
  <c r="K223" i="840" s="1"/>
  <c r="J222" i="840"/>
  <c r="K222" i="840" s="1"/>
  <c r="H222" i="840"/>
  <c r="J221" i="840"/>
  <c r="K221" i="840" s="1"/>
  <c r="H221" i="840"/>
  <c r="K220" i="840"/>
  <c r="J220" i="840"/>
  <c r="H220" i="840"/>
  <c r="J219" i="840"/>
  <c r="H219" i="840"/>
  <c r="K219" i="840" s="1"/>
  <c r="J218" i="840"/>
  <c r="K218" i="840" s="1"/>
  <c r="H218" i="840"/>
  <c r="J217" i="840"/>
  <c r="H217" i="840"/>
  <c r="K217" i="840" s="1"/>
  <c r="K216" i="840"/>
  <c r="J216" i="840"/>
  <c r="H216" i="840"/>
  <c r="J215" i="840"/>
  <c r="H215" i="840"/>
  <c r="K215" i="840" s="1"/>
  <c r="J214" i="840"/>
  <c r="K214" i="840" s="1"/>
  <c r="H214" i="840"/>
  <c r="J213" i="840"/>
  <c r="H213" i="840"/>
  <c r="K213" i="840" s="1"/>
  <c r="K212" i="840"/>
  <c r="J212" i="840"/>
  <c r="H212" i="840"/>
  <c r="J211" i="840"/>
  <c r="H211" i="840"/>
  <c r="K211" i="840" s="1"/>
  <c r="G210" i="840"/>
  <c r="I210" i="840" s="1"/>
  <c r="J210" i="840" s="1"/>
  <c r="B208" i="840"/>
  <c r="I203" i="840"/>
  <c r="J203" i="840" s="1"/>
  <c r="J202" i="840"/>
  <c r="H202" i="840"/>
  <c r="K202" i="840" s="1"/>
  <c r="J201" i="840"/>
  <c r="H201" i="840"/>
  <c r="K201" i="840" s="1"/>
  <c r="J200" i="840"/>
  <c r="K200" i="840" s="1"/>
  <c r="H200" i="840"/>
  <c r="K199" i="840"/>
  <c r="J199" i="840"/>
  <c r="H199" i="840"/>
  <c r="J198" i="840"/>
  <c r="H198" i="840"/>
  <c r="K198" i="840" s="1"/>
  <c r="J197" i="840"/>
  <c r="H197" i="840"/>
  <c r="K197" i="840" s="1"/>
  <c r="J196" i="840"/>
  <c r="H196" i="840"/>
  <c r="K196" i="840" s="1"/>
  <c r="K195" i="840"/>
  <c r="J195" i="840"/>
  <c r="H195" i="840"/>
  <c r="J194" i="840"/>
  <c r="H194" i="840"/>
  <c r="K194" i="840" s="1"/>
  <c r="J193" i="840"/>
  <c r="H193" i="840"/>
  <c r="K193" i="840" s="1"/>
  <c r="J192" i="840"/>
  <c r="H192" i="840"/>
  <c r="K192" i="840" s="1"/>
  <c r="K191" i="840"/>
  <c r="J191" i="840"/>
  <c r="H191" i="840"/>
  <c r="J190" i="840"/>
  <c r="H190" i="840"/>
  <c r="K190" i="840" s="1"/>
  <c r="J189" i="840"/>
  <c r="H189" i="840"/>
  <c r="K189" i="840" s="1"/>
  <c r="J188" i="840"/>
  <c r="H188" i="840"/>
  <c r="K188" i="840" s="1"/>
  <c r="K187" i="840"/>
  <c r="J187" i="840"/>
  <c r="H187" i="840"/>
  <c r="J186" i="840"/>
  <c r="H186" i="840"/>
  <c r="K186" i="840" s="1"/>
  <c r="J185" i="840"/>
  <c r="H185" i="840"/>
  <c r="K185" i="840" s="1"/>
  <c r="J184" i="840"/>
  <c r="H184" i="840"/>
  <c r="K184" i="840" s="1"/>
  <c r="K183" i="840"/>
  <c r="J183" i="840"/>
  <c r="H183" i="840"/>
  <c r="G203" i="840" s="1"/>
  <c r="H203" i="840" s="1"/>
  <c r="J182" i="840"/>
  <c r="H182" i="840"/>
  <c r="K182" i="840" s="1"/>
  <c r="J181" i="840"/>
  <c r="J208" i="840" s="1"/>
  <c r="J18" i="840" s="1"/>
  <c r="H181" i="840"/>
  <c r="K181" i="840" s="1"/>
  <c r="J180" i="840"/>
  <c r="H180" i="840"/>
  <c r="K180" i="840" s="1"/>
  <c r="B178" i="840"/>
  <c r="J172" i="840"/>
  <c r="H172" i="840"/>
  <c r="K172" i="840" s="1"/>
  <c r="K171" i="840"/>
  <c r="J171" i="840"/>
  <c r="H171" i="840"/>
  <c r="J170" i="840"/>
  <c r="H170" i="840"/>
  <c r="K170" i="840" s="1"/>
  <c r="J169" i="840"/>
  <c r="K169" i="840" s="1"/>
  <c r="H169" i="840"/>
  <c r="J168" i="840"/>
  <c r="H168" i="840"/>
  <c r="K168" i="840" s="1"/>
  <c r="K167" i="840"/>
  <c r="J167" i="840"/>
  <c r="H167" i="840"/>
  <c r="J166" i="840"/>
  <c r="H166" i="840"/>
  <c r="J165" i="840"/>
  <c r="J178" i="840" s="1"/>
  <c r="J17" i="840" s="1"/>
  <c r="H165" i="840"/>
  <c r="J164" i="840"/>
  <c r="H164" i="840"/>
  <c r="K164" i="840" s="1"/>
  <c r="B161" i="840"/>
  <c r="J156" i="840"/>
  <c r="H156" i="840"/>
  <c r="K156" i="840" s="1"/>
  <c r="K153" i="840"/>
  <c r="J153" i="840"/>
  <c r="H153" i="840"/>
  <c r="J152" i="840"/>
  <c r="H152" i="840"/>
  <c r="K152" i="840" s="1"/>
  <c r="J151" i="840"/>
  <c r="K151" i="840" s="1"/>
  <c r="H151" i="840"/>
  <c r="O150" i="840"/>
  <c r="J150" i="840"/>
  <c r="H150" i="840"/>
  <c r="K150" i="840" s="1"/>
  <c r="O149" i="840"/>
  <c r="J149" i="840"/>
  <c r="H149" i="840"/>
  <c r="K149" i="840" s="1"/>
  <c r="O148" i="840"/>
  <c r="J148" i="840"/>
  <c r="K148" i="840" s="1"/>
  <c r="H148" i="840"/>
  <c r="O147" i="840"/>
  <c r="J147" i="840"/>
  <c r="H147" i="840"/>
  <c r="K147" i="840" s="1"/>
  <c r="O146" i="840"/>
  <c r="J146" i="840"/>
  <c r="H146" i="840"/>
  <c r="O145" i="840"/>
  <c r="J145" i="840"/>
  <c r="K145" i="840" s="1"/>
  <c r="H145" i="840"/>
  <c r="J144" i="840"/>
  <c r="H144" i="840"/>
  <c r="O142" i="840"/>
  <c r="K142" i="840"/>
  <c r="J142" i="840"/>
  <c r="H142" i="840"/>
  <c r="G143" i="840" s="1"/>
  <c r="J141" i="840"/>
  <c r="H141" i="840"/>
  <c r="B139" i="840"/>
  <c r="K133" i="840"/>
  <c r="J133" i="840"/>
  <c r="H133" i="840"/>
  <c r="J132" i="840"/>
  <c r="H132" i="840"/>
  <c r="K132" i="840" s="1"/>
  <c r="J131" i="840"/>
  <c r="H131" i="840"/>
  <c r="O129" i="840"/>
  <c r="J129" i="840"/>
  <c r="H129" i="840"/>
  <c r="O128" i="840"/>
  <c r="J128" i="840"/>
  <c r="H128" i="840"/>
  <c r="K128" i="840" s="1"/>
  <c r="O127" i="840"/>
  <c r="K127" i="840"/>
  <c r="J127" i="840"/>
  <c r="H127" i="840"/>
  <c r="O126" i="840"/>
  <c r="J126" i="840"/>
  <c r="H126" i="840"/>
  <c r="J125" i="840"/>
  <c r="H125" i="840"/>
  <c r="P123" i="840"/>
  <c r="J123" i="840"/>
  <c r="H123" i="840"/>
  <c r="K123" i="840" s="1"/>
  <c r="P122" i="840"/>
  <c r="J122" i="840"/>
  <c r="H122" i="840"/>
  <c r="K122" i="840" s="1"/>
  <c r="P121" i="840"/>
  <c r="J121" i="840"/>
  <c r="K121" i="840" s="1"/>
  <c r="H121" i="840"/>
  <c r="P120" i="840"/>
  <c r="J120" i="840"/>
  <c r="H120" i="840"/>
  <c r="K120" i="840" s="1"/>
  <c r="P119" i="840"/>
  <c r="O119" i="840"/>
  <c r="J119" i="840"/>
  <c r="H119" i="840"/>
  <c r="P118" i="840"/>
  <c r="O118" i="840"/>
  <c r="J118" i="840"/>
  <c r="H118" i="840"/>
  <c r="K118" i="840" s="1"/>
  <c r="P117" i="840"/>
  <c r="O117" i="840"/>
  <c r="K117" i="840"/>
  <c r="J117" i="840"/>
  <c r="H117" i="840"/>
  <c r="P116" i="840"/>
  <c r="O116" i="840"/>
  <c r="J116" i="840"/>
  <c r="K116" i="840" s="1"/>
  <c r="H116" i="840"/>
  <c r="P115" i="840"/>
  <c r="O115" i="840"/>
  <c r="J115" i="840"/>
  <c r="H115" i="840"/>
  <c r="K115" i="840" s="1"/>
  <c r="P114" i="840"/>
  <c r="O114" i="840"/>
  <c r="J114" i="840"/>
  <c r="H114" i="840"/>
  <c r="P113" i="840"/>
  <c r="O113" i="840"/>
  <c r="J113" i="840"/>
  <c r="H113" i="840"/>
  <c r="K113" i="840" s="1"/>
  <c r="P112" i="840"/>
  <c r="O112" i="840"/>
  <c r="J112" i="840"/>
  <c r="H112" i="840"/>
  <c r="K112" i="840" s="1"/>
  <c r="P111" i="840"/>
  <c r="O111" i="840"/>
  <c r="K111" i="840"/>
  <c r="J111" i="840"/>
  <c r="H111" i="840"/>
  <c r="P110" i="840"/>
  <c r="O110" i="840"/>
  <c r="K110" i="840"/>
  <c r="J110" i="840"/>
  <c r="H110" i="840"/>
  <c r="J107" i="840"/>
  <c r="H107" i="840"/>
  <c r="B106" i="840"/>
  <c r="J98" i="840"/>
  <c r="H98" i="840"/>
  <c r="K98" i="840" s="1"/>
  <c r="K97" i="840"/>
  <c r="J97" i="840"/>
  <c r="H97" i="840"/>
  <c r="J96" i="840"/>
  <c r="H96" i="840"/>
  <c r="J94" i="840"/>
  <c r="J106" i="840" s="1"/>
  <c r="J14" i="840" s="1"/>
  <c r="H94" i="840"/>
  <c r="B91" i="840"/>
  <c r="I86" i="840"/>
  <c r="J86" i="840" s="1"/>
  <c r="K86" i="840" s="1"/>
  <c r="H86" i="840"/>
  <c r="K85" i="840"/>
  <c r="I85" i="840"/>
  <c r="J85" i="840" s="1"/>
  <c r="H85" i="840"/>
  <c r="J84" i="840"/>
  <c r="J91" i="840" s="1"/>
  <c r="J13" i="840" s="1"/>
  <c r="I84" i="840"/>
  <c r="H84" i="840"/>
  <c r="K84" i="840" s="1"/>
  <c r="K91" i="840" s="1"/>
  <c r="K13" i="840" s="1"/>
  <c r="B82" i="840"/>
  <c r="K78" i="840"/>
  <c r="I78" i="840"/>
  <c r="J78" i="840" s="1"/>
  <c r="H78" i="840"/>
  <c r="H77" i="840"/>
  <c r="K77" i="840" s="1"/>
  <c r="H76" i="840"/>
  <c r="K76" i="840" s="1"/>
  <c r="K75" i="840"/>
  <c r="H75" i="840"/>
  <c r="K74" i="840"/>
  <c r="H74" i="840"/>
  <c r="K73" i="840"/>
  <c r="H73" i="840"/>
  <c r="K72" i="840"/>
  <c r="H72" i="840"/>
  <c r="H71" i="840"/>
  <c r="K71" i="840" s="1"/>
  <c r="H70" i="840"/>
  <c r="K70" i="840" s="1"/>
  <c r="K69" i="840"/>
  <c r="H69" i="840"/>
  <c r="K68" i="840"/>
  <c r="H68" i="840"/>
  <c r="K67" i="840"/>
  <c r="H67" i="840"/>
  <c r="K66" i="840"/>
  <c r="H66" i="840"/>
  <c r="H65" i="840"/>
  <c r="K65" i="840" s="1"/>
  <c r="H64" i="840"/>
  <c r="K64" i="840" s="1"/>
  <c r="K63" i="840"/>
  <c r="H63" i="840"/>
  <c r="K62" i="840"/>
  <c r="H62" i="840"/>
  <c r="K61" i="840"/>
  <c r="H61" i="840"/>
  <c r="K55" i="840"/>
  <c r="J55" i="840"/>
  <c r="J82" i="840" s="1"/>
  <c r="J12" i="840" s="1"/>
  <c r="I55" i="840"/>
  <c r="H55" i="840"/>
  <c r="H54" i="840"/>
  <c r="K54" i="840" s="1"/>
  <c r="K53" i="840"/>
  <c r="H53" i="840"/>
  <c r="K52" i="840"/>
  <c r="H52" i="840"/>
  <c r="K51" i="840"/>
  <c r="H51" i="840"/>
  <c r="K50" i="840"/>
  <c r="H50" i="840"/>
  <c r="H49" i="840"/>
  <c r="K49" i="840" s="1"/>
  <c r="H48" i="840"/>
  <c r="K48" i="840" s="1"/>
  <c r="K47" i="840"/>
  <c r="H47" i="840"/>
  <c r="K46" i="840"/>
  <c r="H46" i="840"/>
  <c r="K45" i="840"/>
  <c r="H45" i="840"/>
  <c r="K44" i="840"/>
  <c r="H44" i="840"/>
  <c r="H43" i="840"/>
  <c r="K43" i="840" s="1"/>
  <c r="H42" i="840"/>
  <c r="K42" i="840" s="1"/>
  <c r="K41" i="840"/>
  <c r="H41" i="840"/>
  <c r="H40" i="840"/>
  <c r="K40" i="840" s="1"/>
  <c r="K39" i="840"/>
  <c r="H39" i="840"/>
  <c r="K38" i="840"/>
  <c r="H38" i="840"/>
  <c r="H82" i="840" s="1"/>
  <c r="H12" i="840" s="1"/>
  <c r="B34" i="840"/>
  <c r="B23" i="840"/>
  <c r="A23" i="840"/>
  <c r="B22" i="840"/>
  <c r="A22" i="840"/>
  <c r="B21" i="840"/>
  <c r="A21" i="840"/>
  <c r="B20" i="840"/>
  <c r="A20" i="840"/>
  <c r="B19" i="840"/>
  <c r="A19" i="840"/>
  <c r="B18" i="840"/>
  <c r="A18" i="840"/>
  <c r="B17" i="840"/>
  <c r="A17" i="840"/>
  <c r="B16" i="840"/>
  <c r="A16" i="840"/>
  <c r="B15" i="840"/>
  <c r="A15" i="840"/>
  <c r="B14" i="840"/>
  <c r="A14" i="840"/>
  <c r="B13" i="840"/>
  <c r="A13" i="840"/>
  <c r="B12" i="840"/>
  <c r="A12" i="840"/>
  <c r="B346" i="839"/>
  <c r="O331" i="839"/>
  <c r="J331" i="839"/>
  <c r="H331" i="839"/>
  <c r="J329" i="839"/>
  <c r="H329" i="839"/>
  <c r="G332" i="839" s="1"/>
  <c r="K327" i="839"/>
  <c r="J327" i="839"/>
  <c r="H327" i="839"/>
  <c r="J325" i="839"/>
  <c r="H325" i="839"/>
  <c r="K325" i="839" s="1"/>
  <c r="J324" i="839"/>
  <c r="H324" i="839"/>
  <c r="K324" i="839" s="1"/>
  <c r="B322" i="839"/>
  <c r="J311" i="839"/>
  <c r="H311" i="839"/>
  <c r="G312" i="839" s="1"/>
  <c r="K308" i="839"/>
  <c r="J308" i="839"/>
  <c r="H308" i="839"/>
  <c r="J307" i="839"/>
  <c r="H307" i="839"/>
  <c r="I305" i="839"/>
  <c r="J305" i="839" s="1"/>
  <c r="K305" i="839" s="1"/>
  <c r="H305" i="839"/>
  <c r="K304" i="839"/>
  <c r="I304" i="839"/>
  <c r="J304" i="839" s="1"/>
  <c r="H304" i="839"/>
  <c r="J303" i="839"/>
  <c r="I303" i="839"/>
  <c r="H303" i="839"/>
  <c r="K303" i="839" s="1"/>
  <c r="I301" i="839"/>
  <c r="J301" i="839" s="1"/>
  <c r="K301" i="839" s="1"/>
  <c r="H301" i="839"/>
  <c r="K300" i="839"/>
  <c r="I300" i="839"/>
  <c r="J300" i="839" s="1"/>
  <c r="H300" i="839"/>
  <c r="J296" i="839"/>
  <c r="I296" i="839"/>
  <c r="H296" i="839"/>
  <c r="K296" i="839" s="1"/>
  <c r="I295" i="839"/>
  <c r="J295" i="839" s="1"/>
  <c r="K295" i="839" s="1"/>
  <c r="H295" i="839"/>
  <c r="K294" i="839"/>
  <c r="I294" i="839"/>
  <c r="J294" i="839" s="1"/>
  <c r="H294" i="839"/>
  <c r="B291" i="839"/>
  <c r="G287" i="839"/>
  <c r="O286" i="839"/>
  <c r="K286" i="839"/>
  <c r="J286" i="839"/>
  <c r="H286" i="839"/>
  <c r="J283" i="839"/>
  <c r="H283" i="839"/>
  <c r="H281" i="839"/>
  <c r="K281" i="839" s="1"/>
  <c r="K280" i="839"/>
  <c r="H280" i="839"/>
  <c r="H279" i="839"/>
  <c r="K279" i="839" s="1"/>
  <c r="K278" i="839"/>
  <c r="H278" i="839"/>
  <c r="H277" i="839"/>
  <c r="K277" i="839" s="1"/>
  <c r="J276" i="839"/>
  <c r="H276" i="839"/>
  <c r="K276" i="839" s="1"/>
  <c r="K272" i="839"/>
  <c r="J272" i="839"/>
  <c r="I272" i="839"/>
  <c r="H272" i="839"/>
  <c r="J271" i="839"/>
  <c r="K271" i="839" s="1"/>
  <c r="I271" i="839"/>
  <c r="H271" i="839"/>
  <c r="I270" i="839"/>
  <c r="J270" i="839" s="1"/>
  <c r="H270" i="839"/>
  <c r="B267" i="839"/>
  <c r="J263" i="839"/>
  <c r="H263" i="839"/>
  <c r="J262" i="839"/>
  <c r="H262" i="839"/>
  <c r="K262" i="839" s="1"/>
  <c r="O260" i="839"/>
  <c r="J260" i="839"/>
  <c r="H260" i="839"/>
  <c r="G261" i="839" s="1"/>
  <c r="H261" i="839" s="1"/>
  <c r="J259" i="839"/>
  <c r="H259" i="839"/>
  <c r="K259" i="839" s="1"/>
  <c r="I258" i="839"/>
  <c r="J258" i="839" s="1"/>
  <c r="O257" i="839"/>
  <c r="J257" i="839"/>
  <c r="H257" i="839"/>
  <c r="O256" i="839"/>
  <c r="J256" i="839"/>
  <c r="H256" i="839"/>
  <c r="K256" i="839" s="1"/>
  <c r="J255" i="839"/>
  <c r="K255" i="839" s="1"/>
  <c r="H255" i="839"/>
  <c r="G258" i="839" s="1"/>
  <c r="H258" i="839" s="1"/>
  <c r="K258" i="839" s="1"/>
  <c r="J254" i="839"/>
  <c r="I254" i="839"/>
  <c r="H254" i="839"/>
  <c r="K254" i="839" s="1"/>
  <c r="K253" i="839"/>
  <c r="J253" i="839"/>
  <c r="H253" i="839"/>
  <c r="J252" i="839"/>
  <c r="H252" i="839"/>
  <c r="B250" i="839"/>
  <c r="J244" i="839"/>
  <c r="H244" i="839"/>
  <c r="K244" i="839" s="1"/>
  <c r="J243" i="839"/>
  <c r="H243" i="839"/>
  <c r="K243" i="839" s="1"/>
  <c r="O241" i="839"/>
  <c r="J241" i="839"/>
  <c r="H241" i="839"/>
  <c r="O240" i="839"/>
  <c r="J240" i="839"/>
  <c r="H240" i="839"/>
  <c r="J239" i="839"/>
  <c r="K239" i="839" s="1"/>
  <c r="H239" i="839"/>
  <c r="O237" i="839"/>
  <c r="J237" i="839"/>
  <c r="H237" i="839"/>
  <c r="J236" i="839"/>
  <c r="K236" i="839" s="1"/>
  <c r="H236" i="839"/>
  <c r="J234" i="839"/>
  <c r="H234" i="839"/>
  <c r="K234" i="839" s="1"/>
  <c r="J233" i="839"/>
  <c r="H233" i="839"/>
  <c r="G235" i="839" s="1"/>
  <c r="I235" i="839" s="1"/>
  <c r="J235" i="839" s="1"/>
  <c r="J232" i="839"/>
  <c r="H232" i="839"/>
  <c r="K232" i="839" s="1"/>
  <c r="J231" i="839"/>
  <c r="H231" i="839"/>
  <c r="K231" i="839" s="1"/>
  <c r="J230" i="839"/>
  <c r="H230" i="839"/>
  <c r="K230" i="839" s="1"/>
  <c r="J229" i="839"/>
  <c r="H229" i="839"/>
  <c r="K229" i="839" s="1"/>
  <c r="J228" i="839"/>
  <c r="H228" i="839"/>
  <c r="K228" i="839" s="1"/>
  <c r="J227" i="839"/>
  <c r="H227" i="839"/>
  <c r="J226" i="839"/>
  <c r="H226" i="839"/>
  <c r="K226" i="839" s="1"/>
  <c r="K225" i="839"/>
  <c r="J225" i="839"/>
  <c r="H225" i="839"/>
  <c r="J224" i="839"/>
  <c r="H224" i="839"/>
  <c r="K224" i="839" s="1"/>
  <c r="G224" i="839"/>
  <c r="K223" i="839"/>
  <c r="J223" i="839"/>
  <c r="H223" i="839"/>
  <c r="J222" i="839"/>
  <c r="H222" i="839"/>
  <c r="K222" i="839" s="1"/>
  <c r="J221" i="839"/>
  <c r="K221" i="839" s="1"/>
  <c r="H221" i="839"/>
  <c r="J220" i="839"/>
  <c r="H220" i="839"/>
  <c r="K220" i="839" s="1"/>
  <c r="J219" i="839"/>
  <c r="K219" i="839" s="1"/>
  <c r="H219" i="839"/>
  <c r="J218" i="839"/>
  <c r="H218" i="839"/>
  <c r="K218" i="839" s="1"/>
  <c r="J217" i="839"/>
  <c r="K217" i="839" s="1"/>
  <c r="H217" i="839"/>
  <c r="J216" i="839"/>
  <c r="H216" i="839"/>
  <c r="K216" i="839" s="1"/>
  <c r="J215" i="839"/>
  <c r="K215" i="839" s="1"/>
  <c r="H215" i="839"/>
  <c r="J214" i="839"/>
  <c r="H214" i="839"/>
  <c r="K214" i="839" s="1"/>
  <c r="J213" i="839"/>
  <c r="K213" i="839" s="1"/>
  <c r="H213" i="839"/>
  <c r="J212" i="839"/>
  <c r="H212" i="839"/>
  <c r="K212" i="839" s="1"/>
  <c r="K211" i="839"/>
  <c r="J211" i="839"/>
  <c r="H211" i="839"/>
  <c r="G210" i="839"/>
  <c r="H210" i="839" s="1"/>
  <c r="B208" i="839"/>
  <c r="K202" i="839"/>
  <c r="J202" i="839"/>
  <c r="H202" i="839"/>
  <c r="J201" i="839"/>
  <c r="H201" i="839"/>
  <c r="K201" i="839" s="1"/>
  <c r="J200" i="839"/>
  <c r="H200" i="839"/>
  <c r="K200" i="839" s="1"/>
  <c r="J199" i="839"/>
  <c r="H199" i="839"/>
  <c r="K199" i="839" s="1"/>
  <c r="K198" i="839"/>
  <c r="J198" i="839"/>
  <c r="H198" i="839"/>
  <c r="J197" i="839"/>
  <c r="H197" i="839"/>
  <c r="K197" i="839" s="1"/>
  <c r="J196" i="839"/>
  <c r="H196" i="839"/>
  <c r="K196" i="839" s="1"/>
  <c r="J195" i="839"/>
  <c r="H195" i="839"/>
  <c r="K195" i="839" s="1"/>
  <c r="J194" i="839"/>
  <c r="H194" i="839"/>
  <c r="K194" i="839" s="1"/>
  <c r="J193" i="839"/>
  <c r="H193" i="839"/>
  <c r="K193" i="839" s="1"/>
  <c r="J192" i="839"/>
  <c r="H192" i="839"/>
  <c r="J191" i="839"/>
  <c r="H191" i="839"/>
  <c r="K191" i="839" s="1"/>
  <c r="K190" i="839"/>
  <c r="J190" i="839"/>
  <c r="H190" i="839"/>
  <c r="J189" i="839"/>
  <c r="H189" i="839"/>
  <c r="K189" i="839" s="1"/>
  <c r="J188" i="839"/>
  <c r="H188" i="839"/>
  <c r="J187" i="839"/>
  <c r="H187" i="839"/>
  <c r="K187" i="839" s="1"/>
  <c r="K186" i="839"/>
  <c r="J186" i="839"/>
  <c r="H186" i="839"/>
  <c r="J185" i="839"/>
  <c r="H185" i="839"/>
  <c r="K185" i="839" s="1"/>
  <c r="J184" i="839"/>
  <c r="H184" i="839"/>
  <c r="K184" i="839" s="1"/>
  <c r="J183" i="839"/>
  <c r="H183" i="839"/>
  <c r="K183" i="839" s="1"/>
  <c r="K182" i="839"/>
  <c r="J182" i="839"/>
  <c r="H182" i="839"/>
  <c r="J181" i="839"/>
  <c r="H181" i="839"/>
  <c r="K181" i="839" s="1"/>
  <c r="J180" i="839"/>
  <c r="H180" i="839"/>
  <c r="B178" i="839"/>
  <c r="J172" i="839"/>
  <c r="K172" i="839" s="1"/>
  <c r="H172" i="839"/>
  <c r="J171" i="839"/>
  <c r="H171" i="839"/>
  <c r="J170" i="839"/>
  <c r="K170" i="839" s="1"/>
  <c r="H170" i="839"/>
  <c r="J169" i="839"/>
  <c r="H169" i="839"/>
  <c r="K169" i="839" s="1"/>
  <c r="K168" i="839"/>
  <c r="J168" i="839"/>
  <c r="H168" i="839"/>
  <c r="J167" i="839"/>
  <c r="H167" i="839"/>
  <c r="K167" i="839" s="1"/>
  <c r="K166" i="839"/>
  <c r="J166" i="839"/>
  <c r="H166" i="839"/>
  <c r="J165" i="839"/>
  <c r="H165" i="839"/>
  <c r="K164" i="839"/>
  <c r="J164" i="839"/>
  <c r="H164" i="839"/>
  <c r="B161" i="839"/>
  <c r="K156" i="839"/>
  <c r="J156" i="839"/>
  <c r="H156" i="839"/>
  <c r="J155" i="839"/>
  <c r="H155" i="839"/>
  <c r="J153" i="839"/>
  <c r="H153" i="839"/>
  <c r="K153" i="839" s="1"/>
  <c r="J152" i="839"/>
  <c r="H152" i="839"/>
  <c r="K152" i="839" s="1"/>
  <c r="J151" i="839"/>
  <c r="H151" i="839"/>
  <c r="K151" i="839" s="1"/>
  <c r="O150" i="839"/>
  <c r="J150" i="839"/>
  <c r="H150" i="839"/>
  <c r="K150" i="839" s="1"/>
  <c r="O149" i="839"/>
  <c r="K149" i="839"/>
  <c r="J149" i="839"/>
  <c r="H149" i="839"/>
  <c r="O148" i="839"/>
  <c r="J148" i="839"/>
  <c r="H148" i="839"/>
  <c r="K148" i="839" s="1"/>
  <c r="O147" i="839"/>
  <c r="J147" i="839"/>
  <c r="H147" i="839"/>
  <c r="O146" i="839"/>
  <c r="K146" i="839"/>
  <c r="J146" i="839"/>
  <c r="H146" i="839"/>
  <c r="O145" i="839"/>
  <c r="J145" i="839"/>
  <c r="H145" i="839"/>
  <c r="J144" i="839"/>
  <c r="H144" i="839"/>
  <c r="O142" i="839"/>
  <c r="J142" i="839"/>
  <c r="H142" i="839"/>
  <c r="K142" i="839" s="1"/>
  <c r="O141" i="839"/>
  <c r="J141" i="839"/>
  <c r="H141" i="839"/>
  <c r="J140" i="839"/>
  <c r="H140" i="839"/>
  <c r="B138" i="839"/>
  <c r="J133" i="839"/>
  <c r="H133" i="839"/>
  <c r="K133" i="839" s="1"/>
  <c r="J132" i="839"/>
  <c r="K132" i="839" s="1"/>
  <c r="H132" i="839"/>
  <c r="J131" i="839"/>
  <c r="H131" i="839"/>
  <c r="O129" i="839"/>
  <c r="K129" i="839"/>
  <c r="J129" i="839"/>
  <c r="H129" i="839"/>
  <c r="O128" i="839"/>
  <c r="K128" i="839"/>
  <c r="J128" i="839"/>
  <c r="H128" i="839"/>
  <c r="O127" i="839"/>
  <c r="J127" i="839"/>
  <c r="K127" i="839" s="1"/>
  <c r="H127" i="839"/>
  <c r="O126" i="839"/>
  <c r="K126" i="839"/>
  <c r="J126" i="839"/>
  <c r="H126" i="839"/>
  <c r="J125" i="839"/>
  <c r="H125" i="839"/>
  <c r="P123" i="839"/>
  <c r="J123" i="839"/>
  <c r="H123" i="839"/>
  <c r="K123" i="839" s="1"/>
  <c r="P122" i="839"/>
  <c r="J122" i="839"/>
  <c r="H122" i="839"/>
  <c r="K122" i="839" s="1"/>
  <c r="P121" i="839"/>
  <c r="J121" i="839"/>
  <c r="H121" i="839"/>
  <c r="K121" i="839" s="1"/>
  <c r="P120" i="839"/>
  <c r="J120" i="839"/>
  <c r="H120" i="839"/>
  <c r="K120" i="839" s="1"/>
  <c r="P119" i="839"/>
  <c r="O119" i="839"/>
  <c r="J119" i="839"/>
  <c r="H119" i="839"/>
  <c r="K119" i="839" s="1"/>
  <c r="P118" i="839"/>
  <c r="O118" i="839"/>
  <c r="K118" i="839"/>
  <c r="J118" i="839"/>
  <c r="H118" i="839"/>
  <c r="P117" i="839"/>
  <c r="O117" i="839"/>
  <c r="K117" i="839"/>
  <c r="J117" i="839"/>
  <c r="H117" i="839"/>
  <c r="P116" i="839"/>
  <c r="O116" i="839"/>
  <c r="J116" i="839"/>
  <c r="H116" i="839"/>
  <c r="K116" i="839" s="1"/>
  <c r="P115" i="839"/>
  <c r="O115" i="839"/>
  <c r="J115" i="839"/>
  <c r="H115" i="839"/>
  <c r="P114" i="839"/>
  <c r="O114" i="839"/>
  <c r="K114" i="839"/>
  <c r="J114" i="839"/>
  <c r="H114" i="839"/>
  <c r="P113" i="839"/>
  <c r="O113" i="839"/>
  <c r="J113" i="839"/>
  <c r="H113" i="839"/>
  <c r="K113" i="839" s="1"/>
  <c r="P112" i="839"/>
  <c r="O112" i="839"/>
  <c r="K112" i="839"/>
  <c r="J112" i="839"/>
  <c r="H112" i="839"/>
  <c r="P111" i="839"/>
  <c r="O111" i="839"/>
  <c r="J111" i="839"/>
  <c r="H111" i="839"/>
  <c r="K111" i="839" s="1"/>
  <c r="P110" i="839"/>
  <c r="O110" i="839"/>
  <c r="J110" i="839"/>
  <c r="K110" i="839" s="1"/>
  <c r="H110" i="839"/>
  <c r="J107" i="839"/>
  <c r="H107" i="839"/>
  <c r="B106" i="839"/>
  <c r="J98" i="839"/>
  <c r="H98" i="839"/>
  <c r="K98" i="839" s="1"/>
  <c r="K97" i="839"/>
  <c r="J97" i="839"/>
  <c r="H97" i="839"/>
  <c r="J96" i="839"/>
  <c r="H96" i="839"/>
  <c r="K96" i="839" s="1"/>
  <c r="J94" i="839"/>
  <c r="H94" i="839"/>
  <c r="K94" i="839" s="1"/>
  <c r="B91" i="839"/>
  <c r="K86" i="839"/>
  <c r="J86" i="839"/>
  <c r="I86" i="839"/>
  <c r="H86" i="839"/>
  <c r="J85" i="839"/>
  <c r="I85" i="839"/>
  <c r="H85" i="839"/>
  <c r="K85" i="839" s="1"/>
  <c r="I84" i="839"/>
  <c r="J84" i="839" s="1"/>
  <c r="J91" i="839" s="1"/>
  <c r="J13" i="839" s="1"/>
  <c r="H84" i="839"/>
  <c r="B82" i="839"/>
  <c r="J78" i="839"/>
  <c r="I78" i="839"/>
  <c r="H78" i="839"/>
  <c r="K78" i="839" s="1"/>
  <c r="H77" i="839"/>
  <c r="K77" i="839" s="1"/>
  <c r="H76" i="839"/>
  <c r="K76" i="839" s="1"/>
  <c r="K75" i="839"/>
  <c r="H75" i="839"/>
  <c r="H74" i="839"/>
  <c r="K74" i="839" s="1"/>
  <c r="K73" i="839"/>
  <c r="H73" i="839"/>
  <c r="H72" i="839"/>
  <c r="K72" i="839" s="1"/>
  <c r="H71" i="839"/>
  <c r="K71" i="839" s="1"/>
  <c r="H70" i="839"/>
  <c r="K70" i="839" s="1"/>
  <c r="K69" i="839"/>
  <c r="H69" i="839"/>
  <c r="H68" i="839"/>
  <c r="K68" i="839" s="1"/>
  <c r="K67" i="839"/>
  <c r="H67" i="839"/>
  <c r="H66" i="839"/>
  <c r="K66" i="839" s="1"/>
  <c r="H65" i="839"/>
  <c r="K65" i="839" s="1"/>
  <c r="H64" i="839"/>
  <c r="K64" i="839" s="1"/>
  <c r="K63" i="839"/>
  <c r="H63" i="839"/>
  <c r="H62" i="839"/>
  <c r="K62" i="839" s="1"/>
  <c r="K61" i="839"/>
  <c r="H61" i="839"/>
  <c r="J55" i="839"/>
  <c r="K55" i="839" s="1"/>
  <c r="I55" i="839"/>
  <c r="H55" i="839"/>
  <c r="H54" i="839"/>
  <c r="K54" i="839" s="1"/>
  <c r="K53" i="839"/>
  <c r="H53" i="839"/>
  <c r="H52" i="839"/>
  <c r="K52" i="839" s="1"/>
  <c r="K51" i="839"/>
  <c r="H51" i="839"/>
  <c r="H50" i="839"/>
  <c r="K50" i="839" s="1"/>
  <c r="H49" i="839"/>
  <c r="K49" i="839" s="1"/>
  <c r="H48" i="839"/>
  <c r="K48" i="839" s="1"/>
  <c r="K47" i="839"/>
  <c r="H47" i="839"/>
  <c r="H46" i="839"/>
  <c r="K46" i="839" s="1"/>
  <c r="K45" i="839"/>
  <c r="H45" i="839"/>
  <c r="H44" i="839"/>
  <c r="K44" i="839" s="1"/>
  <c r="H43" i="839"/>
  <c r="K43" i="839" s="1"/>
  <c r="H42" i="839"/>
  <c r="K42" i="839" s="1"/>
  <c r="K41" i="839"/>
  <c r="H41" i="839"/>
  <c r="H40" i="839"/>
  <c r="K40" i="839" s="1"/>
  <c r="K39" i="839"/>
  <c r="H39" i="839"/>
  <c r="H38" i="839"/>
  <c r="B34" i="839"/>
  <c r="B23" i="839"/>
  <c r="A23" i="839"/>
  <c r="B22" i="839"/>
  <c r="A22" i="839"/>
  <c r="B21" i="839"/>
  <c r="A21" i="839"/>
  <c r="B20" i="839"/>
  <c r="A20" i="839"/>
  <c r="B19" i="839"/>
  <c r="A19" i="839"/>
  <c r="B18" i="839"/>
  <c r="A18" i="839"/>
  <c r="B17" i="839"/>
  <c r="A17" i="839"/>
  <c r="B16" i="839"/>
  <c r="A16" i="839"/>
  <c r="B15" i="839"/>
  <c r="A15" i="839"/>
  <c r="B14" i="839"/>
  <c r="A14" i="839"/>
  <c r="B13" i="839"/>
  <c r="A13" i="839"/>
  <c r="B12" i="839"/>
  <c r="A12" i="839"/>
  <c r="B370" i="838"/>
  <c r="O355" i="838"/>
  <c r="J355" i="838"/>
  <c r="H355" i="838"/>
  <c r="J353" i="838"/>
  <c r="H353" i="838"/>
  <c r="G356" i="838" s="1"/>
  <c r="J351" i="838"/>
  <c r="K351" i="838" s="1"/>
  <c r="H351" i="838"/>
  <c r="K349" i="838"/>
  <c r="J349" i="838"/>
  <c r="H349" i="838"/>
  <c r="J348" i="838"/>
  <c r="H348" i="838"/>
  <c r="B346" i="838"/>
  <c r="J343" i="838"/>
  <c r="H343" i="838"/>
  <c r="J340" i="838"/>
  <c r="H340" i="838"/>
  <c r="K340" i="838" s="1"/>
  <c r="J339" i="838"/>
  <c r="H339" i="838"/>
  <c r="K337" i="838"/>
  <c r="J337" i="838"/>
  <c r="I337" i="838"/>
  <c r="H337" i="838"/>
  <c r="J336" i="838"/>
  <c r="I336" i="838"/>
  <c r="H336" i="838"/>
  <c r="K336" i="838" s="1"/>
  <c r="I334" i="838"/>
  <c r="J334" i="838" s="1"/>
  <c r="H334" i="838"/>
  <c r="K333" i="838"/>
  <c r="J333" i="838"/>
  <c r="I333" i="838"/>
  <c r="H333" i="838"/>
  <c r="B330" i="838"/>
  <c r="H328" i="838"/>
  <c r="K328" i="838" s="1"/>
  <c r="G328" i="838"/>
  <c r="I328" i="838" s="1"/>
  <c r="J328" i="838" s="1"/>
  <c r="O327" i="838"/>
  <c r="J327" i="838"/>
  <c r="H327" i="838"/>
  <c r="K327" i="838" s="1"/>
  <c r="J324" i="838"/>
  <c r="H324" i="838"/>
  <c r="K322" i="838"/>
  <c r="H322" i="838"/>
  <c r="K321" i="838"/>
  <c r="H321" i="838"/>
  <c r="K320" i="838"/>
  <c r="H320" i="838"/>
  <c r="K319" i="838"/>
  <c r="H319" i="838"/>
  <c r="H318" i="838"/>
  <c r="K318" i="838" s="1"/>
  <c r="K317" i="838"/>
  <c r="J317" i="838"/>
  <c r="H317" i="838"/>
  <c r="B314" i="838"/>
  <c r="J311" i="838"/>
  <c r="H311" i="838"/>
  <c r="K311" i="838" s="1"/>
  <c r="J310" i="838"/>
  <c r="H310" i="838"/>
  <c r="K310" i="838" s="1"/>
  <c r="K309" i="838"/>
  <c r="H309" i="838"/>
  <c r="G309" i="838"/>
  <c r="I309" i="838" s="1"/>
  <c r="J309" i="838" s="1"/>
  <c r="O308" i="838"/>
  <c r="J308" i="838"/>
  <c r="H308" i="838"/>
  <c r="K308" i="838" s="1"/>
  <c r="J307" i="838"/>
  <c r="H307" i="838"/>
  <c r="K307" i="838" s="1"/>
  <c r="O305" i="838"/>
  <c r="J305" i="838"/>
  <c r="H305" i="838"/>
  <c r="K305" i="838" s="1"/>
  <c r="O304" i="838"/>
  <c r="J304" i="838"/>
  <c r="H304" i="838"/>
  <c r="J303" i="838"/>
  <c r="H303" i="838"/>
  <c r="K303" i="838" s="1"/>
  <c r="J302" i="838"/>
  <c r="I302" i="838"/>
  <c r="H302" i="838"/>
  <c r="K302" i="838" s="1"/>
  <c r="J301" i="838"/>
  <c r="H301" i="838"/>
  <c r="K301" i="838" s="1"/>
  <c r="K300" i="838"/>
  <c r="J300" i="838"/>
  <c r="H300" i="838"/>
  <c r="B298" i="838"/>
  <c r="J291" i="838"/>
  <c r="H291" i="838"/>
  <c r="K291" i="838" s="1"/>
  <c r="J290" i="838"/>
  <c r="H290" i="838"/>
  <c r="K290" i="838" s="1"/>
  <c r="O288" i="838"/>
  <c r="J288" i="838"/>
  <c r="H288" i="838"/>
  <c r="K288" i="838" s="1"/>
  <c r="O287" i="838"/>
  <c r="J287" i="838"/>
  <c r="H287" i="838"/>
  <c r="J286" i="838"/>
  <c r="H286" i="838"/>
  <c r="K286" i="838" s="1"/>
  <c r="O284" i="838"/>
  <c r="J284" i="838"/>
  <c r="H284" i="838"/>
  <c r="J281" i="838"/>
  <c r="H281" i="838"/>
  <c r="K281" i="838" s="1"/>
  <c r="J280" i="838"/>
  <c r="H280" i="838"/>
  <c r="K279" i="838"/>
  <c r="J279" i="838"/>
  <c r="H279" i="838"/>
  <c r="K278" i="838"/>
  <c r="J278" i="838"/>
  <c r="H278" i="838"/>
  <c r="J277" i="838"/>
  <c r="H277" i="838"/>
  <c r="K277" i="838" s="1"/>
  <c r="J276" i="838"/>
  <c r="H276" i="838"/>
  <c r="K276" i="838" s="1"/>
  <c r="K275" i="838"/>
  <c r="J275" i="838"/>
  <c r="H275" i="838"/>
  <c r="K274" i="838"/>
  <c r="J274" i="838"/>
  <c r="H274" i="838"/>
  <c r="J273" i="838"/>
  <c r="H273" i="838"/>
  <c r="K273" i="838" s="1"/>
  <c r="J272" i="838"/>
  <c r="H272" i="838"/>
  <c r="K272" i="838" s="1"/>
  <c r="J271" i="838"/>
  <c r="G271" i="838"/>
  <c r="H271" i="838" s="1"/>
  <c r="K271" i="838" s="1"/>
  <c r="J270" i="838"/>
  <c r="K270" i="838" s="1"/>
  <c r="H270" i="838"/>
  <c r="K269" i="838"/>
  <c r="J269" i="838"/>
  <c r="H269" i="838"/>
  <c r="J268" i="838"/>
  <c r="H268" i="838"/>
  <c r="K268" i="838" s="1"/>
  <c r="J267" i="838"/>
  <c r="H267" i="838"/>
  <c r="K267" i="838" s="1"/>
  <c r="J266" i="838"/>
  <c r="K266" i="838" s="1"/>
  <c r="H266" i="838"/>
  <c r="K265" i="838"/>
  <c r="J265" i="838"/>
  <c r="H265" i="838"/>
  <c r="J264" i="838"/>
  <c r="H264" i="838"/>
  <c r="K264" i="838" s="1"/>
  <c r="J263" i="838"/>
  <c r="H263" i="838"/>
  <c r="K263" i="838" s="1"/>
  <c r="J262" i="838"/>
  <c r="K262" i="838" s="1"/>
  <c r="H262" i="838"/>
  <c r="K261" i="838"/>
  <c r="J261" i="838"/>
  <c r="H261" i="838"/>
  <c r="J260" i="838"/>
  <c r="H260" i="838"/>
  <c r="K260" i="838" s="1"/>
  <c r="J259" i="838"/>
  <c r="H259" i="838"/>
  <c r="K259" i="838" s="1"/>
  <c r="H258" i="838"/>
  <c r="G258" i="838"/>
  <c r="I258" i="838" s="1"/>
  <c r="J258" i="838" s="1"/>
  <c r="B256" i="838"/>
  <c r="J250" i="838"/>
  <c r="H250" i="838"/>
  <c r="K250" i="838" s="1"/>
  <c r="J249" i="838"/>
  <c r="H249" i="838"/>
  <c r="K249" i="838" s="1"/>
  <c r="K248" i="838"/>
  <c r="J248" i="838"/>
  <c r="H248" i="838"/>
  <c r="K247" i="838"/>
  <c r="J247" i="838"/>
  <c r="H247" i="838"/>
  <c r="J246" i="838"/>
  <c r="H246" i="838"/>
  <c r="K246" i="838" s="1"/>
  <c r="J245" i="838"/>
  <c r="H245" i="838"/>
  <c r="K245" i="838" s="1"/>
  <c r="K244" i="838"/>
  <c r="J244" i="838"/>
  <c r="H244" i="838"/>
  <c r="K243" i="838"/>
  <c r="J243" i="838"/>
  <c r="H243" i="838"/>
  <c r="J242" i="838"/>
  <c r="H242" i="838"/>
  <c r="K242" i="838" s="1"/>
  <c r="J241" i="838"/>
  <c r="H241" i="838"/>
  <c r="K241" i="838" s="1"/>
  <c r="K240" i="838"/>
  <c r="J240" i="838"/>
  <c r="H240" i="838"/>
  <c r="K239" i="838"/>
  <c r="J239" i="838"/>
  <c r="H239" i="838"/>
  <c r="J238" i="838"/>
  <c r="H238" i="838"/>
  <c r="K238" i="838" s="1"/>
  <c r="J237" i="838"/>
  <c r="H237" i="838"/>
  <c r="K237" i="838" s="1"/>
  <c r="K236" i="838"/>
  <c r="J236" i="838"/>
  <c r="H236" i="838"/>
  <c r="K235" i="838"/>
  <c r="J235" i="838"/>
  <c r="H235" i="838"/>
  <c r="J234" i="838"/>
  <c r="H234" i="838"/>
  <c r="K234" i="838" s="1"/>
  <c r="J233" i="838"/>
  <c r="H233" i="838"/>
  <c r="K233" i="838" s="1"/>
  <c r="K232" i="838"/>
  <c r="J232" i="838"/>
  <c r="H232" i="838"/>
  <c r="K231" i="838"/>
  <c r="J231" i="838"/>
  <c r="H231" i="838"/>
  <c r="J230" i="838"/>
  <c r="H230" i="838"/>
  <c r="K230" i="838" s="1"/>
  <c r="J229" i="838"/>
  <c r="H229" i="838"/>
  <c r="K228" i="838"/>
  <c r="J228" i="838"/>
  <c r="H228" i="838"/>
  <c r="B226" i="838"/>
  <c r="K220" i="838"/>
  <c r="J220" i="838"/>
  <c r="H220" i="838"/>
  <c r="J219" i="838"/>
  <c r="H219" i="838"/>
  <c r="J218" i="838"/>
  <c r="H218" i="838"/>
  <c r="K218" i="838" s="1"/>
  <c r="J217" i="838"/>
  <c r="K217" i="838" s="1"/>
  <c r="H217" i="838"/>
  <c r="K216" i="838"/>
  <c r="J216" i="838"/>
  <c r="H216" i="838"/>
  <c r="J215" i="838"/>
  <c r="H215" i="838"/>
  <c r="K215" i="838" s="1"/>
  <c r="J214" i="838"/>
  <c r="H214" i="838"/>
  <c r="J213" i="838"/>
  <c r="H213" i="838"/>
  <c r="K212" i="838"/>
  <c r="J212" i="838"/>
  <c r="H212" i="838"/>
  <c r="B209" i="838"/>
  <c r="J204" i="838"/>
  <c r="H204" i="838"/>
  <c r="K204" i="838" s="1"/>
  <c r="J203" i="838"/>
  <c r="H203" i="838"/>
  <c r="K201" i="838"/>
  <c r="J201" i="838"/>
  <c r="H201" i="838"/>
  <c r="K200" i="838"/>
  <c r="J200" i="838"/>
  <c r="H200" i="838"/>
  <c r="J199" i="838"/>
  <c r="H199" i="838"/>
  <c r="K199" i="838" s="1"/>
  <c r="O198" i="838"/>
  <c r="J198" i="838"/>
  <c r="H198" i="838"/>
  <c r="K198" i="838" s="1"/>
  <c r="O197" i="838"/>
  <c r="J197" i="838"/>
  <c r="H197" i="838"/>
  <c r="K197" i="838" s="1"/>
  <c r="O196" i="838"/>
  <c r="J196" i="838"/>
  <c r="H196" i="838"/>
  <c r="K196" i="838" s="1"/>
  <c r="O195" i="838"/>
  <c r="J195" i="838"/>
  <c r="H195" i="838"/>
  <c r="O194" i="838"/>
  <c r="J194" i="838"/>
  <c r="H194" i="838"/>
  <c r="K194" i="838" s="1"/>
  <c r="O193" i="838"/>
  <c r="J193" i="838"/>
  <c r="H193" i="838"/>
  <c r="K193" i="838" s="1"/>
  <c r="J192" i="838"/>
  <c r="H192" i="838"/>
  <c r="G191" i="838"/>
  <c r="H191" i="838" s="1"/>
  <c r="O190" i="838"/>
  <c r="J190" i="838"/>
  <c r="H190" i="838"/>
  <c r="K190" i="838" s="1"/>
  <c r="J189" i="838"/>
  <c r="H189" i="838"/>
  <c r="B187" i="838"/>
  <c r="K181" i="838"/>
  <c r="J181" i="838"/>
  <c r="H181" i="838"/>
  <c r="J180" i="838"/>
  <c r="H180" i="838"/>
  <c r="J179" i="838"/>
  <c r="H179" i="838"/>
  <c r="O177" i="838"/>
  <c r="J177" i="838"/>
  <c r="K177" i="838" s="1"/>
  <c r="H177" i="838"/>
  <c r="O176" i="838"/>
  <c r="J176" i="838"/>
  <c r="H176" i="838"/>
  <c r="K176" i="838" s="1"/>
  <c r="O175" i="838"/>
  <c r="K175" i="838"/>
  <c r="J175" i="838"/>
  <c r="H175" i="838"/>
  <c r="O174" i="838"/>
  <c r="J174" i="838"/>
  <c r="K174" i="838" s="1"/>
  <c r="H174" i="838"/>
  <c r="J173" i="838"/>
  <c r="H173" i="838"/>
  <c r="P171" i="838"/>
  <c r="J171" i="838"/>
  <c r="H171" i="838"/>
  <c r="P170" i="838"/>
  <c r="J170" i="838"/>
  <c r="H170" i="838"/>
  <c r="K170" i="838" s="1"/>
  <c r="P169" i="838"/>
  <c r="J169" i="838"/>
  <c r="H169" i="838"/>
  <c r="K169" i="838" s="1"/>
  <c r="P168" i="838"/>
  <c r="J168" i="838"/>
  <c r="H168" i="838"/>
  <c r="K168" i="838" s="1"/>
  <c r="P167" i="838"/>
  <c r="O167" i="838"/>
  <c r="K167" i="838"/>
  <c r="J167" i="838"/>
  <c r="H167" i="838"/>
  <c r="P166" i="838"/>
  <c r="O166" i="838"/>
  <c r="J166" i="838"/>
  <c r="H166" i="838"/>
  <c r="K166" i="838" s="1"/>
  <c r="P165" i="838"/>
  <c r="O165" i="838"/>
  <c r="J165" i="838"/>
  <c r="H165" i="838"/>
  <c r="K165" i="838" s="1"/>
  <c r="P164" i="838"/>
  <c r="O164" i="838"/>
  <c r="J164" i="838"/>
  <c r="H164" i="838"/>
  <c r="K164" i="838" s="1"/>
  <c r="P163" i="838"/>
  <c r="O163" i="838"/>
  <c r="K163" i="838"/>
  <c r="J163" i="838"/>
  <c r="H163" i="838"/>
  <c r="P162" i="838"/>
  <c r="O162" i="838"/>
  <c r="J162" i="838"/>
  <c r="K162" i="838" s="1"/>
  <c r="H162" i="838"/>
  <c r="P161" i="838"/>
  <c r="O161" i="838"/>
  <c r="J161" i="838"/>
  <c r="H161" i="838"/>
  <c r="K161" i="838" s="1"/>
  <c r="P160" i="838"/>
  <c r="O160" i="838"/>
  <c r="J160" i="838"/>
  <c r="H160" i="838"/>
  <c r="K160" i="838" s="1"/>
  <c r="P159" i="838"/>
  <c r="O159" i="838"/>
  <c r="K159" i="838"/>
  <c r="J159" i="838"/>
  <c r="H159" i="838"/>
  <c r="P158" i="838"/>
  <c r="O158" i="838"/>
  <c r="K158" i="838"/>
  <c r="J158" i="838"/>
  <c r="H158" i="838"/>
  <c r="J155" i="838"/>
  <c r="H155" i="838"/>
  <c r="B154" i="838"/>
  <c r="J145" i="838"/>
  <c r="H145" i="838"/>
  <c r="K144" i="838"/>
  <c r="J144" i="838"/>
  <c r="H144" i="838"/>
  <c r="K143" i="838"/>
  <c r="J143" i="838"/>
  <c r="H143" i="838"/>
  <c r="J141" i="838"/>
  <c r="J154" i="838" s="1"/>
  <c r="H141" i="838"/>
  <c r="K141" i="838" s="1"/>
  <c r="B138" i="838"/>
  <c r="I133" i="838"/>
  <c r="J133" i="838" s="1"/>
  <c r="K133" i="838" s="1"/>
  <c r="H133" i="838"/>
  <c r="K132" i="838"/>
  <c r="H132" i="838"/>
  <c r="K131" i="838"/>
  <c r="H131" i="838"/>
  <c r="H130" i="838"/>
  <c r="K130" i="838" s="1"/>
  <c r="H129" i="838"/>
  <c r="K129" i="838" s="1"/>
  <c r="K128" i="838"/>
  <c r="H128" i="838"/>
  <c r="K127" i="838"/>
  <c r="H127" i="838"/>
  <c r="K126" i="838"/>
  <c r="H126" i="838"/>
  <c r="K125" i="838"/>
  <c r="H125" i="838"/>
  <c r="H124" i="838"/>
  <c r="K124" i="838" s="1"/>
  <c r="K123" i="838"/>
  <c r="H123" i="838"/>
  <c r="K122" i="838"/>
  <c r="H122" i="838"/>
  <c r="K121" i="838"/>
  <c r="H121" i="838"/>
  <c r="K120" i="838"/>
  <c r="H120" i="838"/>
  <c r="K119" i="838"/>
  <c r="H119" i="838"/>
  <c r="H118" i="838"/>
  <c r="K118" i="838" s="1"/>
  <c r="K117" i="838"/>
  <c r="H117" i="838"/>
  <c r="K116" i="838"/>
  <c r="H116" i="838"/>
  <c r="K115" i="838"/>
  <c r="H115" i="838"/>
  <c r="K114" i="838"/>
  <c r="H114" i="838"/>
  <c r="K113" i="838"/>
  <c r="H113" i="838"/>
  <c r="H112" i="838"/>
  <c r="K112" i="838" s="1"/>
  <c r="H111" i="838"/>
  <c r="K111" i="838" s="1"/>
  <c r="I108" i="838"/>
  <c r="J108" i="838" s="1"/>
  <c r="H108" i="838"/>
  <c r="K107" i="838"/>
  <c r="H107" i="838"/>
  <c r="K106" i="838"/>
  <c r="H106" i="838"/>
  <c r="H105" i="838"/>
  <c r="K105" i="838" s="1"/>
  <c r="H104" i="838"/>
  <c r="K104" i="838" s="1"/>
  <c r="K103" i="838"/>
  <c r="H103" i="838"/>
  <c r="K102" i="838"/>
  <c r="H102" i="838"/>
  <c r="K101" i="838"/>
  <c r="H101" i="838"/>
  <c r="K100" i="838"/>
  <c r="H100" i="838"/>
  <c r="H99" i="838"/>
  <c r="K99" i="838" s="1"/>
  <c r="K98" i="838"/>
  <c r="H98" i="838"/>
  <c r="K97" i="838"/>
  <c r="H97" i="838"/>
  <c r="K96" i="838"/>
  <c r="H96" i="838"/>
  <c r="K95" i="838"/>
  <c r="H95" i="838"/>
  <c r="K94" i="838"/>
  <c r="H94" i="838"/>
  <c r="H93" i="838"/>
  <c r="K93" i="838" s="1"/>
  <c r="H92" i="838"/>
  <c r="H138" i="838" s="1"/>
  <c r="H13" i="838" s="1"/>
  <c r="K91" i="838"/>
  <c r="H91" i="838"/>
  <c r="K90" i="838"/>
  <c r="H90" i="838"/>
  <c r="K89" i="838"/>
  <c r="H89" i="838"/>
  <c r="K88" i="838"/>
  <c r="H88" i="838"/>
  <c r="H87" i="838"/>
  <c r="K87" i="838" s="1"/>
  <c r="K86" i="838"/>
  <c r="H86" i="838"/>
  <c r="B82" i="838"/>
  <c r="I78" i="838"/>
  <c r="J78" i="838" s="1"/>
  <c r="K78" i="838" s="1"/>
  <c r="H78" i="838"/>
  <c r="H77" i="838"/>
  <c r="K77" i="838" s="1"/>
  <c r="H76" i="838"/>
  <c r="K76" i="838" s="1"/>
  <c r="K75" i="838"/>
  <c r="H75" i="838"/>
  <c r="K74" i="838"/>
  <c r="H74" i="838"/>
  <c r="K73" i="838"/>
  <c r="H73" i="838"/>
  <c r="K72" i="838"/>
  <c r="H72" i="838"/>
  <c r="H71" i="838"/>
  <c r="K71" i="838" s="1"/>
  <c r="K70" i="838"/>
  <c r="H70" i="838"/>
  <c r="K69" i="838"/>
  <c r="H69" i="838"/>
  <c r="K68" i="838"/>
  <c r="H68" i="838"/>
  <c r="K67" i="838"/>
  <c r="H67" i="838"/>
  <c r="K66" i="838"/>
  <c r="H66" i="838"/>
  <c r="H65" i="838"/>
  <c r="K65" i="838" s="1"/>
  <c r="K64" i="838"/>
  <c r="H64" i="838"/>
  <c r="K63" i="838"/>
  <c r="H63" i="838"/>
  <c r="K62" i="838"/>
  <c r="H62" i="838"/>
  <c r="K61" i="838"/>
  <c r="H61" i="838"/>
  <c r="K55" i="838"/>
  <c r="J55" i="838"/>
  <c r="I55" i="838"/>
  <c r="H55" i="838"/>
  <c r="K54" i="838"/>
  <c r="H54" i="838"/>
  <c r="K53" i="838"/>
  <c r="H53" i="838"/>
  <c r="K52" i="838"/>
  <c r="H52" i="838"/>
  <c r="K51" i="838"/>
  <c r="H51" i="838"/>
  <c r="K50" i="838"/>
  <c r="H50" i="838"/>
  <c r="H49" i="838"/>
  <c r="K49" i="838" s="1"/>
  <c r="H48" i="838"/>
  <c r="K48" i="838" s="1"/>
  <c r="K47" i="838"/>
  <c r="H47" i="838"/>
  <c r="K46" i="838"/>
  <c r="H46" i="838"/>
  <c r="K45" i="838"/>
  <c r="H45" i="838"/>
  <c r="K44" i="838"/>
  <c r="H44" i="838"/>
  <c r="H43" i="838"/>
  <c r="K43" i="838" s="1"/>
  <c r="K42" i="838"/>
  <c r="H42" i="838"/>
  <c r="K41" i="838"/>
  <c r="H41" i="838"/>
  <c r="K40" i="838"/>
  <c r="H40" i="838"/>
  <c r="K39" i="838"/>
  <c r="H39" i="838"/>
  <c r="K38" i="838"/>
  <c r="H38" i="838"/>
  <c r="L34" i="838"/>
  <c r="B34" i="838"/>
  <c r="B23" i="838"/>
  <c r="A23" i="838"/>
  <c r="B22" i="838"/>
  <c r="A22" i="838"/>
  <c r="B21" i="838"/>
  <c r="A21" i="838"/>
  <c r="B20" i="838"/>
  <c r="A20" i="838"/>
  <c r="B19" i="838"/>
  <c r="A19" i="838"/>
  <c r="B18" i="838"/>
  <c r="A18" i="838"/>
  <c r="B17" i="838"/>
  <c r="A17" i="838"/>
  <c r="B16" i="838"/>
  <c r="A16" i="838"/>
  <c r="B15" i="838"/>
  <c r="A15" i="838"/>
  <c r="J14" i="838"/>
  <c r="B14" i="838"/>
  <c r="A14" i="838"/>
  <c r="B13" i="838"/>
  <c r="A13" i="838"/>
  <c r="B12" i="838"/>
  <c r="A12" i="838"/>
  <c r="J346" i="837"/>
  <c r="B346" i="837"/>
  <c r="G322" i="837"/>
  <c r="I322" i="837" s="1"/>
  <c r="J322" i="837" s="1"/>
  <c r="O321" i="837"/>
  <c r="K321" i="837"/>
  <c r="J321" i="837"/>
  <c r="H321" i="837"/>
  <c r="K319" i="837"/>
  <c r="J319" i="837"/>
  <c r="H319" i="837"/>
  <c r="J317" i="837"/>
  <c r="H317" i="837"/>
  <c r="K317" i="837" s="1"/>
  <c r="J315" i="837"/>
  <c r="H315" i="837"/>
  <c r="K314" i="837"/>
  <c r="J314" i="837"/>
  <c r="H314" i="837"/>
  <c r="B312" i="837"/>
  <c r="G308" i="837"/>
  <c r="K307" i="837"/>
  <c r="J307" i="837"/>
  <c r="H307" i="837"/>
  <c r="G305" i="837"/>
  <c r="I305" i="837" s="1"/>
  <c r="J305" i="837" s="1"/>
  <c r="J304" i="837"/>
  <c r="H304" i="837"/>
  <c r="K304" i="837" s="1"/>
  <c r="J303" i="837"/>
  <c r="K303" i="837" s="1"/>
  <c r="H303" i="837"/>
  <c r="J301" i="837"/>
  <c r="I301" i="837"/>
  <c r="H301" i="837"/>
  <c r="J300" i="837"/>
  <c r="I300" i="837"/>
  <c r="H300" i="837"/>
  <c r="K300" i="837" s="1"/>
  <c r="J298" i="837"/>
  <c r="I298" i="837"/>
  <c r="H298" i="837"/>
  <c r="J297" i="837"/>
  <c r="I297" i="837"/>
  <c r="H297" i="837"/>
  <c r="K297" i="837" s="1"/>
  <c r="B294" i="837"/>
  <c r="O287" i="837"/>
  <c r="K287" i="837"/>
  <c r="J287" i="837"/>
  <c r="H287" i="837"/>
  <c r="G288" i="837" s="1"/>
  <c r="H288" i="837" s="1"/>
  <c r="G285" i="837"/>
  <c r="K284" i="837"/>
  <c r="J284" i="837"/>
  <c r="H284" i="837"/>
  <c r="K282" i="837"/>
  <c r="H282" i="837"/>
  <c r="K281" i="837"/>
  <c r="H281" i="837"/>
  <c r="K280" i="837"/>
  <c r="H280" i="837"/>
  <c r="H279" i="837"/>
  <c r="K279" i="837" s="1"/>
  <c r="K278" i="837"/>
  <c r="H278" i="837"/>
  <c r="J277" i="837"/>
  <c r="H277" i="837"/>
  <c r="B274" i="837"/>
  <c r="J271" i="837"/>
  <c r="H271" i="837"/>
  <c r="K271" i="837" s="1"/>
  <c r="K270" i="837"/>
  <c r="J270" i="837"/>
  <c r="H270" i="837"/>
  <c r="O268" i="837"/>
  <c r="J268" i="837"/>
  <c r="H268" i="837"/>
  <c r="G269" i="837" s="1"/>
  <c r="K267" i="837"/>
  <c r="J267" i="837"/>
  <c r="H267" i="837"/>
  <c r="O265" i="837"/>
  <c r="J265" i="837"/>
  <c r="H265" i="837"/>
  <c r="K265" i="837" s="1"/>
  <c r="O264" i="837"/>
  <c r="K264" i="837"/>
  <c r="J264" i="837"/>
  <c r="H264" i="837"/>
  <c r="G266" i="837" s="1"/>
  <c r="K263" i="837"/>
  <c r="J263" i="837"/>
  <c r="H263" i="837"/>
  <c r="J262" i="837"/>
  <c r="I262" i="837"/>
  <c r="H262" i="837"/>
  <c r="K262" i="837" s="1"/>
  <c r="J261" i="837"/>
  <c r="H261" i="837"/>
  <c r="J260" i="837"/>
  <c r="H260" i="837"/>
  <c r="B258" i="837"/>
  <c r="J252" i="837"/>
  <c r="H252" i="837"/>
  <c r="K252" i="837" s="1"/>
  <c r="K251" i="837"/>
  <c r="J251" i="837"/>
  <c r="H251" i="837"/>
  <c r="O249" i="837"/>
  <c r="J249" i="837"/>
  <c r="H249" i="837"/>
  <c r="K249" i="837" s="1"/>
  <c r="O248" i="837"/>
  <c r="K248" i="837"/>
  <c r="J248" i="837"/>
  <c r="H248" i="837"/>
  <c r="G250" i="837" s="1"/>
  <c r="K247" i="837"/>
  <c r="J247" i="837"/>
  <c r="H247" i="837"/>
  <c r="G246" i="837"/>
  <c r="I246" i="837" s="1"/>
  <c r="J246" i="837" s="1"/>
  <c r="O245" i="837"/>
  <c r="K245" i="837"/>
  <c r="J245" i="837"/>
  <c r="H245" i="837"/>
  <c r="G243" i="837"/>
  <c r="I243" i="837" s="1"/>
  <c r="J243" i="837" s="1"/>
  <c r="J242" i="837"/>
  <c r="H242" i="837"/>
  <c r="K242" i="837" s="1"/>
  <c r="J241" i="837"/>
  <c r="K241" i="837" s="1"/>
  <c r="H241" i="837"/>
  <c r="J240" i="837"/>
  <c r="H240" i="837"/>
  <c r="J239" i="837"/>
  <c r="H239" i="837"/>
  <c r="K239" i="837" s="1"/>
  <c r="J238" i="837"/>
  <c r="H238" i="837"/>
  <c r="K238" i="837" s="1"/>
  <c r="K237" i="837"/>
  <c r="J237" i="837"/>
  <c r="H237" i="837"/>
  <c r="J236" i="837"/>
  <c r="H236" i="837"/>
  <c r="K236" i="837" s="1"/>
  <c r="J235" i="837"/>
  <c r="H235" i="837"/>
  <c r="K235" i="837" s="1"/>
  <c r="J234" i="837"/>
  <c r="H234" i="837"/>
  <c r="K234" i="837" s="1"/>
  <c r="K233" i="837"/>
  <c r="J233" i="837"/>
  <c r="H233" i="837"/>
  <c r="J232" i="837"/>
  <c r="H232" i="837"/>
  <c r="G232" i="837"/>
  <c r="J231" i="837"/>
  <c r="H231" i="837"/>
  <c r="K231" i="837" s="1"/>
  <c r="J230" i="837"/>
  <c r="H230" i="837"/>
  <c r="K230" i="837" s="1"/>
  <c r="K229" i="837"/>
  <c r="J229" i="837"/>
  <c r="H229" i="837"/>
  <c r="K228" i="837"/>
  <c r="J228" i="837"/>
  <c r="H228" i="837"/>
  <c r="J227" i="837"/>
  <c r="H227" i="837"/>
  <c r="K227" i="837" s="1"/>
  <c r="J226" i="837"/>
  <c r="H226" i="837"/>
  <c r="K226" i="837" s="1"/>
  <c r="K225" i="837"/>
  <c r="J225" i="837"/>
  <c r="H225" i="837"/>
  <c r="K224" i="837"/>
  <c r="J224" i="837"/>
  <c r="H224" i="837"/>
  <c r="J223" i="837"/>
  <c r="H223" i="837"/>
  <c r="J222" i="837"/>
  <c r="H222" i="837"/>
  <c r="K222" i="837" s="1"/>
  <c r="K221" i="837"/>
  <c r="J221" i="837"/>
  <c r="H221" i="837"/>
  <c r="K220" i="837"/>
  <c r="J220" i="837"/>
  <c r="H220" i="837"/>
  <c r="J219" i="837"/>
  <c r="H219" i="837"/>
  <c r="I218" i="837"/>
  <c r="J218" i="837" s="1"/>
  <c r="H218" i="837"/>
  <c r="G218" i="837"/>
  <c r="B216" i="837"/>
  <c r="J211" i="837"/>
  <c r="K211" i="837" s="1"/>
  <c r="H211" i="837"/>
  <c r="J210" i="837"/>
  <c r="H210" i="837"/>
  <c r="J209" i="837"/>
  <c r="H209" i="837"/>
  <c r="K209" i="837" s="1"/>
  <c r="J208" i="837"/>
  <c r="H208" i="837"/>
  <c r="K208" i="837" s="1"/>
  <c r="K207" i="837"/>
  <c r="J207" i="837"/>
  <c r="H207" i="837"/>
  <c r="J206" i="837"/>
  <c r="H206" i="837"/>
  <c r="K206" i="837" s="1"/>
  <c r="J205" i="837"/>
  <c r="H205" i="837"/>
  <c r="K205" i="837" s="1"/>
  <c r="J204" i="837"/>
  <c r="H204" i="837"/>
  <c r="K204" i="837" s="1"/>
  <c r="K203" i="837"/>
  <c r="J203" i="837"/>
  <c r="H203" i="837"/>
  <c r="J202" i="837"/>
  <c r="H202" i="837"/>
  <c r="J201" i="837"/>
  <c r="H201" i="837"/>
  <c r="K201" i="837" s="1"/>
  <c r="J200" i="837"/>
  <c r="H200" i="837"/>
  <c r="K200" i="837" s="1"/>
  <c r="K199" i="837"/>
  <c r="J199" i="837"/>
  <c r="H199" i="837"/>
  <c r="J198" i="837"/>
  <c r="H198" i="837"/>
  <c r="J197" i="837"/>
  <c r="H197" i="837"/>
  <c r="K197" i="837" s="1"/>
  <c r="J196" i="837"/>
  <c r="H196" i="837"/>
  <c r="K196" i="837" s="1"/>
  <c r="J195" i="837"/>
  <c r="H195" i="837"/>
  <c r="K195" i="837" s="1"/>
  <c r="J194" i="837"/>
  <c r="H194" i="837"/>
  <c r="J193" i="837"/>
  <c r="H193" i="837"/>
  <c r="K193" i="837" s="1"/>
  <c r="J192" i="837"/>
  <c r="H192" i="837"/>
  <c r="K192" i="837" s="1"/>
  <c r="K191" i="837"/>
  <c r="J191" i="837"/>
  <c r="H191" i="837"/>
  <c r="J190" i="837"/>
  <c r="H190" i="837"/>
  <c r="K190" i="837" s="1"/>
  <c r="J189" i="837"/>
  <c r="H189" i="837"/>
  <c r="B187" i="837"/>
  <c r="J182" i="837"/>
  <c r="K182" i="837" s="1"/>
  <c r="H182" i="837"/>
  <c r="K181" i="837"/>
  <c r="J181" i="837"/>
  <c r="H181" i="837"/>
  <c r="J180" i="837"/>
  <c r="H180" i="837"/>
  <c r="J176" i="837"/>
  <c r="H176" i="837"/>
  <c r="K176" i="837" s="1"/>
  <c r="K175" i="837"/>
  <c r="J175" i="837"/>
  <c r="H175" i="837"/>
  <c r="K174" i="837"/>
  <c r="J174" i="837"/>
  <c r="H174" i="837"/>
  <c r="J173" i="837"/>
  <c r="H173" i="837"/>
  <c r="J172" i="837"/>
  <c r="H172" i="837"/>
  <c r="K172" i="837" s="1"/>
  <c r="K171" i="837"/>
  <c r="J171" i="837"/>
  <c r="H171" i="837"/>
  <c r="K170" i="837"/>
  <c r="J170" i="837"/>
  <c r="H170" i="837"/>
  <c r="J169" i="837"/>
  <c r="H169" i="837"/>
  <c r="J168" i="837"/>
  <c r="J187" i="837" s="1"/>
  <c r="J17" i="837" s="1"/>
  <c r="H168" i="837"/>
  <c r="B165" i="837"/>
  <c r="K160" i="837"/>
  <c r="J160" i="837"/>
  <c r="H160" i="837"/>
  <c r="K159" i="837"/>
  <c r="J159" i="837"/>
  <c r="H159" i="837"/>
  <c r="J158" i="837"/>
  <c r="H158" i="837"/>
  <c r="K158" i="837" s="1"/>
  <c r="K156" i="837"/>
  <c r="J156" i="837"/>
  <c r="H156" i="837"/>
  <c r="J155" i="837"/>
  <c r="H155" i="837"/>
  <c r="J153" i="837"/>
  <c r="H153" i="837"/>
  <c r="K153" i="837" s="1"/>
  <c r="J152" i="837"/>
  <c r="H152" i="837"/>
  <c r="J151" i="837"/>
  <c r="H151" i="837"/>
  <c r="K151" i="837" s="1"/>
  <c r="O150" i="837"/>
  <c r="J150" i="837"/>
  <c r="H150" i="837"/>
  <c r="K150" i="837" s="1"/>
  <c r="O149" i="837"/>
  <c r="K149" i="837"/>
  <c r="J149" i="837"/>
  <c r="H149" i="837"/>
  <c r="O148" i="837"/>
  <c r="J148" i="837"/>
  <c r="H148" i="837"/>
  <c r="K148" i="837" s="1"/>
  <c r="O147" i="837"/>
  <c r="J147" i="837"/>
  <c r="H147" i="837"/>
  <c r="K147" i="837" s="1"/>
  <c r="O146" i="837"/>
  <c r="J146" i="837"/>
  <c r="H146" i="837"/>
  <c r="K146" i="837" s="1"/>
  <c r="O145" i="837"/>
  <c r="J145" i="837"/>
  <c r="H145" i="837"/>
  <c r="J144" i="837"/>
  <c r="H144" i="837"/>
  <c r="O142" i="837"/>
  <c r="K142" i="837"/>
  <c r="J142" i="837"/>
  <c r="H142" i="837"/>
  <c r="G143" i="837" s="1"/>
  <c r="J141" i="837"/>
  <c r="H141" i="837"/>
  <c r="B139" i="837"/>
  <c r="J133" i="837"/>
  <c r="H133" i="837"/>
  <c r="K133" i="837" s="1"/>
  <c r="J132" i="837"/>
  <c r="H132" i="837"/>
  <c r="K132" i="837" s="1"/>
  <c r="J131" i="837"/>
  <c r="H131" i="837"/>
  <c r="O129" i="837"/>
  <c r="K129" i="837"/>
  <c r="J129" i="837"/>
  <c r="H129" i="837"/>
  <c r="O128" i="837"/>
  <c r="K128" i="837"/>
  <c r="J128" i="837"/>
  <c r="H128" i="837"/>
  <c r="O127" i="837"/>
  <c r="J127" i="837"/>
  <c r="H127" i="837"/>
  <c r="K127" i="837" s="1"/>
  <c r="O126" i="837"/>
  <c r="K126" i="837"/>
  <c r="J126" i="837"/>
  <c r="H126" i="837"/>
  <c r="J125" i="837"/>
  <c r="H125" i="837"/>
  <c r="P123" i="837"/>
  <c r="J123" i="837"/>
  <c r="H123" i="837"/>
  <c r="K123" i="837" s="1"/>
  <c r="P122" i="837"/>
  <c r="J122" i="837"/>
  <c r="H122" i="837"/>
  <c r="K122" i="837" s="1"/>
  <c r="P121" i="837"/>
  <c r="J121" i="837"/>
  <c r="H121" i="837"/>
  <c r="K121" i="837" s="1"/>
  <c r="P120" i="837"/>
  <c r="J120" i="837"/>
  <c r="H120" i="837"/>
  <c r="K120" i="837" s="1"/>
  <c r="P119" i="837"/>
  <c r="O119" i="837"/>
  <c r="J119" i="837"/>
  <c r="H119" i="837"/>
  <c r="P118" i="837"/>
  <c r="O118" i="837"/>
  <c r="K118" i="837"/>
  <c r="J118" i="837"/>
  <c r="H118" i="837"/>
  <c r="P117" i="837"/>
  <c r="O117" i="837"/>
  <c r="J117" i="837"/>
  <c r="K117" i="837" s="1"/>
  <c r="H117" i="837"/>
  <c r="P116" i="837"/>
  <c r="O116" i="837"/>
  <c r="J116" i="837"/>
  <c r="H116" i="837"/>
  <c r="K116" i="837" s="1"/>
  <c r="P115" i="837"/>
  <c r="O115" i="837"/>
  <c r="J115" i="837"/>
  <c r="H115" i="837"/>
  <c r="P114" i="837"/>
  <c r="O114" i="837"/>
  <c r="K114" i="837"/>
  <c r="J114" i="837"/>
  <c r="H114" i="837"/>
  <c r="P113" i="837"/>
  <c r="O113" i="837"/>
  <c r="J113" i="837"/>
  <c r="H113" i="837"/>
  <c r="K113" i="837" s="1"/>
  <c r="P112" i="837"/>
  <c r="O112" i="837"/>
  <c r="J112" i="837"/>
  <c r="H112" i="837"/>
  <c r="K112" i="837" s="1"/>
  <c r="P111" i="837"/>
  <c r="O111" i="837"/>
  <c r="J111" i="837"/>
  <c r="K111" i="837" s="1"/>
  <c r="H111" i="837"/>
  <c r="P110" i="837"/>
  <c r="O110" i="837"/>
  <c r="J110" i="837"/>
  <c r="H110" i="837"/>
  <c r="J107" i="837"/>
  <c r="H107" i="837"/>
  <c r="B106" i="837"/>
  <c r="J98" i="837"/>
  <c r="H98" i="837"/>
  <c r="K98" i="837" s="1"/>
  <c r="J97" i="837"/>
  <c r="H97" i="837"/>
  <c r="K97" i="837" s="1"/>
  <c r="J96" i="837"/>
  <c r="H96" i="837"/>
  <c r="J94" i="837"/>
  <c r="J106" i="837" s="1"/>
  <c r="J14" i="837" s="1"/>
  <c r="H94" i="837"/>
  <c r="B91" i="837"/>
  <c r="J86" i="837"/>
  <c r="I86" i="837"/>
  <c r="H86" i="837"/>
  <c r="K86" i="837" s="1"/>
  <c r="I85" i="837"/>
  <c r="J85" i="837" s="1"/>
  <c r="H85" i="837"/>
  <c r="K85" i="837" s="1"/>
  <c r="I84" i="837"/>
  <c r="J84" i="837" s="1"/>
  <c r="H84" i="837"/>
  <c r="K84" i="837" s="1"/>
  <c r="B82" i="837"/>
  <c r="K78" i="837"/>
  <c r="I78" i="837"/>
  <c r="J78" i="837" s="1"/>
  <c r="H78" i="837"/>
  <c r="H77" i="837"/>
  <c r="K77" i="837" s="1"/>
  <c r="H76" i="837"/>
  <c r="K76" i="837" s="1"/>
  <c r="K75" i="837"/>
  <c r="H75" i="837"/>
  <c r="H74" i="837"/>
  <c r="K74" i="837" s="1"/>
  <c r="K73" i="837"/>
  <c r="H73" i="837"/>
  <c r="H72" i="837"/>
  <c r="K72" i="837" s="1"/>
  <c r="H71" i="837"/>
  <c r="K71" i="837" s="1"/>
  <c r="K70" i="837"/>
  <c r="H70" i="837"/>
  <c r="K69" i="837"/>
  <c r="H69" i="837"/>
  <c r="H68" i="837"/>
  <c r="K68" i="837" s="1"/>
  <c r="K67" i="837"/>
  <c r="H67" i="837"/>
  <c r="H66" i="837"/>
  <c r="K66" i="837" s="1"/>
  <c r="H65" i="837"/>
  <c r="K65" i="837" s="1"/>
  <c r="H64" i="837"/>
  <c r="K64" i="837" s="1"/>
  <c r="H63" i="837"/>
  <c r="K63" i="837" s="1"/>
  <c r="H62" i="837"/>
  <c r="K62" i="837" s="1"/>
  <c r="K61" i="837"/>
  <c r="H61" i="837"/>
  <c r="J55" i="837"/>
  <c r="I55" i="837"/>
  <c r="H55" i="837"/>
  <c r="K54" i="837"/>
  <c r="H54" i="837"/>
  <c r="H53" i="837"/>
  <c r="K53" i="837" s="1"/>
  <c r="H52" i="837"/>
  <c r="K52" i="837" s="1"/>
  <c r="K51" i="837"/>
  <c r="H51" i="837"/>
  <c r="H50" i="837"/>
  <c r="K50" i="837" s="1"/>
  <c r="H49" i="837"/>
  <c r="K49" i="837" s="1"/>
  <c r="K48" i="837"/>
  <c r="H48" i="837"/>
  <c r="H47" i="837"/>
  <c r="K47" i="837" s="1"/>
  <c r="H46" i="837"/>
  <c r="K46" i="837" s="1"/>
  <c r="K45" i="837"/>
  <c r="H45" i="837"/>
  <c r="H44" i="837"/>
  <c r="K44" i="837" s="1"/>
  <c r="H43" i="837"/>
  <c r="K43" i="837" s="1"/>
  <c r="H42" i="837"/>
  <c r="K42" i="837" s="1"/>
  <c r="H41" i="837"/>
  <c r="K41" i="837" s="1"/>
  <c r="H40" i="837"/>
  <c r="K40" i="837" s="1"/>
  <c r="K39" i="837"/>
  <c r="H39" i="837"/>
  <c r="H38" i="837"/>
  <c r="B34" i="837"/>
  <c r="J23" i="837"/>
  <c r="B23" i="837"/>
  <c r="A23" i="837"/>
  <c r="B22" i="837"/>
  <c r="A22" i="837"/>
  <c r="B21" i="837"/>
  <c r="A21" i="837"/>
  <c r="B20" i="837"/>
  <c r="A20" i="837"/>
  <c r="B19" i="837"/>
  <c r="A19" i="837"/>
  <c r="B18" i="837"/>
  <c r="A18" i="837"/>
  <c r="B17" i="837"/>
  <c r="A17" i="837"/>
  <c r="B16" i="837"/>
  <c r="A16" i="837"/>
  <c r="B15" i="837"/>
  <c r="A15" i="837"/>
  <c r="B14" i="837"/>
  <c r="A14" i="837"/>
  <c r="B13" i="837"/>
  <c r="A13" i="837"/>
  <c r="B12" i="837"/>
  <c r="A12" i="837"/>
  <c r="B442" i="836"/>
  <c r="O422" i="836"/>
  <c r="J422" i="836"/>
  <c r="H422" i="836"/>
  <c r="G423" i="836" s="1"/>
  <c r="O420" i="836"/>
  <c r="K420" i="836"/>
  <c r="J420" i="836"/>
  <c r="H420" i="836"/>
  <c r="K418" i="836"/>
  <c r="J418" i="836"/>
  <c r="H418" i="836"/>
  <c r="J416" i="836"/>
  <c r="H416" i="836"/>
  <c r="K416" i="836" s="1"/>
  <c r="K415" i="836"/>
  <c r="J415" i="836"/>
  <c r="H415" i="836"/>
  <c r="B413" i="836"/>
  <c r="H408" i="836"/>
  <c r="K408" i="836" s="1"/>
  <c r="G408" i="836"/>
  <c r="I408" i="836" s="1"/>
  <c r="J408" i="836" s="1"/>
  <c r="K407" i="836"/>
  <c r="J407" i="836"/>
  <c r="H407" i="836"/>
  <c r="J404" i="836"/>
  <c r="H404" i="836"/>
  <c r="J403" i="836"/>
  <c r="H403" i="836"/>
  <c r="K403" i="836" s="1"/>
  <c r="J401" i="836"/>
  <c r="I401" i="836"/>
  <c r="H401" i="836"/>
  <c r="K401" i="836" s="1"/>
  <c r="K400" i="836"/>
  <c r="J400" i="836"/>
  <c r="I400" i="836"/>
  <c r="H400" i="836"/>
  <c r="I399" i="836"/>
  <c r="J399" i="836" s="1"/>
  <c r="K399" i="836" s="1"/>
  <c r="H399" i="836"/>
  <c r="J398" i="836"/>
  <c r="I398" i="836"/>
  <c r="H398" i="836"/>
  <c r="K398" i="836" s="1"/>
  <c r="K396" i="836"/>
  <c r="J396" i="836"/>
  <c r="I396" i="836"/>
  <c r="H396" i="836"/>
  <c r="I395" i="836"/>
  <c r="J395" i="836" s="1"/>
  <c r="K395" i="836" s="1"/>
  <c r="H395" i="836"/>
  <c r="J394" i="836"/>
  <c r="I394" i="836"/>
  <c r="H394" i="836"/>
  <c r="K394" i="836" s="1"/>
  <c r="K390" i="836"/>
  <c r="J390" i="836"/>
  <c r="I390" i="836"/>
  <c r="H390" i="836"/>
  <c r="K389" i="836"/>
  <c r="I389" i="836"/>
  <c r="J389" i="836" s="1"/>
  <c r="H389" i="836"/>
  <c r="J388" i="836"/>
  <c r="I388" i="836"/>
  <c r="H388" i="836"/>
  <c r="K388" i="836" s="1"/>
  <c r="B385" i="836"/>
  <c r="K383" i="836"/>
  <c r="I383" i="836"/>
  <c r="J383" i="836" s="1"/>
  <c r="O382" i="836"/>
  <c r="J382" i="836"/>
  <c r="H382" i="836"/>
  <c r="G383" i="836" s="1"/>
  <c r="H383" i="836" s="1"/>
  <c r="H380" i="836"/>
  <c r="K380" i="836" s="1"/>
  <c r="G380" i="836"/>
  <c r="I380" i="836" s="1"/>
  <c r="J380" i="836" s="1"/>
  <c r="K379" i="836"/>
  <c r="J379" i="836"/>
  <c r="H379" i="836"/>
  <c r="K377" i="836"/>
  <c r="H377" i="836"/>
  <c r="H376" i="836"/>
  <c r="K376" i="836" s="1"/>
  <c r="K375" i="836"/>
  <c r="H375" i="836"/>
  <c r="H374" i="836"/>
  <c r="K374" i="836" s="1"/>
  <c r="H373" i="836"/>
  <c r="K373" i="836" s="1"/>
  <c r="J372" i="836"/>
  <c r="H372" i="836"/>
  <c r="K372" i="836" s="1"/>
  <c r="I368" i="836"/>
  <c r="J368" i="836" s="1"/>
  <c r="H368" i="836"/>
  <c r="K368" i="836" s="1"/>
  <c r="I367" i="836"/>
  <c r="J367" i="836" s="1"/>
  <c r="K367" i="836" s="1"/>
  <c r="H367" i="836"/>
  <c r="K366" i="836"/>
  <c r="J366" i="836"/>
  <c r="J385" i="836" s="1"/>
  <c r="J21" i="836" s="1"/>
  <c r="I366" i="836"/>
  <c r="H366" i="836"/>
  <c r="B363" i="836"/>
  <c r="J361" i="836"/>
  <c r="H361" i="836"/>
  <c r="K361" i="836" s="1"/>
  <c r="J360" i="836"/>
  <c r="H360" i="836"/>
  <c r="O358" i="836"/>
  <c r="J358" i="836"/>
  <c r="H358" i="836"/>
  <c r="J357" i="836"/>
  <c r="H357" i="836"/>
  <c r="K357" i="836" s="1"/>
  <c r="O354" i="836"/>
  <c r="J354" i="836"/>
  <c r="H354" i="836"/>
  <c r="O353" i="836"/>
  <c r="K353" i="836"/>
  <c r="J353" i="836"/>
  <c r="H353" i="836"/>
  <c r="K352" i="836"/>
  <c r="J352" i="836"/>
  <c r="H352" i="836"/>
  <c r="K351" i="836"/>
  <c r="J351" i="836"/>
  <c r="I351" i="836"/>
  <c r="H351" i="836"/>
  <c r="J350" i="836"/>
  <c r="H350" i="836"/>
  <c r="K350" i="836" s="1"/>
  <c r="J349" i="836"/>
  <c r="H349" i="836"/>
  <c r="K349" i="836" s="1"/>
  <c r="J348" i="836"/>
  <c r="H348" i="836"/>
  <c r="K348" i="836" s="1"/>
  <c r="B346" i="836"/>
  <c r="J339" i="836"/>
  <c r="H339" i="836"/>
  <c r="K339" i="836" s="1"/>
  <c r="J338" i="836"/>
  <c r="H338" i="836"/>
  <c r="K338" i="836" s="1"/>
  <c r="O336" i="836"/>
  <c r="J336" i="836"/>
  <c r="H336" i="836"/>
  <c r="G337" i="836" s="1"/>
  <c r="O335" i="836"/>
  <c r="K335" i="836"/>
  <c r="J335" i="836"/>
  <c r="H335" i="836"/>
  <c r="K334" i="836"/>
  <c r="J334" i="836"/>
  <c r="H334" i="836"/>
  <c r="J333" i="836"/>
  <c r="H333" i="836"/>
  <c r="G333" i="836"/>
  <c r="I333" i="836" s="1"/>
  <c r="O332" i="836"/>
  <c r="K332" i="836"/>
  <c r="J332" i="836"/>
  <c r="H332" i="836"/>
  <c r="G329" i="836"/>
  <c r="J328" i="836"/>
  <c r="H328" i="836"/>
  <c r="K328" i="836" s="1"/>
  <c r="J327" i="836"/>
  <c r="H327" i="836"/>
  <c r="K327" i="836" s="1"/>
  <c r="J326" i="836"/>
  <c r="H326" i="836"/>
  <c r="K326" i="836" s="1"/>
  <c r="J325" i="836"/>
  <c r="H325" i="836"/>
  <c r="K325" i="836" s="1"/>
  <c r="J324" i="836"/>
  <c r="H324" i="836"/>
  <c r="J323" i="836"/>
  <c r="H323" i="836"/>
  <c r="K323" i="836" s="1"/>
  <c r="J322" i="836"/>
  <c r="H322" i="836"/>
  <c r="K322" i="836" s="1"/>
  <c r="J321" i="836"/>
  <c r="H321" i="836"/>
  <c r="K321" i="836" s="1"/>
  <c r="J320" i="836"/>
  <c r="H320" i="836"/>
  <c r="J319" i="836"/>
  <c r="H319" i="836"/>
  <c r="K319" i="836" s="1"/>
  <c r="J318" i="836"/>
  <c r="H318" i="836"/>
  <c r="K318" i="836" s="1"/>
  <c r="G318" i="836"/>
  <c r="J317" i="836"/>
  <c r="H317" i="836"/>
  <c r="K316" i="836"/>
  <c r="J316" i="836"/>
  <c r="H316" i="836"/>
  <c r="K315" i="836"/>
  <c r="J315" i="836"/>
  <c r="H315" i="836"/>
  <c r="K314" i="836"/>
  <c r="J314" i="836"/>
  <c r="H314" i="836"/>
  <c r="J313" i="836"/>
  <c r="H313" i="836"/>
  <c r="K313" i="836" s="1"/>
  <c r="K312" i="836"/>
  <c r="J312" i="836"/>
  <c r="H312" i="836"/>
  <c r="K311" i="836"/>
  <c r="J311" i="836"/>
  <c r="H311" i="836"/>
  <c r="K310" i="836"/>
  <c r="J310" i="836"/>
  <c r="H310" i="836"/>
  <c r="J309" i="836"/>
  <c r="H309" i="836"/>
  <c r="K308" i="836"/>
  <c r="J308" i="836"/>
  <c r="H308" i="836"/>
  <c r="K307" i="836"/>
  <c r="J307" i="836"/>
  <c r="H307" i="836"/>
  <c r="K306" i="836"/>
  <c r="J306" i="836"/>
  <c r="H306" i="836"/>
  <c r="J305" i="836"/>
  <c r="H305" i="836"/>
  <c r="H304" i="836"/>
  <c r="G304" i="836"/>
  <c r="I304" i="836" s="1"/>
  <c r="J304" i="836" s="1"/>
  <c r="B302" i="836"/>
  <c r="J298" i="836"/>
  <c r="H298" i="836"/>
  <c r="K298" i="836" s="1"/>
  <c r="J297" i="836"/>
  <c r="H297" i="836"/>
  <c r="K297" i="836" s="1"/>
  <c r="J296" i="836"/>
  <c r="H296" i="836"/>
  <c r="K296" i="836" s="1"/>
  <c r="J295" i="836"/>
  <c r="H295" i="836"/>
  <c r="K295" i="836" s="1"/>
  <c r="J294" i="836"/>
  <c r="H294" i="836"/>
  <c r="K294" i="836" s="1"/>
  <c r="J293" i="836"/>
  <c r="H293" i="836"/>
  <c r="K293" i="836" s="1"/>
  <c r="J292" i="836"/>
  <c r="H292" i="836"/>
  <c r="K292" i="836" s="1"/>
  <c r="J291" i="836"/>
  <c r="H291" i="836"/>
  <c r="K291" i="836" s="1"/>
  <c r="J290" i="836"/>
  <c r="H290" i="836"/>
  <c r="K290" i="836" s="1"/>
  <c r="J289" i="836"/>
  <c r="H289" i="836"/>
  <c r="K289" i="836" s="1"/>
  <c r="J288" i="836"/>
  <c r="H288" i="836"/>
  <c r="K288" i="836" s="1"/>
  <c r="J287" i="836"/>
  <c r="H287" i="836"/>
  <c r="K287" i="836" s="1"/>
  <c r="J286" i="836"/>
  <c r="H286" i="836"/>
  <c r="K286" i="836" s="1"/>
  <c r="J285" i="836"/>
  <c r="H285" i="836"/>
  <c r="K285" i="836" s="1"/>
  <c r="J284" i="836"/>
  <c r="H284" i="836"/>
  <c r="K284" i="836" s="1"/>
  <c r="J283" i="836"/>
  <c r="H283" i="836"/>
  <c r="K283" i="836" s="1"/>
  <c r="J282" i="836"/>
  <c r="H282" i="836"/>
  <c r="K282" i="836" s="1"/>
  <c r="J281" i="836"/>
  <c r="H281" i="836"/>
  <c r="K281" i="836" s="1"/>
  <c r="J280" i="836"/>
  <c r="H280" i="836"/>
  <c r="K280" i="836" s="1"/>
  <c r="J279" i="836"/>
  <c r="H279" i="836"/>
  <c r="K279" i="836" s="1"/>
  <c r="J278" i="836"/>
  <c r="H278" i="836"/>
  <c r="K278" i="836" s="1"/>
  <c r="J277" i="836"/>
  <c r="H277" i="836"/>
  <c r="K277" i="836" s="1"/>
  <c r="J276" i="836"/>
  <c r="H276" i="836"/>
  <c r="H274" i="836"/>
  <c r="B274" i="836"/>
  <c r="K269" i="836"/>
  <c r="J269" i="836"/>
  <c r="H269" i="836"/>
  <c r="K268" i="836"/>
  <c r="J268" i="836"/>
  <c r="H268" i="836"/>
  <c r="J267" i="836"/>
  <c r="J274" i="836" s="1"/>
  <c r="J17" i="836" s="1"/>
  <c r="H267" i="836"/>
  <c r="K265" i="836"/>
  <c r="J265" i="836"/>
  <c r="H265" i="836"/>
  <c r="K264" i="836"/>
  <c r="J264" i="836"/>
  <c r="H264" i="836"/>
  <c r="K263" i="836"/>
  <c r="J263" i="836"/>
  <c r="H263" i="836"/>
  <c r="J262" i="836"/>
  <c r="H262" i="836"/>
  <c r="K262" i="836" s="1"/>
  <c r="K261" i="836"/>
  <c r="J261" i="836"/>
  <c r="H261" i="836"/>
  <c r="K260" i="836"/>
  <c r="J260" i="836"/>
  <c r="H260" i="836"/>
  <c r="K259" i="836"/>
  <c r="J259" i="836"/>
  <c r="H259" i="836"/>
  <c r="J258" i="836"/>
  <c r="H258" i="836"/>
  <c r="K257" i="836"/>
  <c r="J257" i="836"/>
  <c r="H257" i="836"/>
  <c r="B254" i="836"/>
  <c r="K252" i="836"/>
  <c r="J252" i="836"/>
  <c r="H252" i="836"/>
  <c r="J251" i="836"/>
  <c r="H251" i="836"/>
  <c r="J249" i="836"/>
  <c r="H249" i="836"/>
  <c r="K249" i="836" s="1"/>
  <c r="J248" i="836"/>
  <c r="H248" i="836"/>
  <c r="K248" i="836" s="1"/>
  <c r="J247" i="836"/>
  <c r="H247" i="836"/>
  <c r="K247" i="836" s="1"/>
  <c r="O246" i="836"/>
  <c r="K246" i="836"/>
  <c r="J246" i="836"/>
  <c r="H246" i="836"/>
  <c r="O245" i="836"/>
  <c r="K245" i="836"/>
  <c r="J245" i="836"/>
  <c r="H245" i="836"/>
  <c r="O244" i="836"/>
  <c r="J244" i="836"/>
  <c r="H244" i="836"/>
  <c r="K244" i="836" s="1"/>
  <c r="O243" i="836"/>
  <c r="K243" i="836"/>
  <c r="J243" i="836"/>
  <c r="H243" i="836"/>
  <c r="O242" i="836"/>
  <c r="K242" i="836"/>
  <c r="J242" i="836"/>
  <c r="H242" i="836"/>
  <c r="O241" i="836"/>
  <c r="J241" i="836"/>
  <c r="H241" i="836"/>
  <c r="G250" i="836" s="1"/>
  <c r="J240" i="836"/>
  <c r="H240" i="836"/>
  <c r="O238" i="836"/>
  <c r="K238" i="836"/>
  <c r="J238" i="836"/>
  <c r="H238" i="836"/>
  <c r="O237" i="836"/>
  <c r="J237" i="836"/>
  <c r="H237" i="836"/>
  <c r="K237" i="836" s="1"/>
  <c r="O236" i="836"/>
  <c r="K236" i="836"/>
  <c r="J236" i="836"/>
  <c r="H236" i="836"/>
  <c r="G239" i="836" s="1"/>
  <c r="J235" i="836"/>
  <c r="H235" i="836"/>
  <c r="B233" i="836"/>
  <c r="J229" i="836"/>
  <c r="H229" i="836"/>
  <c r="K229" i="836" s="1"/>
  <c r="J228" i="836"/>
  <c r="H228" i="836"/>
  <c r="J227" i="836"/>
  <c r="H227" i="836"/>
  <c r="O225" i="836"/>
  <c r="J225" i="836"/>
  <c r="H225" i="836"/>
  <c r="K225" i="836" s="1"/>
  <c r="O224" i="836"/>
  <c r="J224" i="836"/>
  <c r="K224" i="836" s="1"/>
  <c r="H224" i="836"/>
  <c r="O223" i="836"/>
  <c r="J223" i="836"/>
  <c r="H223" i="836"/>
  <c r="K223" i="836" s="1"/>
  <c r="O222" i="836"/>
  <c r="J222" i="836"/>
  <c r="H222" i="836"/>
  <c r="K222" i="836" s="1"/>
  <c r="J221" i="836"/>
  <c r="H221" i="836"/>
  <c r="P219" i="836"/>
  <c r="J219" i="836"/>
  <c r="H219" i="836"/>
  <c r="K219" i="836" s="1"/>
  <c r="P218" i="836"/>
  <c r="K218" i="836"/>
  <c r="J218" i="836"/>
  <c r="H218" i="836"/>
  <c r="P217" i="836"/>
  <c r="K217" i="836"/>
  <c r="J217" i="836"/>
  <c r="H217" i="836"/>
  <c r="P216" i="836"/>
  <c r="J216" i="836"/>
  <c r="H216" i="836"/>
  <c r="K216" i="836" s="1"/>
  <c r="P215" i="836"/>
  <c r="O215" i="836"/>
  <c r="J215" i="836"/>
  <c r="H215" i="836"/>
  <c r="K215" i="836" s="1"/>
  <c r="P214" i="836"/>
  <c r="O214" i="836"/>
  <c r="J214" i="836"/>
  <c r="K214" i="836" s="1"/>
  <c r="H214" i="836"/>
  <c r="P213" i="836"/>
  <c r="O213" i="836"/>
  <c r="J213" i="836"/>
  <c r="H213" i="836"/>
  <c r="K213" i="836" s="1"/>
  <c r="P212" i="836"/>
  <c r="O212" i="836"/>
  <c r="K212" i="836"/>
  <c r="J212" i="836"/>
  <c r="H212" i="836"/>
  <c r="P211" i="836"/>
  <c r="O211" i="836"/>
  <c r="K211" i="836"/>
  <c r="J211" i="836"/>
  <c r="H211" i="836"/>
  <c r="P210" i="836"/>
  <c r="O210" i="836"/>
  <c r="J210" i="836"/>
  <c r="H210" i="836"/>
  <c r="K210" i="836" s="1"/>
  <c r="P209" i="836"/>
  <c r="O209" i="836"/>
  <c r="K209" i="836"/>
  <c r="J209" i="836"/>
  <c r="H209" i="836"/>
  <c r="P208" i="836"/>
  <c r="O208" i="836"/>
  <c r="K208" i="836"/>
  <c r="J208" i="836"/>
  <c r="H208" i="836"/>
  <c r="P207" i="836"/>
  <c r="O207" i="836"/>
  <c r="J207" i="836"/>
  <c r="H207" i="836"/>
  <c r="K207" i="836" s="1"/>
  <c r="P206" i="836"/>
  <c r="O206" i="836"/>
  <c r="J206" i="836"/>
  <c r="H206" i="836"/>
  <c r="G230" i="836" s="1"/>
  <c r="J203" i="836"/>
  <c r="H203" i="836"/>
  <c r="B202" i="836"/>
  <c r="K200" i="836"/>
  <c r="J200" i="836"/>
  <c r="H200" i="836"/>
  <c r="J199" i="836"/>
  <c r="H199" i="836"/>
  <c r="K199" i="836" s="1"/>
  <c r="J198" i="836"/>
  <c r="H198" i="836"/>
  <c r="K198" i="836" s="1"/>
  <c r="K197" i="836"/>
  <c r="J197" i="836"/>
  <c r="H197" i="836"/>
  <c r="J196" i="836"/>
  <c r="H196" i="836"/>
  <c r="K196" i="836" s="1"/>
  <c r="J195" i="836"/>
  <c r="H195" i="836"/>
  <c r="K195" i="836" s="1"/>
  <c r="J194" i="836"/>
  <c r="H194" i="836"/>
  <c r="K194" i="836" s="1"/>
  <c r="K193" i="836"/>
  <c r="J193" i="836"/>
  <c r="H193" i="836"/>
  <c r="K192" i="836"/>
  <c r="J192" i="836"/>
  <c r="H192" i="836"/>
  <c r="J191" i="836"/>
  <c r="H191" i="836"/>
  <c r="K191" i="836" s="1"/>
  <c r="J190" i="836"/>
  <c r="H190" i="836"/>
  <c r="K190" i="836" s="1"/>
  <c r="K189" i="836"/>
  <c r="J189" i="836"/>
  <c r="H189" i="836"/>
  <c r="J188" i="836"/>
  <c r="H188" i="836"/>
  <c r="K188" i="836" s="1"/>
  <c r="J187" i="836"/>
  <c r="H187" i="836"/>
  <c r="K187" i="836" s="1"/>
  <c r="J186" i="836"/>
  <c r="H186" i="836"/>
  <c r="K186" i="836" s="1"/>
  <c r="K185" i="836"/>
  <c r="J185" i="836"/>
  <c r="H185" i="836"/>
  <c r="J184" i="836"/>
  <c r="H184" i="836"/>
  <c r="K184" i="836" s="1"/>
  <c r="J183" i="836"/>
  <c r="H183" i="836"/>
  <c r="K183" i="836" s="1"/>
  <c r="J182" i="836"/>
  <c r="H182" i="836"/>
  <c r="K182" i="836" s="1"/>
  <c r="K181" i="836"/>
  <c r="J181" i="836"/>
  <c r="H181" i="836"/>
  <c r="K180" i="836"/>
  <c r="J180" i="836"/>
  <c r="H180" i="836"/>
  <c r="J179" i="836"/>
  <c r="H179" i="836"/>
  <c r="K179" i="836" s="1"/>
  <c r="J178" i="836"/>
  <c r="H178" i="836"/>
  <c r="K178" i="836" s="1"/>
  <c r="K177" i="836"/>
  <c r="J177" i="836"/>
  <c r="H177" i="836"/>
  <c r="K176" i="836"/>
  <c r="J176" i="836"/>
  <c r="H176" i="836"/>
  <c r="J175" i="836"/>
  <c r="H175" i="836"/>
  <c r="K175" i="836" s="1"/>
  <c r="J174" i="836"/>
  <c r="H174" i="836"/>
  <c r="K174" i="836" s="1"/>
  <c r="K173" i="836"/>
  <c r="J173" i="836"/>
  <c r="H173" i="836"/>
  <c r="J172" i="836"/>
  <c r="H172" i="836"/>
  <c r="K172" i="836" s="1"/>
  <c r="J171" i="836"/>
  <c r="H171" i="836"/>
  <c r="K171" i="836" s="1"/>
  <c r="J170" i="836"/>
  <c r="H170" i="836"/>
  <c r="K170" i="836" s="1"/>
  <c r="K169" i="836"/>
  <c r="J169" i="836"/>
  <c r="H169" i="836"/>
  <c r="K168" i="836"/>
  <c r="J168" i="836"/>
  <c r="H168" i="836"/>
  <c r="J167" i="836"/>
  <c r="H167" i="836"/>
  <c r="K167" i="836" s="1"/>
  <c r="J166" i="836"/>
  <c r="H166" i="836"/>
  <c r="K166" i="836" s="1"/>
  <c r="K165" i="836"/>
  <c r="J165" i="836"/>
  <c r="H165" i="836"/>
  <c r="J164" i="836"/>
  <c r="H164" i="836"/>
  <c r="K164" i="836" s="1"/>
  <c r="J163" i="836"/>
  <c r="H163" i="836"/>
  <c r="K163" i="836" s="1"/>
  <c r="J162" i="836"/>
  <c r="H162" i="836"/>
  <c r="K162" i="836" s="1"/>
  <c r="K161" i="836"/>
  <c r="J161" i="836"/>
  <c r="H161" i="836"/>
  <c r="J160" i="836"/>
  <c r="H160" i="836"/>
  <c r="K160" i="836" s="1"/>
  <c r="J159" i="836"/>
  <c r="H159" i="836"/>
  <c r="K159" i="836" s="1"/>
  <c r="J158" i="836"/>
  <c r="H158" i="836"/>
  <c r="K158" i="836" s="1"/>
  <c r="K157" i="836"/>
  <c r="J157" i="836"/>
  <c r="H157" i="836"/>
  <c r="K156" i="836"/>
  <c r="J156" i="836"/>
  <c r="H156" i="836"/>
  <c r="J155" i="836"/>
  <c r="H155" i="836"/>
  <c r="K155" i="836" s="1"/>
  <c r="J154" i="836"/>
  <c r="H154" i="836"/>
  <c r="K154" i="836" s="1"/>
  <c r="K153" i="836"/>
  <c r="J153" i="836"/>
  <c r="H153" i="836"/>
  <c r="K152" i="836"/>
  <c r="J152" i="836"/>
  <c r="H152" i="836"/>
  <c r="J151" i="836"/>
  <c r="H151" i="836"/>
  <c r="K151" i="836" s="1"/>
  <c r="J150" i="836"/>
  <c r="H150" i="836"/>
  <c r="K150" i="836" s="1"/>
  <c r="K149" i="836"/>
  <c r="J149" i="836"/>
  <c r="H149" i="836"/>
  <c r="J148" i="836"/>
  <c r="H148" i="836"/>
  <c r="K148" i="836" s="1"/>
  <c r="J147" i="836"/>
  <c r="H147" i="836"/>
  <c r="K147" i="836" s="1"/>
  <c r="J146" i="836"/>
  <c r="H146" i="836"/>
  <c r="K146" i="836" s="1"/>
  <c r="K145" i="836"/>
  <c r="J145" i="836"/>
  <c r="H145" i="836"/>
  <c r="K144" i="836"/>
  <c r="J144" i="836"/>
  <c r="H144" i="836"/>
  <c r="J143" i="836"/>
  <c r="H143" i="836"/>
  <c r="K143" i="836" s="1"/>
  <c r="J142" i="836"/>
  <c r="H142" i="836"/>
  <c r="K142" i="836" s="1"/>
  <c r="K141" i="836"/>
  <c r="J141" i="836"/>
  <c r="J202" i="836" s="1"/>
  <c r="J14" i="836" s="1"/>
  <c r="H141" i="836"/>
  <c r="J140" i="836"/>
  <c r="H140" i="836"/>
  <c r="B138" i="836"/>
  <c r="J133" i="836"/>
  <c r="K133" i="836" s="1"/>
  <c r="I133" i="836"/>
  <c r="H133" i="836"/>
  <c r="H132" i="836"/>
  <c r="K132" i="836" s="1"/>
  <c r="H131" i="836"/>
  <c r="K131" i="836" s="1"/>
  <c r="K130" i="836"/>
  <c r="H130" i="836"/>
  <c r="K129" i="836"/>
  <c r="H129" i="836"/>
  <c r="H128" i="836"/>
  <c r="K128" i="836" s="1"/>
  <c r="K127" i="836"/>
  <c r="H127" i="836"/>
  <c r="H126" i="836"/>
  <c r="K126" i="836" s="1"/>
  <c r="H125" i="836"/>
  <c r="K125" i="836" s="1"/>
  <c r="K124" i="836"/>
  <c r="H124" i="836"/>
  <c r="K123" i="836"/>
  <c r="H123" i="836"/>
  <c r="H122" i="836"/>
  <c r="K122" i="836" s="1"/>
  <c r="K121" i="836"/>
  <c r="H121" i="836"/>
  <c r="H120" i="836"/>
  <c r="K120" i="836" s="1"/>
  <c r="H119" i="836"/>
  <c r="K119" i="836" s="1"/>
  <c r="K118" i="836"/>
  <c r="H118" i="836"/>
  <c r="K117" i="836"/>
  <c r="H117" i="836"/>
  <c r="H116" i="836"/>
  <c r="K116" i="836" s="1"/>
  <c r="K115" i="836"/>
  <c r="H115" i="836"/>
  <c r="H114" i="836"/>
  <c r="K114" i="836" s="1"/>
  <c r="H113" i="836"/>
  <c r="K113" i="836" s="1"/>
  <c r="K112" i="836"/>
  <c r="H112" i="836"/>
  <c r="K111" i="836"/>
  <c r="H111" i="836"/>
  <c r="J108" i="836"/>
  <c r="I108" i="836"/>
  <c r="H108" i="836"/>
  <c r="H107" i="836"/>
  <c r="K107" i="836" s="1"/>
  <c r="H106" i="836"/>
  <c r="K106" i="836" s="1"/>
  <c r="K105" i="836"/>
  <c r="H105" i="836"/>
  <c r="K104" i="836"/>
  <c r="H104" i="836"/>
  <c r="H103" i="836"/>
  <c r="K103" i="836" s="1"/>
  <c r="H102" i="836"/>
  <c r="K102" i="836" s="1"/>
  <c r="H101" i="836"/>
  <c r="K101" i="836" s="1"/>
  <c r="H100" i="836"/>
  <c r="K100" i="836" s="1"/>
  <c r="K99" i="836"/>
  <c r="H99" i="836"/>
  <c r="K98" i="836"/>
  <c r="H98" i="836"/>
  <c r="H97" i="836"/>
  <c r="K97" i="836" s="1"/>
  <c r="H96" i="836"/>
  <c r="K96" i="836" s="1"/>
  <c r="H95" i="836"/>
  <c r="K95" i="836" s="1"/>
  <c r="H94" i="836"/>
  <c r="K94" i="836" s="1"/>
  <c r="K93" i="836"/>
  <c r="H93" i="836"/>
  <c r="K92" i="836"/>
  <c r="H92" i="836"/>
  <c r="H91" i="836"/>
  <c r="K91" i="836" s="1"/>
  <c r="H90" i="836"/>
  <c r="K90" i="836" s="1"/>
  <c r="H89" i="836"/>
  <c r="K89" i="836" s="1"/>
  <c r="H88" i="836"/>
  <c r="K87" i="836"/>
  <c r="H87" i="836"/>
  <c r="K86" i="836"/>
  <c r="H86" i="836"/>
  <c r="B82" i="836"/>
  <c r="J78" i="836"/>
  <c r="I78" i="836"/>
  <c r="H78" i="836"/>
  <c r="K77" i="836"/>
  <c r="H77" i="836"/>
  <c r="K76" i="836"/>
  <c r="H76" i="836"/>
  <c r="H75" i="836"/>
  <c r="K75" i="836" s="1"/>
  <c r="H74" i="836"/>
  <c r="K74" i="836" s="1"/>
  <c r="H73" i="836"/>
  <c r="K73" i="836" s="1"/>
  <c r="H72" i="836"/>
  <c r="K72" i="836" s="1"/>
  <c r="K71" i="836"/>
  <c r="H71" i="836"/>
  <c r="K70" i="836"/>
  <c r="H70" i="836"/>
  <c r="H69" i="836"/>
  <c r="K69" i="836" s="1"/>
  <c r="H68" i="836"/>
  <c r="K68" i="836" s="1"/>
  <c r="H67" i="836"/>
  <c r="K67" i="836" s="1"/>
  <c r="H66" i="836"/>
  <c r="K66" i="836" s="1"/>
  <c r="K65" i="836"/>
  <c r="H65" i="836"/>
  <c r="K64" i="836"/>
  <c r="H64" i="836"/>
  <c r="H63" i="836"/>
  <c r="K63" i="836" s="1"/>
  <c r="H62" i="836"/>
  <c r="K62" i="836" s="1"/>
  <c r="H61" i="836"/>
  <c r="K61" i="836" s="1"/>
  <c r="J55" i="836"/>
  <c r="K55" i="836" s="1"/>
  <c r="I55" i="836"/>
  <c r="H55" i="836"/>
  <c r="K54" i="836"/>
  <c r="H54" i="836"/>
  <c r="H53" i="836"/>
  <c r="K53" i="836" s="1"/>
  <c r="H52" i="836"/>
  <c r="K52" i="836" s="1"/>
  <c r="H51" i="836"/>
  <c r="K51" i="836" s="1"/>
  <c r="H50" i="836"/>
  <c r="K50" i="836" s="1"/>
  <c r="K49" i="836"/>
  <c r="H49" i="836"/>
  <c r="K48" i="836"/>
  <c r="H48" i="836"/>
  <c r="H47" i="836"/>
  <c r="K47" i="836" s="1"/>
  <c r="H46" i="836"/>
  <c r="K46" i="836" s="1"/>
  <c r="H45" i="836"/>
  <c r="K45" i="836" s="1"/>
  <c r="H44" i="836"/>
  <c r="K44" i="836" s="1"/>
  <c r="K43" i="836"/>
  <c r="H43" i="836"/>
  <c r="K42" i="836"/>
  <c r="H42" i="836"/>
  <c r="H41" i="836"/>
  <c r="K41" i="836" s="1"/>
  <c r="H40" i="836"/>
  <c r="K40" i="836" s="1"/>
  <c r="H39" i="836"/>
  <c r="K39" i="836" s="1"/>
  <c r="H38" i="836"/>
  <c r="B34" i="836"/>
  <c r="B23" i="836"/>
  <c r="A23" i="836"/>
  <c r="B22" i="836"/>
  <c r="A22" i="836"/>
  <c r="B21" i="836"/>
  <c r="A21" i="836"/>
  <c r="B20" i="836"/>
  <c r="A20" i="836"/>
  <c r="B19" i="836"/>
  <c r="A19" i="836"/>
  <c r="B18" i="836"/>
  <c r="A18" i="836"/>
  <c r="H17" i="836"/>
  <c r="B17" i="836"/>
  <c r="A17" i="836"/>
  <c r="B16" i="836"/>
  <c r="A16" i="836"/>
  <c r="B15" i="836"/>
  <c r="A15" i="836"/>
  <c r="B14" i="836"/>
  <c r="A14" i="836"/>
  <c r="B13" i="836"/>
  <c r="A13" i="836"/>
  <c r="B12" i="836"/>
  <c r="A12" i="836"/>
  <c r="B394" i="835"/>
  <c r="J386" i="835"/>
  <c r="H386" i="835"/>
  <c r="K386" i="835" s="1"/>
  <c r="G386" i="835"/>
  <c r="I386" i="835" s="1"/>
  <c r="J385" i="835"/>
  <c r="H385" i="835"/>
  <c r="J381" i="835"/>
  <c r="H381" i="835"/>
  <c r="I377" i="835"/>
  <c r="J377" i="835" s="1"/>
  <c r="K377" i="835" s="1"/>
  <c r="H377" i="835"/>
  <c r="J376" i="835"/>
  <c r="I376" i="835"/>
  <c r="H376" i="835"/>
  <c r="K376" i="835" s="1"/>
  <c r="I375" i="835"/>
  <c r="J375" i="835" s="1"/>
  <c r="H375" i="835"/>
  <c r="I374" i="835"/>
  <c r="J374" i="835" s="1"/>
  <c r="K374" i="835" s="1"/>
  <c r="H374" i="835"/>
  <c r="K372" i="835"/>
  <c r="J372" i="835"/>
  <c r="H372" i="835"/>
  <c r="B370" i="835"/>
  <c r="J366" i="835"/>
  <c r="I366" i="835"/>
  <c r="H366" i="835"/>
  <c r="K366" i="835" s="1"/>
  <c r="G366" i="835"/>
  <c r="K365" i="835"/>
  <c r="J365" i="835"/>
  <c r="H365" i="835"/>
  <c r="J362" i="835"/>
  <c r="H362" i="835"/>
  <c r="J361" i="835"/>
  <c r="H361" i="835"/>
  <c r="J359" i="835"/>
  <c r="I359" i="835"/>
  <c r="H359" i="835"/>
  <c r="K359" i="835" s="1"/>
  <c r="I358" i="835"/>
  <c r="J358" i="835" s="1"/>
  <c r="K358" i="835" s="1"/>
  <c r="H358" i="835"/>
  <c r="K356" i="835"/>
  <c r="I356" i="835"/>
  <c r="J356" i="835" s="1"/>
  <c r="H356" i="835"/>
  <c r="J355" i="835"/>
  <c r="I355" i="835"/>
  <c r="H355" i="835"/>
  <c r="I351" i="835"/>
  <c r="J351" i="835" s="1"/>
  <c r="K351" i="835" s="1"/>
  <c r="H351" i="835"/>
  <c r="I350" i="835"/>
  <c r="J350" i="835" s="1"/>
  <c r="K350" i="835" s="1"/>
  <c r="H350" i="835"/>
  <c r="J349" i="835"/>
  <c r="I349" i="835"/>
  <c r="H349" i="835"/>
  <c r="K349" i="835" s="1"/>
  <c r="B346" i="835"/>
  <c r="I341" i="835"/>
  <c r="J341" i="835" s="1"/>
  <c r="K340" i="835"/>
  <c r="J340" i="835"/>
  <c r="H340" i="835"/>
  <c r="G341" i="835" s="1"/>
  <c r="H341" i="835" s="1"/>
  <c r="K341" i="835" s="1"/>
  <c r="K338" i="835"/>
  <c r="J338" i="835"/>
  <c r="H338" i="835"/>
  <c r="H336" i="835"/>
  <c r="K336" i="835" s="1"/>
  <c r="G336" i="835"/>
  <c r="K335" i="835"/>
  <c r="H335" i="835"/>
  <c r="G335" i="835"/>
  <c r="K334" i="835"/>
  <c r="H334" i="835"/>
  <c r="G334" i="835"/>
  <c r="G333" i="835"/>
  <c r="H333" i="835" s="1"/>
  <c r="K333" i="835" s="1"/>
  <c r="H332" i="835"/>
  <c r="K332" i="835" s="1"/>
  <c r="G332" i="835"/>
  <c r="J331" i="835"/>
  <c r="G331" i="835"/>
  <c r="H331" i="835" s="1"/>
  <c r="K331" i="835" s="1"/>
  <c r="I327" i="835"/>
  <c r="J327" i="835" s="1"/>
  <c r="H327" i="835"/>
  <c r="I326" i="835"/>
  <c r="J326" i="835" s="1"/>
  <c r="K326" i="835" s="1"/>
  <c r="H326" i="835"/>
  <c r="K325" i="835"/>
  <c r="J325" i="835"/>
  <c r="I325" i="835"/>
  <c r="H325" i="835"/>
  <c r="B322" i="835"/>
  <c r="J312" i="835"/>
  <c r="H312" i="835"/>
  <c r="K312" i="835" s="1"/>
  <c r="J311" i="835"/>
  <c r="H311" i="835"/>
  <c r="G310" i="835"/>
  <c r="J309" i="835"/>
  <c r="K309" i="835" s="1"/>
  <c r="H309" i="835"/>
  <c r="K308" i="835"/>
  <c r="J308" i="835"/>
  <c r="H308" i="835"/>
  <c r="I307" i="835"/>
  <c r="J307" i="835" s="1"/>
  <c r="K306" i="835"/>
  <c r="J306" i="835"/>
  <c r="H306" i="835"/>
  <c r="J305" i="835"/>
  <c r="K305" i="835" s="1"/>
  <c r="H305" i="835"/>
  <c r="G307" i="835" s="1"/>
  <c r="H307" i="835" s="1"/>
  <c r="K304" i="835"/>
  <c r="J304" i="835"/>
  <c r="H304" i="835"/>
  <c r="K303" i="835"/>
  <c r="J303" i="835"/>
  <c r="I303" i="835"/>
  <c r="H303" i="835"/>
  <c r="J302" i="835"/>
  <c r="K302" i="835" s="1"/>
  <c r="H302" i="835"/>
  <c r="K301" i="835"/>
  <c r="J301" i="835"/>
  <c r="H301" i="835"/>
  <c r="J300" i="835"/>
  <c r="H300" i="835"/>
  <c r="K300" i="835" s="1"/>
  <c r="B298" i="835"/>
  <c r="J290" i="835"/>
  <c r="H290" i="835"/>
  <c r="K290" i="835" s="1"/>
  <c r="J289" i="835"/>
  <c r="H289" i="835"/>
  <c r="J287" i="835"/>
  <c r="K287" i="835" s="1"/>
  <c r="H287" i="835"/>
  <c r="J286" i="835"/>
  <c r="H286" i="835"/>
  <c r="G288" i="835" s="1"/>
  <c r="J285" i="835"/>
  <c r="H285" i="835"/>
  <c r="K285" i="835" s="1"/>
  <c r="G284" i="835"/>
  <c r="J283" i="835"/>
  <c r="K283" i="835" s="1"/>
  <c r="H283" i="835"/>
  <c r="J280" i="835"/>
  <c r="H280" i="835"/>
  <c r="J279" i="835"/>
  <c r="H279" i="835"/>
  <c r="K279" i="835" s="1"/>
  <c r="J278" i="835"/>
  <c r="H278" i="835"/>
  <c r="G281" i="835" s="1"/>
  <c r="I281" i="835" s="1"/>
  <c r="J281" i="835" s="1"/>
  <c r="J277" i="835"/>
  <c r="H277" i="835"/>
  <c r="J276" i="835"/>
  <c r="H276" i="835"/>
  <c r="K275" i="835"/>
  <c r="J275" i="835"/>
  <c r="H275" i="835"/>
  <c r="J274" i="835"/>
  <c r="H274" i="835"/>
  <c r="K274" i="835" s="1"/>
  <c r="J273" i="835"/>
  <c r="H273" i="835"/>
  <c r="K273" i="835" s="1"/>
  <c r="J272" i="835"/>
  <c r="H272" i="835"/>
  <c r="K272" i="835" s="1"/>
  <c r="K271" i="835"/>
  <c r="J271" i="835"/>
  <c r="H271" i="835"/>
  <c r="G271" i="835"/>
  <c r="K270" i="835"/>
  <c r="J270" i="835"/>
  <c r="H270" i="835"/>
  <c r="K269" i="835"/>
  <c r="J269" i="835"/>
  <c r="H269" i="835"/>
  <c r="J268" i="835"/>
  <c r="H268" i="835"/>
  <c r="K268" i="835" s="1"/>
  <c r="J267" i="835"/>
  <c r="K267" i="835" s="1"/>
  <c r="H267" i="835"/>
  <c r="J266" i="835"/>
  <c r="K266" i="835" s="1"/>
  <c r="H266" i="835"/>
  <c r="K265" i="835"/>
  <c r="J265" i="835"/>
  <c r="H265" i="835"/>
  <c r="J264" i="835"/>
  <c r="H264" i="835"/>
  <c r="K264" i="835" s="1"/>
  <c r="J263" i="835"/>
  <c r="K263" i="835" s="1"/>
  <c r="H263" i="835"/>
  <c r="J262" i="835"/>
  <c r="K262" i="835" s="1"/>
  <c r="H262" i="835"/>
  <c r="K261" i="835"/>
  <c r="J261" i="835"/>
  <c r="H261" i="835"/>
  <c r="J260" i="835"/>
  <c r="H260" i="835"/>
  <c r="K260" i="835" s="1"/>
  <c r="J259" i="835"/>
  <c r="K259" i="835" s="1"/>
  <c r="H259" i="835"/>
  <c r="H258" i="835"/>
  <c r="G258" i="835"/>
  <c r="I258" i="835" s="1"/>
  <c r="J258" i="835" s="1"/>
  <c r="B256" i="835"/>
  <c r="J250" i="835"/>
  <c r="H250" i="835"/>
  <c r="J249" i="835"/>
  <c r="H249" i="835"/>
  <c r="K248" i="835"/>
  <c r="J248" i="835"/>
  <c r="H248" i="835"/>
  <c r="J247" i="835"/>
  <c r="H247" i="835"/>
  <c r="K247" i="835" s="1"/>
  <c r="J246" i="835"/>
  <c r="H246" i="835"/>
  <c r="K246" i="835" s="1"/>
  <c r="J245" i="835"/>
  <c r="H245" i="835"/>
  <c r="K245" i="835" s="1"/>
  <c r="K244" i="835"/>
  <c r="J244" i="835"/>
  <c r="H244" i="835"/>
  <c r="J243" i="835"/>
  <c r="H243" i="835"/>
  <c r="K243" i="835" s="1"/>
  <c r="J242" i="835"/>
  <c r="H242" i="835"/>
  <c r="J241" i="835"/>
  <c r="H241" i="835"/>
  <c r="J240" i="835"/>
  <c r="H240" i="835"/>
  <c r="K240" i="835" s="1"/>
  <c r="J239" i="835"/>
  <c r="H239" i="835"/>
  <c r="J238" i="835"/>
  <c r="H238" i="835"/>
  <c r="K238" i="835" s="1"/>
  <c r="J237" i="835"/>
  <c r="H237" i="835"/>
  <c r="J236" i="835"/>
  <c r="H236" i="835"/>
  <c r="K236" i="835" s="1"/>
  <c r="J235" i="835"/>
  <c r="H235" i="835"/>
  <c r="K235" i="835" s="1"/>
  <c r="J234" i="835"/>
  <c r="H234" i="835"/>
  <c r="K234" i="835" s="1"/>
  <c r="J233" i="835"/>
  <c r="H233" i="835"/>
  <c r="K232" i="835"/>
  <c r="J232" i="835"/>
  <c r="H232" i="835"/>
  <c r="J231" i="835"/>
  <c r="H231" i="835"/>
  <c r="K231" i="835" s="1"/>
  <c r="J230" i="835"/>
  <c r="H230" i="835"/>
  <c r="K230" i="835" s="1"/>
  <c r="J229" i="835"/>
  <c r="H229" i="835"/>
  <c r="K228" i="835"/>
  <c r="J228" i="835"/>
  <c r="H228" i="835"/>
  <c r="B226" i="835"/>
  <c r="H223" i="835"/>
  <c r="K223" i="835" s="1"/>
  <c r="G223" i="835"/>
  <c r="I223" i="835" s="1"/>
  <c r="J223" i="835" s="1"/>
  <c r="G222" i="835"/>
  <c r="H219" i="835"/>
  <c r="B219" i="835"/>
  <c r="I215" i="835"/>
  <c r="J215" i="835" s="1"/>
  <c r="H215" i="835"/>
  <c r="J213" i="835"/>
  <c r="K213" i="835" s="1"/>
  <c r="H213" i="835"/>
  <c r="J212" i="835"/>
  <c r="K212" i="835" s="1"/>
  <c r="H212" i="835"/>
  <c r="K211" i="835"/>
  <c r="J211" i="835"/>
  <c r="H211" i="835"/>
  <c r="J210" i="835"/>
  <c r="K210" i="835" s="1"/>
  <c r="H210" i="835"/>
  <c r="J209" i="835"/>
  <c r="K209" i="835" s="1"/>
  <c r="H209" i="835"/>
  <c r="J208" i="835"/>
  <c r="K208" i="835" s="1"/>
  <c r="H208" i="835"/>
  <c r="K207" i="835"/>
  <c r="J207" i="835"/>
  <c r="H207" i="835"/>
  <c r="J206" i="835"/>
  <c r="K206" i="835" s="1"/>
  <c r="H206" i="835"/>
  <c r="J205" i="835"/>
  <c r="H205" i="835"/>
  <c r="B202" i="835"/>
  <c r="K200" i="835"/>
  <c r="J200" i="835"/>
  <c r="H200" i="835"/>
  <c r="J199" i="835"/>
  <c r="H199" i="835"/>
  <c r="J197" i="835"/>
  <c r="H197" i="835"/>
  <c r="K197" i="835" s="1"/>
  <c r="J196" i="835"/>
  <c r="H196" i="835"/>
  <c r="K196" i="835" s="1"/>
  <c r="K195" i="835"/>
  <c r="J195" i="835"/>
  <c r="H195" i="835"/>
  <c r="J194" i="835"/>
  <c r="H194" i="835"/>
  <c r="J192" i="835"/>
  <c r="H192" i="835"/>
  <c r="J191" i="835"/>
  <c r="H191" i="835"/>
  <c r="B189" i="835"/>
  <c r="J184" i="835"/>
  <c r="H184" i="835"/>
  <c r="K183" i="835"/>
  <c r="J183" i="835"/>
  <c r="H183" i="835"/>
  <c r="J182" i="835"/>
  <c r="H182" i="835"/>
  <c r="J181" i="835"/>
  <c r="H181" i="835"/>
  <c r="K181" i="835" s="1"/>
  <c r="J180" i="835"/>
  <c r="H180" i="835"/>
  <c r="J178" i="835"/>
  <c r="J14" i="835" s="1"/>
  <c r="B178" i="835"/>
  <c r="K176" i="835"/>
  <c r="J176" i="835"/>
  <c r="H176" i="835"/>
  <c r="J175" i="835"/>
  <c r="H175" i="835"/>
  <c r="K175" i="835" s="1"/>
  <c r="J174" i="835"/>
  <c r="H174" i="835"/>
  <c r="K174" i="835" s="1"/>
  <c r="K173" i="835"/>
  <c r="J173" i="835"/>
  <c r="H173" i="835"/>
  <c r="J172" i="835"/>
  <c r="K172" i="835" s="1"/>
  <c r="H172" i="835"/>
  <c r="J171" i="835"/>
  <c r="H171" i="835"/>
  <c r="K171" i="835" s="1"/>
  <c r="J170" i="835"/>
  <c r="H170" i="835"/>
  <c r="K170" i="835" s="1"/>
  <c r="K169" i="835"/>
  <c r="J169" i="835"/>
  <c r="H169" i="835"/>
  <c r="J168" i="835"/>
  <c r="K168" i="835" s="1"/>
  <c r="H168" i="835"/>
  <c r="J167" i="835"/>
  <c r="H167" i="835"/>
  <c r="K167" i="835" s="1"/>
  <c r="J166" i="835"/>
  <c r="H166" i="835"/>
  <c r="K166" i="835" s="1"/>
  <c r="K165" i="835"/>
  <c r="J165" i="835"/>
  <c r="H165" i="835"/>
  <c r="J164" i="835"/>
  <c r="K164" i="835" s="1"/>
  <c r="H164" i="835"/>
  <c r="J163" i="835"/>
  <c r="H163" i="835"/>
  <c r="K163" i="835" s="1"/>
  <c r="J162" i="835"/>
  <c r="H162" i="835"/>
  <c r="K162" i="835" s="1"/>
  <c r="K161" i="835"/>
  <c r="J161" i="835"/>
  <c r="H161" i="835"/>
  <c r="J160" i="835"/>
  <c r="K160" i="835" s="1"/>
  <c r="H160" i="835"/>
  <c r="J159" i="835"/>
  <c r="H159" i="835"/>
  <c r="K159" i="835" s="1"/>
  <c r="J158" i="835"/>
  <c r="H158" i="835"/>
  <c r="K157" i="835"/>
  <c r="J157" i="835"/>
  <c r="H157" i="835"/>
  <c r="J156" i="835"/>
  <c r="K156" i="835" s="1"/>
  <c r="H156" i="835"/>
  <c r="B154" i="835"/>
  <c r="I144" i="835"/>
  <c r="J144" i="835" s="1"/>
  <c r="K144" i="835" s="1"/>
  <c r="H144" i="835"/>
  <c r="H143" i="835"/>
  <c r="K143" i="835" s="1"/>
  <c r="K142" i="835"/>
  <c r="H142" i="835"/>
  <c r="H141" i="835"/>
  <c r="K141" i="835" s="1"/>
  <c r="H140" i="835"/>
  <c r="K140" i="835" s="1"/>
  <c r="H139" i="835"/>
  <c r="K139" i="835" s="1"/>
  <c r="K138" i="835"/>
  <c r="H138" i="835"/>
  <c r="H137" i="835"/>
  <c r="K137" i="835" s="1"/>
  <c r="K136" i="835"/>
  <c r="H136" i="835"/>
  <c r="H135" i="835"/>
  <c r="K135" i="835" s="1"/>
  <c r="H134" i="835"/>
  <c r="K134" i="835" s="1"/>
  <c r="H133" i="835"/>
  <c r="K133" i="835" s="1"/>
  <c r="K132" i="835"/>
  <c r="H132" i="835"/>
  <c r="H131" i="835"/>
  <c r="K131" i="835" s="1"/>
  <c r="K130" i="835"/>
  <c r="H130" i="835"/>
  <c r="H129" i="835"/>
  <c r="K129" i="835" s="1"/>
  <c r="H128" i="835"/>
  <c r="K128" i="835" s="1"/>
  <c r="H127" i="835"/>
  <c r="K127" i="835" s="1"/>
  <c r="K126" i="835"/>
  <c r="H126" i="835"/>
  <c r="H125" i="835"/>
  <c r="K125" i="835" s="1"/>
  <c r="K124" i="835"/>
  <c r="H124" i="835"/>
  <c r="H123" i="835"/>
  <c r="K123" i="835" s="1"/>
  <c r="H122" i="835"/>
  <c r="K122" i="835" s="1"/>
  <c r="I119" i="835"/>
  <c r="J119" i="835" s="1"/>
  <c r="K119" i="835" s="1"/>
  <c r="H119" i="835"/>
  <c r="H118" i="835"/>
  <c r="K118" i="835" s="1"/>
  <c r="K117" i="835"/>
  <c r="H117" i="835"/>
  <c r="H116" i="835"/>
  <c r="K116" i="835" s="1"/>
  <c r="H115" i="835"/>
  <c r="K115" i="835" s="1"/>
  <c r="H114" i="835"/>
  <c r="K114" i="835" s="1"/>
  <c r="K113" i="835"/>
  <c r="H113" i="835"/>
  <c r="H112" i="835"/>
  <c r="K112" i="835" s="1"/>
  <c r="K111" i="835"/>
  <c r="H111" i="835"/>
  <c r="H110" i="835"/>
  <c r="K110" i="835" s="1"/>
  <c r="H109" i="835"/>
  <c r="K109" i="835" s="1"/>
  <c r="H108" i="835"/>
  <c r="K108" i="835" s="1"/>
  <c r="K107" i="835"/>
  <c r="H107" i="835"/>
  <c r="H106" i="835"/>
  <c r="K106" i="835" s="1"/>
  <c r="K105" i="835"/>
  <c r="H105" i="835"/>
  <c r="H104" i="835"/>
  <c r="K104" i="835" s="1"/>
  <c r="H103" i="835"/>
  <c r="K103" i="835" s="1"/>
  <c r="H102" i="835"/>
  <c r="K102" i="835" s="1"/>
  <c r="K101" i="835"/>
  <c r="H101" i="835"/>
  <c r="H100" i="835"/>
  <c r="K100" i="835" s="1"/>
  <c r="K99" i="835"/>
  <c r="H99" i="835"/>
  <c r="H98" i="835"/>
  <c r="K98" i="835" s="1"/>
  <c r="H97" i="835"/>
  <c r="K97" i="835" s="1"/>
  <c r="I94" i="835"/>
  <c r="J94" i="835" s="1"/>
  <c r="K94" i="835" s="1"/>
  <c r="H94" i="835"/>
  <c r="H93" i="835"/>
  <c r="K93" i="835" s="1"/>
  <c r="K92" i="835"/>
  <c r="H92" i="835"/>
  <c r="H91" i="835"/>
  <c r="K91" i="835" s="1"/>
  <c r="H90" i="835"/>
  <c r="K90" i="835" s="1"/>
  <c r="H89" i="835"/>
  <c r="K89" i="835" s="1"/>
  <c r="K88" i="835"/>
  <c r="H88" i="835"/>
  <c r="H87" i="835"/>
  <c r="K87" i="835" s="1"/>
  <c r="K86" i="835"/>
  <c r="H86" i="835"/>
  <c r="H85" i="835"/>
  <c r="K85" i="835" s="1"/>
  <c r="H84" i="835"/>
  <c r="K84" i="835" s="1"/>
  <c r="H83" i="835"/>
  <c r="K83" i="835" s="1"/>
  <c r="K82" i="835"/>
  <c r="H82" i="835"/>
  <c r="H81" i="835"/>
  <c r="K81" i="835" s="1"/>
  <c r="K80" i="835"/>
  <c r="H80" i="835"/>
  <c r="H79" i="835"/>
  <c r="K79" i="835" s="1"/>
  <c r="H78" i="835"/>
  <c r="K78" i="835" s="1"/>
  <c r="H77" i="835"/>
  <c r="K77" i="835" s="1"/>
  <c r="K76" i="835"/>
  <c r="H76" i="835"/>
  <c r="H75" i="835"/>
  <c r="K75" i="835" s="1"/>
  <c r="K74" i="835"/>
  <c r="H74" i="835"/>
  <c r="H73" i="835"/>
  <c r="K73" i="835" s="1"/>
  <c r="H72" i="835"/>
  <c r="K72" i="835" s="1"/>
  <c r="I69" i="835"/>
  <c r="J69" i="835" s="1"/>
  <c r="H69" i="835"/>
  <c r="H68" i="835"/>
  <c r="K68" i="835" s="1"/>
  <c r="K67" i="835"/>
  <c r="H67" i="835"/>
  <c r="H66" i="835"/>
  <c r="K66" i="835" s="1"/>
  <c r="H65" i="835"/>
  <c r="K65" i="835" s="1"/>
  <c r="H64" i="835"/>
  <c r="K64" i="835" s="1"/>
  <c r="K63" i="835"/>
  <c r="H63" i="835"/>
  <c r="H62" i="835"/>
  <c r="K62" i="835" s="1"/>
  <c r="K61" i="835"/>
  <c r="H61" i="835"/>
  <c r="H60" i="835"/>
  <c r="K60" i="835" s="1"/>
  <c r="H59" i="835"/>
  <c r="K59" i="835" s="1"/>
  <c r="H58" i="835"/>
  <c r="K58" i="835" s="1"/>
  <c r="K57" i="835"/>
  <c r="H57" i="835"/>
  <c r="H56" i="835"/>
  <c r="K56" i="835" s="1"/>
  <c r="K55" i="835"/>
  <c r="H55" i="835"/>
  <c r="H54" i="835"/>
  <c r="K54" i="835" s="1"/>
  <c r="H53" i="835"/>
  <c r="K53" i="835" s="1"/>
  <c r="H52" i="835"/>
  <c r="K52" i="835" s="1"/>
  <c r="K51" i="835"/>
  <c r="H51" i="835"/>
  <c r="H50" i="835"/>
  <c r="K50" i="835" s="1"/>
  <c r="K49" i="835"/>
  <c r="H49" i="835"/>
  <c r="H48" i="835"/>
  <c r="K48" i="835" s="1"/>
  <c r="H47" i="835"/>
  <c r="H43" i="835"/>
  <c r="H12" i="835" s="1"/>
  <c r="B43" i="835"/>
  <c r="I38" i="835"/>
  <c r="J38" i="835" s="1"/>
  <c r="H38" i="835"/>
  <c r="J37" i="835"/>
  <c r="I37" i="835"/>
  <c r="H37" i="835"/>
  <c r="K37" i="835" s="1"/>
  <c r="I36" i="835"/>
  <c r="J36" i="835" s="1"/>
  <c r="J43" i="835" s="1"/>
  <c r="J12" i="835" s="1"/>
  <c r="H36" i="835"/>
  <c r="B34" i="835"/>
  <c r="B24" i="835"/>
  <c r="A24" i="835"/>
  <c r="B23" i="835"/>
  <c r="A23" i="835"/>
  <c r="B22" i="835"/>
  <c r="A22" i="835"/>
  <c r="B21" i="835"/>
  <c r="A21" i="835"/>
  <c r="B20" i="835"/>
  <c r="A20" i="835"/>
  <c r="B19" i="835"/>
  <c r="A19" i="835"/>
  <c r="B18" i="835"/>
  <c r="A18" i="835"/>
  <c r="H17" i="835"/>
  <c r="B17" i="835"/>
  <c r="A17" i="835"/>
  <c r="B16" i="835"/>
  <c r="A16" i="835"/>
  <c r="B15" i="835"/>
  <c r="A15" i="835"/>
  <c r="B14" i="835"/>
  <c r="A14" i="835"/>
  <c r="B13" i="835"/>
  <c r="A13" i="835"/>
  <c r="B12" i="835"/>
  <c r="A12" i="835"/>
  <c r="B298" i="834"/>
  <c r="G296" i="834"/>
  <c r="I296" i="834" s="1"/>
  <c r="J296" i="834" s="1"/>
  <c r="J295" i="834"/>
  <c r="H295" i="834"/>
  <c r="K295" i="834" s="1"/>
  <c r="K291" i="834"/>
  <c r="J291" i="834"/>
  <c r="H291" i="834"/>
  <c r="I287" i="834"/>
  <c r="J287" i="834" s="1"/>
  <c r="H287" i="834"/>
  <c r="J286" i="834"/>
  <c r="I286" i="834"/>
  <c r="H286" i="834"/>
  <c r="K286" i="834" s="1"/>
  <c r="J285" i="834"/>
  <c r="I285" i="834"/>
  <c r="H285" i="834"/>
  <c r="K285" i="834" s="1"/>
  <c r="I284" i="834"/>
  <c r="J284" i="834" s="1"/>
  <c r="J298" i="834" s="1"/>
  <c r="J22" i="834" s="1"/>
  <c r="H284" i="834"/>
  <c r="K284" i="834" s="1"/>
  <c r="J282" i="834"/>
  <c r="H282" i="834"/>
  <c r="K282" i="834" s="1"/>
  <c r="B280" i="834"/>
  <c r="I278" i="834"/>
  <c r="J278" i="834" s="1"/>
  <c r="H278" i="834"/>
  <c r="K278" i="834" s="1"/>
  <c r="G278" i="834"/>
  <c r="J277" i="834"/>
  <c r="H277" i="834"/>
  <c r="K277" i="834" s="1"/>
  <c r="J274" i="834"/>
  <c r="H274" i="834"/>
  <c r="K274" i="834" s="1"/>
  <c r="J273" i="834"/>
  <c r="H273" i="834"/>
  <c r="K273" i="834" s="1"/>
  <c r="J271" i="834"/>
  <c r="I271" i="834"/>
  <c r="H271" i="834"/>
  <c r="K271" i="834" s="1"/>
  <c r="K270" i="834"/>
  <c r="J270" i="834"/>
  <c r="I270" i="834"/>
  <c r="H270" i="834"/>
  <c r="J269" i="834"/>
  <c r="I269" i="834"/>
  <c r="H269" i="834"/>
  <c r="K269" i="834" s="1"/>
  <c r="J268" i="834"/>
  <c r="I268" i="834"/>
  <c r="H268" i="834"/>
  <c r="K268" i="834" s="1"/>
  <c r="K267" i="834"/>
  <c r="J267" i="834"/>
  <c r="I267" i="834"/>
  <c r="H267" i="834"/>
  <c r="J266" i="834"/>
  <c r="I266" i="834"/>
  <c r="H266" i="834"/>
  <c r="K266" i="834" s="1"/>
  <c r="J265" i="834"/>
  <c r="I265" i="834"/>
  <c r="H265" i="834"/>
  <c r="K265" i="834" s="1"/>
  <c r="K264" i="834"/>
  <c r="J264" i="834"/>
  <c r="I264" i="834"/>
  <c r="H264" i="834"/>
  <c r="J262" i="834"/>
  <c r="I262" i="834"/>
  <c r="H262" i="834"/>
  <c r="K262" i="834" s="1"/>
  <c r="J261" i="834"/>
  <c r="I261" i="834"/>
  <c r="H261" i="834"/>
  <c r="K261" i="834" s="1"/>
  <c r="K260" i="834"/>
  <c r="J260" i="834"/>
  <c r="I260" i="834"/>
  <c r="H260" i="834"/>
  <c r="J259" i="834"/>
  <c r="I259" i="834"/>
  <c r="H259" i="834"/>
  <c r="K259" i="834" s="1"/>
  <c r="J255" i="834"/>
  <c r="I255" i="834"/>
  <c r="H255" i="834"/>
  <c r="K255" i="834" s="1"/>
  <c r="K254" i="834"/>
  <c r="J254" i="834"/>
  <c r="I254" i="834"/>
  <c r="H254" i="834"/>
  <c r="J253" i="834"/>
  <c r="I253" i="834"/>
  <c r="H253" i="834"/>
  <c r="K253" i="834" s="1"/>
  <c r="B250" i="834"/>
  <c r="J245" i="834"/>
  <c r="H245" i="834"/>
  <c r="G246" i="834" s="1"/>
  <c r="G243" i="834"/>
  <c r="I243" i="834" s="1"/>
  <c r="J243" i="834" s="1"/>
  <c r="K242" i="834"/>
  <c r="J242" i="834"/>
  <c r="H242" i="834"/>
  <c r="K240" i="834"/>
  <c r="H240" i="834"/>
  <c r="G240" i="834"/>
  <c r="G239" i="834"/>
  <c r="H239" i="834" s="1"/>
  <c r="K239" i="834" s="1"/>
  <c r="H238" i="834"/>
  <c r="K238" i="834" s="1"/>
  <c r="G238" i="834"/>
  <c r="G237" i="834"/>
  <c r="H237" i="834" s="1"/>
  <c r="K237" i="834" s="1"/>
  <c r="K236" i="834"/>
  <c r="H236" i="834"/>
  <c r="G236" i="834"/>
  <c r="K235" i="834"/>
  <c r="J235" i="834"/>
  <c r="H235" i="834"/>
  <c r="G235" i="834"/>
  <c r="J231" i="834"/>
  <c r="K231" i="834" s="1"/>
  <c r="I231" i="834"/>
  <c r="H231" i="834"/>
  <c r="J230" i="834"/>
  <c r="K230" i="834" s="1"/>
  <c r="I230" i="834"/>
  <c r="H230" i="834"/>
  <c r="I229" i="834"/>
  <c r="J229" i="834" s="1"/>
  <c r="H229" i="834"/>
  <c r="B226" i="834"/>
  <c r="J216" i="834"/>
  <c r="K216" i="834" s="1"/>
  <c r="H216" i="834"/>
  <c r="J215" i="834"/>
  <c r="H215" i="834"/>
  <c r="K215" i="834" s="1"/>
  <c r="I214" i="834"/>
  <c r="J214" i="834" s="1"/>
  <c r="H214" i="834"/>
  <c r="K214" i="834" s="1"/>
  <c r="G214" i="834"/>
  <c r="J213" i="834"/>
  <c r="H213" i="834"/>
  <c r="K213" i="834" s="1"/>
  <c r="J212" i="834"/>
  <c r="H212" i="834"/>
  <c r="K212" i="834" s="1"/>
  <c r="G211" i="834"/>
  <c r="I211" i="834" s="1"/>
  <c r="J211" i="834" s="1"/>
  <c r="K210" i="834"/>
  <c r="J210" i="834"/>
  <c r="H210" i="834"/>
  <c r="K209" i="834"/>
  <c r="J209" i="834"/>
  <c r="H209" i="834"/>
  <c r="K208" i="834"/>
  <c r="J208" i="834"/>
  <c r="H208" i="834"/>
  <c r="J207" i="834"/>
  <c r="J226" i="834" s="1"/>
  <c r="J19" i="834" s="1"/>
  <c r="I207" i="834"/>
  <c r="H207" i="834"/>
  <c r="J206" i="834"/>
  <c r="H206" i="834"/>
  <c r="K206" i="834" s="1"/>
  <c r="J205" i="834"/>
  <c r="H205" i="834"/>
  <c r="K205" i="834" s="1"/>
  <c r="J204" i="834"/>
  <c r="H204" i="834"/>
  <c r="K204" i="834" s="1"/>
  <c r="B202" i="834"/>
  <c r="J195" i="834"/>
  <c r="K195" i="834" s="1"/>
  <c r="H195" i="834"/>
  <c r="J194" i="834"/>
  <c r="H194" i="834"/>
  <c r="K194" i="834" s="1"/>
  <c r="J192" i="834"/>
  <c r="H192" i="834"/>
  <c r="K192" i="834" s="1"/>
  <c r="J191" i="834"/>
  <c r="H191" i="834"/>
  <c r="K191" i="834" s="1"/>
  <c r="J190" i="834"/>
  <c r="H190" i="834"/>
  <c r="K190" i="834" s="1"/>
  <c r="J189" i="834"/>
  <c r="I189" i="834"/>
  <c r="G189" i="834"/>
  <c r="H189" i="834" s="1"/>
  <c r="K189" i="834" s="1"/>
  <c r="K188" i="834"/>
  <c r="J188" i="834"/>
  <c r="H188" i="834"/>
  <c r="G186" i="834"/>
  <c r="K185" i="834"/>
  <c r="J185" i="834"/>
  <c r="H185" i="834"/>
  <c r="J184" i="834"/>
  <c r="K184" i="834" s="1"/>
  <c r="H184" i="834"/>
  <c r="J183" i="834"/>
  <c r="H183" i="834"/>
  <c r="K183" i="834" s="1"/>
  <c r="J182" i="834"/>
  <c r="H182" i="834"/>
  <c r="K182" i="834" s="1"/>
  <c r="K181" i="834"/>
  <c r="J181" i="834"/>
  <c r="H181" i="834"/>
  <c r="J180" i="834"/>
  <c r="K180" i="834" s="1"/>
  <c r="H180" i="834"/>
  <c r="J179" i="834"/>
  <c r="H179" i="834"/>
  <c r="K179" i="834" s="1"/>
  <c r="J178" i="834"/>
  <c r="H178" i="834"/>
  <c r="K178" i="834" s="1"/>
  <c r="K177" i="834"/>
  <c r="J177" i="834"/>
  <c r="H177" i="834"/>
  <c r="J176" i="834"/>
  <c r="K176" i="834" s="1"/>
  <c r="H176" i="834"/>
  <c r="G176" i="834"/>
  <c r="K175" i="834"/>
  <c r="J175" i="834"/>
  <c r="H175" i="834"/>
  <c r="J174" i="834"/>
  <c r="H174" i="834"/>
  <c r="K173" i="834"/>
  <c r="J173" i="834"/>
  <c r="H173" i="834"/>
  <c r="K172" i="834"/>
  <c r="J172" i="834"/>
  <c r="H172" i="834"/>
  <c r="K171" i="834"/>
  <c r="J171" i="834"/>
  <c r="H171" i="834"/>
  <c r="J170" i="834"/>
  <c r="H170" i="834"/>
  <c r="K170" i="834" s="1"/>
  <c r="K169" i="834"/>
  <c r="J169" i="834"/>
  <c r="H169" i="834"/>
  <c r="K168" i="834"/>
  <c r="J168" i="834"/>
  <c r="H168" i="834"/>
  <c r="K167" i="834"/>
  <c r="J167" i="834"/>
  <c r="H167" i="834"/>
  <c r="J166" i="834"/>
  <c r="H166" i="834"/>
  <c r="K165" i="834"/>
  <c r="J165" i="834"/>
  <c r="H165" i="834"/>
  <c r="K164" i="834"/>
  <c r="J164" i="834"/>
  <c r="H164" i="834"/>
  <c r="G163" i="834"/>
  <c r="B161" i="834"/>
  <c r="J154" i="834"/>
  <c r="H154" i="834"/>
  <c r="K154" i="834" s="1"/>
  <c r="K153" i="834"/>
  <c r="J153" i="834"/>
  <c r="H153" i="834"/>
  <c r="J152" i="834"/>
  <c r="K152" i="834" s="1"/>
  <c r="H152" i="834"/>
  <c r="J151" i="834"/>
  <c r="H151" i="834"/>
  <c r="K151" i="834" s="1"/>
  <c r="J150" i="834"/>
  <c r="H150" i="834"/>
  <c r="K150" i="834" s="1"/>
  <c r="K149" i="834"/>
  <c r="J149" i="834"/>
  <c r="H149" i="834"/>
  <c r="J148" i="834"/>
  <c r="K148" i="834" s="1"/>
  <c r="H148" i="834"/>
  <c r="J147" i="834"/>
  <c r="H147" i="834"/>
  <c r="K147" i="834" s="1"/>
  <c r="J146" i="834"/>
  <c r="H146" i="834"/>
  <c r="K146" i="834" s="1"/>
  <c r="K145" i="834"/>
  <c r="J145" i="834"/>
  <c r="H145" i="834"/>
  <c r="J144" i="834"/>
  <c r="K144" i="834" s="1"/>
  <c r="H144" i="834"/>
  <c r="J143" i="834"/>
  <c r="H143" i="834"/>
  <c r="K143" i="834" s="1"/>
  <c r="J142" i="834"/>
  <c r="H142" i="834"/>
  <c r="K142" i="834" s="1"/>
  <c r="K141" i="834"/>
  <c r="J141" i="834"/>
  <c r="H141" i="834"/>
  <c r="J140" i="834"/>
  <c r="K140" i="834" s="1"/>
  <c r="H140" i="834"/>
  <c r="J139" i="834"/>
  <c r="H139" i="834"/>
  <c r="K139" i="834" s="1"/>
  <c r="J138" i="834"/>
  <c r="H138" i="834"/>
  <c r="K138" i="834" s="1"/>
  <c r="K137" i="834"/>
  <c r="J137" i="834"/>
  <c r="H137" i="834"/>
  <c r="J136" i="834"/>
  <c r="K136" i="834" s="1"/>
  <c r="H136" i="834"/>
  <c r="J135" i="834"/>
  <c r="H135" i="834"/>
  <c r="K135" i="834" s="1"/>
  <c r="J134" i="834"/>
  <c r="H134" i="834"/>
  <c r="K134" i="834" s="1"/>
  <c r="K133" i="834"/>
  <c r="J133" i="834"/>
  <c r="H133" i="834"/>
  <c r="J132" i="834"/>
  <c r="K132" i="834" s="1"/>
  <c r="H132" i="834"/>
  <c r="B130" i="834"/>
  <c r="I126" i="834"/>
  <c r="J126" i="834" s="1"/>
  <c r="H126" i="834"/>
  <c r="G126" i="834"/>
  <c r="G125" i="834"/>
  <c r="B122" i="834"/>
  <c r="J117" i="834"/>
  <c r="K117" i="834" s="1"/>
  <c r="H117" i="834"/>
  <c r="J116" i="834"/>
  <c r="K116" i="834" s="1"/>
  <c r="H116" i="834"/>
  <c r="J115" i="834"/>
  <c r="H115" i="834"/>
  <c r="K115" i="834" s="1"/>
  <c r="J114" i="834"/>
  <c r="H114" i="834"/>
  <c r="K114" i="834" s="1"/>
  <c r="J113" i="834"/>
  <c r="K113" i="834" s="1"/>
  <c r="H113" i="834"/>
  <c r="J112" i="834"/>
  <c r="K112" i="834" s="1"/>
  <c r="H112" i="834"/>
  <c r="J111" i="834"/>
  <c r="H111" i="834"/>
  <c r="K111" i="834" s="1"/>
  <c r="J110" i="834"/>
  <c r="H110" i="834"/>
  <c r="J109" i="834"/>
  <c r="H109" i="834"/>
  <c r="B106" i="834"/>
  <c r="K104" i="834"/>
  <c r="J104" i="834"/>
  <c r="H104" i="834"/>
  <c r="J103" i="834"/>
  <c r="H103" i="834"/>
  <c r="J101" i="834"/>
  <c r="H101" i="834"/>
  <c r="K101" i="834" s="1"/>
  <c r="J100" i="834"/>
  <c r="H100" i="834"/>
  <c r="K100" i="834" s="1"/>
  <c r="J99" i="834"/>
  <c r="H99" i="834"/>
  <c r="G102" i="834" s="1"/>
  <c r="J98" i="834"/>
  <c r="H98" i="834"/>
  <c r="J96" i="834"/>
  <c r="H96" i="834"/>
  <c r="J95" i="834"/>
  <c r="H95" i="834"/>
  <c r="B93" i="834"/>
  <c r="K88" i="834"/>
  <c r="J88" i="834"/>
  <c r="H88" i="834"/>
  <c r="J87" i="834"/>
  <c r="H87" i="834"/>
  <c r="J86" i="834"/>
  <c r="H86" i="834"/>
  <c r="K85" i="834"/>
  <c r="J85" i="834"/>
  <c r="H85" i="834"/>
  <c r="J84" i="834"/>
  <c r="H84" i="834"/>
  <c r="B82" i="834"/>
  <c r="K79" i="834"/>
  <c r="J79" i="834"/>
  <c r="H79" i="834"/>
  <c r="K78" i="834"/>
  <c r="J78" i="834"/>
  <c r="H78" i="834"/>
  <c r="J77" i="834"/>
  <c r="H77" i="834"/>
  <c r="K77" i="834" s="1"/>
  <c r="K76" i="834"/>
  <c r="J76" i="834"/>
  <c r="H76" i="834"/>
  <c r="K75" i="834"/>
  <c r="J75" i="834"/>
  <c r="H75" i="834"/>
  <c r="K74" i="834"/>
  <c r="J74" i="834"/>
  <c r="H74" i="834"/>
  <c r="J73" i="834"/>
  <c r="H73" i="834"/>
  <c r="K73" i="834" s="1"/>
  <c r="K72" i="834"/>
  <c r="J72" i="834"/>
  <c r="H72" i="834"/>
  <c r="K71" i="834"/>
  <c r="J71" i="834"/>
  <c r="H71" i="834"/>
  <c r="K70" i="834"/>
  <c r="J70" i="834"/>
  <c r="H70" i="834"/>
  <c r="J69" i="834"/>
  <c r="H69" i="834"/>
  <c r="K68" i="834"/>
  <c r="J68" i="834"/>
  <c r="H68" i="834"/>
  <c r="K67" i="834"/>
  <c r="J67" i="834"/>
  <c r="H67" i="834"/>
  <c r="K66" i="834"/>
  <c r="J66" i="834"/>
  <c r="H66" i="834"/>
  <c r="J65" i="834"/>
  <c r="H65" i="834"/>
  <c r="K65" i="834" s="1"/>
  <c r="K64" i="834"/>
  <c r="J64" i="834"/>
  <c r="H64" i="834"/>
  <c r="K63" i="834"/>
  <c r="J63" i="834"/>
  <c r="H63" i="834"/>
  <c r="K62" i="834"/>
  <c r="J62" i="834"/>
  <c r="H62" i="834"/>
  <c r="J61" i="834"/>
  <c r="H61" i="834"/>
  <c r="K61" i="834" s="1"/>
  <c r="K60" i="834"/>
  <c r="J60" i="834"/>
  <c r="H60" i="834"/>
  <c r="K56" i="834"/>
  <c r="J56" i="834"/>
  <c r="H56" i="834"/>
  <c r="K55" i="834"/>
  <c r="J55" i="834"/>
  <c r="H55" i="834"/>
  <c r="J54" i="834"/>
  <c r="H54" i="834"/>
  <c r="K54" i="834" s="1"/>
  <c r="K53" i="834"/>
  <c r="J53" i="834"/>
  <c r="H53" i="834"/>
  <c r="K52" i="834"/>
  <c r="J52" i="834"/>
  <c r="H52" i="834"/>
  <c r="K51" i="834"/>
  <c r="J51" i="834"/>
  <c r="H51" i="834"/>
  <c r="J50" i="834"/>
  <c r="H50" i="834"/>
  <c r="K49" i="834"/>
  <c r="J49" i="834"/>
  <c r="H49" i="834"/>
  <c r="K48" i="834"/>
  <c r="J48" i="834"/>
  <c r="H48" i="834"/>
  <c r="K47" i="834"/>
  <c r="J47" i="834"/>
  <c r="H47" i="834"/>
  <c r="J46" i="834"/>
  <c r="H46" i="834"/>
  <c r="K45" i="834"/>
  <c r="J45" i="834"/>
  <c r="H45" i="834"/>
  <c r="K44" i="834"/>
  <c r="J44" i="834"/>
  <c r="H44" i="834"/>
  <c r="K43" i="834"/>
  <c r="J43" i="834"/>
  <c r="H43" i="834"/>
  <c r="J42" i="834"/>
  <c r="H42" i="834"/>
  <c r="K42" i="834" s="1"/>
  <c r="K41" i="834"/>
  <c r="J41" i="834"/>
  <c r="H41" i="834"/>
  <c r="K40" i="834"/>
  <c r="J40" i="834"/>
  <c r="H40" i="834"/>
  <c r="K39" i="834"/>
  <c r="J39" i="834"/>
  <c r="H39" i="834"/>
  <c r="J38" i="834"/>
  <c r="J82" i="834" s="1"/>
  <c r="J12" i="834" s="1"/>
  <c r="H38" i="834"/>
  <c r="K37" i="834"/>
  <c r="J37" i="834"/>
  <c r="H37" i="834"/>
  <c r="K36" i="834"/>
  <c r="J36" i="834"/>
  <c r="H36" i="834"/>
  <c r="H82" i="834" s="1"/>
  <c r="H12" i="834" s="1"/>
  <c r="B34" i="834"/>
  <c r="B22" i="834"/>
  <c r="A22" i="834"/>
  <c r="B21" i="834"/>
  <c r="A21" i="834"/>
  <c r="B20" i="834"/>
  <c r="A20" i="834"/>
  <c r="B19" i="834"/>
  <c r="A19" i="834"/>
  <c r="B18" i="834"/>
  <c r="A18" i="834"/>
  <c r="B17" i="834"/>
  <c r="A17" i="834"/>
  <c r="B16" i="834"/>
  <c r="A16" i="834"/>
  <c r="B15" i="834"/>
  <c r="A15" i="834"/>
  <c r="B14" i="834"/>
  <c r="A14" i="834"/>
  <c r="B13" i="834"/>
  <c r="A13" i="834"/>
  <c r="B12" i="834"/>
  <c r="A12" i="834"/>
  <c r="B586" i="833"/>
  <c r="J577" i="833"/>
  <c r="J586" i="833" s="1"/>
  <c r="J29" i="833" s="1"/>
  <c r="I577" i="833"/>
  <c r="H577" i="833"/>
  <c r="B576" i="833"/>
  <c r="K572" i="833"/>
  <c r="J572" i="833"/>
  <c r="H571" i="833"/>
  <c r="K571" i="833" s="1"/>
  <c r="G571" i="833"/>
  <c r="I571" i="833" s="1"/>
  <c r="J571" i="833" s="1"/>
  <c r="K570" i="833"/>
  <c r="J570" i="833"/>
  <c r="H570" i="833"/>
  <c r="J567" i="833"/>
  <c r="H567" i="833"/>
  <c r="G565" i="833"/>
  <c r="J564" i="833"/>
  <c r="H564" i="833"/>
  <c r="K564" i="833" s="1"/>
  <c r="G560" i="833"/>
  <c r="I560" i="833" s="1"/>
  <c r="J560" i="833" s="1"/>
  <c r="K559" i="833"/>
  <c r="J559" i="833"/>
  <c r="H559" i="833"/>
  <c r="J556" i="833"/>
  <c r="H556" i="833"/>
  <c r="J553" i="833"/>
  <c r="K553" i="833" s="1"/>
  <c r="I553" i="833"/>
  <c r="H553" i="833"/>
  <c r="J552" i="833"/>
  <c r="I552" i="833"/>
  <c r="H552" i="833"/>
  <c r="K552" i="833" s="1"/>
  <c r="I551" i="833"/>
  <c r="J551" i="833" s="1"/>
  <c r="H551" i="833"/>
  <c r="J550" i="833"/>
  <c r="K550" i="833" s="1"/>
  <c r="I550" i="833"/>
  <c r="H550" i="833"/>
  <c r="J548" i="833"/>
  <c r="I548" i="833"/>
  <c r="H548" i="833"/>
  <c r="K548" i="833" s="1"/>
  <c r="I547" i="833"/>
  <c r="J547" i="833" s="1"/>
  <c r="H547" i="833"/>
  <c r="K546" i="833"/>
  <c r="J546" i="833"/>
  <c r="I546" i="833"/>
  <c r="H546" i="833"/>
  <c r="K545" i="833"/>
  <c r="J545" i="833"/>
  <c r="I545" i="833"/>
  <c r="H545" i="833"/>
  <c r="J543" i="833"/>
  <c r="H543" i="833"/>
  <c r="K543" i="833" s="1"/>
  <c r="K542" i="833"/>
  <c r="J542" i="833"/>
  <c r="H542" i="833"/>
  <c r="J541" i="833"/>
  <c r="H541" i="833"/>
  <c r="K541" i="833" s="1"/>
  <c r="J540" i="833"/>
  <c r="H540" i="833"/>
  <c r="K540" i="833" s="1"/>
  <c r="B538" i="833"/>
  <c r="K536" i="833"/>
  <c r="J536" i="833"/>
  <c r="K534" i="833"/>
  <c r="J534" i="833"/>
  <c r="H534" i="833"/>
  <c r="G535" i="833" s="1"/>
  <c r="H535" i="833" s="1"/>
  <c r="J529" i="833"/>
  <c r="K529" i="833" s="1"/>
  <c r="H529" i="833"/>
  <c r="G530" i="833" s="1"/>
  <c r="I530" i="833" s="1"/>
  <c r="J530" i="833" s="1"/>
  <c r="J526" i="833"/>
  <c r="H526" i="833"/>
  <c r="G527" i="833" s="1"/>
  <c r="I524" i="833"/>
  <c r="J524" i="833" s="1"/>
  <c r="K523" i="833"/>
  <c r="J523" i="833"/>
  <c r="H523" i="833"/>
  <c r="G524" i="833" s="1"/>
  <c r="H524" i="833" s="1"/>
  <c r="J521" i="833"/>
  <c r="H521" i="833"/>
  <c r="I520" i="833"/>
  <c r="J520" i="833" s="1"/>
  <c r="H520" i="833"/>
  <c r="K520" i="833" s="1"/>
  <c r="I519" i="833"/>
  <c r="J519" i="833" s="1"/>
  <c r="K519" i="833" s="1"/>
  <c r="H519" i="833"/>
  <c r="I518" i="833"/>
  <c r="J518" i="833" s="1"/>
  <c r="H518" i="833"/>
  <c r="K518" i="833" s="1"/>
  <c r="K517" i="833"/>
  <c r="I517" i="833"/>
  <c r="J517" i="833" s="1"/>
  <c r="H517" i="833"/>
  <c r="I516" i="833"/>
  <c r="J516" i="833" s="1"/>
  <c r="K516" i="833" s="1"/>
  <c r="H516" i="833"/>
  <c r="I514" i="833"/>
  <c r="J514" i="833" s="1"/>
  <c r="H514" i="833"/>
  <c r="K514" i="833" s="1"/>
  <c r="K513" i="833"/>
  <c r="I513" i="833"/>
  <c r="J513" i="833" s="1"/>
  <c r="H513" i="833"/>
  <c r="I512" i="833"/>
  <c r="J512" i="833" s="1"/>
  <c r="K512" i="833" s="1"/>
  <c r="H512" i="833"/>
  <c r="I511" i="833"/>
  <c r="J511" i="833" s="1"/>
  <c r="H511" i="833"/>
  <c r="B508" i="833"/>
  <c r="K504" i="833"/>
  <c r="J504" i="833"/>
  <c r="G503" i="833"/>
  <c r="K502" i="833"/>
  <c r="J502" i="833"/>
  <c r="H502" i="833"/>
  <c r="G500" i="833"/>
  <c r="J499" i="833"/>
  <c r="H499" i="833"/>
  <c r="K499" i="833" s="1"/>
  <c r="I497" i="833"/>
  <c r="J497" i="833" s="1"/>
  <c r="G497" i="833"/>
  <c r="H497" i="833" s="1"/>
  <c r="K497" i="833" s="1"/>
  <c r="K496" i="833"/>
  <c r="J496" i="833"/>
  <c r="H496" i="833"/>
  <c r="G494" i="833"/>
  <c r="K493" i="833"/>
  <c r="J493" i="833"/>
  <c r="H493" i="833"/>
  <c r="J491" i="833"/>
  <c r="K491" i="833" s="1"/>
  <c r="H491" i="833"/>
  <c r="J490" i="833"/>
  <c r="I490" i="833"/>
  <c r="H490" i="833"/>
  <c r="K490" i="833" s="1"/>
  <c r="J489" i="833"/>
  <c r="I489" i="833"/>
  <c r="H489" i="833"/>
  <c r="K489" i="833" s="1"/>
  <c r="I488" i="833"/>
  <c r="J488" i="833" s="1"/>
  <c r="H488" i="833"/>
  <c r="K488" i="833" s="1"/>
  <c r="J486" i="833"/>
  <c r="I486" i="833"/>
  <c r="H486" i="833"/>
  <c r="I485" i="833"/>
  <c r="J485" i="833" s="1"/>
  <c r="H485" i="833"/>
  <c r="I484" i="833"/>
  <c r="J484" i="833" s="1"/>
  <c r="H484" i="833"/>
  <c r="J483" i="833"/>
  <c r="I483" i="833"/>
  <c r="H483" i="833"/>
  <c r="K483" i="833" s="1"/>
  <c r="J481" i="833"/>
  <c r="I481" i="833"/>
  <c r="H481" i="833"/>
  <c r="I480" i="833"/>
  <c r="J480" i="833" s="1"/>
  <c r="H480" i="833"/>
  <c r="J479" i="833"/>
  <c r="I479" i="833"/>
  <c r="H479" i="833"/>
  <c r="K479" i="833" s="1"/>
  <c r="J478" i="833"/>
  <c r="I478" i="833"/>
  <c r="H478" i="833"/>
  <c r="K478" i="833" s="1"/>
  <c r="I476" i="833"/>
  <c r="J476" i="833" s="1"/>
  <c r="H476" i="833"/>
  <c r="K476" i="833" s="1"/>
  <c r="J475" i="833"/>
  <c r="I475" i="833"/>
  <c r="H475" i="833"/>
  <c r="I474" i="833"/>
  <c r="J474" i="833" s="1"/>
  <c r="H474" i="833"/>
  <c r="I473" i="833"/>
  <c r="J473" i="833" s="1"/>
  <c r="H473" i="833"/>
  <c r="B470" i="833"/>
  <c r="J467" i="833"/>
  <c r="H467" i="833"/>
  <c r="K467" i="833" s="1"/>
  <c r="J465" i="833"/>
  <c r="H465" i="833"/>
  <c r="J464" i="833"/>
  <c r="H464" i="833"/>
  <c r="K463" i="833"/>
  <c r="J463" i="833"/>
  <c r="H463" i="833"/>
  <c r="G461" i="833"/>
  <c r="J460" i="833"/>
  <c r="H460" i="833"/>
  <c r="K460" i="833" s="1"/>
  <c r="K459" i="833"/>
  <c r="J459" i="833"/>
  <c r="H459" i="833"/>
  <c r="G459" i="833"/>
  <c r="G457" i="833"/>
  <c r="J456" i="833"/>
  <c r="K456" i="833" s="1"/>
  <c r="H456" i="833"/>
  <c r="B452" i="833"/>
  <c r="J447" i="833"/>
  <c r="H447" i="833"/>
  <c r="K447" i="833" s="1"/>
  <c r="J446" i="833"/>
  <c r="H446" i="833"/>
  <c r="K446" i="833" s="1"/>
  <c r="J445" i="833"/>
  <c r="H445" i="833"/>
  <c r="K445" i="833" s="1"/>
  <c r="J444" i="833"/>
  <c r="H444" i="833"/>
  <c r="J442" i="833"/>
  <c r="K442" i="833" s="1"/>
  <c r="I442" i="833"/>
  <c r="K441" i="833"/>
  <c r="J441" i="833"/>
  <c r="H441" i="833"/>
  <c r="K440" i="833"/>
  <c r="J440" i="833"/>
  <c r="H440" i="833"/>
  <c r="G442" i="833" s="1"/>
  <c r="H442" i="833" s="1"/>
  <c r="J436" i="833"/>
  <c r="H436" i="833"/>
  <c r="K436" i="833" s="1"/>
  <c r="I435" i="833"/>
  <c r="J435" i="833" s="1"/>
  <c r="H435" i="833"/>
  <c r="K435" i="833" s="1"/>
  <c r="J433" i="833"/>
  <c r="H433" i="833"/>
  <c r="K433" i="833" s="1"/>
  <c r="I432" i="833"/>
  <c r="J432" i="833" s="1"/>
  <c r="H432" i="833"/>
  <c r="J430" i="833"/>
  <c r="K430" i="833" s="1"/>
  <c r="H430" i="833"/>
  <c r="K429" i="833"/>
  <c r="J429" i="833"/>
  <c r="I429" i="833"/>
  <c r="H429" i="833"/>
  <c r="B426" i="833"/>
  <c r="K422" i="833"/>
  <c r="J422" i="833"/>
  <c r="G421" i="833"/>
  <c r="H421" i="833" s="1"/>
  <c r="J420" i="833"/>
  <c r="H420" i="833"/>
  <c r="K420" i="833" s="1"/>
  <c r="K419" i="833"/>
  <c r="J419" i="833"/>
  <c r="H419" i="833"/>
  <c r="J417" i="833"/>
  <c r="H417" i="833"/>
  <c r="G418" i="833" s="1"/>
  <c r="J413" i="833"/>
  <c r="H413" i="833"/>
  <c r="G414" i="833" s="1"/>
  <c r="K411" i="833"/>
  <c r="J411" i="833"/>
  <c r="H411" i="833"/>
  <c r="I410" i="833"/>
  <c r="J410" i="833" s="1"/>
  <c r="K410" i="833" s="1"/>
  <c r="H410" i="833"/>
  <c r="K409" i="833"/>
  <c r="J409" i="833"/>
  <c r="I409" i="833"/>
  <c r="H409" i="833"/>
  <c r="J408" i="833"/>
  <c r="K408" i="833" s="1"/>
  <c r="I408" i="833"/>
  <c r="H408" i="833"/>
  <c r="I407" i="833"/>
  <c r="J407" i="833" s="1"/>
  <c r="H407" i="833"/>
  <c r="K407" i="833" s="1"/>
  <c r="G407" i="833"/>
  <c r="K406" i="833"/>
  <c r="J406" i="833"/>
  <c r="I406" i="833"/>
  <c r="H406" i="833"/>
  <c r="B404" i="833"/>
  <c r="I399" i="833"/>
  <c r="J399" i="833" s="1"/>
  <c r="H399" i="833"/>
  <c r="J397" i="833"/>
  <c r="H397" i="833"/>
  <c r="G398" i="833" s="1"/>
  <c r="J396" i="833"/>
  <c r="H396" i="833"/>
  <c r="I393" i="833"/>
  <c r="J393" i="833" s="1"/>
  <c r="K393" i="833" s="1"/>
  <c r="H393" i="833"/>
  <c r="J392" i="833"/>
  <c r="K392" i="833" s="1"/>
  <c r="I392" i="833"/>
  <c r="H392" i="833"/>
  <c r="I391" i="833"/>
  <c r="J391" i="833" s="1"/>
  <c r="H391" i="833"/>
  <c r="K391" i="833" s="1"/>
  <c r="J390" i="833"/>
  <c r="H390" i="833"/>
  <c r="K390" i="833" s="1"/>
  <c r="J389" i="833"/>
  <c r="H389" i="833"/>
  <c r="K389" i="833" s="1"/>
  <c r="J388" i="833"/>
  <c r="H388" i="833"/>
  <c r="K388" i="833" s="1"/>
  <c r="J387" i="833"/>
  <c r="H387" i="833"/>
  <c r="K387" i="833" s="1"/>
  <c r="J386" i="833"/>
  <c r="K386" i="833" s="1"/>
  <c r="H386" i="833"/>
  <c r="J385" i="833"/>
  <c r="H385" i="833"/>
  <c r="K385" i="833" s="1"/>
  <c r="J384" i="833"/>
  <c r="H384" i="833"/>
  <c r="I383" i="833"/>
  <c r="J383" i="833" s="1"/>
  <c r="H383" i="833"/>
  <c r="K383" i="833" s="1"/>
  <c r="B381" i="833"/>
  <c r="G376" i="833"/>
  <c r="H376" i="833" s="1"/>
  <c r="K375" i="833"/>
  <c r="J375" i="833"/>
  <c r="H375" i="833"/>
  <c r="J374" i="833"/>
  <c r="H374" i="833"/>
  <c r="J372" i="833"/>
  <c r="H372" i="833"/>
  <c r="K372" i="833" s="1"/>
  <c r="H369" i="833"/>
  <c r="G369" i="833"/>
  <c r="I369" i="833" s="1"/>
  <c r="J369" i="833" s="1"/>
  <c r="K369" i="833" s="1"/>
  <c r="J368" i="833"/>
  <c r="H368" i="833"/>
  <c r="K368" i="833" s="1"/>
  <c r="I366" i="833"/>
  <c r="J366" i="833" s="1"/>
  <c r="K366" i="833" s="1"/>
  <c r="H366" i="833"/>
  <c r="I358" i="833"/>
  <c r="J358" i="833" s="1"/>
  <c r="H358" i="833"/>
  <c r="B356" i="833"/>
  <c r="J351" i="833"/>
  <c r="H351" i="833"/>
  <c r="K351" i="833" s="1"/>
  <c r="K350" i="833"/>
  <c r="J350" i="833"/>
  <c r="H350" i="833"/>
  <c r="J349" i="833"/>
  <c r="H349" i="833"/>
  <c r="K349" i="833" s="1"/>
  <c r="J348" i="833"/>
  <c r="H348" i="833"/>
  <c r="K348" i="833" s="1"/>
  <c r="K345" i="833"/>
  <c r="J345" i="833"/>
  <c r="H345" i="833"/>
  <c r="J344" i="833"/>
  <c r="H344" i="833"/>
  <c r="G346" i="833" s="1"/>
  <c r="J343" i="833"/>
  <c r="H343" i="833"/>
  <c r="K341" i="833"/>
  <c r="J341" i="833"/>
  <c r="H341" i="833"/>
  <c r="J340" i="833"/>
  <c r="H340" i="833"/>
  <c r="K340" i="833" s="1"/>
  <c r="K339" i="833"/>
  <c r="J339" i="833"/>
  <c r="H339" i="833"/>
  <c r="K338" i="833"/>
  <c r="J338" i="833"/>
  <c r="H338" i="833"/>
  <c r="J337" i="833"/>
  <c r="K337" i="833" s="1"/>
  <c r="H337" i="833"/>
  <c r="J336" i="833"/>
  <c r="H336" i="833"/>
  <c r="K336" i="833" s="1"/>
  <c r="K335" i="833"/>
  <c r="J335" i="833"/>
  <c r="H335" i="833"/>
  <c r="B331" i="833"/>
  <c r="J329" i="833"/>
  <c r="H329" i="833"/>
  <c r="K329" i="833" s="1"/>
  <c r="J328" i="833"/>
  <c r="H328" i="833"/>
  <c r="K328" i="833" s="1"/>
  <c r="J327" i="833"/>
  <c r="H327" i="833"/>
  <c r="K327" i="833" s="1"/>
  <c r="J326" i="833"/>
  <c r="H326" i="833"/>
  <c r="J325" i="833"/>
  <c r="H325" i="833"/>
  <c r="K325" i="833" s="1"/>
  <c r="K324" i="833"/>
  <c r="J324" i="833"/>
  <c r="H324" i="833"/>
  <c r="K323" i="833"/>
  <c r="J323" i="833"/>
  <c r="H323" i="833"/>
  <c r="J322" i="833"/>
  <c r="H322" i="833"/>
  <c r="K322" i="833" s="1"/>
  <c r="J321" i="833"/>
  <c r="H321" i="833"/>
  <c r="K321" i="833" s="1"/>
  <c r="J320" i="833"/>
  <c r="K320" i="833" s="1"/>
  <c r="H320" i="833"/>
  <c r="K319" i="833"/>
  <c r="J319" i="833"/>
  <c r="H319" i="833"/>
  <c r="J318" i="833"/>
  <c r="H318" i="833"/>
  <c r="K318" i="833" s="1"/>
  <c r="K317" i="833"/>
  <c r="J317" i="833"/>
  <c r="H317" i="833"/>
  <c r="J316" i="833"/>
  <c r="H316" i="833"/>
  <c r="K316" i="833" s="1"/>
  <c r="J315" i="833"/>
  <c r="H315" i="833"/>
  <c r="K314" i="833"/>
  <c r="J314" i="833"/>
  <c r="H314" i="833"/>
  <c r="J313" i="833"/>
  <c r="K313" i="833" s="1"/>
  <c r="H313" i="833"/>
  <c r="J312" i="833"/>
  <c r="H312" i="833"/>
  <c r="K312" i="833" s="1"/>
  <c r="K311" i="833"/>
  <c r="J311" i="833"/>
  <c r="H311" i="833"/>
  <c r="K310" i="833"/>
  <c r="J310" i="833"/>
  <c r="H310" i="833"/>
  <c r="J309" i="833"/>
  <c r="K309" i="833" s="1"/>
  <c r="H309" i="833"/>
  <c r="J308" i="833"/>
  <c r="H308" i="833"/>
  <c r="K308" i="833" s="1"/>
  <c r="K307" i="833"/>
  <c r="J307" i="833"/>
  <c r="H307" i="833"/>
  <c r="K306" i="833"/>
  <c r="J306" i="833"/>
  <c r="H306" i="833"/>
  <c r="J305" i="833"/>
  <c r="H305" i="833"/>
  <c r="J304" i="833"/>
  <c r="H304" i="833"/>
  <c r="J303" i="833"/>
  <c r="H303" i="833"/>
  <c r="K303" i="833" s="1"/>
  <c r="J302" i="833"/>
  <c r="K302" i="833" s="1"/>
  <c r="H302" i="833"/>
  <c r="J301" i="833"/>
  <c r="H301" i="833"/>
  <c r="K301" i="833" s="1"/>
  <c r="J300" i="833"/>
  <c r="H300" i="833"/>
  <c r="J299" i="833"/>
  <c r="H299" i="833"/>
  <c r="K299" i="833" s="1"/>
  <c r="K298" i="833"/>
  <c r="J298" i="833"/>
  <c r="H298" i="833"/>
  <c r="K297" i="833"/>
  <c r="J297" i="833"/>
  <c r="H297" i="833"/>
  <c r="J296" i="833"/>
  <c r="K296" i="833" s="1"/>
  <c r="H296" i="833"/>
  <c r="J295" i="833"/>
  <c r="H295" i="833"/>
  <c r="K295" i="833" s="1"/>
  <c r="K294" i="833"/>
  <c r="J294" i="833"/>
  <c r="H294" i="833"/>
  <c r="K293" i="833"/>
  <c r="J293" i="833"/>
  <c r="H293" i="833"/>
  <c r="J292" i="833"/>
  <c r="K292" i="833" s="1"/>
  <c r="H292" i="833"/>
  <c r="J291" i="833"/>
  <c r="H291" i="833"/>
  <c r="B287" i="833"/>
  <c r="I281" i="833"/>
  <c r="J281" i="833" s="1"/>
  <c r="H281" i="833"/>
  <c r="J280" i="833"/>
  <c r="K280" i="833" s="1"/>
  <c r="I280" i="833"/>
  <c r="H280" i="833"/>
  <c r="I279" i="833"/>
  <c r="J279" i="833" s="1"/>
  <c r="H279" i="833"/>
  <c r="K279" i="833" s="1"/>
  <c r="I278" i="833"/>
  <c r="J278" i="833" s="1"/>
  <c r="H278" i="833"/>
  <c r="J277" i="833"/>
  <c r="K277" i="833" s="1"/>
  <c r="I277" i="833"/>
  <c r="H277" i="833"/>
  <c r="I276" i="833"/>
  <c r="J276" i="833" s="1"/>
  <c r="H276" i="833"/>
  <c r="I273" i="833"/>
  <c r="J273" i="833" s="1"/>
  <c r="H273" i="833"/>
  <c r="K273" i="833" s="1"/>
  <c r="J272" i="833"/>
  <c r="K272" i="833" s="1"/>
  <c r="I272" i="833"/>
  <c r="H272" i="833"/>
  <c r="I271" i="833"/>
  <c r="J271" i="833" s="1"/>
  <c r="H271" i="833"/>
  <c r="I270" i="833"/>
  <c r="J270" i="833" s="1"/>
  <c r="H270" i="833"/>
  <c r="K270" i="833" s="1"/>
  <c r="J268" i="833"/>
  <c r="K268" i="833" s="1"/>
  <c r="I268" i="833"/>
  <c r="H268" i="833"/>
  <c r="I267" i="833"/>
  <c r="J267" i="833" s="1"/>
  <c r="H267" i="833"/>
  <c r="K267" i="833" s="1"/>
  <c r="I266" i="833"/>
  <c r="J266" i="833" s="1"/>
  <c r="H266" i="833"/>
  <c r="K266" i="833" s="1"/>
  <c r="J265" i="833"/>
  <c r="K265" i="833" s="1"/>
  <c r="I265" i="833"/>
  <c r="H265" i="833"/>
  <c r="I264" i="833"/>
  <c r="J264" i="833" s="1"/>
  <c r="H264" i="833"/>
  <c r="K264" i="833" s="1"/>
  <c r="I263" i="833"/>
  <c r="J263" i="833" s="1"/>
  <c r="H263" i="833"/>
  <c r="B260" i="833"/>
  <c r="I256" i="833"/>
  <c r="J256" i="833" s="1"/>
  <c r="K256" i="833" s="1"/>
  <c r="H256" i="833"/>
  <c r="I255" i="833"/>
  <c r="J255" i="833" s="1"/>
  <c r="K255" i="833" s="1"/>
  <c r="H255" i="833"/>
  <c r="G255" i="833"/>
  <c r="K254" i="833"/>
  <c r="J254" i="833"/>
  <c r="H254" i="833"/>
  <c r="J253" i="833"/>
  <c r="K253" i="833" s="1"/>
  <c r="H253" i="833"/>
  <c r="J252" i="833"/>
  <c r="H252" i="833"/>
  <c r="K252" i="833" s="1"/>
  <c r="J251" i="833"/>
  <c r="K251" i="833" s="1"/>
  <c r="H251" i="833"/>
  <c r="K250" i="833"/>
  <c r="J250" i="833"/>
  <c r="H250" i="833"/>
  <c r="J249" i="833"/>
  <c r="K249" i="833" s="1"/>
  <c r="H249" i="833"/>
  <c r="H248" i="833"/>
  <c r="J247" i="833"/>
  <c r="K247" i="833" s="1"/>
  <c r="H247" i="833"/>
  <c r="K246" i="833"/>
  <c r="J246" i="833"/>
  <c r="H246" i="833"/>
  <c r="K245" i="833"/>
  <c r="J245" i="833"/>
  <c r="H245" i="833"/>
  <c r="J244" i="833"/>
  <c r="K244" i="833" s="1"/>
  <c r="H244" i="833"/>
  <c r="J243" i="833"/>
  <c r="K243" i="833" s="1"/>
  <c r="H243" i="833"/>
  <c r="K242" i="833"/>
  <c r="J242" i="833"/>
  <c r="H242" i="833"/>
  <c r="K241" i="833"/>
  <c r="J241" i="833"/>
  <c r="H241" i="833"/>
  <c r="J240" i="833"/>
  <c r="K240" i="833" s="1"/>
  <c r="H240" i="833"/>
  <c r="J239" i="833"/>
  <c r="K239" i="833" s="1"/>
  <c r="H239" i="833"/>
  <c r="I235" i="833"/>
  <c r="J235" i="833" s="1"/>
  <c r="K235" i="833" s="1"/>
  <c r="H235" i="833"/>
  <c r="I234" i="833"/>
  <c r="J234" i="833" s="1"/>
  <c r="K234" i="833" s="1"/>
  <c r="H234" i="833"/>
  <c r="G234" i="833"/>
  <c r="J233" i="833"/>
  <c r="K233" i="833" s="1"/>
  <c r="H233" i="833"/>
  <c r="K232" i="833"/>
  <c r="J232" i="833"/>
  <c r="H232" i="833"/>
  <c r="K231" i="833"/>
  <c r="J231" i="833"/>
  <c r="H231" i="833"/>
  <c r="J230" i="833"/>
  <c r="K230" i="833" s="1"/>
  <c r="H230" i="833"/>
  <c r="J229" i="833"/>
  <c r="K229" i="833" s="1"/>
  <c r="H229" i="833"/>
  <c r="K228" i="833"/>
  <c r="J228" i="833"/>
  <c r="H228" i="833"/>
  <c r="H227" i="833"/>
  <c r="J226" i="833"/>
  <c r="K226" i="833" s="1"/>
  <c r="H226" i="833"/>
  <c r="K225" i="833"/>
  <c r="J225" i="833"/>
  <c r="H225" i="833"/>
  <c r="J224" i="833"/>
  <c r="K224" i="833" s="1"/>
  <c r="H224" i="833"/>
  <c r="J223" i="833"/>
  <c r="K223" i="833" s="1"/>
  <c r="H223" i="833"/>
  <c r="J222" i="833"/>
  <c r="K222" i="833" s="1"/>
  <c r="H222" i="833"/>
  <c r="K221" i="833"/>
  <c r="J221" i="833"/>
  <c r="H221" i="833"/>
  <c r="J220" i="833"/>
  <c r="K220" i="833" s="1"/>
  <c r="H220" i="833"/>
  <c r="J219" i="833"/>
  <c r="H219" i="833"/>
  <c r="J218" i="833"/>
  <c r="K218" i="833" s="1"/>
  <c r="H218" i="833"/>
  <c r="H260" i="833" s="1"/>
  <c r="H17" i="833" s="1"/>
  <c r="B214" i="833"/>
  <c r="J212" i="833"/>
  <c r="K212" i="833" s="1"/>
  <c r="I212" i="833"/>
  <c r="H212" i="833"/>
  <c r="G211" i="833"/>
  <c r="I211" i="833" s="1"/>
  <c r="J211" i="833" s="1"/>
  <c r="J210" i="833"/>
  <c r="G210" i="833"/>
  <c r="H210" i="833" s="1"/>
  <c r="K210" i="833" s="1"/>
  <c r="K209" i="833"/>
  <c r="J209" i="833"/>
  <c r="H209" i="833"/>
  <c r="G209" i="833"/>
  <c r="J208" i="833"/>
  <c r="K208" i="833" s="1"/>
  <c r="G208" i="833"/>
  <c r="H208" i="833" s="1"/>
  <c r="J207" i="833"/>
  <c r="G207" i="833"/>
  <c r="H207" i="833" s="1"/>
  <c r="K207" i="833" s="1"/>
  <c r="K206" i="833"/>
  <c r="J206" i="833"/>
  <c r="H206" i="833"/>
  <c r="G206" i="833"/>
  <c r="J205" i="833"/>
  <c r="G205" i="833"/>
  <c r="H205" i="833" s="1"/>
  <c r="J204" i="833"/>
  <c r="G204" i="833"/>
  <c r="H204" i="833" s="1"/>
  <c r="K204" i="833" s="1"/>
  <c r="I196" i="833"/>
  <c r="J196" i="833" s="1"/>
  <c r="K196" i="833" s="1"/>
  <c r="H196" i="833"/>
  <c r="I195" i="833"/>
  <c r="J195" i="833" s="1"/>
  <c r="K195" i="833" s="1"/>
  <c r="H195" i="833"/>
  <c r="G195" i="833"/>
  <c r="H194" i="833"/>
  <c r="K194" i="833" s="1"/>
  <c r="H193" i="833"/>
  <c r="K193" i="833" s="1"/>
  <c r="H192" i="833"/>
  <c r="K192" i="833" s="1"/>
  <c r="K191" i="833"/>
  <c r="H191" i="833"/>
  <c r="H190" i="833"/>
  <c r="K190" i="833" s="1"/>
  <c r="K188" i="833"/>
  <c r="J188" i="833"/>
  <c r="H188" i="833"/>
  <c r="I187" i="833"/>
  <c r="J187" i="833" s="1"/>
  <c r="G187" i="833"/>
  <c r="H187" i="833" s="1"/>
  <c r="K186" i="833"/>
  <c r="H186" i="833"/>
  <c r="H185" i="833"/>
  <c r="K185" i="833" s="1"/>
  <c r="K184" i="833"/>
  <c r="H184" i="833"/>
  <c r="H183" i="833"/>
  <c r="K183" i="833" s="1"/>
  <c r="H182" i="833"/>
  <c r="K182" i="833" s="1"/>
  <c r="H181" i="833"/>
  <c r="K181" i="833" s="1"/>
  <c r="K180" i="833"/>
  <c r="H180" i="833"/>
  <c r="H179" i="833"/>
  <c r="H176" i="833"/>
  <c r="K176" i="833" s="1"/>
  <c r="G176" i="833"/>
  <c r="H175" i="833"/>
  <c r="K175" i="833" s="1"/>
  <c r="H174" i="833"/>
  <c r="K174" i="833" s="1"/>
  <c r="H173" i="833"/>
  <c r="K173" i="833" s="1"/>
  <c r="K172" i="833"/>
  <c r="H172" i="833"/>
  <c r="H171" i="833"/>
  <c r="K171" i="833" s="1"/>
  <c r="K168" i="833"/>
  <c r="J168" i="833"/>
  <c r="I168" i="833"/>
  <c r="H168" i="833"/>
  <c r="H167" i="833"/>
  <c r="G167" i="833"/>
  <c r="I167" i="833" s="1"/>
  <c r="J167" i="833" s="1"/>
  <c r="K167" i="833" s="1"/>
  <c r="H166" i="833"/>
  <c r="K166" i="833" s="1"/>
  <c r="H165" i="833"/>
  <c r="K165" i="833" s="1"/>
  <c r="K164" i="833"/>
  <c r="H164" i="833"/>
  <c r="H163" i="833"/>
  <c r="K163" i="833" s="1"/>
  <c r="K162" i="833"/>
  <c r="H162" i="833"/>
  <c r="K159" i="833"/>
  <c r="J159" i="833"/>
  <c r="I159" i="833"/>
  <c r="H159" i="833"/>
  <c r="G158" i="833"/>
  <c r="I158" i="833" s="1"/>
  <c r="J158" i="833" s="1"/>
  <c r="H157" i="833"/>
  <c r="K157" i="833" s="1"/>
  <c r="H156" i="833"/>
  <c r="K156" i="833" s="1"/>
  <c r="K155" i="833"/>
  <c r="H155" i="833"/>
  <c r="H154" i="833"/>
  <c r="K154" i="833" s="1"/>
  <c r="K153" i="833"/>
  <c r="H153" i="833"/>
  <c r="H152" i="833"/>
  <c r="K152" i="833" s="1"/>
  <c r="H150" i="833"/>
  <c r="K150" i="833" s="1"/>
  <c r="H149" i="833"/>
  <c r="K149" i="833" s="1"/>
  <c r="K148" i="833"/>
  <c r="H148" i="833"/>
  <c r="H147" i="833"/>
  <c r="K147" i="833" s="1"/>
  <c r="K146" i="833"/>
  <c r="H146" i="833"/>
  <c r="H145" i="833"/>
  <c r="K145" i="833" s="1"/>
  <c r="H144" i="833"/>
  <c r="K144" i="833" s="1"/>
  <c r="H143" i="833"/>
  <c r="K143" i="833" s="1"/>
  <c r="K142" i="833"/>
  <c r="H142" i="833"/>
  <c r="H141" i="833"/>
  <c r="K141" i="833" s="1"/>
  <c r="K138" i="833"/>
  <c r="J138" i="833"/>
  <c r="I138" i="833"/>
  <c r="H138" i="833"/>
  <c r="H137" i="833"/>
  <c r="G137" i="833"/>
  <c r="I137" i="833" s="1"/>
  <c r="J137" i="833" s="1"/>
  <c r="K137" i="833" s="1"/>
  <c r="H136" i="833"/>
  <c r="K136" i="833" s="1"/>
  <c r="H135" i="833"/>
  <c r="K135" i="833" s="1"/>
  <c r="K134" i="833"/>
  <c r="H134" i="833"/>
  <c r="H133" i="833"/>
  <c r="K133" i="833" s="1"/>
  <c r="K132" i="833"/>
  <c r="H132" i="833"/>
  <c r="K128" i="833"/>
  <c r="J128" i="833"/>
  <c r="I128" i="833"/>
  <c r="H128" i="833"/>
  <c r="J127" i="833"/>
  <c r="I127" i="833"/>
  <c r="G127" i="833"/>
  <c r="H127" i="833" s="1"/>
  <c r="H126" i="833"/>
  <c r="K126" i="833" s="1"/>
  <c r="H125" i="833"/>
  <c r="K125" i="833" s="1"/>
  <c r="K124" i="833"/>
  <c r="H124" i="833"/>
  <c r="H123" i="833"/>
  <c r="K123" i="833" s="1"/>
  <c r="K122" i="833"/>
  <c r="H122" i="833"/>
  <c r="H121" i="833"/>
  <c r="K121" i="833" s="1"/>
  <c r="H119" i="833"/>
  <c r="K119" i="833" s="1"/>
  <c r="H118" i="833"/>
  <c r="K118" i="833" s="1"/>
  <c r="K117" i="833"/>
  <c r="H117" i="833"/>
  <c r="H116" i="833"/>
  <c r="K116" i="833" s="1"/>
  <c r="K115" i="833"/>
  <c r="H115" i="833"/>
  <c r="H114" i="833"/>
  <c r="K114" i="833" s="1"/>
  <c r="H113" i="833"/>
  <c r="K113" i="833" s="1"/>
  <c r="H112" i="833"/>
  <c r="K112" i="833" s="1"/>
  <c r="K111" i="833"/>
  <c r="H111" i="833"/>
  <c r="H110" i="833"/>
  <c r="K110" i="833" s="1"/>
  <c r="B106" i="833"/>
  <c r="J103" i="833"/>
  <c r="K103" i="833" s="1"/>
  <c r="I103" i="833"/>
  <c r="H103" i="833"/>
  <c r="I102" i="833"/>
  <c r="J102" i="833" s="1"/>
  <c r="K102" i="833" s="1"/>
  <c r="H102" i="833"/>
  <c r="K101" i="833"/>
  <c r="J101" i="833"/>
  <c r="I101" i="833"/>
  <c r="H101" i="833"/>
  <c r="J100" i="833"/>
  <c r="K100" i="833" s="1"/>
  <c r="I100" i="833"/>
  <c r="H100" i="833"/>
  <c r="I99" i="833"/>
  <c r="J99" i="833" s="1"/>
  <c r="K99" i="833" s="1"/>
  <c r="H99" i="833"/>
  <c r="K98" i="833"/>
  <c r="J98" i="833"/>
  <c r="I98" i="833"/>
  <c r="H98" i="833"/>
  <c r="J97" i="833"/>
  <c r="K97" i="833" s="1"/>
  <c r="I97" i="833"/>
  <c r="H97" i="833"/>
  <c r="I96" i="833"/>
  <c r="J96" i="833" s="1"/>
  <c r="K96" i="833" s="1"/>
  <c r="H96" i="833"/>
  <c r="K95" i="833"/>
  <c r="J95" i="833"/>
  <c r="I95" i="833"/>
  <c r="H95" i="833"/>
  <c r="J94" i="833"/>
  <c r="K94" i="833" s="1"/>
  <c r="I94" i="833"/>
  <c r="H94" i="833"/>
  <c r="G92" i="833"/>
  <c r="I92" i="833" s="1"/>
  <c r="J92" i="833" s="1"/>
  <c r="G91" i="833"/>
  <c r="H91" i="833" s="1"/>
  <c r="J90" i="833"/>
  <c r="K90" i="833" s="1"/>
  <c r="I90" i="833"/>
  <c r="H90" i="833"/>
  <c r="G90" i="833"/>
  <c r="G89" i="833"/>
  <c r="I89" i="833" s="1"/>
  <c r="J89" i="833" s="1"/>
  <c r="H88" i="833"/>
  <c r="G88" i="833"/>
  <c r="I88" i="833" s="1"/>
  <c r="J88" i="833" s="1"/>
  <c r="K88" i="833" s="1"/>
  <c r="I87" i="833"/>
  <c r="J87" i="833" s="1"/>
  <c r="K87" i="833" s="1"/>
  <c r="H87" i="833"/>
  <c r="I86" i="833"/>
  <c r="J86" i="833" s="1"/>
  <c r="H86" i="833"/>
  <c r="B82" i="833"/>
  <c r="I74" i="833"/>
  <c r="J74" i="833" s="1"/>
  <c r="H74" i="833"/>
  <c r="K74" i="833" s="1"/>
  <c r="I73" i="833"/>
  <c r="J73" i="833" s="1"/>
  <c r="H73" i="833"/>
  <c r="I72" i="833"/>
  <c r="J72" i="833" s="1"/>
  <c r="K72" i="833" s="1"/>
  <c r="H72" i="833"/>
  <c r="I71" i="833"/>
  <c r="J71" i="833" s="1"/>
  <c r="J82" i="833" s="1"/>
  <c r="J14" i="833" s="1"/>
  <c r="H71" i="833"/>
  <c r="K71" i="833" s="1"/>
  <c r="B68" i="833"/>
  <c r="I63" i="833"/>
  <c r="J63" i="833" s="1"/>
  <c r="K63" i="833" s="1"/>
  <c r="H63" i="833"/>
  <c r="I62" i="833"/>
  <c r="J62" i="833" s="1"/>
  <c r="H62" i="833"/>
  <c r="I61" i="833"/>
  <c r="J61" i="833" s="1"/>
  <c r="H61" i="833"/>
  <c r="K61" i="833" s="1"/>
  <c r="I60" i="833"/>
  <c r="J60" i="833" s="1"/>
  <c r="H60" i="833"/>
  <c r="B58" i="833"/>
  <c r="I52" i="833"/>
  <c r="J52" i="833" s="1"/>
  <c r="H52" i="833"/>
  <c r="K52" i="833" s="1"/>
  <c r="I51" i="833"/>
  <c r="J51" i="833" s="1"/>
  <c r="K51" i="833" s="1"/>
  <c r="H51" i="833"/>
  <c r="I50" i="833"/>
  <c r="J50" i="833" s="1"/>
  <c r="H50" i="833"/>
  <c r="K50" i="833" s="1"/>
  <c r="I49" i="833"/>
  <c r="J49" i="833" s="1"/>
  <c r="H49" i="833"/>
  <c r="K49" i="833" s="1"/>
  <c r="J46" i="833"/>
  <c r="H46" i="833"/>
  <c r="G47" i="833" s="1"/>
  <c r="G44" i="833"/>
  <c r="I44" i="833" s="1"/>
  <c r="J44" i="833" s="1"/>
  <c r="J43" i="833"/>
  <c r="H43" i="833"/>
  <c r="K43" i="833" s="1"/>
  <c r="J40" i="833"/>
  <c r="H40" i="833"/>
  <c r="K40" i="833" s="1"/>
  <c r="K39" i="833"/>
  <c r="J39" i="833"/>
  <c r="H39" i="833"/>
  <c r="K38" i="833"/>
  <c r="J38" i="833"/>
  <c r="H38" i="833"/>
  <c r="B34" i="833"/>
  <c r="B29" i="833"/>
  <c r="A29" i="833"/>
  <c r="B28" i="833"/>
  <c r="A28" i="833"/>
  <c r="B27" i="833"/>
  <c r="A27" i="833"/>
  <c r="B26" i="833"/>
  <c r="A26" i="833"/>
  <c r="B25" i="833"/>
  <c r="A25" i="833"/>
  <c r="B24" i="833"/>
  <c r="A24" i="833"/>
  <c r="B23" i="833"/>
  <c r="A23" i="833"/>
  <c r="B22" i="833"/>
  <c r="A22" i="833"/>
  <c r="B21" i="833"/>
  <c r="A21" i="833"/>
  <c r="B20" i="833"/>
  <c r="A20" i="833"/>
  <c r="B19" i="833"/>
  <c r="A19" i="833"/>
  <c r="B18" i="833"/>
  <c r="A18" i="833"/>
  <c r="B17" i="833"/>
  <c r="A17" i="833"/>
  <c r="B16" i="833"/>
  <c r="A16" i="833"/>
  <c r="A15" i="833"/>
  <c r="B14" i="833"/>
  <c r="A14" i="833"/>
  <c r="B13" i="833"/>
  <c r="A13" i="833"/>
  <c r="B12" i="833"/>
  <c r="A12" i="833"/>
  <c r="B33" i="832"/>
  <c r="B27" i="832"/>
  <c r="B26" i="832"/>
  <c r="B25" i="832"/>
  <c r="B24" i="832"/>
  <c r="B23" i="832"/>
  <c r="B22" i="832"/>
  <c r="B21" i="832"/>
  <c r="B20" i="832"/>
  <c r="B19" i="832"/>
  <c r="B18" i="832"/>
  <c r="B17" i="832"/>
  <c r="B16" i="832"/>
  <c r="B15" i="832"/>
  <c r="B14" i="832"/>
  <c r="B13" i="832"/>
  <c r="K228" i="841" l="1"/>
  <c r="K194" i="841"/>
  <c r="K198" i="841"/>
  <c r="K271" i="841"/>
  <c r="K277" i="841"/>
  <c r="K236" i="841"/>
  <c r="K158" i="841"/>
  <c r="K164" i="841"/>
  <c r="K212" i="841"/>
  <c r="K218" i="841"/>
  <c r="K248" i="841"/>
  <c r="K199" i="841"/>
  <c r="K237" i="841"/>
  <c r="K249" i="841"/>
  <c r="K287" i="841"/>
  <c r="K305" i="841"/>
  <c r="K201" i="841"/>
  <c r="K244" i="841"/>
  <c r="K281" i="841"/>
  <c r="K264" i="841"/>
  <c r="K276" i="841"/>
  <c r="K282" i="841"/>
  <c r="K231" i="841"/>
  <c r="K278" i="841"/>
  <c r="K308" i="841"/>
  <c r="K232" i="841"/>
  <c r="K267" i="841"/>
  <c r="K273" i="841"/>
  <c r="K292" i="841"/>
  <c r="K166" i="841"/>
  <c r="K220" i="841"/>
  <c r="K161" i="841"/>
  <c r="K170" i="841"/>
  <c r="K215" i="841"/>
  <c r="K250" i="841"/>
  <c r="K311" i="841"/>
  <c r="K181" i="841"/>
  <c r="K141" i="841"/>
  <c r="K317" i="841"/>
  <c r="K159" i="841"/>
  <c r="K195" i="841"/>
  <c r="K230" i="841"/>
  <c r="K265" i="841"/>
  <c r="K284" i="841"/>
  <c r="G191" i="841"/>
  <c r="K241" i="841"/>
  <c r="K339" i="841"/>
  <c r="K175" i="841"/>
  <c r="K327" i="841"/>
  <c r="K216" i="841"/>
  <c r="K247" i="841"/>
  <c r="I258" i="841"/>
  <c r="J258" i="841" s="1"/>
  <c r="K258" i="841" s="1"/>
  <c r="K269" i="841"/>
  <c r="K274" i="841"/>
  <c r="K291" i="841"/>
  <c r="K340" i="841"/>
  <c r="J154" i="841"/>
  <c r="J14" i="841" s="1"/>
  <c r="K233" i="841"/>
  <c r="J82" i="841"/>
  <c r="J12" i="841" s="1"/>
  <c r="K145" i="841"/>
  <c r="K171" i="841"/>
  <c r="K217" i="841"/>
  <c r="K243" i="841"/>
  <c r="K303" i="841"/>
  <c r="G328" i="841"/>
  <c r="I328" i="841" s="1"/>
  <c r="J328" i="841" s="1"/>
  <c r="K359" i="841"/>
  <c r="G202" i="841"/>
  <c r="H202" i="841" s="1"/>
  <c r="K200" i="841"/>
  <c r="J226" i="841"/>
  <c r="J17" i="841" s="1"/>
  <c r="K239" i="841"/>
  <c r="K260" i="841"/>
  <c r="K133" i="841"/>
  <c r="K193" i="841"/>
  <c r="K310" i="841"/>
  <c r="K261" i="841"/>
  <c r="K337" i="841"/>
  <c r="K174" i="841"/>
  <c r="K219" i="841"/>
  <c r="K245" i="841"/>
  <c r="K272" i="841"/>
  <c r="K276" i="833"/>
  <c r="K281" i="833"/>
  <c r="K421" i="833"/>
  <c r="J154" i="835"/>
  <c r="J13" i="835" s="1"/>
  <c r="K69" i="835"/>
  <c r="I414" i="833"/>
  <c r="J414" i="833" s="1"/>
  <c r="H414" i="833"/>
  <c r="K414" i="833" s="1"/>
  <c r="K205" i="833"/>
  <c r="K271" i="833"/>
  <c r="K278" i="833"/>
  <c r="K82" i="833"/>
  <c r="K14" i="833" s="1"/>
  <c r="I47" i="833"/>
  <c r="J47" i="833" s="1"/>
  <c r="H47" i="833"/>
  <c r="K60" i="833"/>
  <c r="K68" i="833" s="1"/>
  <c r="K13" i="833" s="1"/>
  <c r="J68" i="833"/>
  <c r="J13" i="833" s="1"/>
  <c r="K73" i="833"/>
  <c r="K127" i="833"/>
  <c r="J404" i="833"/>
  <c r="J22" i="833" s="1"/>
  <c r="I418" i="833"/>
  <c r="J418" i="833" s="1"/>
  <c r="J426" i="833" s="1"/>
  <c r="J23" i="833" s="1"/>
  <c r="H418" i="833"/>
  <c r="K211" i="833"/>
  <c r="I398" i="833"/>
  <c r="J398" i="833" s="1"/>
  <c r="H398" i="833"/>
  <c r="I346" i="833"/>
  <c r="J346" i="833" s="1"/>
  <c r="H346" i="833"/>
  <c r="K346" i="833" s="1"/>
  <c r="K62" i="833"/>
  <c r="H426" i="833"/>
  <c r="H23" i="833" s="1"/>
  <c r="K12" i="834"/>
  <c r="I102" i="834"/>
  <c r="J102" i="834" s="1"/>
  <c r="H102" i="834"/>
  <c r="J260" i="833"/>
  <c r="J17" i="833" s="1"/>
  <c r="K91" i="833"/>
  <c r="K86" i="833"/>
  <c r="K187" i="833"/>
  <c r="K444" i="833"/>
  <c r="G448" i="833"/>
  <c r="I500" i="833"/>
  <c r="J500" i="833" s="1"/>
  <c r="J508" i="833" s="1"/>
  <c r="J26" i="833" s="1"/>
  <c r="H500" i="833"/>
  <c r="H82" i="833"/>
  <c r="H14" i="833" s="1"/>
  <c r="K219" i="833"/>
  <c r="K260" i="833" s="1"/>
  <c r="K17" i="833" s="1"/>
  <c r="K511" i="833"/>
  <c r="H538" i="833"/>
  <c r="H27" i="833" s="1"/>
  <c r="K547" i="833"/>
  <c r="K38" i="834"/>
  <c r="K166" i="834"/>
  <c r="K38" i="835"/>
  <c r="G363" i="835"/>
  <c r="K362" i="835"/>
  <c r="H44" i="833"/>
  <c r="K44" i="833" s="1"/>
  <c r="K399" i="833"/>
  <c r="G185" i="835"/>
  <c r="K184" i="835"/>
  <c r="H68" i="833"/>
  <c r="H13" i="833" s="1"/>
  <c r="I91" i="833"/>
  <c r="J91" i="833" s="1"/>
  <c r="J106" i="833" s="1"/>
  <c r="J15" i="833" s="1"/>
  <c r="K344" i="833"/>
  <c r="I376" i="833"/>
  <c r="J376" i="833" s="1"/>
  <c r="K376" i="833" s="1"/>
  <c r="K417" i="833"/>
  <c r="I421" i="833"/>
  <c r="J421" i="833" s="1"/>
  <c r="I527" i="833"/>
  <c r="J527" i="833" s="1"/>
  <c r="H527" i="833"/>
  <c r="K527" i="833" s="1"/>
  <c r="I535" i="833"/>
  <c r="J535" i="833" s="1"/>
  <c r="K535" i="833" s="1"/>
  <c r="K99" i="834"/>
  <c r="I186" i="834"/>
  <c r="J186" i="834" s="1"/>
  <c r="H186" i="834"/>
  <c r="K186" i="834" s="1"/>
  <c r="H243" i="834"/>
  <c r="K243" i="834" s="1"/>
  <c r="H284" i="835"/>
  <c r="I284" i="835"/>
  <c r="J284" i="835" s="1"/>
  <c r="H89" i="833"/>
  <c r="K89" i="833" s="1"/>
  <c r="H106" i="833"/>
  <c r="H15" i="833" s="1"/>
  <c r="H158" i="833"/>
  <c r="H214" i="833" s="1"/>
  <c r="H16" i="833" s="1"/>
  <c r="K263" i="833"/>
  <c r="K291" i="833"/>
  <c r="K304" i="833"/>
  <c r="G330" i="833"/>
  <c r="K358" i="833"/>
  <c r="H560" i="833"/>
  <c r="K560" i="833" s="1"/>
  <c r="I125" i="834"/>
  <c r="J125" i="834" s="1"/>
  <c r="J130" i="834" s="1"/>
  <c r="J16" i="834" s="1"/>
  <c r="H125" i="834"/>
  <c r="I246" i="834"/>
  <c r="J246" i="834" s="1"/>
  <c r="H246" i="834"/>
  <c r="K246" i="834" s="1"/>
  <c r="I494" i="833"/>
  <c r="J494" i="833" s="1"/>
  <c r="H494" i="833"/>
  <c r="K494" i="833" s="1"/>
  <c r="G41" i="833"/>
  <c r="J214" i="833"/>
  <c r="J16" i="833" s="1"/>
  <c r="G282" i="833"/>
  <c r="K300" i="833"/>
  <c r="K326" i="833"/>
  <c r="G373" i="833"/>
  <c r="K396" i="833"/>
  <c r="I449" i="833"/>
  <c r="J449" i="833" s="1"/>
  <c r="K449" i="833" s="1"/>
  <c r="K432" i="833"/>
  <c r="K473" i="833"/>
  <c r="K484" i="833"/>
  <c r="K526" i="833"/>
  <c r="K69" i="834"/>
  <c r="I163" i="834"/>
  <c r="J163" i="834" s="1"/>
  <c r="H163" i="834"/>
  <c r="H154" i="835"/>
  <c r="H13" i="835" s="1"/>
  <c r="K250" i="835"/>
  <c r="K277" i="835"/>
  <c r="I457" i="833"/>
  <c r="J457" i="833" s="1"/>
  <c r="H457" i="833"/>
  <c r="I503" i="833"/>
  <c r="J503" i="833" s="1"/>
  <c r="H503" i="833"/>
  <c r="K126" i="834"/>
  <c r="K36" i="835"/>
  <c r="I288" i="835"/>
  <c r="J288" i="835" s="1"/>
  <c r="J298" i="835" s="1"/>
  <c r="J20" i="835" s="1"/>
  <c r="H288" i="835"/>
  <c r="H92" i="833"/>
  <c r="K92" i="833" s="1"/>
  <c r="H211" i="833"/>
  <c r="G342" i="833"/>
  <c r="G466" i="833"/>
  <c r="K464" i="833"/>
  <c r="K474" i="833"/>
  <c r="K485" i="833"/>
  <c r="I565" i="833"/>
  <c r="J565" i="833" s="1"/>
  <c r="H565" i="833"/>
  <c r="K565" i="833" s="1"/>
  <c r="G97" i="834"/>
  <c r="K96" i="834"/>
  <c r="J122" i="834"/>
  <c r="J15" i="834" s="1"/>
  <c r="K158" i="835"/>
  <c r="K178" i="835" s="1"/>
  <c r="H178" i="835"/>
  <c r="H14" i="835" s="1"/>
  <c r="K14" i="835" s="1"/>
  <c r="G193" i="835"/>
  <c r="K192" i="835"/>
  <c r="K46" i="833"/>
  <c r="K413" i="833"/>
  <c r="G557" i="833"/>
  <c r="K556" i="833"/>
  <c r="K109" i="834"/>
  <c r="K207" i="834"/>
  <c r="K226" i="834" s="1"/>
  <c r="K229" i="835"/>
  <c r="G251" i="835"/>
  <c r="K258" i="835"/>
  <c r="K397" i="833"/>
  <c r="K465" i="833"/>
  <c r="K480" i="833"/>
  <c r="K521" i="833"/>
  <c r="H530" i="833"/>
  <c r="K530" i="833" s="1"/>
  <c r="K50" i="834"/>
  <c r="K87" i="834"/>
  <c r="G89" i="834"/>
  <c r="K110" i="834"/>
  <c r="H122" i="834"/>
  <c r="H15" i="834" s="1"/>
  <c r="K15" i="834" s="1"/>
  <c r="H211" i="834"/>
  <c r="K211" i="834" s="1"/>
  <c r="K287" i="834"/>
  <c r="K298" i="834" s="1"/>
  <c r="K22" i="834" s="1"/>
  <c r="H298" i="835"/>
  <c r="H20" i="835" s="1"/>
  <c r="K229" i="834"/>
  <c r="J250" i="834"/>
  <c r="J20" i="834" s="1"/>
  <c r="H404" i="833"/>
  <c r="H22" i="833" s="1"/>
  <c r="K475" i="833"/>
  <c r="K486" i="833"/>
  <c r="K551" i="833"/>
  <c r="G568" i="833"/>
  <c r="K567" i="833"/>
  <c r="K46" i="834"/>
  <c r="K174" i="834"/>
  <c r="K289" i="835"/>
  <c r="H222" i="835"/>
  <c r="I222" i="835"/>
  <c r="J222" i="835" s="1"/>
  <c r="J226" i="835" s="1"/>
  <c r="J18" i="835" s="1"/>
  <c r="I461" i="833"/>
  <c r="J461" i="833" s="1"/>
  <c r="H461" i="833"/>
  <c r="K461" i="833" s="1"/>
  <c r="K481" i="833"/>
  <c r="K524" i="833"/>
  <c r="H586" i="833"/>
  <c r="H29" i="833" s="1"/>
  <c r="K577" i="833"/>
  <c r="K586" i="833" s="1"/>
  <c r="K29" i="833" s="1"/>
  <c r="G198" i="835"/>
  <c r="G193" i="834"/>
  <c r="G275" i="834"/>
  <c r="H298" i="834"/>
  <c r="H22" i="834" s="1"/>
  <c r="K239" i="835"/>
  <c r="H138" i="836"/>
  <c r="H13" i="836" s="1"/>
  <c r="K88" i="836"/>
  <c r="K138" i="836" s="1"/>
  <c r="K13" i="836" s="1"/>
  <c r="K320" i="836"/>
  <c r="K333" i="836"/>
  <c r="H385" i="836"/>
  <c r="H21" i="836" s="1"/>
  <c r="K21" i="836" s="1"/>
  <c r="J442" i="836"/>
  <c r="J23" i="836" s="1"/>
  <c r="K381" i="835"/>
  <c r="H82" i="836"/>
  <c r="H12" i="836" s="1"/>
  <c r="K38" i="836"/>
  <c r="G405" i="836"/>
  <c r="K404" i="836"/>
  <c r="K17" i="836"/>
  <c r="J138" i="836"/>
  <c r="J13" i="836" s="1"/>
  <c r="K108" i="836"/>
  <c r="I239" i="836"/>
  <c r="J239" i="836" s="1"/>
  <c r="J254" i="836" s="1"/>
  <c r="J16" i="836" s="1"/>
  <c r="H239" i="836"/>
  <c r="K239" i="836" s="1"/>
  <c r="K276" i="836"/>
  <c r="G299" i="836"/>
  <c r="G359" i="836"/>
  <c r="K358" i="836"/>
  <c r="G156" i="834"/>
  <c r="K47" i="835"/>
  <c r="K154" i="835" s="1"/>
  <c r="K13" i="835" s="1"/>
  <c r="K241" i="835"/>
  <c r="H346" i="835"/>
  <c r="H22" i="835" s="1"/>
  <c r="K385" i="835"/>
  <c r="K78" i="836"/>
  <c r="I250" i="836"/>
  <c r="J250" i="836" s="1"/>
  <c r="H250" i="836"/>
  <c r="K267" i="836"/>
  <c r="J346" i="836"/>
  <c r="J19" i="836" s="1"/>
  <c r="K317" i="836"/>
  <c r="J219" i="835"/>
  <c r="J17" i="835" s="1"/>
  <c r="K17" i="835" s="1"/>
  <c r="H202" i="836"/>
  <c r="H14" i="836" s="1"/>
  <c r="K14" i="836" s="1"/>
  <c r="I230" i="836"/>
  <c r="J230" i="836" s="1"/>
  <c r="J233" i="836" s="1"/>
  <c r="J15" i="836" s="1"/>
  <c r="H230" i="836"/>
  <c r="K230" i="836" s="1"/>
  <c r="I329" i="836"/>
  <c r="J329" i="836" s="1"/>
  <c r="H329" i="836"/>
  <c r="K329" i="836" s="1"/>
  <c r="I143" i="837"/>
  <c r="J143" i="837" s="1"/>
  <c r="H143" i="837"/>
  <c r="K143" i="837" s="1"/>
  <c r="H296" i="834"/>
  <c r="K296" i="834" s="1"/>
  <c r="K205" i="835"/>
  <c r="K242" i="835"/>
  <c r="J346" i="835"/>
  <c r="J22" i="835" s="1"/>
  <c r="K375" i="835"/>
  <c r="K394" i="835" s="1"/>
  <c r="K24" i="835" s="1"/>
  <c r="J82" i="836"/>
  <c r="J12" i="836" s="1"/>
  <c r="K258" i="836"/>
  <c r="K274" i="836" s="1"/>
  <c r="K304" i="836"/>
  <c r="K309" i="836"/>
  <c r="K360" i="836"/>
  <c r="G341" i="838"/>
  <c r="K339" i="838"/>
  <c r="K245" i="834"/>
  <c r="K215" i="835"/>
  <c r="K237" i="835"/>
  <c r="K280" i="835"/>
  <c r="K286" i="835"/>
  <c r="K140" i="836"/>
  <c r="K202" i="836" s="1"/>
  <c r="K228" i="836"/>
  <c r="K305" i="836"/>
  <c r="K324" i="836"/>
  <c r="I310" i="835"/>
  <c r="J310" i="835" s="1"/>
  <c r="J322" i="835" s="1"/>
  <c r="J21" i="835" s="1"/>
  <c r="H310" i="835"/>
  <c r="I337" i="836"/>
  <c r="J337" i="836" s="1"/>
  <c r="H337" i="836"/>
  <c r="K337" i="836" s="1"/>
  <c r="G282" i="838"/>
  <c r="K280" i="838"/>
  <c r="H281" i="835"/>
  <c r="K281" i="835" s="1"/>
  <c r="K307" i="835"/>
  <c r="K55" i="837"/>
  <c r="J82" i="837"/>
  <c r="J12" i="837" s="1"/>
  <c r="K189" i="837"/>
  <c r="G212" i="837"/>
  <c r="K233" i="835"/>
  <c r="K249" i="835"/>
  <c r="K276" i="835"/>
  <c r="K311" i="835"/>
  <c r="K327" i="835"/>
  <c r="K346" i="835" s="1"/>
  <c r="K355" i="835"/>
  <c r="K361" i="835"/>
  <c r="J394" i="835"/>
  <c r="J24" i="835" s="1"/>
  <c r="G355" i="836"/>
  <c r="K354" i="836"/>
  <c r="I423" i="836"/>
  <c r="J423" i="836" s="1"/>
  <c r="H423" i="836"/>
  <c r="G251" i="838"/>
  <c r="K229" i="838"/>
  <c r="K206" i="836"/>
  <c r="H233" i="836"/>
  <c r="H15" i="836" s="1"/>
  <c r="K15" i="836" s="1"/>
  <c r="K194" i="837"/>
  <c r="K210" i="837"/>
  <c r="J274" i="837"/>
  <c r="J20" i="837" s="1"/>
  <c r="I308" i="837"/>
  <c r="J308" i="837" s="1"/>
  <c r="J312" i="837" s="1"/>
  <c r="J22" i="837" s="1"/>
  <c r="H308" i="837"/>
  <c r="K171" i="838"/>
  <c r="J106" i="839"/>
  <c r="J14" i="839" s="1"/>
  <c r="G238" i="839"/>
  <c r="K237" i="839"/>
  <c r="K119" i="840"/>
  <c r="H280" i="840"/>
  <c r="K280" i="840" s="1"/>
  <c r="I280" i="840"/>
  <c r="J280" i="840" s="1"/>
  <c r="K278" i="835"/>
  <c r="K241" i="836"/>
  <c r="K336" i="836"/>
  <c r="K422" i="836"/>
  <c r="K119" i="837"/>
  <c r="K240" i="837"/>
  <c r="H82" i="838"/>
  <c r="H12" i="838" s="1"/>
  <c r="H154" i="838"/>
  <c r="H14" i="838" s="1"/>
  <c r="K145" i="838"/>
  <c r="K154" i="838" s="1"/>
  <c r="K14" i="838" s="1"/>
  <c r="H226" i="844"/>
  <c r="H17" i="844" s="1"/>
  <c r="K17" i="844" s="1"/>
  <c r="K212" i="844"/>
  <c r="K226" i="844" s="1"/>
  <c r="I356" i="838"/>
  <c r="J356" i="838" s="1"/>
  <c r="J370" i="838" s="1"/>
  <c r="J23" i="838" s="1"/>
  <c r="H356" i="838"/>
  <c r="K180" i="837"/>
  <c r="H294" i="837"/>
  <c r="H21" i="837" s="1"/>
  <c r="K277" i="837"/>
  <c r="J82" i="838"/>
  <c r="J12" i="838" s="1"/>
  <c r="K92" i="838"/>
  <c r="G202" i="838"/>
  <c r="J226" i="838"/>
  <c r="J17" i="838" s="1"/>
  <c r="K219" i="838"/>
  <c r="G325" i="838"/>
  <c r="K324" i="838"/>
  <c r="K334" i="838"/>
  <c r="I210" i="839"/>
  <c r="J210" i="839" s="1"/>
  <c r="K298" i="837"/>
  <c r="K138" i="838"/>
  <c r="K13" i="838" s="1"/>
  <c r="H226" i="838"/>
  <c r="H17" i="838" s="1"/>
  <c r="G285" i="838"/>
  <c r="K284" i="838"/>
  <c r="G344" i="838"/>
  <c r="K343" i="838"/>
  <c r="K355" i="838"/>
  <c r="H82" i="839"/>
  <c r="H12" i="839" s="1"/>
  <c r="G154" i="839"/>
  <c r="K263" i="839"/>
  <c r="H394" i="835"/>
  <c r="H24" i="835" s="1"/>
  <c r="K168" i="837"/>
  <c r="H187" i="837"/>
  <c r="H17" i="837" s="1"/>
  <c r="K17" i="837" s="1"/>
  <c r="K173" i="837"/>
  <c r="K202" i="837"/>
  <c r="I269" i="837"/>
  <c r="J269" i="837" s="1"/>
  <c r="H269" i="837"/>
  <c r="K269" i="837" s="1"/>
  <c r="I285" i="837"/>
  <c r="J285" i="837" s="1"/>
  <c r="H285" i="837"/>
  <c r="H346" i="837"/>
  <c r="H23" i="837" s="1"/>
  <c r="K315" i="837"/>
  <c r="K346" i="837" s="1"/>
  <c r="K23" i="837" s="1"/>
  <c r="I250" i="837"/>
  <c r="J250" i="837" s="1"/>
  <c r="J258" i="837" s="1"/>
  <c r="J19" i="837" s="1"/>
  <c r="H250" i="837"/>
  <c r="I266" i="837"/>
  <c r="J266" i="837" s="1"/>
  <c r="H266" i="837"/>
  <c r="K266" i="837" s="1"/>
  <c r="K82" i="838"/>
  <c r="K12" i="838" s="1"/>
  <c r="G182" i="838"/>
  <c r="J138" i="841"/>
  <c r="J13" i="841" s="1"/>
  <c r="K108" i="841"/>
  <c r="H91" i="837"/>
  <c r="H13" i="837" s="1"/>
  <c r="K115" i="837"/>
  <c r="K152" i="837"/>
  <c r="K169" i="837"/>
  <c r="K232" i="837"/>
  <c r="K180" i="838"/>
  <c r="K195" i="838"/>
  <c r="G306" i="838"/>
  <c r="K304" i="838"/>
  <c r="H370" i="838"/>
  <c r="H23" i="838" s="1"/>
  <c r="K348" i="838"/>
  <c r="K115" i="839"/>
  <c r="K382" i="836"/>
  <c r="K385" i="836" s="1"/>
  <c r="H82" i="837"/>
  <c r="H12" i="837" s="1"/>
  <c r="K38" i="837"/>
  <c r="K82" i="837" s="1"/>
  <c r="K12" i="837" s="1"/>
  <c r="K94" i="837"/>
  <c r="H106" i="837"/>
  <c r="H14" i="837" s="1"/>
  <c r="G134" i="837"/>
  <c r="K198" i="837"/>
  <c r="K218" i="837"/>
  <c r="K223" i="837"/>
  <c r="H274" i="837"/>
  <c r="H20" i="837" s="1"/>
  <c r="K20" i="837" s="1"/>
  <c r="K260" i="837"/>
  <c r="K274" i="837" s="1"/>
  <c r="J138" i="838"/>
  <c r="J13" i="838" s="1"/>
  <c r="K108" i="838"/>
  <c r="K106" i="839"/>
  <c r="K14" i="839" s="1"/>
  <c r="K91" i="837"/>
  <c r="K13" i="837" s="1"/>
  <c r="K145" i="837"/>
  <c r="G154" i="837"/>
  <c r="G289" i="838"/>
  <c r="K287" i="838"/>
  <c r="I296" i="840"/>
  <c r="J296" i="840" s="1"/>
  <c r="H296" i="840"/>
  <c r="J91" i="837"/>
  <c r="J13" i="837" s="1"/>
  <c r="K96" i="837"/>
  <c r="K110" i="837"/>
  <c r="K219" i="837"/>
  <c r="K261" i="837"/>
  <c r="I288" i="837"/>
  <c r="J288" i="837" s="1"/>
  <c r="K288" i="837" s="1"/>
  <c r="K301" i="837"/>
  <c r="K84" i="839"/>
  <c r="K91" i="839" s="1"/>
  <c r="K13" i="839" s="1"/>
  <c r="H91" i="839"/>
  <c r="H13" i="839" s="1"/>
  <c r="I277" i="840"/>
  <c r="J277" i="840" s="1"/>
  <c r="H277" i="840"/>
  <c r="K277" i="840" s="1"/>
  <c r="I191" i="838"/>
  <c r="J191" i="838" s="1"/>
  <c r="K214" i="838"/>
  <c r="K353" i="838"/>
  <c r="J82" i="839"/>
  <c r="J12" i="839" s="1"/>
  <c r="G134" i="839"/>
  <c r="K171" i="839"/>
  <c r="K188" i="839"/>
  <c r="J282" i="840"/>
  <c r="J21" i="840" s="1"/>
  <c r="K141" i="839"/>
  <c r="G143" i="839"/>
  <c r="J346" i="839"/>
  <c r="J23" i="839" s="1"/>
  <c r="K208" i="840"/>
  <c r="K336" i="841"/>
  <c r="H246" i="837"/>
  <c r="K246" i="837" s="1"/>
  <c r="H322" i="837"/>
  <c r="K322" i="837" s="1"/>
  <c r="K114" i="840"/>
  <c r="G154" i="840"/>
  <c r="K289" i="840"/>
  <c r="J322" i="840"/>
  <c r="J23" i="840" s="1"/>
  <c r="K268" i="837"/>
  <c r="K145" i="839"/>
  <c r="K227" i="839"/>
  <c r="K307" i="839"/>
  <c r="G309" i="839"/>
  <c r="K129" i="840"/>
  <c r="K301" i="840"/>
  <c r="K180" i="839"/>
  <c r="G203" i="839"/>
  <c r="I287" i="839"/>
  <c r="J287" i="839" s="1"/>
  <c r="H287" i="839"/>
  <c r="K287" i="839" s="1"/>
  <c r="I293" i="840"/>
  <c r="J293" i="840" s="1"/>
  <c r="J298" i="840" s="1"/>
  <c r="J22" i="840" s="1"/>
  <c r="H293" i="840"/>
  <c r="G154" i="843"/>
  <c r="K146" i="843"/>
  <c r="H243" i="837"/>
  <c r="K243" i="837" s="1"/>
  <c r="H305" i="837"/>
  <c r="K305" i="837" s="1"/>
  <c r="K38" i="839"/>
  <c r="K82" i="839" s="1"/>
  <c r="K12" i="839" s="1"/>
  <c r="H106" i="839"/>
  <c r="H14" i="839" s="1"/>
  <c r="J178" i="839"/>
  <c r="J17" i="839" s="1"/>
  <c r="K126" i="840"/>
  <c r="I143" i="840"/>
  <c r="J143" i="840" s="1"/>
  <c r="H143" i="840"/>
  <c r="K285" i="840"/>
  <c r="K233" i="839"/>
  <c r="G242" i="839"/>
  <c r="K240" i="839"/>
  <c r="H106" i="843"/>
  <c r="H14" i="843" s="1"/>
  <c r="K96" i="843"/>
  <c r="K106" i="843" s="1"/>
  <c r="K14" i="843" s="1"/>
  <c r="K213" i="838"/>
  <c r="K226" i="838" s="1"/>
  <c r="K258" i="838"/>
  <c r="K165" i="839"/>
  <c r="K178" i="839" s="1"/>
  <c r="H178" i="839"/>
  <c r="H17" i="839" s="1"/>
  <c r="K17" i="839" s="1"/>
  <c r="K192" i="839"/>
  <c r="I261" i="839"/>
  <c r="J261" i="839" s="1"/>
  <c r="K261" i="839" s="1"/>
  <c r="I332" i="839"/>
  <c r="J332" i="839" s="1"/>
  <c r="H332" i="839"/>
  <c r="K332" i="839" s="1"/>
  <c r="K82" i="840"/>
  <c r="K12" i="840" s="1"/>
  <c r="H178" i="840"/>
  <c r="H17" i="840" s="1"/>
  <c r="K17" i="840" s="1"/>
  <c r="K166" i="840"/>
  <c r="K203" i="840"/>
  <c r="J266" i="840"/>
  <c r="J20" i="840" s="1"/>
  <c r="H82" i="841"/>
  <c r="H12" i="841" s="1"/>
  <c r="K144" i="841"/>
  <c r="G286" i="841"/>
  <c r="K285" i="841"/>
  <c r="H267" i="839"/>
  <c r="H20" i="839" s="1"/>
  <c r="I308" i="840"/>
  <c r="J308" i="840" s="1"/>
  <c r="H308" i="840"/>
  <c r="K308" i="840" s="1"/>
  <c r="J250" i="842"/>
  <c r="J19" i="842" s="1"/>
  <c r="K147" i="839"/>
  <c r="H235" i="839"/>
  <c r="K235" i="839" s="1"/>
  <c r="K241" i="839"/>
  <c r="K257" i="839"/>
  <c r="G284" i="839"/>
  <c r="K283" i="839"/>
  <c r="I312" i="839"/>
  <c r="J312" i="839" s="1"/>
  <c r="H312" i="839"/>
  <c r="K312" i="839" s="1"/>
  <c r="K331" i="839"/>
  <c r="K346" i="839" s="1"/>
  <c r="K23" i="839" s="1"/>
  <c r="H106" i="840"/>
  <c r="H14" i="840" s="1"/>
  <c r="K96" i="840"/>
  <c r="K94" i="840"/>
  <c r="G134" i="840"/>
  <c r="K165" i="840"/>
  <c r="K276" i="840"/>
  <c r="K300" i="840"/>
  <c r="K151" i="842"/>
  <c r="K134" i="843"/>
  <c r="K252" i="839"/>
  <c r="G235" i="840"/>
  <c r="K213" i="841"/>
  <c r="K270" i="841"/>
  <c r="G325" i="841"/>
  <c r="K324" i="841"/>
  <c r="K148" i="842"/>
  <c r="K84" i="843"/>
  <c r="K91" i="843" s="1"/>
  <c r="K13" i="843" s="1"/>
  <c r="K190" i="843"/>
  <c r="K270" i="839"/>
  <c r="H346" i="839"/>
  <c r="H23" i="839" s="1"/>
  <c r="K302" i="841"/>
  <c r="H178" i="842"/>
  <c r="H17" i="842" s="1"/>
  <c r="K17" i="842" s="1"/>
  <c r="J91" i="843"/>
  <c r="J13" i="843" s="1"/>
  <c r="K329" i="839"/>
  <c r="K146" i="840"/>
  <c r="K38" i="841"/>
  <c r="K55" i="841"/>
  <c r="K162" i="841"/>
  <c r="G349" i="841"/>
  <c r="K348" i="841"/>
  <c r="K145" i="842"/>
  <c r="K203" i="842"/>
  <c r="I240" i="842"/>
  <c r="J240" i="842" s="1"/>
  <c r="H240" i="842"/>
  <c r="K240" i="842" s="1"/>
  <c r="K119" i="843"/>
  <c r="K139" i="843" s="1"/>
  <c r="K178" i="843"/>
  <c r="H208" i="840"/>
  <c r="H18" i="840" s="1"/>
  <c r="K18" i="840" s="1"/>
  <c r="K266" i="841"/>
  <c r="I309" i="841"/>
  <c r="J309" i="841" s="1"/>
  <c r="H309" i="841"/>
  <c r="K363" i="841"/>
  <c r="K94" i="842"/>
  <c r="K106" i="842" s="1"/>
  <c r="K14" i="842" s="1"/>
  <c r="K271" i="842"/>
  <c r="K55" i="843"/>
  <c r="K82" i="843" s="1"/>
  <c r="K12" i="843" s="1"/>
  <c r="J82" i="843"/>
  <c r="J12" i="843" s="1"/>
  <c r="K186" i="843"/>
  <c r="K202" i="843"/>
  <c r="I235" i="843"/>
  <c r="J235" i="843" s="1"/>
  <c r="H235" i="843"/>
  <c r="K235" i="843" s="1"/>
  <c r="K260" i="839"/>
  <c r="K311" i="839"/>
  <c r="H91" i="840"/>
  <c r="H13" i="840" s="1"/>
  <c r="H242" i="840"/>
  <c r="K242" i="840" s="1"/>
  <c r="H258" i="840"/>
  <c r="H261" i="840"/>
  <c r="K261" i="840" s="1"/>
  <c r="H298" i="840"/>
  <c r="H22" i="840" s="1"/>
  <c r="H154" i="841"/>
  <c r="H14" i="841" s="1"/>
  <c r="G182" i="841"/>
  <c r="G290" i="841"/>
  <c r="K288" i="841"/>
  <c r="G306" i="841"/>
  <c r="K304" i="841"/>
  <c r="G134" i="842"/>
  <c r="H244" i="842"/>
  <c r="K244" i="842" s="1"/>
  <c r="H302" i="842"/>
  <c r="H91" i="843"/>
  <c r="H13" i="843" s="1"/>
  <c r="K86" i="843"/>
  <c r="I134" i="843"/>
  <c r="J134" i="843" s="1"/>
  <c r="J139" i="843" s="1"/>
  <c r="J15" i="843" s="1"/>
  <c r="K279" i="840"/>
  <c r="K282" i="840" s="1"/>
  <c r="K163" i="841"/>
  <c r="G251" i="841"/>
  <c r="K356" i="841"/>
  <c r="K84" i="842"/>
  <c r="K91" i="842" s="1"/>
  <c r="K13" i="842" s="1"/>
  <c r="H91" i="842"/>
  <c r="H13" i="842" s="1"/>
  <c r="K121" i="842"/>
  <c r="I284" i="842"/>
  <c r="J284" i="842" s="1"/>
  <c r="H284" i="842"/>
  <c r="K182" i="843"/>
  <c r="H210" i="840"/>
  <c r="H226" i="841"/>
  <c r="H17" i="841" s="1"/>
  <c r="K17" i="841" s="1"/>
  <c r="H82" i="842"/>
  <c r="H12" i="842" s="1"/>
  <c r="G143" i="842"/>
  <c r="K142" i="842"/>
  <c r="K208" i="842"/>
  <c r="I305" i="842"/>
  <c r="J305" i="842" s="1"/>
  <c r="J308" i="842" s="1"/>
  <c r="J22" i="842" s="1"/>
  <c r="H305" i="842"/>
  <c r="K210" i="843"/>
  <c r="H138" i="841"/>
  <c r="H13" i="841" s="1"/>
  <c r="K177" i="841"/>
  <c r="J91" i="842"/>
  <c r="J13" i="842" s="1"/>
  <c r="H258" i="842"/>
  <c r="G318" i="842"/>
  <c r="K315" i="842"/>
  <c r="H139" i="843"/>
  <c r="H15" i="843" s="1"/>
  <c r="G344" i="841"/>
  <c r="K342" i="841"/>
  <c r="J208" i="842"/>
  <c r="J18" i="842" s="1"/>
  <c r="I237" i="842"/>
  <c r="J237" i="842" s="1"/>
  <c r="H237" i="842"/>
  <c r="G287" i="842"/>
  <c r="K286" i="842"/>
  <c r="K138" i="844"/>
  <c r="K13" i="844" s="1"/>
  <c r="K225" i="843"/>
  <c r="K238" i="843"/>
  <c r="G261" i="843"/>
  <c r="K260" i="843"/>
  <c r="K292" i="843"/>
  <c r="G182" i="844"/>
  <c r="K159" i="844"/>
  <c r="K283" i="844"/>
  <c r="K339" i="844"/>
  <c r="K82" i="846"/>
  <c r="K12" i="846" s="1"/>
  <c r="G154" i="842"/>
  <c r="H82" i="843"/>
  <c r="H12" i="843" s="1"/>
  <c r="H285" i="843"/>
  <c r="H21" i="843" s="1"/>
  <c r="K21" i="843" s="1"/>
  <c r="K108" i="844"/>
  <c r="J138" i="844"/>
  <c r="J13" i="844" s="1"/>
  <c r="J226" i="844"/>
  <c r="J17" i="844" s="1"/>
  <c r="J370" i="844"/>
  <c r="J23" i="844" s="1"/>
  <c r="G143" i="845"/>
  <c r="K142" i="845"/>
  <c r="H178" i="843"/>
  <c r="H17" i="843" s="1"/>
  <c r="K17" i="843" s="1"/>
  <c r="G203" i="843"/>
  <c r="G258" i="843"/>
  <c r="K257" i="843"/>
  <c r="I316" i="843"/>
  <c r="J316" i="843" s="1"/>
  <c r="J322" i="843" s="1"/>
  <c r="J23" i="843" s="1"/>
  <c r="H316" i="843"/>
  <c r="K258" i="844"/>
  <c r="K94" i="845"/>
  <c r="K106" i="845" s="1"/>
  <c r="K14" i="845" s="1"/>
  <c r="K121" i="845"/>
  <c r="K178" i="845"/>
  <c r="G283" i="841"/>
  <c r="G364" i="841"/>
  <c r="K285" i="843"/>
  <c r="K288" i="843"/>
  <c r="G296" i="843"/>
  <c r="K295" i="843"/>
  <c r="H209" i="844"/>
  <c r="H16" i="844" s="1"/>
  <c r="K16" i="844" s="1"/>
  <c r="K302" i="844"/>
  <c r="K148" i="845"/>
  <c r="K189" i="845"/>
  <c r="K208" i="845" s="1"/>
  <c r="H208" i="842"/>
  <c r="H18" i="842" s="1"/>
  <c r="K227" i="843"/>
  <c r="K309" i="843"/>
  <c r="H154" i="844"/>
  <c r="H14" i="844" s="1"/>
  <c r="K202" i="844"/>
  <c r="I309" i="844"/>
  <c r="J309" i="844" s="1"/>
  <c r="H309" i="844"/>
  <c r="K309" i="844" s="1"/>
  <c r="I235" i="845"/>
  <c r="J235" i="845" s="1"/>
  <c r="H235" i="845"/>
  <c r="K250" i="847"/>
  <c r="K82" i="844"/>
  <c r="K12" i="844" s="1"/>
  <c r="K236" i="842"/>
  <c r="K300" i="842"/>
  <c r="K154" i="844"/>
  <c r="K14" i="844" s="1"/>
  <c r="I286" i="844"/>
  <c r="J286" i="844" s="1"/>
  <c r="K286" i="844" s="1"/>
  <c r="H333" i="844"/>
  <c r="H21" i="844" s="1"/>
  <c r="K82" i="845"/>
  <c r="K12" i="845" s="1"/>
  <c r="I154" i="845"/>
  <c r="J154" i="845" s="1"/>
  <c r="H154" i="845"/>
  <c r="K154" i="845" s="1"/>
  <c r="K310" i="845"/>
  <c r="G311" i="845"/>
  <c r="K180" i="843"/>
  <c r="J82" i="844"/>
  <c r="J12" i="844" s="1"/>
  <c r="K55" i="844"/>
  <c r="H210" i="842"/>
  <c r="G242" i="843"/>
  <c r="K241" i="843"/>
  <c r="K313" i="843"/>
  <c r="I191" i="844"/>
  <c r="J191" i="844" s="1"/>
  <c r="J209" i="844" s="1"/>
  <c r="J16" i="844" s="1"/>
  <c r="H191" i="844"/>
  <c r="K191" i="844" s="1"/>
  <c r="K209" i="844" s="1"/>
  <c r="K336" i="844"/>
  <c r="H349" i="844"/>
  <c r="K349" i="844" s="1"/>
  <c r="I349" i="844"/>
  <c r="J349" i="844" s="1"/>
  <c r="K364" i="844"/>
  <c r="K84" i="845"/>
  <c r="K91" i="845" s="1"/>
  <c r="K13" i="845" s="1"/>
  <c r="J91" i="845"/>
  <c r="J13" i="845" s="1"/>
  <c r="I203" i="845"/>
  <c r="J203" i="845" s="1"/>
  <c r="H203" i="845"/>
  <c r="K203" i="845" s="1"/>
  <c r="G251" i="844"/>
  <c r="K301" i="843"/>
  <c r="H325" i="844"/>
  <c r="I325" i="844"/>
  <c r="J325" i="844" s="1"/>
  <c r="J82" i="845"/>
  <c r="J12" i="845" s="1"/>
  <c r="J208" i="845"/>
  <c r="J18" i="845" s="1"/>
  <c r="I284" i="845"/>
  <c r="J284" i="845" s="1"/>
  <c r="J291" i="845" s="1"/>
  <c r="J21" i="845" s="1"/>
  <c r="H284" i="845"/>
  <c r="K284" i="845" s="1"/>
  <c r="I332" i="845"/>
  <c r="J332" i="845" s="1"/>
  <c r="J346" i="845" s="1"/>
  <c r="J23" i="845" s="1"/>
  <c r="H332" i="845"/>
  <c r="K332" i="845" s="1"/>
  <c r="I143" i="846"/>
  <c r="J143" i="846" s="1"/>
  <c r="G203" i="846"/>
  <c r="K180" i="846"/>
  <c r="K192" i="846"/>
  <c r="J282" i="846"/>
  <c r="J21" i="846" s="1"/>
  <c r="H154" i="847"/>
  <c r="H13" i="847" s="1"/>
  <c r="H223" i="847"/>
  <c r="K223" i="847" s="1"/>
  <c r="K299" i="847"/>
  <c r="K328" i="847"/>
  <c r="K335" i="847"/>
  <c r="J333" i="844"/>
  <c r="J21" i="844" s="1"/>
  <c r="G344" i="844"/>
  <c r="G134" i="845"/>
  <c r="K145" i="845"/>
  <c r="K97" i="846"/>
  <c r="K106" i="846" s="1"/>
  <c r="K14" i="846" s="1"/>
  <c r="J178" i="846"/>
  <c r="J17" i="846" s="1"/>
  <c r="K17" i="846" s="1"/>
  <c r="G242" i="846"/>
  <c r="K241" i="846"/>
  <c r="G290" i="844"/>
  <c r="G306" i="844"/>
  <c r="K231" i="846"/>
  <c r="K254" i="846"/>
  <c r="G261" i="846"/>
  <c r="K260" i="846"/>
  <c r="K288" i="846"/>
  <c r="K296" i="846"/>
  <c r="K260" i="847"/>
  <c r="K270" i="845"/>
  <c r="I287" i="845"/>
  <c r="J287" i="845" s="1"/>
  <c r="H287" i="845"/>
  <c r="K287" i="845" s="1"/>
  <c r="I280" i="846"/>
  <c r="J280" i="846" s="1"/>
  <c r="H280" i="846"/>
  <c r="K280" i="846" s="1"/>
  <c r="K282" i="846" s="1"/>
  <c r="J250" i="847"/>
  <c r="J17" i="847" s="1"/>
  <c r="K331" i="847"/>
  <c r="G340" i="847"/>
  <c r="K338" i="847"/>
  <c r="H370" i="844"/>
  <c r="H23" i="844" s="1"/>
  <c r="K210" i="845"/>
  <c r="G242" i="845"/>
  <c r="K240" i="845"/>
  <c r="G258" i="845"/>
  <c r="K256" i="845"/>
  <c r="K153" i="846"/>
  <c r="K239" i="847"/>
  <c r="K253" i="847"/>
  <c r="H313" i="847"/>
  <c r="I313" i="847"/>
  <c r="J313" i="847" s="1"/>
  <c r="K227" i="845"/>
  <c r="K232" i="845"/>
  <c r="K324" i="845"/>
  <c r="K55" i="846"/>
  <c r="K227" i="846"/>
  <c r="H202" i="847"/>
  <c r="H14" i="847" s="1"/>
  <c r="G310" i="847"/>
  <c r="K307" i="847"/>
  <c r="K332" i="847"/>
  <c r="K252" i="845"/>
  <c r="I308" i="845"/>
  <c r="J308" i="845" s="1"/>
  <c r="H308" i="845"/>
  <c r="K308" i="845" s="1"/>
  <c r="H257" i="847"/>
  <c r="H18" i="847" s="1"/>
  <c r="K18" i="847" s="1"/>
  <c r="K254" i="847"/>
  <c r="H328" i="844"/>
  <c r="K328" i="844" s="1"/>
  <c r="K228" i="845"/>
  <c r="H238" i="846"/>
  <c r="K238" i="846" s="1"/>
  <c r="H282" i="846"/>
  <c r="H21" i="846" s="1"/>
  <c r="K21" i="846" s="1"/>
  <c r="K202" i="847"/>
  <c r="K14" i="847" s="1"/>
  <c r="G216" i="847"/>
  <c r="I343" i="847"/>
  <c r="J343" i="847" s="1"/>
  <c r="H343" i="847"/>
  <c r="K343" i="847" s="1"/>
  <c r="K285" i="844"/>
  <c r="K324" i="844"/>
  <c r="K348" i="844"/>
  <c r="K363" i="844"/>
  <c r="K370" i="844" s="1"/>
  <c r="K23" i="844" s="1"/>
  <c r="G238" i="845"/>
  <c r="K237" i="845"/>
  <c r="K301" i="845"/>
  <c r="G134" i="846"/>
  <c r="K110" i="846"/>
  <c r="K224" i="845"/>
  <c r="K294" i="845"/>
  <c r="G258" i="846"/>
  <c r="K257" i="846"/>
  <c r="I282" i="847"/>
  <c r="J282" i="847" s="1"/>
  <c r="J286" i="847" s="1"/>
  <c r="J19" i="847" s="1"/>
  <c r="H282" i="847"/>
  <c r="I317" i="847"/>
  <c r="J317" i="847" s="1"/>
  <c r="H317" i="847"/>
  <c r="K317" i="847" s="1"/>
  <c r="K327" i="847"/>
  <c r="K334" i="847"/>
  <c r="K295" i="845"/>
  <c r="K91" i="846"/>
  <c r="K13" i="846" s="1"/>
  <c r="I261" i="845"/>
  <c r="J261" i="845" s="1"/>
  <c r="K261" i="845" s="1"/>
  <c r="H82" i="846"/>
  <c r="H12" i="846" s="1"/>
  <c r="G308" i="846"/>
  <c r="H286" i="847"/>
  <c r="H19" i="847" s="1"/>
  <c r="G293" i="846"/>
  <c r="H91" i="846"/>
  <c r="H13" i="846" s="1"/>
  <c r="G154" i="846"/>
  <c r="H43" i="847"/>
  <c r="H12" i="847" s="1"/>
  <c r="H250" i="847"/>
  <c r="H17" i="847" s="1"/>
  <c r="K69" i="847"/>
  <c r="H106" i="846"/>
  <c r="H14" i="846" s="1"/>
  <c r="K164" i="846"/>
  <c r="K178" i="846" s="1"/>
  <c r="H210" i="846"/>
  <c r="K47" i="847"/>
  <c r="K154" i="847" s="1"/>
  <c r="K13" i="847" s="1"/>
  <c r="G228" i="847"/>
  <c r="K325" i="847"/>
  <c r="K138" i="841" l="1"/>
  <c r="K13" i="841" s="1"/>
  <c r="I202" i="841"/>
  <c r="J202" i="841" s="1"/>
  <c r="K226" i="841"/>
  <c r="K154" i="841"/>
  <c r="K14" i="841" s="1"/>
  <c r="H328" i="841"/>
  <c r="K328" i="841" s="1"/>
  <c r="H191" i="841"/>
  <c r="I191" i="841"/>
  <c r="J191" i="841" s="1"/>
  <c r="J209" i="841" s="1"/>
  <c r="J16" i="841" s="1"/>
  <c r="K426" i="833"/>
  <c r="K23" i="833" s="1"/>
  <c r="J165" i="837"/>
  <c r="J16" i="837" s="1"/>
  <c r="K312" i="837"/>
  <c r="K22" i="837" s="1"/>
  <c r="H442" i="836"/>
  <c r="H23" i="836" s="1"/>
  <c r="K423" i="836"/>
  <c r="K442" i="836" s="1"/>
  <c r="K23" i="836" s="1"/>
  <c r="I299" i="836"/>
  <c r="J299" i="836" s="1"/>
  <c r="J302" i="836" s="1"/>
  <c r="J18" i="836" s="1"/>
  <c r="H299" i="836"/>
  <c r="K20" i="835"/>
  <c r="K125" i="834"/>
  <c r="K130" i="834" s="1"/>
  <c r="H130" i="834"/>
  <c r="H16" i="834" s="1"/>
  <c r="K16" i="834" s="1"/>
  <c r="K158" i="833"/>
  <c r="K214" i="833" s="1"/>
  <c r="K16" i="833" s="1"/>
  <c r="H310" i="847"/>
  <c r="I310" i="847"/>
  <c r="J310" i="847" s="1"/>
  <c r="J322" i="847" s="1"/>
  <c r="J20" i="847" s="1"/>
  <c r="K82" i="841"/>
  <c r="K12" i="841" s="1"/>
  <c r="H242" i="839"/>
  <c r="K242" i="839" s="1"/>
  <c r="I242" i="839"/>
  <c r="J242" i="839" s="1"/>
  <c r="K15" i="843"/>
  <c r="K187" i="837"/>
  <c r="I228" i="847"/>
  <c r="J228" i="847" s="1"/>
  <c r="J235" i="847" s="1"/>
  <c r="J16" i="847" s="1"/>
  <c r="H228" i="847"/>
  <c r="K19" i="847"/>
  <c r="K282" i="847"/>
  <c r="I216" i="847"/>
  <c r="J216" i="847" s="1"/>
  <c r="J218" i="847" s="1"/>
  <c r="J15" i="847" s="1"/>
  <c r="H216" i="847"/>
  <c r="H291" i="845"/>
  <c r="H21" i="845" s="1"/>
  <c r="K21" i="845" s="1"/>
  <c r="K18" i="842"/>
  <c r="I296" i="843"/>
  <c r="J296" i="843" s="1"/>
  <c r="J306" i="843" s="1"/>
  <c r="J22" i="843" s="1"/>
  <c r="H296" i="843"/>
  <c r="K237" i="842"/>
  <c r="H250" i="840"/>
  <c r="H19" i="840" s="1"/>
  <c r="K19" i="840" s="1"/>
  <c r="K210" i="840"/>
  <c r="I251" i="841"/>
  <c r="J251" i="841" s="1"/>
  <c r="J256" i="841" s="1"/>
  <c r="J18" i="841" s="1"/>
  <c r="H251" i="841"/>
  <c r="I290" i="841"/>
  <c r="J290" i="841" s="1"/>
  <c r="H290" i="841"/>
  <c r="I203" i="839"/>
  <c r="J203" i="839" s="1"/>
  <c r="J208" i="839" s="1"/>
  <c r="J18" i="839" s="1"/>
  <c r="H203" i="839"/>
  <c r="I154" i="837"/>
  <c r="J154" i="837" s="1"/>
  <c r="H154" i="837"/>
  <c r="I212" i="837"/>
  <c r="J212" i="837" s="1"/>
  <c r="J216" i="837" s="1"/>
  <c r="J18" i="837" s="1"/>
  <c r="H212" i="837"/>
  <c r="H346" i="836"/>
  <c r="H19" i="836" s="1"/>
  <c r="K19" i="836" s="1"/>
  <c r="K250" i="836"/>
  <c r="K254" i="836" s="1"/>
  <c r="K43" i="835"/>
  <c r="K12" i="835" s="1"/>
  <c r="I373" i="833"/>
  <c r="J373" i="833" s="1"/>
  <c r="J381" i="833" s="1"/>
  <c r="J21" i="833" s="1"/>
  <c r="H373" i="833"/>
  <c r="K418" i="833"/>
  <c r="I340" i="847"/>
  <c r="J340" i="847" s="1"/>
  <c r="J346" i="847" s="1"/>
  <c r="J21" i="847" s="1"/>
  <c r="H340" i="847"/>
  <c r="I242" i="846"/>
  <c r="J242" i="846" s="1"/>
  <c r="J250" i="846" s="1"/>
  <c r="J19" i="846" s="1"/>
  <c r="H242" i="846"/>
  <c r="H242" i="843"/>
  <c r="I242" i="843"/>
  <c r="J242" i="843" s="1"/>
  <c r="J250" i="843" s="1"/>
  <c r="J19" i="843" s="1"/>
  <c r="H208" i="845"/>
  <c r="H18" i="845" s="1"/>
  <c r="K18" i="845" s="1"/>
  <c r="K143" i="846"/>
  <c r="I318" i="842"/>
  <c r="J318" i="842" s="1"/>
  <c r="J322" i="842" s="1"/>
  <c r="J23" i="842" s="1"/>
  <c r="H318" i="842"/>
  <c r="K305" i="842"/>
  <c r="I182" i="841"/>
  <c r="J182" i="841" s="1"/>
  <c r="J187" i="841" s="1"/>
  <c r="J15" i="841" s="1"/>
  <c r="H182" i="841"/>
  <c r="H312" i="837"/>
  <c r="H22" i="837" s="1"/>
  <c r="K258" i="837"/>
  <c r="K308" i="837"/>
  <c r="K310" i="835"/>
  <c r="K322" i="835" s="1"/>
  <c r="K82" i="836"/>
  <c r="K12" i="836" s="1"/>
  <c r="K163" i="834"/>
  <c r="H254" i="836"/>
  <c r="H16" i="836" s="1"/>
  <c r="K16" i="836" s="1"/>
  <c r="K500" i="833"/>
  <c r="K102" i="834"/>
  <c r="I557" i="833"/>
  <c r="J557" i="833" s="1"/>
  <c r="J576" i="833" s="1"/>
  <c r="J28" i="833" s="1"/>
  <c r="H557" i="833"/>
  <c r="I359" i="836"/>
  <c r="J359" i="836" s="1"/>
  <c r="H359" i="836"/>
  <c r="J209" i="838"/>
  <c r="J16" i="838" s="1"/>
  <c r="H258" i="837"/>
  <c r="H19" i="837" s="1"/>
  <c r="K19" i="837" s="1"/>
  <c r="I306" i="838"/>
  <c r="J306" i="838" s="1"/>
  <c r="J314" i="838" s="1"/>
  <c r="J20" i="838" s="1"/>
  <c r="H306" i="838"/>
  <c r="I154" i="839"/>
  <c r="J154" i="839" s="1"/>
  <c r="H154" i="839"/>
  <c r="K154" i="839" s="1"/>
  <c r="I355" i="836"/>
  <c r="J355" i="836" s="1"/>
  <c r="H355" i="836"/>
  <c r="I568" i="833"/>
  <c r="J568" i="833" s="1"/>
  <c r="H568" i="833"/>
  <c r="K568" i="833" s="1"/>
  <c r="J202" i="834"/>
  <c r="J18" i="834" s="1"/>
  <c r="I363" i="835"/>
  <c r="J363" i="835" s="1"/>
  <c r="J370" i="835" s="1"/>
  <c r="J23" i="835" s="1"/>
  <c r="H363" i="835"/>
  <c r="I154" i="846"/>
  <c r="J154" i="846" s="1"/>
  <c r="J161" i="846" s="1"/>
  <c r="J16" i="846" s="1"/>
  <c r="H154" i="846"/>
  <c r="I285" i="838"/>
  <c r="J285" i="838" s="1"/>
  <c r="H285" i="838"/>
  <c r="K285" i="838" s="1"/>
  <c r="I251" i="844"/>
  <c r="J251" i="844" s="1"/>
  <c r="J256" i="844" s="1"/>
  <c r="J18" i="844" s="1"/>
  <c r="H251" i="844"/>
  <c r="I290" i="844"/>
  <c r="J290" i="844" s="1"/>
  <c r="J298" i="844" s="1"/>
  <c r="J19" i="844" s="1"/>
  <c r="H290" i="844"/>
  <c r="H364" i="841"/>
  <c r="I364" i="841"/>
  <c r="J364" i="841" s="1"/>
  <c r="J370" i="841" s="1"/>
  <c r="J23" i="841" s="1"/>
  <c r="H284" i="839"/>
  <c r="I284" i="839"/>
  <c r="J284" i="839" s="1"/>
  <c r="J291" i="839" s="1"/>
  <c r="J21" i="839" s="1"/>
  <c r="K219" i="835"/>
  <c r="H275" i="834"/>
  <c r="I275" i="834"/>
  <c r="J275" i="834" s="1"/>
  <c r="J280" i="834" s="1"/>
  <c r="J21" i="834" s="1"/>
  <c r="I251" i="835"/>
  <c r="J251" i="835" s="1"/>
  <c r="J256" i="835" s="1"/>
  <c r="J19" i="835" s="1"/>
  <c r="H251" i="835"/>
  <c r="I193" i="835"/>
  <c r="J193" i="835" s="1"/>
  <c r="H193" i="835"/>
  <c r="I282" i="833"/>
  <c r="J282" i="833" s="1"/>
  <c r="J287" i="833" s="1"/>
  <c r="J18" i="833" s="1"/>
  <c r="H282" i="833"/>
  <c r="K284" i="835"/>
  <c r="K298" i="835" s="1"/>
  <c r="I448" i="833"/>
  <c r="J448" i="833" s="1"/>
  <c r="J452" i="833" s="1"/>
  <c r="J24" i="833" s="1"/>
  <c r="H448" i="833"/>
  <c r="H242" i="845"/>
  <c r="K242" i="845" s="1"/>
  <c r="I242" i="845"/>
  <c r="J242" i="845" s="1"/>
  <c r="I306" i="844"/>
  <c r="J306" i="844" s="1"/>
  <c r="J314" i="844" s="1"/>
  <c r="J20" i="844" s="1"/>
  <c r="H306" i="844"/>
  <c r="I143" i="845"/>
  <c r="J143" i="845" s="1"/>
  <c r="J161" i="845" s="1"/>
  <c r="J16" i="845" s="1"/>
  <c r="H143" i="845"/>
  <c r="I202" i="838"/>
  <c r="J202" i="838" s="1"/>
  <c r="H202" i="838"/>
  <c r="K250" i="834"/>
  <c r="K291" i="845"/>
  <c r="I311" i="845"/>
  <c r="J311" i="845" s="1"/>
  <c r="J322" i="845" s="1"/>
  <c r="J22" i="845" s="1"/>
  <c r="H311" i="845"/>
  <c r="I287" i="842"/>
  <c r="J287" i="842" s="1"/>
  <c r="J291" i="842" s="1"/>
  <c r="J21" i="842" s="1"/>
  <c r="H287" i="842"/>
  <c r="I134" i="846"/>
  <c r="J134" i="846" s="1"/>
  <c r="J139" i="846" s="1"/>
  <c r="J15" i="846" s="1"/>
  <c r="H134" i="846"/>
  <c r="K286" i="847"/>
  <c r="I182" i="844"/>
  <c r="J182" i="844" s="1"/>
  <c r="J187" i="844" s="1"/>
  <c r="J15" i="844" s="1"/>
  <c r="H182" i="844"/>
  <c r="I143" i="839"/>
  <c r="J143" i="839" s="1"/>
  <c r="H143" i="839"/>
  <c r="I182" i="838"/>
  <c r="J182" i="838" s="1"/>
  <c r="J187" i="838" s="1"/>
  <c r="J15" i="838" s="1"/>
  <c r="H182" i="838"/>
  <c r="K21" i="837"/>
  <c r="I258" i="846"/>
  <c r="J258" i="846" s="1"/>
  <c r="J266" i="846" s="1"/>
  <c r="J20" i="846" s="1"/>
  <c r="H258" i="846"/>
  <c r="H346" i="845"/>
  <c r="H23" i="845" s="1"/>
  <c r="H235" i="847"/>
  <c r="H16" i="847" s="1"/>
  <c r="K16" i="847" s="1"/>
  <c r="K325" i="844"/>
  <c r="K333" i="844" s="1"/>
  <c r="K235" i="845"/>
  <c r="H283" i="841"/>
  <c r="I283" i="841"/>
  <c r="J283" i="841" s="1"/>
  <c r="I344" i="841"/>
  <c r="J344" i="841" s="1"/>
  <c r="H344" i="841"/>
  <c r="K284" i="842"/>
  <c r="I325" i="841"/>
  <c r="J325" i="841" s="1"/>
  <c r="J333" i="841" s="1"/>
  <c r="J21" i="841" s="1"/>
  <c r="H325" i="841"/>
  <c r="K143" i="840"/>
  <c r="H134" i="837"/>
  <c r="I134" i="837"/>
  <c r="J134" i="837" s="1"/>
  <c r="J139" i="837" s="1"/>
  <c r="J15" i="837" s="1"/>
  <c r="J34" i="837" s="1"/>
  <c r="J17" i="832" s="1"/>
  <c r="K285" i="837"/>
  <c r="K294" i="837" s="1"/>
  <c r="K22" i="835"/>
  <c r="K191" i="838"/>
  <c r="H226" i="834"/>
  <c r="H19" i="834" s="1"/>
  <c r="K19" i="834" s="1"/>
  <c r="I466" i="833"/>
  <c r="J466" i="833" s="1"/>
  <c r="H466" i="833"/>
  <c r="H470" i="833" s="1"/>
  <c r="H25" i="833" s="1"/>
  <c r="K503" i="833"/>
  <c r="I330" i="833"/>
  <c r="J330" i="833" s="1"/>
  <c r="J331" i="833" s="1"/>
  <c r="J19" i="833" s="1"/>
  <c r="H330" i="833"/>
  <c r="H250" i="834"/>
  <c r="H20" i="834" s="1"/>
  <c r="K20" i="834" s="1"/>
  <c r="K398" i="833"/>
  <c r="K404" i="833" s="1"/>
  <c r="K22" i="833" s="1"/>
  <c r="I289" i="838"/>
  <c r="J289" i="838" s="1"/>
  <c r="H289" i="838"/>
  <c r="I282" i="838"/>
  <c r="J282" i="838" s="1"/>
  <c r="H282" i="838"/>
  <c r="K538" i="833"/>
  <c r="K27" i="833" s="1"/>
  <c r="K322" i="840"/>
  <c r="K23" i="840" s="1"/>
  <c r="I154" i="843"/>
  <c r="J154" i="843" s="1"/>
  <c r="J161" i="843" s="1"/>
  <c r="J16" i="843" s="1"/>
  <c r="H154" i="843"/>
  <c r="I238" i="845"/>
  <c r="J238" i="845" s="1"/>
  <c r="H238" i="845"/>
  <c r="K346" i="845"/>
  <c r="K23" i="845" s="1"/>
  <c r="K21" i="844"/>
  <c r="H143" i="842"/>
  <c r="I143" i="842"/>
  <c r="J143" i="842" s="1"/>
  <c r="K258" i="840"/>
  <c r="K266" i="840" s="1"/>
  <c r="H266" i="840"/>
  <c r="H20" i="840" s="1"/>
  <c r="K20" i="840" s="1"/>
  <c r="K309" i="841"/>
  <c r="K178" i="840"/>
  <c r="J267" i="839"/>
  <c r="J20" i="839" s="1"/>
  <c r="H322" i="840"/>
  <c r="H23" i="840" s="1"/>
  <c r="I154" i="840"/>
  <c r="J154" i="840" s="1"/>
  <c r="J161" i="840" s="1"/>
  <c r="J16" i="840" s="1"/>
  <c r="H154" i="840"/>
  <c r="K296" i="840"/>
  <c r="J294" i="837"/>
  <c r="J21" i="837" s="1"/>
  <c r="K210" i="839"/>
  <c r="I341" i="838"/>
  <c r="J341" i="838" s="1"/>
  <c r="H341" i="838"/>
  <c r="I193" i="834"/>
  <c r="J193" i="834" s="1"/>
  <c r="H193" i="834"/>
  <c r="K193" i="834" s="1"/>
  <c r="H226" i="835"/>
  <c r="H18" i="835" s="1"/>
  <c r="K18" i="835" s="1"/>
  <c r="K222" i="835"/>
  <c r="K226" i="835" s="1"/>
  <c r="I89" i="834"/>
  <c r="J89" i="834" s="1"/>
  <c r="J93" i="834" s="1"/>
  <c r="J13" i="834" s="1"/>
  <c r="J34" i="834" s="1"/>
  <c r="J14" i="832" s="1"/>
  <c r="H89" i="834"/>
  <c r="I342" i="833"/>
  <c r="J342" i="833" s="1"/>
  <c r="J356" i="833" s="1"/>
  <c r="J20" i="833" s="1"/>
  <c r="H342" i="833"/>
  <c r="H41" i="833"/>
  <c r="I41" i="833"/>
  <c r="J41" i="833" s="1"/>
  <c r="J58" i="833" s="1"/>
  <c r="J12" i="833" s="1"/>
  <c r="I97" i="834"/>
  <c r="J97" i="834" s="1"/>
  <c r="J106" i="834" s="1"/>
  <c r="J14" i="834" s="1"/>
  <c r="H97" i="834"/>
  <c r="K17" i="838"/>
  <c r="I293" i="846"/>
  <c r="J293" i="846" s="1"/>
  <c r="J298" i="846" s="1"/>
  <c r="J22" i="846" s="1"/>
  <c r="H293" i="846"/>
  <c r="K257" i="847"/>
  <c r="I308" i="846"/>
  <c r="J308" i="846" s="1"/>
  <c r="J322" i="846" s="1"/>
  <c r="J23" i="846" s="1"/>
  <c r="H308" i="846"/>
  <c r="K210" i="846"/>
  <c r="H250" i="846"/>
  <c r="H19" i="846" s="1"/>
  <c r="K210" i="842"/>
  <c r="K250" i="842" s="1"/>
  <c r="H250" i="842"/>
  <c r="H19" i="842" s="1"/>
  <c r="K19" i="842" s="1"/>
  <c r="K316" i="843"/>
  <c r="K322" i="843" s="1"/>
  <c r="K23" i="843" s="1"/>
  <c r="H322" i="843"/>
  <c r="H23" i="843" s="1"/>
  <c r="K20" i="839"/>
  <c r="I134" i="845"/>
  <c r="J134" i="845" s="1"/>
  <c r="J139" i="845" s="1"/>
  <c r="J15" i="845" s="1"/>
  <c r="H134" i="845"/>
  <c r="I154" i="842"/>
  <c r="J154" i="842" s="1"/>
  <c r="H154" i="842"/>
  <c r="K154" i="842" s="1"/>
  <c r="K302" i="842"/>
  <c r="K308" i="842" s="1"/>
  <c r="K22" i="842" s="1"/>
  <c r="H308" i="842"/>
  <c r="H22" i="842" s="1"/>
  <c r="I134" i="840"/>
  <c r="J134" i="840" s="1"/>
  <c r="J139" i="840" s="1"/>
  <c r="J15" i="840" s="1"/>
  <c r="H134" i="840"/>
  <c r="K82" i="834"/>
  <c r="I306" i="841"/>
  <c r="J306" i="841" s="1"/>
  <c r="J314" i="841" s="1"/>
  <c r="J20" i="841" s="1"/>
  <c r="H306" i="841"/>
  <c r="K258" i="842"/>
  <c r="K267" i="842" s="1"/>
  <c r="H267" i="842"/>
  <c r="H20" i="842" s="1"/>
  <c r="K20" i="842" s="1"/>
  <c r="I258" i="843"/>
  <c r="J258" i="843" s="1"/>
  <c r="J266" i="843" s="1"/>
  <c r="J20" i="843" s="1"/>
  <c r="J34" i="843" s="1"/>
  <c r="J23" i="832" s="1"/>
  <c r="H258" i="843"/>
  <c r="I261" i="843"/>
  <c r="J261" i="843" s="1"/>
  <c r="H261" i="843"/>
  <c r="K261" i="843" s="1"/>
  <c r="H282" i="840"/>
  <c r="H21" i="840" s="1"/>
  <c r="K21" i="840" s="1"/>
  <c r="K106" i="837"/>
  <c r="K14" i="837" s="1"/>
  <c r="I344" i="838"/>
  <c r="J344" i="838" s="1"/>
  <c r="H344" i="838"/>
  <c r="I325" i="838"/>
  <c r="J325" i="838" s="1"/>
  <c r="J330" i="838" s="1"/>
  <c r="J21" i="838" s="1"/>
  <c r="H325" i="838"/>
  <c r="K17" i="847"/>
  <c r="H258" i="845"/>
  <c r="I258" i="845"/>
  <c r="J258" i="845" s="1"/>
  <c r="J267" i="845" s="1"/>
  <c r="J20" i="845" s="1"/>
  <c r="I261" i="846"/>
  <c r="J261" i="846" s="1"/>
  <c r="H261" i="846"/>
  <c r="K261" i="846" s="1"/>
  <c r="I344" i="844"/>
  <c r="J344" i="844" s="1"/>
  <c r="J354" i="844" s="1"/>
  <c r="J22" i="844" s="1"/>
  <c r="H344" i="844"/>
  <c r="H203" i="846"/>
  <c r="I203" i="846"/>
  <c r="J203" i="846" s="1"/>
  <c r="J208" i="846" s="1"/>
  <c r="J18" i="846" s="1"/>
  <c r="I203" i="843"/>
  <c r="J203" i="843" s="1"/>
  <c r="J208" i="843" s="1"/>
  <c r="J18" i="843" s="1"/>
  <c r="H203" i="843"/>
  <c r="I349" i="841"/>
  <c r="J349" i="841" s="1"/>
  <c r="H349" i="841"/>
  <c r="I235" i="840"/>
  <c r="J235" i="840" s="1"/>
  <c r="J250" i="840" s="1"/>
  <c r="J19" i="840" s="1"/>
  <c r="H235" i="840"/>
  <c r="K106" i="840"/>
  <c r="K14" i="840" s="1"/>
  <c r="H286" i="841"/>
  <c r="I286" i="841"/>
  <c r="J286" i="841" s="1"/>
  <c r="K293" i="840"/>
  <c r="K298" i="840" s="1"/>
  <c r="K22" i="840" s="1"/>
  <c r="K356" i="838"/>
  <c r="K370" i="838" s="1"/>
  <c r="K23" i="838" s="1"/>
  <c r="I238" i="839"/>
  <c r="J238" i="839" s="1"/>
  <c r="J250" i="839" s="1"/>
  <c r="J19" i="839" s="1"/>
  <c r="H238" i="839"/>
  <c r="K233" i="836"/>
  <c r="H508" i="833"/>
  <c r="H26" i="833" s="1"/>
  <c r="I156" i="834"/>
  <c r="J156" i="834" s="1"/>
  <c r="J161" i="834" s="1"/>
  <c r="J17" i="834" s="1"/>
  <c r="H156" i="834"/>
  <c r="H322" i="835"/>
  <c r="H21" i="835" s="1"/>
  <c r="K21" i="835" s="1"/>
  <c r="K122" i="834"/>
  <c r="K457" i="833"/>
  <c r="K508" i="833"/>
  <c r="K26" i="833" s="1"/>
  <c r="K47" i="833"/>
  <c r="K313" i="847"/>
  <c r="H134" i="839"/>
  <c r="I134" i="839"/>
  <c r="J134" i="839" s="1"/>
  <c r="J138" i="839" s="1"/>
  <c r="J15" i="839" s="1"/>
  <c r="I251" i="838"/>
  <c r="J251" i="838" s="1"/>
  <c r="J256" i="838" s="1"/>
  <c r="J18" i="838" s="1"/>
  <c r="H251" i="838"/>
  <c r="I405" i="836"/>
  <c r="J405" i="836" s="1"/>
  <c r="J413" i="836" s="1"/>
  <c r="J22" i="836" s="1"/>
  <c r="H405" i="836"/>
  <c r="J34" i="844"/>
  <c r="J24" i="832" s="1"/>
  <c r="K202" i="841"/>
  <c r="H209" i="841"/>
  <c r="H16" i="841" s="1"/>
  <c r="I134" i="842"/>
  <c r="J134" i="842" s="1"/>
  <c r="J139" i="842" s="1"/>
  <c r="J15" i="842" s="1"/>
  <c r="H134" i="842"/>
  <c r="K267" i="839"/>
  <c r="I309" i="839"/>
  <c r="J309" i="839" s="1"/>
  <c r="J322" i="839" s="1"/>
  <c r="J22" i="839" s="1"/>
  <c r="H309" i="839"/>
  <c r="K250" i="837"/>
  <c r="K346" i="836"/>
  <c r="I198" i="835"/>
  <c r="J198" i="835" s="1"/>
  <c r="H198" i="835"/>
  <c r="K288" i="835"/>
  <c r="J470" i="833"/>
  <c r="J25" i="833" s="1"/>
  <c r="J538" i="833"/>
  <c r="J27" i="833" s="1"/>
  <c r="I185" i="835"/>
  <c r="J185" i="835" s="1"/>
  <c r="J189" i="835" s="1"/>
  <c r="J15" i="835" s="1"/>
  <c r="H185" i="835"/>
  <c r="K106" i="833"/>
  <c r="K15" i="833" s="1"/>
  <c r="K191" i="841" l="1"/>
  <c r="K209" i="841" s="1"/>
  <c r="K16" i="841"/>
  <c r="K349" i="841"/>
  <c r="K286" i="841"/>
  <c r="J34" i="845"/>
  <c r="J25" i="832" s="1"/>
  <c r="J34" i="839"/>
  <c r="J19" i="832" s="1"/>
  <c r="K134" i="839"/>
  <c r="K138" i="839" s="1"/>
  <c r="H138" i="839"/>
  <c r="H15" i="839" s="1"/>
  <c r="J34" i="847"/>
  <c r="J27" i="832" s="1"/>
  <c r="K282" i="838"/>
  <c r="K298" i="838" s="1"/>
  <c r="H298" i="838"/>
  <c r="H19" i="838" s="1"/>
  <c r="K143" i="845"/>
  <c r="K161" i="845" s="1"/>
  <c r="H161" i="845"/>
  <c r="H16" i="845" s="1"/>
  <c r="K16" i="845" s="1"/>
  <c r="J298" i="838"/>
  <c r="J19" i="838" s="1"/>
  <c r="J34" i="838" s="1"/>
  <c r="J18" i="832" s="1"/>
  <c r="K344" i="841"/>
  <c r="K354" i="841" s="1"/>
  <c r="K22" i="841" s="1"/>
  <c r="H354" i="841"/>
  <c r="H22" i="841" s="1"/>
  <c r="J202" i="835"/>
  <c r="J16" i="835" s="1"/>
  <c r="J34" i="835" s="1"/>
  <c r="J15" i="832" s="1"/>
  <c r="K290" i="844"/>
  <c r="K298" i="844" s="1"/>
  <c r="H298" i="844"/>
  <c r="H19" i="844" s="1"/>
  <c r="K19" i="844" s="1"/>
  <c r="K306" i="838"/>
  <c r="K314" i="838" s="1"/>
  <c r="H314" i="838"/>
  <c r="H20" i="838" s="1"/>
  <c r="K20" i="838" s="1"/>
  <c r="K242" i="843"/>
  <c r="K250" i="843" s="1"/>
  <c r="K258" i="845"/>
  <c r="K267" i="845" s="1"/>
  <c r="H267" i="845"/>
  <c r="H20" i="845" s="1"/>
  <c r="K20" i="845" s="1"/>
  <c r="J34" i="846"/>
  <c r="J26" i="832" s="1"/>
  <c r="K193" i="835"/>
  <c r="K202" i="835" s="1"/>
  <c r="H202" i="835"/>
  <c r="H16" i="835" s="1"/>
  <c r="K363" i="835"/>
  <c r="K370" i="835" s="1"/>
  <c r="K23" i="835" s="1"/>
  <c r="H370" i="835"/>
  <c r="H23" i="835" s="1"/>
  <c r="K251" i="841"/>
  <c r="K256" i="841" s="1"/>
  <c r="H256" i="841"/>
  <c r="H18" i="841" s="1"/>
  <c r="K18" i="841" s="1"/>
  <c r="K238" i="839"/>
  <c r="K250" i="839" s="1"/>
  <c r="H250" i="839"/>
  <c r="H19" i="839" s="1"/>
  <c r="K19" i="839" s="1"/>
  <c r="K198" i="835"/>
  <c r="K203" i="843"/>
  <c r="K208" i="843" s="1"/>
  <c r="H208" i="843"/>
  <c r="H18" i="843" s="1"/>
  <c r="K18" i="843" s="1"/>
  <c r="K325" i="838"/>
  <c r="K330" i="838" s="1"/>
  <c r="H330" i="838"/>
  <c r="H21" i="838" s="1"/>
  <c r="K21" i="838" s="1"/>
  <c r="K134" i="845"/>
  <c r="K139" i="845" s="1"/>
  <c r="H139" i="845"/>
  <c r="H15" i="845" s="1"/>
  <c r="K293" i="846"/>
  <c r="K298" i="846" s="1"/>
  <c r="K22" i="846" s="1"/>
  <c r="H298" i="846"/>
  <c r="H22" i="846" s="1"/>
  <c r="K289" i="838"/>
  <c r="J354" i="841"/>
  <c r="J22" i="841" s="1"/>
  <c r="K287" i="842"/>
  <c r="K291" i="842" s="1"/>
  <c r="H291" i="842"/>
  <c r="H21" i="842" s="1"/>
  <c r="K21" i="842" s="1"/>
  <c r="K306" i="844"/>
  <c r="K314" i="844" s="1"/>
  <c r="H314" i="844"/>
  <c r="H20" i="844" s="1"/>
  <c r="K20" i="844" s="1"/>
  <c r="K251" i="835"/>
  <c r="K256" i="835" s="1"/>
  <c r="H256" i="835"/>
  <c r="H19" i="835" s="1"/>
  <c r="K19" i="835" s="1"/>
  <c r="K242" i="846"/>
  <c r="K212" i="837"/>
  <c r="K216" i="837" s="1"/>
  <c r="H216" i="837"/>
  <c r="H18" i="837" s="1"/>
  <c r="K18" i="837" s="1"/>
  <c r="H322" i="847"/>
  <c r="H20" i="847" s="1"/>
  <c r="K20" i="847" s="1"/>
  <c r="K310" i="847"/>
  <c r="K322" i="847" s="1"/>
  <c r="H202" i="834"/>
  <c r="H18" i="834" s="1"/>
  <c r="K18" i="834" s="1"/>
  <c r="K154" i="840"/>
  <c r="H161" i="840"/>
  <c r="H16" i="840" s="1"/>
  <c r="K16" i="840" s="1"/>
  <c r="K306" i="841"/>
  <c r="K314" i="841" s="1"/>
  <c r="H314" i="841"/>
  <c r="H20" i="841" s="1"/>
  <c r="K20" i="841" s="1"/>
  <c r="J298" i="841"/>
  <c r="J19" i="841" s="1"/>
  <c r="K182" i="841"/>
  <c r="K187" i="841" s="1"/>
  <c r="H187" i="841"/>
  <c r="H15" i="841" s="1"/>
  <c r="K344" i="838"/>
  <c r="K283" i="841"/>
  <c r="H298" i="841"/>
  <c r="H19" i="841" s="1"/>
  <c r="K182" i="838"/>
  <c r="K187" i="838" s="1"/>
  <c r="H187" i="838"/>
  <c r="H15" i="838" s="1"/>
  <c r="K311" i="845"/>
  <c r="K322" i="845" s="1"/>
  <c r="K22" i="845" s="1"/>
  <c r="K202" i="834"/>
  <c r="K340" i="847"/>
  <c r="K346" i="847" s="1"/>
  <c r="K21" i="847" s="1"/>
  <c r="H346" i="847"/>
  <c r="H21" i="847" s="1"/>
  <c r="H250" i="843"/>
  <c r="H19" i="843" s="1"/>
  <c r="K19" i="843" s="1"/>
  <c r="K228" i="847"/>
  <c r="K235" i="847" s="1"/>
  <c r="K308" i="846"/>
  <c r="K322" i="846" s="1"/>
  <c r="K23" i="846" s="1"/>
  <c r="H322" i="846"/>
  <c r="H23" i="846" s="1"/>
  <c r="K258" i="846"/>
  <c r="K266" i="846" s="1"/>
  <c r="H266" i="846"/>
  <c r="H20" i="846" s="1"/>
  <c r="K20" i="846" s="1"/>
  <c r="K341" i="838"/>
  <c r="K346" i="838" s="1"/>
  <c r="K22" i="838" s="1"/>
  <c r="H346" i="838"/>
  <c r="H22" i="838" s="1"/>
  <c r="K238" i="845"/>
  <c r="K250" i="845" s="1"/>
  <c r="H250" i="845"/>
  <c r="H19" i="845" s="1"/>
  <c r="K19" i="845" s="1"/>
  <c r="K203" i="846"/>
  <c r="K208" i="846" s="1"/>
  <c r="H208" i="846"/>
  <c r="H18" i="846" s="1"/>
  <c r="K18" i="846" s="1"/>
  <c r="K251" i="844"/>
  <c r="K256" i="844" s="1"/>
  <c r="H256" i="844"/>
  <c r="H18" i="844" s="1"/>
  <c r="K18" i="844" s="1"/>
  <c r="K154" i="837"/>
  <c r="K165" i="837" s="1"/>
  <c r="H165" i="837"/>
  <c r="H16" i="837" s="1"/>
  <c r="K16" i="837" s="1"/>
  <c r="K344" i="844"/>
  <c r="K354" i="844" s="1"/>
  <c r="K22" i="844" s="1"/>
  <c r="H354" i="844"/>
  <c r="H22" i="844" s="1"/>
  <c r="J346" i="838"/>
  <c r="J22" i="838" s="1"/>
  <c r="J250" i="845"/>
  <c r="J19" i="845" s="1"/>
  <c r="K134" i="837"/>
  <c r="K139" i="837" s="1"/>
  <c r="H139" i="837"/>
  <c r="H15" i="837" s="1"/>
  <c r="K143" i="839"/>
  <c r="K161" i="839" s="1"/>
  <c r="H161" i="839"/>
  <c r="H16" i="839" s="1"/>
  <c r="K448" i="833"/>
  <c r="K452" i="833" s="1"/>
  <c r="K24" i="833" s="1"/>
  <c r="H452" i="833"/>
  <c r="H24" i="833" s="1"/>
  <c r="K318" i="842"/>
  <c r="K322" i="842" s="1"/>
  <c r="K23" i="842" s="1"/>
  <c r="H322" i="842"/>
  <c r="H23" i="842" s="1"/>
  <c r="J34" i="842"/>
  <c r="J22" i="832" s="1"/>
  <c r="K89" i="834"/>
  <c r="K93" i="834" s="1"/>
  <c r="H93" i="834"/>
  <c r="H13" i="834" s="1"/>
  <c r="K134" i="846"/>
  <c r="K139" i="846" s="1"/>
  <c r="H139" i="846"/>
  <c r="H15" i="846" s="1"/>
  <c r="K97" i="834"/>
  <c r="K106" i="834" s="1"/>
  <c r="H106" i="834"/>
  <c r="H14" i="834" s="1"/>
  <c r="K14" i="834" s="1"/>
  <c r="K275" i="834"/>
  <c r="K280" i="834" s="1"/>
  <c r="K21" i="834" s="1"/>
  <c r="H280" i="834"/>
  <c r="H21" i="834" s="1"/>
  <c r="K309" i="839"/>
  <c r="K322" i="839" s="1"/>
  <c r="K22" i="839" s="1"/>
  <c r="H322" i="839"/>
  <c r="H22" i="839" s="1"/>
  <c r="K405" i="836"/>
  <c r="K413" i="836" s="1"/>
  <c r="K22" i="836" s="1"/>
  <c r="H413" i="836"/>
  <c r="H22" i="836" s="1"/>
  <c r="J34" i="833"/>
  <c r="J13" i="832" s="1"/>
  <c r="K154" i="843"/>
  <c r="K161" i="843" s="1"/>
  <c r="H161" i="843"/>
  <c r="H16" i="843" s="1"/>
  <c r="K330" i="833"/>
  <c r="K331" i="833" s="1"/>
  <c r="K19" i="833" s="1"/>
  <c r="H331" i="833"/>
  <c r="H19" i="833" s="1"/>
  <c r="J161" i="839"/>
  <c r="J16" i="839" s="1"/>
  <c r="K359" i="836"/>
  <c r="K203" i="839"/>
  <c r="K208" i="839" s="1"/>
  <c r="H208" i="839"/>
  <c r="H18" i="839" s="1"/>
  <c r="K18" i="839" s="1"/>
  <c r="K296" i="843"/>
  <c r="K306" i="843" s="1"/>
  <c r="K22" i="843" s="1"/>
  <c r="H306" i="843"/>
  <c r="H22" i="843" s="1"/>
  <c r="K299" i="836"/>
  <c r="K302" i="836" s="1"/>
  <c r="H302" i="836"/>
  <c r="H18" i="836" s="1"/>
  <c r="K364" i="841"/>
  <c r="K370" i="841" s="1"/>
  <c r="K23" i="841" s="1"/>
  <c r="H370" i="841"/>
  <c r="H23" i="841" s="1"/>
  <c r="K216" i="847"/>
  <c r="K218" i="847" s="1"/>
  <c r="H218" i="847"/>
  <c r="H15" i="847" s="1"/>
  <c r="K134" i="840"/>
  <c r="K139" i="840" s="1"/>
  <c r="H139" i="840"/>
  <c r="H15" i="840" s="1"/>
  <c r="K41" i="833"/>
  <c r="K58" i="833" s="1"/>
  <c r="K12" i="833" s="1"/>
  <c r="H58" i="833"/>
  <c r="H12" i="833" s="1"/>
  <c r="K373" i="833"/>
  <c r="K381" i="833" s="1"/>
  <c r="K21" i="833" s="1"/>
  <c r="H381" i="833"/>
  <c r="H21" i="833" s="1"/>
  <c r="K185" i="835"/>
  <c r="K189" i="835" s="1"/>
  <c r="H189" i="835"/>
  <c r="H15" i="835" s="1"/>
  <c r="K355" i="836"/>
  <c r="H363" i="836"/>
  <c r="H20" i="836" s="1"/>
  <c r="K251" i="838"/>
  <c r="K256" i="838" s="1"/>
  <c r="H256" i="838"/>
  <c r="H18" i="838" s="1"/>
  <c r="K18" i="838" s="1"/>
  <c r="K156" i="834"/>
  <c r="K161" i="834" s="1"/>
  <c r="H161" i="834"/>
  <c r="H17" i="834" s="1"/>
  <c r="K17" i="834" s="1"/>
  <c r="K235" i="840"/>
  <c r="K250" i="840" s="1"/>
  <c r="J34" i="840"/>
  <c r="J20" i="832" s="1"/>
  <c r="K19" i="846"/>
  <c r="K342" i="833"/>
  <c r="K356" i="833" s="1"/>
  <c r="K20" i="833" s="1"/>
  <c r="H356" i="833"/>
  <c r="H20" i="833" s="1"/>
  <c r="J161" i="842"/>
  <c r="J16" i="842" s="1"/>
  <c r="K325" i="841"/>
  <c r="K333" i="841" s="1"/>
  <c r="H333" i="841"/>
  <c r="H21" i="841" s="1"/>
  <c r="K21" i="841" s="1"/>
  <c r="K202" i="838"/>
  <c r="K209" i="838" s="1"/>
  <c r="H209" i="838"/>
  <c r="H16" i="838" s="1"/>
  <c r="K16" i="838" s="1"/>
  <c r="K284" i="839"/>
  <c r="K291" i="839" s="1"/>
  <c r="H291" i="839"/>
  <c r="H21" i="839" s="1"/>
  <c r="K21" i="839" s="1"/>
  <c r="J363" i="836"/>
  <c r="J20" i="836" s="1"/>
  <c r="J34" i="836" s="1"/>
  <c r="J16" i="832" s="1"/>
  <c r="K161" i="840"/>
  <c r="K182" i="844"/>
  <c r="K187" i="844" s="1"/>
  <c r="H187" i="844"/>
  <c r="H15" i="844" s="1"/>
  <c r="K134" i="842"/>
  <c r="K139" i="842" s="1"/>
  <c r="H139" i="842"/>
  <c r="H15" i="842" s="1"/>
  <c r="K258" i="843"/>
  <c r="K266" i="843" s="1"/>
  <c r="H266" i="843"/>
  <c r="H20" i="843" s="1"/>
  <c r="K20" i="843" s="1"/>
  <c r="K250" i="846"/>
  <c r="K143" i="842"/>
  <c r="K161" i="842" s="1"/>
  <c r="H161" i="842"/>
  <c r="H16" i="842" s="1"/>
  <c r="K16" i="842" s="1"/>
  <c r="K466" i="833"/>
  <c r="K470" i="833" s="1"/>
  <c r="K25" i="833" s="1"/>
  <c r="H322" i="845"/>
  <c r="H22" i="845" s="1"/>
  <c r="K282" i="833"/>
  <c r="K287" i="833" s="1"/>
  <c r="K18" i="833" s="1"/>
  <c r="H287" i="833"/>
  <c r="H18" i="833" s="1"/>
  <c r="K154" i="846"/>
  <c r="K161" i="846" s="1"/>
  <c r="H161" i="846"/>
  <c r="H16" i="846" s="1"/>
  <c r="K16" i="846" s="1"/>
  <c r="K557" i="833"/>
  <c r="K576" i="833" s="1"/>
  <c r="K28" i="833" s="1"/>
  <c r="H576" i="833"/>
  <c r="H28" i="833" s="1"/>
  <c r="K290" i="841"/>
  <c r="J34" i="841" l="1"/>
  <c r="J21" i="832" s="1"/>
  <c r="J33" i="832" s="1"/>
  <c r="J15" i="279" s="1"/>
  <c r="K19" i="841"/>
  <c r="K298" i="841"/>
  <c r="K15" i="839"/>
  <c r="H34" i="839"/>
  <c r="H19" i="832" s="1"/>
  <c r="K18" i="836"/>
  <c r="H34" i="836"/>
  <c r="H16" i="832" s="1"/>
  <c r="K15" i="838"/>
  <c r="H34" i="838"/>
  <c r="H18" i="832" s="1"/>
  <c r="H34" i="833"/>
  <c r="H13" i="832" s="1"/>
  <c r="K34" i="833"/>
  <c r="K13" i="832" s="1"/>
  <c r="K15" i="841"/>
  <c r="H34" i="841"/>
  <c r="H21" i="832" s="1"/>
  <c r="K15" i="845"/>
  <c r="K34" i="845" s="1"/>
  <c r="K25" i="832" s="1"/>
  <c r="H34" i="845"/>
  <c r="H25" i="832" s="1"/>
  <c r="K15" i="840"/>
  <c r="K34" i="840" s="1"/>
  <c r="K20" i="832" s="1"/>
  <c r="H34" i="840"/>
  <c r="H20" i="832" s="1"/>
  <c r="K16" i="835"/>
  <c r="K15" i="835"/>
  <c r="K34" i="835" s="1"/>
  <c r="K15" i="832" s="1"/>
  <c r="H34" i="835"/>
  <c r="H15" i="832" s="1"/>
  <c r="K16" i="839"/>
  <c r="K20" i="836"/>
  <c r="K15" i="846"/>
  <c r="K34" i="846" s="1"/>
  <c r="K26" i="832" s="1"/>
  <c r="H34" i="846"/>
  <c r="H26" i="832" s="1"/>
  <c r="K15" i="837"/>
  <c r="K34" i="837" s="1"/>
  <c r="K17" i="832" s="1"/>
  <c r="H34" i="837"/>
  <c r="H17" i="832" s="1"/>
  <c r="K15" i="847"/>
  <c r="K34" i="847" s="1"/>
  <c r="K27" i="832" s="1"/>
  <c r="H34" i="847"/>
  <c r="H27" i="832" s="1"/>
  <c r="K363" i="836"/>
  <c r="K16" i="843"/>
  <c r="K34" i="843" s="1"/>
  <c r="K23" i="832" s="1"/>
  <c r="H34" i="843"/>
  <c r="H23" i="832" s="1"/>
  <c r="K15" i="844"/>
  <c r="K34" i="844" s="1"/>
  <c r="K24" i="832" s="1"/>
  <c r="H34" i="844"/>
  <c r="H24" i="832" s="1"/>
  <c r="K15" i="842"/>
  <c r="K34" i="842" s="1"/>
  <c r="K22" i="832" s="1"/>
  <c r="H34" i="842"/>
  <c r="H22" i="832" s="1"/>
  <c r="K13" i="834"/>
  <c r="K34" i="834" s="1"/>
  <c r="K14" i="832" s="1"/>
  <c r="H34" i="834"/>
  <c r="H14" i="832" s="1"/>
  <c r="K19" i="838"/>
  <c r="K34" i="841" l="1"/>
  <c r="K21" i="832" s="1"/>
  <c r="K33" i="832"/>
  <c r="H33" i="832"/>
  <c r="H15" i="279" s="1"/>
  <c r="K34" i="838"/>
  <c r="K18" i="832" s="1"/>
  <c r="K34" i="836"/>
  <c r="K16" i="832" s="1"/>
  <c r="K34" i="839"/>
  <c r="K19" i="832" s="1"/>
  <c r="G41" i="824" l="1"/>
  <c r="G40" i="824"/>
  <c r="G38" i="824"/>
  <c r="G37" i="824"/>
  <c r="G292" i="823" l="1"/>
  <c r="G291" i="823"/>
  <c r="G283" i="823"/>
  <c r="G282" i="823"/>
  <c r="E154" i="818" l="1"/>
  <c r="E153" i="818"/>
  <c r="E152" i="818"/>
  <c r="E151" i="818"/>
  <c r="E150" i="818"/>
  <c r="E130" i="817"/>
  <c r="E129" i="817"/>
  <c r="E128" i="817"/>
  <c r="E127" i="817"/>
  <c r="E126" i="817"/>
  <c r="E189" i="816"/>
  <c r="E190" i="816"/>
  <c r="E191" i="816"/>
  <c r="E175" i="816"/>
  <c r="E177" i="816"/>
  <c r="E176" i="816"/>
  <c r="E149" i="816"/>
  <c r="E138" i="831"/>
  <c r="E136" i="831"/>
  <c r="J136" i="831" s="1"/>
  <c r="E138" i="830"/>
  <c r="E136" i="830"/>
  <c r="H136" i="830" s="1"/>
  <c r="E138" i="829"/>
  <c r="E136" i="829"/>
  <c r="H136" i="829" s="1"/>
  <c r="E138" i="828"/>
  <c r="E136" i="828"/>
  <c r="H136" i="828" s="1"/>
  <c r="E138" i="827"/>
  <c r="E136" i="827"/>
  <c r="E138" i="826"/>
  <c r="E136" i="826"/>
  <c r="J136" i="826" s="1"/>
  <c r="J147" i="822"/>
  <c r="H147" i="822"/>
  <c r="J146" i="822"/>
  <c r="H146" i="822"/>
  <c r="J145" i="822"/>
  <c r="H145" i="822"/>
  <c r="J143" i="822"/>
  <c r="H143" i="822"/>
  <c r="J141" i="822"/>
  <c r="H141" i="822"/>
  <c r="J140" i="822"/>
  <c r="H140" i="822"/>
  <c r="K140" i="822" s="1"/>
  <c r="J139" i="822"/>
  <c r="H139" i="822"/>
  <c r="J138" i="822"/>
  <c r="H138" i="822"/>
  <c r="J137" i="822"/>
  <c r="H137" i="822"/>
  <c r="J136" i="822"/>
  <c r="H136" i="822"/>
  <c r="J133" i="822"/>
  <c r="K133" i="822" s="1"/>
  <c r="H133" i="822"/>
  <c r="J132" i="822"/>
  <c r="H132" i="822"/>
  <c r="J131" i="822"/>
  <c r="H131" i="822"/>
  <c r="J130" i="822"/>
  <c r="H130" i="822"/>
  <c r="E127" i="822"/>
  <c r="J127" i="822" s="1"/>
  <c r="J125" i="822"/>
  <c r="H125" i="822"/>
  <c r="J124" i="822"/>
  <c r="H124" i="822"/>
  <c r="J123" i="822"/>
  <c r="H123" i="822"/>
  <c r="J122" i="822"/>
  <c r="H122" i="822"/>
  <c r="J120" i="822"/>
  <c r="H120" i="822"/>
  <c r="E119" i="822"/>
  <c r="E129" i="822" s="1"/>
  <c r="E118" i="822"/>
  <c r="E128" i="822" s="1"/>
  <c r="J117" i="822"/>
  <c r="H117" i="822"/>
  <c r="J116" i="822"/>
  <c r="H116" i="822"/>
  <c r="J155" i="831"/>
  <c r="H155" i="831"/>
  <c r="J154" i="831"/>
  <c r="H154" i="831"/>
  <c r="J153" i="831"/>
  <c r="H153" i="831"/>
  <c r="J151" i="831"/>
  <c r="H151" i="831"/>
  <c r="J149" i="831"/>
  <c r="H149" i="831"/>
  <c r="J148" i="831"/>
  <c r="H148" i="831"/>
  <c r="J147" i="831"/>
  <c r="H147" i="831"/>
  <c r="J146" i="831"/>
  <c r="H146" i="831"/>
  <c r="J145" i="831"/>
  <c r="H145" i="831"/>
  <c r="K145" i="831" s="1"/>
  <c r="J144" i="831"/>
  <c r="H144" i="831"/>
  <c r="J142" i="831"/>
  <c r="H142" i="831"/>
  <c r="J141" i="831"/>
  <c r="H141" i="831"/>
  <c r="J140" i="831"/>
  <c r="H140" i="831"/>
  <c r="J139" i="831"/>
  <c r="H139" i="831"/>
  <c r="J134" i="831"/>
  <c r="H134" i="831"/>
  <c r="J133" i="831"/>
  <c r="H133" i="831"/>
  <c r="J132" i="831"/>
  <c r="H132" i="831"/>
  <c r="J131" i="831"/>
  <c r="H131" i="831"/>
  <c r="J129" i="831"/>
  <c r="H129" i="831"/>
  <c r="J128" i="831"/>
  <c r="H128" i="831"/>
  <c r="E127" i="831"/>
  <c r="E137" i="831" s="1"/>
  <c r="J126" i="831"/>
  <c r="H126" i="831"/>
  <c r="J125" i="831"/>
  <c r="H125" i="831"/>
  <c r="J155" i="830"/>
  <c r="H155" i="830"/>
  <c r="J154" i="830"/>
  <c r="H154" i="830"/>
  <c r="J153" i="830"/>
  <c r="H153" i="830"/>
  <c r="J151" i="830"/>
  <c r="H151" i="830"/>
  <c r="J149" i="830"/>
  <c r="H149" i="830"/>
  <c r="J148" i="830"/>
  <c r="H148" i="830"/>
  <c r="J147" i="830"/>
  <c r="H147" i="830"/>
  <c r="J146" i="830"/>
  <c r="H146" i="830"/>
  <c r="J145" i="830"/>
  <c r="H145" i="830"/>
  <c r="J144" i="830"/>
  <c r="H144" i="830"/>
  <c r="J142" i="830"/>
  <c r="K142" i="830" s="1"/>
  <c r="H142" i="830"/>
  <c r="J141" i="830"/>
  <c r="H141" i="830"/>
  <c r="J140" i="830"/>
  <c r="H140" i="830"/>
  <c r="J139" i="830"/>
  <c r="H139" i="830"/>
  <c r="J134" i="830"/>
  <c r="H134" i="830"/>
  <c r="J133" i="830"/>
  <c r="H133" i="830"/>
  <c r="J132" i="830"/>
  <c r="H132" i="830"/>
  <c r="J131" i="830"/>
  <c r="H131" i="830"/>
  <c r="J129" i="830"/>
  <c r="H129" i="830"/>
  <c r="E127" i="830"/>
  <c r="J127" i="830" s="1"/>
  <c r="J126" i="830"/>
  <c r="H126" i="830"/>
  <c r="J125" i="830"/>
  <c r="H125" i="830"/>
  <c r="J155" i="829"/>
  <c r="H155" i="829"/>
  <c r="J154" i="829"/>
  <c r="H154" i="829"/>
  <c r="J153" i="829"/>
  <c r="H153" i="829"/>
  <c r="J151" i="829"/>
  <c r="H151" i="829"/>
  <c r="J149" i="829"/>
  <c r="H149" i="829"/>
  <c r="J148" i="829"/>
  <c r="H148" i="829"/>
  <c r="J147" i="829"/>
  <c r="H147" i="829"/>
  <c r="J146" i="829"/>
  <c r="H146" i="829"/>
  <c r="J145" i="829"/>
  <c r="H145" i="829"/>
  <c r="J144" i="829"/>
  <c r="H144" i="829"/>
  <c r="J142" i="829"/>
  <c r="H142" i="829"/>
  <c r="J141" i="829"/>
  <c r="H141" i="829"/>
  <c r="J140" i="829"/>
  <c r="H140" i="829"/>
  <c r="J139" i="829"/>
  <c r="H139" i="829"/>
  <c r="J134" i="829"/>
  <c r="H134" i="829"/>
  <c r="J133" i="829"/>
  <c r="H133" i="829"/>
  <c r="J132" i="829"/>
  <c r="H132" i="829"/>
  <c r="K132" i="829" s="1"/>
  <c r="J131" i="829"/>
  <c r="H131" i="829"/>
  <c r="J129" i="829"/>
  <c r="H129" i="829"/>
  <c r="E127" i="829"/>
  <c r="E137" i="829" s="1"/>
  <c r="J126" i="829"/>
  <c r="H126" i="829"/>
  <c r="J125" i="829"/>
  <c r="H125" i="829"/>
  <c r="K125" i="829" s="1"/>
  <c r="J155" i="828"/>
  <c r="H155" i="828"/>
  <c r="J154" i="828"/>
  <c r="H154" i="828"/>
  <c r="J153" i="828"/>
  <c r="H153" i="828"/>
  <c r="J151" i="828"/>
  <c r="H151" i="828"/>
  <c r="J149" i="828"/>
  <c r="H149" i="828"/>
  <c r="J148" i="828"/>
  <c r="H148" i="828"/>
  <c r="J147" i="828"/>
  <c r="H147" i="828"/>
  <c r="J146" i="828"/>
  <c r="H146" i="828"/>
  <c r="J145" i="828"/>
  <c r="H145" i="828"/>
  <c r="J144" i="828"/>
  <c r="H144" i="828"/>
  <c r="J142" i="828"/>
  <c r="H142" i="828"/>
  <c r="J141" i="828"/>
  <c r="H141" i="828"/>
  <c r="J140" i="828"/>
  <c r="H140" i="828"/>
  <c r="J139" i="828"/>
  <c r="H139" i="828"/>
  <c r="J136" i="828"/>
  <c r="J134" i="828"/>
  <c r="H134" i="828"/>
  <c r="J133" i="828"/>
  <c r="H133" i="828"/>
  <c r="J132" i="828"/>
  <c r="H132" i="828"/>
  <c r="J131" i="828"/>
  <c r="H131" i="828"/>
  <c r="J129" i="828"/>
  <c r="H129" i="828"/>
  <c r="E127" i="828"/>
  <c r="E137" i="828" s="1"/>
  <c r="J126" i="828"/>
  <c r="H126" i="828"/>
  <c r="J125" i="828"/>
  <c r="H125" i="828"/>
  <c r="J155" i="827"/>
  <c r="H155" i="827"/>
  <c r="J154" i="827"/>
  <c r="H154" i="827"/>
  <c r="J153" i="827"/>
  <c r="H153" i="827"/>
  <c r="J151" i="827"/>
  <c r="H151" i="827"/>
  <c r="J149" i="827"/>
  <c r="H149" i="827"/>
  <c r="J148" i="827"/>
  <c r="H148" i="827"/>
  <c r="J147" i="827"/>
  <c r="H147" i="827"/>
  <c r="J146" i="827"/>
  <c r="H146" i="827"/>
  <c r="J145" i="827"/>
  <c r="H145" i="827"/>
  <c r="J144" i="827"/>
  <c r="H144" i="827"/>
  <c r="K144" i="827" s="1"/>
  <c r="J142" i="827"/>
  <c r="H142" i="827"/>
  <c r="J141" i="827"/>
  <c r="H141" i="827"/>
  <c r="J140" i="827"/>
  <c r="H140" i="827"/>
  <c r="J139" i="827"/>
  <c r="H139" i="827"/>
  <c r="J136" i="827"/>
  <c r="J132" i="827"/>
  <c r="H132" i="827"/>
  <c r="J131" i="827"/>
  <c r="H131" i="827"/>
  <c r="J130" i="827"/>
  <c r="H130" i="827"/>
  <c r="J129" i="827"/>
  <c r="H129" i="827"/>
  <c r="J127" i="827"/>
  <c r="H127" i="827"/>
  <c r="J126" i="827"/>
  <c r="H126" i="827"/>
  <c r="E125" i="827"/>
  <c r="E137" i="827" s="1"/>
  <c r="J124" i="827"/>
  <c r="H124" i="827"/>
  <c r="K124" i="827" s="1"/>
  <c r="J123" i="827"/>
  <c r="H123" i="827"/>
  <c r="J155" i="826"/>
  <c r="H155" i="826"/>
  <c r="J154" i="826"/>
  <c r="H154" i="826"/>
  <c r="J153" i="826"/>
  <c r="H153" i="826"/>
  <c r="J151" i="826"/>
  <c r="H151" i="826"/>
  <c r="J149" i="826"/>
  <c r="H149" i="826"/>
  <c r="J148" i="826"/>
  <c r="H148" i="826"/>
  <c r="J147" i="826"/>
  <c r="H147" i="826"/>
  <c r="J146" i="826"/>
  <c r="H146" i="826"/>
  <c r="J145" i="826"/>
  <c r="H145" i="826"/>
  <c r="J144" i="826"/>
  <c r="H144" i="826"/>
  <c r="J142" i="826"/>
  <c r="H142" i="826"/>
  <c r="J141" i="826"/>
  <c r="H141" i="826"/>
  <c r="J140" i="826"/>
  <c r="H140" i="826"/>
  <c r="J139" i="826"/>
  <c r="H139" i="826"/>
  <c r="J134" i="826"/>
  <c r="H134" i="826"/>
  <c r="J133" i="826"/>
  <c r="H133" i="826"/>
  <c r="J132" i="826"/>
  <c r="H132" i="826"/>
  <c r="J131" i="826"/>
  <c r="H131" i="826"/>
  <c r="J129" i="826"/>
  <c r="H129" i="826"/>
  <c r="E127" i="826"/>
  <c r="E137" i="826" s="1"/>
  <c r="J126" i="826"/>
  <c r="H126" i="826"/>
  <c r="J125" i="826"/>
  <c r="H125" i="826"/>
  <c r="J167" i="821"/>
  <c r="H167" i="821"/>
  <c r="J166" i="821"/>
  <c r="H166" i="821"/>
  <c r="J165" i="821"/>
  <c r="H165" i="821"/>
  <c r="J163" i="821"/>
  <c r="H163" i="821"/>
  <c r="J161" i="821"/>
  <c r="H161" i="821"/>
  <c r="J160" i="821"/>
  <c r="H160" i="821"/>
  <c r="J159" i="821"/>
  <c r="H159" i="821"/>
  <c r="J158" i="821"/>
  <c r="H158" i="821"/>
  <c r="J157" i="821"/>
  <c r="H157" i="821"/>
  <c r="J156" i="821"/>
  <c r="H156" i="821"/>
  <c r="J154" i="821"/>
  <c r="H154" i="821"/>
  <c r="J153" i="821"/>
  <c r="H153" i="821"/>
  <c r="J152" i="821"/>
  <c r="H152" i="821"/>
  <c r="J151" i="821"/>
  <c r="H151" i="821"/>
  <c r="E148" i="821"/>
  <c r="J148" i="821" s="1"/>
  <c r="J146" i="821"/>
  <c r="H146" i="821"/>
  <c r="J145" i="821"/>
  <c r="H145" i="821"/>
  <c r="J144" i="821"/>
  <c r="H144" i="821"/>
  <c r="J143" i="821"/>
  <c r="H143" i="821"/>
  <c r="J141" i="821"/>
  <c r="H141" i="821"/>
  <c r="E140" i="821"/>
  <c r="E150" i="821" s="1"/>
  <c r="E139" i="821"/>
  <c r="E149" i="821" s="1"/>
  <c r="J138" i="821"/>
  <c r="H138" i="821"/>
  <c r="J137" i="821"/>
  <c r="H137" i="821"/>
  <c r="J155" i="825"/>
  <c r="H155" i="825"/>
  <c r="J154" i="825"/>
  <c r="H154" i="825"/>
  <c r="J153" i="825"/>
  <c r="H153" i="825"/>
  <c r="J151" i="825"/>
  <c r="H151" i="825"/>
  <c r="J149" i="825"/>
  <c r="H149" i="825"/>
  <c r="J148" i="825"/>
  <c r="K148" i="825" s="1"/>
  <c r="H148" i="825"/>
  <c r="J147" i="825"/>
  <c r="H147" i="825"/>
  <c r="J146" i="825"/>
  <c r="H146" i="825"/>
  <c r="J145" i="825"/>
  <c r="H145" i="825"/>
  <c r="J144" i="825"/>
  <c r="H144" i="825"/>
  <c r="J142" i="825"/>
  <c r="H142" i="825"/>
  <c r="J141" i="825"/>
  <c r="H141" i="825"/>
  <c r="J140" i="825"/>
  <c r="H140" i="825"/>
  <c r="J139" i="825"/>
  <c r="H139" i="825"/>
  <c r="E136" i="825"/>
  <c r="H136" i="825" s="1"/>
  <c r="J134" i="825"/>
  <c r="H134" i="825"/>
  <c r="J133" i="825"/>
  <c r="H133" i="825"/>
  <c r="J132" i="825"/>
  <c r="H132" i="825"/>
  <c r="J131" i="825"/>
  <c r="H131" i="825"/>
  <c r="K131" i="825" s="1"/>
  <c r="J129" i="825"/>
  <c r="H129" i="825"/>
  <c r="E128" i="825"/>
  <c r="E138" i="825" s="1"/>
  <c r="E127" i="825"/>
  <c r="J127" i="825" s="1"/>
  <c r="J126" i="825"/>
  <c r="H126" i="825"/>
  <c r="J125" i="825"/>
  <c r="H125" i="825"/>
  <c r="J155" i="820"/>
  <c r="H154" i="820"/>
  <c r="J153" i="820"/>
  <c r="J151" i="820"/>
  <c r="H149" i="820"/>
  <c r="J148" i="820"/>
  <c r="H148" i="820"/>
  <c r="J147" i="820"/>
  <c r="J146" i="820"/>
  <c r="H146" i="820"/>
  <c r="K146" i="820" s="1"/>
  <c r="J142" i="820"/>
  <c r="H142" i="820"/>
  <c r="J141" i="820"/>
  <c r="H141" i="820"/>
  <c r="J140" i="820"/>
  <c r="H140" i="820"/>
  <c r="J134" i="820"/>
  <c r="H133" i="820"/>
  <c r="J132" i="820"/>
  <c r="J131" i="820"/>
  <c r="J119" i="819"/>
  <c r="J120" i="819"/>
  <c r="H141" i="819"/>
  <c r="H140" i="819"/>
  <c r="H139" i="819"/>
  <c r="H135" i="819"/>
  <c r="J134" i="819"/>
  <c r="H134" i="819"/>
  <c r="H133" i="819"/>
  <c r="J132" i="819"/>
  <c r="H132" i="819"/>
  <c r="H137" i="819"/>
  <c r="J129" i="819"/>
  <c r="H129" i="819"/>
  <c r="J128" i="819"/>
  <c r="H128" i="819"/>
  <c r="H121" i="819"/>
  <c r="J118" i="819"/>
  <c r="H118" i="819"/>
  <c r="E279" i="816"/>
  <c r="E273" i="816"/>
  <c r="E272" i="816"/>
  <c r="K148" i="820" l="1"/>
  <c r="K131" i="826"/>
  <c r="K123" i="827"/>
  <c r="K147" i="822"/>
  <c r="K148" i="829"/>
  <c r="K141" i="822"/>
  <c r="K124" i="822"/>
  <c r="K125" i="822"/>
  <c r="H119" i="822"/>
  <c r="K146" i="822"/>
  <c r="K122" i="822"/>
  <c r="K132" i="822"/>
  <c r="K137" i="822"/>
  <c r="J119" i="822"/>
  <c r="K130" i="822"/>
  <c r="K138" i="822"/>
  <c r="K120" i="822"/>
  <c r="K136" i="822"/>
  <c r="K154" i="831"/>
  <c r="K155" i="831"/>
  <c r="K131" i="831"/>
  <c r="K148" i="831"/>
  <c r="K133" i="831"/>
  <c r="K149" i="831"/>
  <c r="K134" i="831"/>
  <c r="K129" i="831"/>
  <c r="K125" i="831"/>
  <c r="K128" i="831"/>
  <c r="K132" i="830"/>
  <c r="K139" i="830"/>
  <c r="K146" i="830"/>
  <c r="K155" i="830"/>
  <c r="K141" i="830"/>
  <c r="K148" i="830"/>
  <c r="K149" i="830"/>
  <c r="K125" i="830"/>
  <c r="K144" i="830"/>
  <c r="E137" i="830"/>
  <c r="H137" i="830" s="1"/>
  <c r="K129" i="830"/>
  <c r="K131" i="830"/>
  <c r="K131" i="829"/>
  <c r="J136" i="829"/>
  <c r="K139" i="829"/>
  <c r="K129" i="829"/>
  <c r="K144" i="829"/>
  <c r="K145" i="829"/>
  <c r="K141" i="829"/>
  <c r="K132" i="828"/>
  <c r="K131" i="828"/>
  <c r="K125" i="828"/>
  <c r="K139" i="828"/>
  <c r="K151" i="828"/>
  <c r="K146" i="828"/>
  <c r="K126" i="828"/>
  <c r="K148" i="828"/>
  <c r="K145" i="828"/>
  <c r="J127" i="828"/>
  <c r="K154" i="828"/>
  <c r="K140" i="828"/>
  <c r="K155" i="828"/>
  <c r="K132" i="827"/>
  <c r="K145" i="827"/>
  <c r="K141" i="827"/>
  <c r="K148" i="827"/>
  <c r="K154" i="827"/>
  <c r="K139" i="827"/>
  <c r="K155" i="827"/>
  <c r="K149" i="827"/>
  <c r="K146" i="827"/>
  <c r="K133" i="826"/>
  <c r="K161" i="821"/>
  <c r="K152" i="821"/>
  <c r="K167" i="821"/>
  <c r="K165" i="821"/>
  <c r="K160" i="821"/>
  <c r="K151" i="821"/>
  <c r="H148" i="821"/>
  <c r="K148" i="821" s="1"/>
  <c r="K157" i="821"/>
  <c r="K137" i="821"/>
  <c r="K138" i="821"/>
  <c r="K146" i="821"/>
  <c r="K125" i="825"/>
  <c r="K133" i="825"/>
  <c r="K126" i="827"/>
  <c r="K129" i="827"/>
  <c r="K131" i="827"/>
  <c r="K129" i="826"/>
  <c r="K134" i="826"/>
  <c r="K155" i="826"/>
  <c r="K125" i="826"/>
  <c r="K139" i="826"/>
  <c r="K141" i="826"/>
  <c r="K144" i="826"/>
  <c r="K146" i="826"/>
  <c r="K148" i="826"/>
  <c r="K151" i="826"/>
  <c r="K154" i="826"/>
  <c r="K154" i="821"/>
  <c r="K166" i="821"/>
  <c r="H139" i="821"/>
  <c r="K143" i="821"/>
  <c r="K156" i="821"/>
  <c r="K158" i="821"/>
  <c r="K129" i="825"/>
  <c r="K145" i="825"/>
  <c r="K149" i="825"/>
  <c r="K155" i="825"/>
  <c r="K142" i="831"/>
  <c r="K139" i="831"/>
  <c r="K141" i="831"/>
  <c r="K144" i="831"/>
  <c r="K146" i="831"/>
  <c r="K154" i="830"/>
  <c r="K133" i="830"/>
  <c r="K145" i="830"/>
  <c r="K151" i="829"/>
  <c r="K154" i="829"/>
  <c r="K153" i="829"/>
  <c r="K133" i="829"/>
  <c r="K140" i="829"/>
  <c r="K153" i="828"/>
  <c r="K144" i="828"/>
  <c r="K142" i="827"/>
  <c r="K147" i="826"/>
  <c r="K142" i="826"/>
  <c r="K153" i="826"/>
  <c r="K159" i="821"/>
  <c r="K153" i="821"/>
  <c r="K144" i="821"/>
  <c r="H128" i="826"/>
  <c r="K145" i="826"/>
  <c r="H127" i="826"/>
  <c r="J128" i="826"/>
  <c r="K149" i="826"/>
  <c r="K126" i="826"/>
  <c r="J127" i="826"/>
  <c r="H136" i="826"/>
  <c r="K136" i="826" s="1"/>
  <c r="K132" i="826"/>
  <c r="K140" i="826"/>
  <c r="H125" i="827"/>
  <c r="J125" i="827"/>
  <c r="H136" i="827"/>
  <c r="K136" i="827" s="1"/>
  <c r="K153" i="827"/>
  <c r="K147" i="827"/>
  <c r="K127" i="827"/>
  <c r="K130" i="827"/>
  <c r="K140" i="827"/>
  <c r="K151" i="827"/>
  <c r="K129" i="828"/>
  <c r="K136" i="828"/>
  <c r="H128" i="828"/>
  <c r="K134" i="828"/>
  <c r="K142" i="828"/>
  <c r="H127" i="828"/>
  <c r="J128" i="828"/>
  <c r="K133" i="828"/>
  <c r="K141" i="828"/>
  <c r="K147" i="828"/>
  <c r="K149" i="828"/>
  <c r="H128" i="829"/>
  <c r="K134" i="829"/>
  <c r="K142" i="829"/>
  <c r="H127" i="829"/>
  <c r="J128" i="829"/>
  <c r="K147" i="829"/>
  <c r="K149" i="829"/>
  <c r="K136" i="829"/>
  <c r="K126" i="829"/>
  <c r="J127" i="829"/>
  <c r="K146" i="829"/>
  <c r="K155" i="829"/>
  <c r="H138" i="830"/>
  <c r="J138" i="830"/>
  <c r="H128" i="830"/>
  <c r="K134" i="830"/>
  <c r="K147" i="830"/>
  <c r="H127" i="830"/>
  <c r="K127" i="830" s="1"/>
  <c r="J128" i="830"/>
  <c r="K153" i="830"/>
  <c r="K126" i="830"/>
  <c r="J136" i="830"/>
  <c r="K136" i="830" s="1"/>
  <c r="K140" i="830"/>
  <c r="K151" i="830"/>
  <c r="H127" i="831"/>
  <c r="K147" i="831"/>
  <c r="K126" i="831"/>
  <c r="J127" i="831"/>
  <c r="H136" i="831"/>
  <c r="K136" i="831" s="1"/>
  <c r="K153" i="831"/>
  <c r="K132" i="831"/>
  <c r="K140" i="831"/>
  <c r="K151" i="831"/>
  <c r="H118" i="822"/>
  <c r="K139" i="822"/>
  <c r="K117" i="822"/>
  <c r="J118" i="822"/>
  <c r="H127" i="822"/>
  <c r="K127" i="822" s="1"/>
  <c r="K145" i="822"/>
  <c r="K116" i="822"/>
  <c r="K123" i="822"/>
  <c r="K131" i="822"/>
  <c r="K143" i="822"/>
  <c r="H128" i="822"/>
  <c r="J128" i="822"/>
  <c r="H129" i="822"/>
  <c r="J129" i="822"/>
  <c r="H137" i="831"/>
  <c r="J137" i="831"/>
  <c r="H138" i="831"/>
  <c r="J138" i="831"/>
  <c r="H137" i="829"/>
  <c r="J137" i="829"/>
  <c r="H138" i="829"/>
  <c r="J138" i="829"/>
  <c r="H137" i="828"/>
  <c r="J137" i="828"/>
  <c r="H138" i="828"/>
  <c r="J138" i="828"/>
  <c r="H138" i="827"/>
  <c r="J138" i="827"/>
  <c r="H137" i="827"/>
  <c r="J137" i="827"/>
  <c r="H137" i="826"/>
  <c r="J137" i="826"/>
  <c r="H138" i="826"/>
  <c r="J138" i="826"/>
  <c r="H140" i="821"/>
  <c r="K141" i="821"/>
  <c r="K145" i="821"/>
  <c r="K163" i="821"/>
  <c r="H150" i="821"/>
  <c r="J150" i="821"/>
  <c r="H149" i="821"/>
  <c r="J149" i="821"/>
  <c r="J139" i="821"/>
  <c r="J140" i="821"/>
  <c r="K154" i="825"/>
  <c r="E137" i="825"/>
  <c r="H137" i="825" s="1"/>
  <c r="K142" i="825"/>
  <c r="K132" i="825"/>
  <c r="K139" i="825"/>
  <c r="K141" i="825"/>
  <c r="K144" i="825"/>
  <c r="K146" i="825"/>
  <c r="H138" i="825"/>
  <c r="J138" i="825"/>
  <c r="H128" i="825"/>
  <c r="K134" i="825"/>
  <c r="K147" i="825"/>
  <c r="H127" i="825"/>
  <c r="K127" i="825" s="1"/>
  <c r="J128" i="825"/>
  <c r="K153" i="825"/>
  <c r="K126" i="825"/>
  <c r="J136" i="825"/>
  <c r="K136" i="825" s="1"/>
  <c r="K140" i="825"/>
  <c r="K151" i="825"/>
  <c r="K141" i="820"/>
  <c r="H153" i="820"/>
  <c r="K153" i="820" s="1"/>
  <c r="H155" i="820"/>
  <c r="K155" i="820" s="1"/>
  <c r="J154" i="820"/>
  <c r="K154" i="820" s="1"/>
  <c r="H151" i="820"/>
  <c r="K151" i="820" s="1"/>
  <c r="H147" i="820"/>
  <c r="K147" i="820" s="1"/>
  <c r="J149" i="820"/>
  <c r="K149" i="820" s="1"/>
  <c r="K142" i="820"/>
  <c r="K140" i="820"/>
  <c r="H132" i="820"/>
  <c r="K132" i="820" s="1"/>
  <c r="J133" i="820"/>
  <c r="K133" i="820" s="1"/>
  <c r="H131" i="820"/>
  <c r="K131" i="820" s="1"/>
  <c r="H134" i="820"/>
  <c r="K134" i="820" s="1"/>
  <c r="H120" i="819"/>
  <c r="K120" i="819" s="1"/>
  <c r="K128" i="819"/>
  <c r="K134" i="819"/>
  <c r="K132" i="819"/>
  <c r="J133" i="819"/>
  <c r="K133" i="819" s="1"/>
  <c r="J121" i="819"/>
  <c r="K121" i="819" s="1"/>
  <c r="K129" i="819"/>
  <c r="H119" i="819"/>
  <c r="K119" i="819" s="1"/>
  <c r="J140" i="819"/>
  <c r="K140" i="819" s="1"/>
  <c r="J135" i="819"/>
  <c r="K135" i="819" s="1"/>
  <c r="K118" i="819"/>
  <c r="J139" i="819"/>
  <c r="K139" i="819" s="1"/>
  <c r="J141" i="819"/>
  <c r="K141" i="819" s="1"/>
  <c r="J137" i="819"/>
  <c r="K137" i="819" s="1"/>
  <c r="K119" i="822" l="1"/>
  <c r="J149" i="822"/>
  <c r="H149" i="822"/>
  <c r="J159" i="831"/>
  <c r="K127" i="831"/>
  <c r="H159" i="831"/>
  <c r="J137" i="830"/>
  <c r="K137" i="830" s="1"/>
  <c r="J159" i="830"/>
  <c r="H159" i="830"/>
  <c r="H159" i="829"/>
  <c r="K137" i="829"/>
  <c r="K127" i="829"/>
  <c r="J159" i="829"/>
  <c r="H159" i="828"/>
  <c r="J159" i="828"/>
  <c r="K127" i="828"/>
  <c r="K139" i="821"/>
  <c r="H170" i="821"/>
  <c r="J170" i="821"/>
  <c r="J159" i="827"/>
  <c r="H159" i="827"/>
  <c r="K138" i="827"/>
  <c r="J137" i="825"/>
  <c r="J159" i="825" s="1"/>
  <c r="H159" i="825"/>
  <c r="K128" i="830"/>
  <c r="K128" i="826"/>
  <c r="H159" i="826"/>
  <c r="J159" i="826"/>
  <c r="K127" i="826"/>
  <c r="K125" i="827"/>
  <c r="K128" i="828"/>
  <c r="K128" i="829"/>
  <c r="K138" i="830"/>
  <c r="K118" i="822"/>
  <c r="K129" i="822"/>
  <c r="K128" i="822"/>
  <c r="K137" i="831"/>
  <c r="K138" i="831"/>
  <c r="K138" i="829"/>
  <c r="K138" i="828"/>
  <c r="K137" i="828"/>
  <c r="K137" i="827"/>
  <c r="K138" i="826"/>
  <c r="K137" i="826"/>
  <c r="K140" i="821"/>
  <c r="K150" i="821"/>
  <c r="K149" i="821"/>
  <c r="K138" i="825"/>
  <c r="K128" i="825"/>
  <c r="K149" i="822" l="1"/>
  <c r="K159" i="831"/>
  <c r="K159" i="830"/>
  <c r="K159" i="829"/>
  <c r="K159" i="828"/>
  <c r="K170" i="821"/>
  <c r="K159" i="827"/>
  <c r="K137" i="825"/>
  <c r="K159" i="825" s="1"/>
  <c r="K159" i="826"/>
  <c r="E89" i="822" l="1"/>
  <c r="J89" i="822" s="1"/>
  <c r="E79" i="822"/>
  <c r="E81" i="822"/>
  <c r="E109" i="822" s="1"/>
  <c r="J109" i="822" s="1"/>
  <c r="E80" i="822"/>
  <c r="E108" i="822" s="1"/>
  <c r="J108" i="822" s="1"/>
  <c r="E89" i="831"/>
  <c r="E104" i="831" s="1"/>
  <c r="J104" i="831" s="1"/>
  <c r="E81" i="831"/>
  <c r="J81" i="831" s="1"/>
  <c r="E80" i="831"/>
  <c r="E115" i="831" s="1"/>
  <c r="J115" i="831" s="1"/>
  <c r="E79" i="831"/>
  <c r="J79" i="831" s="1"/>
  <c r="E89" i="830"/>
  <c r="H89" i="830" s="1"/>
  <c r="E81" i="830"/>
  <c r="J81" i="830" s="1"/>
  <c r="E80" i="830"/>
  <c r="J80" i="830" s="1"/>
  <c r="E79" i="830"/>
  <c r="J79" i="830" s="1"/>
  <c r="E89" i="829"/>
  <c r="E104" i="829" s="1"/>
  <c r="J104" i="829" s="1"/>
  <c r="E81" i="829"/>
  <c r="J81" i="829" s="1"/>
  <c r="E80" i="829"/>
  <c r="E115" i="829" s="1"/>
  <c r="J115" i="829" s="1"/>
  <c r="E79" i="829"/>
  <c r="J79" i="829" s="1"/>
  <c r="E89" i="828"/>
  <c r="E104" i="828" s="1"/>
  <c r="J104" i="828" s="1"/>
  <c r="E81" i="828"/>
  <c r="E116" i="828" s="1"/>
  <c r="J116" i="828" s="1"/>
  <c r="E80" i="828"/>
  <c r="E115" i="828" s="1"/>
  <c r="J115" i="828" s="1"/>
  <c r="E79" i="828"/>
  <c r="J79" i="828" s="1"/>
  <c r="E89" i="827"/>
  <c r="E104" i="827" s="1"/>
  <c r="J104" i="827" s="1"/>
  <c r="E81" i="827"/>
  <c r="J81" i="827" s="1"/>
  <c r="E80" i="827"/>
  <c r="J80" i="827" s="1"/>
  <c r="E79" i="827"/>
  <c r="E114" i="827" s="1"/>
  <c r="J114" i="827" s="1"/>
  <c r="E89" i="826"/>
  <c r="E102" i="826" s="1"/>
  <c r="J102" i="826" s="1"/>
  <c r="E81" i="826"/>
  <c r="E80" i="826"/>
  <c r="H80" i="826" s="1"/>
  <c r="E79" i="826"/>
  <c r="J79" i="826" s="1"/>
  <c r="E103" i="821"/>
  <c r="E115" i="821" s="1"/>
  <c r="J115" i="821" s="1"/>
  <c r="E95" i="821"/>
  <c r="H95" i="821" s="1"/>
  <c r="E94" i="821"/>
  <c r="H94" i="821" s="1"/>
  <c r="E93" i="821"/>
  <c r="J93" i="821" s="1"/>
  <c r="E89" i="825"/>
  <c r="H89" i="825" s="1"/>
  <c r="E89" i="820"/>
  <c r="E104" i="820" s="1"/>
  <c r="H104" i="820" s="1"/>
  <c r="E81" i="825"/>
  <c r="E116" i="825" s="1"/>
  <c r="J116" i="825" s="1"/>
  <c r="E80" i="825"/>
  <c r="E115" i="825" s="1"/>
  <c r="J115" i="825" s="1"/>
  <c r="E79" i="825"/>
  <c r="E114" i="825" s="1"/>
  <c r="J114" i="825" s="1"/>
  <c r="E80" i="820"/>
  <c r="E79" i="820"/>
  <c r="J79" i="820" s="1"/>
  <c r="E81" i="820"/>
  <c r="E116" i="820" s="1"/>
  <c r="H116" i="820" s="1"/>
  <c r="E129" i="816"/>
  <c r="H129" i="816" s="1"/>
  <c r="E82" i="819"/>
  <c r="J82" i="819" s="1"/>
  <c r="E83" i="819"/>
  <c r="J83" i="819" s="1"/>
  <c r="E84" i="819"/>
  <c r="E104" i="819" s="1"/>
  <c r="H104" i="819" s="1"/>
  <c r="I48" i="822"/>
  <c r="I46" i="831"/>
  <c r="I46" i="830"/>
  <c r="I46" i="829"/>
  <c r="I46" i="828"/>
  <c r="I46" i="827"/>
  <c r="I46" i="826"/>
  <c r="J65" i="822"/>
  <c r="H65" i="822"/>
  <c r="J56" i="831"/>
  <c r="H56" i="831"/>
  <c r="J56" i="830"/>
  <c r="H56" i="830"/>
  <c r="J56" i="829"/>
  <c r="H56" i="829"/>
  <c r="J56" i="828"/>
  <c r="H56" i="828"/>
  <c r="J56" i="827"/>
  <c r="H56" i="827"/>
  <c r="J56" i="826"/>
  <c r="H56" i="826"/>
  <c r="J66" i="821"/>
  <c r="H66" i="821"/>
  <c r="J55" i="825"/>
  <c r="H55" i="825"/>
  <c r="J55" i="820"/>
  <c r="H55" i="820"/>
  <c r="J57" i="819"/>
  <c r="H57" i="819"/>
  <c r="J64" i="822"/>
  <c r="H64" i="822"/>
  <c r="J55" i="831"/>
  <c r="H55" i="831"/>
  <c r="J55" i="830"/>
  <c r="H55" i="830"/>
  <c r="J55" i="829"/>
  <c r="H55" i="829"/>
  <c r="J55" i="828"/>
  <c r="H55" i="828"/>
  <c r="J55" i="827"/>
  <c r="H55" i="827"/>
  <c r="J55" i="826"/>
  <c r="H55" i="826"/>
  <c r="J65" i="821"/>
  <c r="H65" i="821"/>
  <c r="J54" i="825"/>
  <c r="H54" i="825"/>
  <c r="J54" i="820"/>
  <c r="H54" i="820"/>
  <c r="E174" i="822"/>
  <c r="J174" i="822" s="1"/>
  <c r="E173" i="822"/>
  <c r="J173" i="822" s="1"/>
  <c r="E75" i="821"/>
  <c r="J75" i="821" s="1"/>
  <c r="E74" i="821"/>
  <c r="H74" i="821" s="1"/>
  <c r="B18" i="822"/>
  <c r="A18" i="822"/>
  <c r="B19" i="822"/>
  <c r="A19" i="822"/>
  <c r="B209" i="822"/>
  <c r="J208" i="822"/>
  <c r="J207" i="822"/>
  <c r="H207" i="822"/>
  <c r="G208" i="822" s="1"/>
  <c r="H208" i="822" s="1"/>
  <c r="J205" i="822"/>
  <c r="O204" i="822"/>
  <c r="E204" i="822"/>
  <c r="J204" i="822" s="1"/>
  <c r="J202" i="822"/>
  <c r="J201" i="822"/>
  <c r="H201" i="822"/>
  <c r="J200" i="822"/>
  <c r="H200" i="822"/>
  <c r="E198" i="822"/>
  <c r="H198" i="822" s="1"/>
  <c r="E197" i="822"/>
  <c r="H197" i="822" s="1"/>
  <c r="J195" i="822"/>
  <c r="H195" i="822"/>
  <c r="J193" i="822"/>
  <c r="H193" i="822"/>
  <c r="J192" i="822"/>
  <c r="H192" i="822"/>
  <c r="J191" i="822"/>
  <c r="H191" i="822"/>
  <c r="J190" i="822"/>
  <c r="H190" i="822"/>
  <c r="J189" i="822"/>
  <c r="H189" i="822"/>
  <c r="I188" i="822"/>
  <c r="J188" i="822" s="1"/>
  <c r="H188" i="822"/>
  <c r="J187" i="822"/>
  <c r="H187" i="822"/>
  <c r="J186" i="822"/>
  <c r="H186" i="822"/>
  <c r="B209" i="831"/>
  <c r="J208" i="831"/>
  <c r="J207" i="831"/>
  <c r="H207" i="831"/>
  <c r="G208" i="831" s="1"/>
  <c r="H208" i="831" s="1"/>
  <c r="J205" i="831"/>
  <c r="O204" i="831"/>
  <c r="E204" i="831"/>
  <c r="J204" i="831" s="1"/>
  <c r="J202" i="831"/>
  <c r="J201" i="831"/>
  <c r="H201" i="831"/>
  <c r="J200" i="831"/>
  <c r="H200" i="831"/>
  <c r="E198" i="831"/>
  <c r="H198" i="831" s="1"/>
  <c r="E197" i="831"/>
  <c r="H197" i="831" s="1"/>
  <c r="J195" i="831"/>
  <c r="H195" i="831"/>
  <c r="J193" i="831"/>
  <c r="H193" i="831"/>
  <c r="J192" i="831"/>
  <c r="H192" i="831"/>
  <c r="J191" i="831"/>
  <c r="H191" i="831"/>
  <c r="J190" i="831"/>
  <c r="H190" i="831"/>
  <c r="J189" i="831"/>
  <c r="H189" i="831"/>
  <c r="I188" i="831"/>
  <c r="J188" i="831" s="1"/>
  <c r="H188" i="831"/>
  <c r="J187" i="831"/>
  <c r="H187" i="831"/>
  <c r="J186" i="831"/>
  <c r="H186" i="831"/>
  <c r="B209" i="830"/>
  <c r="J208" i="830"/>
  <c r="J207" i="830"/>
  <c r="H207" i="830"/>
  <c r="G208" i="830" s="1"/>
  <c r="H208" i="830" s="1"/>
  <c r="J205" i="830"/>
  <c r="O204" i="830"/>
  <c r="E204" i="830"/>
  <c r="J204" i="830" s="1"/>
  <c r="J202" i="830"/>
  <c r="J201" i="830"/>
  <c r="H201" i="830"/>
  <c r="J200" i="830"/>
  <c r="H200" i="830"/>
  <c r="E198" i="830"/>
  <c r="H198" i="830" s="1"/>
  <c r="E197" i="830"/>
  <c r="H197" i="830" s="1"/>
  <c r="J195" i="830"/>
  <c r="H195" i="830"/>
  <c r="J193" i="830"/>
  <c r="H193" i="830"/>
  <c r="J192" i="830"/>
  <c r="H192" i="830"/>
  <c r="J191" i="830"/>
  <c r="H191" i="830"/>
  <c r="J190" i="830"/>
  <c r="H190" i="830"/>
  <c r="J189" i="830"/>
  <c r="H189" i="830"/>
  <c r="I188" i="830"/>
  <c r="J188" i="830" s="1"/>
  <c r="H188" i="830"/>
  <c r="J187" i="830"/>
  <c r="H187" i="830"/>
  <c r="J186" i="830"/>
  <c r="H186" i="830"/>
  <c r="B209" i="829"/>
  <c r="J208" i="829"/>
  <c r="J207" i="829"/>
  <c r="H207" i="829"/>
  <c r="G208" i="829" s="1"/>
  <c r="H208" i="829" s="1"/>
  <c r="J205" i="829"/>
  <c r="O204" i="829"/>
  <c r="E204" i="829"/>
  <c r="J204" i="829" s="1"/>
  <c r="J202" i="829"/>
  <c r="J201" i="829"/>
  <c r="H201" i="829"/>
  <c r="J200" i="829"/>
  <c r="H200" i="829"/>
  <c r="E198" i="829"/>
  <c r="H198" i="829" s="1"/>
  <c r="E197" i="829"/>
  <c r="H197" i="829" s="1"/>
  <c r="J195" i="829"/>
  <c r="H195" i="829"/>
  <c r="J193" i="829"/>
  <c r="H193" i="829"/>
  <c r="J192" i="829"/>
  <c r="H192" i="829"/>
  <c r="J191" i="829"/>
  <c r="H191" i="829"/>
  <c r="J190" i="829"/>
  <c r="H190" i="829"/>
  <c r="J189" i="829"/>
  <c r="H189" i="829"/>
  <c r="I188" i="829"/>
  <c r="J188" i="829" s="1"/>
  <c r="H188" i="829"/>
  <c r="J187" i="829"/>
  <c r="H187" i="829"/>
  <c r="J186" i="829"/>
  <c r="H186" i="829"/>
  <c r="B234" i="828"/>
  <c r="J233" i="828"/>
  <c r="J232" i="828"/>
  <c r="H232" i="828"/>
  <c r="G233" i="828" s="1"/>
  <c r="H233" i="828" s="1"/>
  <c r="J230" i="828"/>
  <c r="O229" i="828"/>
  <c r="E229" i="828"/>
  <c r="J229" i="828" s="1"/>
  <c r="J227" i="828"/>
  <c r="J226" i="828"/>
  <c r="H226" i="828"/>
  <c r="J225" i="828"/>
  <c r="H225" i="828"/>
  <c r="E223" i="828"/>
  <c r="H223" i="828" s="1"/>
  <c r="E222" i="828"/>
  <c r="H222" i="828" s="1"/>
  <c r="J220" i="828"/>
  <c r="H220" i="828"/>
  <c r="J218" i="828"/>
  <c r="H218" i="828"/>
  <c r="J217" i="828"/>
  <c r="H217" i="828"/>
  <c r="J216" i="828"/>
  <c r="H216" i="828"/>
  <c r="J215" i="828"/>
  <c r="H215" i="828"/>
  <c r="J214" i="828"/>
  <c r="H214" i="828"/>
  <c r="I213" i="828"/>
  <c r="J213" i="828" s="1"/>
  <c r="H213" i="828"/>
  <c r="J212" i="828"/>
  <c r="H212" i="828"/>
  <c r="J211" i="828"/>
  <c r="H211" i="828"/>
  <c r="B19" i="831"/>
  <c r="A19" i="831"/>
  <c r="K19" i="830"/>
  <c r="J19" i="830"/>
  <c r="H19" i="830"/>
  <c r="B19" i="830"/>
  <c r="A19" i="830"/>
  <c r="K19" i="829"/>
  <c r="J19" i="829"/>
  <c r="H19" i="829"/>
  <c r="B19" i="829"/>
  <c r="A19" i="829"/>
  <c r="B19" i="828"/>
  <c r="A19" i="828"/>
  <c r="B209" i="828"/>
  <c r="J208" i="828"/>
  <c r="J207" i="828"/>
  <c r="H207" i="828"/>
  <c r="J205" i="828"/>
  <c r="O204" i="828"/>
  <c r="E204" i="828"/>
  <c r="J204" i="828" s="1"/>
  <c r="J202" i="828"/>
  <c r="J201" i="828"/>
  <c r="H201" i="828"/>
  <c r="J200" i="828"/>
  <c r="H200" i="828"/>
  <c r="E198" i="828"/>
  <c r="H198" i="828" s="1"/>
  <c r="E197" i="828"/>
  <c r="H197" i="828" s="1"/>
  <c r="J195" i="828"/>
  <c r="H195" i="828"/>
  <c r="J193" i="828"/>
  <c r="H193" i="828"/>
  <c r="J192" i="828"/>
  <c r="H192" i="828"/>
  <c r="J191" i="828"/>
  <c r="H191" i="828"/>
  <c r="J190" i="828"/>
  <c r="H190" i="828"/>
  <c r="J189" i="828"/>
  <c r="H189" i="828"/>
  <c r="I188" i="828"/>
  <c r="J188" i="828" s="1"/>
  <c r="H188" i="828"/>
  <c r="J187" i="828"/>
  <c r="H187" i="828"/>
  <c r="J186" i="828"/>
  <c r="H186" i="828"/>
  <c r="B19" i="827"/>
  <c r="A19" i="827"/>
  <c r="B209" i="827"/>
  <c r="J208" i="827"/>
  <c r="J207" i="827"/>
  <c r="H207" i="827"/>
  <c r="G208" i="827" s="1"/>
  <c r="H208" i="827" s="1"/>
  <c r="J205" i="827"/>
  <c r="O204" i="827"/>
  <c r="E204" i="827"/>
  <c r="J204" i="827" s="1"/>
  <c r="J202" i="827"/>
  <c r="J201" i="827"/>
  <c r="H201" i="827"/>
  <c r="J200" i="827"/>
  <c r="H200" i="827"/>
  <c r="E198" i="827"/>
  <c r="J198" i="827" s="1"/>
  <c r="E197" i="827"/>
  <c r="J197" i="827" s="1"/>
  <c r="J195" i="827"/>
  <c r="H195" i="827"/>
  <c r="J193" i="827"/>
  <c r="H193" i="827"/>
  <c r="J192" i="827"/>
  <c r="H192" i="827"/>
  <c r="J191" i="827"/>
  <c r="H191" i="827"/>
  <c r="J190" i="827"/>
  <c r="H190" i="827"/>
  <c r="J189" i="827"/>
  <c r="H189" i="827"/>
  <c r="I188" i="827"/>
  <c r="J188" i="827" s="1"/>
  <c r="H188" i="827"/>
  <c r="J187" i="827"/>
  <c r="H187" i="827"/>
  <c r="J186" i="827"/>
  <c r="H186" i="827"/>
  <c r="B19" i="826"/>
  <c r="A19" i="826"/>
  <c r="B209" i="826"/>
  <c r="J208" i="826"/>
  <c r="J207" i="826"/>
  <c r="H207" i="826"/>
  <c r="G208" i="826" s="1"/>
  <c r="H208" i="826" s="1"/>
  <c r="J205" i="826"/>
  <c r="O204" i="826"/>
  <c r="E204" i="826"/>
  <c r="J204" i="826" s="1"/>
  <c r="J202" i="826"/>
  <c r="J201" i="826"/>
  <c r="H201" i="826"/>
  <c r="J200" i="826"/>
  <c r="H200" i="826"/>
  <c r="E198" i="826"/>
  <c r="J198" i="826" s="1"/>
  <c r="E197" i="826"/>
  <c r="J197" i="826" s="1"/>
  <c r="J195" i="826"/>
  <c r="H195" i="826"/>
  <c r="J193" i="826"/>
  <c r="H193" i="826"/>
  <c r="J192" i="826"/>
  <c r="H192" i="826"/>
  <c r="J191" i="826"/>
  <c r="H191" i="826"/>
  <c r="J190" i="826"/>
  <c r="H190" i="826"/>
  <c r="J189" i="826"/>
  <c r="H189" i="826"/>
  <c r="I188" i="826"/>
  <c r="J188" i="826" s="1"/>
  <c r="H188" i="826"/>
  <c r="J187" i="826"/>
  <c r="H187" i="826"/>
  <c r="J186" i="826"/>
  <c r="H186" i="826"/>
  <c r="B19" i="821"/>
  <c r="A19" i="821"/>
  <c r="B234" i="821"/>
  <c r="J222" i="821"/>
  <c r="J221" i="821"/>
  <c r="H221" i="821"/>
  <c r="J219" i="821"/>
  <c r="O218" i="821"/>
  <c r="E218" i="821"/>
  <c r="J218" i="821" s="1"/>
  <c r="J216" i="821"/>
  <c r="J215" i="821"/>
  <c r="H215" i="821"/>
  <c r="J214" i="821"/>
  <c r="H214" i="821"/>
  <c r="E212" i="821"/>
  <c r="H212" i="821" s="1"/>
  <c r="E211" i="821"/>
  <c r="H211" i="821" s="1"/>
  <c r="J209" i="821"/>
  <c r="H209" i="821"/>
  <c r="J207" i="821"/>
  <c r="H207" i="821"/>
  <c r="J206" i="821"/>
  <c r="H206" i="821"/>
  <c r="J205" i="821"/>
  <c r="H205" i="821"/>
  <c r="J204" i="821"/>
  <c r="H204" i="821"/>
  <c r="J203" i="821"/>
  <c r="H203" i="821"/>
  <c r="I202" i="821"/>
  <c r="J202" i="821" s="1"/>
  <c r="H202" i="821"/>
  <c r="J201" i="821"/>
  <c r="H201" i="821"/>
  <c r="J200" i="821"/>
  <c r="H200" i="821"/>
  <c r="B19" i="825"/>
  <c r="A19" i="825"/>
  <c r="B203" i="825"/>
  <c r="J202" i="825"/>
  <c r="J201" i="825"/>
  <c r="H201" i="825"/>
  <c r="G202" i="825" s="1"/>
  <c r="H202" i="825" s="1"/>
  <c r="K202" i="825" s="1"/>
  <c r="J199" i="825"/>
  <c r="O198" i="825"/>
  <c r="E198" i="825"/>
  <c r="J198" i="825" s="1"/>
  <c r="J196" i="825"/>
  <c r="J195" i="825"/>
  <c r="H195" i="825"/>
  <c r="J194" i="825"/>
  <c r="H194" i="825"/>
  <c r="E192" i="825"/>
  <c r="J192" i="825" s="1"/>
  <c r="E191" i="825"/>
  <c r="J191" i="825" s="1"/>
  <c r="J189" i="825"/>
  <c r="H189" i="825"/>
  <c r="J187" i="825"/>
  <c r="H187" i="825"/>
  <c r="J186" i="825"/>
  <c r="H186" i="825"/>
  <c r="J185" i="825"/>
  <c r="H185" i="825"/>
  <c r="J184" i="825"/>
  <c r="H184" i="825"/>
  <c r="J183" i="825"/>
  <c r="H183" i="825"/>
  <c r="I182" i="825"/>
  <c r="J182" i="825" s="1"/>
  <c r="H182" i="825"/>
  <c r="J181" i="825"/>
  <c r="H181" i="825"/>
  <c r="J180" i="825"/>
  <c r="H180" i="825"/>
  <c r="B19" i="820"/>
  <c r="A19" i="820"/>
  <c r="B209" i="820"/>
  <c r="J208" i="820"/>
  <c r="J207" i="820"/>
  <c r="H207" i="820"/>
  <c r="G208" i="820" s="1"/>
  <c r="H208" i="820" s="1"/>
  <c r="J205" i="820"/>
  <c r="O204" i="820"/>
  <c r="E204" i="820"/>
  <c r="J204" i="820" s="1"/>
  <c r="J202" i="820"/>
  <c r="J201" i="820"/>
  <c r="H201" i="820"/>
  <c r="J200" i="820"/>
  <c r="H200" i="820"/>
  <c r="E198" i="820"/>
  <c r="H198" i="820" s="1"/>
  <c r="E197" i="820"/>
  <c r="H197" i="820" s="1"/>
  <c r="J195" i="820"/>
  <c r="H195" i="820"/>
  <c r="J193" i="820"/>
  <c r="H193" i="820"/>
  <c r="J192" i="820"/>
  <c r="H192" i="820"/>
  <c r="J191" i="820"/>
  <c r="H191" i="820"/>
  <c r="J190" i="820"/>
  <c r="H190" i="820"/>
  <c r="J189" i="820"/>
  <c r="H189" i="820"/>
  <c r="I188" i="820"/>
  <c r="J188" i="820" s="1"/>
  <c r="H188" i="820"/>
  <c r="J187" i="820"/>
  <c r="H187" i="820"/>
  <c r="J186" i="820"/>
  <c r="H186" i="820"/>
  <c r="E236" i="819"/>
  <c r="J236" i="819" s="1"/>
  <c r="E230" i="819"/>
  <c r="J230" i="819" s="1"/>
  <c r="E229" i="819"/>
  <c r="H229" i="819" s="1"/>
  <c r="B24" i="819"/>
  <c r="A24" i="819"/>
  <c r="B259" i="819"/>
  <c r="J240" i="819"/>
  <c r="J239" i="819"/>
  <c r="H239" i="819"/>
  <c r="G240" i="819" s="1"/>
  <c r="H240" i="819" s="1"/>
  <c r="J237" i="819"/>
  <c r="O236" i="819"/>
  <c r="J234" i="819"/>
  <c r="J233" i="819"/>
  <c r="H233" i="819"/>
  <c r="J232" i="819"/>
  <c r="H232" i="819"/>
  <c r="J227" i="819"/>
  <c r="H227" i="819"/>
  <c r="J225" i="819"/>
  <c r="H225" i="819"/>
  <c r="J224" i="819"/>
  <c r="H224" i="819"/>
  <c r="J223" i="819"/>
  <c r="H223" i="819"/>
  <c r="J222" i="819"/>
  <c r="H222" i="819"/>
  <c r="H221" i="819"/>
  <c r="J221" i="819"/>
  <c r="I220" i="819"/>
  <c r="J220" i="819" s="1"/>
  <c r="H220" i="819"/>
  <c r="J219" i="819"/>
  <c r="H219" i="819"/>
  <c r="J218" i="819"/>
  <c r="H218" i="819"/>
  <c r="I58" i="821"/>
  <c r="I45" i="825"/>
  <c r="I45" i="820"/>
  <c r="E56" i="821"/>
  <c r="E58" i="821" s="1"/>
  <c r="E44" i="826"/>
  <c r="E45" i="826" s="1"/>
  <c r="J45" i="826" s="1"/>
  <c r="E44" i="830"/>
  <c r="E45" i="830" s="1"/>
  <c r="J45" i="830" s="1"/>
  <c r="E44" i="831"/>
  <c r="E45" i="831" s="1"/>
  <c r="J45" i="831" s="1"/>
  <c r="E48" i="819"/>
  <c r="E50" i="819" s="1"/>
  <c r="H50" i="819" s="1"/>
  <c r="E46" i="822"/>
  <c r="E47" i="822" s="1"/>
  <c r="I44" i="822"/>
  <c r="J44" i="822" s="1"/>
  <c r="H44" i="822"/>
  <c r="I43" i="822"/>
  <c r="J43" i="822" s="1"/>
  <c r="H43" i="822"/>
  <c r="I42" i="822"/>
  <c r="J42" i="822" s="1"/>
  <c r="H42" i="822"/>
  <c r="I41" i="822"/>
  <c r="J41" i="822" s="1"/>
  <c r="H41" i="822"/>
  <c r="I40" i="822"/>
  <c r="J40" i="822" s="1"/>
  <c r="H40" i="822"/>
  <c r="I42" i="831"/>
  <c r="J42" i="831" s="1"/>
  <c r="H42" i="831"/>
  <c r="I41" i="831"/>
  <c r="J41" i="831" s="1"/>
  <c r="H41" i="831"/>
  <c r="I40" i="831"/>
  <c r="J40" i="831" s="1"/>
  <c r="H40" i="831"/>
  <c r="I39" i="831"/>
  <c r="J39" i="831" s="1"/>
  <c r="H39" i="831"/>
  <c r="I38" i="831"/>
  <c r="J38" i="831" s="1"/>
  <c r="H38" i="831"/>
  <c r="I37" i="831"/>
  <c r="J37" i="831" s="1"/>
  <c r="H37" i="831"/>
  <c r="I42" i="830"/>
  <c r="J42" i="830" s="1"/>
  <c r="H42" i="830"/>
  <c r="I41" i="830"/>
  <c r="J41" i="830" s="1"/>
  <c r="H41" i="830"/>
  <c r="I40" i="830"/>
  <c r="J40" i="830" s="1"/>
  <c r="H40" i="830"/>
  <c r="I39" i="830"/>
  <c r="J39" i="830" s="1"/>
  <c r="H39" i="830"/>
  <c r="I38" i="830"/>
  <c r="J38" i="830" s="1"/>
  <c r="H38" i="830"/>
  <c r="I37" i="830"/>
  <c r="J37" i="830" s="1"/>
  <c r="H37" i="830"/>
  <c r="E44" i="829"/>
  <c r="H44" i="829" s="1"/>
  <c r="K44" i="829" s="1"/>
  <c r="I42" i="829"/>
  <c r="J42" i="829" s="1"/>
  <c r="H42" i="829"/>
  <c r="I41" i="829"/>
  <c r="J41" i="829" s="1"/>
  <c r="H41" i="829"/>
  <c r="I40" i="829"/>
  <c r="J40" i="829" s="1"/>
  <c r="H40" i="829"/>
  <c r="I39" i="829"/>
  <c r="J39" i="829" s="1"/>
  <c r="H39" i="829"/>
  <c r="I38" i="829"/>
  <c r="J38" i="829" s="1"/>
  <c r="H38" i="829"/>
  <c r="I37" i="829"/>
  <c r="J37" i="829" s="1"/>
  <c r="H37" i="829"/>
  <c r="E44" i="828"/>
  <c r="E45" i="828" s="1"/>
  <c r="J45" i="828" s="1"/>
  <c r="I42" i="828"/>
  <c r="J42" i="828" s="1"/>
  <c r="H42" i="828"/>
  <c r="I41" i="828"/>
  <c r="J41" i="828" s="1"/>
  <c r="H41" i="828"/>
  <c r="I40" i="828"/>
  <c r="J40" i="828" s="1"/>
  <c r="H40" i="828"/>
  <c r="I39" i="828"/>
  <c r="J39" i="828" s="1"/>
  <c r="H39" i="828"/>
  <c r="I38" i="828"/>
  <c r="J38" i="828" s="1"/>
  <c r="H38" i="828"/>
  <c r="I37" i="828"/>
  <c r="J37" i="828" s="1"/>
  <c r="H37" i="828"/>
  <c r="E44" i="827"/>
  <c r="E46" i="827" s="1"/>
  <c r="I42" i="827"/>
  <c r="J42" i="827" s="1"/>
  <c r="H42" i="827"/>
  <c r="I41" i="827"/>
  <c r="J41" i="827" s="1"/>
  <c r="H41" i="827"/>
  <c r="I40" i="827"/>
  <c r="J40" i="827" s="1"/>
  <c r="H40" i="827"/>
  <c r="I39" i="827"/>
  <c r="J39" i="827" s="1"/>
  <c r="H39" i="827"/>
  <c r="I38" i="827"/>
  <c r="J38" i="827" s="1"/>
  <c r="H38" i="827"/>
  <c r="I37" i="827"/>
  <c r="J37" i="827" s="1"/>
  <c r="H37" i="827"/>
  <c r="I42" i="826"/>
  <c r="J42" i="826" s="1"/>
  <c r="H42" i="826"/>
  <c r="I41" i="826"/>
  <c r="J41" i="826" s="1"/>
  <c r="H41" i="826"/>
  <c r="I40" i="826"/>
  <c r="J40" i="826" s="1"/>
  <c r="H40" i="826"/>
  <c r="I39" i="826"/>
  <c r="J39" i="826" s="1"/>
  <c r="H39" i="826"/>
  <c r="I38" i="826"/>
  <c r="J38" i="826" s="1"/>
  <c r="H38" i="826"/>
  <c r="I37" i="826"/>
  <c r="J37" i="826" s="1"/>
  <c r="H37" i="826"/>
  <c r="I55" i="821"/>
  <c r="J55" i="821" s="1"/>
  <c r="H55" i="821"/>
  <c r="I54" i="821"/>
  <c r="J54" i="821" s="1"/>
  <c r="H54" i="821"/>
  <c r="I53" i="821"/>
  <c r="J53" i="821" s="1"/>
  <c r="H53" i="821"/>
  <c r="I52" i="821"/>
  <c r="J52" i="821" s="1"/>
  <c r="H52" i="821"/>
  <c r="E43" i="825"/>
  <c r="E45" i="825" s="1"/>
  <c r="I41" i="825"/>
  <c r="J41" i="825" s="1"/>
  <c r="H41" i="825"/>
  <c r="I40" i="825"/>
  <c r="J40" i="825" s="1"/>
  <c r="H40" i="825"/>
  <c r="I39" i="825"/>
  <c r="J39" i="825" s="1"/>
  <c r="H39" i="825"/>
  <c r="I38" i="825"/>
  <c r="J38" i="825" s="1"/>
  <c r="H38" i="825"/>
  <c r="I37" i="825"/>
  <c r="J37" i="825" s="1"/>
  <c r="H37" i="825"/>
  <c r="E43" i="820"/>
  <c r="E45" i="820" s="1"/>
  <c r="I42" i="820"/>
  <c r="J42" i="820" s="1"/>
  <c r="H42" i="820"/>
  <c r="I41" i="820"/>
  <c r="J41" i="820" s="1"/>
  <c r="H41" i="820"/>
  <c r="I40" i="820"/>
  <c r="J40" i="820" s="1"/>
  <c r="H40" i="820"/>
  <c r="I39" i="820"/>
  <c r="J39" i="820" s="1"/>
  <c r="H39" i="820"/>
  <c r="I38" i="820"/>
  <c r="J38" i="820" s="1"/>
  <c r="H38" i="820"/>
  <c r="I37" i="820"/>
  <c r="J37" i="820" s="1"/>
  <c r="H37" i="820"/>
  <c r="I46" i="819"/>
  <c r="J46" i="819" s="1"/>
  <c r="H46" i="819"/>
  <c r="I45" i="819"/>
  <c r="J45" i="819" s="1"/>
  <c r="H45" i="819"/>
  <c r="I44" i="819"/>
  <c r="J44" i="819" s="1"/>
  <c r="H44" i="819"/>
  <c r="I43" i="819"/>
  <c r="J43" i="819" s="1"/>
  <c r="H43" i="819"/>
  <c r="I42" i="819"/>
  <c r="J42" i="819" s="1"/>
  <c r="H42" i="819"/>
  <c r="I41" i="819"/>
  <c r="J41" i="819" s="1"/>
  <c r="H41" i="819"/>
  <c r="B25" i="815"/>
  <c r="B24" i="815"/>
  <c r="B23" i="815"/>
  <c r="B22" i="815"/>
  <c r="B21" i="815"/>
  <c r="B20" i="815"/>
  <c r="B18" i="815"/>
  <c r="B17" i="815"/>
  <c r="I156" i="822"/>
  <c r="J156" i="822" s="1"/>
  <c r="I157" i="822"/>
  <c r="J157" i="822" s="1"/>
  <c r="I158" i="822"/>
  <c r="J158" i="822" s="1"/>
  <c r="I159" i="822"/>
  <c r="J159" i="822" s="1"/>
  <c r="I155" i="822"/>
  <c r="J155" i="822" s="1"/>
  <c r="I163" i="831"/>
  <c r="J163" i="831" s="1"/>
  <c r="I164" i="831"/>
  <c r="J164" i="831" s="1"/>
  <c r="I165" i="831"/>
  <c r="I166" i="831"/>
  <c r="J166" i="831" s="1"/>
  <c r="I167" i="831"/>
  <c r="J167" i="831" s="1"/>
  <c r="I162" i="831"/>
  <c r="J162" i="831" s="1"/>
  <c r="I163" i="830"/>
  <c r="J163" i="830" s="1"/>
  <c r="I164" i="830"/>
  <c r="J164" i="830" s="1"/>
  <c r="I165" i="830"/>
  <c r="J165" i="830" s="1"/>
  <c r="I166" i="830"/>
  <c r="J166" i="830" s="1"/>
  <c r="I167" i="830"/>
  <c r="J167" i="830" s="1"/>
  <c r="I162" i="830"/>
  <c r="J162" i="830" s="1"/>
  <c r="I163" i="829"/>
  <c r="J163" i="829" s="1"/>
  <c r="I164" i="829"/>
  <c r="J164" i="829" s="1"/>
  <c r="I165" i="829"/>
  <c r="J165" i="829" s="1"/>
  <c r="I166" i="829"/>
  <c r="J166" i="829" s="1"/>
  <c r="I167" i="829"/>
  <c r="J167" i="829" s="1"/>
  <c r="I162" i="829"/>
  <c r="J162" i="829" s="1"/>
  <c r="I163" i="828"/>
  <c r="J163" i="828" s="1"/>
  <c r="I164" i="828"/>
  <c r="J164" i="828" s="1"/>
  <c r="I165" i="828"/>
  <c r="J165" i="828" s="1"/>
  <c r="I166" i="828"/>
  <c r="J166" i="828" s="1"/>
  <c r="I167" i="828"/>
  <c r="J167" i="828" s="1"/>
  <c r="I162" i="828"/>
  <c r="J162" i="828" s="1"/>
  <c r="I163" i="827"/>
  <c r="J163" i="827" s="1"/>
  <c r="I164" i="827"/>
  <c r="J164" i="827" s="1"/>
  <c r="I165" i="827"/>
  <c r="J165" i="827" s="1"/>
  <c r="I166" i="827"/>
  <c r="J166" i="827" s="1"/>
  <c r="I167" i="827"/>
  <c r="J167" i="827" s="1"/>
  <c r="I162" i="827"/>
  <c r="J162" i="827" s="1"/>
  <c r="I163" i="826"/>
  <c r="J163" i="826" s="1"/>
  <c r="I164" i="826"/>
  <c r="J164" i="826" s="1"/>
  <c r="I165" i="826"/>
  <c r="J165" i="826" s="1"/>
  <c r="I166" i="826"/>
  <c r="J166" i="826" s="1"/>
  <c r="I167" i="826"/>
  <c r="J167" i="826" s="1"/>
  <c r="I162" i="826"/>
  <c r="J162" i="826" s="1"/>
  <c r="I182" i="821"/>
  <c r="J182" i="821" s="1"/>
  <c r="I183" i="821"/>
  <c r="J183" i="821" s="1"/>
  <c r="I184" i="821"/>
  <c r="J184" i="821" s="1"/>
  <c r="I181" i="821"/>
  <c r="J181" i="821" s="1"/>
  <c r="I163" i="825"/>
  <c r="J163" i="825" s="1"/>
  <c r="I164" i="825"/>
  <c r="J164" i="825" s="1"/>
  <c r="I165" i="825"/>
  <c r="J165" i="825" s="1"/>
  <c r="I166" i="825"/>
  <c r="J166" i="825" s="1"/>
  <c r="I162" i="825"/>
  <c r="J162" i="825" s="1"/>
  <c r="I163" i="820"/>
  <c r="J163" i="820" s="1"/>
  <c r="I164" i="820"/>
  <c r="J164" i="820" s="1"/>
  <c r="I165" i="820"/>
  <c r="J165" i="820" s="1"/>
  <c r="I166" i="820"/>
  <c r="J166" i="820" s="1"/>
  <c r="I167" i="820"/>
  <c r="J167" i="820" s="1"/>
  <c r="I162" i="820"/>
  <c r="J162" i="820" s="1"/>
  <c r="I196" i="819"/>
  <c r="J196" i="819" s="1"/>
  <c r="I197" i="819"/>
  <c r="J197" i="819" s="1"/>
  <c r="I198" i="819"/>
  <c r="J198" i="819" s="1"/>
  <c r="I199" i="819"/>
  <c r="J199" i="819" s="1"/>
  <c r="I200" i="819"/>
  <c r="J200" i="819" s="1"/>
  <c r="I195" i="819"/>
  <c r="J195" i="819" s="1"/>
  <c r="I193" i="819"/>
  <c r="J193" i="819" s="1"/>
  <c r="O165" i="822"/>
  <c r="O162" i="822"/>
  <c r="E162" i="822"/>
  <c r="E165" i="822" s="1"/>
  <c r="O174" i="831"/>
  <c r="O171" i="831"/>
  <c r="E171" i="831"/>
  <c r="J171" i="831" s="1"/>
  <c r="O174" i="830"/>
  <c r="O171" i="830"/>
  <c r="E171" i="830"/>
  <c r="E174" i="830" s="1"/>
  <c r="O174" i="829"/>
  <c r="O171" i="829"/>
  <c r="E171" i="829"/>
  <c r="E174" i="829" s="1"/>
  <c r="O174" i="828"/>
  <c r="O171" i="828"/>
  <c r="E171" i="828"/>
  <c r="E174" i="828" s="1"/>
  <c r="O174" i="827"/>
  <c r="O171" i="827"/>
  <c r="E171" i="827"/>
  <c r="E174" i="827" s="1"/>
  <c r="E171" i="826"/>
  <c r="J171" i="826" s="1"/>
  <c r="O174" i="826"/>
  <c r="O171" i="826"/>
  <c r="O190" i="821"/>
  <c r="E187" i="821"/>
  <c r="H187" i="821" s="1"/>
  <c r="O187" i="821"/>
  <c r="O173" i="825"/>
  <c r="E170" i="825"/>
  <c r="J170" i="825" s="1"/>
  <c r="O170" i="825"/>
  <c r="O173" i="820"/>
  <c r="O170" i="820"/>
  <c r="E170" i="820"/>
  <c r="E173" i="820" s="1"/>
  <c r="E203" i="819"/>
  <c r="E206" i="819" s="1"/>
  <c r="H206" i="819" s="1"/>
  <c r="O206" i="819"/>
  <c r="O203" i="819"/>
  <c r="H159" i="822"/>
  <c r="H158" i="822"/>
  <c r="H157" i="822"/>
  <c r="H156" i="822"/>
  <c r="H155" i="822"/>
  <c r="H167" i="831"/>
  <c r="H166" i="831"/>
  <c r="J165" i="831"/>
  <c r="H165" i="831"/>
  <c r="H164" i="831"/>
  <c r="H163" i="831"/>
  <c r="H162" i="831"/>
  <c r="H167" i="830"/>
  <c r="H166" i="830"/>
  <c r="H165" i="830"/>
  <c r="H164" i="830"/>
  <c r="H163" i="830"/>
  <c r="H162" i="830"/>
  <c r="H167" i="829"/>
  <c r="H166" i="829"/>
  <c r="H165" i="829"/>
  <c r="H164" i="829"/>
  <c r="H163" i="829"/>
  <c r="H162" i="829"/>
  <c r="H167" i="828"/>
  <c r="H166" i="828"/>
  <c r="H165" i="828"/>
  <c r="H164" i="828"/>
  <c r="H163" i="828"/>
  <c r="H162" i="828"/>
  <c r="H167" i="827"/>
  <c r="H166" i="827"/>
  <c r="H165" i="827"/>
  <c r="H164" i="827"/>
  <c r="H163" i="827"/>
  <c r="H162" i="827"/>
  <c r="H167" i="826"/>
  <c r="H166" i="826"/>
  <c r="H165" i="826"/>
  <c r="H164" i="826"/>
  <c r="H163" i="826"/>
  <c r="H162" i="826"/>
  <c r="H184" i="821"/>
  <c r="H183" i="821"/>
  <c r="H182" i="821"/>
  <c r="H181" i="821"/>
  <c r="H166" i="825"/>
  <c r="H165" i="825"/>
  <c r="H164" i="825"/>
  <c r="H163" i="825"/>
  <c r="H162" i="825"/>
  <c r="H167" i="820"/>
  <c r="H166" i="820"/>
  <c r="H165" i="820"/>
  <c r="H164" i="820"/>
  <c r="H163" i="820"/>
  <c r="H162" i="820"/>
  <c r="H200" i="819"/>
  <c r="H199" i="819"/>
  <c r="H198" i="819"/>
  <c r="H197" i="819"/>
  <c r="H196" i="819"/>
  <c r="H195" i="819"/>
  <c r="B184" i="822"/>
  <c r="G175" i="822"/>
  <c r="I175" i="822" s="1"/>
  <c r="J175" i="822" s="1"/>
  <c r="H173" i="822"/>
  <c r="J172" i="822"/>
  <c r="H172" i="822"/>
  <c r="B184" i="831"/>
  <c r="O173" i="831"/>
  <c r="J173" i="831"/>
  <c r="H173" i="831"/>
  <c r="O170" i="831"/>
  <c r="J170" i="831"/>
  <c r="H170" i="831"/>
  <c r="J168" i="831"/>
  <c r="H168" i="831"/>
  <c r="B159" i="831"/>
  <c r="B122" i="831"/>
  <c r="E116" i="831"/>
  <c r="J116" i="831" s="1"/>
  <c r="E113" i="831"/>
  <c r="J113" i="831" s="1"/>
  <c r="J112" i="831"/>
  <c r="H112" i="831"/>
  <c r="J111" i="831"/>
  <c r="H111" i="831"/>
  <c r="E109" i="831"/>
  <c r="H109" i="831" s="1"/>
  <c r="E108" i="831"/>
  <c r="J108" i="831" s="1"/>
  <c r="I107" i="831"/>
  <c r="E107" i="831"/>
  <c r="H107" i="831" s="1"/>
  <c r="I106" i="831"/>
  <c r="E106" i="831"/>
  <c r="H106" i="831" s="1"/>
  <c r="I103" i="831"/>
  <c r="E103" i="831"/>
  <c r="I102" i="831"/>
  <c r="E102" i="831"/>
  <c r="H102" i="831" s="1"/>
  <c r="I101" i="831"/>
  <c r="E101" i="831"/>
  <c r="H101" i="831" s="1"/>
  <c r="B98" i="831"/>
  <c r="O90" i="831"/>
  <c r="J90" i="831"/>
  <c r="H90" i="831"/>
  <c r="O89" i="831"/>
  <c r="H89" i="831"/>
  <c r="O88" i="831"/>
  <c r="J88" i="831"/>
  <c r="H88" i="831"/>
  <c r="O87" i="831"/>
  <c r="J87" i="831"/>
  <c r="H87" i="831"/>
  <c r="O86" i="831"/>
  <c r="J86" i="831"/>
  <c r="H86" i="831"/>
  <c r="J80" i="831"/>
  <c r="H79" i="831"/>
  <c r="J78" i="831"/>
  <c r="H78" i="831"/>
  <c r="J77" i="831"/>
  <c r="H77" i="831"/>
  <c r="J76" i="831"/>
  <c r="H76" i="831"/>
  <c r="J75" i="831"/>
  <c r="H75" i="831"/>
  <c r="J74" i="831"/>
  <c r="H74" i="831"/>
  <c r="B70" i="831"/>
  <c r="G65" i="831"/>
  <c r="I65" i="831" s="1"/>
  <c r="J65" i="831" s="1"/>
  <c r="J64" i="831"/>
  <c r="H64" i="831"/>
  <c r="J63" i="831"/>
  <c r="H63" i="831"/>
  <c r="J62" i="831"/>
  <c r="H62" i="831"/>
  <c r="B59" i="831"/>
  <c r="J54" i="831"/>
  <c r="H54" i="831"/>
  <c r="J53" i="831"/>
  <c r="H53" i="831"/>
  <c r="B49" i="831"/>
  <c r="B34" i="831"/>
  <c r="B18" i="831"/>
  <c r="A18" i="831"/>
  <c r="B17" i="831"/>
  <c r="A17" i="831"/>
  <c r="B16" i="831"/>
  <c r="A16" i="831"/>
  <c r="B15" i="831"/>
  <c r="A15" i="831"/>
  <c r="B14" i="831"/>
  <c r="A14" i="831"/>
  <c r="B13" i="831"/>
  <c r="A13" i="831"/>
  <c r="B12" i="831"/>
  <c r="A12" i="831"/>
  <c r="B184" i="830"/>
  <c r="O173" i="830"/>
  <c r="J173" i="830"/>
  <c r="H173" i="830"/>
  <c r="O170" i="830"/>
  <c r="J170" i="830"/>
  <c r="H170" i="830"/>
  <c r="J168" i="830"/>
  <c r="H168" i="830"/>
  <c r="B159" i="830"/>
  <c r="B122" i="830"/>
  <c r="E113" i="830"/>
  <c r="J113" i="830" s="1"/>
  <c r="J112" i="830"/>
  <c r="H112" i="830"/>
  <c r="J111" i="830"/>
  <c r="H111" i="830"/>
  <c r="E109" i="830"/>
  <c r="J109" i="830" s="1"/>
  <c r="E108" i="830"/>
  <c r="J108" i="830" s="1"/>
  <c r="I107" i="830"/>
  <c r="E107" i="830"/>
  <c r="H107" i="830" s="1"/>
  <c r="I106" i="830"/>
  <c r="E106" i="830"/>
  <c r="H106" i="830" s="1"/>
  <c r="E104" i="830"/>
  <c r="J104" i="830" s="1"/>
  <c r="I103" i="830"/>
  <c r="E103" i="830"/>
  <c r="I102" i="830"/>
  <c r="E102" i="830"/>
  <c r="I101" i="830"/>
  <c r="E101" i="830"/>
  <c r="H101" i="830" s="1"/>
  <c r="B98" i="830"/>
  <c r="O90" i="830"/>
  <c r="J90" i="830"/>
  <c r="H90" i="830"/>
  <c r="O89" i="830"/>
  <c r="J89" i="830"/>
  <c r="O88" i="830"/>
  <c r="J88" i="830"/>
  <c r="H88" i="830"/>
  <c r="O87" i="830"/>
  <c r="J87" i="830"/>
  <c r="H87" i="830"/>
  <c r="O86" i="830"/>
  <c r="J86" i="830"/>
  <c r="H86" i="830"/>
  <c r="J78" i="830"/>
  <c r="H78" i="830"/>
  <c r="J77" i="830"/>
  <c r="H77" i="830"/>
  <c r="J76" i="830"/>
  <c r="H76" i="830"/>
  <c r="J75" i="830"/>
  <c r="H75" i="830"/>
  <c r="J74" i="830"/>
  <c r="H74" i="830"/>
  <c r="B70" i="830"/>
  <c r="G65" i="830"/>
  <c r="I65" i="830" s="1"/>
  <c r="J65" i="830" s="1"/>
  <c r="J64" i="830"/>
  <c r="H64" i="830"/>
  <c r="J63" i="830"/>
  <c r="H63" i="830"/>
  <c r="J62" i="830"/>
  <c r="H62" i="830"/>
  <c r="B59" i="830"/>
  <c r="J54" i="830"/>
  <c r="H54" i="830"/>
  <c r="J53" i="830"/>
  <c r="H53" i="830"/>
  <c r="B49" i="830"/>
  <c r="B34" i="830"/>
  <c r="B18" i="830"/>
  <c r="A18" i="830"/>
  <c r="B17" i="830"/>
  <c r="A17" i="830"/>
  <c r="B16" i="830"/>
  <c r="A16" i="830"/>
  <c r="B15" i="830"/>
  <c r="A15" i="830"/>
  <c r="B14" i="830"/>
  <c r="A14" i="830"/>
  <c r="B13" i="830"/>
  <c r="A13" i="830"/>
  <c r="B12" i="830"/>
  <c r="A12" i="830"/>
  <c r="B184" i="829"/>
  <c r="O173" i="829"/>
  <c r="J173" i="829"/>
  <c r="H173" i="829"/>
  <c r="O170" i="829"/>
  <c r="J170" i="829"/>
  <c r="H170" i="829"/>
  <c r="J168" i="829"/>
  <c r="H168" i="829"/>
  <c r="B159" i="829"/>
  <c r="B122" i="829"/>
  <c r="E113" i="829"/>
  <c r="J113" i="829" s="1"/>
  <c r="J112" i="829"/>
  <c r="H112" i="829"/>
  <c r="J111" i="829"/>
  <c r="H111" i="829"/>
  <c r="E109" i="829"/>
  <c r="H109" i="829" s="1"/>
  <c r="E108" i="829"/>
  <c r="J108" i="829" s="1"/>
  <c r="I107" i="829"/>
  <c r="E107" i="829"/>
  <c r="H107" i="829" s="1"/>
  <c r="I106" i="829"/>
  <c r="E106" i="829"/>
  <c r="H106" i="829" s="1"/>
  <c r="I103" i="829"/>
  <c r="E103" i="829"/>
  <c r="I102" i="829"/>
  <c r="E102" i="829"/>
  <c r="H102" i="829" s="1"/>
  <c r="I101" i="829"/>
  <c r="E101" i="829"/>
  <c r="H101" i="829" s="1"/>
  <c r="B98" i="829"/>
  <c r="O90" i="829"/>
  <c r="J90" i="829"/>
  <c r="H90" i="829"/>
  <c r="O89" i="829"/>
  <c r="O88" i="829"/>
  <c r="J88" i="829"/>
  <c r="H88" i="829"/>
  <c r="O87" i="829"/>
  <c r="J87" i="829"/>
  <c r="H87" i="829"/>
  <c r="O86" i="829"/>
  <c r="J86" i="829"/>
  <c r="H86" i="829"/>
  <c r="H80" i="829"/>
  <c r="J78" i="829"/>
  <c r="H78" i="829"/>
  <c r="J77" i="829"/>
  <c r="H77" i="829"/>
  <c r="J76" i="829"/>
  <c r="H76" i="829"/>
  <c r="J75" i="829"/>
  <c r="H75" i="829"/>
  <c r="J74" i="829"/>
  <c r="H74" i="829"/>
  <c r="B70" i="829"/>
  <c r="G65" i="829"/>
  <c r="H65" i="829" s="1"/>
  <c r="J64" i="829"/>
  <c r="H64" i="829"/>
  <c r="J63" i="829"/>
  <c r="H63" i="829"/>
  <c r="J62" i="829"/>
  <c r="H62" i="829"/>
  <c r="B59" i="829"/>
  <c r="J54" i="829"/>
  <c r="H54" i="829"/>
  <c r="J53" i="829"/>
  <c r="H53" i="829"/>
  <c r="B49" i="829"/>
  <c r="B34" i="829"/>
  <c r="B18" i="829"/>
  <c r="A18" i="829"/>
  <c r="B17" i="829"/>
  <c r="A17" i="829"/>
  <c r="B16" i="829"/>
  <c r="A16" i="829"/>
  <c r="B15" i="829"/>
  <c r="A15" i="829"/>
  <c r="B14" i="829"/>
  <c r="A14" i="829"/>
  <c r="B13" i="829"/>
  <c r="A13" i="829"/>
  <c r="B12" i="829"/>
  <c r="A12" i="829"/>
  <c r="B184" i="828"/>
  <c r="O173" i="828"/>
  <c r="J173" i="828"/>
  <c r="H173" i="828"/>
  <c r="O170" i="828"/>
  <c r="J170" i="828"/>
  <c r="H170" i="828"/>
  <c r="J168" i="828"/>
  <c r="H168" i="828"/>
  <c r="B159" i="828"/>
  <c r="B122" i="828"/>
  <c r="E113" i="828"/>
  <c r="J113" i="828" s="1"/>
  <c r="J112" i="828"/>
  <c r="H112" i="828"/>
  <c r="J111" i="828"/>
  <c r="H111" i="828"/>
  <c r="E109" i="828"/>
  <c r="J109" i="828" s="1"/>
  <c r="E108" i="828"/>
  <c r="J108" i="828" s="1"/>
  <c r="I107" i="828"/>
  <c r="E107" i="828"/>
  <c r="H107" i="828" s="1"/>
  <c r="I106" i="828"/>
  <c r="E106" i="828"/>
  <c r="H106" i="828" s="1"/>
  <c r="I103" i="828"/>
  <c r="E103" i="828"/>
  <c r="I102" i="828"/>
  <c r="E102" i="828"/>
  <c r="I101" i="828"/>
  <c r="E101" i="828"/>
  <c r="H101" i="828" s="1"/>
  <c r="B98" i="828"/>
  <c r="O90" i="828"/>
  <c r="J90" i="828"/>
  <c r="H90" i="828"/>
  <c r="O89" i="828"/>
  <c r="O88" i="828"/>
  <c r="J88" i="828"/>
  <c r="H88" i="828"/>
  <c r="O87" i="828"/>
  <c r="J87" i="828"/>
  <c r="H87" i="828"/>
  <c r="O86" i="828"/>
  <c r="J86" i="828"/>
  <c r="H86" i="828"/>
  <c r="J81" i="828"/>
  <c r="H80" i="828"/>
  <c r="J78" i="828"/>
  <c r="H78" i="828"/>
  <c r="J77" i="828"/>
  <c r="H77" i="828"/>
  <c r="J76" i="828"/>
  <c r="H76" i="828"/>
  <c r="J75" i="828"/>
  <c r="H75" i="828"/>
  <c r="J74" i="828"/>
  <c r="H74" i="828"/>
  <c r="B70" i="828"/>
  <c r="G65" i="828"/>
  <c r="I65" i="828" s="1"/>
  <c r="J65" i="828" s="1"/>
  <c r="J64" i="828"/>
  <c r="H64" i="828"/>
  <c r="J63" i="828"/>
  <c r="H63" i="828"/>
  <c r="J62" i="828"/>
  <c r="H62" i="828"/>
  <c r="B59" i="828"/>
  <c r="J54" i="828"/>
  <c r="H54" i="828"/>
  <c r="J53" i="828"/>
  <c r="H53" i="828"/>
  <c r="B49" i="828"/>
  <c r="B34" i="828"/>
  <c r="B18" i="828"/>
  <c r="A18" i="828"/>
  <c r="B17" i="828"/>
  <c r="A17" i="828"/>
  <c r="B16" i="828"/>
  <c r="A16" i="828"/>
  <c r="B15" i="828"/>
  <c r="A15" i="828"/>
  <c r="B14" i="828"/>
  <c r="A14" i="828"/>
  <c r="B13" i="828"/>
  <c r="A13" i="828"/>
  <c r="B12" i="828"/>
  <c r="A12" i="828"/>
  <c r="B184" i="827"/>
  <c r="O173" i="827"/>
  <c r="J173" i="827"/>
  <c r="H173" i="827"/>
  <c r="O170" i="827"/>
  <c r="J170" i="827"/>
  <c r="H170" i="827"/>
  <c r="J168" i="827"/>
  <c r="H168" i="827"/>
  <c r="B159" i="827"/>
  <c r="B120" i="827"/>
  <c r="E116" i="827"/>
  <c r="J116" i="827" s="1"/>
  <c r="E115" i="827"/>
  <c r="J115" i="827" s="1"/>
  <c r="E113" i="827"/>
  <c r="J113" i="827" s="1"/>
  <c r="J112" i="827"/>
  <c r="H112" i="827"/>
  <c r="J111" i="827"/>
  <c r="H111" i="827"/>
  <c r="E109" i="827"/>
  <c r="H109" i="827" s="1"/>
  <c r="E108" i="827"/>
  <c r="J108" i="827" s="1"/>
  <c r="I107" i="827"/>
  <c r="E107" i="827"/>
  <c r="H107" i="827" s="1"/>
  <c r="I106" i="827"/>
  <c r="E106" i="827"/>
  <c r="H106" i="827" s="1"/>
  <c r="I103" i="827"/>
  <c r="E103" i="827"/>
  <c r="I102" i="827"/>
  <c r="E102" i="827"/>
  <c r="H102" i="827" s="1"/>
  <c r="I101" i="827"/>
  <c r="E101" i="827"/>
  <c r="H101" i="827" s="1"/>
  <c r="B98" i="827"/>
  <c r="O90" i="827"/>
  <c r="J90" i="827"/>
  <c r="H90" i="827"/>
  <c r="O89" i="827"/>
  <c r="O88" i="827"/>
  <c r="J88" i="827"/>
  <c r="H88" i="827"/>
  <c r="O87" i="827"/>
  <c r="J87" i="827"/>
  <c r="H87" i="827"/>
  <c r="O86" i="827"/>
  <c r="J86" i="827"/>
  <c r="H86" i="827"/>
  <c r="H81" i="827"/>
  <c r="J78" i="827"/>
  <c r="H78" i="827"/>
  <c r="J77" i="827"/>
  <c r="H77" i="827"/>
  <c r="J76" i="827"/>
  <c r="H76" i="827"/>
  <c r="J75" i="827"/>
  <c r="H75" i="827"/>
  <c r="J74" i="827"/>
  <c r="H74" i="827"/>
  <c r="B70" i="827"/>
  <c r="G65" i="827"/>
  <c r="I65" i="827" s="1"/>
  <c r="J65" i="827" s="1"/>
  <c r="J64" i="827"/>
  <c r="H64" i="827"/>
  <c r="J63" i="827"/>
  <c r="H63" i="827"/>
  <c r="J62" i="827"/>
  <c r="H62" i="827"/>
  <c r="B59" i="827"/>
  <c r="J54" i="827"/>
  <c r="H54" i="827"/>
  <c r="J53" i="827"/>
  <c r="H53" i="827"/>
  <c r="B49" i="827"/>
  <c r="B34" i="827"/>
  <c r="B18" i="827"/>
  <c r="A18" i="827"/>
  <c r="B17" i="827"/>
  <c r="A17" i="827"/>
  <c r="B16" i="827"/>
  <c r="A16" i="827"/>
  <c r="B15" i="827"/>
  <c r="A15" i="827"/>
  <c r="B14" i="827"/>
  <c r="A14" i="827"/>
  <c r="B13" i="827"/>
  <c r="A13" i="827"/>
  <c r="B12" i="827"/>
  <c r="A12" i="827"/>
  <c r="B184" i="826"/>
  <c r="O173" i="826"/>
  <c r="J173" i="826"/>
  <c r="H173" i="826"/>
  <c r="O170" i="826"/>
  <c r="J170" i="826"/>
  <c r="H170" i="826"/>
  <c r="J168" i="826"/>
  <c r="H168" i="826"/>
  <c r="B159" i="826"/>
  <c r="B122" i="826"/>
  <c r="E116" i="826"/>
  <c r="J116" i="826" s="1"/>
  <c r="E115" i="826"/>
  <c r="J115" i="826" s="1"/>
  <c r="E113" i="826"/>
  <c r="J113" i="826" s="1"/>
  <c r="J112" i="826"/>
  <c r="H112" i="826"/>
  <c r="J111" i="826"/>
  <c r="H111" i="826"/>
  <c r="E107" i="826"/>
  <c r="J107" i="826" s="1"/>
  <c r="E106" i="826"/>
  <c r="H106" i="826" s="1"/>
  <c r="I105" i="826"/>
  <c r="E105" i="826"/>
  <c r="H105" i="826" s="1"/>
  <c r="I104" i="826"/>
  <c r="E104" i="826"/>
  <c r="H104" i="826" s="1"/>
  <c r="I101" i="826"/>
  <c r="E101" i="826"/>
  <c r="I100" i="826"/>
  <c r="E100" i="826"/>
  <c r="H100" i="826" s="1"/>
  <c r="I99" i="826"/>
  <c r="E99" i="826"/>
  <c r="H99" i="826" s="1"/>
  <c r="B96" i="826"/>
  <c r="O90" i="826"/>
  <c r="J90" i="826"/>
  <c r="H90" i="826"/>
  <c r="O89" i="826"/>
  <c r="O88" i="826"/>
  <c r="J88" i="826"/>
  <c r="H88" i="826"/>
  <c r="O87" i="826"/>
  <c r="J87" i="826"/>
  <c r="H87" i="826"/>
  <c r="O86" i="826"/>
  <c r="J86" i="826"/>
  <c r="H86" i="826"/>
  <c r="J81" i="826"/>
  <c r="H81" i="826"/>
  <c r="J80" i="826"/>
  <c r="J78" i="826"/>
  <c r="H78" i="826"/>
  <c r="J77" i="826"/>
  <c r="H77" i="826"/>
  <c r="J76" i="826"/>
  <c r="H76" i="826"/>
  <c r="J75" i="826"/>
  <c r="H75" i="826"/>
  <c r="J74" i="826"/>
  <c r="H74" i="826"/>
  <c r="B70" i="826"/>
  <c r="G65" i="826"/>
  <c r="I65" i="826" s="1"/>
  <c r="J65" i="826" s="1"/>
  <c r="J64" i="826"/>
  <c r="H64" i="826"/>
  <c r="J63" i="826"/>
  <c r="H63" i="826"/>
  <c r="J62" i="826"/>
  <c r="H62" i="826"/>
  <c r="B59" i="826"/>
  <c r="J54" i="826"/>
  <c r="H54" i="826"/>
  <c r="J53" i="826"/>
  <c r="H53" i="826"/>
  <c r="B49" i="826"/>
  <c r="B34" i="826"/>
  <c r="B18" i="826"/>
  <c r="A18" i="826"/>
  <c r="B17" i="826"/>
  <c r="A17" i="826"/>
  <c r="B16" i="826"/>
  <c r="A16" i="826"/>
  <c r="B15" i="826"/>
  <c r="A15" i="826"/>
  <c r="B14" i="826"/>
  <c r="A14" i="826"/>
  <c r="B13" i="826"/>
  <c r="A13" i="826"/>
  <c r="B12" i="826"/>
  <c r="A12" i="826"/>
  <c r="E214" i="819"/>
  <c r="B178" i="825"/>
  <c r="O172" i="825"/>
  <c r="J172" i="825"/>
  <c r="H172" i="825"/>
  <c r="O169" i="825"/>
  <c r="J169" i="825"/>
  <c r="H169" i="825"/>
  <c r="J167" i="825"/>
  <c r="H167" i="825"/>
  <c r="B159" i="825"/>
  <c r="B122" i="825"/>
  <c r="E113" i="825"/>
  <c r="J113" i="825" s="1"/>
  <c r="J112" i="825"/>
  <c r="H112" i="825"/>
  <c r="J111" i="825"/>
  <c r="H111" i="825"/>
  <c r="E109" i="825"/>
  <c r="J109" i="825" s="1"/>
  <c r="E108" i="825"/>
  <c r="J108" i="825" s="1"/>
  <c r="I107" i="825"/>
  <c r="E107" i="825"/>
  <c r="H107" i="825" s="1"/>
  <c r="I106" i="825"/>
  <c r="E106" i="825"/>
  <c r="E104" i="825"/>
  <c r="J104" i="825" s="1"/>
  <c r="I103" i="825"/>
  <c r="E103" i="825"/>
  <c r="I102" i="825"/>
  <c r="E102" i="825"/>
  <c r="H102" i="825" s="1"/>
  <c r="I101" i="825"/>
  <c r="E101" i="825"/>
  <c r="H101" i="825" s="1"/>
  <c r="B98" i="825"/>
  <c r="O90" i="825"/>
  <c r="J90" i="825"/>
  <c r="H90" i="825"/>
  <c r="O89" i="825"/>
  <c r="J89" i="825"/>
  <c r="O88" i="825"/>
  <c r="J88" i="825"/>
  <c r="H88" i="825"/>
  <c r="O87" i="825"/>
  <c r="J87" i="825"/>
  <c r="H87" i="825"/>
  <c r="O86" i="825"/>
  <c r="J86" i="825"/>
  <c r="H86" i="825"/>
  <c r="H81" i="825"/>
  <c r="H80" i="825"/>
  <c r="J78" i="825"/>
  <c r="H78" i="825"/>
  <c r="J77" i="825"/>
  <c r="H77" i="825"/>
  <c r="J76" i="825"/>
  <c r="H76" i="825"/>
  <c r="J75" i="825"/>
  <c r="H75" i="825"/>
  <c r="J74" i="825"/>
  <c r="H74" i="825"/>
  <c r="B70" i="825"/>
  <c r="G65" i="825"/>
  <c r="I65" i="825" s="1"/>
  <c r="J65" i="825" s="1"/>
  <c r="J64" i="825"/>
  <c r="H64" i="825"/>
  <c r="J63" i="825"/>
  <c r="H63" i="825"/>
  <c r="J62" i="825"/>
  <c r="H62" i="825"/>
  <c r="B59" i="825"/>
  <c r="J53" i="825"/>
  <c r="H53" i="825"/>
  <c r="J52" i="825"/>
  <c r="H52" i="825"/>
  <c r="B48" i="825"/>
  <c r="B34" i="825"/>
  <c r="B18" i="825"/>
  <c r="A18" i="825"/>
  <c r="B17" i="825"/>
  <c r="A17" i="825"/>
  <c r="B16" i="825"/>
  <c r="A16" i="825"/>
  <c r="B15" i="825"/>
  <c r="A15" i="825"/>
  <c r="B14" i="825"/>
  <c r="A14" i="825"/>
  <c r="B13" i="825"/>
  <c r="A13" i="825"/>
  <c r="B12" i="825"/>
  <c r="A12" i="825"/>
  <c r="H110" i="816"/>
  <c r="E136" i="816"/>
  <c r="H136" i="816" s="1"/>
  <c r="J20" i="279"/>
  <c r="B84" i="824"/>
  <c r="J63" i="824"/>
  <c r="H63" i="824"/>
  <c r="J62" i="824"/>
  <c r="H62" i="824"/>
  <c r="B59" i="824"/>
  <c r="J52" i="824"/>
  <c r="H52" i="824"/>
  <c r="K52" i="824" s="1"/>
  <c r="J51" i="824"/>
  <c r="H51" i="824"/>
  <c r="H59" i="824" s="1"/>
  <c r="H13" i="824" s="1"/>
  <c r="K13" i="824" s="1"/>
  <c r="B48" i="824"/>
  <c r="J46" i="824"/>
  <c r="H46" i="824"/>
  <c r="J45" i="824"/>
  <c r="H45" i="824"/>
  <c r="J44" i="824"/>
  <c r="K44" i="824" s="1"/>
  <c r="H44" i="824"/>
  <c r="J43" i="824"/>
  <c r="K43" i="824" s="1"/>
  <c r="J42" i="824"/>
  <c r="H42" i="824"/>
  <c r="K42" i="824" s="1"/>
  <c r="J41" i="824"/>
  <c r="H41" i="824"/>
  <c r="K41" i="824" s="1"/>
  <c r="J40" i="824"/>
  <c r="H40" i="824"/>
  <c r="K40" i="824" s="1"/>
  <c r="J39" i="824"/>
  <c r="H39" i="824"/>
  <c r="K39" i="824" s="1"/>
  <c r="J38" i="824"/>
  <c r="H38" i="824"/>
  <c r="K38" i="824" s="1"/>
  <c r="J37" i="824"/>
  <c r="H37" i="824"/>
  <c r="B34" i="824"/>
  <c r="B13" i="824"/>
  <c r="A13" i="824"/>
  <c r="B12" i="824"/>
  <c r="A12" i="824"/>
  <c r="K328" i="823"/>
  <c r="J328" i="823"/>
  <c r="H328" i="823"/>
  <c r="B328" i="823"/>
  <c r="B321" i="823"/>
  <c r="AM316" i="823"/>
  <c r="AL316" i="823"/>
  <c r="AD316" i="823"/>
  <c r="AC316" i="823"/>
  <c r="O316" i="823"/>
  <c r="J316" i="823"/>
  <c r="H316" i="823"/>
  <c r="K316" i="823" s="1"/>
  <c r="O315" i="823"/>
  <c r="J315" i="823"/>
  <c r="H315" i="823"/>
  <c r="K315" i="823" s="1"/>
  <c r="O314" i="823"/>
  <c r="J314" i="823"/>
  <c r="H314" i="823"/>
  <c r="O313" i="823"/>
  <c r="J313" i="823"/>
  <c r="K313" i="823" s="1"/>
  <c r="H313" i="823"/>
  <c r="AO312" i="823"/>
  <c r="AN312" i="823"/>
  <c r="AG312" i="823"/>
  <c r="AF312" i="823"/>
  <c r="AE312" i="823"/>
  <c r="O312" i="823"/>
  <c r="J312" i="823"/>
  <c r="H312" i="823"/>
  <c r="AS311" i="823"/>
  <c r="AR311" i="823"/>
  <c r="AQ311" i="823"/>
  <c r="AP311" i="823"/>
  <c r="AK311" i="823"/>
  <c r="AJ311" i="823"/>
  <c r="AI311" i="823"/>
  <c r="AH311" i="823"/>
  <c r="O311" i="823"/>
  <c r="J311" i="823"/>
  <c r="H311" i="823"/>
  <c r="AM303" i="823"/>
  <c r="AL303" i="823"/>
  <c r="AD303" i="823"/>
  <c r="AB303" i="823" s="1"/>
  <c r="AC303" i="823"/>
  <c r="O303" i="823"/>
  <c r="J303" i="823"/>
  <c r="H303" i="823"/>
  <c r="AM302" i="823"/>
  <c r="AL302" i="823"/>
  <c r="AD302" i="823"/>
  <c r="AC302" i="823"/>
  <c r="O302" i="823"/>
  <c r="J302" i="823"/>
  <c r="H302" i="823"/>
  <c r="O301" i="823"/>
  <c r="J301" i="823"/>
  <c r="H301" i="823"/>
  <c r="K301" i="823" s="1"/>
  <c r="AN300" i="823"/>
  <c r="AE300" i="823"/>
  <c r="O300" i="823"/>
  <c r="J300" i="823"/>
  <c r="H300" i="823"/>
  <c r="AO299" i="823"/>
  <c r="AN299" i="823"/>
  <c r="AG299" i="823"/>
  <c r="AB299" i="823" s="1"/>
  <c r="AF299" i="823"/>
  <c r="AE299" i="823"/>
  <c r="O299" i="823"/>
  <c r="J299" i="823"/>
  <c r="H299" i="823"/>
  <c r="AS298" i="823"/>
  <c r="AR298" i="823"/>
  <c r="AQ298" i="823"/>
  <c r="AP298" i="823"/>
  <c r="AK298" i="823"/>
  <c r="AJ298" i="823"/>
  <c r="AI298" i="823"/>
  <c r="AH298" i="823"/>
  <c r="O298" i="823"/>
  <c r="J298" i="823"/>
  <c r="H298" i="823"/>
  <c r="K298" i="823" s="1"/>
  <c r="I296" i="823"/>
  <c r="J296" i="823" s="1"/>
  <c r="K296" i="823" s="1"/>
  <c r="H296" i="823"/>
  <c r="I295" i="823"/>
  <c r="J295" i="823" s="1"/>
  <c r="H295" i="823"/>
  <c r="I294" i="823"/>
  <c r="J294" i="823" s="1"/>
  <c r="K294" i="823" s="1"/>
  <c r="H294" i="823"/>
  <c r="I293" i="823"/>
  <c r="J293" i="823" s="1"/>
  <c r="K293" i="823" s="1"/>
  <c r="H293" i="823"/>
  <c r="I292" i="823"/>
  <c r="J292" i="823" s="1"/>
  <c r="H292" i="823"/>
  <c r="I291" i="823"/>
  <c r="J291" i="823" s="1"/>
  <c r="K291" i="823" s="1"/>
  <c r="H291" i="823"/>
  <c r="I290" i="823"/>
  <c r="J290" i="823" s="1"/>
  <c r="H290" i="823"/>
  <c r="I289" i="823"/>
  <c r="J289" i="823" s="1"/>
  <c r="H289" i="823"/>
  <c r="I288" i="823"/>
  <c r="J288" i="823" s="1"/>
  <c r="K288" i="823" s="1"/>
  <c r="H288" i="823"/>
  <c r="I287" i="823"/>
  <c r="J287" i="823" s="1"/>
  <c r="K287" i="823" s="1"/>
  <c r="H287" i="823"/>
  <c r="I286" i="823"/>
  <c r="J286" i="823" s="1"/>
  <c r="H286" i="823"/>
  <c r="J285" i="823"/>
  <c r="I285" i="823"/>
  <c r="H285" i="823"/>
  <c r="I284" i="823"/>
  <c r="J284" i="823" s="1"/>
  <c r="K284" i="823" s="1"/>
  <c r="H284" i="823"/>
  <c r="I283" i="823"/>
  <c r="J283" i="823" s="1"/>
  <c r="H283" i="823"/>
  <c r="I282" i="823"/>
  <c r="J282" i="823" s="1"/>
  <c r="H282" i="823"/>
  <c r="I281" i="823"/>
  <c r="J281" i="823" s="1"/>
  <c r="K281" i="823" s="1"/>
  <c r="H281" i="823"/>
  <c r="I280" i="823"/>
  <c r="J280" i="823" s="1"/>
  <c r="H280" i="823"/>
  <c r="B277" i="823"/>
  <c r="I270" i="823"/>
  <c r="J270" i="823" s="1"/>
  <c r="H270" i="823"/>
  <c r="K270" i="823" s="1"/>
  <c r="I269" i="823"/>
  <c r="J269" i="823" s="1"/>
  <c r="H269" i="823"/>
  <c r="I267" i="823"/>
  <c r="J267" i="823" s="1"/>
  <c r="K267" i="823" s="1"/>
  <c r="H267" i="823"/>
  <c r="I265" i="823"/>
  <c r="J265" i="823" s="1"/>
  <c r="H265" i="823"/>
  <c r="I264" i="823"/>
  <c r="J264" i="823" s="1"/>
  <c r="H264" i="823"/>
  <c r="I262" i="823"/>
  <c r="J262" i="823" s="1"/>
  <c r="K262" i="823" s="1"/>
  <c r="H262" i="823"/>
  <c r="I261" i="823"/>
  <c r="J261" i="823" s="1"/>
  <c r="K261" i="823" s="1"/>
  <c r="H261" i="823"/>
  <c r="I260" i="823"/>
  <c r="J260" i="823" s="1"/>
  <c r="H260" i="823"/>
  <c r="J259" i="823"/>
  <c r="I259" i="823"/>
  <c r="H259" i="823"/>
  <c r="I258" i="823"/>
  <c r="J258" i="823" s="1"/>
  <c r="K258" i="823" s="1"/>
  <c r="H258" i="823"/>
  <c r="I257" i="823"/>
  <c r="J257" i="823" s="1"/>
  <c r="H257" i="823"/>
  <c r="I256" i="823"/>
  <c r="J256" i="823" s="1"/>
  <c r="K256" i="823" s="1"/>
  <c r="H256" i="823"/>
  <c r="I255" i="823"/>
  <c r="J255" i="823" s="1"/>
  <c r="K255" i="823" s="1"/>
  <c r="H255" i="823"/>
  <c r="I254" i="823"/>
  <c r="J254" i="823" s="1"/>
  <c r="H254" i="823"/>
  <c r="I253" i="823"/>
  <c r="J253" i="823" s="1"/>
  <c r="K253" i="823" s="1"/>
  <c r="H253" i="823"/>
  <c r="I252" i="823"/>
  <c r="J252" i="823" s="1"/>
  <c r="H252" i="823"/>
  <c r="I251" i="823"/>
  <c r="J251" i="823" s="1"/>
  <c r="H251" i="823"/>
  <c r="I250" i="823"/>
  <c r="J250" i="823" s="1"/>
  <c r="K250" i="823" s="1"/>
  <c r="H250" i="823"/>
  <c r="I249" i="823"/>
  <c r="J249" i="823" s="1"/>
  <c r="K249" i="823" s="1"/>
  <c r="H249" i="823"/>
  <c r="I248" i="823"/>
  <c r="J248" i="823" s="1"/>
  <c r="H248" i="823"/>
  <c r="J247" i="823"/>
  <c r="K247" i="823" s="1"/>
  <c r="I247" i="823"/>
  <c r="H247" i="823"/>
  <c r="B244" i="823"/>
  <c r="K239" i="823"/>
  <c r="I239" i="823"/>
  <c r="J239" i="823" s="1"/>
  <c r="H239" i="823"/>
  <c r="J238" i="823"/>
  <c r="H238" i="823"/>
  <c r="B234" i="823"/>
  <c r="J232" i="823"/>
  <c r="K232" i="823" s="1"/>
  <c r="H232" i="823"/>
  <c r="J231" i="823"/>
  <c r="H231" i="823"/>
  <c r="I228" i="823"/>
  <c r="E228" i="823"/>
  <c r="I227" i="823"/>
  <c r="E227" i="823"/>
  <c r="I226" i="823"/>
  <c r="E226" i="823"/>
  <c r="I225" i="823"/>
  <c r="E225" i="823"/>
  <c r="H225" i="823" s="1"/>
  <c r="I224" i="823"/>
  <c r="E224" i="823"/>
  <c r="I220" i="823"/>
  <c r="J220" i="823" s="1"/>
  <c r="H220" i="823"/>
  <c r="E220" i="823"/>
  <c r="I219" i="823"/>
  <c r="E219" i="823"/>
  <c r="I218" i="823"/>
  <c r="E218" i="823"/>
  <c r="H218" i="823" s="1"/>
  <c r="I217" i="823"/>
  <c r="E217" i="823"/>
  <c r="J217" i="823" s="1"/>
  <c r="I216" i="823"/>
  <c r="J216" i="823" s="1"/>
  <c r="E216" i="823"/>
  <c r="H216" i="823" s="1"/>
  <c r="B213" i="823"/>
  <c r="J210" i="823"/>
  <c r="H210" i="823"/>
  <c r="J208" i="823"/>
  <c r="H208" i="823"/>
  <c r="K208" i="823" s="1"/>
  <c r="J207" i="823"/>
  <c r="H207" i="823"/>
  <c r="J206" i="823"/>
  <c r="H206" i="823"/>
  <c r="K206" i="823" s="1"/>
  <c r="J204" i="823"/>
  <c r="H204" i="823"/>
  <c r="J203" i="823"/>
  <c r="H203" i="823"/>
  <c r="K203" i="823" s="1"/>
  <c r="J201" i="823"/>
  <c r="H201" i="823"/>
  <c r="K201" i="823" s="1"/>
  <c r="J200" i="823"/>
  <c r="K200" i="823" s="1"/>
  <c r="H200" i="823"/>
  <c r="J199" i="823"/>
  <c r="H199" i="823"/>
  <c r="K199" i="823" s="1"/>
  <c r="J198" i="823"/>
  <c r="H198" i="823"/>
  <c r="J196" i="823"/>
  <c r="H196" i="823"/>
  <c r="J195" i="823"/>
  <c r="H195" i="823"/>
  <c r="J194" i="823"/>
  <c r="H194" i="823"/>
  <c r="K194" i="823" s="1"/>
  <c r="J193" i="823"/>
  <c r="K193" i="823" s="1"/>
  <c r="H193" i="823"/>
  <c r="J192" i="823"/>
  <c r="H192" i="823"/>
  <c r="K192" i="823" s="1"/>
  <c r="J191" i="823"/>
  <c r="H191" i="823"/>
  <c r="J190" i="823"/>
  <c r="H190" i="823"/>
  <c r="K190" i="823" s="1"/>
  <c r="J187" i="823"/>
  <c r="H187" i="823"/>
  <c r="J186" i="823"/>
  <c r="H186" i="823"/>
  <c r="K186" i="823" s="1"/>
  <c r="J185" i="823"/>
  <c r="H185" i="823"/>
  <c r="J184" i="823"/>
  <c r="H184" i="823"/>
  <c r="K184" i="823" s="1"/>
  <c r="J183" i="823"/>
  <c r="H183" i="823"/>
  <c r="E182" i="823"/>
  <c r="J182" i="823" s="1"/>
  <c r="J181" i="823"/>
  <c r="H181" i="823"/>
  <c r="J179" i="823"/>
  <c r="H179" i="823"/>
  <c r="K179" i="823" s="1"/>
  <c r="J178" i="823"/>
  <c r="H178" i="823"/>
  <c r="J177" i="823"/>
  <c r="H177" i="823"/>
  <c r="K177" i="823" s="1"/>
  <c r="J176" i="823"/>
  <c r="H176" i="823"/>
  <c r="E175" i="823"/>
  <c r="H175" i="823" s="1"/>
  <c r="B172" i="823"/>
  <c r="I169" i="823"/>
  <c r="J169" i="823" s="1"/>
  <c r="H169" i="823"/>
  <c r="I168" i="823"/>
  <c r="I167" i="823"/>
  <c r="J167" i="823" s="1"/>
  <c r="H167" i="823"/>
  <c r="I166" i="823"/>
  <c r="J166" i="823" s="1"/>
  <c r="H166" i="823"/>
  <c r="I165" i="823"/>
  <c r="J165" i="823" s="1"/>
  <c r="H165" i="823"/>
  <c r="I158" i="823"/>
  <c r="J158" i="823" s="1"/>
  <c r="H158" i="823"/>
  <c r="I157" i="823"/>
  <c r="J157" i="823" s="1"/>
  <c r="H157" i="823"/>
  <c r="I156" i="823"/>
  <c r="J156" i="823" s="1"/>
  <c r="K156" i="823" s="1"/>
  <c r="H156" i="823"/>
  <c r="I155" i="823"/>
  <c r="I154" i="823"/>
  <c r="J154" i="823" s="1"/>
  <c r="H154" i="823"/>
  <c r="B148" i="823"/>
  <c r="O140" i="823"/>
  <c r="J140" i="823"/>
  <c r="E140" i="823"/>
  <c r="E155" i="823" s="1"/>
  <c r="O139" i="823"/>
  <c r="J139" i="823"/>
  <c r="H139" i="823"/>
  <c r="O138" i="823"/>
  <c r="J138" i="823"/>
  <c r="H138" i="823"/>
  <c r="K138" i="823" s="1"/>
  <c r="O137" i="823"/>
  <c r="J137" i="823"/>
  <c r="H137" i="823"/>
  <c r="K137" i="823" s="1"/>
  <c r="O136" i="823"/>
  <c r="E136" i="823"/>
  <c r="E151" i="823" s="1"/>
  <c r="J129" i="823"/>
  <c r="H129" i="823"/>
  <c r="J128" i="823"/>
  <c r="H128" i="823"/>
  <c r="K128" i="823" s="1"/>
  <c r="J127" i="823"/>
  <c r="E127" i="823"/>
  <c r="H127" i="823" s="1"/>
  <c r="J126" i="823"/>
  <c r="H126" i="823"/>
  <c r="K126" i="823" s="1"/>
  <c r="J125" i="823"/>
  <c r="H125" i="823"/>
  <c r="K125" i="823" s="1"/>
  <c r="J124" i="823"/>
  <c r="H124" i="823"/>
  <c r="J123" i="823"/>
  <c r="H123" i="823"/>
  <c r="K123" i="823" s="1"/>
  <c r="J122" i="823"/>
  <c r="H122" i="823"/>
  <c r="K122" i="823" s="1"/>
  <c r="E121" i="823"/>
  <c r="E161" i="823" s="1"/>
  <c r="B117" i="823"/>
  <c r="G112" i="823"/>
  <c r="I112" i="823" s="1"/>
  <c r="J112" i="823" s="1"/>
  <c r="J111" i="823"/>
  <c r="H111" i="823"/>
  <c r="J110" i="823"/>
  <c r="H110" i="823"/>
  <c r="K110" i="823" s="1"/>
  <c r="J109" i="823"/>
  <c r="H109" i="823"/>
  <c r="J107" i="823"/>
  <c r="H107" i="823"/>
  <c r="K107" i="823" s="1"/>
  <c r="J106" i="823"/>
  <c r="J117" i="823" s="1"/>
  <c r="J15" i="823" s="1"/>
  <c r="H106" i="823"/>
  <c r="B103" i="823"/>
  <c r="J98" i="823"/>
  <c r="H98" i="823"/>
  <c r="K98" i="823" s="1"/>
  <c r="E97" i="823"/>
  <c r="J97" i="823" s="1"/>
  <c r="J96" i="823"/>
  <c r="H96" i="823"/>
  <c r="J95" i="823"/>
  <c r="H95" i="823"/>
  <c r="J94" i="823"/>
  <c r="H94" i="823"/>
  <c r="K94" i="823" s="1"/>
  <c r="K93" i="823"/>
  <c r="J93" i="823"/>
  <c r="H93" i="823"/>
  <c r="J92" i="823"/>
  <c r="H92" i="823"/>
  <c r="J91" i="823"/>
  <c r="H91" i="823"/>
  <c r="J90" i="823"/>
  <c r="K90" i="823" s="1"/>
  <c r="H90" i="823"/>
  <c r="J89" i="823"/>
  <c r="H89" i="823"/>
  <c r="J86" i="823"/>
  <c r="H86" i="823"/>
  <c r="J85" i="823"/>
  <c r="H85" i="823"/>
  <c r="K85" i="823" s="1"/>
  <c r="J83" i="823"/>
  <c r="K83" i="823" s="1"/>
  <c r="H83" i="823"/>
  <c r="J82" i="823"/>
  <c r="H82" i="823"/>
  <c r="K82" i="823" s="1"/>
  <c r="J81" i="823"/>
  <c r="H81" i="823"/>
  <c r="J80" i="823"/>
  <c r="H80" i="823"/>
  <c r="J79" i="823"/>
  <c r="H79" i="823"/>
  <c r="J78" i="823"/>
  <c r="H78" i="823"/>
  <c r="K78" i="823" s="1"/>
  <c r="J77" i="823"/>
  <c r="K77" i="823" s="1"/>
  <c r="H77" i="823"/>
  <c r="J75" i="823"/>
  <c r="H75" i="823"/>
  <c r="K75" i="823" s="1"/>
  <c r="J74" i="823"/>
  <c r="H74" i="823"/>
  <c r="J73" i="823"/>
  <c r="H73" i="823"/>
  <c r="K73" i="823" s="1"/>
  <c r="J72" i="823"/>
  <c r="H72" i="823"/>
  <c r="J71" i="823"/>
  <c r="H71" i="823"/>
  <c r="J70" i="823"/>
  <c r="H70" i="823"/>
  <c r="K70" i="823" s="1"/>
  <c r="J69" i="823"/>
  <c r="K69" i="823" s="1"/>
  <c r="H69" i="823"/>
  <c r="J68" i="823"/>
  <c r="H68" i="823"/>
  <c r="K67" i="823"/>
  <c r="J67" i="823"/>
  <c r="H67" i="823"/>
  <c r="J66" i="823"/>
  <c r="K66" i="823" s="1"/>
  <c r="H66" i="823"/>
  <c r="J65" i="823"/>
  <c r="H65" i="823"/>
  <c r="K65" i="823" s="1"/>
  <c r="J64" i="823"/>
  <c r="H64" i="823"/>
  <c r="J63" i="823"/>
  <c r="H63" i="823"/>
  <c r="J62" i="823"/>
  <c r="H62" i="823"/>
  <c r="B59" i="823"/>
  <c r="J53" i="823"/>
  <c r="J59" i="823" s="1"/>
  <c r="H53" i="823"/>
  <c r="B49" i="823"/>
  <c r="I45" i="823"/>
  <c r="J45" i="823" s="1"/>
  <c r="H45" i="823"/>
  <c r="K45" i="823" s="1"/>
  <c r="E42" i="823"/>
  <c r="H42" i="823" s="1"/>
  <c r="I40" i="823"/>
  <c r="J40" i="823" s="1"/>
  <c r="H40" i="823"/>
  <c r="I39" i="823"/>
  <c r="J39" i="823" s="1"/>
  <c r="H39" i="823"/>
  <c r="J38" i="823"/>
  <c r="I38" i="823"/>
  <c r="H38" i="823"/>
  <c r="I37" i="823"/>
  <c r="J37" i="823" s="1"/>
  <c r="H37" i="823"/>
  <c r="B34" i="823"/>
  <c r="J23" i="823"/>
  <c r="H23" i="823"/>
  <c r="B23" i="823"/>
  <c r="A23" i="823"/>
  <c r="B22" i="823"/>
  <c r="A22" i="823"/>
  <c r="B21" i="823"/>
  <c r="A21" i="823"/>
  <c r="B20" i="823"/>
  <c r="A20" i="823"/>
  <c r="B19" i="823"/>
  <c r="A19" i="823"/>
  <c r="B18" i="823"/>
  <c r="A18" i="823"/>
  <c r="B17" i="823"/>
  <c r="A17" i="823"/>
  <c r="B16" i="823"/>
  <c r="A16" i="823"/>
  <c r="B15" i="823"/>
  <c r="A15" i="823"/>
  <c r="B14" i="823"/>
  <c r="A14" i="823"/>
  <c r="J13" i="823"/>
  <c r="B13" i="823"/>
  <c r="A13" i="823"/>
  <c r="B12" i="823"/>
  <c r="A12" i="823"/>
  <c r="B169" i="822"/>
  <c r="O164" i="822"/>
  <c r="J164" i="822"/>
  <c r="H164" i="822"/>
  <c r="O161" i="822"/>
  <c r="J161" i="822"/>
  <c r="H161" i="822"/>
  <c r="I154" i="822"/>
  <c r="J154" i="822" s="1"/>
  <c r="H154" i="822"/>
  <c r="I153" i="822"/>
  <c r="J153" i="822" s="1"/>
  <c r="H153" i="822"/>
  <c r="I152" i="822"/>
  <c r="J152" i="822" s="1"/>
  <c r="H152" i="822"/>
  <c r="B149" i="822"/>
  <c r="B113" i="822"/>
  <c r="J111" i="822"/>
  <c r="H111" i="822"/>
  <c r="E107" i="822"/>
  <c r="J107" i="822" s="1"/>
  <c r="J106" i="822"/>
  <c r="H106" i="822"/>
  <c r="E105" i="822"/>
  <c r="H105" i="822" s="1"/>
  <c r="E104" i="822"/>
  <c r="I102" i="822"/>
  <c r="E102" i="822"/>
  <c r="H102" i="822" s="1"/>
  <c r="I100" i="822"/>
  <c r="E100" i="822"/>
  <c r="I99" i="822"/>
  <c r="E99" i="822"/>
  <c r="H99" i="822" s="1"/>
  <c r="I98" i="822"/>
  <c r="E98" i="822"/>
  <c r="B95" i="822"/>
  <c r="O90" i="822"/>
  <c r="J90" i="822"/>
  <c r="H90" i="822"/>
  <c r="O89" i="822"/>
  <c r="O88" i="822"/>
  <c r="J88" i="822"/>
  <c r="H88" i="822"/>
  <c r="O87" i="822"/>
  <c r="J87" i="822"/>
  <c r="H87" i="822"/>
  <c r="O86" i="822"/>
  <c r="J86" i="822"/>
  <c r="H86" i="822"/>
  <c r="H81" i="822"/>
  <c r="J79" i="822"/>
  <c r="H79" i="822"/>
  <c r="J78" i="822"/>
  <c r="H78" i="822"/>
  <c r="J77" i="822"/>
  <c r="H77" i="822"/>
  <c r="J76" i="822"/>
  <c r="H76" i="822"/>
  <c r="J75" i="822"/>
  <c r="H75" i="822"/>
  <c r="J74" i="822"/>
  <c r="H74" i="822"/>
  <c r="B70" i="822"/>
  <c r="J63" i="822"/>
  <c r="H63" i="822"/>
  <c r="B59" i="822"/>
  <c r="I47" i="822"/>
  <c r="J45" i="822"/>
  <c r="H45" i="822"/>
  <c r="G39" i="822"/>
  <c r="I39" i="822" s="1"/>
  <c r="J39" i="822" s="1"/>
  <c r="G38" i="822"/>
  <c r="I38" i="822" s="1"/>
  <c r="J38" i="822" s="1"/>
  <c r="G37" i="822"/>
  <c r="H37" i="822" s="1"/>
  <c r="B34" i="822"/>
  <c r="B17" i="822"/>
  <c r="A17" i="822"/>
  <c r="B16" i="822"/>
  <c r="A16" i="822"/>
  <c r="B15" i="822"/>
  <c r="A15" i="822"/>
  <c r="B14" i="822"/>
  <c r="A14" i="822"/>
  <c r="B13" i="822"/>
  <c r="A13" i="822"/>
  <c r="B12" i="822"/>
  <c r="A12" i="822"/>
  <c r="B198" i="821"/>
  <c r="O189" i="821"/>
  <c r="J189" i="821"/>
  <c r="H189" i="821"/>
  <c r="O186" i="821"/>
  <c r="J186" i="821"/>
  <c r="H186" i="821"/>
  <c r="J180" i="821"/>
  <c r="H180" i="821"/>
  <c r="J179" i="821"/>
  <c r="H179" i="821"/>
  <c r="J178" i="821"/>
  <c r="H178" i="821"/>
  <c r="J177" i="821"/>
  <c r="H177" i="821"/>
  <c r="J176" i="821"/>
  <c r="H176" i="821"/>
  <c r="J175" i="821"/>
  <c r="H175" i="821"/>
  <c r="J174" i="821"/>
  <c r="H174" i="821"/>
  <c r="J173" i="821"/>
  <c r="H173" i="821"/>
  <c r="B170" i="821"/>
  <c r="B134" i="821"/>
  <c r="E124" i="821"/>
  <c r="J124" i="821" s="1"/>
  <c r="J123" i="821"/>
  <c r="H123" i="821"/>
  <c r="J122" i="821"/>
  <c r="H122" i="821"/>
  <c r="E120" i="821"/>
  <c r="H120" i="821" s="1"/>
  <c r="E119" i="821"/>
  <c r="J119" i="821" s="1"/>
  <c r="I118" i="821"/>
  <c r="E118" i="821"/>
  <c r="I117" i="821"/>
  <c r="E117" i="821"/>
  <c r="H117" i="821" s="1"/>
  <c r="I114" i="821"/>
  <c r="E114" i="821"/>
  <c r="I113" i="821"/>
  <c r="E113" i="821"/>
  <c r="H113" i="821" s="1"/>
  <c r="I112" i="821"/>
  <c r="E112" i="821"/>
  <c r="B109" i="821"/>
  <c r="O104" i="821"/>
  <c r="J104" i="821"/>
  <c r="H104" i="821"/>
  <c r="O103" i="821"/>
  <c r="O102" i="821"/>
  <c r="J102" i="821"/>
  <c r="H102" i="821"/>
  <c r="O101" i="821"/>
  <c r="J101" i="821"/>
  <c r="H101" i="821"/>
  <c r="O100" i="821"/>
  <c r="J100" i="821"/>
  <c r="H100" i="821"/>
  <c r="J92" i="821"/>
  <c r="H92" i="821"/>
  <c r="J91" i="821"/>
  <c r="H91" i="821"/>
  <c r="J90" i="821"/>
  <c r="H90" i="821"/>
  <c r="J89" i="821"/>
  <c r="H89" i="821"/>
  <c r="J88" i="821"/>
  <c r="H88" i="821"/>
  <c r="B84" i="821"/>
  <c r="G76" i="821"/>
  <c r="I76" i="821" s="1"/>
  <c r="J76" i="821" s="1"/>
  <c r="J73" i="821"/>
  <c r="H73" i="821"/>
  <c r="B70" i="821"/>
  <c r="J64" i="821"/>
  <c r="H64" i="821"/>
  <c r="J63" i="821"/>
  <c r="H63" i="821"/>
  <c r="B59" i="821"/>
  <c r="J51" i="821"/>
  <c r="G51" i="821"/>
  <c r="H51" i="821" s="1"/>
  <c r="J50" i="821"/>
  <c r="G50" i="821"/>
  <c r="H50" i="821" s="1"/>
  <c r="J49" i="821"/>
  <c r="G49" i="821"/>
  <c r="H49" i="821" s="1"/>
  <c r="J48" i="821"/>
  <c r="G48" i="821"/>
  <c r="H48" i="821" s="1"/>
  <c r="J47" i="821"/>
  <c r="G47" i="821"/>
  <c r="H47" i="821" s="1"/>
  <c r="J46" i="821"/>
  <c r="G46" i="821"/>
  <c r="H46" i="821" s="1"/>
  <c r="J45" i="821"/>
  <c r="G45" i="821"/>
  <c r="H45" i="821" s="1"/>
  <c r="J44" i="821"/>
  <c r="G44" i="821"/>
  <c r="H44" i="821" s="1"/>
  <c r="J43" i="821"/>
  <c r="G43" i="821"/>
  <c r="H43" i="821" s="1"/>
  <c r="J42" i="821"/>
  <c r="G42" i="821"/>
  <c r="H42" i="821" s="1"/>
  <c r="J41" i="821"/>
  <c r="G41" i="821"/>
  <c r="H41" i="821" s="1"/>
  <c r="J40" i="821"/>
  <c r="G40" i="821"/>
  <c r="H40" i="821" s="1"/>
  <c r="J39" i="821"/>
  <c r="G39" i="821"/>
  <c r="H39" i="821" s="1"/>
  <c r="J38" i="821"/>
  <c r="H38" i="821"/>
  <c r="J37" i="821"/>
  <c r="G37" i="821"/>
  <c r="H37" i="821" s="1"/>
  <c r="B34" i="821"/>
  <c r="B18" i="821"/>
  <c r="A18" i="821"/>
  <c r="B17" i="821"/>
  <c r="A17" i="821"/>
  <c r="B16" i="821"/>
  <c r="A16" i="821"/>
  <c r="B15" i="821"/>
  <c r="A15" i="821"/>
  <c r="B14" i="821"/>
  <c r="A14" i="821"/>
  <c r="B13" i="821"/>
  <c r="A13" i="821"/>
  <c r="B12" i="821"/>
  <c r="A12" i="821"/>
  <c r="B184" i="820"/>
  <c r="O172" i="820"/>
  <c r="J172" i="820"/>
  <c r="H172" i="820"/>
  <c r="O169" i="820"/>
  <c r="J169" i="820"/>
  <c r="H169" i="820"/>
  <c r="B159" i="820"/>
  <c r="J145" i="820"/>
  <c r="H145" i="820"/>
  <c r="J144" i="820"/>
  <c r="H144" i="820"/>
  <c r="J139" i="820"/>
  <c r="H139" i="820"/>
  <c r="E136" i="820"/>
  <c r="J129" i="820"/>
  <c r="H129" i="820"/>
  <c r="E128" i="820"/>
  <c r="H128" i="820" s="1"/>
  <c r="E127" i="820"/>
  <c r="J127" i="820" s="1"/>
  <c r="J126" i="820"/>
  <c r="H126" i="820"/>
  <c r="J125" i="820"/>
  <c r="H125" i="820"/>
  <c r="B122" i="820"/>
  <c r="E115" i="820"/>
  <c r="J115" i="820" s="1"/>
  <c r="E113" i="820"/>
  <c r="J113" i="820" s="1"/>
  <c r="J112" i="820"/>
  <c r="H112" i="820"/>
  <c r="J111" i="820"/>
  <c r="H111" i="820"/>
  <c r="E109" i="820"/>
  <c r="J109" i="820" s="1"/>
  <c r="E108" i="820"/>
  <c r="J108" i="820" s="1"/>
  <c r="I107" i="820"/>
  <c r="E107" i="820"/>
  <c r="I106" i="820"/>
  <c r="E106" i="820"/>
  <c r="H106" i="820" s="1"/>
  <c r="I103" i="820"/>
  <c r="E103" i="820"/>
  <c r="H103" i="820" s="1"/>
  <c r="I102" i="820"/>
  <c r="E102" i="820"/>
  <c r="H102" i="820" s="1"/>
  <c r="I101" i="820"/>
  <c r="E101" i="820"/>
  <c r="B98" i="820"/>
  <c r="O90" i="820"/>
  <c r="J90" i="820"/>
  <c r="H90" i="820"/>
  <c r="O89" i="820"/>
  <c r="O88" i="820"/>
  <c r="J88" i="820"/>
  <c r="H88" i="820"/>
  <c r="O87" i="820"/>
  <c r="J87" i="820"/>
  <c r="H87" i="820"/>
  <c r="O86" i="820"/>
  <c r="J86" i="820"/>
  <c r="H86" i="820"/>
  <c r="J80" i="820"/>
  <c r="H80" i="820"/>
  <c r="J78" i="820"/>
  <c r="H78" i="820"/>
  <c r="J77" i="820"/>
  <c r="H77" i="820"/>
  <c r="J76" i="820"/>
  <c r="H76" i="820"/>
  <c r="J75" i="820"/>
  <c r="H75" i="820"/>
  <c r="J74" i="820"/>
  <c r="H74" i="820"/>
  <c r="B70" i="820"/>
  <c r="G65" i="820"/>
  <c r="I65" i="820" s="1"/>
  <c r="J65" i="820" s="1"/>
  <c r="J64" i="820"/>
  <c r="H64" i="820"/>
  <c r="J63" i="820"/>
  <c r="H63" i="820"/>
  <c r="J62" i="820"/>
  <c r="H62" i="820"/>
  <c r="B59" i="820"/>
  <c r="J53" i="820"/>
  <c r="H53" i="820"/>
  <c r="J52" i="820"/>
  <c r="H52" i="820"/>
  <c r="B48" i="820"/>
  <c r="B34" i="820"/>
  <c r="B18" i="820"/>
  <c r="A18" i="820"/>
  <c r="B17" i="820"/>
  <c r="A17" i="820"/>
  <c r="B16" i="820"/>
  <c r="A16" i="820"/>
  <c r="B15" i="820"/>
  <c r="A15" i="820"/>
  <c r="B14" i="820"/>
  <c r="A14" i="820"/>
  <c r="B13" i="820"/>
  <c r="A13" i="820"/>
  <c r="B12" i="820"/>
  <c r="A12" i="820"/>
  <c r="B216" i="819"/>
  <c r="I214" i="819"/>
  <c r="J213" i="819"/>
  <c r="H213" i="819"/>
  <c r="J212" i="819"/>
  <c r="H212" i="819"/>
  <c r="B209" i="819"/>
  <c r="W205" i="819"/>
  <c r="V205" i="819"/>
  <c r="O205" i="819"/>
  <c r="J205" i="819"/>
  <c r="H205" i="819"/>
  <c r="W202" i="819"/>
  <c r="V202" i="819"/>
  <c r="O202" i="819"/>
  <c r="J202" i="819"/>
  <c r="H202" i="819"/>
  <c r="I194" i="819"/>
  <c r="J194" i="819" s="1"/>
  <c r="H194" i="819"/>
  <c r="H193" i="819"/>
  <c r="B190" i="819"/>
  <c r="J189" i="819"/>
  <c r="H189" i="819"/>
  <c r="J188" i="819"/>
  <c r="H188" i="819"/>
  <c r="J187" i="819"/>
  <c r="H187" i="819"/>
  <c r="J186" i="819"/>
  <c r="H186" i="819"/>
  <c r="I183" i="819"/>
  <c r="J183" i="819" s="1"/>
  <c r="H183" i="819"/>
  <c r="I182" i="819"/>
  <c r="J182" i="819" s="1"/>
  <c r="H182" i="819"/>
  <c r="I180" i="819"/>
  <c r="J180" i="819" s="1"/>
  <c r="H180" i="819"/>
  <c r="I179" i="819"/>
  <c r="J179" i="819" s="1"/>
  <c r="H179" i="819"/>
  <c r="I178" i="819"/>
  <c r="J178" i="819" s="1"/>
  <c r="H178" i="819"/>
  <c r="I177" i="819"/>
  <c r="J177" i="819" s="1"/>
  <c r="H177" i="819"/>
  <c r="I176" i="819"/>
  <c r="J176" i="819" s="1"/>
  <c r="H176" i="819"/>
  <c r="I175" i="819"/>
  <c r="J175" i="819" s="1"/>
  <c r="H175" i="819"/>
  <c r="I174" i="819"/>
  <c r="J174" i="819" s="1"/>
  <c r="H174" i="819"/>
  <c r="I173" i="819"/>
  <c r="J173" i="819" s="1"/>
  <c r="H173" i="819"/>
  <c r="I172" i="819"/>
  <c r="J172" i="819" s="1"/>
  <c r="H172" i="819"/>
  <c r="I171" i="819"/>
  <c r="J171" i="819" s="1"/>
  <c r="H171" i="819"/>
  <c r="I170" i="819"/>
  <c r="J170" i="819" s="1"/>
  <c r="H170" i="819"/>
  <c r="I169" i="819"/>
  <c r="J169" i="819" s="1"/>
  <c r="H169" i="819"/>
  <c r="B167" i="819"/>
  <c r="I164" i="819"/>
  <c r="J164" i="819" s="1"/>
  <c r="H164" i="819"/>
  <c r="J162" i="819"/>
  <c r="H162" i="819"/>
  <c r="B159" i="819"/>
  <c r="I151" i="819"/>
  <c r="J151" i="819" s="1"/>
  <c r="H151" i="819"/>
  <c r="I150" i="819"/>
  <c r="E150" i="819"/>
  <c r="H150" i="819" s="1"/>
  <c r="I149" i="819"/>
  <c r="E149" i="819"/>
  <c r="H149" i="819" s="1"/>
  <c r="I148" i="819"/>
  <c r="E148" i="819"/>
  <c r="H148" i="819" s="1"/>
  <c r="I147" i="819"/>
  <c r="J147" i="819" s="1"/>
  <c r="H147" i="819"/>
  <c r="B144" i="819"/>
  <c r="J131" i="819"/>
  <c r="H131" i="819"/>
  <c r="J127" i="819"/>
  <c r="H127" i="819"/>
  <c r="J126" i="819"/>
  <c r="H126" i="819"/>
  <c r="J125" i="819"/>
  <c r="H125" i="819"/>
  <c r="J124" i="819"/>
  <c r="H124" i="819"/>
  <c r="J123" i="819"/>
  <c r="H123" i="819"/>
  <c r="J116" i="819"/>
  <c r="H116" i="819"/>
  <c r="J115" i="819"/>
  <c r="H115" i="819"/>
  <c r="J114" i="819"/>
  <c r="H114" i="819"/>
  <c r="J113" i="819"/>
  <c r="H113" i="819"/>
  <c r="J112" i="819"/>
  <c r="H112" i="819"/>
  <c r="I104" i="819"/>
  <c r="I103" i="819"/>
  <c r="I102" i="819"/>
  <c r="I100" i="819"/>
  <c r="E100" i="819"/>
  <c r="I99" i="819"/>
  <c r="E99" i="819"/>
  <c r="H99" i="819" s="1"/>
  <c r="I97" i="819"/>
  <c r="E97" i="819"/>
  <c r="A95" i="819"/>
  <c r="B94" i="819"/>
  <c r="O89" i="819"/>
  <c r="J89" i="819"/>
  <c r="H89" i="819"/>
  <c r="G91" i="819" s="1"/>
  <c r="H91" i="819" s="1"/>
  <c r="J81" i="819"/>
  <c r="H81" i="819"/>
  <c r="J80" i="819"/>
  <c r="H80" i="819"/>
  <c r="B76" i="819"/>
  <c r="G74" i="819"/>
  <c r="J73" i="819"/>
  <c r="H73" i="819"/>
  <c r="J72" i="819"/>
  <c r="H72" i="819"/>
  <c r="J71" i="819"/>
  <c r="H71" i="819"/>
  <c r="B68" i="819"/>
  <c r="E65" i="819"/>
  <c r="H65" i="819" s="1"/>
  <c r="J64" i="819"/>
  <c r="H64" i="819"/>
  <c r="J63" i="819"/>
  <c r="H63" i="819"/>
  <c r="J62" i="819"/>
  <c r="H62" i="819"/>
  <c r="B59" i="819"/>
  <c r="J56" i="819"/>
  <c r="H56" i="819"/>
  <c r="J55" i="819"/>
  <c r="H55" i="819"/>
  <c r="B51" i="819"/>
  <c r="I50" i="819"/>
  <c r="I40" i="819"/>
  <c r="J40" i="819" s="1"/>
  <c r="H40" i="819"/>
  <c r="I39" i="819"/>
  <c r="J39" i="819" s="1"/>
  <c r="H39" i="819"/>
  <c r="I38" i="819"/>
  <c r="J38" i="819" s="1"/>
  <c r="H38" i="819"/>
  <c r="I37" i="819"/>
  <c r="J37" i="819" s="1"/>
  <c r="H37" i="819"/>
  <c r="B34" i="819"/>
  <c r="B23" i="819"/>
  <c r="A23" i="819"/>
  <c r="B22" i="819"/>
  <c r="A22" i="819"/>
  <c r="B21" i="819"/>
  <c r="A21" i="819"/>
  <c r="B20" i="819"/>
  <c r="A20" i="819"/>
  <c r="B19" i="819"/>
  <c r="A19" i="819"/>
  <c r="B18" i="819"/>
  <c r="A18" i="819"/>
  <c r="B17" i="819"/>
  <c r="B16" i="819"/>
  <c r="A16" i="819"/>
  <c r="B15" i="819"/>
  <c r="A15" i="819"/>
  <c r="B14" i="819"/>
  <c r="A14" i="819"/>
  <c r="B13" i="819"/>
  <c r="A13" i="819"/>
  <c r="B12" i="819"/>
  <c r="A12" i="819"/>
  <c r="K209" i="818"/>
  <c r="J209" i="818"/>
  <c r="H209" i="818"/>
  <c r="H21" i="818" s="1"/>
  <c r="B209" i="818"/>
  <c r="B202" i="818"/>
  <c r="O198" i="818"/>
  <c r="J198" i="818"/>
  <c r="K198" i="818" s="1"/>
  <c r="H198" i="818"/>
  <c r="T197" i="818"/>
  <c r="S197" i="818"/>
  <c r="O197" i="818"/>
  <c r="J197" i="818"/>
  <c r="H197" i="818"/>
  <c r="O196" i="818"/>
  <c r="J196" i="818"/>
  <c r="H196" i="818"/>
  <c r="O195" i="818"/>
  <c r="J195" i="818"/>
  <c r="H195" i="818"/>
  <c r="V194" i="818"/>
  <c r="U194" i="818"/>
  <c r="T194" i="818"/>
  <c r="S194" i="818"/>
  <c r="O194" i="818"/>
  <c r="J194" i="818"/>
  <c r="H194" i="818"/>
  <c r="K194" i="818" s="1"/>
  <c r="O193" i="818"/>
  <c r="J193" i="818"/>
  <c r="H193" i="818"/>
  <c r="T191" i="818"/>
  <c r="S191" i="818"/>
  <c r="R191" i="818" s="1"/>
  <c r="J191" i="818"/>
  <c r="H191" i="818"/>
  <c r="T190" i="818"/>
  <c r="S190" i="818"/>
  <c r="J190" i="818"/>
  <c r="H190" i="818"/>
  <c r="T189" i="818"/>
  <c r="R189" i="818" s="1"/>
  <c r="J189" i="818"/>
  <c r="H189" i="818"/>
  <c r="J188" i="818"/>
  <c r="H188" i="818"/>
  <c r="J187" i="818"/>
  <c r="H187" i="818"/>
  <c r="V186" i="818"/>
  <c r="U186" i="818"/>
  <c r="T186" i="818"/>
  <c r="S186" i="818"/>
  <c r="J186" i="818"/>
  <c r="H186" i="818"/>
  <c r="I184" i="818"/>
  <c r="J184" i="818" s="1"/>
  <c r="H184" i="818"/>
  <c r="I183" i="818"/>
  <c r="J183" i="818" s="1"/>
  <c r="H183" i="818"/>
  <c r="I182" i="818"/>
  <c r="J182" i="818" s="1"/>
  <c r="H182" i="818"/>
  <c r="I181" i="818"/>
  <c r="J181" i="818" s="1"/>
  <c r="H181" i="818"/>
  <c r="B178" i="818"/>
  <c r="J174" i="818"/>
  <c r="H174" i="818"/>
  <c r="J173" i="818"/>
  <c r="H173" i="818"/>
  <c r="J172" i="818"/>
  <c r="H172" i="818"/>
  <c r="J171" i="818"/>
  <c r="H171" i="818"/>
  <c r="J169" i="818"/>
  <c r="H169" i="818"/>
  <c r="J168" i="818"/>
  <c r="H168" i="818"/>
  <c r="J167" i="818"/>
  <c r="H167" i="818"/>
  <c r="J166" i="818"/>
  <c r="H166" i="818"/>
  <c r="J165" i="818"/>
  <c r="H165" i="818"/>
  <c r="J164" i="818"/>
  <c r="H164" i="818"/>
  <c r="J163" i="818"/>
  <c r="H163" i="818"/>
  <c r="J162" i="818"/>
  <c r="H162" i="818"/>
  <c r="B159" i="818"/>
  <c r="I154" i="818"/>
  <c r="J154" i="818" s="1"/>
  <c r="I153" i="818"/>
  <c r="H153" i="818"/>
  <c r="I152" i="818"/>
  <c r="H152" i="818"/>
  <c r="I151" i="818"/>
  <c r="H151" i="818"/>
  <c r="I150" i="818"/>
  <c r="H150" i="818"/>
  <c r="B147" i="818"/>
  <c r="J145" i="818"/>
  <c r="H145" i="818"/>
  <c r="J144" i="818"/>
  <c r="H144" i="818"/>
  <c r="J142" i="818"/>
  <c r="H142" i="818"/>
  <c r="J141" i="818"/>
  <c r="H141" i="818"/>
  <c r="J139" i="818"/>
  <c r="H139" i="818"/>
  <c r="J138" i="818"/>
  <c r="H138" i="818"/>
  <c r="J136" i="818"/>
  <c r="H136" i="818"/>
  <c r="J135" i="818"/>
  <c r="H135" i="818"/>
  <c r="J134" i="818"/>
  <c r="H134" i="818"/>
  <c r="J133" i="818"/>
  <c r="H133" i="818"/>
  <c r="B129" i="818"/>
  <c r="J126" i="818"/>
  <c r="H126" i="818"/>
  <c r="I125" i="818"/>
  <c r="J125" i="818" s="1"/>
  <c r="H125" i="818"/>
  <c r="I124" i="818"/>
  <c r="E124" i="818"/>
  <c r="H124" i="818" s="1"/>
  <c r="E122" i="818"/>
  <c r="J122" i="818" s="1"/>
  <c r="I121" i="818"/>
  <c r="E121" i="818"/>
  <c r="H121" i="818" s="1"/>
  <c r="I120" i="818"/>
  <c r="E120" i="818"/>
  <c r="H120" i="818" s="1"/>
  <c r="I119" i="818"/>
  <c r="E119" i="818"/>
  <c r="H119" i="818" s="1"/>
  <c r="B116" i="818"/>
  <c r="J109" i="818"/>
  <c r="H109" i="818"/>
  <c r="J108" i="818"/>
  <c r="H108" i="818"/>
  <c r="K108" i="818" s="1"/>
  <c r="J107" i="818"/>
  <c r="K107" i="818" s="1"/>
  <c r="H107" i="818"/>
  <c r="J106" i="818"/>
  <c r="H106" i="818"/>
  <c r="K106" i="818" s="1"/>
  <c r="J105" i="818"/>
  <c r="H105" i="818"/>
  <c r="J104" i="818"/>
  <c r="H104" i="818"/>
  <c r="J103" i="818"/>
  <c r="H103" i="818"/>
  <c r="B99" i="818"/>
  <c r="E96" i="818"/>
  <c r="J96" i="818" s="1"/>
  <c r="I95" i="818"/>
  <c r="J95" i="818" s="1"/>
  <c r="H95" i="818"/>
  <c r="I94" i="818"/>
  <c r="J94" i="818" s="1"/>
  <c r="H94" i="818"/>
  <c r="I92" i="818"/>
  <c r="J92" i="818" s="1"/>
  <c r="H92" i="818"/>
  <c r="I91" i="818"/>
  <c r="J91" i="818" s="1"/>
  <c r="H91" i="818"/>
  <c r="G89" i="818"/>
  <c r="I89" i="818" s="1"/>
  <c r="J89" i="818" s="1"/>
  <c r="I88" i="818"/>
  <c r="J88" i="818" s="1"/>
  <c r="H88" i="818"/>
  <c r="I87" i="818"/>
  <c r="J87" i="818" s="1"/>
  <c r="H87" i="818"/>
  <c r="I86" i="818"/>
  <c r="J86" i="818" s="1"/>
  <c r="H86" i="818"/>
  <c r="I85" i="818"/>
  <c r="J85" i="818" s="1"/>
  <c r="H85" i="818"/>
  <c r="I84" i="818"/>
  <c r="J84" i="818" s="1"/>
  <c r="H84" i="818"/>
  <c r="I83" i="818"/>
  <c r="J83" i="818" s="1"/>
  <c r="H83" i="818"/>
  <c r="I82" i="818"/>
  <c r="J82" i="818" s="1"/>
  <c r="K82" i="818" s="1"/>
  <c r="H82" i="818"/>
  <c r="I81" i="818"/>
  <c r="J81" i="818" s="1"/>
  <c r="H81" i="818"/>
  <c r="I80" i="818"/>
  <c r="J80" i="818" s="1"/>
  <c r="H80" i="818"/>
  <c r="G78" i="818"/>
  <c r="G77" i="818"/>
  <c r="H77" i="818" s="1"/>
  <c r="G76" i="818"/>
  <c r="I76" i="818" s="1"/>
  <c r="J76" i="818" s="1"/>
  <c r="G75" i="818"/>
  <c r="H75" i="818" s="1"/>
  <c r="G74" i="818"/>
  <c r="H74" i="818" s="1"/>
  <c r="G73" i="818"/>
  <c r="I73" i="818" s="1"/>
  <c r="J73" i="818" s="1"/>
  <c r="G72" i="818"/>
  <c r="G71" i="818"/>
  <c r="I71" i="818" s="1"/>
  <c r="J71" i="818" s="1"/>
  <c r="B68" i="818"/>
  <c r="J65" i="818"/>
  <c r="H65" i="818"/>
  <c r="J64" i="818"/>
  <c r="H64" i="818"/>
  <c r="B59" i="818"/>
  <c r="G51" i="818"/>
  <c r="I51" i="818" s="1"/>
  <c r="J51" i="818" s="1"/>
  <c r="H50" i="818"/>
  <c r="K50" i="818" s="1"/>
  <c r="G47" i="818"/>
  <c r="H47" i="818" s="1"/>
  <c r="I46" i="818"/>
  <c r="I45" i="818"/>
  <c r="J45" i="818" s="1"/>
  <c r="H45" i="818"/>
  <c r="I44" i="818"/>
  <c r="J44" i="818" s="1"/>
  <c r="H44" i="818"/>
  <c r="I43" i="818"/>
  <c r="J43" i="818" s="1"/>
  <c r="K43" i="818" s="1"/>
  <c r="H43" i="818"/>
  <c r="I42" i="818"/>
  <c r="J42" i="818" s="1"/>
  <c r="H42" i="818"/>
  <c r="I41" i="818"/>
  <c r="J41" i="818" s="1"/>
  <c r="K41" i="818" s="1"/>
  <c r="H41" i="818"/>
  <c r="I40" i="818"/>
  <c r="J40" i="818" s="1"/>
  <c r="H40" i="818"/>
  <c r="I39" i="818"/>
  <c r="J39" i="818" s="1"/>
  <c r="H39" i="818"/>
  <c r="I38" i="818"/>
  <c r="J38" i="818" s="1"/>
  <c r="H38" i="818"/>
  <c r="B34" i="818"/>
  <c r="J21" i="818"/>
  <c r="B21" i="818"/>
  <c r="A21" i="818"/>
  <c r="B20" i="818"/>
  <c r="A20" i="818"/>
  <c r="B19" i="818"/>
  <c r="A19" i="818"/>
  <c r="B18" i="818"/>
  <c r="A18" i="818"/>
  <c r="B17" i="818"/>
  <c r="A17" i="818"/>
  <c r="B16" i="818"/>
  <c r="A16" i="818"/>
  <c r="B15" i="818"/>
  <c r="A15" i="818"/>
  <c r="B14" i="818"/>
  <c r="A14" i="818"/>
  <c r="B13" i="818"/>
  <c r="A13" i="818"/>
  <c r="B12" i="818"/>
  <c r="A12" i="818"/>
  <c r="K184" i="817"/>
  <c r="J184" i="817"/>
  <c r="J21" i="817" s="1"/>
  <c r="H184" i="817"/>
  <c r="B184" i="817"/>
  <c r="B170" i="817"/>
  <c r="O166" i="817"/>
  <c r="J166" i="817"/>
  <c r="H166" i="817"/>
  <c r="O165" i="817"/>
  <c r="J165" i="817"/>
  <c r="H165" i="817"/>
  <c r="O164" i="817"/>
  <c r="J164" i="817"/>
  <c r="H164" i="817"/>
  <c r="O163" i="817"/>
  <c r="J163" i="817"/>
  <c r="H163" i="817"/>
  <c r="O162" i="817"/>
  <c r="J162" i="817"/>
  <c r="H162" i="817"/>
  <c r="O161" i="817"/>
  <c r="J161" i="817"/>
  <c r="H161" i="817"/>
  <c r="K161" i="817" s="1"/>
  <c r="J156" i="817"/>
  <c r="H156" i="817"/>
  <c r="J155" i="817"/>
  <c r="H155" i="817"/>
  <c r="K155" i="817" s="1"/>
  <c r="J154" i="817"/>
  <c r="H154" i="817"/>
  <c r="I152" i="817"/>
  <c r="J152" i="817" s="1"/>
  <c r="H152" i="817"/>
  <c r="I151" i="817"/>
  <c r="J151" i="817" s="1"/>
  <c r="H151" i="817"/>
  <c r="I150" i="817"/>
  <c r="J150" i="817" s="1"/>
  <c r="H150" i="817"/>
  <c r="B147" i="817"/>
  <c r="J142" i="817"/>
  <c r="H142" i="817"/>
  <c r="J140" i="817"/>
  <c r="H140" i="817"/>
  <c r="J137" i="817"/>
  <c r="H137" i="817"/>
  <c r="B134" i="817"/>
  <c r="I130" i="817"/>
  <c r="H130" i="817"/>
  <c r="I129" i="817"/>
  <c r="I128" i="817"/>
  <c r="H128" i="817"/>
  <c r="I127" i="817"/>
  <c r="H127" i="817"/>
  <c r="I126" i="817"/>
  <c r="H126" i="817"/>
  <c r="B123" i="817"/>
  <c r="J121" i="817"/>
  <c r="H121" i="817"/>
  <c r="J120" i="817"/>
  <c r="H120" i="817"/>
  <c r="J119" i="817"/>
  <c r="H119" i="817"/>
  <c r="J116" i="817"/>
  <c r="H116" i="817"/>
  <c r="J115" i="817"/>
  <c r="H115" i="817"/>
  <c r="J114" i="817"/>
  <c r="H114" i="817"/>
  <c r="J113" i="817"/>
  <c r="H113" i="817"/>
  <c r="B109" i="817"/>
  <c r="I106" i="817"/>
  <c r="E106" i="817"/>
  <c r="I104" i="817"/>
  <c r="J104" i="817" s="1"/>
  <c r="H104" i="817"/>
  <c r="I103" i="817"/>
  <c r="E103" i="817"/>
  <c r="H103" i="817" s="1"/>
  <c r="I102" i="817"/>
  <c r="E102" i="817"/>
  <c r="H102" i="817" s="1"/>
  <c r="B99" i="817"/>
  <c r="O94" i="817"/>
  <c r="J94" i="817"/>
  <c r="H94" i="817"/>
  <c r="O93" i="817"/>
  <c r="J93" i="817"/>
  <c r="H93" i="817"/>
  <c r="J88" i="817"/>
  <c r="H88" i="817"/>
  <c r="B84" i="817"/>
  <c r="I82" i="817"/>
  <c r="E82" i="817"/>
  <c r="H82" i="817" s="1"/>
  <c r="I81" i="817"/>
  <c r="J81" i="817" s="1"/>
  <c r="H81" i="817"/>
  <c r="I80" i="817"/>
  <c r="J80" i="817" s="1"/>
  <c r="H80" i="817"/>
  <c r="I79" i="817"/>
  <c r="J79" i="817" s="1"/>
  <c r="H79" i="817"/>
  <c r="I78" i="817"/>
  <c r="J78" i="817" s="1"/>
  <c r="H78" i="817"/>
  <c r="I77" i="817"/>
  <c r="J77" i="817" s="1"/>
  <c r="H77" i="817"/>
  <c r="I76" i="817"/>
  <c r="J76" i="817" s="1"/>
  <c r="H76" i="817"/>
  <c r="I75" i="817"/>
  <c r="J75" i="817" s="1"/>
  <c r="H75" i="817"/>
  <c r="I74" i="817"/>
  <c r="J74" i="817" s="1"/>
  <c r="H74" i="817"/>
  <c r="I72" i="817"/>
  <c r="J72" i="817" s="1"/>
  <c r="H72" i="817"/>
  <c r="I71" i="817"/>
  <c r="J71" i="817" s="1"/>
  <c r="H71" i="817"/>
  <c r="I69" i="817"/>
  <c r="J69" i="817" s="1"/>
  <c r="H69" i="817"/>
  <c r="G68" i="817"/>
  <c r="I68" i="817" s="1"/>
  <c r="J68" i="817" s="1"/>
  <c r="G67" i="817"/>
  <c r="H67" i="817" s="1"/>
  <c r="I66" i="817"/>
  <c r="J66" i="817" s="1"/>
  <c r="H66" i="817"/>
  <c r="G65" i="817"/>
  <c r="G64" i="817"/>
  <c r="I64" i="817" s="1"/>
  <c r="J64" i="817" s="1"/>
  <c r="G63" i="817"/>
  <c r="I63" i="817" s="1"/>
  <c r="J63" i="817" s="1"/>
  <c r="I62" i="817"/>
  <c r="J62" i="817" s="1"/>
  <c r="G62" i="817"/>
  <c r="H62" i="817" s="1"/>
  <c r="B59" i="817"/>
  <c r="J52" i="817"/>
  <c r="H52" i="817"/>
  <c r="J51" i="817"/>
  <c r="H51" i="817"/>
  <c r="K51" i="817" s="1"/>
  <c r="E50" i="817"/>
  <c r="E112" i="817" s="1"/>
  <c r="B46" i="817"/>
  <c r="I41" i="817"/>
  <c r="J41" i="817" s="1"/>
  <c r="H41" i="817"/>
  <c r="H40" i="817"/>
  <c r="K40" i="817" s="1"/>
  <c r="I39" i="817"/>
  <c r="J39" i="817" s="1"/>
  <c r="H39" i="817"/>
  <c r="I38" i="817"/>
  <c r="J38" i="817" s="1"/>
  <c r="H38" i="817"/>
  <c r="B34" i="817"/>
  <c r="H21" i="817"/>
  <c r="K21" i="817" s="1"/>
  <c r="B21" i="817"/>
  <c r="A21" i="817"/>
  <c r="B20" i="817"/>
  <c r="A20" i="817"/>
  <c r="B19" i="817"/>
  <c r="A19" i="817"/>
  <c r="B18" i="817"/>
  <c r="A18" i="817"/>
  <c r="B17" i="817"/>
  <c r="A17" i="817"/>
  <c r="B16" i="817"/>
  <c r="A16" i="817"/>
  <c r="B15" i="817"/>
  <c r="A15" i="817"/>
  <c r="B14" i="817"/>
  <c r="A14" i="817"/>
  <c r="B13" i="817"/>
  <c r="A13" i="817"/>
  <c r="B12" i="817"/>
  <c r="A12" i="817"/>
  <c r="B384" i="816"/>
  <c r="G366" i="816"/>
  <c r="H366" i="816" s="1"/>
  <c r="J365" i="816"/>
  <c r="H365" i="816"/>
  <c r="J364" i="816"/>
  <c r="H364" i="816"/>
  <c r="J363" i="816"/>
  <c r="H363" i="816"/>
  <c r="J362" i="816"/>
  <c r="H362" i="816"/>
  <c r="B359" i="816"/>
  <c r="J357" i="816"/>
  <c r="H357" i="816"/>
  <c r="J356" i="816"/>
  <c r="H356" i="816"/>
  <c r="J355" i="816"/>
  <c r="H355" i="816"/>
  <c r="J354" i="816"/>
  <c r="H354" i="816"/>
  <c r="B352" i="816"/>
  <c r="I349" i="816"/>
  <c r="E347" i="816"/>
  <c r="E349" i="816" s="1"/>
  <c r="B342" i="816"/>
  <c r="I339" i="816"/>
  <c r="E339" i="816"/>
  <c r="J338" i="816"/>
  <c r="H338" i="816"/>
  <c r="J337" i="816"/>
  <c r="H337" i="816"/>
  <c r="J336" i="816"/>
  <c r="H336" i="816"/>
  <c r="J335" i="816"/>
  <c r="H335" i="816"/>
  <c r="J334" i="816"/>
  <c r="H334" i="816"/>
  <c r="J333" i="816"/>
  <c r="H333" i="816"/>
  <c r="J332" i="816"/>
  <c r="H332" i="816"/>
  <c r="J331" i="816"/>
  <c r="H331" i="816"/>
  <c r="J330" i="816"/>
  <c r="H330" i="816"/>
  <c r="J329" i="816"/>
  <c r="H329" i="816"/>
  <c r="J328" i="816"/>
  <c r="H328" i="816"/>
  <c r="J327" i="816"/>
  <c r="H327" i="816"/>
  <c r="J326" i="816"/>
  <c r="H326" i="816"/>
  <c r="J325" i="816"/>
  <c r="H325" i="816"/>
  <c r="J324" i="816"/>
  <c r="H324" i="816"/>
  <c r="J323" i="816"/>
  <c r="H323" i="816"/>
  <c r="J322" i="816"/>
  <c r="H322" i="816"/>
  <c r="J321" i="816"/>
  <c r="H321" i="816"/>
  <c r="J320" i="816"/>
  <c r="H320" i="816"/>
  <c r="J319" i="816"/>
  <c r="H319" i="816"/>
  <c r="J318" i="816"/>
  <c r="H318" i="816"/>
  <c r="J317" i="816"/>
  <c r="H317" i="816"/>
  <c r="J316" i="816"/>
  <c r="H316" i="816"/>
  <c r="J315" i="816"/>
  <c r="H315" i="816"/>
  <c r="J314" i="816"/>
  <c r="H314" i="816"/>
  <c r="J313" i="816"/>
  <c r="H313" i="816"/>
  <c r="J312" i="816"/>
  <c r="H312" i="816"/>
  <c r="J311" i="816"/>
  <c r="H311" i="816"/>
  <c r="J310" i="816"/>
  <c r="H310" i="816"/>
  <c r="J309" i="816"/>
  <c r="H309" i="816"/>
  <c r="J308" i="816"/>
  <c r="H308" i="816"/>
  <c r="J307" i="816"/>
  <c r="H307" i="816"/>
  <c r="J306" i="816"/>
  <c r="H306" i="816"/>
  <c r="J305" i="816"/>
  <c r="H305" i="816"/>
  <c r="J304" i="816"/>
  <c r="H304" i="816"/>
  <c r="J303" i="816"/>
  <c r="H303" i="816"/>
  <c r="J302" i="816"/>
  <c r="H302" i="816"/>
  <c r="J301" i="816"/>
  <c r="H301" i="816"/>
  <c r="J300" i="816"/>
  <c r="H300" i="816"/>
  <c r="J299" i="816"/>
  <c r="H299" i="816"/>
  <c r="J298" i="816"/>
  <c r="H298" i="816"/>
  <c r="J297" i="816"/>
  <c r="H297" i="816"/>
  <c r="J296" i="816"/>
  <c r="H296" i="816"/>
  <c r="J295" i="816"/>
  <c r="H295" i="816"/>
  <c r="B292" i="816"/>
  <c r="G285" i="816"/>
  <c r="I285" i="816" s="1"/>
  <c r="J285" i="816" s="1"/>
  <c r="J292" i="816" s="1"/>
  <c r="J22" i="816" s="1"/>
  <c r="B284" i="816"/>
  <c r="J283" i="816"/>
  <c r="J282" i="816"/>
  <c r="H282" i="816"/>
  <c r="G283" i="816" s="1"/>
  <c r="H283" i="816" s="1"/>
  <c r="J280" i="816"/>
  <c r="O279" i="816"/>
  <c r="J279" i="816"/>
  <c r="J277" i="816"/>
  <c r="J276" i="816"/>
  <c r="H276" i="816"/>
  <c r="J275" i="816"/>
  <c r="H275" i="816"/>
  <c r="J273" i="816"/>
  <c r="J270" i="816"/>
  <c r="H270" i="816"/>
  <c r="J268" i="816"/>
  <c r="H268" i="816"/>
  <c r="J267" i="816"/>
  <c r="H267" i="816"/>
  <c r="J266" i="816"/>
  <c r="H266" i="816"/>
  <c r="J265" i="816"/>
  <c r="H265" i="816"/>
  <c r="J264" i="816"/>
  <c r="I263" i="816"/>
  <c r="J263" i="816" s="1"/>
  <c r="H263" i="816"/>
  <c r="J262" i="816"/>
  <c r="H262" i="816"/>
  <c r="J261" i="816"/>
  <c r="H261" i="816"/>
  <c r="J252" i="816"/>
  <c r="O251" i="816"/>
  <c r="J251" i="816"/>
  <c r="H251" i="816"/>
  <c r="O250" i="816"/>
  <c r="J250" i="816"/>
  <c r="H250" i="816"/>
  <c r="O249" i="816"/>
  <c r="J249" i="816"/>
  <c r="H249" i="816"/>
  <c r="O248" i="816"/>
  <c r="O247" i="816"/>
  <c r="J247" i="816"/>
  <c r="H247" i="816"/>
  <c r="J246" i="816"/>
  <c r="O245" i="816"/>
  <c r="J245" i="816"/>
  <c r="H245" i="816"/>
  <c r="O244" i="816"/>
  <c r="J244" i="816"/>
  <c r="H244" i="816"/>
  <c r="O243" i="816"/>
  <c r="J243" i="816"/>
  <c r="H243" i="816"/>
  <c r="O242" i="816"/>
  <c r="J242" i="816"/>
  <c r="H242" i="816"/>
  <c r="O241" i="816"/>
  <c r="E248" i="816"/>
  <c r="O240" i="816"/>
  <c r="J240" i="816"/>
  <c r="H240" i="816"/>
  <c r="O239" i="816"/>
  <c r="J239" i="816"/>
  <c r="H239" i="816"/>
  <c r="B234" i="816"/>
  <c r="J226" i="816"/>
  <c r="H226" i="816"/>
  <c r="F226" i="816"/>
  <c r="J225" i="816"/>
  <c r="H225" i="816"/>
  <c r="F225" i="816"/>
  <c r="J223" i="816"/>
  <c r="H223" i="816"/>
  <c r="F223" i="816"/>
  <c r="J222" i="816"/>
  <c r="H222" i="816"/>
  <c r="F222" i="816"/>
  <c r="J221" i="816"/>
  <c r="H221" i="816"/>
  <c r="F221" i="816"/>
  <c r="I219" i="816"/>
  <c r="J219" i="816" s="1"/>
  <c r="H219" i="816"/>
  <c r="I217" i="816"/>
  <c r="J217" i="816" s="1"/>
  <c r="H217" i="816"/>
  <c r="I215" i="816"/>
  <c r="J215" i="816" s="1"/>
  <c r="H215" i="816"/>
  <c r="I213" i="816"/>
  <c r="E213" i="816"/>
  <c r="I212" i="816"/>
  <c r="J212" i="816" s="1"/>
  <c r="H212" i="816"/>
  <c r="B209" i="816"/>
  <c r="I207" i="816"/>
  <c r="J207" i="816" s="1"/>
  <c r="G207" i="816"/>
  <c r="H207" i="816" s="1"/>
  <c r="I206" i="816"/>
  <c r="J206" i="816" s="1"/>
  <c r="H206" i="816"/>
  <c r="J205" i="816"/>
  <c r="H205" i="816"/>
  <c r="J204" i="816"/>
  <c r="H204" i="816"/>
  <c r="B201" i="816"/>
  <c r="I191" i="816"/>
  <c r="H191" i="816"/>
  <c r="I190" i="816"/>
  <c r="I189" i="816"/>
  <c r="I188" i="816"/>
  <c r="J188" i="816" s="1"/>
  <c r="H188" i="816"/>
  <c r="I187" i="816"/>
  <c r="J187" i="816" s="1"/>
  <c r="H187" i="816"/>
  <c r="B184" i="816"/>
  <c r="H177" i="816"/>
  <c r="H176" i="816"/>
  <c r="J175" i="816"/>
  <c r="E173" i="816"/>
  <c r="H173" i="816" s="1"/>
  <c r="J172" i="816"/>
  <c r="H172" i="816"/>
  <c r="H171" i="816"/>
  <c r="J170" i="816"/>
  <c r="H170" i="816"/>
  <c r="J166" i="816"/>
  <c r="H166" i="816"/>
  <c r="J165" i="816"/>
  <c r="H165" i="816"/>
  <c r="J164" i="816"/>
  <c r="H164" i="816"/>
  <c r="J163" i="816"/>
  <c r="H163" i="816"/>
  <c r="J162" i="816"/>
  <c r="H162" i="816"/>
  <c r="J161" i="816"/>
  <c r="H161" i="816"/>
  <c r="E157" i="816"/>
  <c r="H157" i="816" s="1"/>
  <c r="E156" i="816"/>
  <c r="J156" i="816" s="1"/>
  <c r="J155" i="816"/>
  <c r="J154" i="816"/>
  <c r="H154" i="816"/>
  <c r="E152" i="816"/>
  <c r="J152" i="816" s="1"/>
  <c r="E151" i="816"/>
  <c r="H151" i="816" s="1"/>
  <c r="J150" i="816"/>
  <c r="H150" i="816"/>
  <c r="H149" i="816"/>
  <c r="B146" i="816"/>
  <c r="E143" i="816"/>
  <c r="J143" i="816" s="1"/>
  <c r="E142" i="816"/>
  <c r="H142" i="816" s="1"/>
  <c r="E140" i="816"/>
  <c r="J140" i="816" s="1"/>
  <c r="E139" i="816"/>
  <c r="J139" i="816" s="1"/>
  <c r="J134" i="816"/>
  <c r="H134" i="816"/>
  <c r="J133" i="816"/>
  <c r="H133" i="816"/>
  <c r="J131" i="816"/>
  <c r="H131" i="816"/>
  <c r="J128" i="816"/>
  <c r="H128" i="816"/>
  <c r="J127" i="816"/>
  <c r="H127" i="816"/>
  <c r="J126" i="816"/>
  <c r="H126" i="816"/>
  <c r="B123" i="816"/>
  <c r="J122" i="816"/>
  <c r="J121" i="816"/>
  <c r="J120" i="816"/>
  <c r="O119" i="816"/>
  <c r="J119" i="816"/>
  <c r="H119" i="816"/>
  <c r="O118" i="816"/>
  <c r="O117" i="816"/>
  <c r="J117" i="816"/>
  <c r="H117" i="816"/>
  <c r="O116" i="816"/>
  <c r="E116" i="816"/>
  <c r="J116" i="816" s="1"/>
  <c r="J108" i="816"/>
  <c r="J107" i="816"/>
  <c r="H107" i="816"/>
  <c r="J106" i="816"/>
  <c r="H106" i="816"/>
  <c r="E105" i="816"/>
  <c r="H105" i="816" s="1"/>
  <c r="J103" i="816"/>
  <c r="H103" i="816"/>
  <c r="J102" i="816"/>
  <c r="H102" i="816"/>
  <c r="B98" i="816"/>
  <c r="I96" i="816"/>
  <c r="J96" i="816" s="1"/>
  <c r="H96" i="816"/>
  <c r="I95" i="816"/>
  <c r="J95" i="816" s="1"/>
  <c r="H95" i="816"/>
  <c r="I94" i="816"/>
  <c r="J94" i="816" s="1"/>
  <c r="H94" i="816"/>
  <c r="J92" i="816"/>
  <c r="H92" i="816"/>
  <c r="J91" i="816"/>
  <c r="H91" i="816"/>
  <c r="J90" i="816"/>
  <c r="H90" i="816"/>
  <c r="J89" i="816"/>
  <c r="H89" i="816"/>
  <c r="J88" i="816"/>
  <c r="H88" i="816"/>
  <c r="J87" i="816"/>
  <c r="H87" i="816"/>
  <c r="J86" i="816"/>
  <c r="H86" i="816"/>
  <c r="J85" i="816"/>
  <c r="H85" i="816"/>
  <c r="J84" i="816"/>
  <c r="H84" i="816"/>
  <c r="J83" i="816"/>
  <c r="H83" i="816"/>
  <c r="J82" i="816"/>
  <c r="H82" i="816"/>
  <c r="J81" i="816"/>
  <c r="H81" i="816"/>
  <c r="J80" i="816"/>
  <c r="H80" i="816"/>
  <c r="J79" i="816"/>
  <c r="H79" i="816"/>
  <c r="J78" i="816"/>
  <c r="H78" i="816"/>
  <c r="J77" i="816"/>
  <c r="H77" i="816"/>
  <c r="J76" i="816"/>
  <c r="H76" i="816"/>
  <c r="J75" i="816"/>
  <c r="H75" i="816"/>
  <c r="J74" i="816"/>
  <c r="H74" i="816"/>
  <c r="J73" i="816"/>
  <c r="H73" i="816"/>
  <c r="J72" i="816"/>
  <c r="H72" i="816"/>
  <c r="J71" i="816"/>
  <c r="H71" i="816"/>
  <c r="I70" i="816"/>
  <c r="J70" i="816" s="1"/>
  <c r="H70" i="816"/>
  <c r="I69" i="816"/>
  <c r="J69" i="816" s="1"/>
  <c r="H69" i="816"/>
  <c r="I68" i="816"/>
  <c r="J68" i="816" s="1"/>
  <c r="H68" i="816"/>
  <c r="I67" i="816"/>
  <c r="J67" i="816" s="1"/>
  <c r="H67" i="816"/>
  <c r="I66" i="816"/>
  <c r="J66" i="816" s="1"/>
  <c r="H66" i="816"/>
  <c r="I65" i="816"/>
  <c r="J65" i="816" s="1"/>
  <c r="H65" i="816"/>
  <c r="I64" i="816"/>
  <c r="J64" i="816" s="1"/>
  <c r="H64" i="816"/>
  <c r="I63" i="816"/>
  <c r="J63" i="816" s="1"/>
  <c r="H63" i="816"/>
  <c r="I62" i="816"/>
  <c r="J62" i="816" s="1"/>
  <c r="H62" i="816"/>
  <c r="I61" i="816"/>
  <c r="J61" i="816" s="1"/>
  <c r="H61" i="816"/>
  <c r="J60" i="816"/>
  <c r="H60" i="816"/>
  <c r="J59" i="816"/>
  <c r="H59" i="816"/>
  <c r="J58" i="816"/>
  <c r="H58" i="816"/>
  <c r="J57" i="816"/>
  <c r="H57" i="816"/>
  <c r="J56" i="816"/>
  <c r="H56" i="816"/>
  <c r="J55" i="816"/>
  <c r="H55" i="816"/>
  <c r="J54" i="816"/>
  <c r="H54" i="816"/>
  <c r="J53" i="816"/>
  <c r="H53" i="816"/>
  <c r="J52" i="816"/>
  <c r="H52" i="816"/>
  <c r="J51" i="816"/>
  <c r="H51" i="816"/>
  <c r="B48" i="816"/>
  <c r="J45" i="816"/>
  <c r="H45" i="816"/>
  <c r="J44" i="816"/>
  <c r="H44" i="816"/>
  <c r="J43" i="816"/>
  <c r="H43" i="816"/>
  <c r="J41" i="816"/>
  <c r="H41" i="816"/>
  <c r="J40" i="816"/>
  <c r="H40" i="816"/>
  <c r="J39" i="816"/>
  <c r="H39" i="816"/>
  <c r="E37" i="816"/>
  <c r="H37" i="816" s="1"/>
  <c r="J36" i="816"/>
  <c r="H36" i="816"/>
  <c r="B34" i="816"/>
  <c r="B26" i="816"/>
  <c r="A26" i="816"/>
  <c r="B25" i="816"/>
  <c r="A25" i="816"/>
  <c r="B24" i="816"/>
  <c r="A24" i="816"/>
  <c r="B23" i="816"/>
  <c r="A23" i="816"/>
  <c r="B22" i="816"/>
  <c r="A22" i="816"/>
  <c r="B21" i="816"/>
  <c r="A21" i="816"/>
  <c r="B20" i="816"/>
  <c r="A20" i="816"/>
  <c r="B19" i="816"/>
  <c r="A19" i="816"/>
  <c r="B18" i="816"/>
  <c r="A18" i="816"/>
  <c r="B17" i="816"/>
  <c r="A17" i="816"/>
  <c r="B16" i="816"/>
  <c r="A16" i="816"/>
  <c r="B15" i="816"/>
  <c r="A15" i="816"/>
  <c r="B14" i="816"/>
  <c r="A14" i="816"/>
  <c r="B13" i="816"/>
  <c r="A13" i="816"/>
  <c r="B12" i="816"/>
  <c r="A12" i="816"/>
  <c r="B34" i="815"/>
  <c r="B27" i="815"/>
  <c r="B26" i="815"/>
  <c r="B19" i="815"/>
  <c r="B16" i="815"/>
  <c r="B15" i="815"/>
  <c r="B14" i="815"/>
  <c r="B13" i="815"/>
  <c r="K134" i="814"/>
  <c r="J134" i="814"/>
  <c r="J17" i="814" s="1"/>
  <c r="H134" i="814"/>
  <c r="B134" i="814"/>
  <c r="B118" i="814"/>
  <c r="I112" i="814"/>
  <c r="J112" i="814" s="1"/>
  <c r="H112" i="814"/>
  <c r="I111" i="814"/>
  <c r="J111" i="814" s="1"/>
  <c r="H111" i="814"/>
  <c r="B109" i="814"/>
  <c r="J101" i="814"/>
  <c r="H101" i="814"/>
  <c r="K101" i="814" s="1"/>
  <c r="H99" i="814"/>
  <c r="K99" i="814" s="1"/>
  <c r="H98" i="814"/>
  <c r="K98" i="814" s="1"/>
  <c r="H97" i="814"/>
  <c r="K97" i="814" s="1"/>
  <c r="H96" i="814"/>
  <c r="K96" i="814" s="1"/>
  <c r="H95" i="814"/>
  <c r="K95" i="814" s="1"/>
  <c r="G94" i="814"/>
  <c r="H94" i="814" s="1"/>
  <c r="H92" i="814"/>
  <c r="K92" i="814" s="1"/>
  <c r="H91" i="814"/>
  <c r="K91" i="814" s="1"/>
  <c r="H90" i="814"/>
  <c r="K90" i="814" s="1"/>
  <c r="H89" i="814"/>
  <c r="K89" i="814" s="1"/>
  <c r="H88" i="814"/>
  <c r="K88" i="814" s="1"/>
  <c r="I87" i="814"/>
  <c r="J87" i="814" s="1"/>
  <c r="H87" i="814"/>
  <c r="B84" i="814"/>
  <c r="I82" i="814"/>
  <c r="J82" i="814" s="1"/>
  <c r="H82" i="814"/>
  <c r="K82" i="814" s="1"/>
  <c r="J81" i="814"/>
  <c r="H81" i="814"/>
  <c r="J80" i="814"/>
  <c r="H80" i="814"/>
  <c r="J78" i="814"/>
  <c r="H78" i="814"/>
  <c r="K78" i="814" s="1"/>
  <c r="B76" i="814"/>
  <c r="J73" i="814"/>
  <c r="H73" i="814"/>
  <c r="J71" i="814"/>
  <c r="H71" i="814"/>
  <c r="J69" i="814"/>
  <c r="H69" i="814"/>
  <c r="K69" i="814" s="1"/>
  <c r="J67" i="814"/>
  <c r="H67" i="814"/>
  <c r="J66" i="814"/>
  <c r="H66" i="814"/>
  <c r="K66" i="814" s="1"/>
  <c r="J64" i="814"/>
  <c r="H64" i="814"/>
  <c r="J62" i="814"/>
  <c r="H62" i="814"/>
  <c r="K62" i="814" s="1"/>
  <c r="J61" i="814"/>
  <c r="H61" i="814"/>
  <c r="B59" i="814"/>
  <c r="O54" i="814"/>
  <c r="J54" i="814"/>
  <c r="K54" i="814" s="1"/>
  <c r="H54" i="814"/>
  <c r="O53" i="814"/>
  <c r="J53" i="814"/>
  <c r="H53" i="814"/>
  <c r="G55" i="814" s="1"/>
  <c r="J47" i="814"/>
  <c r="H47" i="814"/>
  <c r="J46" i="814"/>
  <c r="H46" i="814"/>
  <c r="J45" i="814"/>
  <c r="H45" i="814"/>
  <c r="J44" i="814"/>
  <c r="H44" i="814"/>
  <c r="K44" i="814" s="1"/>
  <c r="J43" i="814"/>
  <c r="K43" i="814" s="1"/>
  <c r="H43" i="814"/>
  <c r="J42" i="814"/>
  <c r="H42" i="814"/>
  <c r="K42" i="814" s="1"/>
  <c r="J41" i="814"/>
  <c r="H41" i="814"/>
  <c r="J40" i="814"/>
  <c r="H40" i="814"/>
  <c r="K40" i="814" s="1"/>
  <c r="J39" i="814"/>
  <c r="K39" i="814" s="1"/>
  <c r="H39" i="814"/>
  <c r="J38" i="814"/>
  <c r="H38" i="814"/>
  <c r="B34" i="814"/>
  <c r="H17" i="814"/>
  <c r="B17" i="814"/>
  <c r="A17" i="814"/>
  <c r="B16" i="814"/>
  <c r="A16" i="814"/>
  <c r="B15" i="814"/>
  <c r="A15" i="814"/>
  <c r="B14" i="814"/>
  <c r="A14" i="814"/>
  <c r="B13" i="814"/>
  <c r="A13" i="814"/>
  <c r="B12" i="814"/>
  <c r="A12" i="814"/>
  <c r="K134" i="813"/>
  <c r="J134" i="813"/>
  <c r="J17" i="813" s="1"/>
  <c r="H134" i="813"/>
  <c r="B134" i="813"/>
  <c r="B118" i="813"/>
  <c r="I112" i="813"/>
  <c r="J112" i="813" s="1"/>
  <c r="H112" i="813"/>
  <c r="I111" i="813"/>
  <c r="J111" i="813" s="1"/>
  <c r="H111" i="813"/>
  <c r="B109" i="813"/>
  <c r="J101" i="813"/>
  <c r="H101" i="813"/>
  <c r="H99" i="813"/>
  <c r="K99" i="813" s="1"/>
  <c r="K98" i="813"/>
  <c r="H98" i="813"/>
  <c r="H97" i="813"/>
  <c r="K97" i="813" s="1"/>
  <c r="K96" i="813"/>
  <c r="H96" i="813"/>
  <c r="H95" i="813"/>
  <c r="K95" i="813" s="1"/>
  <c r="G94" i="813"/>
  <c r="I94" i="813" s="1"/>
  <c r="J94" i="813" s="1"/>
  <c r="H92" i="813"/>
  <c r="K92" i="813" s="1"/>
  <c r="H91" i="813"/>
  <c r="K91" i="813" s="1"/>
  <c r="H90" i="813"/>
  <c r="K90" i="813" s="1"/>
  <c r="H89" i="813"/>
  <c r="K89" i="813" s="1"/>
  <c r="H88" i="813"/>
  <c r="K88" i="813" s="1"/>
  <c r="I87" i="813"/>
  <c r="J87" i="813" s="1"/>
  <c r="J109" i="813" s="1"/>
  <c r="J15" i="813" s="1"/>
  <c r="H87" i="813"/>
  <c r="B84" i="813"/>
  <c r="J81" i="813"/>
  <c r="H81" i="813"/>
  <c r="J80" i="813"/>
  <c r="H80" i="813"/>
  <c r="J78" i="813"/>
  <c r="J84" i="813" s="1"/>
  <c r="J14" i="813" s="1"/>
  <c r="H78" i="813"/>
  <c r="K78" i="813" s="1"/>
  <c r="B76" i="813"/>
  <c r="J73" i="813"/>
  <c r="H73" i="813"/>
  <c r="K73" i="813" s="1"/>
  <c r="J71" i="813"/>
  <c r="H71" i="813"/>
  <c r="K71" i="813" s="1"/>
  <c r="J69" i="813"/>
  <c r="H69" i="813"/>
  <c r="J67" i="813"/>
  <c r="K67" i="813" s="1"/>
  <c r="H67" i="813"/>
  <c r="J66" i="813"/>
  <c r="H66" i="813"/>
  <c r="K66" i="813" s="1"/>
  <c r="J64" i="813"/>
  <c r="H64" i="813"/>
  <c r="J62" i="813"/>
  <c r="H62" i="813"/>
  <c r="K62" i="813" s="1"/>
  <c r="J61" i="813"/>
  <c r="H61" i="813"/>
  <c r="B59" i="813"/>
  <c r="O54" i="813"/>
  <c r="J54" i="813"/>
  <c r="H54" i="813"/>
  <c r="O53" i="813"/>
  <c r="J53" i="813"/>
  <c r="H53" i="813"/>
  <c r="G56" i="813" s="1"/>
  <c r="H56" i="813" s="1"/>
  <c r="J47" i="813"/>
  <c r="H47" i="813"/>
  <c r="K47" i="813" s="1"/>
  <c r="J46" i="813"/>
  <c r="H46" i="813"/>
  <c r="J45" i="813"/>
  <c r="H45" i="813"/>
  <c r="K45" i="813" s="1"/>
  <c r="J44" i="813"/>
  <c r="H44" i="813"/>
  <c r="J43" i="813"/>
  <c r="H43" i="813"/>
  <c r="K43" i="813" s="1"/>
  <c r="J42" i="813"/>
  <c r="H42" i="813"/>
  <c r="J41" i="813"/>
  <c r="H41" i="813"/>
  <c r="K41" i="813" s="1"/>
  <c r="J40" i="813"/>
  <c r="H40" i="813"/>
  <c r="J39" i="813"/>
  <c r="H39" i="813"/>
  <c r="K39" i="813" s="1"/>
  <c r="J38" i="813"/>
  <c r="H38" i="813"/>
  <c r="B34" i="813"/>
  <c r="H17" i="813"/>
  <c r="K17" i="813" s="1"/>
  <c r="B17" i="813"/>
  <c r="A17" i="813"/>
  <c r="B16" i="813"/>
  <c r="A16" i="813"/>
  <c r="B15" i="813"/>
  <c r="A15" i="813"/>
  <c r="B14" i="813"/>
  <c r="A14" i="813"/>
  <c r="B13" i="813"/>
  <c r="A13" i="813"/>
  <c r="B12" i="813"/>
  <c r="A12" i="813"/>
  <c r="K134" i="812"/>
  <c r="J134" i="812"/>
  <c r="H134" i="812"/>
  <c r="H17" i="812" s="1"/>
  <c r="B134" i="812"/>
  <c r="B118" i="812"/>
  <c r="I112" i="812"/>
  <c r="J112" i="812" s="1"/>
  <c r="K112" i="812" s="1"/>
  <c r="H112" i="812"/>
  <c r="I111" i="812"/>
  <c r="J111" i="812" s="1"/>
  <c r="H111" i="812"/>
  <c r="H118" i="812" s="1"/>
  <c r="H16" i="812" s="1"/>
  <c r="B109" i="812"/>
  <c r="J101" i="812"/>
  <c r="H101" i="812"/>
  <c r="K101" i="812" s="1"/>
  <c r="H99" i="812"/>
  <c r="K99" i="812" s="1"/>
  <c r="H98" i="812"/>
  <c r="K98" i="812" s="1"/>
  <c r="H97" i="812"/>
  <c r="K97" i="812" s="1"/>
  <c r="H96" i="812"/>
  <c r="K96" i="812" s="1"/>
  <c r="H95" i="812"/>
  <c r="K95" i="812" s="1"/>
  <c r="G94" i="812"/>
  <c r="H92" i="812"/>
  <c r="K92" i="812" s="1"/>
  <c r="H91" i="812"/>
  <c r="K91" i="812" s="1"/>
  <c r="H90" i="812"/>
  <c r="K90" i="812" s="1"/>
  <c r="H89" i="812"/>
  <c r="K89" i="812" s="1"/>
  <c r="H88" i="812"/>
  <c r="K88" i="812" s="1"/>
  <c r="I87" i="812"/>
  <c r="J87" i="812" s="1"/>
  <c r="H87" i="812"/>
  <c r="B84" i="812"/>
  <c r="J81" i="812"/>
  <c r="H81" i="812"/>
  <c r="K81" i="812" s="1"/>
  <c r="J80" i="812"/>
  <c r="H80" i="812"/>
  <c r="J78" i="812"/>
  <c r="J84" i="812" s="1"/>
  <c r="J14" i="812" s="1"/>
  <c r="H78" i="812"/>
  <c r="K78" i="812" s="1"/>
  <c r="B76" i="812"/>
  <c r="J73" i="812"/>
  <c r="H73" i="812"/>
  <c r="J71" i="812"/>
  <c r="H71" i="812"/>
  <c r="K71" i="812" s="1"/>
  <c r="J69" i="812"/>
  <c r="H69" i="812"/>
  <c r="J67" i="812"/>
  <c r="H67" i="812"/>
  <c r="K67" i="812" s="1"/>
  <c r="J66" i="812"/>
  <c r="H66" i="812"/>
  <c r="J64" i="812"/>
  <c r="H64" i="812"/>
  <c r="J62" i="812"/>
  <c r="H62" i="812"/>
  <c r="J61" i="812"/>
  <c r="J76" i="812" s="1"/>
  <c r="J13" i="812" s="1"/>
  <c r="H61" i="812"/>
  <c r="B59" i="812"/>
  <c r="O55" i="812"/>
  <c r="J55" i="812"/>
  <c r="H55" i="812"/>
  <c r="K55" i="812" s="1"/>
  <c r="O54" i="812"/>
  <c r="J54" i="812"/>
  <c r="H54" i="812"/>
  <c r="J47" i="812"/>
  <c r="K47" i="812" s="1"/>
  <c r="H47" i="812"/>
  <c r="J46" i="812"/>
  <c r="H46" i="812"/>
  <c r="K46" i="812" s="1"/>
  <c r="J45" i="812"/>
  <c r="H45" i="812"/>
  <c r="J44" i="812"/>
  <c r="H44" i="812"/>
  <c r="K44" i="812" s="1"/>
  <c r="J43" i="812"/>
  <c r="H43" i="812"/>
  <c r="J42" i="812"/>
  <c r="H42" i="812"/>
  <c r="K42" i="812" s="1"/>
  <c r="J41" i="812"/>
  <c r="K41" i="812" s="1"/>
  <c r="H41" i="812"/>
  <c r="J40" i="812"/>
  <c r="H40" i="812"/>
  <c r="K40" i="812" s="1"/>
  <c r="J39" i="812"/>
  <c r="H39" i="812"/>
  <c r="J38" i="812"/>
  <c r="H38" i="812"/>
  <c r="G49" i="812" s="1"/>
  <c r="B34" i="812"/>
  <c r="J17" i="812"/>
  <c r="B17" i="812"/>
  <c r="A17" i="812"/>
  <c r="B16" i="812"/>
  <c r="A16" i="812"/>
  <c r="B15" i="812"/>
  <c r="A15" i="812"/>
  <c r="B14" i="812"/>
  <c r="A14" i="812"/>
  <c r="B13" i="812"/>
  <c r="A13" i="812"/>
  <c r="B12" i="812"/>
  <c r="A12" i="812"/>
  <c r="K134" i="811"/>
  <c r="J134" i="811"/>
  <c r="J17" i="811" s="1"/>
  <c r="H134" i="811"/>
  <c r="H17" i="811" s="1"/>
  <c r="K17" i="811" s="1"/>
  <c r="B134" i="811"/>
  <c r="B118" i="811"/>
  <c r="I112" i="811"/>
  <c r="J112" i="811" s="1"/>
  <c r="J118" i="811" s="1"/>
  <c r="J16" i="811" s="1"/>
  <c r="H112" i="811"/>
  <c r="I111" i="811"/>
  <c r="J111" i="811" s="1"/>
  <c r="H111" i="811"/>
  <c r="B109" i="811"/>
  <c r="J101" i="811"/>
  <c r="H101" i="811"/>
  <c r="H99" i="811"/>
  <c r="K99" i="811" s="1"/>
  <c r="H98" i="811"/>
  <c r="K98" i="811" s="1"/>
  <c r="H97" i="811"/>
  <c r="K97" i="811" s="1"/>
  <c r="H96" i="811"/>
  <c r="K96" i="811" s="1"/>
  <c r="H95" i="811"/>
  <c r="K95" i="811" s="1"/>
  <c r="G94" i="811"/>
  <c r="H94" i="811" s="1"/>
  <c r="H92" i="811"/>
  <c r="K92" i="811" s="1"/>
  <c r="H91" i="811"/>
  <c r="K91" i="811" s="1"/>
  <c r="H90" i="811"/>
  <c r="K90" i="811" s="1"/>
  <c r="H89" i="811"/>
  <c r="K89" i="811" s="1"/>
  <c r="H88" i="811"/>
  <c r="K88" i="811" s="1"/>
  <c r="I87" i="811"/>
  <c r="J87" i="811" s="1"/>
  <c r="H87" i="811"/>
  <c r="B84" i="811"/>
  <c r="J81" i="811"/>
  <c r="H81" i="811"/>
  <c r="J80" i="811"/>
  <c r="H80" i="811"/>
  <c r="K80" i="811" s="1"/>
  <c r="J78" i="811"/>
  <c r="H78" i="811"/>
  <c r="H84" i="811" s="1"/>
  <c r="H14" i="811" s="1"/>
  <c r="B76" i="811"/>
  <c r="J73" i="811"/>
  <c r="H73" i="811"/>
  <c r="J71" i="811"/>
  <c r="H71" i="811"/>
  <c r="J69" i="811"/>
  <c r="H69" i="811"/>
  <c r="J67" i="811"/>
  <c r="H67" i="811"/>
  <c r="J66" i="811"/>
  <c r="H66" i="811"/>
  <c r="J64" i="811"/>
  <c r="H64" i="811"/>
  <c r="J62" i="811"/>
  <c r="J76" i="811" s="1"/>
  <c r="J13" i="811" s="1"/>
  <c r="H62" i="811"/>
  <c r="J61" i="811"/>
  <c r="H61" i="811"/>
  <c r="B59" i="811"/>
  <c r="O54" i="811"/>
  <c r="J54" i="811"/>
  <c r="K54" i="811" s="1"/>
  <c r="H54" i="811"/>
  <c r="O53" i="811"/>
  <c r="J53" i="811"/>
  <c r="H53" i="811"/>
  <c r="G57" i="811" s="1"/>
  <c r="I57" i="811" s="1"/>
  <c r="J57" i="811" s="1"/>
  <c r="J47" i="811"/>
  <c r="H47" i="811"/>
  <c r="J46" i="811"/>
  <c r="H46" i="811"/>
  <c r="J45" i="811"/>
  <c r="H45" i="811"/>
  <c r="J44" i="811"/>
  <c r="H44" i="811"/>
  <c r="J43" i="811"/>
  <c r="H43" i="811"/>
  <c r="J42" i="811"/>
  <c r="H42" i="811"/>
  <c r="J41" i="811"/>
  <c r="H41" i="811"/>
  <c r="J40" i="811"/>
  <c r="H40" i="811"/>
  <c r="J39" i="811"/>
  <c r="H39" i="811"/>
  <c r="J38" i="811"/>
  <c r="H38" i="811"/>
  <c r="B34" i="811"/>
  <c r="B17" i="811"/>
  <c r="A17" i="811"/>
  <c r="B16" i="811"/>
  <c r="A16" i="811"/>
  <c r="B15" i="811"/>
  <c r="A15" i="811"/>
  <c r="B14" i="811"/>
  <c r="A14" i="811"/>
  <c r="B13" i="811"/>
  <c r="A13" i="811"/>
  <c r="B12" i="811"/>
  <c r="A12" i="811"/>
  <c r="K134" i="810"/>
  <c r="J134" i="810"/>
  <c r="H134" i="810"/>
  <c r="H17" i="810" s="1"/>
  <c r="B134" i="810"/>
  <c r="B118" i="810"/>
  <c r="I112" i="810"/>
  <c r="J112" i="810" s="1"/>
  <c r="H112" i="810"/>
  <c r="I111" i="810"/>
  <c r="J111" i="810" s="1"/>
  <c r="H111" i="810"/>
  <c r="B109" i="810"/>
  <c r="J101" i="810"/>
  <c r="H101" i="810"/>
  <c r="K101" i="810" s="1"/>
  <c r="H99" i="810"/>
  <c r="K99" i="810" s="1"/>
  <c r="H98" i="810"/>
  <c r="K98" i="810" s="1"/>
  <c r="H97" i="810"/>
  <c r="K97" i="810" s="1"/>
  <c r="H96" i="810"/>
  <c r="K96" i="810" s="1"/>
  <c r="H95" i="810"/>
  <c r="K95" i="810" s="1"/>
  <c r="G94" i="810"/>
  <c r="I94" i="810" s="1"/>
  <c r="J94" i="810" s="1"/>
  <c r="H92" i="810"/>
  <c r="K92" i="810" s="1"/>
  <c r="H91" i="810"/>
  <c r="K91" i="810" s="1"/>
  <c r="H90" i="810"/>
  <c r="K90" i="810" s="1"/>
  <c r="H89" i="810"/>
  <c r="K89" i="810" s="1"/>
  <c r="H88" i="810"/>
  <c r="K88" i="810" s="1"/>
  <c r="I87" i="810"/>
  <c r="J87" i="810" s="1"/>
  <c r="H87" i="810"/>
  <c r="B84" i="810"/>
  <c r="J81" i="810"/>
  <c r="H81" i="810"/>
  <c r="J80" i="810"/>
  <c r="H80" i="810"/>
  <c r="J78" i="810"/>
  <c r="H78" i="810"/>
  <c r="B76" i="810"/>
  <c r="J73" i="810"/>
  <c r="H73" i="810"/>
  <c r="K73" i="810" s="1"/>
  <c r="J71" i="810"/>
  <c r="H71" i="810"/>
  <c r="K71" i="810" s="1"/>
  <c r="J69" i="810"/>
  <c r="H69" i="810"/>
  <c r="K69" i="810" s="1"/>
  <c r="J67" i="810"/>
  <c r="H67" i="810"/>
  <c r="K67" i="810" s="1"/>
  <c r="J66" i="810"/>
  <c r="H66" i="810"/>
  <c r="J64" i="810"/>
  <c r="H64" i="810"/>
  <c r="J62" i="810"/>
  <c r="H62" i="810"/>
  <c r="J61" i="810"/>
  <c r="J76" i="810" s="1"/>
  <c r="J13" i="810" s="1"/>
  <c r="H61" i="810"/>
  <c r="B59" i="810"/>
  <c r="O54" i="810"/>
  <c r="K54" i="810"/>
  <c r="J54" i="810"/>
  <c r="H54" i="810"/>
  <c r="O53" i="810"/>
  <c r="J53" i="810"/>
  <c r="H53" i="810"/>
  <c r="J47" i="810"/>
  <c r="H47" i="810"/>
  <c r="J46" i="810"/>
  <c r="H46" i="810"/>
  <c r="J45" i="810"/>
  <c r="H45" i="810"/>
  <c r="J44" i="810"/>
  <c r="H44" i="810"/>
  <c r="J43" i="810"/>
  <c r="H43" i="810"/>
  <c r="J42" i="810"/>
  <c r="H42" i="810"/>
  <c r="J41" i="810"/>
  <c r="H41" i="810"/>
  <c r="J40" i="810"/>
  <c r="K40" i="810" s="1"/>
  <c r="H40" i="810"/>
  <c r="J39" i="810"/>
  <c r="H39" i="810"/>
  <c r="J38" i="810"/>
  <c r="H38" i="810"/>
  <c r="B34" i="810"/>
  <c r="J17" i="810"/>
  <c r="B17" i="810"/>
  <c r="A17" i="810"/>
  <c r="B16" i="810"/>
  <c r="A16" i="810"/>
  <c r="B15" i="810"/>
  <c r="A15" i="810"/>
  <c r="B14" i="810"/>
  <c r="A14" i="810"/>
  <c r="B13" i="810"/>
  <c r="A13" i="810"/>
  <c r="B12" i="810"/>
  <c r="A12" i="810"/>
  <c r="H134" i="809"/>
  <c r="B134" i="809"/>
  <c r="J119" i="809"/>
  <c r="K119" i="809" s="1"/>
  <c r="K134" i="809" s="1"/>
  <c r="B118" i="809"/>
  <c r="I112" i="809"/>
  <c r="J112" i="809" s="1"/>
  <c r="H112" i="809"/>
  <c r="I111" i="809"/>
  <c r="J111" i="809" s="1"/>
  <c r="H111" i="809"/>
  <c r="B109" i="809"/>
  <c r="J101" i="809"/>
  <c r="H101" i="809"/>
  <c r="K101" i="809" s="1"/>
  <c r="H99" i="809"/>
  <c r="K99" i="809" s="1"/>
  <c r="H98" i="809"/>
  <c r="K98" i="809" s="1"/>
  <c r="H97" i="809"/>
  <c r="K97" i="809" s="1"/>
  <c r="H96" i="809"/>
  <c r="K96" i="809" s="1"/>
  <c r="H95" i="809"/>
  <c r="K95" i="809" s="1"/>
  <c r="G94" i="809"/>
  <c r="H94" i="809" s="1"/>
  <c r="H92" i="809"/>
  <c r="K92" i="809" s="1"/>
  <c r="H91" i="809"/>
  <c r="K91" i="809" s="1"/>
  <c r="H90" i="809"/>
  <c r="K90" i="809" s="1"/>
  <c r="H89" i="809"/>
  <c r="K89" i="809" s="1"/>
  <c r="H88" i="809"/>
  <c r="K88" i="809" s="1"/>
  <c r="I87" i="809"/>
  <c r="J87" i="809" s="1"/>
  <c r="H87" i="809"/>
  <c r="B84" i="809"/>
  <c r="J81" i="809"/>
  <c r="H81" i="809"/>
  <c r="J80" i="809"/>
  <c r="H80" i="809"/>
  <c r="K80" i="809" s="1"/>
  <c r="J78" i="809"/>
  <c r="J84" i="809" s="1"/>
  <c r="J14" i="809" s="1"/>
  <c r="H78" i="809"/>
  <c r="B76" i="809"/>
  <c r="J73" i="809"/>
  <c r="H73" i="809"/>
  <c r="J71" i="809"/>
  <c r="H71" i="809"/>
  <c r="K71" i="809" s="1"/>
  <c r="J69" i="809"/>
  <c r="H69" i="809"/>
  <c r="J67" i="809"/>
  <c r="H67" i="809"/>
  <c r="J66" i="809"/>
  <c r="H66" i="809"/>
  <c r="J64" i="809"/>
  <c r="H64" i="809"/>
  <c r="K64" i="809" s="1"/>
  <c r="J62" i="809"/>
  <c r="H62" i="809"/>
  <c r="J61" i="809"/>
  <c r="H61" i="809"/>
  <c r="H76" i="809" s="1"/>
  <c r="H13" i="809" s="1"/>
  <c r="B59" i="809"/>
  <c r="O54" i="809"/>
  <c r="J54" i="809"/>
  <c r="H54" i="809"/>
  <c r="K54" i="809" s="1"/>
  <c r="O53" i="809"/>
  <c r="J53" i="809"/>
  <c r="H53" i="809"/>
  <c r="G57" i="809" s="1"/>
  <c r="I57" i="809" s="1"/>
  <c r="J57" i="809" s="1"/>
  <c r="J47" i="809"/>
  <c r="H47" i="809"/>
  <c r="J46" i="809"/>
  <c r="H46" i="809"/>
  <c r="J45" i="809"/>
  <c r="H45" i="809"/>
  <c r="K45" i="809" s="1"/>
  <c r="J44" i="809"/>
  <c r="H44" i="809"/>
  <c r="J43" i="809"/>
  <c r="H43" i="809"/>
  <c r="J42" i="809"/>
  <c r="H42" i="809"/>
  <c r="J41" i="809"/>
  <c r="H41" i="809"/>
  <c r="K41" i="809" s="1"/>
  <c r="J40" i="809"/>
  <c r="H40" i="809"/>
  <c r="J39" i="809"/>
  <c r="H39" i="809"/>
  <c r="K39" i="809" s="1"/>
  <c r="J38" i="809"/>
  <c r="H38" i="809"/>
  <c r="G50" i="809" s="1"/>
  <c r="I50" i="809" s="1"/>
  <c r="J50" i="809" s="1"/>
  <c r="B34" i="809"/>
  <c r="H17" i="809"/>
  <c r="B17" i="809"/>
  <c r="A17" i="809"/>
  <c r="B16" i="809"/>
  <c r="A16" i="809"/>
  <c r="B15" i="809"/>
  <c r="A15" i="809"/>
  <c r="B14" i="809"/>
  <c r="A14" i="809"/>
  <c r="B13" i="809"/>
  <c r="A13" i="809"/>
  <c r="B12" i="809"/>
  <c r="A12" i="809"/>
  <c r="K134" i="808"/>
  <c r="J134" i="808"/>
  <c r="J17" i="808" s="1"/>
  <c r="H134" i="808"/>
  <c r="H17" i="808" s="1"/>
  <c r="K17" i="808" s="1"/>
  <c r="B134" i="808"/>
  <c r="B118" i="808"/>
  <c r="I112" i="808"/>
  <c r="J112" i="808" s="1"/>
  <c r="H112" i="808"/>
  <c r="K112" i="808" s="1"/>
  <c r="I111" i="808"/>
  <c r="J111" i="808" s="1"/>
  <c r="H111" i="808"/>
  <c r="B109" i="808"/>
  <c r="J101" i="808"/>
  <c r="H101" i="808"/>
  <c r="H99" i="808"/>
  <c r="K99" i="808" s="1"/>
  <c r="H98" i="808"/>
  <c r="K98" i="808" s="1"/>
  <c r="H97" i="808"/>
  <c r="K97" i="808" s="1"/>
  <c r="H96" i="808"/>
  <c r="K96" i="808" s="1"/>
  <c r="H95" i="808"/>
  <c r="K95" i="808" s="1"/>
  <c r="G94" i="808"/>
  <c r="H94" i="808" s="1"/>
  <c r="H92" i="808"/>
  <c r="K92" i="808" s="1"/>
  <c r="H91" i="808"/>
  <c r="K91" i="808" s="1"/>
  <c r="H90" i="808"/>
  <c r="K90" i="808" s="1"/>
  <c r="H89" i="808"/>
  <c r="K89" i="808" s="1"/>
  <c r="H88" i="808"/>
  <c r="K88" i="808" s="1"/>
  <c r="I87" i="808"/>
  <c r="J87" i="808" s="1"/>
  <c r="H87" i="808"/>
  <c r="B84" i="808"/>
  <c r="J81" i="808"/>
  <c r="H81" i="808"/>
  <c r="J80" i="808"/>
  <c r="H80" i="808"/>
  <c r="K80" i="808" s="1"/>
  <c r="J78" i="808"/>
  <c r="H78" i="808"/>
  <c r="B76" i="808"/>
  <c r="J73" i="808"/>
  <c r="H73" i="808"/>
  <c r="J71" i="808"/>
  <c r="H71" i="808"/>
  <c r="K71" i="808" s="1"/>
  <c r="J69" i="808"/>
  <c r="H69" i="808"/>
  <c r="J67" i="808"/>
  <c r="H67" i="808"/>
  <c r="K67" i="808" s="1"/>
  <c r="J66" i="808"/>
  <c r="H66" i="808"/>
  <c r="K66" i="808" s="1"/>
  <c r="J64" i="808"/>
  <c r="H64" i="808"/>
  <c r="K64" i="808" s="1"/>
  <c r="J62" i="808"/>
  <c r="H62" i="808"/>
  <c r="K62" i="808" s="1"/>
  <c r="J61" i="808"/>
  <c r="H61" i="808"/>
  <c r="H76" i="808" s="1"/>
  <c r="H13" i="808" s="1"/>
  <c r="B59" i="808"/>
  <c r="O54" i="808"/>
  <c r="J54" i="808"/>
  <c r="H54" i="808"/>
  <c r="K54" i="808" s="1"/>
  <c r="O53" i="808"/>
  <c r="J53" i="808"/>
  <c r="H53" i="808"/>
  <c r="J47" i="808"/>
  <c r="K47" i="808" s="1"/>
  <c r="H47" i="808"/>
  <c r="J46" i="808"/>
  <c r="K46" i="808" s="1"/>
  <c r="H46" i="808"/>
  <c r="J45" i="808"/>
  <c r="H45" i="808"/>
  <c r="J44" i="808"/>
  <c r="H44" i="808"/>
  <c r="K44" i="808" s="1"/>
  <c r="J43" i="808"/>
  <c r="H43" i="808"/>
  <c r="J42" i="808"/>
  <c r="H42" i="808"/>
  <c r="J41" i="808"/>
  <c r="H41" i="808"/>
  <c r="J40" i="808"/>
  <c r="H40" i="808"/>
  <c r="K40" i="808" s="1"/>
  <c r="J39" i="808"/>
  <c r="H39" i="808"/>
  <c r="J38" i="808"/>
  <c r="H38" i="808"/>
  <c r="G50" i="808" s="1"/>
  <c r="I50" i="808" s="1"/>
  <c r="J50" i="808" s="1"/>
  <c r="B34" i="808"/>
  <c r="B17" i="808"/>
  <c r="A17" i="808"/>
  <c r="B16" i="808"/>
  <c r="A16" i="808"/>
  <c r="B15" i="808"/>
  <c r="A15" i="808"/>
  <c r="B14" i="808"/>
  <c r="A14" i="808"/>
  <c r="B13" i="808"/>
  <c r="A13" i="808"/>
  <c r="B12" i="808"/>
  <c r="A12" i="808"/>
  <c r="K134" i="807"/>
  <c r="J134" i="807"/>
  <c r="H134" i="807"/>
  <c r="B134" i="807"/>
  <c r="B118" i="807"/>
  <c r="I112" i="807"/>
  <c r="J112" i="807" s="1"/>
  <c r="H112" i="807"/>
  <c r="I111" i="807"/>
  <c r="J111" i="807" s="1"/>
  <c r="H111" i="807"/>
  <c r="B109" i="807"/>
  <c r="J101" i="807"/>
  <c r="K101" i="807" s="1"/>
  <c r="H101" i="807"/>
  <c r="H99" i="807"/>
  <c r="K99" i="807" s="1"/>
  <c r="H98" i="807"/>
  <c r="K98" i="807" s="1"/>
  <c r="K97" i="807"/>
  <c r="H97" i="807"/>
  <c r="H96" i="807"/>
  <c r="K96" i="807" s="1"/>
  <c r="H95" i="807"/>
  <c r="K95" i="807" s="1"/>
  <c r="G94" i="807"/>
  <c r="I94" i="807" s="1"/>
  <c r="J94" i="807" s="1"/>
  <c r="H92" i="807"/>
  <c r="K92" i="807" s="1"/>
  <c r="H91" i="807"/>
  <c r="K91" i="807" s="1"/>
  <c r="H90" i="807"/>
  <c r="K90" i="807" s="1"/>
  <c r="H89" i="807"/>
  <c r="K89" i="807" s="1"/>
  <c r="H88" i="807"/>
  <c r="K88" i="807" s="1"/>
  <c r="I87" i="807"/>
  <c r="J87" i="807" s="1"/>
  <c r="H87" i="807"/>
  <c r="B84" i="807"/>
  <c r="J81" i="807"/>
  <c r="H81" i="807"/>
  <c r="J80" i="807"/>
  <c r="H80" i="807"/>
  <c r="K80" i="807" s="1"/>
  <c r="J78" i="807"/>
  <c r="J84" i="807" s="1"/>
  <c r="J14" i="807" s="1"/>
  <c r="H78" i="807"/>
  <c r="B76" i="807"/>
  <c r="J73" i="807"/>
  <c r="H73" i="807"/>
  <c r="J71" i="807"/>
  <c r="H71" i="807"/>
  <c r="K71" i="807" s="1"/>
  <c r="J69" i="807"/>
  <c r="H69" i="807"/>
  <c r="J67" i="807"/>
  <c r="H67" i="807"/>
  <c r="K67" i="807" s="1"/>
  <c r="J66" i="807"/>
  <c r="H66" i="807"/>
  <c r="J64" i="807"/>
  <c r="H64" i="807"/>
  <c r="K64" i="807" s="1"/>
  <c r="J62" i="807"/>
  <c r="H62" i="807"/>
  <c r="J61" i="807"/>
  <c r="H61" i="807"/>
  <c r="B59" i="807"/>
  <c r="O54" i="807"/>
  <c r="J54" i="807"/>
  <c r="H54" i="807"/>
  <c r="G56" i="807" s="1"/>
  <c r="O53" i="807"/>
  <c r="J53" i="807"/>
  <c r="H53" i="807"/>
  <c r="J47" i="807"/>
  <c r="H47" i="807"/>
  <c r="J46" i="807"/>
  <c r="H46" i="807"/>
  <c r="J45" i="807"/>
  <c r="H45" i="807"/>
  <c r="J44" i="807"/>
  <c r="H44" i="807"/>
  <c r="J43" i="807"/>
  <c r="H43" i="807"/>
  <c r="J42" i="807"/>
  <c r="H42" i="807"/>
  <c r="J41" i="807"/>
  <c r="H41" i="807"/>
  <c r="J40" i="807"/>
  <c r="H40" i="807"/>
  <c r="J39" i="807"/>
  <c r="H39" i="807"/>
  <c r="J38" i="807"/>
  <c r="H38" i="807"/>
  <c r="B34" i="807"/>
  <c r="J17" i="807"/>
  <c r="K17" i="807" s="1"/>
  <c r="H17" i="807"/>
  <c r="B17" i="807"/>
  <c r="A17" i="807"/>
  <c r="B16" i="807"/>
  <c r="A16" i="807"/>
  <c r="B15" i="807"/>
  <c r="A15" i="807"/>
  <c r="B14" i="807"/>
  <c r="A14" i="807"/>
  <c r="B13" i="807"/>
  <c r="A13" i="807"/>
  <c r="B12" i="807"/>
  <c r="A12" i="807"/>
  <c r="H134" i="806"/>
  <c r="B134" i="806"/>
  <c r="K119" i="806"/>
  <c r="K134" i="806" s="1"/>
  <c r="J119" i="806"/>
  <c r="J134" i="806" s="1"/>
  <c r="J18" i="806" s="1"/>
  <c r="B118" i="806"/>
  <c r="I112" i="806"/>
  <c r="J112" i="806" s="1"/>
  <c r="H112" i="806"/>
  <c r="I111" i="806"/>
  <c r="J111" i="806" s="1"/>
  <c r="H111" i="806"/>
  <c r="B109" i="806"/>
  <c r="J102" i="806"/>
  <c r="H102" i="806"/>
  <c r="H99" i="806"/>
  <c r="K99" i="806" s="1"/>
  <c r="H98" i="806"/>
  <c r="K98" i="806" s="1"/>
  <c r="H97" i="806"/>
  <c r="K97" i="806" s="1"/>
  <c r="H96" i="806"/>
  <c r="K96" i="806" s="1"/>
  <c r="H95" i="806"/>
  <c r="K95" i="806" s="1"/>
  <c r="G94" i="806"/>
  <c r="H94" i="806" s="1"/>
  <c r="K92" i="806"/>
  <c r="H92" i="806"/>
  <c r="H91" i="806"/>
  <c r="K91" i="806" s="1"/>
  <c r="H90" i="806"/>
  <c r="K90" i="806" s="1"/>
  <c r="K89" i="806"/>
  <c r="H89" i="806"/>
  <c r="H88" i="806"/>
  <c r="K88" i="806" s="1"/>
  <c r="I87" i="806"/>
  <c r="J87" i="806" s="1"/>
  <c r="H87" i="806"/>
  <c r="B84" i="806"/>
  <c r="J81" i="806"/>
  <c r="H81" i="806"/>
  <c r="K81" i="806" s="1"/>
  <c r="J80" i="806"/>
  <c r="H80" i="806"/>
  <c r="J78" i="806"/>
  <c r="J84" i="806" s="1"/>
  <c r="J15" i="806" s="1"/>
  <c r="H78" i="806"/>
  <c r="B76" i="806"/>
  <c r="J73" i="806"/>
  <c r="H73" i="806"/>
  <c r="J71" i="806"/>
  <c r="H71" i="806"/>
  <c r="J69" i="806"/>
  <c r="H69" i="806"/>
  <c r="K69" i="806" s="1"/>
  <c r="J67" i="806"/>
  <c r="H67" i="806"/>
  <c r="J66" i="806"/>
  <c r="H66" i="806"/>
  <c r="K66" i="806" s="1"/>
  <c r="J64" i="806"/>
  <c r="H64" i="806"/>
  <c r="J62" i="806"/>
  <c r="H62" i="806"/>
  <c r="J61" i="806"/>
  <c r="H61" i="806"/>
  <c r="B59" i="806"/>
  <c r="O55" i="806"/>
  <c r="J55" i="806"/>
  <c r="H55" i="806"/>
  <c r="O54" i="806"/>
  <c r="J54" i="806"/>
  <c r="H54" i="806"/>
  <c r="J47" i="806"/>
  <c r="H47" i="806"/>
  <c r="J46" i="806"/>
  <c r="H46" i="806"/>
  <c r="J45" i="806"/>
  <c r="H45" i="806"/>
  <c r="J44" i="806"/>
  <c r="H44" i="806"/>
  <c r="J43" i="806"/>
  <c r="H43" i="806"/>
  <c r="J42" i="806"/>
  <c r="H42" i="806"/>
  <c r="J41" i="806"/>
  <c r="H41" i="806"/>
  <c r="J40" i="806"/>
  <c r="H40" i="806"/>
  <c r="J39" i="806"/>
  <c r="H39" i="806"/>
  <c r="J38" i="806"/>
  <c r="H38" i="806"/>
  <c r="G50" i="806" s="1"/>
  <c r="B34" i="806"/>
  <c r="H18" i="806"/>
  <c r="B18" i="806"/>
  <c r="A18" i="806"/>
  <c r="B17" i="806"/>
  <c r="A17" i="806"/>
  <c r="B16" i="806"/>
  <c r="A16" i="806"/>
  <c r="B15" i="806"/>
  <c r="A15" i="806"/>
  <c r="B14" i="806"/>
  <c r="A14" i="806"/>
  <c r="B13" i="806"/>
  <c r="A13" i="806"/>
  <c r="B12" i="806"/>
  <c r="H134" i="805"/>
  <c r="H17" i="805" s="1"/>
  <c r="B134" i="805"/>
  <c r="J119" i="805"/>
  <c r="J134" i="805" s="1"/>
  <c r="B118" i="805"/>
  <c r="I112" i="805"/>
  <c r="J112" i="805" s="1"/>
  <c r="H112" i="805"/>
  <c r="I111" i="805"/>
  <c r="J111" i="805" s="1"/>
  <c r="H111" i="805"/>
  <c r="H118" i="805" s="1"/>
  <c r="B109" i="805"/>
  <c r="J102" i="805"/>
  <c r="H102" i="805"/>
  <c r="H99" i="805"/>
  <c r="K99" i="805" s="1"/>
  <c r="H98" i="805"/>
  <c r="K98" i="805" s="1"/>
  <c r="H97" i="805"/>
  <c r="K97" i="805" s="1"/>
  <c r="H96" i="805"/>
  <c r="K96" i="805" s="1"/>
  <c r="H95" i="805"/>
  <c r="K95" i="805" s="1"/>
  <c r="G94" i="805"/>
  <c r="I94" i="805" s="1"/>
  <c r="J94" i="805" s="1"/>
  <c r="H92" i="805"/>
  <c r="K92" i="805" s="1"/>
  <c r="H91" i="805"/>
  <c r="K91" i="805" s="1"/>
  <c r="H90" i="805"/>
  <c r="K90" i="805" s="1"/>
  <c r="H89" i="805"/>
  <c r="K89" i="805" s="1"/>
  <c r="H88" i="805"/>
  <c r="K88" i="805" s="1"/>
  <c r="I87" i="805"/>
  <c r="J87" i="805" s="1"/>
  <c r="H87" i="805"/>
  <c r="B84" i="805"/>
  <c r="J81" i="805"/>
  <c r="H81" i="805"/>
  <c r="J80" i="805"/>
  <c r="H80" i="805"/>
  <c r="J78" i="805"/>
  <c r="H78" i="805"/>
  <c r="B76" i="805"/>
  <c r="J73" i="805"/>
  <c r="H73" i="805"/>
  <c r="J71" i="805"/>
  <c r="H71" i="805"/>
  <c r="K71" i="805" s="1"/>
  <c r="J69" i="805"/>
  <c r="K69" i="805" s="1"/>
  <c r="H69" i="805"/>
  <c r="J67" i="805"/>
  <c r="H67" i="805"/>
  <c r="K67" i="805" s="1"/>
  <c r="J66" i="805"/>
  <c r="H66" i="805"/>
  <c r="J64" i="805"/>
  <c r="H64" i="805"/>
  <c r="J62" i="805"/>
  <c r="H62" i="805"/>
  <c r="J61" i="805"/>
  <c r="H61" i="805"/>
  <c r="B59" i="805"/>
  <c r="O54" i="805"/>
  <c r="J54" i="805"/>
  <c r="H54" i="805"/>
  <c r="K54" i="805" s="1"/>
  <c r="O53" i="805"/>
  <c r="J53" i="805"/>
  <c r="H53" i="805"/>
  <c r="J47" i="805"/>
  <c r="H47" i="805"/>
  <c r="J46" i="805"/>
  <c r="H46" i="805"/>
  <c r="K46" i="805" s="1"/>
  <c r="J45" i="805"/>
  <c r="H45" i="805"/>
  <c r="J44" i="805"/>
  <c r="H44" i="805"/>
  <c r="K44" i="805" s="1"/>
  <c r="J43" i="805"/>
  <c r="H43" i="805"/>
  <c r="J42" i="805"/>
  <c r="H42" i="805"/>
  <c r="K42" i="805" s="1"/>
  <c r="J41" i="805"/>
  <c r="H41" i="805"/>
  <c r="J40" i="805"/>
  <c r="H40" i="805"/>
  <c r="K40" i="805" s="1"/>
  <c r="J39" i="805"/>
  <c r="H39" i="805"/>
  <c r="J38" i="805"/>
  <c r="H38" i="805"/>
  <c r="B34" i="805"/>
  <c r="J17" i="805"/>
  <c r="B17" i="805"/>
  <c r="A17" i="805"/>
  <c r="H16" i="805"/>
  <c r="B16" i="805"/>
  <c r="A16" i="805"/>
  <c r="B15" i="805"/>
  <c r="A15" i="805"/>
  <c r="B14" i="805"/>
  <c r="A14" i="805"/>
  <c r="B13" i="805"/>
  <c r="A13" i="805"/>
  <c r="B12" i="805"/>
  <c r="A12" i="805"/>
  <c r="K134" i="804"/>
  <c r="J134" i="804"/>
  <c r="H134" i="804"/>
  <c r="B134" i="804"/>
  <c r="B118" i="804"/>
  <c r="I112" i="804"/>
  <c r="J112" i="804" s="1"/>
  <c r="H112" i="804"/>
  <c r="I111" i="804"/>
  <c r="J111" i="804" s="1"/>
  <c r="H111" i="804"/>
  <c r="B109" i="804"/>
  <c r="J102" i="804"/>
  <c r="H102" i="804"/>
  <c r="H99" i="804"/>
  <c r="K99" i="804" s="1"/>
  <c r="H98" i="804"/>
  <c r="K98" i="804" s="1"/>
  <c r="H97" i="804"/>
  <c r="K97" i="804" s="1"/>
  <c r="H96" i="804"/>
  <c r="K96" i="804" s="1"/>
  <c r="H95" i="804"/>
  <c r="K95" i="804" s="1"/>
  <c r="G94" i="804"/>
  <c r="H92" i="804"/>
  <c r="K92" i="804" s="1"/>
  <c r="H91" i="804"/>
  <c r="K91" i="804" s="1"/>
  <c r="H90" i="804"/>
  <c r="K90" i="804" s="1"/>
  <c r="H89" i="804"/>
  <c r="K89" i="804" s="1"/>
  <c r="H88" i="804"/>
  <c r="K88" i="804" s="1"/>
  <c r="I87" i="804"/>
  <c r="J87" i="804" s="1"/>
  <c r="H87" i="804"/>
  <c r="B84" i="804"/>
  <c r="J81" i="804"/>
  <c r="H81" i="804"/>
  <c r="J80" i="804"/>
  <c r="H80" i="804"/>
  <c r="J78" i="804"/>
  <c r="H78" i="804"/>
  <c r="H84" i="804" s="1"/>
  <c r="H14" i="804" s="1"/>
  <c r="B76" i="804"/>
  <c r="J73" i="804"/>
  <c r="H73" i="804"/>
  <c r="K73" i="804" s="1"/>
  <c r="J71" i="804"/>
  <c r="H71" i="804"/>
  <c r="J69" i="804"/>
  <c r="H69" i="804"/>
  <c r="K69" i="804" s="1"/>
  <c r="J67" i="804"/>
  <c r="H67" i="804"/>
  <c r="J66" i="804"/>
  <c r="H66" i="804"/>
  <c r="J64" i="804"/>
  <c r="H64" i="804"/>
  <c r="J62" i="804"/>
  <c r="H62" i="804"/>
  <c r="K62" i="804" s="1"/>
  <c r="J61" i="804"/>
  <c r="H61" i="804"/>
  <c r="B59" i="804"/>
  <c r="O55" i="804"/>
  <c r="J55" i="804"/>
  <c r="H55" i="804"/>
  <c r="K55" i="804" s="1"/>
  <c r="O54" i="804"/>
  <c r="J54" i="804"/>
  <c r="H54" i="804"/>
  <c r="G58" i="804" s="1"/>
  <c r="J47" i="804"/>
  <c r="H47" i="804"/>
  <c r="J46" i="804"/>
  <c r="H46" i="804"/>
  <c r="K46" i="804" s="1"/>
  <c r="J45" i="804"/>
  <c r="H45" i="804"/>
  <c r="J44" i="804"/>
  <c r="H44" i="804"/>
  <c r="K44" i="804" s="1"/>
  <c r="J43" i="804"/>
  <c r="H43" i="804"/>
  <c r="J42" i="804"/>
  <c r="H42" i="804"/>
  <c r="K42" i="804" s="1"/>
  <c r="J41" i="804"/>
  <c r="H41" i="804"/>
  <c r="J40" i="804"/>
  <c r="H40" i="804"/>
  <c r="K40" i="804" s="1"/>
  <c r="J39" i="804"/>
  <c r="H39" i="804"/>
  <c r="J38" i="804"/>
  <c r="H38" i="804"/>
  <c r="G50" i="804" s="1"/>
  <c r="B34" i="804"/>
  <c r="J17" i="804"/>
  <c r="H17" i="804"/>
  <c r="B17" i="804"/>
  <c r="A17" i="804"/>
  <c r="B16" i="804"/>
  <c r="A16" i="804"/>
  <c r="B15" i="804"/>
  <c r="A15" i="804"/>
  <c r="B14" i="804"/>
  <c r="A14" i="804"/>
  <c r="B13" i="804"/>
  <c r="A13" i="804"/>
  <c r="B12" i="804"/>
  <c r="A12" i="804"/>
  <c r="K134" i="803"/>
  <c r="J134" i="803"/>
  <c r="H134" i="803"/>
  <c r="B134" i="803"/>
  <c r="B126" i="803"/>
  <c r="I121" i="803"/>
  <c r="J121" i="803" s="1"/>
  <c r="H121" i="803"/>
  <c r="I120" i="803"/>
  <c r="J120" i="803" s="1"/>
  <c r="H120" i="803"/>
  <c r="J118" i="803"/>
  <c r="B118" i="803"/>
  <c r="H113" i="803"/>
  <c r="K113" i="803" s="1"/>
  <c r="H112" i="803"/>
  <c r="B109" i="803"/>
  <c r="J101" i="803"/>
  <c r="H101" i="803"/>
  <c r="H99" i="803"/>
  <c r="K99" i="803" s="1"/>
  <c r="H98" i="803"/>
  <c r="K98" i="803" s="1"/>
  <c r="H97" i="803"/>
  <c r="K97" i="803" s="1"/>
  <c r="H96" i="803"/>
  <c r="K96" i="803" s="1"/>
  <c r="H95" i="803"/>
  <c r="K95" i="803" s="1"/>
  <c r="I94" i="803"/>
  <c r="J94" i="803" s="1"/>
  <c r="G94" i="803"/>
  <c r="H94" i="803" s="1"/>
  <c r="H92" i="803"/>
  <c r="K92" i="803" s="1"/>
  <c r="K91" i="803"/>
  <c r="H91" i="803"/>
  <c r="H90" i="803"/>
  <c r="K90" i="803" s="1"/>
  <c r="H89" i="803"/>
  <c r="K89" i="803" s="1"/>
  <c r="H88" i="803"/>
  <c r="K88" i="803" s="1"/>
  <c r="I87" i="803"/>
  <c r="J87" i="803" s="1"/>
  <c r="H87" i="803"/>
  <c r="B84" i="803"/>
  <c r="J81" i="803"/>
  <c r="K81" i="803" s="1"/>
  <c r="H81" i="803"/>
  <c r="J80" i="803"/>
  <c r="H80" i="803"/>
  <c r="J79" i="803"/>
  <c r="H79" i="803"/>
  <c r="J78" i="803"/>
  <c r="H78" i="803"/>
  <c r="B76" i="803"/>
  <c r="J73" i="803"/>
  <c r="H73" i="803"/>
  <c r="K73" i="803" s="1"/>
  <c r="J71" i="803"/>
  <c r="H71" i="803"/>
  <c r="J69" i="803"/>
  <c r="H69" i="803"/>
  <c r="K69" i="803" s="1"/>
  <c r="J67" i="803"/>
  <c r="H67" i="803"/>
  <c r="J66" i="803"/>
  <c r="H66" i="803"/>
  <c r="K66" i="803" s="1"/>
  <c r="J64" i="803"/>
  <c r="H64" i="803"/>
  <c r="J62" i="803"/>
  <c r="H62" i="803"/>
  <c r="J61" i="803"/>
  <c r="J76" i="803" s="1"/>
  <c r="J13" i="803" s="1"/>
  <c r="H61" i="803"/>
  <c r="B59" i="803"/>
  <c r="O54" i="803"/>
  <c r="J54" i="803"/>
  <c r="K54" i="803" s="1"/>
  <c r="H54" i="803"/>
  <c r="O53" i="803"/>
  <c r="J53" i="803"/>
  <c r="H53" i="803"/>
  <c r="J47" i="803"/>
  <c r="H47" i="803"/>
  <c r="K47" i="803" s="1"/>
  <c r="J46" i="803"/>
  <c r="H46" i="803"/>
  <c r="K46" i="803" s="1"/>
  <c r="J45" i="803"/>
  <c r="H45" i="803"/>
  <c r="J44" i="803"/>
  <c r="H44" i="803"/>
  <c r="K44" i="803" s="1"/>
  <c r="J43" i="803"/>
  <c r="H43" i="803"/>
  <c r="K43" i="803" s="1"/>
  <c r="J42" i="803"/>
  <c r="H42" i="803"/>
  <c r="K42" i="803" s="1"/>
  <c r="J41" i="803"/>
  <c r="H41" i="803"/>
  <c r="K41" i="803" s="1"/>
  <c r="J40" i="803"/>
  <c r="H40" i="803"/>
  <c r="J39" i="803"/>
  <c r="H39" i="803"/>
  <c r="K39" i="803" s="1"/>
  <c r="J38" i="803"/>
  <c r="H38" i="803"/>
  <c r="B34" i="803"/>
  <c r="J18" i="803"/>
  <c r="H18" i="803"/>
  <c r="B18" i="803"/>
  <c r="A18" i="803"/>
  <c r="B17" i="803"/>
  <c r="A17" i="803"/>
  <c r="J16" i="803"/>
  <c r="B16" i="803"/>
  <c r="A16" i="803"/>
  <c r="B15" i="803"/>
  <c r="A15" i="803"/>
  <c r="B14" i="803"/>
  <c r="A14" i="803"/>
  <c r="B13" i="803"/>
  <c r="A13" i="803"/>
  <c r="B12" i="803"/>
  <c r="A12" i="803"/>
  <c r="K134" i="802"/>
  <c r="J134" i="802"/>
  <c r="J17" i="802" s="1"/>
  <c r="H134" i="802"/>
  <c r="H17" i="802" s="1"/>
  <c r="B134" i="802"/>
  <c r="B123" i="802"/>
  <c r="I107" i="802"/>
  <c r="J107" i="802" s="1"/>
  <c r="K107" i="802" s="1"/>
  <c r="H107" i="802"/>
  <c r="I106" i="802"/>
  <c r="J106" i="802" s="1"/>
  <c r="H106" i="802"/>
  <c r="H123" i="802" s="1"/>
  <c r="H16" i="802" s="1"/>
  <c r="B104" i="802"/>
  <c r="J101" i="802"/>
  <c r="H101" i="802"/>
  <c r="H99" i="802"/>
  <c r="K99" i="802" s="1"/>
  <c r="H98" i="802"/>
  <c r="K98" i="802" s="1"/>
  <c r="H97" i="802"/>
  <c r="K97" i="802" s="1"/>
  <c r="H96" i="802"/>
  <c r="K96" i="802" s="1"/>
  <c r="H95" i="802"/>
  <c r="K95" i="802" s="1"/>
  <c r="H94" i="802"/>
  <c r="G94" i="802"/>
  <c r="I94" i="802" s="1"/>
  <c r="J94" i="802" s="1"/>
  <c r="H92" i="802"/>
  <c r="K92" i="802" s="1"/>
  <c r="H91" i="802"/>
  <c r="K91" i="802" s="1"/>
  <c r="H90" i="802"/>
  <c r="K90" i="802" s="1"/>
  <c r="H89" i="802"/>
  <c r="K89" i="802" s="1"/>
  <c r="H88" i="802"/>
  <c r="K88" i="802" s="1"/>
  <c r="I87" i="802"/>
  <c r="J87" i="802" s="1"/>
  <c r="K87" i="802" s="1"/>
  <c r="H87" i="802"/>
  <c r="B84" i="802"/>
  <c r="J80" i="802"/>
  <c r="H80" i="802"/>
  <c r="J79" i="802"/>
  <c r="H79" i="802"/>
  <c r="K79" i="802" s="1"/>
  <c r="J78" i="802"/>
  <c r="J84" i="802" s="1"/>
  <c r="J14" i="802" s="1"/>
  <c r="H78" i="802"/>
  <c r="H84" i="802" s="1"/>
  <c r="H14" i="802" s="1"/>
  <c r="B76" i="802"/>
  <c r="J73" i="802"/>
  <c r="H73" i="802"/>
  <c r="K73" i="802" s="1"/>
  <c r="J71" i="802"/>
  <c r="H71" i="802"/>
  <c r="K71" i="802" s="1"/>
  <c r="J69" i="802"/>
  <c r="H69" i="802"/>
  <c r="J67" i="802"/>
  <c r="H67" i="802"/>
  <c r="K67" i="802" s="1"/>
  <c r="J66" i="802"/>
  <c r="H66" i="802"/>
  <c r="J64" i="802"/>
  <c r="H64" i="802"/>
  <c r="K64" i="802" s="1"/>
  <c r="J62" i="802"/>
  <c r="H62" i="802"/>
  <c r="K62" i="802" s="1"/>
  <c r="J61" i="802"/>
  <c r="H61" i="802"/>
  <c r="H76" i="802" s="1"/>
  <c r="H13" i="802" s="1"/>
  <c r="B59" i="802"/>
  <c r="O55" i="802"/>
  <c r="J55" i="802"/>
  <c r="H55" i="802"/>
  <c r="O54" i="802"/>
  <c r="J54" i="802"/>
  <c r="H54" i="802"/>
  <c r="G57" i="802" s="1"/>
  <c r="J47" i="802"/>
  <c r="H47" i="802"/>
  <c r="K47" i="802" s="1"/>
  <c r="J46" i="802"/>
  <c r="H46" i="802"/>
  <c r="K46" i="802" s="1"/>
  <c r="J45" i="802"/>
  <c r="H45" i="802"/>
  <c r="J44" i="802"/>
  <c r="H44" i="802"/>
  <c r="J43" i="802"/>
  <c r="H43" i="802"/>
  <c r="K43" i="802" s="1"/>
  <c r="J42" i="802"/>
  <c r="H42" i="802"/>
  <c r="K42" i="802" s="1"/>
  <c r="J41" i="802"/>
  <c r="H41" i="802"/>
  <c r="J40" i="802"/>
  <c r="H40" i="802"/>
  <c r="J39" i="802"/>
  <c r="H39" i="802"/>
  <c r="K39" i="802" s="1"/>
  <c r="J38" i="802"/>
  <c r="H38" i="802"/>
  <c r="B34" i="802"/>
  <c r="B17" i="802"/>
  <c r="A17" i="802"/>
  <c r="B16" i="802"/>
  <c r="A16" i="802"/>
  <c r="B15" i="802"/>
  <c r="A15" i="802"/>
  <c r="B14" i="802"/>
  <c r="A14" i="802"/>
  <c r="B13" i="802"/>
  <c r="A13" i="802"/>
  <c r="B12" i="802"/>
  <c r="A12" i="802"/>
  <c r="K134" i="801"/>
  <c r="J134" i="801"/>
  <c r="H134" i="801"/>
  <c r="B134" i="801"/>
  <c r="B130" i="801"/>
  <c r="I113" i="801"/>
  <c r="J113" i="801" s="1"/>
  <c r="H113" i="801"/>
  <c r="I112" i="801"/>
  <c r="J112" i="801" s="1"/>
  <c r="H112" i="801"/>
  <c r="I111" i="801"/>
  <c r="J111" i="801" s="1"/>
  <c r="H111" i="801"/>
  <c r="B109" i="801"/>
  <c r="J101" i="801"/>
  <c r="H101" i="801"/>
  <c r="H99" i="801"/>
  <c r="K99" i="801" s="1"/>
  <c r="H98" i="801"/>
  <c r="K98" i="801" s="1"/>
  <c r="H97" i="801"/>
  <c r="K97" i="801" s="1"/>
  <c r="H96" i="801"/>
  <c r="K96" i="801" s="1"/>
  <c r="H95" i="801"/>
  <c r="K95" i="801" s="1"/>
  <c r="I94" i="801"/>
  <c r="J94" i="801" s="1"/>
  <c r="G94" i="801"/>
  <c r="H94" i="801" s="1"/>
  <c r="H92" i="801"/>
  <c r="K92" i="801" s="1"/>
  <c r="H91" i="801"/>
  <c r="K91" i="801" s="1"/>
  <c r="K90" i="801"/>
  <c r="H90" i="801"/>
  <c r="H89" i="801"/>
  <c r="K89" i="801" s="1"/>
  <c r="H88" i="801"/>
  <c r="K88" i="801" s="1"/>
  <c r="I87" i="801"/>
  <c r="J87" i="801" s="1"/>
  <c r="J109" i="801" s="1"/>
  <c r="J15" i="801" s="1"/>
  <c r="H87" i="801"/>
  <c r="B84" i="801"/>
  <c r="J78" i="801"/>
  <c r="H78" i="801"/>
  <c r="J77" i="801"/>
  <c r="H77" i="801"/>
  <c r="K77" i="801" s="1"/>
  <c r="J76" i="801"/>
  <c r="H76" i="801"/>
  <c r="K76" i="801" s="1"/>
  <c r="B74" i="801"/>
  <c r="J73" i="801"/>
  <c r="H73" i="801"/>
  <c r="K73" i="801" s="1"/>
  <c r="J71" i="801"/>
  <c r="H71" i="801"/>
  <c r="J69" i="801"/>
  <c r="H69" i="801"/>
  <c r="K69" i="801" s="1"/>
  <c r="J67" i="801"/>
  <c r="H67" i="801"/>
  <c r="K67" i="801" s="1"/>
  <c r="K66" i="801"/>
  <c r="J66" i="801"/>
  <c r="H66" i="801"/>
  <c r="J64" i="801"/>
  <c r="H64" i="801"/>
  <c r="K64" i="801" s="1"/>
  <c r="J62" i="801"/>
  <c r="H62" i="801"/>
  <c r="J61" i="801"/>
  <c r="J74" i="801" s="1"/>
  <c r="J13" i="801" s="1"/>
  <c r="H61" i="801"/>
  <c r="H74" i="801" s="1"/>
  <c r="H13" i="801" s="1"/>
  <c r="B59" i="801"/>
  <c r="O55" i="801"/>
  <c r="J55" i="801"/>
  <c r="H55" i="801"/>
  <c r="O54" i="801"/>
  <c r="J54" i="801"/>
  <c r="H54" i="801"/>
  <c r="J47" i="801"/>
  <c r="H47" i="801"/>
  <c r="J46" i="801"/>
  <c r="H46" i="801"/>
  <c r="J45" i="801"/>
  <c r="K45" i="801" s="1"/>
  <c r="H45" i="801"/>
  <c r="J44" i="801"/>
  <c r="H44" i="801"/>
  <c r="J43" i="801"/>
  <c r="H43" i="801"/>
  <c r="K43" i="801" s="1"/>
  <c r="J42" i="801"/>
  <c r="H42" i="801"/>
  <c r="J41" i="801"/>
  <c r="H41" i="801"/>
  <c r="J40" i="801"/>
  <c r="H40" i="801"/>
  <c r="K40" i="801" s="1"/>
  <c r="J39" i="801"/>
  <c r="K39" i="801" s="1"/>
  <c r="H39" i="801"/>
  <c r="J38" i="801"/>
  <c r="H38" i="801"/>
  <c r="B34" i="801"/>
  <c r="J17" i="801"/>
  <c r="H17" i="801"/>
  <c r="B17" i="801"/>
  <c r="A17" i="801"/>
  <c r="B16" i="801"/>
  <c r="A16" i="801"/>
  <c r="B15" i="801"/>
  <c r="A15" i="801"/>
  <c r="B14" i="801"/>
  <c r="A14" i="801"/>
  <c r="B13" i="801"/>
  <c r="A13" i="801"/>
  <c r="B12" i="801"/>
  <c r="A12" i="801"/>
  <c r="B109" i="800"/>
  <c r="I92" i="800"/>
  <c r="J92" i="800" s="1"/>
  <c r="J109" i="800" s="1"/>
  <c r="J14" i="800" s="1"/>
  <c r="H92" i="800"/>
  <c r="B91" i="800"/>
  <c r="H90" i="800"/>
  <c r="K90" i="800" s="1"/>
  <c r="H89" i="800"/>
  <c r="K89" i="800" s="1"/>
  <c r="H88" i="800"/>
  <c r="K88" i="800" s="1"/>
  <c r="I86" i="800"/>
  <c r="J86" i="800" s="1"/>
  <c r="H86" i="800"/>
  <c r="I84" i="800"/>
  <c r="J84" i="800" s="1"/>
  <c r="K84" i="800" s="1"/>
  <c r="H84" i="800"/>
  <c r="J82" i="800"/>
  <c r="H82" i="800"/>
  <c r="J80" i="800"/>
  <c r="H80" i="800"/>
  <c r="J78" i="800"/>
  <c r="H78" i="800"/>
  <c r="K78" i="800" s="1"/>
  <c r="J77" i="800"/>
  <c r="K77" i="800" s="1"/>
  <c r="H77" i="800"/>
  <c r="J75" i="800"/>
  <c r="H75" i="800"/>
  <c r="K75" i="800" s="1"/>
  <c r="J73" i="800"/>
  <c r="H73" i="800"/>
  <c r="I71" i="800"/>
  <c r="J71" i="800" s="1"/>
  <c r="H71" i="800"/>
  <c r="J69" i="800"/>
  <c r="H69" i="800"/>
  <c r="K69" i="800" s="1"/>
  <c r="I63" i="800"/>
  <c r="J63" i="800" s="1"/>
  <c r="H63" i="800"/>
  <c r="K62" i="800"/>
  <c r="B59" i="800"/>
  <c r="O55" i="800"/>
  <c r="J55" i="800"/>
  <c r="H55" i="800"/>
  <c r="O54" i="800"/>
  <c r="J54" i="800"/>
  <c r="H54" i="800"/>
  <c r="J47" i="800"/>
  <c r="H47" i="800"/>
  <c r="J46" i="800"/>
  <c r="H46" i="800"/>
  <c r="J45" i="800"/>
  <c r="H45" i="800"/>
  <c r="K45" i="800" s="1"/>
  <c r="J44" i="800"/>
  <c r="H44" i="800"/>
  <c r="J43" i="800"/>
  <c r="H43" i="800"/>
  <c r="K43" i="800" s="1"/>
  <c r="J42" i="800"/>
  <c r="H42" i="800"/>
  <c r="G50" i="800" s="1"/>
  <c r="B34" i="800"/>
  <c r="B14" i="800"/>
  <c r="A14" i="800"/>
  <c r="B13" i="800"/>
  <c r="A13" i="800"/>
  <c r="B12" i="800"/>
  <c r="A12" i="800"/>
  <c r="B34" i="799"/>
  <c r="B28" i="799"/>
  <c r="B27" i="799"/>
  <c r="B26" i="799"/>
  <c r="B25" i="799"/>
  <c r="B24" i="799"/>
  <c r="B23" i="799"/>
  <c r="B22" i="799"/>
  <c r="B21" i="799"/>
  <c r="B20" i="799"/>
  <c r="B19" i="799"/>
  <c r="B18" i="799"/>
  <c r="B17" i="799"/>
  <c r="B16" i="799"/>
  <c r="B15" i="799"/>
  <c r="B14" i="799"/>
  <c r="B111" i="798"/>
  <c r="J98" i="798"/>
  <c r="H98" i="798"/>
  <c r="J96" i="798"/>
  <c r="H96" i="798"/>
  <c r="J94" i="798"/>
  <c r="H94" i="798"/>
  <c r="K94" i="798" s="1"/>
  <c r="J89" i="798"/>
  <c r="H89" i="798"/>
  <c r="B86" i="798"/>
  <c r="J82" i="798"/>
  <c r="G82" i="798"/>
  <c r="H82" i="798" s="1"/>
  <c r="K82" i="798" s="1"/>
  <c r="J80" i="798"/>
  <c r="G80" i="798"/>
  <c r="H80" i="798" s="1"/>
  <c r="K80" i="798" s="1"/>
  <c r="J79" i="798"/>
  <c r="H79" i="798"/>
  <c r="J78" i="798"/>
  <c r="H78" i="798"/>
  <c r="K78" i="798" s="1"/>
  <c r="O73" i="798"/>
  <c r="J73" i="798"/>
  <c r="H73" i="798"/>
  <c r="K73" i="798" s="1"/>
  <c r="O72" i="798"/>
  <c r="J72" i="798"/>
  <c r="H72" i="798"/>
  <c r="O71" i="798"/>
  <c r="J71" i="798"/>
  <c r="H71" i="798"/>
  <c r="O70" i="798"/>
  <c r="J70" i="798"/>
  <c r="H70" i="798"/>
  <c r="O69" i="798"/>
  <c r="J69" i="798"/>
  <c r="H69" i="798"/>
  <c r="G75" i="798" s="1"/>
  <c r="B66" i="798"/>
  <c r="J64" i="798"/>
  <c r="G64" i="798"/>
  <c r="H64" i="798" s="1"/>
  <c r="K64" i="798" s="1"/>
  <c r="J62" i="798"/>
  <c r="J66" i="798" s="1"/>
  <c r="J14" i="798" s="1"/>
  <c r="H62" i="798"/>
  <c r="K62" i="798" s="1"/>
  <c r="K66" i="798" s="1"/>
  <c r="B59" i="798"/>
  <c r="J57" i="798"/>
  <c r="H57" i="798"/>
  <c r="K57" i="798" s="1"/>
  <c r="J54" i="798"/>
  <c r="H54" i="798"/>
  <c r="J49" i="798"/>
  <c r="H49" i="798"/>
  <c r="G52" i="798" s="1"/>
  <c r="I52" i="798" s="1"/>
  <c r="J52" i="798" s="1"/>
  <c r="J44" i="798"/>
  <c r="H44" i="798"/>
  <c r="K44" i="798" s="1"/>
  <c r="J39" i="798"/>
  <c r="H39" i="798"/>
  <c r="G40" i="798" s="1"/>
  <c r="B34" i="798"/>
  <c r="B16" i="798"/>
  <c r="A16" i="798"/>
  <c r="B15" i="798"/>
  <c r="A15" i="798"/>
  <c r="B14" i="798"/>
  <c r="A14" i="798"/>
  <c r="B13" i="798"/>
  <c r="A13" i="798"/>
  <c r="B12" i="798"/>
  <c r="B109" i="797"/>
  <c r="J102" i="797"/>
  <c r="G102" i="797"/>
  <c r="H102" i="797" s="1"/>
  <c r="K102" i="797" s="1"/>
  <c r="O97" i="797"/>
  <c r="J97" i="797"/>
  <c r="H97" i="797"/>
  <c r="G100" i="797" s="1"/>
  <c r="B94" i="797"/>
  <c r="J91" i="797"/>
  <c r="G91" i="797"/>
  <c r="H91" i="797" s="1"/>
  <c r="J90" i="797"/>
  <c r="G90" i="797"/>
  <c r="H90" i="797" s="1"/>
  <c r="J89" i="797"/>
  <c r="G89" i="797"/>
  <c r="H89" i="797" s="1"/>
  <c r="J88" i="797"/>
  <c r="G88" i="797"/>
  <c r="H88" i="797" s="1"/>
  <c r="J86" i="797"/>
  <c r="G86" i="797"/>
  <c r="H86" i="797" s="1"/>
  <c r="O81" i="797"/>
  <c r="J81" i="797"/>
  <c r="H81" i="797"/>
  <c r="O80" i="797"/>
  <c r="J80" i="797"/>
  <c r="H80" i="797"/>
  <c r="O79" i="797"/>
  <c r="J79" i="797"/>
  <c r="H79" i="797"/>
  <c r="O78" i="797"/>
  <c r="J78" i="797"/>
  <c r="H78" i="797"/>
  <c r="O77" i="797"/>
  <c r="J77" i="797"/>
  <c r="H77" i="797"/>
  <c r="J72" i="797"/>
  <c r="H72" i="797"/>
  <c r="J71" i="797"/>
  <c r="H71" i="797"/>
  <c r="J70" i="797"/>
  <c r="H70" i="797"/>
  <c r="J69" i="797"/>
  <c r="H69" i="797"/>
  <c r="B66" i="797"/>
  <c r="J61" i="797"/>
  <c r="H61" i="797"/>
  <c r="J57" i="797"/>
  <c r="H57" i="797"/>
  <c r="J55" i="797"/>
  <c r="H55" i="797"/>
  <c r="J54" i="797"/>
  <c r="H54" i="797"/>
  <c r="J52" i="797"/>
  <c r="H52" i="797"/>
  <c r="J51" i="797"/>
  <c r="H51" i="797"/>
  <c r="K51" i="797" s="1"/>
  <c r="J49" i="797"/>
  <c r="H49" i="797"/>
  <c r="J48" i="797"/>
  <c r="H48" i="797"/>
  <c r="J43" i="797"/>
  <c r="H43" i="797"/>
  <c r="K43" i="797" s="1"/>
  <c r="J42" i="797"/>
  <c r="H42" i="797"/>
  <c r="K42" i="797" s="1"/>
  <c r="J41" i="797"/>
  <c r="H41" i="797"/>
  <c r="K41" i="797" s="1"/>
  <c r="J40" i="797"/>
  <c r="H40" i="797"/>
  <c r="K40" i="797" s="1"/>
  <c r="J39" i="797"/>
  <c r="H39" i="797"/>
  <c r="K39" i="797" s="1"/>
  <c r="J38" i="797"/>
  <c r="H38" i="797"/>
  <c r="K38" i="797" s="1"/>
  <c r="B34" i="797"/>
  <c r="B15" i="797"/>
  <c r="A15" i="797"/>
  <c r="B14" i="797"/>
  <c r="A14" i="797"/>
  <c r="B13" i="797"/>
  <c r="A13" i="797"/>
  <c r="B12" i="797"/>
  <c r="B109" i="796"/>
  <c r="J104" i="796"/>
  <c r="G104" i="796"/>
  <c r="H104" i="796" s="1"/>
  <c r="J99" i="796"/>
  <c r="H99" i="796"/>
  <c r="B96" i="796"/>
  <c r="J92" i="796"/>
  <c r="G92" i="796"/>
  <c r="H92" i="796" s="1"/>
  <c r="J91" i="796"/>
  <c r="G91" i="796"/>
  <c r="H91" i="796" s="1"/>
  <c r="J90" i="796"/>
  <c r="G90" i="796"/>
  <c r="H90" i="796" s="1"/>
  <c r="K90" i="796" s="1"/>
  <c r="J89" i="796"/>
  <c r="G89" i="796"/>
  <c r="H89" i="796" s="1"/>
  <c r="J87" i="796"/>
  <c r="G87" i="796"/>
  <c r="H87" i="796" s="1"/>
  <c r="O81" i="796"/>
  <c r="J81" i="796"/>
  <c r="H81" i="796"/>
  <c r="O80" i="796"/>
  <c r="J80" i="796"/>
  <c r="H80" i="796"/>
  <c r="O79" i="796"/>
  <c r="J79" i="796"/>
  <c r="H79" i="796"/>
  <c r="O78" i="796"/>
  <c r="J78" i="796"/>
  <c r="H78" i="796"/>
  <c r="O77" i="796"/>
  <c r="J77" i="796"/>
  <c r="H77" i="796"/>
  <c r="J72" i="796"/>
  <c r="H72" i="796"/>
  <c r="J71" i="796"/>
  <c r="H71" i="796"/>
  <c r="J70" i="796"/>
  <c r="H70" i="796"/>
  <c r="J69" i="796"/>
  <c r="H69" i="796"/>
  <c r="J68" i="796"/>
  <c r="K68" i="796" s="1"/>
  <c r="H68" i="796"/>
  <c r="B65" i="796"/>
  <c r="J61" i="796"/>
  <c r="H61" i="796"/>
  <c r="J57" i="796"/>
  <c r="H57" i="796"/>
  <c r="J55" i="796"/>
  <c r="H55" i="796"/>
  <c r="J54" i="796"/>
  <c r="H54" i="796"/>
  <c r="J52" i="796"/>
  <c r="H52" i="796"/>
  <c r="K52" i="796" s="1"/>
  <c r="J51" i="796"/>
  <c r="H51" i="796"/>
  <c r="K51" i="796" s="1"/>
  <c r="J49" i="796"/>
  <c r="H49" i="796"/>
  <c r="K49" i="796" s="1"/>
  <c r="J48" i="796"/>
  <c r="H48" i="796"/>
  <c r="J43" i="796"/>
  <c r="H43" i="796"/>
  <c r="J42" i="796"/>
  <c r="H42" i="796"/>
  <c r="J41" i="796"/>
  <c r="H41" i="796"/>
  <c r="J40" i="796"/>
  <c r="H40" i="796"/>
  <c r="K40" i="796" s="1"/>
  <c r="J39" i="796"/>
  <c r="H39" i="796"/>
  <c r="K39" i="796" s="1"/>
  <c r="J38" i="796"/>
  <c r="H38" i="796"/>
  <c r="B34" i="796"/>
  <c r="B15" i="796"/>
  <c r="A15" i="796"/>
  <c r="B14" i="796"/>
  <c r="A14" i="796"/>
  <c r="B13" i="796"/>
  <c r="A13" i="796"/>
  <c r="B12" i="796"/>
  <c r="B109" i="795"/>
  <c r="J105" i="795"/>
  <c r="G105" i="795"/>
  <c r="H105" i="795" s="1"/>
  <c r="J100" i="795"/>
  <c r="H100" i="795"/>
  <c r="G101" i="795" s="1"/>
  <c r="B97" i="795"/>
  <c r="J91" i="795"/>
  <c r="G91" i="795"/>
  <c r="H91" i="795" s="1"/>
  <c r="J90" i="795"/>
  <c r="G90" i="795"/>
  <c r="H90" i="795" s="1"/>
  <c r="K90" i="795" s="1"/>
  <c r="J89" i="795"/>
  <c r="G89" i="795"/>
  <c r="H89" i="795" s="1"/>
  <c r="J88" i="795"/>
  <c r="G88" i="795"/>
  <c r="H88" i="795" s="1"/>
  <c r="J86" i="795"/>
  <c r="G86" i="795"/>
  <c r="H86" i="795" s="1"/>
  <c r="K86" i="795" s="1"/>
  <c r="O81" i="795"/>
  <c r="J81" i="795"/>
  <c r="H81" i="795"/>
  <c r="O80" i="795"/>
  <c r="J80" i="795"/>
  <c r="H80" i="795"/>
  <c r="K80" i="795" s="1"/>
  <c r="O79" i="795"/>
  <c r="J79" i="795"/>
  <c r="H79" i="795"/>
  <c r="O78" i="795"/>
  <c r="J78" i="795"/>
  <c r="H78" i="795"/>
  <c r="K78" i="795" s="1"/>
  <c r="O77" i="795"/>
  <c r="J77" i="795"/>
  <c r="H77" i="795"/>
  <c r="J72" i="795"/>
  <c r="K72" i="795" s="1"/>
  <c r="H72" i="795"/>
  <c r="J71" i="795"/>
  <c r="H71" i="795"/>
  <c r="J70" i="795"/>
  <c r="H70" i="795"/>
  <c r="J69" i="795"/>
  <c r="H69" i="795"/>
  <c r="B66" i="795"/>
  <c r="J61" i="795"/>
  <c r="H61" i="795"/>
  <c r="J57" i="795"/>
  <c r="H57" i="795"/>
  <c r="K57" i="795" s="1"/>
  <c r="J55" i="795"/>
  <c r="H55" i="795"/>
  <c r="J54" i="795"/>
  <c r="H54" i="795"/>
  <c r="J52" i="795"/>
  <c r="H52" i="795"/>
  <c r="J51" i="795"/>
  <c r="H51" i="795"/>
  <c r="K51" i="795" s="1"/>
  <c r="J49" i="795"/>
  <c r="H49" i="795"/>
  <c r="J48" i="795"/>
  <c r="H48" i="795"/>
  <c r="K48" i="795" s="1"/>
  <c r="J43" i="795"/>
  <c r="H43" i="795"/>
  <c r="J42" i="795"/>
  <c r="H42" i="795"/>
  <c r="K42" i="795" s="1"/>
  <c r="J41" i="795"/>
  <c r="H41" i="795"/>
  <c r="K41" i="795" s="1"/>
  <c r="J40" i="795"/>
  <c r="H40" i="795"/>
  <c r="J39" i="795"/>
  <c r="H39" i="795"/>
  <c r="J38" i="795"/>
  <c r="H38" i="795"/>
  <c r="B34" i="795"/>
  <c r="B15" i="795"/>
  <c r="A15" i="795"/>
  <c r="B14" i="795"/>
  <c r="A14" i="795"/>
  <c r="B13" i="795"/>
  <c r="A13" i="795"/>
  <c r="B12" i="795"/>
  <c r="B109" i="794"/>
  <c r="J105" i="794"/>
  <c r="G105" i="794"/>
  <c r="H105" i="794" s="1"/>
  <c r="K105" i="794" s="1"/>
  <c r="J100" i="794"/>
  <c r="H100" i="794"/>
  <c r="G101" i="794" s="1"/>
  <c r="B97" i="794"/>
  <c r="J91" i="794"/>
  <c r="G91" i="794"/>
  <c r="H91" i="794" s="1"/>
  <c r="K91" i="794" s="1"/>
  <c r="J90" i="794"/>
  <c r="G90" i="794"/>
  <c r="H90" i="794" s="1"/>
  <c r="J89" i="794"/>
  <c r="G89" i="794"/>
  <c r="H89" i="794" s="1"/>
  <c r="K89" i="794" s="1"/>
  <c r="J88" i="794"/>
  <c r="G88" i="794"/>
  <c r="H88" i="794" s="1"/>
  <c r="K88" i="794" s="1"/>
  <c r="J86" i="794"/>
  <c r="G86" i="794"/>
  <c r="H86" i="794" s="1"/>
  <c r="O81" i="794"/>
  <c r="J81" i="794"/>
  <c r="H81" i="794"/>
  <c r="O80" i="794"/>
  <c r="J80" i="794"/>
  <c r="H80" i="794"/>
  <c r="O79" i="794"/>
  <c r="J79" i="794"/>
  <c r="H79" i="794"/>
  <c r="O78" i="794"/>
  <c r="J78" i="794"/>
  <c r="H78" i="794"/>
  <c r="K78" i="794" s="1"/>
  <c r="O77" i="794"/>
  <c r="J77" i="794"/>
  <c r="H77" i="794"/>
  <c r="J72" i="794"/>
  <c r="H72" i="794"/>
  <c r="J71" i="794"/>
  <c r="H71" i="794"/>
  <c r="J70" i="794"/>
  <c r="H70" i="794"/>
  <c r="J69" i="794"/>
  <c r="H69" i="794"/>
  <c r="B66" i="794"/>
  <c r="J61" i="794"/>
  <c r="H61" i="794"/>
  <c r="K61" i="794" s="1"/>
  <c r="J57" i="794"/>
  <c r="H57" i="794"/>
  <c r="K57" i="794" s="1"/>
  <c r="J55" i="794"/>
  <c r="H55" i="794"/>
  <c r="K55" i="794" s="1"/>
  <c r="J54" i="794"/>
  <c r="H54" i="794"/>
  <c r="J52" i="794"/>
  <c r="H52" i="794"/>
  <c r="J51" i="794"/>
  <c r="H51" i="794"/>
  <c r="K51" i="794" s="1"/>
  <c r="J49" i="794"/>
  <c r="H49" i="794"/>
  <c r="K49" i="794" s="1"/>
  <c r="J48" i="794"/>
  <c r="H48" i="794"/>
  <c r="K48" i="794" s="1"/>
  <c r="J43" i="794"/>
  <c r="H43" i="794"/>
  <c r="K43" i="794" s="1"/>
  <c r="J42" i="794"/>
  <c r="H42" i="794"/>
  <c r="J41" i="794"/>
  <c r="H41" i="794"/>
  <c r="K41" i="794" s="1"/>
  <c r="J40" i="794"/>
  <c r="H40" i="794"/>
  <c r="J39" i="794"/>
  <c r="H39" i="794"/>
  <c r="K39" i="794" s="1"/>
  <c r="J38" i="794"/>
  <c r="H38" i="794"/>
  <c r="B34" i="794"/>
  <c r="B15" i="794"/>
  <c r="A15" i="794"/>
  <c r="B14" i="794"/>
  <c r="A14" i="794"/>
  <c r="B13" i="794"/>
  <c r="A13" i="794"/>
  <c r="B12" i="794"/>
  <c r="B109" i="793"/>
  <c r="J105" i="793"/>
  <c r="G105" i="793"/>
  <c r="H105" i="793" s="1"/>
  <c r="J100" i="793"/>
  <c r="H100" i="793"/>
  <c r="G101" i="793" s="1"/>
  <c r="B97" i="793"/>
  <c r="J91" i="793"/>
  <c r="G91" i="793"/>
  <c r="H91" i="793" s="1"/>
  <c r="J90" i="793"/>
  <c r="G90" i="793"/>
  <c r="H90" i="793" s="1"/>
  <c r="J89" i="793"/>
  <c r="G89" i="793"/>
  <c r="H89" i="793" s="1"/>
  <c r="J88" i="793"/>
  <c r="H88" i="793"/>
  <c r="G88" i="793"/>
  <c r="J84" i="793"/>
  <c r="G84" i="793"/>
  <c r="H84" i="793" s="1"/>
  <c r="K84" i="793" s="1"/>
  <c r="O79" i="793"/>
  <c r="J79" i="793"/>
  <c r="H79" i="793"/>
  <c r="O78" i="793"/>
  <c r="J78" i="793"/>
  <c r="K78" i="793" s="1"/>
  <c r="H78" i="793"/>
  <c r="O77" i="793"/>
  <c r="J77" i="793"/>
  <c r="H77" i="793"/>
  <c r="O76" i="793"/>
  <c r="J76" i="793"/>
  <c r="H76" i="793"/>
  <c r="K76" i="793" s="1"/>
  <c r="O75" i="793"/>
  <c r="J75" i="793"/>
  <c r="H75" i="793"/>
  <c r="J70" i="793"/>
  <c r="H70" i="793"/>
  <c r="J69" i="793"/>
  <c r="H69" i="793"/>
  <c r="K69" i="793" s="1"/>
  <c r="J68" i="793"/>
  <c r="H68" i="793"/>
  <c r="J67" i="793"/>
  <c r="H67" i="793"/>
  <c r="B64" i="793"/>
  <c r="J61" i="793"/>
  <c r="H61" i="793"/>
  <c r="J57" i="793"/>
  <c r="H57" i="793"/>
  <c r="J55" i="793"/>
  <c r="H55" i="793"/>
  <c r="J54" i="793"/>
  <c r="H54" i="793"/>
  <c r="K54" i="793" s="1"/>
  <c r="J52" i="793"/>
  <c r="H52" i="793"/>
  <c r="J51" i="793"/>
  <c r="H51" i="793"/>
  <c r="K51" i="793" s="1"/>
  <c r="J49" i="793"/>
  <c r="K49" i="793" s="1"/>
  <c r="H49" i="793"/>
  <c r="J48" i="793"/>
  <c r="H48" i="793"/>
  <c r="J43" i="793"/>
  <c r="H43" i="793"/>
  <c r="J42" i="793"/>
  <c r="H42" i="793"/>
  <c r="J41" i="793"/>
  <c r="H41" i="793"/>
  <c r="J40" i="793"/>
  <c r="H40" i="793"/>
  <c r="K40" i="793" s="1"/>
  <c r="J39" i="793"/>
  <c r="H39" i="793"/>
  <c r="J38" i="793"/>
  <c r="H38" i="793"/>
  <c r="B34" i="793"/>
  <c r="B15" i="793"/>
  <c r="A15" i="793"/>
  <c r="B14" i="793"/>
  <c r="A14" i="793"/>
  <c r="B13" i="793"/>
  <c r="A13" i="793"/>
  <c r="B12" i="793"/>
  <c r="B109" i="792"/>
  <c r="J105" i="792"/>
  <c r="G105" i="792"/>
  <c r="H105" i="792" s="1"/>
  <c r="K105" i="792" s="1"/>
  <c r="J100" i="792"/>
  <c r="H100" i="792"/>
  <c r="G102" i="792" s="1"/>
  <c r="H102" i="792" s="1"/>
  <c r="B97" i="792"/>
  <c r="J91" i="792"/>
  <c r="G91" i="792"/>
  <c r="H91" i="792" s="1"/>
  <c r="K91" i="792" s="1"/>
  <c r="J90" i="792"/>
  <c r="G90" i="792"/>
  <c r="H90" i="792" s="1"/>
  <c r="J89" i="792"/>
  <c r="G89" i="792"/>
  <c r="H89" i="792" s="1"/>
  <c r="K89" i="792" s="1"/>
  <c r="J88" i="792"/>
  <c r="G88" i="792"/>
  <c r="H88" i="792" s="1"/>
  <c r="K88" i="792" s="1"/>
  <c r="J84" i="792"/>
  <c r="G84" i="792"/>
  <c r="H84" i="792" s="1"/>
  <c r="K84" i="792" s="1"/>
  <c r="O79" i="792"/>
  <c r="J79" i="792"/>
  <c r="H79" i="792"/>
  <c r="O78" i="792"/>
  <c r="J78" i="792"/>
  <c r="H78" i="792"/>
  <c r="O77" i="792"/>
  <c r="J77" i="792"/>
  <c r="H77" i="792"/>
  <c r="O76" i="792"/>
  <c r="J76" i="792"/>
  <c r="H76" i="792"/>
  <c r="K76" i="792" s="1"/>
  <c r="O75" i="792"/>
  <c r="J75" i="792"/>
  <c r="H75" i="792"/>
  <c r="J70" i="792"/>
  <c r="H70" i="792"/>
  <c r="J69" i="792"/>
  <c r="H69" i="792"/>
  <c r="J68" i="792"/>
  <c r="H68" i="792"/>
  <c r="J67" i="792"/>
  <c r="H67" i="792"/>
  <c r="B64" i="792"/>
  <c r="J61" i="792"/>
  <c r="H61" i="792"/>
  <c r="K61" i="792" s="1"/>
  <c r="J57" i="792"/>
  <c r="H57" i="792"/>
  <c r="K57" i="792" s="1"/>
  <c r="J55" i="792"/>
  <c r="H55" i="792"/>
  <c r="J54" i="792"/>
  <c r="H54" i="792"/>
  <c r="J52" i="792"/>
  <c r="H52" i="792"/>
  <c r="J51" i="792"/>
  <c r="H51" i="792"/>
  <c r="K51" i="792" s="1"/>
  <c r="J49" i="792"/>
  <c r="H49" i="792"/>
  <c r="J48" i="792"/>
  <c r="H48" i="792"/>
  <c r="J43" i="792"/>
  <c r="H43" i="792"/>
  <c r="J42" i="792"/>
  <c r="H42" i="792"/>
  <c r="K42" i="792" s="1"/>
  <c r="J41" i="792"/>
  <c r="H41" i="792"/>
  <c r="K41" i="792" s="1"/>
  <c r="J40" i="792"/>
  <c r="H40" i="792"/>
  <c r="J39" i="792"/>
  <c r="H39" i="792"/>
  <c r="K39" i="792" s="1"/>
  <c r="J38" i="792"/>
  <c r="H38" i="792"/>
  <c r="B34" i="792"/>
  <c r="B15" i="792"/>
  <c r="A15" i="792"/>
  <c r="B14" i="792"/>
  <c r="A14" i="792"/>
  <c r="B13" i="792"/>
  <c r="A13" i="792"/>
  <c r="B12" i="792"/>
  <c r="B109" i="791"/>
  <c r="J105" i="791"/>
  <c r="G105" i="791"/>
  <c r="H105" i="791" s="1"/>
  <c r="J100" i="791"/>
  <c r="H100" i="791"/>
  <c r="G103" i="791" s="1"/>
  <c r="I103" i="791" s="1"/>
  <c r="J103" i="791" s="1"/>
  <c r="B97" i="791"/>
  <c r="J91" i="791"/>
  <c r="G91" i="791"/>
  <c r="H91" i="791" s="1"/>
  <c r="K91" i="791" s="1"/>
  <c r="J90" i="791"/>
  <c r="G90" i="791"/>
  <c r="H90" i="791" s="1"/>
  <c r="J89" i="791"/>
  <c r="G89" i="791"/>
  <c r="H89" i="791" s="1"/>
  <c r="J88" i="791"/>
  <c r="G88" i="791"/>
  <c r="H88" i="791" s="1"/>
  <c r="J84" i="791"/>
  <c r="G84" i="791"/>
  <c r="H84" i="791" s="1"/>
  <c r="K84" i="791" s="1"/>
  <c r="O79" i="791"/>
  <c r="J79" i="791"/>
  <c r="H79" i="791"/>
  <c r="O78" i="791"/>
  <c r="J78" i="791"/>
  <c r="H78" i="791"/>
  <c r="O77" i="791"/>
  <c r="J77" i="791"/>
  <c r="H77" i="791"/>
  <c r="O76" i="791"/>
  <c r="J76" i="791"/>
  <c r="H76" i="791"/>
  <c r="K76" i="791" s="1"/>
  <c r="O75" i="791"/>
  <c r="J75" i="791"/>
  <c r="H75" i="791"/>
  <c r="J70" i="791"/>
  <c r="H70" i="791"/>
  <c r="J69" i="791"/>
  <c r="H69" i="791"/>
  <c r="J68" i="791"/>
  <c r="H68" i="791"/>
  <c r="J67" i="791"/>
  <c r="H67" i="791"/>
  <c r="B64" i="791"/>
  <c r="J61" i="791"/>
  <c r="H61" i="791"/>
  <c r="J57" i="791"/>
  <c r="H57" i="791"/>
  <c r="J55" i="791"/>
  <c r="H55" i="791"/>
  <c r="J54" i="791"/>
  <c r="H54" i="791"/>
  <c r="J52" i="791"/>
  <c r="H52" i="791"/>
  <c r="J51" i="791"/>
  <c r="H51" i="791"/>
  <c r="J49" i="791"/>
  <c r="H49" i="791"/>
  <c r="J48" i="791"/>
  <c r="H48" i="791"/>
  <c r="J43" i="791"/>
  <c r="H43" i="791"/>
  <c r="J42" i="791"/>
  <c r="H42" i="791"/>
  <c r="J41" i="791"/>
  <c r="H41" i="791"/>
  <c r="J40" i="791"/>
  <c r="H40" i="791"/>
  <c r="J39" i="791"/>
  <c r="H39" i="791"/>
  <c r="J38" i="791"/>
  <c r="H38" i="791"/>
  <c r="K38" i="791" s="1"/>
  <c r="B34" i="791"/>
  <c r="B15" i="791"/>
  <c r="A15" i="791"/>
  <c r="B14" i="791"/>
  <c r="A14" i="791"/>
  <c r="B13" i="791"/>
  <c r="A13" i="791"/>
  <c r="B12" i="791"/>
  <c r="B109" i="790"/>
  <c r="J108" i="790"/>
  <c r="G108" i="790"/>
  <c r="H108" i="790" s="1"/>
  <c r="J106" i="790"/>
  <c r="H106" i="790"/>
  <c r="K106" i="790" s="1"/>
  <c r="O101" i="790"/>
  <c r="J101" i="790"/>
  <c r="H101" i="790"/>
  <c r="O100" i="790"/>
  <c r="J100" i="790"/>
  <c r="H100" i="790"/>
  <c r="B97" i="790"/>
  <c r="J91" i="790"/>
  <c r="G91" i="790"/>
  <c r="H91" i="790" s="1"/>
  <c r="K91" i="790" s="1"/>
  <c r="J90" i="790"/>
  <c r="G90" i="790"/>
  <c r="H90" i="790" s="1"/>
  <c r="J89" i="790"/>
  <c r="G89" i="790"/>
  <c r="H89" i="790" s="1"/>
  <c r="J88" i="790"/>
  <c r="G88" i="790"/>
  <c r="H88" i="790" s="1"/>
  <c r="J84" i="790"/>
  <c r="G84" i="790"/>
  <c r="H84" i="790" s="1"/>
  <c r="O79" i="790"/>
  <c r="J79" i="790"/>
  <c r="H79" i="790"/>
  <c r="O78" i="790"/>
  <c r="J78" i="790"/>
  <c r="H78" i="790"/>
  <c r="O77" i="790"/>
  <c r="J77" i="790"/>
  <c r="H77" i="790"/>
  <c r="O76" i="790"/>
  <c r="J76" i="790"/>
  <c r="H76" i="790"/>
  <c r="O75" i="790"/>
  <c r="J75" i="790"/>
  <c r="H75" i="790"/>
  <c r="J70" i="790"/>
  <c r="H70" i="790"/>
  <c r="J69" i="790"/>
  <c r="H69" i="790"/>
  <c r="J68" i="790"/>
  <c r="H68" i="790"/>
  <c r="J67" i="790"/>
  <c r="H67" i="790"/>
  <c r="B64" i="790"/>
  <c r="J61" i="790"/>
  <c r="H61" i="790"/>
  <c r="K61" i="790" s="1"/>
  <c r="J57" i="790"/>
  <c r="H57" i="790"/>
  <c r="J55" i="790"/>
  <c r="H55" i="790"/>
  <c r="J54" i="790"/>
  <c r="H54" i="790"/>
  <c r="J52" i="790"/>
  <c r="H52" i="790"/>
  <c r="J51" i="790"/>
  <c r="H51" i="790"/>
  <c r="J49" i="790"/>
  <c r="H49" i="790"/>
  <c r="K49" i="790" s="1"/>
  <c r="J48" i="790"/>
  <c r="H48" i="790"/>
  <c r="J43" i="790"/>
  <c r="H43" i="790"/>
  <c r="J42" i="790"/>
  <c r="H42" i="790"/>
  <c r="J41" i="790"/>
  <c r="H41" i="790"/>
  <c r="J40" i="790"/>
  <c r="H40" i="790"/>
  <c r="K40" i="790" s="1"/>
  <c r="J39" i="790"/>
  <c r="H39" i="790"/>
  <c r="K39" i="790" s="1"/>
  <c r="J38" i="790"/>
  <c r="H38" i="790"/>
  <c r="B34" i="790"/>
  <c r="B15" i="790"/>
  <c r="A15" i="790"/>
  <c r="B14" i="790"/>
  <c r="A14" i="790"/>
  <c r="B13" i="790"/>
  <c r="A13" i="790"/>
  <c r="B12" i="790"/>
  <c r="B109" i="789"/>
  <c r="J106" i="789"/>
  <c r="G106" i="789"/>
  <c r="H106" i="789" s="1"/>
  <c r="K106" i="789" s="1"/>
  <c r="J104" i="789"/>
  <c r="H104" i="789"/>
  <c r="K104" i="789" s="1"/>
  <c r="J99" i="789"/>
  <c r="H99" i="789"/>
  <c r="O98" i="789"/>
  <c r="J98" i="789"/>
  <c r="H98" i="789"/>
  <c r="B95" i="789"/>
  <c r="J90" i="789"/>
  <c r="G90" i="789"/>
  <c r="H90" i="789" s="1"/>
  <c r="J89" i="789"/>
  <c r="G89" i="789"/>
  <c r="H89" i="789" s="1"/>
  <c r="J88" i="789"/>
  <c r="G88" i="789"/>
  <c r="H88" i="789" s="1"/>
  <c r="J87" i="789"/>
  <c r="G87" i="789"/>
  <c r="H87" i="789" s="1"/>
  <c r="K87" i="789" s="1"/>
  <c r="J84" i="789"/>
  <c r="G84" i="789"/>
  <c r="H84" i="789" s="1"/>
  <c r="K84" i="789" s="1"/>
  <c r="O79" i="789"/>
  <c r="J79" i="789"/>
  <c r="H79" i="789"/>
  <c r="O78" i="789"/>
  <c r="J78" i="789"/>
  <c r="H78" i="789"/>
  <c r="O77" i="789"/>
  <c r="J77" i="789"/>
  <c r="H77" i="789"/>
  <c r="O76" i="789"/>
  <c r="J76" i="789"/>
  <c r="H76" i="789"/>
  <c r="O75" i="789"/>
  <c r="J75" i="789"/>
  <c r="H75" i="789"/>
  <c r="J70" i="789"/>
  <c r="H70" i="789"/>
  <c r="J69" i="789"/>
  <c r="H69" i="789"/>
  <c r="J68" i="789"/>
  <c r="H68" i="789"/>
  <c r="J67" i="789"/>
  <c r="H67" i="789"/>
  <c r="B64" i="789"/>
  <c r="J61" i="789"/>
  <c r="H61" i="789"/>
  <c r="J57" i="789"/>
  <c r="H57" i="789"/>
  <c r="J55" i="789"/>
  <c r="H55" i="789"/>
  <c r="J54" i="789"/>
  <c r="H54" i="789"/>
  <c r="J52" i="789"/>
  <c r="H52" i="789"/>
  <c r="J51" i="789"/>
  <c r="H51" i="789"/>
  <c r="K51" i="789" s="1"/>
  <c r="J49" i="789"/>
  <c r="H49" i="789"/>
  <c r="J48" i="789"/>
  <c r="H48" i="789"/>
  <c r="J43" i="789"/>
  <c r="K43" i="789" s="1"/>
  <c r="H43" i="789"/>
  <c r="J42" i="789"/>
  <c r="H42" i="789"/>
  <c r="J41" i="789"/>
  <c r="H41" i="789"/>
  <c r="J40" i="789"/>
  <c r="H40" i="789"/>
  <c r="K40" i="789" s="1"/>
  <c r="J39" i="789"/>
  <c r="H39" i="789"/>
  <c r="J38" i="789"/>
  <c r="H38" i="789"/>
  <c r="B34" i="789"/>
  <c r="B15" i="789"/>
  <c r="A15" i="789"/>
  <c r="B14" i="789"/>
  <c r="A14" i="789"/>
  <c r="B13" i="789"/>
  <c r="A13" i="789"/>
  <c r="B12" i="789"/>
  <c r="B109" i="788"/>
  <c r="J105" i="788"/>
  <c r="G105" i="788"/>
  <c r="H105" i="788" s="1"/>
  <c r="K105" i="788" s="1"/>
  <c r="J100" i="788"/>
  <c r="H100" i="788"/>
  <c r="G102" i="788" s="1"/>
  <c r="H102" i="788" s="1"/>
  <c r="B97" i="788"/>
  <c r="J91" i="788"/>
  <c r="G91" i="788"/>
  <c r="H91" i="788" s="1"/>
  <c r="K91" i="788" s="1"/>
  <c r="J90" i="788"/>
  <c r="G90" i="788"/>
  <c r="H90" i="788" s="1"/>
  <c r="J89" i="788"/>
  <c r="G89" i="788"/>
  <c r="H89" i="788" s="1"/>
  <c r="J88" i="788"/>
  <c r="G88" i="788"/>
  <c r="H88" i="788" s="1"/>
  <c r="J86" i="788"/>
  <c r="G86" i="788"/>
  <c r="H86" i="788" s="1"/>
  <c r="K86" i="788" s="1"/>
  <c r="O81" i="788"/>
  <c r="J81" i="788"/>
  <c r="H81" i="788"/>
  <c r="O80" i="788"/>
  <c r="J80" i="788"/>
  <c r="H80" i="788"/>
  <c r="K80" i="788" s="1"/>
  <c r="O79" i="788"/>
  <c r="J79" i="788"/>
  <c r="H79" i="788"/>
  <c r="O78" i="788"/>
  <c r="J78" i="788"/>
  <c r="H78" i="788"/>
  <c r="K78" i="788" s="1"/>
  <c r="O77" i="788"/>
  <c r="J77" i="788"/>
  <c r="K77" i="788" s="1"/>
  <c r="H77" i="788"/>
  <c r="J72" i="788"/>
  <c r="H72" i="788"/>
  <c r="J71" i="788"/>
  <c r="K71" i="788" s="1"/>
  <c r="H71" i="788"/>
  <c r="J70" i="788"/>
  <c r="H70" i="788"/>
  <c r="J69" i="788"/>
  <c r="H69" i="788"/>
  <c r="B66" i="788"/>
  <c r="J61" i="788"/>
  <c r="H61" i="788"/>
  <c r="K61" i="788" s="1"/>
  <c r="J57" i="788"/>
  <c r="H57" i="788"/>
  <c r="J55" i="788"/>
  <c r="H55" i="788"/>
  <c r="K55" i="788" s="1"/>
  <c r="J54" i="788"/>
  <c r="H54" i="788"/>
  <c r="J52" i="788"/>
  <c r="H52" i="788"/>
  <c r="K52" i="788" s="1"/>
  <c r="J51" i="788"/>
  <c r="H51" i="788"/>
  <c r="K51" i="788" s="1"/>
  <c r="J49" i="788"/>
  <c r="H49" i="788"/>
  <c r="J48" i="788"/>
  <c r="H48" i="788"/>
  <c r="K48" i="788" s="1"/>
  <c r="J43" i="788"/>
  <c r="H43" i="788"/>
  <c r="K43" i="788" s="1"/>
  <c r="J42" i="788"/>
  <c r="H42" i="788"/>
  <c r="J41" i="788"/>
  <c r="H41" i="788"/>
  <c r="J40" i="788"/>
  <c r="H40" i="788"/>
  <c r="K40" i="788" s="1"/>
  <c r="J39" i="788"/>
  <c r="H39" i="788"/>
  <c r="K39" i="788" s="1"/>
  <c r="J38" i="788"/>
  <c r="H38" i="788"/>
  <c r="K38" i="788" s="1"/>
  <c r="B34" i="788"/>
  <c r="B15" i="788"/>
  <c r="A15" i="788"/>
  <c r="B14" i="788"/>
  <c r="A14" i="788"/>
  <c r="B13" i="788"/>
  <c r="A13" i="788"/>
  <c r="B12" i="788"/>
  <c r="B135" i="787"/>
  <c r="J118" i="787"/>
  <c r="H118" i="787"/>
  <c r="G120" i="787" s="1"/>
  <c r="B115" i="787"/>
  <c r="J114" i="787"/>
  <c r="G114" i="787"/>
  <c r="H114" i="787" s="1"/>
  <c r="J112" i="787"/>
  <c r="H112" i="787"/>
  <c r="K112" i="787" s="1"/>
  <c r="J106" i="787"/>
  <c r="H106" i="787"/>
  <c r="J105" i="787"/>
  <c r="H105" i="787"/>
  <c r="K105" i="787" s="1"/>
  <c r="J104" i="787"/>
  <c r="H104" i="787"/>
  <c r="J103" i="787"/>
  <c r="H103" i="787"/>
  <c r="J98" i="787"/>
  <c r="H98" i="787"/>
  <c r="J97" i="787"/>
  <c r="H97" i="787"/>
  <c r="K97" i="787" s="1"/>
  <c r="J96" i="787"/>
  <c r="G96" i="787"/>
  <c r="H96" i="787" s="1"/>
  <c r="B93" i="787"/>
  <c r="J92" i="787"/>
  <c r="G92" i="787"/>
  <c r="H92" i="787" s="1"/>
  <c r="J91" i="787"/>
  <c r="G91" i="787"/>
  <c r="H91" i="787" s="1"/>
  <c r="J90" i="787"/>
  <c r="G90" i="787"/>
  <c r="H90" i="787" s="1"/>
  <c r="J89" i="787"/>
  <c r="G89" i="787"/>
  <c r="H89" i="787" s="1"/>
  <c r="K89" i="787" s="1"/>
  <c r="J88" i="787"/>
  <c r="G88" i="787"/>
  <c r="H88" i="787" s="1"/>
  <c r="J86" i="787"/>
  <c r="G86" i="787"/>
  <c r="H86" i="787" s="1"/>
  <c r="O81" i="787"/>
  <c r="J81" i="787"/>
  <c r="H81" i="787"/>
  <c r="O80" i="787"/>
  <c r="J80" i="787"/>
  <c r="H80" i="787"/>
  <c r="O79" i="787"/>
  <c r="J79" i="787"/>
  <c r="H79" i="787"/>
  <c r="O78" i="787"/>
  <c r="J78" i="787"/>
  <c r="H78" i="787"/>
  <c r="K78" i="787" s="1"/>
  <c r="O77" i="787"/>
  <c r="J77" i="787"/>
  <c r="H77" i="787"/>
  <c r="J72" i="787"/>
  <c r="H72" i="787"/>
  <c r="J71" i="787"/>
  <c r="H71" i="787"/>
  <c r="J70" i="787"/>
  <c r="H70" i="787"/>
  <c r="J69" i="787"/>
  <c r="H69" i="787"/>
  <c r="J68" i="787"/>
  <c r="H68" i="787"/>
  <c r="G74" i="787" s="1"/>
  <c r="B65" i="787"/>
  <c r="J61" i="787"/>
  <c r="H61" i="787"/>
  <c r="K61" i="787" s="1"/>
  <c r="J57" i="787"/>
  <c r="H57" i="787"/>
  <c r="J55" i="787"/>
  <c r="H55" i="787"/>
  <c r="J54" i="787"/>
  <c r="H54" i="787"/>
  <c r="J52" i="787"/>
  <c r="H52" i="787"/>
  <c r="J51" i="787"/>
  <c r="H51" i="787"/>
  <c r="J49" i="787"/>
  <c r="H49" i="787"/>
  <c r="J48" i="787"/>
  <c r="H48" i="787"/>
  <c r="J43" i="787"/>
  <c r="H43" i="787"/>
  <c r="J42" i="787"/>
  <c r="H42" i="787"/>
  <c r="J41" i="787"/>
  <c r="H41" i="787"/>
  <c r="J40" i="787"/>
  <c r="H40" i="787"/>
  <c r="J39" i="787"/>
  <c r="H39" i="787"/>
  <c r="K39" i="787" s="1"/>
  <c r="J38" i="787"/>
  <c r="H38" i="787"/>
  <c r="B34" i="787"/>
  <c r="B16" i="787"/>
  <c r="A16" i="787"/>
  <c r="B15" i="787"/>
  <c r="A15" i="787"/>
  <c r="B14" i="787"/>
  <c r="A14" i="787"/>
  <c r="B13" i="787"/>
  <c r="A13" i="787"/>
  <c r="B12" i="787"/>
  <c r="B111" i="786"/>
  <c r="J92" i="786"/>
  <c r="G92" i="786"/>
  <c r="H92" i="786" s="1"/>
  <c r="K92" i="786" s="1"/>
  <c r="O87" i="786"/>
  <c r="J87" i="786"/>
  <c r="H87" i="786"/>
  <c r="G89" i="786" s="1"/>
  <c r="B84" i="786"/>
  <c r="J80" i="786"/>
  <c r="G80" i="786"/>
  <c r="H80" i="786" s="1"/>
  <c r="K80" i="786" s="1"/>
  <c r="J79" i="786"/>
  <c r="G79" i="786"/>
  <c r="H79" i="786" s="1"/>
  <c r="K79" i="786" s="1"/>
  <c r="J77" i="786"/>
  <c r="G77" i="786"/>
  <c r="H77" i="786" s="1"/>
  <c r="K77" i="786" s="1"/>
  <c r="O72" i="786"/>
  <c r="J72" i="786"/>
  <c r="H72" i="786"/>
  <c r="O71" i="786"/>
  <c r="J71" i="786"/>
  <c r="H71" i="786"/>
  <c r="O70" i="786"/>
  <c r="J70" i="786"/>
  <c r="H70" i="786"/>
  <c r="O69" i="786"/>
  <c r="J69" i="786"/>
  <c r="H69" i="786"/>
  <c r="G73" i="786" s="1"/>
  <c r="J64" i="786"/>
  <c r="H64" i="786"/>
  <c r="K64" i="786" s="1"/>
  <c r="J63" i="786"/>
  <c r="H63" i="786"/>
  <c r="J62" i="786"/>
  <c r="H62" i="786"/>
  <c r="B59" i="786"/>
  <c r="J56" i="786"/>
  <c r="H56" i="786"/>
  <c r="J54" i="786"/>
  <c r="H54" i="786"/>
  <c r="K54" i="786" s="1"/>
  <c r="J52" i="786"/>
  <c r="H52" i="786"/>
  <c r="K52" i="786" s="1"/>
  <c r="J50" i="786"/>
  <c r="H50" i="786"/>
  <c r="K50" i="786" s="1"/>
  <c r="J48" i="786"/>
  <c r="H48" i="786"/>
  <c r="K48" i="786" s="1"/>
  <c r="J47" i="786"/>
  <c r="H47" i="786"/>
  <c r="J46" i="786"/>
  <c r="H46" i="786"/>
  <c r="J41" i="786"/>
  <c r="H41" i="786"/>
  <c r="K41" i="786" s="1"/>
  <c r="J40" i="786"/>
  <c r="H40" i="786"/>
  <c r="J39" i="786"/>
  <c r="H39" i="786"/>
  <c r="K39" i="786" s="1"/>
  <c r="J38" i="786"/>
  <c r="H38" i="786"/>
  <c r="G42" i="786" s="1"/>
  <c r="H42" i="786" s="1"/>
  <c r="B34" i="786"/>
  <c r="B15" i="786"/>
  <c r="A15" i="786"/>
  <c r="B14" i="786"/>
  <c r="A14" i="786"/>
  <c r="B13" i="786"/>
  <c r="A13" i="786"/>
  <c r="B12" i="786"/>
  <c r="B84" i="785"/>
  <c r="O69" i="785"/>
  <c r="J69" i="785"/>
  <c r="H69" i="785"/>
  <c r="G71" i="785" s="1"/>
  <c r="B66" i="785"/>
  <c r="J63" i="785"/>
  <c r="G63" i="785"/>
  <c r="H63" i="785" s="1"/>
  <c r="K63" i="785" s="1"/>
  <c r="J62" i="785"/>
  <c r="G62" i="785"/>
  <c r="H62" i="785" s="1"/>
  <c r="K62" i="785" s="1"/>
  <c r="J61" i="785"/>
  <c r="G61" i="785"/>
  <c r="H61" i="785" s="1"/>
  <c r="J56" i="785"/>
  <c r="H56" i="785"/>
  <c r="J55" i="785"/>
  <c r="H55" i="785"/>
  <c r="J54" i="785"/>
  <c r="H54" i="785"/>
  <c r="G59" i="785" s="1"/>
  <c r="B51" i="785"/>
  <c r="J49" i="785"/>
  <c r="H49" i="785"/>
  <c r="K49" i="785" s="1"/>
  <c r="J47" i="785"/>
  <c r="H47" i="785"/>
  <c r="J45" i="785"/>
  <c r="H45" i="785"/>
  <c r="K45" i="785" s="1"/>
  <c r="J40" i="785"/>
  <c r="K40" i="785" s="1"/>
  <c r="H40" i="785"/>
  <c r="J39" i="785"/>
  <c r="H39" i="785"/>
  <c r="J38" i="785"/>
  <c r="H38" i="785"/>
  <c r="B34" i="785"/>
  <c r="B15" i="785"/>
  <c r="A15" i="785"/>
  <c r="B14" i="785"/>
  <c r="A14" i="785"/>
  <c r="B13" i="785"/>
  <c r="A13" i="785"/>
  <c r="B12" i="785"/>
  <c r="B184" i="784"/>
  <c r="I183" i="784"/>
  <c r="J183" i="784" s="1"/>
  <c r="H183" i="784"/>
  <c r="I182" i="784"/>
  <c r="J182" i="784" s="1"/>
  <c r="H182" i="784"/>
  <c r="K182" i="784" s="1"/>
  <c r="B179" i="784"/>
  <c r="O176" i="784"/>
  <c r="J176" i="784"/>
  <c r="H176" i="784"/>
  <c r="O175" i="784"/>
  <c r="J175" i="784"/>
  <c r="H175" i="784"/>
  <c r="O174" i="784"/>
  <c r="J174" i="784"/>
  <c r="H174" i="784"/>
  <c r="J171" i="784"/>
  <c r="H171" i="784"/>
  <c r="J170" i="784"/>
  <c r="H170" i="784"/>
  <c r="J169" i="784"/>
  <c r="H169" i="784"/>
  <c r="I167" i="784"/>
  <c r="J167" i="784" s="1"/>
  <c r="H167" i="784"/>
  <c r="I166" i="784"/>
  <c r="J166" i="784" s="1"/>
  <c r="H166" i="784"/>
  <c r="I165" i="784"/>
  <c r="J165" i="784" s="1"/>
  <c r="H165" i="784"/>
  <c r="I164" i="784"/>
  <c r="J164" i="784" s="1"/>
  <c r="H164" i="784"/>
  <c r="I163" i="784"/>
  <c r="J163" i="784" s="1"/>
  <c r="H163" i="784"/>
  <c r="I162" i="784"/>
  <c r="J162" i="784" s="1"/>
  <c r="H162" i="784"/>
  <c r="B159" i="784"/>
  <c r="J156" i="784"/>
  <c r="H156" i="784"/>
  <c r="J155" i="784"/>
  <c r="H155" i="784"/>
  <c r="J153" i="784"/>
  <c r="H153" i="784"/>
  <c r="J151" i="784"/>
  <c r="H151" i="784"/>
  <c r="J149" i="784"/>
  <c r="H149" i="784"/>
  <c r="J147" i="784"/>
  <c r="H147" i="784"/>
  <c r="P145" i="784"/>
  <c r="P146" i="784" s="1"/>
  <c r="O144" i="784"/>
  <c r="O145" i="784" s="1"/>
  <c r="J142" i="784"/>
  <c r="H142" i="784"/>
  <c r="J141" i="784"/>
  <c r="H141" i="784"/>
  <c r="B138" i="784"/>
  <c r="J136" i="784"/>
  <c r="H136" i="784"/>
  <c r="K136" i="784" s="1"/>
  <c r="J132" i="784"/>
  <c r="H132" i="784"/>
  <c r="J130" i="784"/>
  <c r="H130" i="784"/>
  <c r="J128" i="784"/>
  <c r="H128" i="784"/>
  <c r="J127" i="784"/>
  <c r="H127" i="784"/>
  <c r="J125" i="784"/>
  <c r="G125" i="784"/>
  <c r="H125" i="784" s="1"/>
  <c r="J124" i="784"/>
  <c r="G124" i="784"/>
  <c r="H124" i="784" s="1"/>
  <c r="J123" i="784"/>
  <c r="G123" i="784"/>
  <c r="H123" i="784" s="1"/>
  <c r="O118" i="784"/>
  <c r="J118" i="784"/>
  <c r="H118" i="784"/>
  <c r="O117" i="784"/>
  <c r="J117" i="784"/>
  <c r="H117" i="784"/>
  <c r="O116" i="784"/>
  <c r="J116" i="784"/>
  <c r="H116" i="784"/>
  <c r="P114" i="784"/>
  <c r="P115" i="784" s="1"/>
  <c r="P111" i="784"/>
  <c r="P112" i="784" s="1"/>
  <c r="J111" i="784"/>
  <c r="G111" i="784"/>
  <c r="H111" i="784" s="1"/>
  <c r="I109" i="784"/>
  <c r="E109" i="784"/>
  <c r="H109" i="784" s="1"/>
  <c r="I108" i="784"/>
  <c r="E108" i="784"/>
  <c r="H108" i="784" s="1"/>
  <c r="I107" i="784"/>
  <c r="E107" i="784"/>
  <c r="H107" i="784" s="1"/>
  <c r="I106" i="784"/>
  <c r="E106" i="784"/>
  <c r="H106" i="784" s="1"/>
  <c r="B103" i="784"/>
  <c r="J101" i="784"/>
  <c r="H101" i="784"/>
  <c r="J99" i="784"/>
  <c r="H99" i="784"/>
  <c r="J97" i="784"/>
  <c r="H97" i="784"/>
  <c r="O92" i="784"/>
  <c r="J92" i="784"/>
  <c r="H92" i="784"/>
  <c r="O91" i="784"/>
  <c r="J91" i="784"/>
  <c r="H91" i="784"/>
  <c r="O89" i="784"/>
  <c r="O90" i="784" s="1"/>
  <c r="J86" i="784"/>
  <c r="H86" i="784"/>
  <c r="J85" i="784"/>
  <c r="H85" i="784"/>
  <c r="J84" i="784"/>
  <c r="H84" i="784"/>
  <c r="J83" i="784"/>
  <c r="H83" i="784"/>
  <c r="J78" i="784"/>
  <c r="H78" i="784"/>
  <c r="J77" i="784"/>
  <c r="H77" i="784"/>
  <c r="I75" i="784"/>
  <c r="J75" i="784" s="1"/>
  <c r="H75" i="784"/>
  <c r="I74" i="784"/>
  <c r="J74" i="784" s="1"/>
  <c r="H74" i="784"/>
  <c r="I73" i="784"/>
  <c r="J73" i="784" s="1"/>
  <c r="H73" i="784"/>
  <c r="I72" i="784"/>
  <c r="J72" i="784" s="1"/>
  <c r="H72" i="784"/>
  <c r="B69" i="784"/>
  <c r="J67" i="784"/>
  <c r="H67" i="784"/>
  <c r="K67" i="784" s="1"/>
  <c r="J66" i="784"/>
  <c r="H66" i="784"/>
  <c r="J65" i="784"/>
  <c r="H65" i="784"/>
  <c r="J64" i="784"/>
  <c r="H64" i="784"/>
  <c r="K64" i="784" s="1"/>
  <c r="J62" i="784"/>
  <c r="H62" i="784"/>
  <c r="J61" i="784"/>
  <c r="H61" i="784"/>
  <c r="J59" i="784"/>
  <c r="H59" i="784"/>
  <c r="K59" i="784" s="1"/>
  <c r="J57" i="784"/>
  <c r="H57" i="784"/>
  <c r="K57" i="784" s="1"/>
  <c r="J55" i="784"/>
  <c r="H55" i="784"/>
  <c r="J53" i="784"/>
  <c r="H53" i="784"/>
  <c r="K53" i="784" s="1"/>
  <c r="J51" i="784"/>
  <c r="H51" i="784"/>
  <c r="J49" i="784"/>
  <c r="H49" i="784"/>
  <c r="J48" i="784"/>
  <c r="H48" i="784"/>
  <c r="J47" i="784"/>
  <c r="H47" i="784"/>
  <c r="K47" i="784" s="1"/>
  <c r="N42" i="784"/>
  <c r="O42" i="784" s="1"/>
  <c r="J42" i="784"/>
  <c r="H42" i="784"/>
  <c r="N41" i="784"/>
  <c r="O41" i="784" s="1"/>
  <c r="J41" i="784"/>
  <c r="H41" i="784"/>
  <c r="N40" i="784"/>
  <c r="O40" i="784" s="1"/>
  <c r="J40" i="784"/>
  <c r="H40" i="784"/>
  <c r="N39" i="784"/>
  <c r="O39" i="784" s="1"/>
  <c r="J39" i="784"/>
  <c r="H39" i="784"/>
  <c r="B34" i="784"/>
  <c r="B18" i="784"/>
  <c r="A18" i="784"/>
  <c r="B17" i="784"/>
  <c r="A17" i="784"/>
  <c r="B16" i="784"/>
  <c r="A16" i="784"/>
  <c r="B15" i="784"/>
  <c r="A15" i="784"/>
  <c r="B14" i="784"/>
  <c r="A14" i="784"/>
  <c r="B13" i="784"/>
  <c r="A13" i="784"/>
  <c r="B12" i="784"/>
  <c r="B34" i="783"/>
  <c r="B28" i="783"/>
  <c r="B27" i="783"/>
  <c r="B26" i="783"/>
  <c r="B25" i="783"/>
  <c r="B24" i="783"/>
  <c r="B23" i="783"/>
  <c r="B22" i="783"/>
  <c r="B21" i="783"/>
  <c r="B20" i="783"/>
  <c r="B19" i="783"/>
  <c r="B18" i="783"/>
  <c r="B17" i="783"/>
  <c r="B16" i="783"/>
  <c r="B15" i="783"/>
  <c r="B14" i="783"/>
  <c r="B57" i="782"/>
  <c r="O40" i="782"/>
  <c r="J40" i="782"/>
  <c r="H40" i="782"/>
  <c r="J38" i="782"/>
  <c r="H38" i="782"/>
  <c r="K38" i="782" s="1"/>
  <c r="J36" i="782"/>
  <c r="H36" i="782"/>
  <c r="K36" i="782" s="1"/>
  <c r="B34" i="782"/>
  <c r="B13" i="782"/>
  <c r="A13" i="782"/>
  <c r="B57" i="781"/>
  <c r="O40" i="781"/>
  <c r="J40" i="781"/>
  <c r="H40" i="781"/>
  <c r="J38" i="781"/>
  <c r="H38" i="781"/>
  <c r="K38" i="781" s="1"/>
  <c r="J36" i="781"/>
  <c r="H36" i="781"/>
  <c r="B34" i="781"/>
  <c r="B13" i="781"/>
  <c r="A13" i="781"/>
  <c r="B57" i="780"/>
  <c r="O46" i="780"/>
  <c r="J46" i="780"/>
  <c r="H46" i="780"/>
  <c r="J44" i="780"/>
  <c r="K44" i="780" s="1"/>
  <c r="H44" i="780"/>
  <c r="J37" i="780"/>
  <c r="G37" i="780"/>
  <c r="H37" i="780" s="1"/>
  <c r="K37" i="780" s="1"/>
  <c r="J36" i="780"/>
  <c r="H36" i="780"/>
  <c r="B34" i="780"/>
  <c r="B13" i="780"/>
  <c r="A13" i="780"/>
  <c r="B57" i="779"/>
  <c r="O40" i="779"/>
  <c r="J40" i="779"/>
  <c r="H40" i="779"/>
  <c r="J38" i="779"/>
  <c r="H38" i="779"/>
  <c r="K38" i="779" s="1"/>
  <c r="J36" i="779"/>
  <c r="H36" i="779"/>
  <c r="B34" i="779"/>
  <c r="B13" i="779"/>
  <c r="A13" i="779"/>
  <c r="B57" i="778"/>
  <c r="O40" i="778"/>
  <c r="J40" i="778"/>
  <c r="H40" i="778"/>
  <c r="J38" i="778"/>
  <c r="H38" i="778"/>
  <c r="K38" i="778" s="1"/>
  <c r="J36" i="778"/>
  <c r="H36" i="778"/>
  <c r="K36" i="778" s="1"/>
  <c r="B34" i="778"/>
  <c r="B13" i="778"/>
  <c r="A13" i="778"/>
  <c r="O46" i="777"/>
  <c r="K46" i="777"/>
  <c r="J46" i="777"/>
  <c r="H46" i="777"/>
  <c r="G47" i="777" s="1"/>
  <c r="H47" i="777" s="1"/>
  <c r="J44" i="777"/>
  <c r="K44" i="777" s="1"/>
  <c r="H44" i="777"/>
  <c r="J37" i="777"/>
  <c r="G37" i="777"/>
  <c r="H37" i="777" s="1"/>
  <c r="J36" i="777"/>
  <c r="H36" i="777"/>
  <c r="B57" i="776"/>
  <c r="O40" i="776"/>
  <c r="J40" i="776"/>
  <c r="H40" i="776"/>
  <c r="J38" i="776"/>
  <c r="H38" i="776"/>
  <c r="K38" i="776" s="1"/>
  <c r="J36" i="776"/>
  <c r="H36" i="776"/>
  <c r="B34" i="776"/>
  <c r="B13" i="776"/>
  <c r="A13" i="776"/>
  <c r="B57" i="775"/>
  <c r="O40" i="775"/>
  <c r="J40" i="775"/>
  <c r="H40" i="775"/>
  <c r="J38" i="775"/>
  <c r="H38" i="775"/>
  <c r="K38" i="775" s="1"/>
  <c r="J36" i="775"/>
  <c r="H36" i="775"/>
  <c r="K36" i="775" s="1"/>
  <c r="B34" i="775"/>
  <c r="B13" i="775"/>
  <c r="A13" i="775"/>
  <c r="O46" i="774"/>
  <c r="J46" i="774"/>
  <c r="K46" i="774" s="1"/>
  <c r="H46" i="774"/>
  <c r="G47" i="774" s="1"/>
  <c r="H47" i="774" s="1"/>
  <c r="J44" i="774"/>
  <c r="H44" i="774"/>
  <c r="J37" i="774"/>
  <c r="G37" i="774"/>
  <c r="H37" i="774" s="1"/>
  <c r="J36" i="774"/>
  <c r="H36" i="774"/>
  <c r="O40" i="773"/>
  <c r="J40" i="773"/>
  <c r="H40" i="773"/>
  <c r="G41" i="773" s="1"/>
  <c r="J38" i="773"/>
  <c r="H38" i="773"/>
  <c r="J36" i="773"/>
  <c r="H36" i="773"/>
  <c r="O40" i="772"/>
  <c r="J40" i="772"/>
  <c r="H40" i="772"/>
  <c r="G41" i="772" s="1"/>
  <c r="J38" i="772"/>
  <c r="H38" i="772"/>
  <c r="J36" i="772"/>
  <c r="H36" i="772"/>
  <c r="O46" i="771"/>
  <c r="J46" i="771"/>
  <c r="H46" i="771"/>
  <c r="G47" i="771" s="1"/>
  <c r="J44" i="771"/>
  <c r="H44" i="771"/>
  <c r="J37" i="771"/>
  <c r="G37" i="771"/>
  <c r="H37" i="771" s="1"/>
  <c r="J36" i="771"/>
  <c r="H36" i="771"/>
  <c r="O48" i="770"/>
  <c r="J48" i="770"/>
  <c r="H48" i="770"/>
  <c r="G49" i="770" s="1"/>
  <c r="I49" i="770" s="1"/>
  <c r="J49" i="770" s="1"/>
  <c r="J46" i="770"/>
  <c r="H46" i="770"/>
  <c r="J39" i="770"/>
  <c r="G39" i="770"/>
  <c r="H39" i="770" s="1"/>
  <c r="J38" i="770"/>
  <c r="H38" i="770"/>
  <c r="J37" i="770"/>
  <c r="H37" i="770"/>
  <c r="K37" i="770" s="1"/>
  <c r="J36" i="770"/>
  <c r="H36" i="770"/>
  <c r="O50" i="769"/>
  <c r="J50" i="769"/>
  <c r="H50" i="769"/>
  <c r="O48" i="769"/>
  <c r="J48" i="769"/>
  <c r="H48" i="769"/>
  <c r="J46" i="769"/>
  <c r="H46" i="769"/>
  <c r="J39" i="769"/>
  <c r="G39" i="769"/>
  <c r="H39" i="769" s="1"/>
  <c r="K39" i="769" s="1"/>
  <c r="J38" i="769"/>
  <c r="H38" i="769"/>
  <c r="J37" i="769"/>
  <c r="H37" i="769"/>
  <c r="J36" i="769"/>
  <c r="H36" i="769"/>
  <c r="J55" i="768"/>
  <c r="K55" i="768" s="1"/>
  <c r="J53" i="768"/>
  <c r="H53" i="768"/>
  <c r="J52" i="768"/>
  <c r="H52" i="768"/>
  <c r="G54" i="768" s="1"/>
  <c r="J49" i="768"/>
  <c r="K49" i="768" s="1"/>
  <c r="H49" i="768"/>
  <c r="G50" i="768" s="1"/>
  <c r="J47" i="768"/>
  <c r="H47" i="768"/>
  <c r="J46" i="768"/>
  <c r="H46" i="768"/>
  <c r="I45" i="768"/>
  <c r="J45" i="768" s="1"/>
  <c r="H45" i="768"/>
  <c r="I44" i="768"/>
  <c r="J44" i="768" s="1"/>
  <c r="H44" i="768"/>
  <c r="I43" i="768"/>
  <c r="J43" i="768" s="1"/>
  <c r="H43" i="768"/>
  <c r="I42" i="768"/>
  <c r="J42" i="768" s="1"/>
  <c r="H42" i="768"/>
  <c r="I40" i="768"/>
  <c r="J40" i="768" s="1"/>
  <c r="H40" i="768"/>
  <c r="I39" i="768"/>
  <c r="J39" i="768" s="1"/>
  <c r="H39" i="768"/>
  <c r="I38" i="768"/>
  <c r="J38" i="768" s="1"/>
  <c r="H38" i="768"/>
  <c r="I37" i="768"/>
  <c r="J37" i="768" s="1"/>
  <c r="H37" i="768"/>
  <c r="B32" i="767"/>
  <c r="B27" i="767"/>
  <c r="B26" i="767"/>
  <c r="B25" i="767"/>
  <c r="B24" i="767"/>
  <c r="B23" i="767"/>
  <c r="B22" i="767"/>
  <c r="B21" i="767"/>
  <c r="B20" i="767"/>
  <c r="B19" i="767"/>
  <c r="B18" i="767"/>
  <c r="B17" i="767"/>
  <c r="B16" i="767"/>
  <c r="B15" i="767"/>
  <c r="B14" i="767"/>
  <c r="B13" i="767"/>
  <c r="K282" i="823" l="1"/>
  <c r="K44" i="771"/>
  <c r="K47" i="785"/>
  <c r="K40" i="786"/>
  <c r="K79" i="787"/>
  <c r="K108" i="790"/>
  <c r="K67" i="791"/>
  <c r="K67" i="792"/>
  <c r="K54" i="798"/>
  <c r="K86" i="800"/>
  <c r="K38" i="801"/>
  <c r="K69" i="802"/>
  <c r="H76" i="803"/>
  <c r="H13" i="803" s="1"/>
  <c r="K13" i="803" s="1"/>
  <c r="K64" i="803"/>
  <c r="K39" i="804"/>
  <c r="K45" i="804"/>
  <c r="K54" i="804"/>
  <c r="H84" i="805"/>
  <c r="H14" i="805" s="1"/>
  <c r="G49" i="806"/>
  <c r="H49" i="806" s="1"/>
  <c r="K41" i="806"/>
  <c r="K45" i="806"/>
  <c r="K80" i="806"/>
  <c r="K42" i="808"/>
  <c r="K38" i="809"/>
  <c r="K42" i="809"/>
  <c r="K44" i="809"/>
  <c r="K62" i="809"/>
  <c r="K66" i="809"/>
  <c r="K69" i="809"/>
  <c r="K73" i="809"/>
  <c r="K41" i="810"/>
  <c r="K47" i="810"/>
  <c r="K62" i="810"/>
  <c r="K66" i="810"/>
  <c r="K81" i="810"/>
  <c r="H118" i="810"/>
  <c r="H16" i="810" s="1"/>
  <c r="K53" i="811"/>
  <c r="K66" i="811"/>
  <c r="K69" i="811"/>
  <c r="K73" i="811"/>
  <c r="K78" i="811"/>
  <c r="K84" i="811" s="1"/>
  <c r="K45" i="812"/>
  <c r="K62" i="812"/>
  <c r="K66" i="812"/>
  <c r="K69" i="812"/>
  <c r="K73" i="812"/>
  <c r="K80" i="812"/>
  <c r="K47" i="814"/>
  <c r="H84" i="814"/>
  <c r="H14" i="814" s="1"/>
  <c r="K154" i="817"/>
  <c r="K71" i="823"/>
  <c r="K95" i="823"/>
  <c r="K106" i="823"/>
  <c r="K109" i="823"/>
  <c r="K111" i="823"/>
  <c r="K191" i="823"/>
  <c r="K195" i="823"/>
  <c r="K265" i="823"/>
  <c r="K283" i="823"/>
  <c r="K290" i="823"/>
  <c r="K312" i="823"/>
  <c r="K314" i="823"/>
  <c r="K37" i="769"/>
  <c r="K40" i="779"/>
  <c r="K72" i="786"/>
  <c r="K41" i="791"/>
  <c r="K49" i="791"/>
  <c r="K55" i="791"/>
  <c r="G75" i="795"/>
  <c r="H75" i="795" s="1"/>
  <c r="K75" i="795" s="1"/>
  <c r="K70" i="797"/>
  <c r="K72" i="797"/>
  <c r="K46" i="801"/>
  <c r="K66" i="802"/>
  <c r="K67" i="803"/>
  <c r="K62" i="805"/>
  <c r="K66" i="805"/>
  <c r="K73" i="805"/>
  <c r="K76" i="805" s="1"/>
  <c r="K64" i="806"/>
  <c r="K67" i="806"/>
  <c r="K71" i="806"/>
  <c r="K87" i="806"/>
  <c r="K102" i="806"/>
  <c r="K18" i="806"/>
  <c r="K53" i="807"/>
  <c r="K62" i="807"/>
  <c r="K87" i="807"/>
  <c r="H94" i="807"/>
  <c r="K69" i="808"/>
  <c r="J84" i="808"/>
  <c r="J14" i="808" s="1"/>
  <c r="K101" i="808"/>
  <c r="J118" i="808"/>
  <c r="J16" i="808" s="1"/>
  <c r="J84" i="810"/>
  <c r="J14" i="810" s="1"/>
  <c r="J118" i="813"/>
  <c r="J16" i="813" s="1"/>
  <c r="H57" i="777"/>
  <c r="H13" i="777" s="1"/>
  <c r="H34" i="777" s="1"/>
  <c r="H22" i="767" s="1"/>
  <c r="K40" i="778"/>
  <c r="K36" i="779"/>
  <c r="K46" i="780"/>
  <c r="K36" i="781"/>
  <c r="K40" i="781"/>
  <c r="K88" i="788"/>
  <c r="K41" i="801"/>
  <c r="H118" i="804"/>
  <c r="H16" i="804" s="1"/>
  <c r="G48" i="805"/>
  <c r="K112" i="805"/>
  <c r="J109" i="806"/>
  <c r="J16" i="806" s="1"/>
  <c r="K69" i="807"/>
  <c r="K73" i="807"/>
  <c r="K43" i="809"/>
  <c r="K112" i="809"/>
  <c r="K38" i="810"/>
  <c r="K64" i="810"/>
  <c r="K111" i="810"/>
  <c r="K64" i="811"/>
  <c r="K71" i="811"/>
  <c r="I94" i="811"/>
  <c r="J94" i="811" s="1"/>
  <c r="K53" i="814"/>
  <c r="K116" i="817"/>
  <c r="K120" i="817"/>
  <c r="K80" i="823"/>
  <c r="K124" i="823"/>
  <c r="K252" i="823"/>
  <c r="K295" i="823"/>
  <c r="K45" i="824"/>
  <c r="K53" i="768"/>
  <c r="K38" i="769"/>
  <c r="K36" i="770"/>
  <c r="K46" i="770"/>
  <c r="K44" i="774"/>
  <c r="K40" i="775"/>
  <c r="K56" i="786"/>
  <c r="K70" i="786"/>
  <c r="K98" i="789"/>
  <c r="K69" i="797"/>
  <c r="G41" i="798"/>
  <c r="I41" i="798" s="1"/>
  <c r="J41" i="798" s="1"/>
  <c r="K55" i="802"/>
  <c r="J76" i="802"/>
  <c r="J13" i="802" s="1"/>
  <c r="K106" i="802"/>
  <c r="K67" i="804"/>
  <c r="K80" i="804"/>
  <c r="K112" i="804"/>
  <c r="K38" i="806"/>
  <c r="K40" i="806"/>
  <c r="I94" i="806"/>
  <c r="J94" i="806" s="1"/>
  <c r="J109" i="811"/>
  <c r="J15" i="811" s="1"/>
  <c r="K38" i="812"/>
  <c r="K69" i="813"/>
  <c r="K81" i="813"/>
  <c r="K181" i="818"/>
  <c r="R197" i="818"/>
  <c r="K63" i="823"/>
  <c r="K74" i="823"/>
  <c r="K79" i="823"/>
  <c r="K89" i="823"/>
  <c r="K91" i="823"/>
  <c r="K96" i="823"/>
  <c r="K196" i="823"/>
  <c r="K259" i="823"/>
  <c r="K285" i="823"/>
  <c r="K299" i="823"/>
  <c r="K302" i="823"/>
  <c r="J81" i="822"/>
  <c r="H89" i="822"/>
  <c r="G91" i="822" s="1"/>
  <c r="H91" i="822" s="1"/>
  <c r="K208" i="831"/>
  <c r="K191" i="831"/>
  <c r="K201" i="831"/>
  <c r="H81" i="831"/>
  <c r="K81" i="831" s="1"/>
  <c r="K189" i="831"/>
  <c r="H80" i="831"/>
  <c r="K80" i="831" s="1"/>
  <c r="K187" i="831"/>
  <c r="J89" i="831"/>
  <c r="K89" i="831" s="1"/>
  <c r="E114" i="830"/>
  <c r="J114" i="830" s="1"/>
  <c r="H81" i="830"/>
  <c r="K81" i="830" s="1"/>
  <c r="E115" i="830"/>
  <c r="J115" i="830" s="1"/>
  <c r="E116" i="830"/>
  <c r="J116" i="830" s="1"/>
  <c r="J80" i="829"/>
  <c r="K56" i="829"/>
  <c r="H79" i="829"/>
  <c r="E116" i="829"/>
  <c r="J116" i="829" s="1"/>
  <c r="H81" i="829"/>
  <c r="K81" i="829" s="1"/>
  <c r="K201" i="829"/>
  <c r="H89" i="829"/>
  <c r="G91" i="829" s="1"/>
  <c r="H91" i="829" s="1"/>
  <c r="J89" i="829"/>
  <c r="H89" i="828"/>
  <c r="K89" i="828" s="1"/>
  <c r="H81" i="828"/>
  <c r="K81" i="828" s="1"/>
  <c r="J89" i="828"/>
  <c r="E114" i="828"/>
  <c r="J114" i="828" s="1"/>
  <c r="H79" i="828"/>
  <c r="K211" i="828"/>
  <c r="J80" i="828"/>
  <c r="K80" i="828" s="1"/>
  <c r="K217" i="828"/>
  <c r="H80" i="827"/>
  <c r="H44" i="827"/>
  <c r="K44" i="827" s="1"/>
  <c r="E45" i="827"/>
  <c r="J45" i="827" s="1"/>
  <c r="J79" i="827"/>
  <c r="H89" i="826"/>
  <c r="G93" i="826" s="1"/>
  <c r="I93" i="826" s="1"/>
  <c r="J93" i="826" s="1"/>
  <c r="J89" i="826"/>
  <c r="K192" i="826"/>
  <c r="E126" i="821"/>
  <c r="J126" i="821" s="1"/>
  <c r="J94" i="821"/>
  <c r="H103" i="821"/>
  <c r="G106" i="821" s="1"/>
  <c r="I106" i="821" s="1"/>
  <c r="J106" i="821" s="1"/>
  <c r="J95" i="821"/>
  <c r="K95" i="821" s="1"/>
  <c r="J74" i="821"/>
  <c r="J84" i="821" s="1"/>
  <c r="J14" i="821" s="1"/>
  <c r="E127" i="821"/>
  <c r="H127" i="821" s="1"/>
  <c r="H93" i="821"/>
  <c r="G97" i="821" s="1"/>
  <c r="I97" i="821" s="1"/>
  <c r="J97" i="821" s="1"/>
  <c r="E125" i="821"/>
  <c r="H125" i="821" s="1"/>
  <c r="J103" i="821"/>
  <c r="H79" i="825"/>
  <c r="J79" i="825"/>
  <c r="K79" i="825" s="1"/>
  <c r="H89" i="820"/>
  <c r="G93" i="820" s="1"/>
  <c r="I93" i="820" s="1"/>
  <c r="J93" i="820" s="1"/>
  <c r="J89" i="820"/>
  <c r="K186" i="820"/>
  <c r="H84" i="819"/>
  <c r="J84" i="819"/>
  <c r="K39" i="816"/>
  <c r="K119" i="816"/>
  <c r="H116" i="816"/>
  <c r="K116" i="816" s="1"/>
  <c r="K44" i="816"/>
  <c r="K223" i="816"/>
  <c r="K71" i="816"/>
  <c r="K77" i="816"/>
  <c r="K267" i="816"/>
  <c r="K67" i="816"/>
  <c r="K79" i="816"/>
  <c r="K85" i="816"/>
  <c r="H359" i="816"/>
  <c r="H25" i="816" s="1"/>
  <c r="K106" i="816"/>
  <c r="K265" i="816"/>
  <c r="K364" i="816"/>
  <c r="G87" i="784"/>
  <c r="K41" i="784"/>
  <c r="K51" i="784"/>
  <c r="K73" i="784"/>
  <c r="K84" i="784"/>
  <c r="K42" i="784"/>
  <c r="K55" i="784"/>
  <c r="K66" i="784"/>
  <c r="K149" i="784"/>
  <c r="K40" i="784"/>
  <c r="K151" i="784"/>
  <c r="G144" i="784"/>
  <c r="H144" i="784" s="1"/>
  <c r="K153" i="784"/>
  <c r="K97" i="784"/>
  <c r="K165" i="784"/>
  <c r="J109" i="784"/>
  <c r="K109" i="784" s="1"/>
  <c r="K130" i="784"/>
  <c r="K167" i="784"/>
  <c r="K123" i="784"/>
  <c r="K169" i="784"/>
  <c r="K141" i="784"/>
  <c r="J184" i="784"/>
  <c r="J18" i="784" s="1"/>
  <c r="J108" i="784"/>
  <c r="K108" i="784" s="1"/>
  <c r="K142" i="784"/>
  <c r="K85" i="784"/>
  <c r="K128" i="784"/>
  <c r="K65" i="784"/>
  <c r="K99" i="784"/>
  <c r="K118" i="784"/>
  <c r="K156" i="784"/>
  <c r="K166" i="784"/>
  <c r="K77" i="784"/>
  <c r="K132" i="784"/>
  <c r="G94" i="784"/>
  <c r="I94" i="784" s="1"/>
  <c r="J94" i="784" s="1"/>
  <c r="K49" i="784"/>
  <c r="K91" i="784"/>
  <c r="K61" i="784"/>
  <c r="J106" i="784"/>
  <c r="K164" i="784"/>
  <c r="H89" i="827"/>
  <c r="G93" i="827" s="1"/>
  <c r="I93" i="827" s="1"/>
  <c r="J93" i="827" s="1"/>
  <c r="J89" i="827"/>
  <c r="H70" i="822"/>
  <c r="H13" i="822" s="1"/>
  <c r="H50" i="817"/>
  <c r="K208" i="826"/>
  <c r="K200" i="829"/>
  <c r="E114" i="829"/>
  <c r="J114" i="829" s="1"/>
  <c r="H79" i="830"/>
  <c r="K79" i="830" s="1"/>
  <c r="E114" i="831"/>
  <c r="J114" i="831" s="1"/>
  <c r="K186" i="831"/>
  <c r="H80" i="822"/>
  <c r="G82" i="822" s="1"/>
  <c r="J80" i="822"/>
  <c r="H80" i="830"/>
  <c r="K80" i="830" s="1"/>
  <c r="H79" i="827"/>
  <c r="H79" i="826"/>
  <c r="G82" i="826" s="1"/>
  <c r="E114" i="826"/>
  <c r="J114" i="826" s="1"/>
  <c r="K66" i="821"/>
  <c r="H75" i="821"/>
  <c r="K75" i="821" s="1"/>
  <c r="K186" i="825"/>
  <c r="K194" i="825"/>
  <c r="J81" i="825"/>
  <c r="K81" i="825" s="1"/>
  <c r="K185" i="825"/>
  <c r="J80" i="825"/>
  <c r="K80" i="825" s="1"/>
  <c r="H191" i="825"/>
  <c r="K191" i="825" s="1"/>
  <c r="H81" i="820"/>
  <c r="J81" i="820"/>
  <c r="K55" i="820"/>
  <c r="J198" i="820"/>
  <c r="K198" i="820" s="1"/>
  <c r="K187" i="820"/>
  <c r="K189" i="820"/>
  <c r="K191" i="820"/>
  <c r="K193" i="820"/>
  <c r="J229" i="819"/>
  <c r="K229" i="819" s="1"/>
  <c r="K240" i="819"/>
  <c r="K218" i="819"/>
  <c r="K224" i="819"/>
  <c r="K227" i="819"/>
  <c r="K233" i="819"/>
  <c r="H83" i="819"/>
  <c r="K83" i="819" s="1"/>
  <c r="E103" i="819"/>
  <c r="H103" i="819" s="1"/>
  <c r="K219" i="819"/>
  <c r="K223" i="819"/>
  <c r="H230" i="819"/>
  <c r="K230" i="819" s="1"/>
  <c r="K57" i="819"/>
  <c r="J104" i="819"/>
  <c r="K104" i="819" s="1"/>
  <c r="K162" i="816"/>
  <c r="K317" i="816"/>
  <c r="K54" i="816"/>
  <c r="K74" i="816"/>
  <c r="K76" i="816"/>
  <c r="K78" i="816"/>
  <c r="K365" i="816"/>
  <c r="K62" i="816"/>
  <c r="K95" i="816"/>
  <c r="I366" i="816"/>
  <c r="J366" i="816" s="1"/>
  <c r="J384" i="816" s="1"/>
  <c r="J26" i="816" s="1"/>
  <c r="J241" i="816"/>
  <c r="K247" i="816"/>
  <c r="K363" i="816"/>
  <c r="K36" i="816"/>
  <c r="K51" i="816"/>
  <c r="K53" i="816"/>
  <c r="K219" i="816"/>
  <c r="K283" i="816"/>
  <c r="K329" i="816"/>
  <c r="K357" i="816"/>
  <c r="K170" i="816"/>
  <c r="J191" i="816"/>
  <c r="K191" i="816" s="1"/>
  <c r="H143" i="816"/>
  <c r="K143" i="816" s="1"/>
  <c r="K150" i="816"/>
  <c r="K86" i="816"/>
  <c r="K163" i="816"/>
  <c r="K172" i="816"/>
  <c r="H175" i="816"/>
  <c r="K175" i="816" s="1"/>
  <c r="K306" i="816"/>
  <c r="K263" i="816"/>
  <c r="K313" i="816"/>
  <c r="K315" i="816"/>
  <c r="K318" i="816"/>
  <c r="K334" i="816"/>
  <c r="K43" i="816"/>
  <c r="K63" i="816"/>
  <c r="K69" i="816"/>
  <c r="K83" i="816"/>
  <c r="K133" i="816"/>
  <c r="K164" i="816"/>
  <c r="J190" i="816"/>
  <c r="K205" i="816"/>
  <c r="K207" i="816"/>
  <c r="K215" i="816"/>
  <c r="K333" i="816"/>
  <c r="K337" i="816"/>
  <c r="J339" i="816"/>
  <c r="J342" i="816" s="1"/>
  <c r="J23" i="816" s="1"/>
  <c r="H147" i="817"/>
  <c r="H19" i="817" s="1"/>
  <c r="K66" i="817"/>
  <c r="K72" i="817"/>
  <c r="K81" i="817"/>
  <c r="K163" i="817"/>
  <c r="K183" i="818"/>
  <c r="K85" i="818"/>
  <c r="K104" i="818"/>
  <c r="H76" i="818"/>
  <c r="K76" i="818" s="1"/>
  <c r="H89" i="818"/>
  <c r="K89" i="818" s="1"/>
  <c r="K188" i="818"/>
  <c r="K191" i="818"/>
  <c r="K64" i="818"/>
  <c r="K168" i="818"/>
  <c r="K171" i="818"/>
  <c r="K187" i="818"/>
  <c r="H79" i="820"/>
  <c r="K79" i="820" s="1"/>
  <c r="E114" i="820"/>
  <c r="H114" i="820" s="1"/>
  <c r="H192" i="825"/>
  <c r="K192" i="825" s="1"/>
  <c r="K182" i="825"/>
  <c r="K55" i="825"/>
  <c r="K56" i="826"/>
  <c r="K192" i="827"/>
  <c r="K208" i="827"/>
  <c r="K186" i="828"/>
  <c r="K187" i="828"/>
  <c r="K189" i="828"/>
  <c r="K191" i="828"/>
  <c r="K233" i="828"/>
  <c r="K208" i="829"/>
  <c r="K186" i="829"/>
  <c r="K186" i="830"/>
  <c r="K208" i="830"/>
  <c r="K56" i="830"/>
  <c r="J70" i="822"/>
  <c r="J13" i="822" s="1"/>
  <c r="K65" i="822"/>
  <c r="E48" i="822"/>
  <c r="K56" i="831"/>
  <c r="K192" i="831"/>
  <c r="K200" i="831"/>
  <c r="E46" i="831"/>
  <c r="K190" i="830"/>
  <c r="K200" i="830"/>
  <c r="K187" i="830"/>
  <c r="K189" i="830"/>
  <c r="K191" i="830"/>
  <c r="E46" i="830"/>
  <c r="J197" i="829"/>
  <c r="K197" i="829" s="1"/>
  <c r="K192" i="829"/>
  <c r="E46" i="829"/>
  <c r="K225" i="828"/>
  <c r="K212" i="828"/>
  <c r="K214" i="828"/>
  <c r="K216" i="828"/>
  <c r="K226" i="828"/>
  <c r="K56" i="828"/>
  <c r="E46" i="828"/>
  <c r="J46" i="827"/>
  <c r="H46" i="827"/>
  <c r="H197" i="827"/>
  <c r="K197" i="827" s="1"/>
  <c r="K56" i="827"/>
  <c r="K186" i="827"/>
  <c r="H197" i="826"/>
  <c r="K197" i="826" s="1"/>
  <c r="K38" i="826"/>
  <c r="K186" i="826"/>
  <c r="E46" i="826"/>
  <c r="H174" i="822"/>
  <c r="K174" i="822" s="1"/>
  <c r="K64" i="822"/>
  <c r="K190" i="831"/>
  <c r="K41" i="831"/>
  <c r="J197" i="831"/>
  <c r="K197" i="831" s="1"/>
  <c r="K55" i="831"/>
  <c r="J197" i="830"/>
  <c r="K197" i="830" s="1"/>
  <c r="K192" i="830"/>
  <c r="K201" i="830"/>
  <c r="K55" i="830"/>
  <c r="K190" i="829"/>
  <c r="K187" i="829"/>
  <c r="K189" i="829"/>
  <c r="K191" i="829"/>
  <c r="K55" i="829"/>
  <c r="J222" i="828"/>
  <c r="K222" i="828" s="1"/>
  <c r="K207" i="828"/>
  <c r="K215" i="828"/>
  <c r="K55" i="828"/>
  <c r="K190" i="827"/>
  <c r="K187" i="827"/>
  <c r="K189" i="827"/>
  <c r="K191" i="827"/>
  <c r="K200" i="827"/>
  <c r="K55" i="827"/>
  <c r="K190" i="826"/>
  <c r="K187" i="826"/>
  <c r="K189" i="826"/>
  <c r="K191" i="826"/>
  <c r="K200" i="826"/>
  <c r="K55" i="826"/>
  <c r="K205" i="821"/>
  <c r="K200" i="821"/>
  <c r="J212" i="821"/>
  <c r="K212" i="821" s="1"/>
  <c r="K214" i="821"/>
  <c r="K221" i="821"/>
  <c r="K65" i="821"/>
  <c r="K180" i="825"/>
  <c r="K195" i="825"/>
  <c r="K54" i="825"/>
  <c r="K201" i="820"/>
  <c r="K208" i="820"/>
  <c r="K195" i="820"/>
  <c r="K200" i="820"/>
  <c r="K207" i="820"/>
  <c r="K54" i="820"/>
  <c r="K232" i="819"/>
  <c r="J197" i="822"/>
  <c r="K192" i="822"/>
  <c r="K200" i="822"/>
  <c r="K208" i="822"/>
  <c r="K195" i="831"/>
  <c r="J198" i="831"/>
  <c r="K198" i="831" s="1"/>
  <c r="H44" i="831"/>
  <c r="K44" i="831" s="1"/>
  <c r="K193" i="831"/>
  <c r="K188" i="831"/>
  <c r="K207" i="831"/>
  <c r="K195" i="830"/>
  <c r="J198" i="830"/>
  <c r="K198" i="830" s="1"/>
  <c r="K193" i="830"/>
  <c r="K207" i="830"/>
  <c r="K195" i="829"/>
  <c r="J198" i="829"/>
  <c r="K198" i="829" s="1"/>
  <c r="K193" i="829"/>
  <c r="K41" i="829"/>
  <c r="K207" i="829"/>
  <c r="K200" i="828"/>
  <c r="K220" i="828"/>
  <c r="J223" i="828"/>
  <c r="K223" i="828" s="1"/>
  <c r="H44" i="828"/>
  <c r="K44" i="828" s="1"/>
  <c r="K38" i="828"/>
  <c r="K40" i="828"/>
  <c r="K42" i="828"/>
  <c r="J197" i="828"/>
  <c r="K197" i="828" s="1"/>
  <c r="K201" i="828"/>
  <c r="K218" i="828"/>
  <c r="K192" i="828"/>
  <c r="K232" i="828"/>
  <c r="K195" i="827"/>
  <c r="K193" i="827"/>
  <c r="H198" i="827"/>
  <c r="K207" i="827"/>
  <c r="K38" i="827"/>
  <c r="K40" i="827"/>
  <c r="K42" i="827"/>
  <c r="J209" i="827"/>
  <c r="J19" i="827" s="1"/>
  <c r="K188" i="827"/>
  <c r="K201" i="827"/>
  <c r="K195" i="826"/>
  <c r="H44" i="826"/>
  <c r="K44" i="826" s="1"/>
  <c r="K193" i="826"/>
  <c r="H198" i="826"/>
  <c r="K207" i="826"/>
  <c r="K37" i="826"/>
  <c r="K39" i="826"/>
  <c r="K41" i="826"/>
  <c r="J209" i="826"/>
  <c r="J19" i="826" s="1"/>
  <c r="K188" i="826"/>
  <c r="K201" i="826"/>
  <c r="J211" i="821"/>
  <c r="K211" i="821" s="1"/>
  <c r="K204" i="821"/>
  <c r="K206" i="821"/>
  <c r="K201" i="821"/>
  <c r="K215" i="821"/>
  <c r="G222" i="821"/>
  <c r="H222" i="821" s="1"/>
  <c r="K222" i="821" s="1"/>
  <c r="K184" i="825"/>
  <c r="J45" i="825"/>
  <c r="K181" i="825"/>
  <c r="K183" i="825"/>
  <c r="K189" i="825"/>
  <c r="K201" i="825"/>
  <c r="J197" i="820"/>
  <c r="K197" i="820" s="1"/>
  <c r="K190" i="820"/>
  <c r="K192" i="820"/>
  <c r="K42" i="819"/>
  <c r="K44" i="819"/>
  <c r="K46" i="819"/>
  <c r="K220" i="819"/>
  <c r="K239" i="819"/>
  <c r="K209" i="821"/>
  <c r="K207" i="821"/>
  <c r="K203" i="821"/>
  <c r="K187" i="825"/>
  <c r="J203" i="825"/>
  <c r="J19" i="825" s="1"/>
  <c r="K186" i="822"/>
  <c r="K201" i="822"/>
  <c r="K190" i="822"/>
  <c r="K187" i="822"/>
  <c r="K189" i="822"/>
  <c r="K191" i="822"/>
  <c r="K195" i="822"/>
  <c r="J198" i="822"/>
  <c r="K198" i="822" s="1"/>
  <c r="K193" i="822"/>
  <c r="K207" i="822"/>
  <c r="G202" i="822"/>
  <c r="H202" i="822" s="1"/>
  <c r="K202" i="822" s="1"/>
  <c r="K188" i="822"/>
  <c r="H204" i="822"/>
  <c r="K41" i="822"/>
  <c r="K43" i="822"/>
  <c r="G202" i="831"/>
  <c r="H202" i="831" s="1"/>
  <c r="K202" i="831" s="1"/>
  <c r="H204" i="831"/>
  <c r="G202" i="830"/>
  <c r="H202" i="830" s="1"/>
  <c r="K202" i="830" s="1"/>
  <c r="K188" i="830"/>
  <c r="H204" i="830"/>
  <c r="H44" i="830"/>
  <c r="K44" i="830" s="1"/>
  <c r="K41" i="830"/>
  <c r="G202" i="829"/>
  <c r="H202" i="829" s="1"/>
  <c r="K202" i="829" s="1"/>
  <c r="K188" i="829"/>
  <c r="H204" i="829"/>
  <c r="G227" i="828"/>
  <c r="H227" i="828" s="1"/>
  <c r="K227" i="828" s="1"/>
  <c r="K213" i="828"/>
  <c r="K190" i="828"/>
  <c r="H229" i="828"/>
  <c r="K195" i="828"/>
  <c r="J198" i="828"/>
  <c r="K198" i="828" s="1"/>
  <c r="G208" i="828"/>
  <c r="H208" i="828" s="1"/>
  <c r="K208" i="828" s="1"/>
  <c r="K193" i="828"/>
  <c r="G202" i="828"/>
  <c r="H202" i="828" s="1"/>
  <c r="K202" i="828" s="1"/>
  <c r="K188" i="828"/>
  <c r="H204" i="828"/>
  <c r="H204" i="827"/>
  <c r="H204" i="826"/>
  <c r="G216" i="821"/>
  <c r="H216" i="821" s="1"/>
  <c r="K216" i="821" s="1"/>
  <c r="K202" i="821"/>
  <c r="H218" i="821"/>
  <c r="H198" i="825"/>
  <c r="E44" i="825"/>
  <c r="J44" i="825" s="1"/>
  <c r="J48" i="825" s="1"/>
  <c r="J12" i="825" s="1"/>
  <c r="G202" i="820"/>
  <c r="H202" i="820" s="1"/>
  <c r="K202" i="820" s="1"/>
  <c r="K188" i="820"/>
  <c r="H204" i="820"/>
  <c r="K225" i="819"/>
  <c r="K222" i="819"/>
  <c r="K221" i="819"/>
  <c r="H236" i="819"/>
  <c r="K41" i="819"/>
  <c r="K43" i="819"/>
  <c r="K45" i="819"/>
  <c r="K41" i="820"/>
  <c r="K37" i="825"/>
  <c r="K39" i="825"/>
  <c r="H45" i="825"/>
  <c r="J58" i="821"/>
  <c r="H58" i="821"/>
  <c r="E57" i="821"/>
  <c r="H57" i="821" s="1"/>
  <c r="K37" i="827"/>
  <c r="K39" i="827"/>
  <c r="K41" i="827"/>
  <c r="K37" i="828"/>
  <c r="K39" i="828"/>
  <c r="K41" i="828"/>
  <c r="K38" i="829"/>
  <c r="K40" i="829"/>
  <c r="K42" i="829"/>
  <c r="E45" i="829"/>
  <c r="J45" i="829" s="1"/>
  <c r="K38" i="831"/>
  <c r="H171" i="830"/>
  <c r="K38" i="830"/>
  <c r="K40" i="830"/>
  <c r="K42" i="830"/>
  <c r="K172" i="822"/>
  <c r="H46" i="822"/>
  <c r="J46" i="822"/>
  <c r="K53" i="821"/>
  <c r="K55" i="821"/>
  <c r="K38" i="825"/>
  <c r="K40" i="825"/>
  <c r="H45" i="820"/>
  <c r="J45" i="820"/>
  <c r="E44" i="820"/>
  <c r="H44" i="820" s="1"/>
  <c r="K40" i="822"/>
  <c r="K42" i="822"/>
  <c r="K44" i="822"/>
  <c r="J162" i="822"/>
  <c r="H162" i="822"/>
  <c r="K40" i="831"/>
  <c r="K42" i="831"/>
  <c r="K37" i="831"/>
  <c r="K39" i="831"/>
  <c r="K37" i="830"/>
  <c r="K39" i="830"/>
  <c r="J171" i="830"/>
  <c r="K37" i="829"/>
  <c r="K39" i="829"/>
  <c r="I65" i="829"/>
  <c r="J65" i="829" s="1"/>
  <c r="K65" i="829" s="1"/>
  <c r="J107" i="829"/>
  <c r="K107" i="829" s="1"/>
  <c r="K167" i="829"/>
  <c r="H171" i="829"/>
  <c r="K163" i="829"/>
  <c r="J171" i="829"/>
  <c r="K167" i="828"/>
  <c r="H171" i="828"/>
  <c r="K163" i="828"/>
  <c r="J171" i="828"/>
  <c r="J171" i="827"/>
  <c r="H171" i="827"/>
  <c r="K40" i="826"/>
  <c r="K42" i="826"/>
  <c r="K62" i="826"/>
  <c r="J101" i="826"/>
  <c r="E190" i="821"/>
  <c r="K52" i="821"/>
  <c r="K54" i="821"/>
  <c r="J187" i="821"/>
  <c r="K187" i="821" s="1"/>
  <c r="K41" i="825"/>
  <c r="E173" i="825"/>
  <c r="H170" i="825"/>
  <c r="K170" i="825" s="1"/>
  <c r="K38" i="820"/>
  <c r="K40" i="820"/>
  <c r="K42" i="820"/>
  <c r="K37" i="820"/>
  <c r="K39" i="820"/>
  <c r="K200" i="819"/>
  <c r="J203" i="819"/>
  <c r="G207" i="819"/>
  <c r="I207" i="819" s="1"/>
  <c r="J207" i="819" s="1"/>
  <c r="K199" i="819"/>
  <c r="J170" i="820"/>
  <c r="H170" i="820"/>
  <c r="K158" i="822"/>
  <c r="K159" i="822"/>
  <c r="K166" i="831"/>
  <c r="K166" i="828"/>
  <c r="K166" i="820"/>
  <c r="K162" i="820"/>
  <c r="K197" i="819"/>
  <c r="K195" i="819"/>
  <c r="K196" i="819"/>
  <c r="H165" i="822"/>
  <c r="J165" i="822"/>
  <c r="K157" i="822"/>
  <c r="K155" i="822"/>
  <c r="K156" i="822"/>
  <c r="K74" i="822"/>
  <c r="K76" i="822"/>
  <c r="K78" i="822"/>
  <c r="K173" i="822"/>
  <c r="H171" i="831"/>
  <c r="K171" i="831" s="1"/>
  <c r="E174" i="831"/>
  <c r="J174" i="830"/>
  <c r="H174" i="830"/>
  <c r="J107" i="830"/>
  <c r="K107" i="830" s="1"/>
  <c r="K163" i="830"/>
  <c r="K167" i="830"/>
  <c r="K76" i="830"/>
  <c r="J174" i="829"/>
  <c r="H174" i="829"/>
  <c r="K166" i="829"/>
  <c r="J174" i="828"/>
  <c r="H174" i="828"/>
  <c r="G175" i="828" s="1"/>
  <c r="I175" i="828" s="1"/>
  <c r="J175" i="828" s="1"/>
  <c r="J174" i="827"/>
  <c r="H174" i="827"/>
  <c r="H171" i="826"/>
  <c r="K171" i="826" s="1"/>
  <c r="E174" i="826"/>
  <c r="K63" i="826"/>
  <c r="K91" i="821"/>
  <c r="K179" i="821"/>
  <c r="J70" i="821"/>
  <c r="J13" i="821" s="1"/>
  <c r="K38" i="821"/>
  <c r="K40" i="821"/>
  <c r="K50" i="821"/>
  <c r="K64" i="821"/>
  <c r="K94" i="821"/>
  <c r="K176" i="821"/>
  <c r="K178" i="821"/>
  <c r="K182" i="821"/>
  <c r="K184" i="821"/>
  <c r="K165" i="825"/>
  <c r="K164" i="825"/>
  <c r="K166" i="825"/>
  <c r="J173" i="820"/>
  <c r="H173" i="820"/>
  <c r="K167" i="820"/>
  <c r="K163" i="820"/>
  <c r="K165" i="820"/>
  <c r="J206" i="819"/>
  <c r="K206" i="819" s="1"/>
  <c r="K174" i="819"/>
  <c r="K198" i="819"/>
  <c r="H203" i="819"/>
  <c r="J59" i="819"/>
  <c r="J13" i="819" s="1"/>
  <c r="K116" i="819"/>
  <c r="K131" i="819"/>
  <c r="K87" i="822"/>
  <c r="K153" i="822"/>
  <c r="K77" i="822"/>
  <c r="K81" i="822"/>
  <c r="J184" i="822"/>
  <c r="J18" i="822" s="1"/>
  <c r="H175" i="822"/>
  <c r="K175" i="822" s="1"/>
  <c r="K163" i="831"/>
  <c r="K167" i="831"/>
  <c r="K63" i="831"/>
  <c r="J103" i="831"/>
  <c r="J109" i="831"/>
  <c r="K109" i="831" s="1"/>
  <c r="K112" i="831"/>
  <c r="K173" i="831"/>
  <c r="H108" i="831"/>
  <c r="K108" i="831" s="1"/>
  <c r="K165" i="831"/>
  <c r="K164" i="831"/>
  <c r="K162" i="831"/>
  <c r="H59" i="831"/>
  <c r="H13" i="831" s="1"/>
  <c r="K79" i="831"/>
  <c r="G92" i="831"/>
  <c r="I92" i="831" s="1"/>
  <c r="J92" i="831" s="1"/>
  <c r="K62" i="831"/>
  <c r="K64" i="831"/>
  <c r="K76" i="831"/>
  <c r="K78" i="831"/>
  <c r="K168" i="831"/>
  <c r="H65" i="831"/>
  <c r="K65" i="831" s="1"/>
  <c r="K88" i="831"/>
  <c r="K170" i="831"/>
  <c r="J70" i="831"/>
  <c r="J14" i="831" s="1"/>
  <c r="G91" i="831"/>
  <c r="I91" i="831" s="1"/>
  <c r="J91" i="831" s="1"/>
  <c r="K87" i="831"/>
  <c r="G93" i="831"/>
  <c r="I93" i="831" s="1"/>
  <c r="J93" i="831" s="1"/>
  <c r="J101" i="831"/>
  <c r="J107" i="831"/>
  <c r="K107" i="831" s="1"/>
  <c r="K111" i="831"/>
  <c r="K54" i="831"/>
  <c r="K75" i="831"/>
  <c r="K77" i="831"/>
  <c r="K86" i="831"/>
  <c r="K90" i="831"/>
  <c r="J102" i="831"/>
  <c r="K102" i="831" s="1"/>
  <c r="J106" i="831"/>
  <c r="K106" i="831" s="1"/>
  <c r="K88" i="830"/>
  <c r="K166" i="830"/>
  <c r="K170" i="830"/>
  <c r="K62" i="830"/>
  <c r="K165" i="830"/>
  <c r="J102" i="830"/>
  <c r="K164" i="830"/>
  <c r="H65" i="830"/>
  <c r="H70" i="830" s="1"/>
  <c r="H14" i="830" s="1"/>
  <c r="G91" i="830"/>
  <c r="H91" i="830" s="1"/>
  <c r="K87" i="830"/>
  <c r="K111" i="830"/>
  <c r="K162" i="830"/>
  <c r="K64" i="830"/>
  <c r="J103" i="830"/>
  <c r="J106" i="830"/>
  <c r="K106" i="830" s="1"/>
  <c r="K112" i="830"/>
  <c r="K77" i="830"/>
  <c r="J101" i="830"/>
  <c r="K101" i="830" s="1"/>
  <c r="K54" i="830"/>
  <c r="K75" i="830"/>
  <c r="K86" i="830"/>
  <c r="K90" i="830"/>
  <c r="H109" i="830"/>
  <c r="K109" i="830" s="1"/>
  <c r="G93" i="830"/>
  <c r="I93" i="830" s="1"/>
  <c r="J93" i="830" s="1"/>
  <c r="H59" i="830"/>
  <c r="H13" i="830" s="1"/>
  <c r="K63" i="830"/>
  <c r="K89" i="830"/>
  <c r="H102" i="830"/>
  <c r="H108" i="830"/>
  <c r="K108" i="830" s="1"/>
  <c r="K168" i="830"/>
  <c r="K173" i="830"/>
  <c r="K78" i="830"/>
  <c r="G92" i="830"/>
  <c r="I92" i="830" s="1"/>
  <c r="J92" i="830" s="1"/>
  <c r="K165" i="829"/>
  <c r="K164" i="829"/>
  <c r="J109" i="829"/>
  <c r="K109" i="829" s="1"/>
  <c r="K162" i="829"/>
  <c r="K168" i="829"/>
  <c r="K62" i="829"/>
  <c r="K64" i="829"/>
  <c r="K78" i="829"/>
  <c r="K80" i="829"/>
  <c r="J103" i="829"/>
  <c r="K79" i="829"/>
  <c r="K88" i="829"/>
  <c r="K170" i="829"/>
  <c r="J106" i="829"/>
  <c r="K106" i="829" s="1"/>
  <c r="K111" i="829"/>
  <c r="K76" i="829"/>
  <c r="J101" i="829"/>
  <c r="K101" i="829" s="1"/>
  <c r="K112" i="829"/>
  <c r="K87" i="829"/>
  <c r="H108" i="829"/>
  <c r="K108" i="829" s="1"/>
  <c r="K54" i="829"/>
  <c r="K77" i="829"/>
  <c r="K86" i="829"/>
  <c r="K90" i="829"/>
  <c r="K173" i="829"/>
  <c r="H59" i="829"/>
  <c r="H13" i="829" s="1"/>
  <c r="K63" i="829"/>
  <c r="J102" i="829"/>
  <c r="K77" i="828"/>
  <c r="K165" i="828"/>
  <c r="K164" i="828"/>
  <c r="K162" i="828"/>
  <c r="G92" i="828"/>
  <c r="I92" i="828" s="1"/>
  <c r="J92" i="828" s="1"/>
  <c r="K62" i="828"/>
  <c r="K54" i="828"/>
  <c r="H109" i="828"/>
  <c r="K109" i="828" s="1"/>
  <c r="H59" i="828"/>
  <c r="H13" i="828" s="1"/>
  <c r="K170" i="828"/>
  <c r="K168" i="828"/>
  <c r="K63" i="828"/>
  <c r="K86" i="828"/>
  <c r="K90" i="828"/>
  <c r="J106" i="828"/>
  <c r="K106" i="828" s="1"/>
  <c r="K75" i="828"/>
  <c r="J102" i="828"/>
  <c r="K112" i="828"/>
  <c r="K76" i="828"/>
  <c r="H102" i="828"/>
  <c r="H108" i="828"/>
  <c r="K108" i="828" s="1"/>
  <c r="H65" i="828"/>
  <c r="K65" i="828" s="1"/>
  <c r="K78" i="828"/>
  <c r="K88" i="828"/>
  <c r="J70" i="828"/>
  <c r="J14" i="828" s="1"/>
  <c r="K64" i="828"/>
  <c r="G91" i="828"/>
  <c r="I91" i="828" s="1"/>
  <c r="J91" i="828" s="1"/>
  <c r="K87" i="828"/>
  <c r="G93" i="828"/>
  <c r="I93" i="828" s="1"/>
  <c r="J93" i="828" s="1"/>
  <c r="J101" i="828"/>
  <c r="K101" i="828" s="1"/>
  <c r="J103" i="828"/>
  <c r="J107" i="828"/>
  <c r="K107" i="828" s="1"/>
  <c r="K111" i="828"/>
  <c r="K173" i="828"/>
  <c r="K166" i="827"/>
  <c r="H59" i="827"/>
  <c r="H13" i="827" s="1"/>
  <c r="K163" i="827"/>
  <c r="K167" i="827"/>
  <c r="K62" i="827"/>
  <c r="K76" i="827"/>
  <c r="K78" i="827"/>
  <c r="K80" i="827"/>
  <c r="K75" i="827"/>
  <c r="K165" i="827"/>
  <c r="J103" i="827"/>
  <c r="K168" i="827"/>
  <c r="K164" i="827"/>
  <c r="J109" i="827"/>
  <c r="K109" i="827" s="1"/>
  <c r="K112" i="827"/>
  <c r="K162" i="827"/>
  <c r="K86" i="827"/>
  <c r="K90" i="827"/>
  <c r="H108" i="827"/>
  <c r="K108" i="827" s="1"/>
  <c r="K173" i="827"/>
  <c r="K63" i="827"/>
  <c r="K81" i="827"/>
  <c r="H65" i="827"/>
  <c r="K65" i="827" s="1"/>
  <c r="K88" i="827"/>
  <c r="K170" i="827"/>
  <c r="J70" i="827"/>
  <c r="J14" i="827" s="1"/>
  <c r="K64" i="827"/>
  <c r="K87" i="827"/>
  <c r="J101" i="827"/>
  <c r="K101" i="827" s="1"/>
  <c r="J107" i="827"/>
  <c r="K107" i="827" s="1"/>
  <c r="K111" i="827"/>
  <c r="K54" i="827"/>
  <c r="K77" i="827"/>
  <c r="J102" i="827"/>
  <c r="K102" i="827" s="1"/>
  <c r="J106" i="827"/>
  <c r="K106" i="827" s="1"/>
  <c r="K166" i="826"/>
  <c r="K111" i="826"/>
  <c r="K163" i="826"/>
  <c r="K167" i="826"/>
  <c r="H59" i="826"/>
  <c r="H13" i="826" s="1"/>
  <c r="K112" i="826"/>
  <c r="K162" i="825"/>
  <c r="K163" i="825"/>
  <c r="J100" i="826"/>
  <c r="K100" i="826" s="1"/>
  <c r="K165" i="826"/>
  <c r="K54" i="826"/>
  <c r="K80" i="826"/>
  <c r="K162" i="826"/>
  <c r="K164" i="826"/>
  <c r="K86" i="826"/>
  <c r="K90" i="826"/>
  <c r="J106" i="826"/>
  <c r="K106" i="826" s="1"/>
  <c r="K170" i="826"/>
  <c r="K75" i="826"/>
  <c r="K81" i="826"/>
  <c r="K76" i="826"/>
  <c r="K78" i="826"/>
  <c r="G92" i="826"/>
  <c r="I92" i="826" s="1"/>
  <c r="J92" i="826" s="1"/>
  <c r="J105" i="826"/>
  <c r="K105" i="826" s="1"/>
  <c r="J70" i="826"/>
  <c r="J14" i="826" s="1"/>
  <c r="H65" i="826"/>
  <c r="K65" i="826" s="1"/>
  <c r="K88" i="826"/>
  <c r="J99" i="826"/>
  <c r="K99" i="826" s="1"/>
  <c r="H107" i="826"/>
  <c r="K107" i="826" s="1"/>
  <c r="K64" i="826"/>
  <c r="K87" i="826"/>
  <c r="J104" i="826"/>
  <c r="K104" i="826" s="1"/>
  <c r="K168" i="826"/>
  <c r="K173" i="826"/>
  <c r="K77" i="826"/>
  <c r="K104" i="821"/>
  <c r="K37" i="821"/>
  <c r="K173" i="821"/>
  <c r="K181" i="821"/>
  <c r="K183" i="821"/>
  <c r="K42" i="821"/>
  <c r="K44" i="821"/>
  <c r="K46" i="821"/>
  <c r="K73" i="821"/>
  <c r="K92" i="821"/>
  <c r="K122" i="821"/>
  <c r="H124" i="821"/>
  <c r="K124" i="821" s="1"/>
  <c r="H126" i="821"/>
  <c r="K126" i="821" s="1"/>
  <c r="K177" i="821"/>
  <c r="K45" i="821"/>
  <c r="K47" i="821"/>
  <c r="K49" i="821"/>
  <c r="K164" i="820"/>
  <c r="J104" i="820"/>
  <c r="K104" i="820" s="1"/>
  <c r="K86" i="820"/>
  <c r="H109" i="822"/>
  <c r="K109" i="822" s="1"/>
  <c r="K90" i="822"/>
  <c r="J98" i="822"/>
  <c r="K161" i="822"/>
  <c r="J59" i="831"/>
  <c r="J13" i="831" s="1"/>
  <c r="H45" i="831"/>
  <c r="H103" i="831"/>
  <c r="K53" i="831"/>
  <c r="K74" i="831"/>
  <c r="H104" i="831"/>
  <c r="K104" i="831" s="1"/>
  <c r="H113" i="831"/>
  <c r="K113" i="831" s="1"/>
  <c r="H115" i="831"/>
  <c r="K115" i="831" s="1"/>
  <c r="H116" i="831"/>
  <c r="K116" i="831" s="1"/>
  <c r="J70" i="830"/>
  <c r="J14" i="830" s="1"/>
  <c r="J59" i="830"/>
  <c r="J13" i="830" s="1"/>
  <c r="H45" i="830"/>
  <c r="H103" i="830"/>
  <c r="K53" i="830"/>
  <c r="K74" i="830"/>
  <c r="H104" i="830"/>
  <c r="K104" i="830" s="1"/>
  <c r="H113" i="830"/>
  <c r="K113" i="830" s="1"/>
  <c r="H114" i="830"/>
  <c r="K114" i="830" s="1"/>
  <c r="J59" i="829"/>
  <c r="J13" i="829" s="1"/>
  <c r="H70" i="829"/>
  <c r="H14" i="829" s="1"/>
  <c r="K75" i="829"/>
  <c r="H103" i="829"/>
  <c r="K53" i="829"/>
  <c r="K74" i="829"/>
  <c r="H104" i="829"/>
  <c r="K104" i="829" s="1"/>
  <c r="H113" i="829"/>
  <c r="K113" i="829" s="1"/>
  <c r="H115" i="829"/>
  <c r="K115" i="829" s="1"/>
  <c r="J59" i="828"/>
  <c r="J13" i="828" s="1"/>
  <c r="H45" i="828"/>
  <c r="H103" i="828"/>
  <c r="K53" i="828"/>
  <c r="K74" i="828"/>
  <c r="H104" i="828"/>
  <c r="K104" i="828" s="1"/>
  <c r="H113" i="828"/>
  <c r="K113" i="828" s="1"/>
  <c r="H115" i="828"/>
  <c r="K115" i="828" s="1"/>
  <c r="H116" i="828"/>
  <c r="K116" i="828" s="1"/>
  <c r="J59" i="827"/>
  <c r="J13" i="827" s="1"/>
  <c r="H103" i="827"/>
  <c r="K53" i="827"/>
  <c r="K74" i="827"/>
  <c r="H104" i="827"/>
  <c r="K104" i="827" s="1"/>
  <c r="H113" i="827"/>
  <c r="K113" i="827" s="1"/>
  <c r="H114" i="827"/>
  <c r="K114" i="827" s="1"/>
  <c r="H115" i="827"/>
  <c r="K115" i="827" s="1"/>
  <c r="H116" i="827"/>
  <c r="K116" i="827" s="1"/>
  <c r="J59" i="826"/>
  <c r="J13" i="826" s="1"/>
  <c r="H45" i="826"/>
  <c r="H101" i="826"/>
  <c r="K53" i="826"/>
  <c r="K74" i="826"/>
  <c r="H102" i="826"/>
  <c r="K102" i="826" s="1"/>
  <c r="H113" i="826"/>
  <c r="K113" i="826" s="1"/>
  <c r="H115" i="826"/>
  <c r="K115" i="826" s="1"/>
  <c r="H116" i="826"/>
  <c r="K116" i="826" s="1"/>
  <c r="H56" i="821"/>
  <c r="K56" i="821" s="1"/>
  <c r="J120" i="821"/>
  <c r="K120" i="821" s="1"/>
  <c r="K39" i="821"/>
  <c r="K90" i="821"/>
  <c r="J113" i="821"/>
  <c r="K113" i="821" s="1"/>
  <c r="K41" i="821"/>
  <c r="K43" i="821"/>
  <c r="K89" i="821"/>
  <c r="K100" i="821"/>
  <c r="K175" i="821"/>
  <c r="K186" i="821"/>
  <c r="J103" i="825"/>
  <c r="J102" i="825"/>
  <c r="K102" i="825" s="1"/>
  <c r="J106" i="825"/>
  <c r="K169" i="825"/>
  <c r="G91" i="825"/>
  <c r="H91" i="825" s="1"/>
  <c r="K87" i="825"/>
  <c r="K111" i="825"/>
  <c r="K63" i="825"/>
  <c r="K75" i="825"/>
  <c r="K53" i="825"/>
  <c r="K86" i="825"/>
  <c r="K90" i="825"/>
  <c r="H59" i="825"/>
  <c r="H13" i="825" s="1"/>
  <c r="K89" i="825"/>
  <c r="J59" i="825"/>
  <c r="J13" i="825" s="1"/>
  <c r="K88" i="825"/>
  <c r="J107" i="825"/>
  <c r="K107" i="825" s="1"/>
  <c r="G82" i="825"/>
  <c r="I82" i="825" s="1"/>
  <c r="J82" i="825" s="1"/>
  <c r="J101" i="825"/>
  <c r="K101" i="825" s="1"/>
  <c r="H108" i="825"/>
  <c r="K108" i="825" s="1"/>
  <c r="K172" i="825"/>
  <c r="K64" i="825"/>
  <c r="K76" i="825"/>
  <c r="G93" i="825"/>
  <c r="I93" i="825" s="1"/>
  <c r="J93" i="825" s="1"/>
  <c r="J70" i="825"/>
  <c r="J14" i="825" s="1"/>
  <c r="H65" i="825"/>
  <c r="K65" i="825" s="1"/>
  <c r="K62" i="825"/>
  <c r="K78" i="825"/>
  <c r="G92" i="825"/>
  <c r="H103" i="825"/>
  <c r="H109" i="825"/>
  <c r="K109" i="825" s="1"/>
  <c r="K77" i="825"/>
  <c r="K112" i="825"/>
  <c r="K167" i="825"/>
  <c r="G83" i="825"/>
  <c r="H43" i="825"/>
  <c r="K43" i="825" s="1"/>
  <c r="K52" i="825"/>
  <c r="K74" i="825"/>
  <c r="G84" i="825"/>
  <c r="H104" i="825"/>
  <c r="K104" i="825" s="1"/>
  <c r="H106" i="825"/>
  <c r="H113" i="825"/>
  <c r="K113" i="825" s="1"/>
  <c r="H114" i="825"/>
  <c r="K114" i="825" s="1"/>
  <c r="H115" i="825"/>
  <c r="K115" i="825" s="1"/>
  <c r="H116" i="825"/>
  <c r="K116" i="825" s="1"/>
  <c r="K75" i="820"/>
  <c r="K74" i="820"/>
  <c r="K76" i="820"/>
  <c r="K78" i="820"/>
  <c r="K80" i="820"/>
  <c r="H65" i="820"/>
  <c r="H70" i="820" s="1"/>
  <c r="H14" i="820" s="1"/>
  <c r="K77" i="820"/>
  <c r="J59" i="820"/>
  <c r="J13" i="820" s="1"/>
  <c r="K62" i="820"/>
  <c r="K64" i="820"/>
  <c r="H109" i="820"/>
  <c r="K109" i="820" s="1"/>
  <c r="K139" i="820"/>
  <c r="K145" i="820"/>
  <c r="K169" i="820"/>
  <c r="K126" i="820"/>
  <c r="H59" i="820"/>
  <c r="H13" i="820" s="1"/>
  <c r="J106" i="820"/>
  <c r="K106" i="820" s="1"/>
  <c r="K63" i="819"/>
  <c r="K125" i="819"/>
  <c r="K64" i="819"/>
  <c r="K73" i="819"/>
  <c r="K188" i="819"/>
  <c r="K195" i="818"/>
  <c r="K38" i="818"/>
  <c r="K44" i="818"/>
  <c r="H51" i="818"/>
  <c r="K51" i="818" s="1"/>
  <c r="H71" i="818"/>
  <c r="H73" i="818"/>
  <c r="K73" i="818" s="1"/>
  <c r="K87" i="818"/>
  <c r="K88" i="818"/>
  <c r="K105" i="818"/>
  <c r="K109" i="818"/>
  <c r="H122" i="818"/>
  <c r="K125" i="818"/>
  <c r="J152" i="818"/>
  <c r="K152" i="818" s="1"/>
  <c r="K163" i="818"/>
  <c r="K165" i="818"/>
  <c r="K167" i="818"/>
  <c r="K169" i="818"/>
  <c r="K172" i="818"/>
  <c r="K189" i="818"/>
  <c r="K193" i="818"/>
  <c r="K84" i="818"/>
  <c r="J119" i="818"/>
  <c r="K119" i="818" s="1"/>
  <c r="K126" i="818"/>
  <c r="J151" i="818"/>
  <c r="K151" i="818" s="1"/>
  <c r="R190" i="818"/>
  <c r="H46" i="817"/>
  <c r="H12" i="817" s="1"/>
  <c r="H64" i="817"/>
  <c r="K64" i="817" s="1"/>
  <c r="K77" i="817"/>
  <c r="K79" i="817"/>
  <c r="K114" i="817"/>
  <c r="K119" i="817"/>
  <c r="K121" i="817"/>
  <c r="K152" i="817"/>
  <c r="K162" i="817"/>
  <c r="K39" i="817"/>
  <c r="J50" i="817"/>
  <c r="K50" i="817" s="1"/>
  <c r="K74" i="817"/>
  <c r="K104" i="817"/>
  <c r="K113" i="817"/>
  <c r="K115" i="817"/>
  <c r="J129" i="817"/>
  <c r="G110" i="818"/>
  <c r="H110" i="818" s="1"/>
  <c r="G114" i="784"/>
  <c r="I114" i="784" s="1"/>
  <c r="J114" i="784" s="1"/>
  <c r="G113" i="784"/>
  <c r="I113" i="784" s="1"/>
  <c r="J113" i="784" s="1"/>
  <c r="K111" i="784"/>
  <c r="G112" i="784"/>
  <c r="H112" i="784" s="1"/>
  <c r="I40" i="798"/>
  <c r="J40" i="798" s="1"/>
  <c r="H40" i="798"/>
  <c r="K163" i="784"/>
  <c r="H71" i="785"/>
  <c r="I71" i="785"/>
  <c r="J71" i="785" s="1"/>
  <c r="H89" i="786"/>
  <c r="I89" i="786"/>
  <c r="J89" i="786" s="1"/>
  <c r="K48" i="770"/>
  <c r="K37" i="771"/>
  <c r="G41" i="775"/>
  <c r="I41" i="775" s="1"/>
  <c r="J41" i="775" s="1"/>
  <c r="J57" i="775" s="1"/>
  <c r="J13" i="775" s="1"/>
  <c r="J34" i="775" s="1"/>
  <c r="J20" i="767" s="1"/>
  <c r="G41" i="778"/>
  <c r="K48" i="784"/>
  <c r="K92" i="784"/>
  <c r="G143" i="784"/>
  <c r="H143" i="784" s="1"/>
  <c r="K155" i="784"/>
  <c r="K54" i="791"/>
  <c r="K52" i="794"/>
  <c r="K70" i="794"/>
  <c r="K79" i="794"/>
  <c r="G74" i="797"/>
  <c r="H74" i="797" s="1"/>
  <c r="G51" i="798"/>
  <c r="I51" i="798" s="1"/>
  <c r="J51" i="798" s="1"/>
  <c r="K71" i="798"/>
  <c r="J91" i="800"/>
  <c r="J13" i="800" s="1"/>
  <c r="K13" i="801"/>
  <c r="J104" i="802"/>
  <c r="J15" i="802" s="1"/>
  <c r="J123" i="802"/>
  <c r="J16" i="802" s="1"/>
  <c r="K16" i="802" s="1"/>
  <c r="K17" i="802"/>
  <c r="K40" i="803"/>
  <c r="K45" i="803"/>
  <c r="G56" i="803"/>
  <c r="H56" i="803" s="1"/>
  <c r="K79" i="803"/>
  <c r="K87" i="803"/>
  <c r="K121" i="803"/>
  <c r="K41" i="804"/>
  <c r="K43" i="804"/>
  <c r="K66" i="804"/>
  <c r="K39" i="768"/>
  <c r="K42" i="768"/>
  <c r="K52" i="768"/>
  <c r="K36" i="771"/>
  <c r="K36" i="774"/>
  <c r="G41" i="779"/>
  <c r="I41" i="779" s="1"/>
  <c r="J41" i="779" s="1"/>
  <c r="J57" i="779" s="1"/>
  <c r="J13" i="779" s="1"/>
  <c r="J34" i="779" s="1"/>
  <c r="J24" i="767" s="1"/>
  <c r="G47" i="780"/>
  <c r="G95" i="784"/>
  <c r="I95" i="784" s="1"/>
  <c r="J95" i="784" s="1"/>
  <c r="K125" i="784"/>
  <c r="K69" i="785"/>
  <c r="G72" i="785"/>
  <c r="I72" i="785" s="1"/>
  <c r="J72" i="785" s="1"/>
  <c r="K38" i="786"/>
  <c r="K47" i="786"/>
  <c r="K61" i="797"/>
  <c r="K77" i="797"/>
  <c r="K81" i="797"/>
  <c r="K39" i="798"/>
  <c r="K96" i="798"/>
  <c r="K47" i="800"/>
  <c r="K71" i="800"/>
  <c r="K82" i="800"/>
  <c r="K17" i="801"/>
  <c r="K42" i="801"/>
  <c r="H84" i="801"/>
  <c r="H14" i="801" s="1"/>
  <c r="K44" i="802"/>
  <c r="K123" i="802"/>
  <c r="K94" i="803"/>
  <c r="K47" i="804"/>
  <c r="H76" i="804"/>
  <c r="H13" i="804" s="1"/>
  <c r="K78" i="804"/>
  <c r="K87" i="804"/>
  <c r="H55" i="814"/>
  <c r="I55" i="814"/>
  <c r="J55" i="814" s="1"/>
  <c r="K55" i="814" s="1"/>
  <c r="K36" i="773"/>
  <c r="K40" i="776"/>
  <c r="G41" i="781"/>
  <c r="K62" i="784"/>
  <c r="K183" i="784"/>
  <c r="K184" i="784" s="1"/>
  <c r="K71" i="786"/>
  <c r="K90" i="788"/>
  <c r="K54" i="790"/>
  <c r="K55" i="792"/>
  <c r="K41" i="793"/>
  <c r="K42" i="794"/>
  <c r="K48" i="796"/>
  <c r="K99" i="796"/>
  <c r="K49" i="798"/>
  <c r="H52" i="798"/>
  <c r="K52" i="798" s="1"/>
  <c r="K70" i="798"/>
  <c r="K79" i="798"/>
  <c r="K42" i="800"/>
  <c r="K46" i="800"/>
  <c r="K55" i="800"/>
  <c r="G48" i="801"/>
  <c r="K62" i="801"/>
  <c r="K71" i="801"/>
  <c r="H104" i="802"/>
  <c r="H15" i="802" s="1"/>
  <c r="K15" i="802" s="1"/>
  <c r="K18" i="803"/>
  <c r="K53" i="803"/>
  <c r="K101" i="803"/>
  <c r="K39" i="770"/>
  <c r="K36" i="772"/>
  <c r="K37" i="777"/>
  <c r="I47" i="777"/>
  <c r="J47" i="777" s="1"/>
  <c r="K47" i="777" s="1"/>
  <c r="K86" i="784"/>
  <c r="K101" i="784"/>
  <c r="J107" i="784"/>
  <c r="K107" i="784" s="1"/>
  <c r="K117" i="784"/>
  <c r="G145" i="784"/>
  <c r="H145" i="784" s="1"/>
  <c r="K176" i="784"/>
  <c r="K54" i="785"/>
  <c r="K61" i="785"/>
  <c r="K57" i="787"/>
  <c r="K49" i="788"/>
  <c r="K72" i="788"/>
  <c r="G73" i="789"/>
  <c r="I73" i="789" s="1"/>
  <c r="J73" i="789" s="1"/>
  <c r="K54" i="797"/>
  <c r="K57" i="797"/>
  <c r="K79" i="797"/>
  <c r="G50" i="798"/>
  <c r="I50" i="798" s="1"/>
  <c r="J50" i="798" s="1"/>
  <c r="H66" i="798"/>
  <c r="H14" i="798" s="1"/>
  <c r="K14" i="798" s="1"/>
  <c r="K47" i="801"/>
  <c r="J84" i="801"/>
  <c r="J14" i="801" s="1"/>
  <c r="K94" i="801"/>
  <c r="K41" i="802"/>
  <c r="K45" i="802"/>
  <c r="K78" i="802"/>
  <c r="K80" i="803"/>
  <c r="K111" i="804"/>
  <c r="K118" i="804" s="1"/>
  <c r="G57" i="805"/>
  <c r="K119" i="805"/>
  <c r="K134" i="805" s="1"/>
  <c r="K39" i="806"/>
  <c r="K43" i="806"/>
  <c r="K47" i="806"/>
  <c r="K40" i="807"/>
  <c r="K44" i="807"/>
  <c r="K46" i="807"/>
  <c r="G55" i="807"/>
  <c r="K66" i="807"/>
  <c r="K81" i="807"/>
  <c r="K84" i="807" s="1"/>
  <c r="K112" i="807"/>
  <c r="K38" i="808"/>
  <c r="K43" i="808"/>
  <c r="K45" i="808"/>
  <c r="K78" i="808"/>
  <c r="I94" i="808"/>
  <c r="J94" i="808" s="1"/>
  <c r="K40" i="809"/>
  <c r="K47" i="809"/>
  <c r="J134" i="809"/>
  <c r="J17" i="809" s="1"/>
  <c r="K17" i="809" s="1"/>
  <c r="K80" i="810"/>
  <c r="H94" i="810"/>
  <c r="K112" i="810"/>
  <c r="K118" i="810" s="1"/>
  <c r="K43" i="811"/>
  <c r="K47" i="811"/>
  <c r="G55" i="811"/>
  <c r="K81" i="811"/>
  <c r="K43" i="812"/>
  <c r="G48" i="812"/>
  <c r="H48" i="812" s="1"/>
  <c r="G57" i="812"/>
  <c r="I57" i="812" s="1"/>
  <c r="J57" i="812" s="1"/>
  <c r="K17" i="812"/>
  <c r="K17" i="814"/>
  <c r="K56" i="816"/>
  <c r="K60" i="816"/>
  <c r="K81" i="816"/>
  <c r="H108" i="816"/>
  <c r="K108" i="816" s="1"/>
  <c r="H140" i="816"/>
  <c r="K140" i="816" s="1"/>
  <c r="K222" i="816"/>
  <c r="K38" i="817"/>
  <c r="J46" i="817"/>
  <c r="J12" i="817" s="1"/>
  <c r="K53" i="805"/>
  <c r="K78" i="805"/>
  <c r="K81" i="805"/>
  <c r="J118" i="806"/>
  <c r="J17" i="806" s="1"/>
  <c r="K94" i="807"/>
  <c r="J109" i="807"/>
  <c r="J15" i="807" s="1"/>
  <c r="G49" i="808"/>
  <c r="H49" i="808" s="1"/>
  <c r="K81" i="808"/>
  <c r="H84" i="809"/>
  <c r="H14" i="809" s="1"/>
  <c r="K14" i="809" s="1"/>
  <c r="K42" i="810"/>
  <c r="K44" i="810"/>
  <c r="K46" i="810"/>
  <c r="G56" i="811"/>
  <c r="H56" i="811" s="1"/>
  <c r="K53" i="813"/>
  <c r="H76" i="813"/>
  <c r="H13" i="813" s="1"/>
  <c r="K101" i="813"/>
  <c r="K67" i="814"/>
  <c r="J37" i="816"/>
  <c r="J48" i="816" s="1"/>
  <c r="J12" i="816" s="1"/>
  <c r="K61" i="816"/>
  <c r="K68" i="816"/>
  <c r="K87" i="816"/>
  <c r="K134" i="816"/>
  <c r="H139" i="816"/>
  <c r="K139" i="816" s="1"/>
  <c r="J171" i="816"/>
  <c r="K171" i="816" s="1"/>
  <c r="J177" i="816"/>
  <c r="K177" i="816" s="1"/>
  <c r="K221" i="816"/>
  <c r="K81" i="818"/>
  <c r="K43" i="805"/>
  <c r="K47" i="805"/>
  <c r="G55" i="805"/>
  <c r="H55" i="805" s="1"/>
  <c r="J76" i="805"/>
  <c r="J13" i="805" s="1"/>
  <c r="K64" i="805"/>
  <c r="K87" i="805"/>
  <c r="H94" i="805"/>
  <c r="K94" i="805" s="1"/>
  <c r="K102" i="805"/>
  <c r="K42" i="806"/>
  <c r="K44" i="806"/>
  <c r="K46" i="806"/>
  <c r="G57" i="806"/>
  <c r="I57" i="806" s="1"/>
  <c r="J57" i="806" s="1"/>
  <c r="K55" i="806"/>
  <c r="H84" i="806"/>
  <c r="H15" i="806" s="1"/>
  <c r="K15" i="806" s="1"/>
  <c r="K112" i="806"/>
  <c r="K39" i="807"/>
  <c r="K41" i="807"/>
  <c r="K43" i="807"/>
  <c r="K45" i="807"/>
  <c r="K47" i="807"/>
  <c r="J76" i="807"/>
  <c r="J13" i="807" s="1"/>
  <c r="K78" i="807"/>
  <c r="H84" i="807"/>
  <c r="H14" i="807" s="1"/>
  <c r="K14" i="807" s="1"/>
  <c r="K39" i="808"/>
  <c r="K41" i="808"/>
  <c r="G48" i="809"/>
  <c r="K46" i="809"/>
  <c r="K78" i="809"/>
  <c r="K84" i="809" s="1"/>
  <c r="K81" i="809"/>
  <c r="J109" i="810"/>
  <c r="J15" i="810" s="1"/>
  <c r="J84" i="811"/>
  <c r="J14" i="811" s="1"/>
  <c r="K14" i="811" s="1"/>
  <c r="K94" i="811"/>
  <c r="K101" i="811"/>
  <c r="G51" i="812"/>
  <c r="I51" i="812" s="1"/>
  <c r="J51" i="812" s="1"/>
  <c r="G50" i="812"/>
  <c r="K84" i="812"/>
  <c r="K42" i="813"/>
  <c r="K44" i="813"/>
  <c r="K80" i="814"/>
  <c r="K84" i="814" s="1"/>
  <c r="J118" i="814"/>
  <c r="J16" i="814" s="1"/>
  <c r="K226" i="816"/>
  <c r="J118" i="807"/>
  <c r="J16" i="807" s="1"/>
  <c r="G49" i="809"/>
  <c r="G51" i="809"/>
  <c r="J118" i="809"/>
  <c r="J16" i="809" s="1"/>
  <c r="K38" i="811"/>
  <c r="K40" i="811"/>
  <c r="K42" i="811"/>
  <c r="K46" i="811"/>
  <c r="K112" i="811"/>
  <c r="K46" i="813"/>
  <c r="G55" i="813"/>
  <c r="K64" i="813"/>
  <c r="K46" i="814"/>
  <c r="G57" i="814"/>
  <c r="H76" i="814"/>
  <c r="H13" i="814" s="1"/>
  <c r="K73" i="814"/>
  <c r="J84" i="814"/>
  <c r="J14" i="814" s="1"/>
  <c r="K14" i="814" s="1"/>
  <c r="K81" i="814"/>
  <c r="K65" i="816"/>
  <c r="J110" i="816"/>
  <c r="K110" i="816" s="1"/>
  <c r="J129" i="816"/>
  <c r="K129" i="816" s="1"/>
  <c r="J136" i="816"/>
  <c r="K136" i="816" s="1"/>
  <c r="H152" i="816"/>
  <c r="K152" i="816" s="1"/>
  <c r="H155" i="816"/>
  <c r="K155" i="816" s="1"/>
  <c r="K166" i="816"/>
  <c r="J112" i="817"/>
  <c r="H112" i="817"/>
  <c r="E118" i="817"/>
  <c r="K245" i="816"/>
  <c r="K268" i="816"/>
  <c r="K301" i="816"/>
  <c r="K305" i="816"/>
  <c r="K311" i="816"/>
  <c r="K314" i="816"/>
  <c r="K326" i="816"/>
  <c r="K335" i="816"/>
  <c r="I47" i="818"/>
  <c r="J47" i="818" s="1"/>
  <c r="K47" i="818" s="1"/>
  <c r="K65" i="818"/>
  <c r="I74" i="818"/>
  <c r="J74" i="818" s="1"/>
  <c r="K74" i="818" s="1"/>
  <c r="I77" i="818"/>
  <c r="J77" i="818" s="1"/>
  <c r="K77" i="818" s="1"/>
  <c r="K83" i="818"/>
  <c r="K94" i="818"/>
  <c r="G111" i="818"/>
  <c r="K164" i="818"/>
  <c r="K166" i="818"/>
  <c r="K174" i="818"/>
  <c r="R186" i="818"/>
  <c r="R194" i="818"/>
  <c r="J65" i="819"/>
  <c r="K65" i="819" s="1"/>
  <c r="K112" i="819"/>
  <c r="K52" i="820"/>
  <c r="G92" i="820"/>
  <c r="K90" i="820"/>
  <c r="J102" i="820"/>
  <c r="K102" i="820" s="1"/>
  <c r="K111" i="820"/>
  <c r="H113" i="820"/>
  <c r="K113" i="820" s="1"/>
  <c r="H115" i="820"/>
  <c r="K115" i="820" s="1"/>
  <c r="J116" i="820"/>
  <c r="K116" i="820" s="1"/>
  <c r="H127" i="820"/>
  <c r="K127" i="820" s="1"/>
  <c r="J128" i="820"/>
  <c r="K128" i="820" s="1"/>
  <c r="E137" i="820"/>
  <c r="K48" i="821"/>
  <c r="K51" i="821"/>
  <c r="H76" i="821"/>
  <c r="K101" i="821"/>
  <c r="H115" i="821"/>
  <c r="K115" i="821" s="1"/>
  <c r="H39" i="822"/>
  <c r="K39" i="822" s="1"/>
  <c r="K154" i="822"/>
  <c r="H219" i="823"/>
  <c r="K219" i="823" s="1"/>
  <c r="J219" i="823"/>
  <c r="H347" i="816"/>
  <c r="K347" i="816" s="1"/>
  <c r="H68" i="817"/>
  <c r="K68" i="817" s="1"/>
  <c r="K69" i="817"/>
  <c r="K76" i="817"/>
  <c r="K80" i="817"/>
  <c r="J82" i="817"/>
  <c r="K82" i="817" s="1"/>
  <c r="K94" i="817"/>
  <c r="J103" i="817"/>
  <c r="K103" i="817" s="1"/>
  <c r="H129" i="817"/>
  <c r="K40" i="818"/>
  <c r="G112" i="818"/>
  <c r="K135" i="818"/>
  <c r="K144" i="818"/>
  <c r="J153" i="818"/>
  <c r="K153" i="818" s="1"/>
  <c r="K21" i="818"/>
  <c r="K53" i="820"/>
  <c r="J103" i="820"/>
  <c r="K103" i="820" s="1"/>
  <c r="J107" i="820"/>
  <c r="K112" i="820"/>
  <c r="K129" i="820"/>
  <c r="K144" i="820"/>
  <c r="K172" i="820"/>
  <c r="K88" i="821"/>
  <c r="J114" i="821"/>
  <c r="H114" i="821"/>
  <c r="J117" i="821"/>
  <c r="K117" i="821" s="1"/>
  <c r="K123" i="821"/>
  <c r="K180" i="821"/>
  <c r="K45" i="822"/>
  <c r="J47" i="822"/>
  <c r="K251" i="816"/>
  <c r="K261" i="816"/>
  <c r="K270" i="816"/>
  <c r="K275" i="816"/>
  <c r="K300" i="816"/>
  <c r="K304" i="816"/>
  <c r="K308" i="816"/>
  <c r="K319" i="816"/>
  <c r="K321" i="816"/>
  <c r="K325" i="816"/>
  <c r="K327" i="816"/>
  <c r="K330" i="816"/>
  <c r="K362" i="816"/>
  <c r="H63" i="817"/>
  <c r="K63" i="817" s="1"/>
  <c r="J106" i="817"/>
  <c r="J127" i="817"/>
  <c r="K127" i="817" s="1"/>
  <c r="I75" i="818"/>
  <c r="J75" i="818" s="1"/>
  <c r="K173" i="818"/>
  <c r="K182" i="818"/>
  <c r="K186" i="818"/>
  <c r="K190" i="818"/>
  <c r="K197" i="818"/>
  <c r="E138" i="820"/>
  <c r="J138" i="820" s="1"/>
  <c r="K62" i="823"/>
  <c r="K103" i="823" s="1"/>
  <c r="H277" i="823"/>
  <c r="H21" i="823" s="1"/>
  <c r="K62" i="824"/>
  <c r="H84" i="824"/>
  <c r="H14" i="824" s="1"/>
  <c r="K14" i="824" s="1"/>
  <c r="J359" i="816"/>
  <c r="J25" i="816" s="1"/>
  <c r="I67" i="817"/>
  <c r="J67" i="817" s="1"/>
  <c r="K78" i="817"/>
  <c r="H106" i="817"/>
  <c r="J126" i="817"/>
  <c r="K126" i="817" s="1"/>
  <c r="J128" i="817"/>
  <c r="K128" i="817" s="1"/>
  <c r="J130" i="817"/>
  <c r="K130" i="817" s="1"/>
  <c r="J147" i="817"/>
  <c r="J19" i="817" s="1"/>
  <c r="K151" i="817"/>
  <c r="K164" i="817"/>
  <c r="K165" i="817"/>
  <c r="K92" i="818"/>
  <c r="H96" i="818"/>
  <c r="K96" i="818" s="1"/>
  <c r="J120" i="818"/>
  <c r="K120" i="818" s="1"/>
  <c r="J121" i="818"/>
  <c r="J124" i="818"/>
  <c r="H154" i="818"/>
  <c r="K154" i="818" s="1"/>
  <c r="J178" i="818"/>
  <c r="J19" i="818" s="1"/>
  <c r="H43" i="820"/>
  <c r="K43" i="820" s="1"/>
  <c r="K174" i="821"/>
  <c r="K79" i="822"/>
  <c r="J99" i="822"/>
  <c r="K99" i="822" s="1"/>
  <c r="J105" i="822"/>
  <c r="K105" i="822" s="1"/>
  <c r="H107" i="822"/>
  <c r="K107" i="822" s="1"/>
  <c r="K220" i="823"/>
  <c r="J227" i="823"/>
  <c r="K38" i="823"/>
  <c r="K68" i="823"/>
  <c r="K86" i="823"/>
  <c r="H97" i="823"/>
  <c r="K97" i="823" s="1"/>
  <c r="H136" i="823"/>
  <c r="K157" i="823"/>
  <c r="K165" i="823"/>
  <c r="K167" i="823"/>
  <c r="J175" i="823"/>
  <c r="H182" i="823"/>
  <c r="H217" i="823"/>
  <c r="K217" i="823" s="1"/>
  <c r="K231" i="823"/>
  <c r="AB298" i="823"/>
  <c r="AB316" i="823"/>
  <c r="H48" i="824"/>
  <c r="H12" i="824" s="1"/>
  <c r="H34" i="824" s="1"/>
  <c r="H20" i="279" s="1"/>
  <c r="K75" i="822"/>
  <c r="K86" i="822"/>
  <c r="J100" i="822"/>
  <c r="J102" i="822"/>
  <c r="K102" i="822" s="1"/>
  <c r="K106" i="822"/>
  <c r="K111" i="822"/>
  <c r="K152" i="822"/>
  <c r="K164" i="822"/>
  <c r="K40" i="823"/>
  <c r="E44" i="823"/>
  <c r="K64" i="823"/>
  <c r="K81" i="823"/>
  <c r="K129" i="823"/>
  <c r="K139" i="823"/>
  <c r="H140" i="823"/>
  <c r="K140" i="823" s="1"/>
  <c r="K154" i="823"/>
  <c r="K166" i="823"/>
  <c r="E168" i="823"/>
  <c r="K176" i="823"/>
  <c r="K178" i="823"/>
  <c r="K181" i="823"/>
  <c r="K183" i="823"/>
  <c r="K185" i="823"/>
  <c r="K187" i="823"/>
  <c r="K198" i="823"/>
  <c r="K204" i="823"/>
  <c r="K207" i="823"/>
  <c r="K210" i="823"/>
  <c r="J218" i="823"/>
  <c r="J224" i="823"/>
  <c r="J225" i="823"/>
  <c r="K225" i="823" s="1"/>
  <c r="H227" i="823"/>
  <c r="K227" i="823" s="1"/>
  <c r="K238" i="823"/>
  <c r="K254" i="823"/>
  <c r="K269" i="823"/>
  <c r="K300" i="823"/>
  <c r="AB300" i="823"/>
  <c r="K303" i="823"/>
  <c r="AB311" i="823"/>
  <c r="K46" i="824"/>
  <c r="K51" i="824"/>
  <c r="K59" i="824" s="1"/>
  <c r="K63" i="824"/>
  <c r="K39" i="823"/>
  <c r="J103" i="823"/>
  <c r="J14" i="823" s="1"/>
  <c r="K72" i="823"/>
  <c r="K92" i="823"/>
  <c r="K175" i="823"/>
  <c r="E189" i="823"/>
  <c r="J189" i="823" s="1"/>
  <c r="AB302" i="823"/>
  <c r="AB312" i="823"/>
  <c r="K127" i="819"/>
  <c r="K176" i="819"/>
  <c r="K123" i="819"/>
  <c r="K186" i="819"/>
  <c r="K81" i="819"/>
  <c r="K113" i="819"/>
  <c r="K124" i="819"/>
  <c r="K162" i="819"/>
  <c r="K202" i="819"/>
  <c r="K212" i="819"/>
  <c r="H68" i="819"/>
  <c r="H14" i="819" s="1"/>
  <c r="K114" i="819"/>
  <c r="K126" i="819"/>
  <c r="K151" i="819"/>
  <c r="K71" i="819"/>
  <c r="J97" i="819"/>
  <c r="H144" i="819"/>
  <c r="H18" i="819" s="1"/>
  <c r="J149" i="819"/>
  <c r="K149" i="819" s="1"/>
  <c r="U202" i="819"/>
  <c r="K173" i="819"/>
  <c r="K205" i="819"/>
  <c r="K62" i="819"/>
  <c r="K183" i="819"/>
  <c r="J99" i="819"/>
  <c r="K99" i="819" s="1"/>
  <c r="J100" i="819"/>
  <c r="K170" i="819"/>
  <c r="K187" i="819"/>
  <c r="K89" i="819"/>
  <c r="K115" i="819"/>
  <c r="K38" i="819"/>
  <c r="J148" i="819"/>
  <c r="K148" i="819" s="1"/>
  <c r="K171" i="819"/>
  <c r="J190" i="819"/>
  <c r="J21" i="819" s="1"/>
  <c r="H48" i="819"/>
  <c r="K48" i="819" s="1"/>
  <c r="K194" i="819"/>
  <c r="E49" i="819"/>
  <c r="G90" i="819"/>
  <c r="H100" i="819"/>
  <c r="J144" i="819"/>
  <c r="J18" i="819" s="1"/>
  <c r="U205" i="819"/>
  <c r="K179" i="819"/>
  <c r="G92" i="819"/>
  <c r="I92" i="819" s="1"/>
  <c r="J92" i="819" s="1"/>
  <c r="K164" i="819"/>
  <c r="K72" i="819"/>
  <c r="K172" i="819"/>
  <c r="H97" i="819"/>
  <c r="K189" i="819"/>
  <c r="K56" i="819"/>
  <c r="K177" i="819"/>
  <c r="H349" i="816"/>
  <c r="J349" i="816"/>
  <c r="K59" i="816"/>
  <c r="E137" i="816"/>
  <c r="K225" i="816"/>
  <c r="H241" i="816"/>
  <c r="K250" i="816"/>
  <c r="K312" i="816"/>
  <c r="K323" i="816"/>
  <c r="K328" i="816"/>
  <c r="K338" i="816"/>
  <c r="K64" i="816"/>
  <c r="K73" i="816"/>
  <c r="K84" i="816"/>
  <c r="K131" i="816"/>
  <c r="J157" i="816"/>
  <c r="K157" i="816" s="1"/>
  <c r="J189" i="816"/>
  <c r="K307" i="816"/>
  <c r="K324" i="816"/>
  <c r="H339" i="816"/>
  <c r="H342" i="816" s="1"/>
  <c r="H23" i="816" s="1"/>
  <c r="K55" i="816"/>
  <c r="K89" i="816"/>
  <c r="K107" i="816"/>
  <c r="K161" i="816"/>
  <c r="K242" i="816"/>
  <c r="H264" i="816"/>
  <c r="K264" i="816" s="1"/>
  <c r="K296" i="816"/>
  <c r="K355" i="816"/>
  <c r="K90" i="816"/>
  <c r="K117" i="816"/>
  <c r="K126" i="816"/>
  <c r="J176" i="816"/>
  <c r="K176" i="816" s="1"/>
  <c r="H190" i="816"/>
  <c r="K239" i="816"/>
  <c r="H273" i="816"/>
  <c r="K273" i="816" s="1"/>
  <c r="K297" i="816"/>
  <c r="K302" i="816"/>
  <c r="K356" i="816"/>
  <c r="K66" i="816"/>
  <c r="K217" i="816"/>
  <c r="K243" i="816"/>
  <c r="K266" i="816"/>
  <c r="K282" i="816"/>
  <c r="K303" i="816"/>
  <c r="K309" i="816"/>
  <c r="K320" i="816"/>
  <c r="K336" i="816"/>
  <c r="K70" i="816"/>
  <c r="K75" i="816"/>
  <c r="K41" i="816"/>
  <c r="K91" i="816"/>
  <c r="K127" i="816"/>
  <c r="K298" i="816"/>
  <c r="E348" i="816"/>
  <c r="J348" i="816" s="1"/>
  <c r="K92" i="816"/>
  <c r="K102" i="816"/>
  <c r="K128" i="816"/>
  <c r="J142" i="816"/>
  <c r="K142" i="816" s="1"/>
  <c r="K154" i="816"/>
  <c r="K240" i="816"/>
  <c r="K249" i="816"/>
  <c r="K299" i="816"/>
  <c r="K310" i="816"/>
  <c r="K316" i="816"/>
  <c r="K332" i="816"/>
  <c r="K58" i="816"/>
  <c r="K82" i="816"/>
  <c r="K94" i="816"/>
  <c r="K322" i="816"/>
  <c r="K49" i="797"/>
  <c r="K80" i="797"/>
  <c r="K90" i="797"/>
  <c r="G75" i="797"/>
  <c r="I75" i="797" s="1"/>
  <c r="J75" i="797" s="1"/>
  <c r="K91" i="797"/>
  <c r="K52" i="797"/>
  <c r="K88" i="797"/>
  <c r="G98" i="797"/>
  <c r="I98" i="797" s="1"/>
  <c r="J98" i="797" s="1"/>
  <c r="K48" i="797"/>
  <c r="K55" i="797"/>
  <c r="K89" i="797"/>
  <c r="I100" i="797"/>
  <c r="J100" i="797" s="1"/>
  <c r="H100" i="797"/>
  <c r="K97" i="797"/>
  <c r="K71" i="797"/>
  <c r="K86" i="797"/>
  <c r="G46" i="797"/>
  <c r="H46" i="797" s="1"/>
  <c r="K70" i="796"/>
  <c r="K80" i="796"/>
  <c r="K91" i="796"/>
  <c r="K72" i="796"/>
  <c r="K42" i="796"/>
  <c r="K104" i="796"/>
  <c r="K71" i="796"/>
  <c r="K61" i="796"/>
  <c r="K69" i="796"/>
  <c r="K87" i="796"/>
  <c r="G83" i="796"/>
  <c r="K54" i="796"/>
  <c r="K43" i="796"/>
  <c r="K55" i="796"/>
  <c r="K77" i="796"/>
  <c r="K57" i="796"/>
  <c r="G84" i="796"/>
  <c r="H84" i="796" s="1"/>
  <c r="K79" i="796"/>
  <c r="G101" i="796"/>
  <c r="G73" i="796"/>
  <c r="I73" i="796" s="1"/>
  <c r="J73" i="796" s="1"/>
  <c r="K39" i="795"/>
  <c r="K77" i="795"/>
  <c r="K81" i="795"/>
  <c r="K91" i="795"/>
  <c r="K40" i="795"/>
  <c r="G102" i="795"/>
  <c r="K54" i="795"/>
  <c r="K71" i="795"/>
  <c r="G44" i="795"/>
  <c r="I75" i="795"/>
  <c r="J75" i="795" s="1"/>
  <c r="G45" i="795"/>
  <c r="K70" i="795"/>
  <c r="G46" i="795"/>
  <c r="I46" i="795" s="1"/>
  <c r="J46" i="795" s="1"/>
  <c r="K88" i="795"/>
  <c r="K89" i="795"/>
  <c r="G103" i="795"/>
  <c r="I103" i="795" s="1"/>
  <c r="J103" i="795" s="1"/>
  <c r="K49" i="795"/>
  <c r="K105" i="795"/>
  <c r="K61" i="795"/>
  <c r="K43" i="795"/>
  <c r="K52" i="795"/>
  <c r="K71" i="794"/>
  <c r="K38" i="794"/>
  <c r="K72" i="794"/>
  <c r="K40" i="794"/>
  <c r="G74" i="794"/>
  <c r="H74" i="794" s="1"/>
  <c r="K54" i="794"/>
  <c r="G82" i="794"/>
  <c r="G83" i="794"/>
  <c r="G84" i="794"/>
  <c r="H84" i="794" s="1"/>
  <c r="K100" i="794"/>
  <c r="K81" i="794"/>
  <c r="G103" i="794"/>
  <c r="G71" i="793"/>
  <c r="H71" i="793" s="1"/>
  <c r="K52" i="793"/>
  <c r="K43" i="793"/>
  <c r="K77" i="793"/>
  <c r="K70" i="793"/>
  <c r="G81" i="793"/>
  <c r="I81" i="793" s="1"/>
  <c r="J81" i="793" s="1"/>
  <c r="K90" i="793"/>
  <c r="K75" i="793"/>
  <c r="K105" i="793"/>
  <c r="K79" i="793"/>
  <c r="K42" i="793"/>
  <c r="K68" i="793"/>
  <c r="K55" i="793"/>
  <c r="K48" i="793"/>
  <c r="K57" i="793"/>
  <c r="K91" i="793"/>
  <c r="G44" i="793"/>
  <c r="H44" i="793" s="1"/>
  <c r="K61" i="793"/>
  <c r="K88" i="793"/>
  <c r="G82" i="793"/>
  <c r="K70" i="792"/>
  <c r="K79" i="792"/>
  <c r="K77" i="792"/>
  <c r="G46" i="792"/>
  <c r="I46" i="792" s="1"/>
  <c r="J46" i="792" s="1"/>
  <c r="H46" i="792"/>
  <c r="K40" i="792"/>
  <c r="K48" i="792"/>
  <c r="K69" i="792"/>
  <c r="K100" i="792"/>
  <c r="K49" i="792"/>
  <c r="G103" i="792"/>
  <c r="G71" i="792"/>
  <c r="H71" i="792" s="1"/>
  <c r="K38" i="792"/>
  <c r="K54" i="792"/>
  <c r="K89" i="791"/>
  <c r="K48" i="791"/>
  <c r="K57" i="791"/>
  <c r="K42" i="791"/>
  <c r="K43" i="791"/>
  <c r="K90" i="791"/>
  <c r="G46" i="791"/>
  <c r="H46" i="791" s="1"/>
  <c r="K61" i="791"/>
  <c r="K51" i="791"/>
  <c r="K88" i="791"/>
  <c r="G73" i="791"/>
  <c r="I73" i="791" s="1"/>
  <c r="J73" i="791" s="1"/>
  <c r="K77" i="791"/>
  <c r="G101" i="791"/>
  <c r="G81" i="791"/>
  <c r="K70" i="791"/>
  <c r="K78" i="791"/>
  <c r="K52" i="791"/>
  <c r="K75" i="791"/>
  <c r="K79" i="791"/>
  <c r="K105" i="791"/>
  <c r="K79" i="790"/>
  <c r="K76" i="790"/>
  <c r="K84" i="790"/>
  <c r="K52" i="790"/>
  <c r="K88" i="790"/>
  <c r="K43" i="790"/>
  <c r="K55" i="790"/>
  <c r="K78" i="790"/>
  <c r="G45" i="790"/>
  <c r="K48" i="790"/>
  <c r="K57" i="790"/>
  <c r="K77" i="790"/>
  <c r="K69" i="790"/>
  <c r="K70" i="790"/>
  <c r="K101" i="790"/>
  <c r="K41" i="790"/>
  <c r="G73" i="790"/>
  <c r="K39" i="789"/>
  <c r="K49" i="789"/>
  <c r="K61" i="789"/>
  <c r="K41" i="789"/>
  <c r="K52" i="789"/>
  <c r="K54" i="789"/>
  <c r="K69" i="789"/>
  <c r="K99" i="789"/>
  <c r="K57" i="789"/>
  <c r="K70" i="789"/>
  <c r="K90" i="789"/>
  <c r="G71" i="789"/>
  <c r="H71" i="789" s="1"/>
  <c r="H73" i="789"/>
  <c r="K73" i="789" s="1"/>
  <c r="K68" i="789"/>
  <c r="K48" i="789"/>
  <c r="G81" i="789"/>
  <c r="I81" i="789" s="1"/>
  <c r="J81" i="789" s="1"/>
  <c r="G100" i="789"/>
  <c r="K70" i="788"/>
  <c r="I102" i="788"/>
  <c r="J102" i="788" s="1"/>
  <c r="K102" i="788" s="1"/>
  <c r="K57" i="788"/>
  <c r="G84" i="788"/>
  <c r="H84" i="788" s="1"/>
  <c r="K81" i="788"/>
  <c r="G74" i="788"/>
  <c r="I74" i="788" s="1"/>
  <c r="J74" i="788" s="1"/>
  <c r="K42" i="788"/>
  <c r="K89" i="788"/>
  <c r="K100" i="788"/>
  <c r="G83" i="788"/>
  <c r="G101" i="788"/>
  <c r="I101" i="788" s="1"/>
  <c r="J101" i="788" s="1"/>
  <c r="G103" i="788"/>
  <c r="K51" i="787"/>
  <c r="K71" i="787"/>
  <c r="K104" i="787"/>
  <c r="K88" i="787"/>
  <c r="K55" i="787"/>
  <c r="K42" i="787"/>
  <c r="K81" i="787"/>
  <c r="K114" i="787"/>
  <c r="K43" i="787"/>
  <c r="K91" i="787"/>
  <c r="K103" i="787"/>
  <c r="K92" i="787"/>
  <c r="K86" i="787"/>
  <c r="G99" i="787"/>
  <c r="I99" i="787" s="1"/>
  <c r="J99" i="787" s="1"/>
  <c r="K96" i="787"/>
  <c r="K54" i="787"/>
  <c r="K77" i="787"/>
  <c r="G100" i="787"/>
  <c r="I100" i="787" s="1"/>
  <c r="J100" i="787" s="1"/>
  <c r="G82" i="787"/>
  <c r="K48" i="787"/>
  <c r="K52" i="787"/>
  <c r="K80" i="787"/>
  <c r="K40" i="787"/>
  <c r="G83" i="787"/>
  <c r="I83" i="787" s="1"/>
  <c r="J83" i="787" s="1"/>
  <c r="K41" i="787"/>
  <c r="K72" i="787"/>
  <c r="K90" i="787"/>
  <c r="I54" i="768"/>
  <c r="J54" i="768" s="1"/>
  <c r="H54" i="768"/>
  <c r="H58" i="768" s="1"/>
  <c r="H13" i="768" s="1"/>
  <c r="H34" i="768" s="1"/>
  <c r="H13" i="767" s="1"/>
  <c r="K46" i="768"/>
  <c r="K47" i="768"/>
  <c r="H41" i="775"/>
  <c r="G41" i="785"/>
  <c r="K38" i="785"/>
  <c r="G42" i="785"/>
  <c r="G43" i="785"/>
  <c r="H41" i="772"/>
  <c r="I41" i="772"/>
  <c r="J41" i="772" s="1"/>
  <c r="K41" i="772" s="1"/>
  <c r="K36" i="780"/>
  <c r="G45" i="784"/>
  <c r="K39" i="784"/>
  <c r="G44" i="784"/>
  <c r="G43" i="784"/>
  <c r="H47" i="771"/>
  <c r="H57" i="771" s="1"/>
  <c r="H13" i="771" s="1"/>
  <c r="H34" i="771" s="1"/>
  <c r="H16" i="767" s="1"/>
  <c r="I47" i="771"/>
  <c r="J47" i="771" s="1"/>
  <c r="K36" i="776"/>
  <c r="H41" i="779"/>
  <c r="G65" i="786"/>
  <c r="G67" i="786"/>
  <c r="G66" i="786"/>
  <c r="K62" i="786"/>
  <c r="H41" i="773"/>
  <c r="I41" i="773"/>
  <c r="J41" i="773" s="1"/>
  <c r="K41" i="773" s="1"/>
  <c r="K38" i="770"/>
  <c r="J57" i="770"/>
  <c r="J13" i="770" s="1"/>
  <c r="J34" i="770" s="1"/>
  <c r="J15" i="767" s="1"/>
  <c r="K106" i="784"/>
  <c r="K38" i="768"/>
  <c r="K45" i="768"/>
  <c r="K50" i="769"/>
  <c r="K38" i="772"/>
  <c r="K38" i="773"/>
  <c r="K37" i="774"/>
  <c r="I47" i="780"/>
  <c r="J47" i="780" s="1"/>
  <c r="H47" i="780"/>
  <c r="H57" i="780" s="1"/>
  <c r="H13" i="780" s="1"/>
  <c r="H34" i="780" s="1"/>
  <c r="H25" i="767" s="1"/>
  <c r="I87" i="784"/>
  <c r="J87" i="784" s="1"/>
  <c r="H87" i="784"/>
  <c r="K69" i="787"/>
  <c r="K36" i="777"/>
  <c r="K57" i="777" s="1"/>
  <c r="K13" i="777" s="1"/>
  <c r="K34" i="777" s="1"/>
  <c r="K22" i="767" s="1"/>
  <c r="I120" i="787"/>
  <c r="J120" i="787" s="1"/>
  <c r="H120" i="787"/>
  <c r="K40" i="768"/>
  <c r="K71" i="785"/>
  <c r="K106" i="787"/>
  <c r="G109" i="787"/>
  <c r="I71" i="793"/>
  <c r="J71" i="793" s="1"/>
  <c r="K74" i="784"/>
  <c r="K88" i="789"/>
  <c r="H57" i="779"/>
  <c r="H13" i="779" s="1"/>
  <c r="H34" i="779" s="1"/>
  <c r="H24" i="767" s="1"/>
  <c r="I41" i="781"/>
  <c r="J41" i="781" s="1"/>
  <c r="H41" i="781"/>
  <c r="H57" i="781" s="1"/>
  <c r="H13" i="781" s="1"/>
  <c r="H34" i="781" s="1"/>
  <c r="H26" i="767" s="1"/>
  <c r="K170" i="784"/>
  <c r="G172" i="784"/>
  <c r="G75" i="788"/>
  <c r="K69" i="788"/>
  <c r="G73" i="788"/>
  <c r="I45" i="790"/>
  <c r="J45" i="790" s="1"/>
  <c r="H45" i="790"/>
  <c r="K43" i="768"/>
  <c r="K46" i="769"/>
  <c r="H57" i="772"/>
  <c r="H13" i="772" s="1"/>
  <c r="H34" i="772" s="1"/>
  <c r="H17" i="767" s="1"/>
  <c r="H57" i="773"/>
  <c r="H13" i="773" s="1"/>
  <c r="H34" i="773" s="1"/>
  <c r="H18" i="767" s="1"/>
  <c r="H57" i="774"/>
  <c r="H13" i="774" s="1"/>
  <c r="H34" i="774" s="1"/>
  <c r="H19" i="767" s="1"/>
  <c r="I47" i="774"/>
  <c r="J47" i="774" s="1"/>
  <c r="K47" i="774" s="1"/>
  <c r="H57" i="775"/>
  <c r="H13" i="775" s="1"/>
  <c r="H34" i="775" s="1"/>
  <c r="H20" i="767" s="1"/>
  <c r="G41" i="776"/>
  <c r="I41" i="778"/>
  <c r="J41" i="778" s="1"/>
  <c r="J57" i="778" s="1"/>
  <c r="J13" i="778" s="1"/>
  <c r="J34" i="778" s="1"/>
  <c r="J23" i="767" s="1"/>
  <c r="H41" i="778"/>
  <c r="H57" i="778" s="1"/>
  <c r="H13" i="778" s="1"/>
  <c r="H34" i="778" s="1"/>
  <c r="H23" i="767" s="1"/>
  <c r="K162" i="784"/>
  <c r="I50" i="768"/>
  <c r="J50" i="768" s="1"/>
  <c r="H50" i="768"/>
  <c r="K48" i="769"/>
  <c r="G51" i="769"/>
  <c r="J57" i="781"/>
  <c r="J13" i="781" s="1"/>
  <c r="J34" i="781" s="1"/>
  <c r="J26" i="767" s="1"/>
  <c r="G41" i="782"/>
  <c r="K40" i="782"/>
  <c r="K56" i="785"/>
  <c r="G58" i="785"/>
  <c r="K37" i="768"/>
  <c r="K44" i="768"/>
  <c r="K174" i="784"/>
  <c r="G177" i="784"/>
  <c r="I73" i="786"/>
  <c r="J73" i="786" s="1"/>
  <c r="H73" i="786"/>
  <c r="I74" i="787"/>
  <c r="J74" i="787" s="1"/>
  <c r="H74" i="787"/>
  <c r="I83" i="794"/>
  <c r="J83" i="794" s="1"/>
  <c r="H83" i="794"/>
  <c r="K36" i="769"/>
  <c r="K78" i="784"/>
  <c r="G81" i="784"/>
  <c r="G79" i="784"/>
  <c r="I59" i="785"/>
  <c r="J59" i="785" s="1"/>
  <c r="H59" i="785"/>
  <c r="K77" i="789"/>
  <c r="G80" i="789"/>
  <c r="G120" i="784"/>
  <c r="K116" i="784"/>
  <c r="G121" i="784"/>
  <c r="K124" i="784"/>
  <c r="K175" i="784"/>
  <c r="K39" i="785"/>
  <c r="G57" i="785"/>
  <c r="K55" i="785"/>
  <c r="G74" i="786"/>
  <c r="G75" i="786"/>
  <c r="K69" i="786"/>
  <c r="G101" i="787"/>
  <c r="K41" i="788"/>
  <c r="K54" i="788"/>
  <c r="G89" i="784"/>
  <c r="G82" i="788"/>
  <c r="G72" i="790"/>
  <c r="K67" i="790"/>
  <c r="G71" i="790"/>
  <c r="G73" i="793"/>
  <c r="K67" i="793"/>
  <c r="G72" i="793"/>
  <c r="K40" i="798"/>
  <c r="H49" i="770"/>
  <c r="K49" i="770" s="1"/>
  <c r="I143" i="784"/>
  <c r="J143" i="784" s="1"/>
  <c r="K147" i="784"/>
  <c r="K171" i="784"/>
  <c r="G44" i="786"/>
  <c r="G43" i="786"/>
  <c r="I42" i="786"/>
  <c r="J42" i="786" s="1"/>
  <c r="K42" i="786" s="1"/>
  <c r="G44" i="787"/>
  <c r="K49" i="787"/>
  <c r="G119" i="787"/>
  <c r="K118" i="787"/>
  <c r="G121" i="787"/>
  <c r="G45" i="788"/>
  <c r="G46" i="788"/>
  <c r="G72" i="789"/>
  <c r="K67" i="789"/>
  <c r="K89" i="789"/>
  <c r="G104" i="790"/>
  <c r="G102" i="790"/>
  <c r="K100" i="790"/>
  <c r="G103" i="790"/>
  <c r="I48" i="801"/>
  <c r="J48" i="801" s="1"/>
  <c r="H48" i="801"/>
  <c r="I58" i="804"/>
  <c r="J58" i="804" s="1"/>
  <c r="H58" i="804"/>
  <c r="K46" i="771"/>
  <c r="K40" i="772"/>
  <c r="K40" i="773"/>
  <c r="J57" i="774"/>
  <c r="J13" i="774" s="1"/>
  <c r="J34" i="774" s="1"/>
  <c r="J19" i="767" s="1"/>
  <c r="J57" i="777"/>
  <c r="J13" i="777" s="1"/>
  <c r="J34" i="777" s="1"/>
  <c r="J22" i="767" s="1"/>
  <c r="K75" i="784"/>
  <c r="K127" i="784"/>
  <c r="K70" i="787"/>
  <c r="G84" i="787"/>
  <c r="K79" i="788"/>
  <c r="K42" i="789"/>
  <c r="K55" i="789"/>
  <c r="K78" i="789"/>
  <c r="K89" i="790"/>
  <c r="K63" i="800"/>
  <c r="H114" i="784"/>
  <c r="K114" i="784" s="1"/>
  <c r="G44" i="789"/>
  <c r="G46" i="789"/>
  <c r="K38" i="789"/>
  <c r="I71" i="792"/>
  <c r="J71" i="792" s="1"/>
  <c r="I84" i="794"/>
  <c r="J84" i="794" s="1"/>
  <c r="K72" i="784"/>
  <c r="G93" i="784"/>
  <c r="G88" i="786"/>
  <c r="G90" i="786"/>
  <c r="K87" i="786"/>
  <c r="K98" i="787"/>
  <c r="G44" i="788"/>
  <c r="G82" i="789"/>
  <c r="K79" i="789"/>
  <c r="K42" i="790"/>
  <c r="G81" i="790"/>
  <c r="K43" i="792"/>
  <c r="G80" i="792"/>
  <c r="G82" i="792"/>
  <c r="K75" i="792"/>
  <c r="G81" i="792"/>
  <c r="G84" i="797"/>
  <c r="K78" i="797"/>
  <c r="G83" i="797"/>
  <c r="I74" i="794"/>
  <c r="J74" i="794" s="1"/>
  <c r="G108" i="787"/>
  <c r="G107" i="787"/>
  <c r="G88" i="784"/>
  <c r="K83" i="784"/>
  <c r="H95" i="784"/>
  <c r="K95" i="784" s="1"/>
  <c r="G119" i="784"/>
  <c r="H184" i="784"/>
  <c r="H18" i="784" s="1"/>
  <c r="K18" i="784" s="1"/>
  <c r="H72" i="785"/>
  <c r="K72" i="785" s="1"/>
  <c r="K46" i="786"/>
  <c r="K63" i="786"/>
  <c r="G73" i="787"/>
  <c r="K68" i="787"/>
  <c r="G75" i="787"/>
  <c r="G45" i="789"/>
  <c r="K76" i="789"/>
  <c r="K51" i="790"/>
  <c r="K39" i="791"/>
  <c r="K100" i="791"/>
  <c r="K41" i="796"/>
  <c r="G44" i="791"/>
  <c r="H73" i="796"/>
  <c r="I50" i="800"/>
  <c r="J50" i="800" s="1"/>
  <c r="H50" i="800"/>
  <c r="K262" i="816"/>
  <c r="G82" i="790"/>
  <c r="K75" i="790"/>
  <c r="G71" i="791"/>
  <c r="G102" i="791"/>
  <c r="K52" i="792"/>
  <c r="I44" i="795"/>
  <c r="J44" i="795" s="1"/>
  <c r="H44" i="795"/>
  <c r="G74" i="795"/>
  <c r="K69" i="795"/>
  <c r="G47" i="798"/>
  <c r="G46" i="798"/>
  <c r="G45" i="798"/>
  <c r="K112" i="801"/>
  <c r="H130" i="801"/>
  <c r="H16" i="801" s="1"/>
  <c r="K94" i="802"/>
  <c r="G45" i="787"/>
  <c r="G101" i="789"/>
  <c r="K40" i="791"/>
  <c r="G73" i="792"/>
  <c r="G72" i="792"/>
  <c r="G45" i="793"/>
  <c r="G44" i="794"/>
  <c r="G46" i="794"/>
  <c r="G45" i="794"/>
  <c r="K89" i="796"/>
  <c r="G45" i="797"/>
  <c r="G44" i="797"/>
  <c r="K90" i="790"/>
  <c r="G45" i="791"/>
  <c r="G72" i="791"/>
  <c r="K38" i="793"/>
  <c r="H82" i="793"/>
  <c r="I82" i="793"/>
  <c r="J82" i="793" s="1"/>
  <c r="I101" i="794"/>
  <c r="J101" i="794" s="1"/>
  <c r="H101" i="794"/>
  <c r="G44" i="796"/>
  <c r="G46" i="796"/>
  <c r="K38" i="796"/>
  <c r="G45" i="796"/>
  <c r="H75" i="798"/>
  <c r="I75" i="798"/>
  <c r="J75" i="798" s="1"/>
  <c r="K44" i="800"/>
  <c r="G51" i="800"/>
  <c r="K39" i="793"/>
  <c r="G46" i="793"/>
  <c r="I46" i="797"/>
  <c r="J46" i="797" s="1"/>
  <c r="K46" i="797" s="1"/>
  <c r="G70" i="785"/>
  <c r="K38" i="787"/>
  <c r="K75" i="789"/>
  <c r="G80" i="790"/>
  <c r="H103" i="791"/>
  <c r="K103" i="791" s="1"/>
  <c r="K68" i="792"/>
  <c r="I102" i="792"/>
  <c r="J102" i="792" s="1"/>
  <c r="K102" i="792" s="1"/>
  <c r="G102" i="793"/>
  <c r="K100" i="793"/>
  <c r="G103" i="793"/>
  <c r="K55" i="795"/>
  <c r="I74" i="797"/>
  <c r="J74" i="797" s="1"/>
  <c r="K74" i="797" s="1"/>
  <c r="I57" i="802"/>
  <c r="J57" i="802" s="1"/>
  <c r="H57" i="802"/>
  <c r="K76" i="802"/>
  <c r="K14" i="802"/>
  <c r="J109" i="803"/>
  <c r="J15" i="803" s="1"/>
  <c r="I48" i="805"/>
  <c r="J48" i="805" s="1"/>
  <c r="H48" i="805"/>
  <c r="K48" i="805" s="1"/>
  <c r="K43" i="810"/>
  <c r="G48" i="810"/>
  <c r="G80" i="784"/>
  <c r="K68" i="791"/>
  <c r="K90" i="792"/>
  <c r="K79" i="795"/>
  <c r="K40" i="802"/>
  <c r="G46" i="787"/>
  <c r="G102" i="789"/>
  <c r="G44" i="790"/>
  <c r="K68" i="790"/>
  <c r="K69" i="791"/>
  <c r="K78" i="792"/>
  <c r="K89" i="793"/>
  <c r="I101" i="793"/>
  <c r="J101" i="793" s="1"/>
  <c r="H101" i="793"/>
  <c r="K90" i="794"/>
  <c r="K81" i="796"/>
  <c r="G82" i="797"/>
  <c r="K89" i="798"/>
  <c r="G91" i="798"/>
  <c r="G90" i="798"/>
  <c r="G92" i="798"/>
  <c r="I56" i="803"/>
  <c r="J56" i="803" s="1"/>
  <c r="I101" i="795"/>
  <c r="J101" i="795" s="1"/>
  <c r="H101" i="795"/>
  <c r="K101" i="795" s="1"/>
  <c r="K38" i="790"/>
  <c r="G46" i="790"/>
  <c r="G80" i="791"/>
  <c r="G82" i="791"/>
  <c r="G45" i="792"/>
  <c r="G44" i="792"/>
  <c r="K80" i="794"/>
  <c r="K86" i="794"/>
  <c r="G73" i="795"/>
  <c r="G75" i="796"/>
  <c r="K92" i="796"/>
  <c r="K109" i="803"/>
  <c r="G80" i="793"/>
  <c r="G75" i="794"/>
  <c r="G102" i="794"/>
  <c r="G84" i="795"/>
  <c r="G74" i="796"/>
  <c r="G100" i="796"/>
  <c r="H91" i="800"/>
  <c r="H13" i="800" s="1"/>
  <c r="K13" i="800" s="1"/>
  <c r="K87" i="801"/>
  <c r="J130" i="801"/>
  <c r="J16" i="801" s="1"/>
  <c r="G57" i="803"/>
  <c r="J84" i="803"/>
  <c r="J14" i="803" s="1"/>
  <c r="I49" i="806"/>
  <c r="J49" i="806" s="1"/>
  <c r="K49" i="806" s="1"/>
  <c r="G55" i="810"/>
  <c r="G57" i="810"/>
  <c r="K53" i="810"/>
  <c r="G56" i="810"/>
  <c r="G73" i="794"/>
  <c r="G82" i="795"/>
  <c r="G74" i="798"/>
  <c r="H109" i="800"/>
  <c r="H14" i="800" s="1"/>
  <c r="K14" i="800" s="1"/>
  <c r="K92" i="800"/>
  <c r="K109" i="800" s="1"/>
  <c r="K54" i="801"/>
  <c r="H84" i="803"/>
  <c r="H14" i="803" s="1"/>
  <c r="H109" i="803"/>
  <c r="H15" i="803" s="1"/>
  <c r="H118" i="803"/>
  <c r="H16" i="803" s="1"/>
  <c r="K16" i="803" s="1"/>
  <c r="K112" i="803"/>
  <c r="K118" i="803" s="1"/>
  <c r="J76" i="804"/>
  <c r="J13" i="804" s="1"/>
  <c r="K102" i="804"/>
  <c r="H248" i="816"/>
  <c r="J248" i="816"/>
  <c r="K69" i="794"/>
  <c r="K38" i="795"/>
  <c r="K78" i="796"/>
  <c r="K113" i="801"/>
  <c r="G58" i="802"/>
  <c r="K54" i="802"/>
  <c r="G50" i="803"/>
  <c r="G48" i="803"/>
  <c r="K78" i="803"/>
  <c r="I49" i="812"/>
  <c r="J49" i="812" s="1"/>
  <c r="H49" i="812"/>
  <c r="G101" i="792"/>
  <c r="G51" i="801"/>
  <c r="G58" i="801"/>
  <c r="K55" i="801"/>
  <c r="I94" i="804"/>
  <c r="J94" i="804" s="1"/>
  <c r="J109" i="804" s="1"/>
  <c r="J15" i="804" s="1"/>
  <c r="H94" i="804"/>
  <c r="K41" i="805"/>
  <c r="G51" i="805"/>
  <c r="G50" i="805"/>
  <c r="G49" i="807"/>
  <c r="G51" i="807"/>
  <c r="G48" i="807"/>
  <c r="G50" i="807"/>
  <c r="K38" i="807"/>
  <c r="G82" i="796"/>
  <c r="K74" i="801"/>
  <c r="K111" i="812"/>
  <c r="K118" i="812" s="1"/>
  <c r="J118" i="812"/>
  <c r="J16" i="812" s="1"/>
  <c r="K77" i="794"/>
  <c r="H46" i="795"/>
  <c r="K46" i="795" s="1"/>
  <c r="G83" i="795"/>
  <c r="K100" i="795"/>
  <c r="G99" i="797"/>
  <c r="H41" i="798"/>
  <c r="K41" i="798" s="1"/>
  <c r="H50" i="798"/>
  <c r="K50" i="798" s="1"/>
  <c r="K72" i="798"/>
  <c r="G49" i="800"/>
  <c r="G49" i="801"/>
  <c r="K44" i="801"/>
  <c r="K101" i="801"/>
  <c r="G49" i="803"/>
  <c r="K62" i="803"/>
  <c r="K71" i="803"/>
  <c r="J109" i="808"/>
  <c r="J15" i="808" s="1"/>
  <c r="G49" i="811"/>
  <c r="G50" i="811"/>
  <c r="G51" i="811"/>
  <c r="K39" i="811"/>
  <c r="G73" i="797"/>
  <c r="K98" i="798"/>
  <c r="G56" i="800"/>
  <c r="G58" i="800"/>
  <c r="G57" i="800"/>
  <c r="K80" i="800"/>
  <c r="G56" i="801"/>
  <c r="K78" i="801"/>
  <c r="K84" i="801" s="1"/>
  <c r="K13" i="802"/>
  <c r="G55" i="803"/>
  <c r="J126" i="803"/>
  <c r="J17" i="803" s="1"/>
  <c r="K69" i="798"/>
  <c r="G76" i="798"/>
  <c r="G49" i="802"/>
  <c r="G51" i="802"/>
  <c r="G48" i="802"/>
  <c r="G50" i="802"/>
  <c r="K109" i="807"/>
  <c r="G102" i="796"/>
  <c r="K54" i="800"/>
  <c r="G57" i="801"/>
  <c r="H109" i="801"/>
  <c r="H15" i="801" s="1"/>
  <c r="K15" i="801" s="1"/>
  <c r="G56" i="802"/>
  <c r="I56" i="807"/>
  <c r="J56" i="807" s="1"/>
  <c r="H56" i="807"/>
  <c r="K56" i="807" s="1"/>
  <c r="G42" i="798"/>
  <c r="H51" i="798"/>
  <c r="K51" i="798" s="1"/>
  <c r="G48" i="800"/>
  <c r="K73" i="800"/>
  <c r="K14" i="801"/>
  <c r="K111" i="801"/>
  <c r="K38" i="802"/>
  <c r="K80" i="802"/>
  <c r="K84" i="802" s="1"/>
  <c r="K101" i="802"/>
  <c r="K104" i="802" s="1"/>
  <c r="I50" i="804"/>
  <c r="J50" i="804" s="1"/>
  <c r="H50" i="804"/>
  <c r="G50" i="801"/>
  <c r="G51" i="803"/>
  <c r="K17" i="804"/>
  <c r="G48" i="804"/>
  <c r="G51" i="804"/>
  <c r="G56" i="804"/>
  <c r="K64" i="804"/>
  <c r="K80" i="805"/>
  <c r="K84" i="805" s="1"/>
  <c r="K111" i="806"/>
  <c r="K118" i="806" s="1"/>
  <c r="K73" i="808"/>
  <c r="K76" i="808" s="1"/>
  <c r="K87" i="808"/>
  <c r="K111" i="808"/>
  <c r="K118" i="808" s="1"/>
  <c r="H84" i="810"/>
  <c r="H14" i="810" s="1"/>
  <c r="K14" i="810" s="1"/>
  <c r="K78" i="810"/>
  <c r="K84" i="810" s="1"/>
  <c r="K44" i="811"/>
  <c r="K103" i="816"/>
  <c r="H76" i="806"/>
  <c r="H14" i="806" s="1"/>
  <c r="H109" i="807"/>
  <c r="H15" i="807" s="1"/>
  <c r="K15" i="807" s="1"/>
  <c r="H118" i="807"/>
  <c r="H16" i="807" s="1"/>
  <c r="K16" i="807" s="1"/>
  <c r="I55" i="811"/>
  <c r="J55" i="811" s="1"/>
  <c r="H55" i="811"/>
  <c r="G49" i="804"/>
  <c r="G57" i="804"/>
  <c r="H109" i="804"/>
  <c r="H15" i="804" s="1"/>
  <c r="I50" i="806"/>
  <c r="J50" i="806" s="1"/>
  <c r="H50" i="806"/>
  <c r="K50" i="806" s="1"/>
  <c r="J76" i="806"/>
  <c r="J14" i="806" s="1"/>
  <c r="K112" i="814"/>
  <c r="H118" i="814"/>
  <c r="H16" i="814" s="1"/>
  <c r="K16" i="814" s="1"/>
  <c r="K38" i="803"/>
  <c r="G56" i="806"/>
  <c r="K62" i="806"/>
  <c r="K73" i="806"/>
  <c r="K111" i="807"/>
  <c r="K118" i="807" s="1"/>
  <c r="H48" i="816"/>
  <c r="H12" i="816" s="1"/>
  <c r="K45" i="816"/>
  <c r="H76" i="807"/>
  <c r="H13" i="807" s="1"/>
  <c r="K13" i="807" s="1"/>
  <c r="J84" i="804"/>
  <c r="J14" i="804" s="1"/>
  <c r="K14" i="804" s="1"/>
  <c r="I49" i="808"/>
  <c r="J49" i="808" s="1"/>
  <c r="K49" i="808" s="1"/>
  <c r="K87" i="812"/>
  <c r="K38" i="804"/>
  <c r="J118" i="804"/>
  <c r="J16" i="804" s="1"/>
  <c r="K16" i="804" s="1"/>
  <c r="K38" i="805"/>
  <c r="G49" i="805"/>
  <c r="H76" i="805"/>
  <c r="H13" i="805" s="1"/>
  <c r="J109" i="805"/>
  <c r="J15" i="805" s="1"/>
  <c r="K17" i="805"/>
  <c r="K94" i="806"/>
  <c r="K54" i="807"/>
  <c r="K94" i="810"/>
  <c r="H109" i="810"/>
  <c r="H15" i="810" s="1"/>
  <c r="K15" i="810" s="1"/>
  <c r="H76" i="811"/>
  <c r="H13" i="811" s="1"/>
  <c r="K13" i="811" s="1"/>
  <c r="K62" i="811"/>
  <c r="K38" i="813"/>
  <c r="G48" i="813"/>
  <c r="G50" i="813"/>
  <c r="G51" i="813"/>
  <c r="G49" i="813"/>
  <c r="K120" i="803"/>
  <c r="K126" i="803" s="1"/>
  <c r="H126" i="803"/>
  <c r="H17" i="803" s="1"/>
  <c r="K17" i="803" s="1"/>
  <c r="K109" i="805"/>
  <c r="J118" i="805"/>
  <c r="J16" i="805" s="1"/>
  <c r="K16" i="805" s="1"/>
  <c r="H118" i="813"/>
  <c r="H16" i="813" s="1"/>
  <c r="K111" i="813"/>
  <c r="J118" i="816"/>
  <c r="H118" i="816"/>
  <c r="K71" i="804"/>
  <c r="K76" i="804" s="1"/>
  <c r="K81" i="804"/>
  <c r="K84" i="804" s="1"/>
  <c r="K39" i="805"/>
  <c r="K45" i="805"/>
  <c r="I55" i="805"/>
  <c r="J55" i="805" s="1"/>
  <c r="K55" i="805" s="1"/>
  <c r="J84" i="805"/>
  <c r="J14" i="805" s="1"/>
  <c r="K14" i="805" s="1"/>
  <c r="K111" i="805"/>
  <c r="K118" i="805" s="1"/>
  <c r="G58" i="806"/>
  <c r="K42" i="807"/>
  <c r="I94" i="809"/>
  <c r="J94" i="809" s="1"/>
  <c r="J109" i="809" s="1"/>
  <c r="J15" i="809" s="1"/>
  <c r="K87" i="810"/>
  <c r="K76" i="813"/>
  <c r="G56" i="805"/>
  <c r="K54" i="806"/>
  <c r="K78" i="806"/>
  <c r="K84" i="806" s="1"/>
  <c r="G55" i="808"/>
  <c r="G57" i="808"/>
  <c r="K53" i="808"/>
  <c r="G56" i="808"/>
  <c r="J76" i="808"/>
  <c r="J13" i="808" s="1"/>
  <c r="K13" i="808" s="1"/>
  <c r="K94" i="808"/>
  <c r="K16" i="812"/>
  <c r="K87" i="813"/>
  <c r="K38" i="814"/>
  <c r="G49" i="814"/>
  <c r="G51" i="814"/>
  <c r="G48" i="814"/>
  <c r="G50" i="814"/>
  <c r="G55" i="809"/>
  <c r="K67" i="809"/>
  <c r="K76" i="809" s="1"/>
  <c r="K87" i="809"/>
  <c r="H109" i="809"/>
  <c r="H15" i="809" s="1"/>
  <c r="K39" i="810"/>
  <c r="K45" i="811"/>
  <c r="H76" i="812"/>
  <c r="H13" i="812" s="1"/>
  <c r="K13" i="812" s="1"/>
  <c r="K40" i="816"/>
  <c r="K212" i="816"/>
  <c r="K76" i="810"/>
  <c r="G56" i="812"/>
  <c r="H168" i="816"/>
  <c r="J168" i="816"/>
  <c r="H50" i="808"/>
  <c r="K50" i="808" s="1"/>
  <c r="K17" i="810"/>
  <c r="I56" i="811"/>
  <c r="J56" i="811" s="1"/>
  <c r="K56" i="811" s="1"/>
  <c r="J76" i="813"/>
  <c r="J13" i="813" s="1"/>
  <c r="J76" i="814"/>
  <c r="J13" i="814" s="1"/>
  <c r="K13" i="814" s="1"/>
  <c r="J209" i="816"/>
  <c r="J18" i="816" s="1"/>
  <c r="G48" i="806"/>
  <c r="H109" i="806"/>
  <c r="H16" i="806" s="1"/>
  <c r="H118" i="806"/>
  <c r="H17" i="806" s="1"/>
  <c r="K17" i="806" s="1"/>
  <c r="G48" i="808"/>
  <c r="H84" i="808"/>
  <c r="H14" i="808" s="1"/>
  <c r="H109" i="808"/>
  <c r="H15" i="808" s="1"/>
  <c r="K15" i="808" s="1"/>
  <c r="H118" i="808"/>
  <c r="H16" i="808" s="1"/>
  <c r="K16" i="808" s="1"/>
  <c r="J76" i="809"/>
  <c r="J13" i="809" s="1"/>
  <c r="K13" i="809" s="1"/>
  <c r="K45" i="810"/>
  <c r="K41" i="811"/>
  <c r="H51" i="812"/>
  <c r="K51" i="812" s="1"/>
  <c r="K40" i="813"/>
  <c r="K112" i="813"/>
  <c r="K45" i="814"/>
  <c r="K71" i="814"/>
  <c r="G56" i="809"/>
  <c r="K111" i="809"/>
  <c r="H118" i="809"/>
  <c r="H16" i="809" s="1"/>
  <c r="K16" i="809" s="1"/>
  <c r="J118" i="810"/>
  <c r="J16" i="810" s="1"/>
  <c r="K16" i="810" s="1"/>
  <c r="H57" i="811"/>
  <c r="K57" i="811" s="1"/>
  <c r="H57" i="812"/>
  <c r="K57" i="812" s="1"/>
  <c r="K64" i="812"/>
  <c r="H84" i="812"/>
  <c r="H14" i="812" s="1"/>
  <c r="K14" i="812" s="1"/>
  <c r="K80" i="813"/>
  <c r="K84" i="813" s="1"/>
  <c r="H84" i="813"/>
  <c r="H14" i="813" s="1"/>
  <c r="K14" i="813" s="1"/>
  <c r="H98" i="816"/>
  <c r="H13" i="816" s="1"/>
  <c r="G50" i="810"/>
  <c r="K87" i="811"/>
  <c r="K109" i="811" s="1"/>
  <c r="H109" i="811"/>
  <c r="H15" i="811" s="1"/>
  <c r="K15" i="811" s="1"/>
  <c r="K111" i="811"/>
  <c r="K118" i="811" s="1"/>
  <c r="H118" i="811"/>
  <c r="H16" i="811" s="1"/>
  <c r="K16" i="811" s="1"/>
  <c r="G51" i="806"/>
  <c r="G57" i="807"/>
  <c r="G51" i="808"/>
  <c r="K53" i="809"/>
  <c r="K67" i="811"/>
  <c r="G58" i="812"/>
  <c r="I56" i="813"/>
  <c r="J56" i="813" s="1"/>
  <c r="K56" i="813" s="1"/>
  <c r="K41" i="814"/>
  <c r="K64" i="814"/>
  <c r="K54" i="812"/>
  <c r="I94" i="812"/>
  <c r="J94" i="812" s="1"/>
  <c r="J109" i="812" s="1"/>
  <c r="J15" i="812" s="1"/>
  <c r="H94" i="812"/>
  <c r="H109" i="814"/>
  <c r="H15" i="814" s="1"/>
  <c r="H57" i="809"/>
  <c r="K57" i="809" s="1"/>
  <c r="G51" i="810"/>
  <c r="G48" i="811"/>
  <c r="K39" i="812"/>
  <c r="I48" i="812"/>
  <c r="J48" i="812" s="1"/>
  <c r="K48" i="812" s="1"/>
  <c r="H94" i="813"/>
  <c r="K94" i="813" s="1"/>
  <c r="G56" i="814"/>
  <c r="I94" i="814"/>
  <c r="J94" i="814" s="1"/>
  <c r="K94" i="814" s="1"/>
  <c r="K52" i="816"/>
  <c r="J98" i="816"/>
  <c r="J13" i="816" s="1"/>
  <c r="J109" i="816"/>
  <c r="H109" i="816"/>
  <c r="K188" i="816"/>
  <c r="H50" i="809"/>
  <c r="K50" i="809" s="1"/>
  <c r="G49" i="810"/>
  <c r="H76" i="810"/>
  <c r="H13" i="810" s="1"/>
  <c r="K13" i="810" s="1"/>
  <c r="K88" i="816"/>
  <c r="K187" i="816"/>
  <c r="K206" i="816"/>
  <c r="K244" i="816"/>
  <c r="H111" i="818"/>
  <c r="I111" i="818"/>
  <c r="J111" i="818" s="1"/>
  <c r="J213" i="816"/>
  <c r="J234" i="816" s="1"/>
  <c r="J19" i="816" s="1"/>
  <c r="K331" i="816"/>
  <c r="K62" i="817"/>
  <c r="K57" i="816"/>
  <c r="K80" i="816"/>
  <c r="J151" i="816"/>
  <c r="K151" i="816" s="1"/>
  <c r="H156" i="816"/>
  <c r="K156" i="816" s="1"/>
  <c r="H213" i="816"/>
  <c r="H48" i="818"/>
  <c r="K48" i="818" s="1"/>
  <c r="E63" i="818"/>
  <c r="K54" i="813"/>
  <c r="G57" i="813"/>
  <c r="K111" i="814"/>
  <c r="K72" i="816"/>
  <c r="E135" i="816"/>
  <c r="K276" i="816"/>
  <c r="K12" i="817"/>
  <c r="K39" i="818"/>
  <c r="K134" i="818"/>
  <c r="K142" i="818"/>
  <c r="K88" i="817"/>
  <c r="G91" i="817"/>
  <c r="G90" i="817"/>
  <c r="G89" i="817"/>
  <c r="K87" i="814"/>
  <c r="K165" i="816"/>
  <c r="A17" i="819"/>
  <c r="B109" i="819"/>
  <c r="H209" i="816"/>
  <c r="H18" i="816" s="1"/>
  <c r="K204" i="816"/>
  <c r="K295" i="816"/>
  <c r="I74" i="819"/>
  <c r="J74" i="819" s="1"/>
  <c r="J76" i="819" s="1"/>
  <c r="J15" i="819" s="1"/>
  <c r="H74" i="819"/>
  <c r="K96" i="816"/>
  <c r="H189" i="816"/>
  <c r="J272" i="816"/>
  <c r="J284" i="816" s="1"/>
  <c r="J21" i="816" s="1"/>
  <c r="H272" i="816"/>
  <c r="J105" i="816"/>
  <c r="K105" i="816" s="1"/>
  <c r="J149" i="816"/>
  <c r="K149" i="816" s="1"/>
  <c r="H279" i="816"/>
  <c r="K156" i="817"/>
  <c r="J173" i="816"/>
  <c r="K173" i="816" s="1"/>
  <c r="K150" i="817"/>
  <c r="I65" i="817"/>
  <c r="J65" i="817" s="1"/>
  <c r="H65" i="817"/>
  <c r="K75" i="817"/>
  <c r="G96" i="817"/>
  <c r="G95" i="817"/>
  <c r="K93" i="817"/>
  <c r="G97" i="817"/>
  <c r="G167" i="817"/>
  <c r="I110" i="818"/>
  <c r="J110" i="818" s="1"/>
  <c r="K110" i="818" s="1"/>
  <c r="K124" i="818"/>
  <c r="K178" i="819"/>
  <c r="K19" i="817"/>
  <c r="K71" i="817"/>
  <c r="K137" i="817"/>
  <c r="H78" i="818"/>
  <c r="I78" i="818"/>
  <c r="J78" i="818" s="1"/>
  <c r="K175" i="819"/>
  <c r="G153" i="819"/>
  <c r="K63" i="820"/>
  <c r="J70" i="820"/>
  <c r="J14" i="820" s="1"/>
  <c r="K354" i="816"/>
  <c r="H384" i="816"/>
  <c r="H26" i="816" s="1"/>
  <c r="K67" i="817"/>
  <c r="K140" i="817"/>
  <c r="K75" i="818"/>
  <c r="K80" i="818"/>
  <c r="K103" i="818"/>
  <c r="K136" i="818"/>
  <c r="K145" i="818"/>
  <c r="G199" i="818"/>
  <c r="J50" i="819"/>
  <c r="K50" i="819" s="1"/>
  <c r="K80" i="819"/>
  <c r="J102" i="817"/>
  <c r="J109" i="817" s="1"/>
  <c r="J16" i="817" s="1"/>
  <c r="H285" i="816"/>
  <c r="K142" i="817"/>
  <c r="K45" i="818"/>
  <c r="K121" i="818"/>
  <c r="K138" i="818"/>
  <c r="K39" i="819"/>
  <c r="I91" i="819"/>
  <c r="J91" i="819" s="1"/>
  <c r="K91" i="819" s="1"/>
  <c r="J150" i="819"/>
  <c r="K150" i="819" s="1"/>
  <c r="K52" i="817"/>
  <c r="H109" i="817"/>
  <c r="H16" i="817" s="1"/>
  <c r="K71" i="818"/>
  <c r="K95" i="818"/>
  <c r="K40" i="819"/>
  <c r="H59" i="819"/>
  <c r="H13" i="819" s="1"/>
  <c r="K55" i="819"/>
  <c r="K166" i="817"/>
  <c r="I72" i="818"/>
  <c r="J72" i="818" s="1"/>
  <c r="H72" i="818"/>
  <c r="K139" i="818"/>
  <c r="K162" i="818"/>
  <c r="H178" i="818"/>
  <c r="H19" i="818" s="1"/>
  <c r="K196" i="818"/>
  <c r="E102" i="819"/>
  <c r="H82" i="819"/>
  <c r="G152" i="819"/>
  <c r="K41" i="817"/>
  <c r="K42" i="818"/>
  <c r="H59" i="817"/>
  <c r="H13" i="817" s="1"/>
  <c r="J118" i="817"/>
  <c r="H118" i="817"/>
  <c r="K86" i="818"/>
  <c r="K91" i="818"/>
  <c r="H129" i="818"/>
  <c r="H16" i="818" s="1"/>
  <c r="K122" i="818"/>
  <c r="K133" i="818"/>
  <c r="K141" i="818"/>
  <c r="J150" i="818"/>
  <c r="K150" i="818" s="1"/>
  <c r="K184" i="818"/>
  <c r="K37" i="819"/>
  <c r="K147" i="819"/>
  <c r="E163" i="819"/>
  <c r="K213" i="819"/>
  <c r="K23" i="823"/>
  <c r="K127" i="823"/>
  <c r="G222" i="823"/>
  <c r="K216" i="823"/>
  <c r="K251" i="823"/>
  <c r="K264" i="823"/>
  <c r="K182" i="819"/>
  <c r="J214" i="819"/>
  <c r="J216" i="819" s="1"/>
  <c r="J23" i="819" s="1"/>
  <c r="H214" i="819"/>
  <c r="J104" i="822"/>
  <c r="H104" i="822"/>
  <c r="H189" i="823"/>
  <c r="H190" i="819"/>
  <c r="H21" i="819" s="1"/>
  <c r="J112" i="821"/>
  <c r="J44" i="823"/>
  <c r="H44" i="823"/>
  <c r="K44" i="823" s="1"/>
  <c r="K182" i="823"/>
  <c r="K248" i="823"/>
  <c r="K260" i="823"/>
  <c r="J155" i="823"/>
  <c r="H155" i="823"/>
  <c r="J101" i="820"/>
  <c r="J49" i="823"/>
  <c r="J12" i="823" s="1"/>
  <c r="K280" i="823"/>
  <c r="K292" i="823"/>
  <c r="G317" i="823"/>
  <c r="K169" i="819"/>
  <c r="J228" i="823"/>
  <c r="K257" i="823"/>
  <c r="K84" i="824"/>
  <c r="J151" i="823"/>
  <c r="H151" i="823"/>
  <c r="H70" i="821"/>
  <c r="H13" i="821" s="1"/>
  <c r="K63" i="821"/>
  <c r="J118" i="821"/>
  <c r="H59" i="823"/>
  <c r="H13" i="823" s="1"/>
  <c r="K13" i="823" s="1"/>
  <c r="K53" i="823"/>
  <c r="K59" i="823" s="1"/>
  <c r="G141" i="823"/>
  <c r="G143" i="823"/>
  <c r="G142" i="823"/>
  <c r="K218" i="823"/>
  <c r="K289" i="823"/>
  <c r="J161" i="823"/>
  <c r="H161" i="823"/>
  <c r="K161" i="823" s="1"/>
  <c r="K189" i="821"/>
  <c r="K180" i="819"/>
  <c r="K193" i="819"/>
  <c r="K87" i="820"/>
  <c r="J136" i="820"/>
  <c r="H136" i="820"/>
  <c r="K158" i="823"/>
  <c r="K169" i="823"/>
  <c r="J226" i="823"/>
  <c r="H226" i="823"/>
  <c r="K286" i="823"/>
  <c r="H101" i="820"/>
  <c r="H107" i="820"/>
  <c r="H112" i="821"/>
  <c r="H118" i="821"/>
  <c r="I37" i="822"/>
  <c r="J37" i="822" s="1"/>
  <c r="K88" i="822"/>
  <c r="H228" i="823"/>
  <c r="E237" i="823"/>
  <c r="K37" i="824"/>
  <c r="K48" i="824" s="1"/>
  <c r="J136" i="823"/>
  <c r="K136" i="823" s="1"/>
  <c r="E202" i="823"/>
  <c r="K311" i="823"/>
  <c r="G92" i="822"/>
  <c r="G91" i="820"/>
  <c r="K125" i="820"/>
  <c r="H38" i="822"/>
  <c r="H100" i="822"/>
  <c r="H224" i="823"/>
  <c r="H108" i="820"/>
  <c r="K108" i="820" s="1"/>
  <c r="H119" i="821"/>
  <c r="K119" i="821" s="1"/>
  <c r="H108" i="822"/>
  <c r="K108" i="822" s="1"/>
  <c r="H121" i="823"/>
  <c r="K88" i="820"/>
  <c r="K102" i="821"/>
  <c r="K63" i="822"/>
  <c r="H98" i="822"/>
  <c r="J121" i="823"/>
  <c r="H47" i="822"/>
  <c r="H112" i="823"/>
  <c r="K112" i="823" s="1"/>
  <c r="K117" i="823" s="1"/>
  <c r="K37" i="823"/>
  <c r="J277" i="823"/>
  <c r="J21" i="823" s="1"/>
  <c r="K21" i="823" s="1"/>
  <c r="K76" i="812" l="1"/>
  <c r="K16" i="806"/>
  <c r="K13" i="813"/>
  <c r="K118" i="813"/>
  <c r="I46" i="791"/>
  <c r="J46" i="791" s="1"/>
  <c r="K46" i="791" s="1"/>
  <c r="H113" i="784"/>
  <c r="K113" i="784" s="1"/>
  <c r="K76" i="807"/>
  <c r="G82" i="828"/>
  <c r="G221" i="823"/>
  <c r="G155" i="818"/>
  <c r="I155" i="818" s="1"/>
  <c r="J155" i="818" s="1"/>
  <c r="J59" i="817"/>
  <c r="J13" i="817" s="1"/>
  <c r="K13" i="817" s="1"/>
  <c r="K76" i="814"/>
  <c r="K118" i="809"/>
  <c r="K14" i="808"/>
  <c r="K16" i="813"/>
  <c r="K109" i="806"/>
  <c r="K13" i="805"/>
  <c r="K84" i="803"/>
  <c r="K13" i="804"/>
  <c r="G82" i="827"/>
  <c r="K49" i="823"/>
  <c r="K155" i="823"/>
  <c r="K46" i="817"/>
  <c r="K118" i="814"/>
  <c r="K109" i="813"/>
  <c r="H57" i="806"/>
  <c r="K57" i="806" s="1"/>
  <c r="K76" i="803"/>
  <c r="K50" i="800"/>
  <c r="K57" i="770"/>
  <c r="K13" i="770" s="1"/>
  <c r="K34" i="770" s="1"/>
  <c r="K15" i="767" s="1"/>
  <c r="J58" i="768"/>
  <c r="J13" i="768" s="1"/>
  <c r="J34" i="768" s="1"/>
  <c r="J13" i="767" s="1"/>
  <c r="K47" i="771"/>
  <c r="K57" i="771" s="1"/>
  <c r="K13" i="771" s="1"/>
  <c r="K34" i="771" s="1"/>
  <c r="K16" i="767" s="1"/>
  <c r="K89" i="786"/>
  <c r="G84" i="831"/>
  <c r="K93" i="821"/>
  <c r="G93" i="822"/>
  <c r="I93" i="822" s="1"/>
  <c r="J93" i="822" s="1"/>
  <c r="K89" i="822"/>
  <c r="G84" i="822"/>
  <c r="I84" i="822" s="1"/>
  <c r="J84" i="822" s="1"/>
  <c r="G83" i="822"/>
  <c r="H83" i="822" s="1"/>
  <c r="K13" i="822"/>
  <c r="K80" i="822"/>
  <c r="G83" i="831"/>
  <c r="H83" i="831" s="1"/>
  <c r="G82" i="831"/>
  <c r="I82" i="831" s="1"/>
  <c r="J82" i="831" s="1"/>
  <c r="H114" i="831"/>
  <c r="K114" i="831" s="1"/>
  <c r="H116" i="830"/>
  <c r="K116" i="830" s="1"/>
  <c r="G82" i="830"/>
  <c r="I82" i="830" s="1"/>
  <c r="J82" i="830" s="1"/>
  <c r="G84" i="830"/>
  <c r="I84" i="830" s="1"/>
  <c r="J84" i="830" s="1"/>
  <c r="H115" i="830"/>
  <c r="K115" i="830" s="1"/>
  <c r="G83" i="830"/>
  <c r="I83" i="830" s="1"/>
  <c r="J83" i="830" s="1"/>
  <c r="H116" i="829"/>
  <c r="K116" i="829" s="1"/>
  <c r="G92" i="829"/>
  <c r="I92" i="829" s="1"/>
  <c r="J92" i="829" s="1"/>
  <c r="G93" i="829"/>
  <c r="I93" i="829" s="1"/>
  <c r="J93" i="829" s="1"/>
  <c r="K89" i="829"/>
  <c r="H114" i="829"/>
  <c r="K114" i="829" s="1"/>
  <c r="G82" i="829"/>
  <c r="G84" i="829"/>
  <c r="H84" i="829" s="1"/>
  <c r="G83" i="829"/>
  <c r="I83" i="829" s="1"/>
  <c r="J83" i="829" s="1"/>
  <c r="G84" i="828"/>
  <c r="I84" i="828" s="1"/>
  <c r="J84" i="828" s="1"/>
  <c r="G83" i="828"/>
  <c r="H83" i="828" s="1"/>
  <c r="K79" i="828"/>
  <c r="H114" i="828"/>
  <c r="K114" i="828" s="1"/>
  <c r="G91" i="827"/>
  <c r="I91" i="827" s="1"/>
  <c r="J91" i="827" s="1"/>
  <c r="H45" i="827"/>
  <c r="K45" i="827" s="1"/>
  <c r="J49" i="827"/>
  <c r="J12" i="827" s="1"/>
  <c r="K89" i="827"/>
  <c r="K79" i="827"/>
  <c r="G92" i="827"/>
  <c r="I92" i="827" s="1"/>
  <c r="J92" i="827" s="1"/>
  <c r="G91" i="826"/>
  <c r="I91" i="826" s="1"/>
  <c r="J91" i="826" s="1"/>
  <c r="G83" i="826"/>
  <c r="I83" i="826" s="1"/>
  <c r="J83" i="826" s="1"/>
  <c r="H114" i="826"/>
  <c r="K114" i="826" s="1"/>
  <c r="K89" i="826"/>
  <c r="G84" i="826"/>
  <c r="H84" i="826" s="1"/>
  <c r="K79" i="826"/>
  <c r="K74" i="821"/>
  <c r="G98" i="821"/>
  <c r="I98" i="821" s="1"/>
  <c r="J98" i="821" s="1"/>
  <c r="G96" i="821"/>
  <c r="H96" i="821" s="1"/>
  <c r="K103" i="821"/>
  <c r="G105" i="821"/>
  <c r="H105" i="821" s="1"/>
  <c r="K13" i="821"/>
  <c r="J125" i="821"/>
  <c r="K125" i="821" s="1"/>
  <c r="J127" i="821"/>
  <c r="K127" i="821" s="1"/>
  <c r="K81" i="820"/>
  <c r="K89" i="820"/>
  <c r="G83" i="820"/>
  <c r="I83" i="820" s="1"/>
  <c r="J83" i="820" s="1"/>
  <c r="G82" i="820"/>
  <c r="I82" i="820" s="1"/>
  <c r="J82" i="820" s="1"/>
  <c r="K84" i="819"/>
  <c r="J259" i="819"/>
  <c r="J24" i="819" s="1"/>
  <c r="G121" i="816"/>
  <c r="H121" i="816" s="1"/>
  <c r="K121" i="816" s="1"/>
  <c r="J259" i="816"/>
  <c r="J20" i="816" s="1"/>
  <c r="K366" i="816"/>
  <c r="K384" i="816" s="1"/>
  <c r="K339" i="816"/>
  <c r="K342" i="816" s="1"/>
  <c r="K241" i="816"/>
  <c r="K349" i="816"/>
  <c r="J352" i="816"/>
  <c r="J24" i="816" s="1"/>
  <c r="K25" i="816"/>
  <c r="G192" i="816"/>
  <c r="I192" i="816" s="1"/>
  <c r="J192" i="816" s="1"/>
  <c r="G193" i="816"/>
  <c r="H193" i="816" s="1"/>
  <c r="K37" i="816"/>
  <c r="K48" i="816" s="1"/>
  <c r="H94" i="784"/>
  <c r="K94" i="784" s="1"/>
  <c r="I145" i="784"/>
  <c r="J145" i="784" s="1"/>
  <c r="J159" i="784" s="1"/>
  <c r="J16" i="784" s="1"/>
  <c r="K16" i="784" s="1"/>
  <c r="H159" i="784"/>
  <c r="H16" i="784" s="1"/>
  <c r="I144" i="784"/>
  <c r="J144" i="784" s="1"/>
  <c r="K144" i="784" s="1"/>
  <c r="I112" i="784"/>
  <c r="J112" i="784" s="1"/>
  <c r="K112" i="784" s="1"/>
  <c r="K12" i="824"/>
  <c r="K34" i="824" s="1"/>
  <c r="K171" i="827"/>
  <c r="H84" i="821"/>
  <c r="H14" i="821" s="1"/>
  <c r="K14" i="821" s="1"/>
  <c r="K70" i="822"/>
  <c r="G156" i="818"/>
  <c r="I156" i="818" s="1"/>
  <c r="J156" i="818" s="1"/>
  <c r="K129" i="817"/>
  <c r="G131" i="817"/>
  <c r="H131" i="817" s="1"/>
  <c r="G132" i="817"/>
  <c r="I132" i="817" s="1"/>
  <c r="J132" i="817" s="1"/>
  <c r="G84" i="827"/>
  <c r="H84" i="827" s="1"/>
  <c r="G83" i="827"/>
  <c r="H83" i="827" s="1"/>
  <c r="K46" i="827"/>
  <c r="J209" i="822"/>
  <c r="J19" i="822" s="1"/>
  <c r="J209" i="830"/>
  <c r="G202" i="827"/>
  <c r="H202" i="827" s="1"/>
  <c r="K202" i="827" s="1"/>
  <c r="J209" i="820"/>
  <c r="J19" i="820" s="1"/>
  <c r="J114" i="820"/>
  <c r="J122" i="820" s="1"/>
  <c r="J16" i="820" s="1"/>
  <c r="K13" i="819"/>
  <c r="J103" i="819"/>
  <c r="K103" i="819" s="1"/>
  <c r="G234" i="819"/>
  <c r="H234" i="819" s="1"/>
  <c r="K234" i="819" s="1"/>
  <c r="G111" i="816"/>
  <c r="I111" i="816" s="1"/>
  <c r="J111" i="816" s="1"/>
  <c r="K190" i="816"/>
  <c r="K189" i="816"/>
  <c r="H184" i="816"/>
  <c r="H16" i="816" s="1"/>
  <c r="H348" i="816"/>
  <c r="K348" i="816" s="1"/>
  <c r="K359" i="816"/>
  <c r="J59" i="818"/>
  <c r="J12" i="818" s="1"/>
  <c r="G84" i="820"/>
  <c r="I84" i="820" s="1"/>
  <c r="J84" i="820" s="1"/>
  <c r="G196" i="825"/>
  <c r="H196" i="825" s="1"/>
  <c r="K196" i="825" s="1"/>
  <c r="K45" i="825"/>
  <c r="G202" i="826"/>
  <c r="H202" i="826" s="1"/>
  <c r="K202" i="826" s="1"/>
  <c r="J48" i="822"/>
  <c r="J59" i="822" s="1"/>
  <c r="J12" i="822" s="1"/>
  <c r="H48" i="822"/>
  <c r="H59" i="822" s="1"/>
  <c r="H12" i="822" s="1"/>
  <c r="J46" i="831"/>
  <c r="J49" i="831" s="1"/>
  <c r="J12" i="831" s="1"/>
  <c r="H46" i="831"/>
  <c r="H49" i="831" s="1"/>
  <c r="H12" i="831" s="1"/>
  <c r="J46" i="830"/>
  <c r="J49" i="830" s="1"/>
  <c r="J12" i="830" s="1"/>
  <c r="H46" i="830"/>
  <c r="H49" i="830" s="1"/>
  <c r="H12" i="830" s="1"/>
  <c r="J46" i="829"/>
  <c r="J49" i="829" s="1"/>
  <c r="J12" i="829" s="1"/>
  <c r="H46" i="829"/>
  <c r="J209" i="829"/>
  <c r="J70" i="829"/>
  <c r="J14" i="829" s="1"/>
  <c r="K14" i="829" s="1"/>
  <c r="J46" i="828"/>
  <c r="J49" i="828" s="1"/>
  <c r="J12" i="828" s="1"/>
  <c r="H46" i="828"/>
  <c r="H49" i="828" s="1"/>
  <c r="H12" i="828" s="1"/>
  <c r="J46" i="826"/>
  <c r="J49" i="826" s="1"/>
  <c r="J12" i="826" s="1"/>
  <c r="H46" i="826"/>
  <c r="H93" i="822"/>
  <c r="K93" i="822" s="1"/>
  <c r="K197" i="822"/>
  <c r="J234" i="821"/>
  <c r="J19" i="821" s="1"/>
  <c r="J209" i="831"/>
  <c r="J19" i="831" s="1"/>
  <c r="J209" i="828"/>
  <c r="J19" i="828" s="1"/>
  <c r="J234" i="828"/>
  <c r="K198" i="827"/>
  <c r="K198" i="826"/>
  <c r="J209" i="819"/>
  <c r="J22" i="819" s="1"/>
  <c r="K203" i="819"/>
  <c r="K204" i="822"/>
  <c r="G205" i="822"/>
  <c r="H205" i="822" s="1"/>
  <c r="K46" i="822"/>
  <c r="K204" i="831"/>
  <c r="G205" i="831"/>
  <c r="H205" i="831" s="1"/>
  <c r="K205" i="831" s="1"/>
  <c r="K204" i="830"/>
  <c r="G205" i="830"/>
  <c r="H205" i="830" s="1"/>
  <c r="K205" i="830" s="1"/>
  <c r="K204" i="829"/>
  <c r="G205" i="829"/>
  <c r="H205" i="829" s="1"/>
  <c r="K205" i="829" s="1"/>
  <c r="K229" i="828"/>
  <c r="G230" i="828"/>
  <c r="H230" i="828" s="1"/>
  <c r="K230" i="828" s="1"/>
  <c r="K204" i="828"/>
  <c r="G205" i="828"/>
  <c r="H205" i="828" s="1"/>
  <c r="K205" i="828" s="1"/>
  <c r="K204" i="827"/>
  <c r="G205" i="827"/>
  <c r="H205" i="827" s="1"/>
  <c r="K204" i="826"/>
  <c r="G205" i="826"/>
  <c r="H205" i="826" s="1"/>
  <c r="K205" i="826" s="1"/>
  <c r="H92" i="826"/>
  <c r="K92" i="826" s="1"/>
  <c r="K218" i="821"/>
  <c r="G219" i="821"/>
  <c r="H219" i="821" s="1"/>
  <c r="J57" i="821"/>
  <c r="K57" i="821" s="1"/>
  <c r="H44" i="825"/>
  <c r="K44" i="825" s="1"/>
  <c r="K198" i="825"/>
  <c r="G199" i="825"/>
  <c r="H199" i="825" s="1"/>
  <c r="K199" i="825" s="1"/>
  <c r="K204" i="820"/>
  <c r="G205" i="820"/>
  <c r="H205" i="820" s="1"/>
  <c r="H92" i="819"/>
  <c r="K92" i="819" s="1"/>
  <c r="K236" i="819"/>
  <c r="G237" i="819"/>
  <c r="H237" i="819" s="1"/>
  <c r="K237" i="819" s="1"/>
  <c r="J44" i="820"/>
  <c r="J48" i="820" s="1"/>
  <c r="J12" i="820" s="1"/>
  <c r="K58" i="821"/>
  <c r="K13" i="827"/>
  <c r="K174" i="827"/>
  <c r="H45" i="829"/>
  <c r="K171" i="830"/>
  <c r="K45" i="820"/>
  <c r="K165" i="822"/>
  <c r="K47" i="822"/>
  <c r="K162" i="822"/>
  <c r="K184" i="822"/>
  <c r="K18" i="822" s="1"/>
  <c r="K100" i="822"/>
  <c r="G166" i="822"/>
  <c r="K174" i="830"/>
  <c r="K102" i="830"/>
  <c r="G175" i="830"/>
  <c r="K171" i="829"/>
  <c r="K174" i="829"/>
  <c r="G175" i="829"/>
  <c r="K59" i="829"/>
  <c r="K13" i="829"/>
  <c r="J184" i="828"/>
  <c r="J18" i="828" s="1"/>
  <c r="K171" i="828"/>
  <c r="K174" i="828"/>
  <c r="H175" i="828"/>
  <c r="H70" i="827"/>
  <c r="H14" i="827" s="1"/>
  <c r="K14" i="827" s="1"/>
  <c r="G175" i="827"/>
  <c r="K101" i="826"/>
  <c r="H190" i="821"/>
  <c r="J190" i="821"/>
  <c r="K103" i="825"/>
  <c r="H173" i="825"/>
  <c r="J173" i="825"/>
  <c r="K65" i="820"/>
  <c r="K70" i="820" s="1"/>
  <c r="K107" i="820"/>
  <c r="K173" i="820"/>
  <c r="H207" i="819"/>
  <c r="K207" i="819" s="1"/>
  <c r="K170" i="820"/>
  <c r="G174" i="820"/>
  <c r="J68" i="819"/>
  <c r="J14" i="819" s="1"/>
  <c r="K14" i="819" s="1"/>
  <c r="J174" i="831"/>
  <c r="H174" i="831"/>
  <c r="G175" i="831" s="1"/>
  <c r="K103" i="831"/>
  <c r="H92" i="831"/>
  <c r="K92" i="831" s="1"/>
  <c r="I91" i="830"/>
  <c r="J91" i="830" s="1"/>
  <c r="K91" i="830" s="1"/>
  <c r="K103" i="829"/>
  <c r="K103" i="827"/>
  <c r="K120" i="827" s="1"/>
  <c r="J174" i="826"/>
  <c r="H174" i="826"/>
  <c r="K70" i="821"/>
  <c r="K76" i="821"/>
  <c r="I91" i="822"/>
  <c r="J91" i="822" s="1"/>
  <c r="K91" i="822" s="1"/>
  <c r="H184" i="822"/>
  <c r="H18" i="822" s="1"/>
  <c r="K37" i="822"/>
  <c r="K104" i="822"/>
  <c r="J113" i="822"/>
  <c r="J15" i="822" s="1"/>
  <c r="H91" i="831"/>
  <c r="K91" i="831" s="1"/>
  <c r="K70" i="831"/>
  <c r="H93" i="831"/>
  <c r="K93" i="831" s="1"/>
  <c r="H70" i="831"/>
  <c r="H14" i="831" s="1"/>
  <c r="K14" i="831" s="1"/>
  <c r="K13" i="831"/>
  <c r="J122" i="831"/>
  <c r="J16" i="831" s="1"/>
  <c r="K101" i="831"/>
  <c r="K59" i="831"/>
  <c r="J17" i="831"/>
  <c r="H17" i="831"/>
  <c r="J122" i="830"/>
  <c r="J16" i="830" s="1"/>
  <c r="K14" i="830"/>
  <c r="K65" i="830"/>
  <c r="K70" i="830" s="1"/>
  <c r="H93" i="830"/>
  <c r="K93" i="830" s="1"/>
  <c r="K103" i="830"/>
  <c r="K59" i="830"/>
  <c r="H92" i="830"/>
  <c r="K92" i="830" s="1"/>
  <c r="H17" i="830"/>
  <c r="J17" i="830"/>
  <c r="K70" i="829"/>
  <c r="J122" i="829"/>
  <c r="J16" i="829" s="1"/>
  <c r="I91" i="829"/>
  <c r="J91" i="829" s="1"/>
  <c r="K91" i="829" s="1"/>
  <c r="H17" i="829"/>
  <c r="K102" i="829"/>
  <c r="J17" i="829"/>
  <c r="H92" i="828"/>
  <c r="K92" i="828" s="1"/>
  <c r="H91" i="828"/>
  <c r="K91" i="828" s="1"/>
  <c r="K70" i="828"/>
  <c r="K13" i="828"/>
  <c r="K102" i="828"/>
  <c r="K59" i="828"/>
  <c r="K103" i="828"/>
  <c r="J17" i="828"/>
  <c r="H70" i="828"/>
  <c r="H14" i="828" s="1"/>
  <c r="K14" i="828" s="1"/>
  <c r="H93" i="828"/>
  <c r="K93" i="828" s="1"/>
  <c r="J122" i="828"/>
  <c r="J16" i="828" s="1"/>
  <c r="H17" i="827"/>
  <c r="J120" i="827"/>
  <c r="J16" i="827" s="1"/>
  <c r="J17" i="827"/>
  <c r="K70" i="827"/>
  <c r="K59" i="827"/>
  <c r="H93" i="827"/>
  <c r="K93" i="827" s="1"/>
  <c r="H70" i="826"/>
  <c r="H14" i="826" s="1"/>
  <c r="K14" i="826" s="1"/>
  <c r="K59" i="826"/>
  <c r="J17" i="826"/>
  <c r="K70" i="826"/>
  <c r="J122" i="826"/>
  <c r="J16" i="826" s="1"/>
  <c r="H93" i="826"/>
  <c r="K93" i="826" s="1"/>
  <c r="H17" i="826"/>
  <c r="H97" i="821"/>
  <c r="K97" i="821" s="1"/>
  <c r="H106" i="821"/>
  <c r="K106" i="821" s="1"/>
  <c r="K114" i="821"/>
  <c r="H93" i="820"/>
  <c r="K93" i="820" s="1"/>
  <c r="K13" i="820"/>
  <c r="K18" i="819"/>
  <c r="K144" i="819"/>
  <c r="J16" i="822"/>
  <c r="H84" i="831"/>
  <c r="I84" i="831"/>
  <c r="J84" i="831" s="1"/>
  <c r="I83" i="831"/>
  <c r="J83" i="831" s="1"/>
  <c r="K45" i="831"/>
  <c r="H82" i="831"/>
  <c r="H84" i="830"/>
  <c r="K13" i="830"/>
  <c r="K45" i="830"/>
  <c r="I82" i="829"/>
  <c r="J82" i="829" s="1"/>
  <c r="H82" i="829"/>
  <c r="H17" i="828"/>
  <c r="K45" i="828"/>
  <c r="I82" i="828"/>
  <c r="J82" i="828" s="1"/>
  <c r="H82" i="828"/>
  <c r="I82" i="827"/>
  <c r="J82" i="827" s="1"/>
  <c r="H82" i="827"/>
  <c r="H120" i="827"/>
  <c r="H16" i="827" s="1"/>
  <c r="H49" i="827"/>
  <c r="H12" i="827" s="1"/>
  <c r="K45" i="826"/>
  <c r="I82" i="826"/>
  <c r="J82" i="826" s="1"/>
  <c r="H82" i="826"/>
  <c r="K13" i="826"/>
  <c r="H59" i="821"/>
  <c r="H12" i="821" s="1"/>
  <c r="J17" i="821"/>
  <c r="K70" i="825"/>
  <c r="K106" i="825"/>
  <c r="K59" i="825"/>
  <c r="I91" i="825"/>
  <c r="J91" i="825" s="1"/>
  <c r="K91" i="825" s="1"/>
  <c r="H82" i="825"/>
  <c r="K82" i="825" s="1"/>
  <c r="J17" i="825"/>
  <c r="K13" i="825"/>
  <c r="H70" i="825"/>
  <c r="H14" i="825" s="1"/>
  <c r="K14" i="825" s="1"/>
  <c r="J122" i="825"/>
  <c r="J16" i="825" s="1"/>
  <c r="H93" i="825"/>
  <c r="K93" i="825" s="1"/>
  <c r="H92" i="825"/>
  <c r="I92" i="825"/>
  <c r="J92" i="825" s="1"/>
  <c r="I83" i="825"/>
  <c r="J83" i="825" s="1"/>
  <c r="H83" i="825"/>
  <c r="I84" i="825"/>
  <c r="J84" i="825" s="1"/>
  <c r="H84" i="825"/>
  <c r="H122" i="825"/>
  <c r="H16" i="825" s="1"/>
  <c r="K59" i="820"/>
  <c r="H48" i="820"/>
  <c r="H12" i="820" s="1"/>
  <c r="H138" i="820"/>
  <c r="K138" i="820" s="1"/>
  <c r="K14" i="820"/>
  <c r="K214" i="819"/>
  <c r="K216" i="819" s="1"/>
  <c r="K23" i="819" s="1"/>
  <c r="K19" i="818"/>
  <c r="J129" i="818"/>
  <c r="J16" i="818" s="1"/>
  <c r="K16" i="818" s="1"/>
  <c r="J99" i="818"/>
  <c r="J14" i="818" s="1"/>
  <c r="K178" i="818"/>
  <c r="J84" i="817"/>
  <c r="J14" i="817" s="1"/>
  <c r="J123" i="817"/>
  <c r="J17" i="817" s="1"/>
  <c r="K59" i="817"/>
  <c r="K106" i="817"/>
  <c r="K111" i="818"/>
  <c r="K136" i="820"/>
  <c r="H117" i="823"/>
  <c r="H15" i="823" s="1"/>
  <c r="K15" i="823" s="1"/>
  <c r="H109" i="813"/>
  <c r="H15" i="813" s="1"/>
  <c r="K15" i="813" s="1"/>
  <c r="K57" i="772"/>
  <c r="K13" i="772" s="1"/>
  <c r="K34" i="772" s="1"/>
  <c r="K17" i="767" s="1"/>
  <c r="I48" i="809"/>
  <c r="J48" i="809" s="1"/>
  <c r="H48" i="809"/>
  <c r="K48" i="809" s="1"/>
  <c r="H55" i="807"/>
  <c r="I55" i="807"/>
  <c r="J55" i="807" s="1"/>
  <c r="H109" i="805"/>
  <c r="H15" i="805" s="1"/>
  <c r="K226" i="823"/>
  <c r="K78" i="818"/>
  <c r="K59" i="818"/>
  <c r="K14" i="806"/>
  <c r="K15" i="803"/>
  <c r="K58" i="804"/>
  <c r="K47" i="780"/>
  <c r="H168" i="823"/>
  <c r="J168" i="823"/>
  <c r="J172" i="823" s="1"/>
  <c r="J17" i="823" s="1"/>
  <c r="K112" i="817"/>
  <c r="H55" i="813"/>
  <c r="I55" i="813"/>
  <c r="J55" i="813" s="1"/>
  <c r="K84" i="808"/>
  <c r="I57" i="805"/>
  <c r="J57" i="805" s="1"/>
  <c r="H57" i="805"/>
  <c r="K57" i="805" s="1"/>
  <c r="K277" i="823"/>
  <c r="H49" i="823"/>
  <c r="H12" i="823" s="1"/>
  <c r="K12" i="823" s="1"/>
  <c r="K118" i="817"/>
  <c r="K72" i="818"/>
  <c r="K99" i="818" s="1"/>
  <c r="K129" i="818"/>
  <c r="K147" i="817"/>
  <c r="H59" i="818"/>
  <c r="H12" i="818" s="1"/>
  <c r="K94" i="804"/>
  <c r="K109" i="804" s="1"/>
  <c r="K57" i="802"/>
  <c r="K75" i="798"/>
  <c r="K41" i="778"/>
  <c r="K57" i="778" s="1"/>
  <c r="K13" i="778" s="1"/>
  <c r="K34" i="778" s="1"/>
  <c r="K23" i="767" s="1"/>
  <c r="K57" i="774"/>
  <c r="K13" i="774" s="1"/>
  <c r="K34" i="774" s="1"/>
  <c r="K19" i="767" s="1"/>
  <c r="H103" i="823"/>
  <c r="H14" i="823" s="1"/>
  <c r="K14" i="823" s="1"/>
  <c r="H137" i="820"/>
  <c r="J137" i="820"/>
  <c r="J159" i="820" s="1"/>
  <c r="J17" i="820" s="1"/>
  <c r="H57" i="814"/>
  <c r="I57" i="814"/>
  <c r="J57" i="814" s="1"/>
  <c r="I51" i="809"/>
  <c r="J51" i="809" s="1"/>
  <c r="H51" i="809"/>
  <c r="H50" i="812"/>
  <c r="I50" i="812"/>
  <c r="J50" i="812" s="1"/>
  <c r="K15" i="805"/>
  <c r="H98" i="797"/>
  <c r="K98" i="797" s="1"/>
  <c r="H82" i="822"/>
  <c r="I82" i="822"/>
  <c r="J82" i="822" s="1"/>
  <c r="I112" i="818"/>
  <c r="J112" i="818" s="1"/>
  <c r="H112" i="818"/>
  <c r="H116" i="818" s="1"/>
  <c r="H15" i="818" s="1"/>
  <c r="I92" i="820"/>
  <c r="J92" i="820" s="1"/>
  <c r="H92" i="820"/>
  <c r="H49" i="809"/>
  <c r="K49" i="809" s="1"/>
  <c r="I49" i="809"/>
  <c r="J49" i="809" s="1"/>
  <c r="K97" i="819"/>
  <c r="K68" i="819"/>
  <c r="K100" i="819"/>
  <c r="K21" i="819"/>
  <c r="H216" i="819"/>
  <c r="H23" i="819" s="1"/>
  <c r="I90" i="819"/>
  <c r="J90" i="819" s="1"/>
  <c r="H90" i="819"/>
  <c r="J49" i="819"/>
  <c r="J51" i="819" s="1"/>
  <c r="J12" i="819" s="1"/>
  <c r="H49" i="819"/>
  <c r="K59" i="819"/>
  <c r="K209" i="816"/>
  <c r="H137" i="816"/>
  <c r="J137" i="816"/>
  <c r="K26" i="816"/>
  <c r="K18" i="816"/>
  <c r="K98" i="816"/>
  <c r="H75" i="797"/>
  <c r="K75" i="797" s="1"/>
  <c r="K100" i="797"/>
  <c r="I84" i="796"/>
  <c r="J84" i="796" s="1"/>
  <c r="K84" i="796" s="1"/>
  <c r="K73" i="796"/>
  <c r="I101" i="796"/>
  <c r="J101" i="796" s="1"/>
  <c r="H101" i="796"/>
  <c r="H83" i="796"/>
  <c r="I83" i="796"/>
  <c r="J83" i="796" s="1"/>
  <c r="H103" i="795"/>
  <c r="K103" i="795" s="1"/>
  <c r="H102" i="795"/>
  <c r="I102" i="795"/>
  <c r="J102" i="795" s="1"/>
  <c r="J109" i="795" s="1"/>
  <c r="J15" i="795" s="1"/>
  <c r="H45" i="795"/>
  <c r="I45" i="795"/>
  <c r="J45" i="795" s="1"/>
  <c r="J66" i="795" s="1"/>
  <c r="J13" i="795" s="1"/>
  <c r="I103" i="794"/>
  <c r="J103" i="794" s="1"/>
  <c r="H103" i="794"/>
  <c r="H82" i="794"/>
  <c r="I82" i="794"/>
  <c r="J82" i="794" s="1"/>
  <c r="K83" i="794"/>
  <c r="K101" i="793"/>
  <c r="H81" i="793"/>
  <c r="K81" i="793" s="1"/>
  <c r="I44" i="793"/>
  <c r="J44" i="793" s="1"/>
  <c r="K44" i="793" s="1"/>
  <c r="K46" i="792"/>
  <c r="I103" i="792"/>
  <c r="J103" i="792" s="1"/>
  <c r="H103" i="792"/>
  <c r="H73" i="791"/>
  <c r="K73" i="791" s="1"/>
  <c r="H81" i="791"/>
  <c r="I81" i="791"/>
  <c r="J81" i="791" s="1"/>
  <c r="I101" i="791"/>
  <c r="J101" i="791" s="1"/>
  <c r="H101" i="791"/>
  <c r="K45" i="790"/>
  <c r="H73" i="790"/>
  <c r="I73" i="790"/>
  <c r="J73" i="790" s="1"/>
  <c r="I71" i="789"/>
  <c r="J71" i="789" s="1"/>
  <c r="H81" i="789"/>
  <c r="K81" i="789" s="1"/>
  <c r="I100" i="789"/>
  <c r="J100" i="789" s="1"/>
  <c r="H100" i="789"/>
  <c r="I84" i="788"/>
  <c r="J84" i="788" s="1"/>
  <c r="K84" i="788" s="1"/>
  <c r="H101" i="788"/>
  <c r="K101" i="788" s="1"/>
  <c r="H74" i="788"/>
  <c r="K74" i="788" s="1"/>
  <c r="H103" i="788"/>
  <c r="I103" i="788"/>
  <c r="J103" i="788" s="1"/>
  <c r="J109" i="788" s="1"/>
  <c r="J15" i="788" s="1"/>
  <c r="I83" i="788"/>
  <c r="J83" i="788" s="1"/>
  <c r="H83" i="788"/>
  <c r="K74" i="787"/>
  <c r="H99" i="787"/>
  <c r="K99" i="787" s="1"/>
  <c r="H82" i="787"/>
  <c r="I82" i="787"/>
  <c r="J82" i="787" s="1"/>
  <c r="H100" i="787"/>
  <c r="K100" i="787" s="1"/>
  <c r="H83" i="787"/>
  <c r="K83" i="787" s="1"/>
  <c r="K50" i="768"/>
  <c r="K58" i="768" s="1"/>
  <c r="K13" i="768" s="1"/>
  <c r="K34" i="768" s="1"/>
  <c r="K13" i="767" s="1"/>
  <c r="K54" i="768"/>
  <c r="I48" i="808"/>
  <c r="J48" i="808" s="1"/>
  <c r="H48" i="808"/>
  <c r="K94" i="809"/>
  <c r="K228" i="823"/>
  <c r="K189" i="823"/>
  <c r="H153" i="819"/>
  <c r="I153" i="819"/>
  <c r="J153" i="819" s="1"/>
  <c r="H48" i="806"/>
  <c r="I48" i="806"/>
  <c r="J48" i="806" s="1"/>
  <c r="K76" i="811"/>
  <c r="K12" i="816"/>
  <c r="K55" i="811"/>
  <c r="H76" i="798"/>
  <c r="I76" i="798"/>
  <c r="J76" i="798" s="1"/>
  <c r="H56" i="800"/>
  <c r="I56" i="800"/>
  <c r="J56" i="800" s="1"/>
  <c r="H48" i="803"/>
  <c r="I48" i="803"/>
  <c r="J48" i="803" s="1"/>
  <c r="I82" i="795"/>
  <c r="J82" i="795" s="1"/>
  <c r="H82" i="795"/>
  <c r="K109" i="801"/>
  <c r="I82" i="791"/>
  <c r="J82" i="791" s="1"/>
  <c r="H82" i="791"/>
  <c r="I90" i="798"/>
  <c r="J90" i="798" s="1"/>
  <c r="H90" i="798"/>
  <c r="I45" i="797"/>
  <c r="J45" i="797" s="1"/>
  <c r="H45" i="797"/>
  <c r="I73" i="787"/>
  <c r="J73" i="787" s="1"/>
  <c r="H73" i="787"/>
  <c r="I82" i="792"/>
  <c r="J82" i="792" s="1"/>
  <c r="H82" i="792"/>
  <c r="K71" i="792"/>
  <c r="H46" i="788"/>
  <c r="I46" i="788"/>
  <c r="J46" i="788" s="1"/>
  <c r="H57" i="770"/>
  <c r="H13" i="770" s="1"/>
  <c r="H34" i="770" s="1"/>
  <c r="H15" i="767" s="1"/>
  <c r="I75" i="788"/>
  <c r="J75" i="788" s="1"/>
  <c r="H75" i="788"/>
  <c r="J57" i="771"/>
  <c r="J13" i="771" s="1"/>
  <c r="J34" i="771" s="1"/>
  <c r="J16" i="767" s="1"/>
  <c r="K71" i="789"/>
  <c r="I44" i="784"/>
  <c r="J44" i="784" s="1"/>
  <c r="H44" i="784"/>
  <c r="K38" i="822"/>
  <c r="K82" i="819"/>
  <c r="G86" i="819"/>
  <c r="I91" i="820"/>
  <c r="J91" i="820" s="1"/>
  <c r="H91" i="820"/>
  <c r="I142" i="823"/>
  <c r="J142" i="823" s="1"/>
  <c r="H142" i="823"/>
  <c r="H156" i="818"/>
  <c r="H167" i="817"/>
  <c r="I167" i="817"/>
  <c r="J167" i="817" s="1"/>
  <c r="J170" i="817" s="1"/>
  <c r="J20" i="817" s="1"/>
  <c r="K23" i="816"/>
  <c r="I57" i="813"/>
  <c r="J57" i="813" s="1"/>
  <c r="H57" i="813"/>
  <c r="K130" i="801"/>
  <c r="H57" i="801"/>
  <c r="K57" i="801" s="1"/>
  <c r="I57" i="801"/>
  <c r="J57" i="801" s="1"/>
  <c r="H50" i="803"/>
  <c r="I50" i="803"/>
  <c r="J50" i="803" s="1"/>
  <c r="G252" i="816"/>
  <c r="H252" i="816" s="1"/>
  <c r="K248" i="816"/>
  <c r="I73" i="794"/>
  <c r="J73" i="794" s="1"/>
  <c r="H73" i="794"/>
  <c r="H80" i="791"/>
  <c r="I80" i="791"/>
  <c r="J80" i="791" s="1"/>
  <c r="H91" i="798"/>
  <c r="I91" i="798"/>
  <c r="J91" i="798" s="1"/>
  <c r="I51" i="800"/>
  <c r="J51" i="800" s="1"/>
  <c r="H51" i="800"/>
  <c r="I82" i="790"/>
  <c r="J82" i="790" s="1"/>
  <c r="H82" i="790"/>
  <c r="I80" i="792"/>
  <c r="J80" i="792" s="1"/>
  <c r="H80" i="792"/>
  <c r="I45" i="788"/>
  <c r="J45" i="788" s="1"/>
  <c r="H45" i="788"/>
  <c r="K45" i="788" s="1"/>
  <c r="I121" i="784"/>
  <c r="J121" i="784" s="1"/>
  <c r="H121" i="784"/>
  <c r="I177" i="784"/>
  <c r="J177" i="784" s="1"/>
  <c r="H177" i="784"/>
  <c r="I172" i="784"/>
  <c r="J172" i="784" s="1"/>
  <c r="H172" i="784"/>
  <c r="K87" i="784"/>
  <c r="I66" i="786"/>
  <c r="J66" i="786" s="1"/>
  <c r="H66" i="786"/>
  <c r="I199" i="818"/>
  <c r="J199" i="818" s="1"/>
  <c r="J202" i="818" s="1"/>
  <c r="J20" i="818" s="1"/>
  <c r="H199" i="818"/>
  <c r="H91" i="817"/>
  <c r="I91" i="817"/>
  <c r="J91" i="817" s="1"/>
  <c r="I143" i="823"/>
  <c r="J143" i="823" s="1"/>
  <c r="H143" i="823"/>
  <c r="K143" i="823" s="1"/>
  <c r="K102" i="817"/>
  <c r="I97" i="817"/>
  <c r="J97" i="817" s="1"/>
  <c r="H97" i="817"/>
  <c r="K213" i="816"/>
  <c r="K234" i="816" s="1"/>
  <c r="H234" i="816"/>
  <c r="H19" i="816" s="1"/>
  <c r="K19" i="816" s="1"/>
  <c r="J109" i="814"/>
  <c r="J15" i="814" s="1"/>
  <c r="K15" i="814" s="1"/>
  <c r="K15" i="809"/>
  <c r="I56" i="804"/>
  <c r="J56" i="804" s="1"/>
  <c r="H56" i="804"/>
  <c r="I49" i="803"/>
  <c r="J49" i="803" s="1"/>
  <c r="H49" i="803"/>
  <c r="I82" i="796"/>
  <c r="J82" i="796" s="1"/>
  <c r="H82" i="796"/>
  <c r="I100" i="796"/>
  <c r="J100" i="796" s="1"/>
  <c r="H100" i="796"/>
  <c r="I75" i="796"/>
  <c r="J75" i="796" s="1"/>
  <c r="H75" i="796"/>
  <c r="I46" i="790"/>
  <c r="J46" i="790" s="1"/>
  <c r="H46" i="790"/>
  <c r="K82" i="793"/>
  <c r="H107" i="787"/>
  <c r="I107" i="787"/>
  <c r="J107" i="787" s="1"/>
  <c r="I90" i="786"/>
  <c r="J90" i="786" s="1"/>
  <c r="H90" i="786"/>
  <c r="K90" i="786" s="1"/>
  <c r="I121" i="787"/>
  <c r="J121" i="787" s="1"/>
  <c r="H121" i="787"/>
  <c r="K143" i="784"/>
  <c r="H72" i="790"/>
  <c r="I72" i="790"/>
  <c r="J72" i="790" s="1"/>
  <c r="I67" i="786"/>
  <c r="J67" i="786" s="1"/>
  <c r="H67" i="786"/>
  <c r="I45" i="784"/>
  <c r="J45" i="784" s="1"/>
  <c r="H45" i="784"/>
  <c r="J57" i="772"/>
  <c r="J13" i="772" s="1"/>
  <c r="J34" i="772" s="1"/>
  <c r="J17" i="767" s="1"/>
  <c r="H163" i="819"/>
  <c r="I165" i="819"/>
  <c r="J165" i="819" s="1"/>
  <c r="G165" i="819"/>
  <c r="H165" i="819" s="1"/>
  <c r="J163" i="819"/>
  <c r="I57" i="804"/>
  <c r="J57" i="804" s="1"/>
  <c r="H57" i="804"/>
  <c r="G230" i="823"/>
  <c r="K224" i="823"/>
  <c r="G229" i="823"/>
  <c r="I92" i="822"/>
  <c r="J92" i="822" s="1"/>
  <c r="H92" i="822"/>
  <c r="H141" i="823"/>
  <c r="K141" i="823" s="1"/>
  <c r="I141" i="823"/>
  <c r="J141" i="823" s="1"/>
  <c r="K151" i="823"/>
  <c r="I221" i="823"/>
  <c r="J221" i="823" s="1"/>
  <c r="H221" i="823"/>
  <c r="H152" i="819"/>
  <c r="I152" i="819"/>
  <c r="J152" i="819" s="1"/>
  <c r="K16" i="817"/>
  <c r="H99" i="818"/>
  <c r="H14" i="818" s="1"/>
  <c r="K272" i="816"/>
  <c r="G277" i="816"/>
  <c r="H277" i="816" s="1"/>
  <c r="K109" i="814"/>
  <c r="K109" i="816"/>
  <c r="I48" i="811"/>
  <c r="J48" i="811" s="1"/>
  <c r="H48" i="811"/>
  <c r="H58" i="812"/>
  <c r="K58" i="812" s="1"/>
  <c r="I58" i="812"/>
  <c r="J58" i="812" s="1"/>
  <c r="H50" i="810"/>
  <c r="I50" i="810"/>
  <c r="J50" i="810" s="1"/>
  <c r="I56" i="812"/>
  <c r="J56" i="812" s="1"/>
  <c r="J59" i="812" s="1"/>
  <c r="J12" i="812" s="1"/>
  <c r="J34" i="812" s="1"/>
  <c r="J26" i="799" s="1"/>
  <c r="H56" i="812"/>
  <c r="K109" i="809"/>
  <c r="I56" i="805"/>
  <c r="J56" i="805" s="1"/>
  <c r="H56" i="805"/>
  <c r="H51" i="804"/>
  <c r="I51" i="804"/>
  <c r="J51" i="804" s="1"/>
  <c r="H102" i="796"/>
  <c r="I102" i="796"/>
  <c r="J102" i="796" s="1"/>
  <c r="I73" i="797"/>
  <c r="J73" i="797" s="1"/>
  <c r="H73" i="797"/>
  <c r="H58" i="802"/>
  <c r="I58" i="802"/>
  <c r="J58" i="802" s="1"/>
  <c r="I56" i="810"/>
  <c r="J56" i="810" s="1"/>
  <c r="H56" i="810"/>
  <c r="I74" i="796"/>
  <c r="J74" i="796" s="1"/>
  <c r="H74" i="796"/>
  <c r="I80" i="790"/>
  <c r="J80" i="790" s="1"/>
  <c r="H80" i="790"/>
  <c r="H101" i="789"/>
  <c r="I101" i="789"/>
  <c r="J101" i="789" s="1"/>
  <c r="I108" i="787"/>
  <c r="J108" i="787" s="1"/>
  <c r="H108" i="787"/>
  <c r="I88" i="786"/>
  <c r="J88" i="786" s="1"/>
  <c r="H88" i="786"/>
  <c r="I82" i="788"/>
  <c r="J82" i="788" s="1"/>
  <c r="H82" i="788"/>
  <c r="I101" i="787"/>
  <c r="J101" i="787" s="1"/>
  <c r="H101" i="787"/>
  <c r="I120" i="784"/>
  <c r="J120" i="784" s="1"/>
  <c r="H120" i="784"/>
  <c r="I58" i="785"/>
  <c r="J58" i="785" s="1"/>
  <c r="H58" i="785"/>
  <c r="K41" i="781"/>
  <c r="K57" i="781" s="1"/>
  <c r="K13" i="781" s="1"/>
  <c r="K34" i="781" s="1"/>
  <c r="K26" i="767" s="1"/>
  <c r="I65" i="786"/>
  <c r="J65" i="786" s="1"/>
  <c r="H65" i="786"/>
  <c r="K98" i="822"/>
  <c r="H113" i="822"/>
  <c r="H15" i="822" s="1"/>
  <c r="I51" i="810"/>
  <c r="J51" i="810" s="1"/>
  <c r="H51" i="810"/>
  <c r="I56" i="809"/>
  <c r="J56" i="809" s="1"/>
  <c r="H56" i="809"/>
  <c r="K56" i="809" s="1"/>
  <c r="H48" i="804"/>
  <c r="I48" i="804"/>
  <c r="J48" i="804" s="1"/>
  <c r="I83" i="795"/>
  <c r="J83" i="795" s="1"/>
  <c r="H83" i="795"/>
  <c r="I84" i="795"/>
  <c r="J84" i="795" s="1"/>
  <c r="H84" i="795"/>
  <c r="K84" i="795" s="1"/>
  <c r="I45" i="794"/>
  <c r="J45" i="794" s="1"/>
  <c r="H45" i="794"/>
  <c r="H45" i="787"/>
  <c r="I45" i="787"/>
  <c r="J45" i="787" s="1"/>
  <c r="I74" i="795"/>
  <c r="J74" i="795" s="1"/>
  <c r="H74" i="795"/>
  <c r="I81" i="790"/>
  <c r="J81" i="790" s="1"/>
  <c r="H81" i="790"/>
  <c r="I93" i="784"/>
  <c r="J93" i="784" s="1"/>
  <c r="H93" i="784"/>
  <c r="I103" i="790"/>
  <c r="J103" i="790" s="1"/>
  <c r="H103" i="790"/>
  <c r="I119" i="787"/>
  <c r="J119" i="787" s="1"/>
  <c r="H119" i="787"/>
  <c r="I89" i="784"/>
  <c r="J89" i="784" s="1"/>
  <c r="H89" i="784"/>
  <c r="I95" i="817"/>
  <c r="J95" i="817" s="1"/>
  <c r="H95" i="817"/>
  <c r="I55" i="803"/>
  <c r="J55" i="803" s="1"/>
  <c r="H55" i="803"/>
  <c r="K118" i="821"/>
  <c r="G87" i="819"/>
  <c r="H96" i="817"/>
  <c r="I96" i="817"/>
  <c r="J96" i="817" s="1"/>
  <c r="K13" i="816"/>
  <c r="K109" i="810"/>
  <c r="K118" i="816"/>
  <c r="G120" i="816"/>
  <c r="H120" i="816" s="1"/>
  <c r="K120" i="816" s="1"/>
  <c r="G122" i="816"/>
  <c r="H122" i="816" s="1"/>
  <c r="K122" i="816" s="1"/>
  <c r="I48" i="800"/>
  <c r="J48" i="800" s="1"/>
  <c r="H48" i="800"/>
  <c r="H49" i="801"/>
  <c r="I49" i="801"/>
  <c r="J49" i="801" s="1"/>
  <c r="I50" i="807"/>
  <c r="J50" i="807" s="1"/>
  <c r="H50" i="807"/>
  <c r="H58" i="801"/>
  <c r="K58" i="801" s="1"/>
  <c r="I58" i="801"/>
  <c r="J58" i="801" s="1"/>
  <c r="I57" i="810"/>
  <c r="J57" i="810" s="1"/>
  <c r="H57" i="810"/>
  <c r="H66" i="795"/>
  <c r="H13" i="795" s="1"/>
  <c r="I73" i="795"/>
  <c r="J73" i="795" s="1"/>
  <c r="H73" i="795"/>
  <c r="I82" i="797"/>
  <c r="J82" i="797" s="1"/>
  <c r="H82" i="797"/>
  <c r="I44" i="790"/>
  <c r="J44" i="790" s="1"/>
  <c r="H44" i="790"/>
  <c r="I45" i="796"/>
  <c r="J45" i="796" s="1"/>
  <c r="H45" i="796"/>
  <c r="I46" i="794"/>
  <c r="J46" i="794" s="1"/>
  <c r="H46" i="794"/>
  <c r="K44" i="795"/>
  <c r="K74" i="794"/>
  <c r="H75" i="786"/>
  <c r="I75" i="786"/>
  <c r="J75" i="786" s="1"/>
  <c r="I80" i="789"/>
  <c r="J80" i="789" s="1"/>
  <c r="H80" i="789"/>
  <c r="K41" i="779"/>
  <c r="K57" i="779" s="1"/>
  <c r="K13" i="779" s="1"/>
  <c r="K34" i="779" s="1"/>
  <c r="K24" i="767" s="1"/>
  <c r="I43" i="785"/>
  <c r="J43" i="785" s="1"/>
  <c r="H43" i="785"/>
  <c r="H222" i="823"/>
  <c r="I222" i="823"/>
  <c r="J222" i="823" s="1"/>
  <c r="I55" i="809"/>
  <c r="J55" i="809" s="1"/>
  <c r="H55" i="809"/>
  <c r="I49" i="813"/>
  <c r="J49" i="813" s="1"/>
  <c r="H49" i="813"/>
  <c r="H51" i="803"/>
  <c r="I51" i="803"/>
  <c r="J51" i="803" s="1"/>
  <c r="I51" i="811"/>
  <c r="J51" i="811" s="1"/>
  <c r="H51" i="811"/>
  <c r="I48" i="807"/>
  <c r="J48" i="807" s="1"/>
  <c r="H48" i="807"/>
  <c r="I51" i="801"/>
  <c r="J51" i="801" s="1"/>
  <c r="H51" i="801"/>
  <c r="H55" i="810"/>
  <c r="I55" i="810"/>
  <c r="J55" i="810" s="1"/>
  <c r="I102" i="794"/>
  <c r="J102" i="794" s="1"/>
  <c r="H102" i="794"/>
  <c r="H80" i="784"/>
  <c r="I80" i="784"/>
  <c r="J80" i="784" s="1"/>
  <c r="I70" i="785"/>
  <c r="J70" i="785" s="1"/>
  <c r="J84" i="785" s="1"/>
  <c r="J15" i="785" s="1"/>
  <c r="H70" i="785"/>
  <c r="I72" i="791"/>
  <c r="J72" i="791" s="1"/>
  <c r="H72" i="791"/>
  <c r="I44" i="794"/>
  <c r="J44" i="794" s="1"/>
  <c r="H44" i="794"/>
  <c r="I46" i="789"/>
  <c r="J46" i="789" s="1"/>
  <c r="H46" i="789"/>
  <c r="I102" i="790"/>
  <c r="J102" i="790" s="1"/>
  <c r="H102" i="790"/>
  <c r="I74" i="786"/>
  <c r="J74" i="786" s="1"/>
  <c r="H74" i="786"/>
  <c r="H41" i="782"/>
  <c r="I41" i="782"/>
  <c r="J41" i="782" s="1"/>
  <c r="J57" i="782" s="1"/>
  <c r="J13" i="782" s="1"/>
  <c r="J34" i="782" s="1"/>
  <c r="J27" i="767" s="1"/>
  <c r="I41" i="776"/>
  <c r="J41" i="776" s="1"/>
  <c r="J57" i="776" s="1"/>
  <c r="J13" i="776" s="1"/>
  <c r="J34" i="776" s="1"/>
  <c r="J21" i="767" s="1"/>
  <c r="H41" i="776"/>
  <c r="I42" i="785"/>
  <c r="J42" i="785" s="1"/>
  <c r="H42" i="785"/>
  <c r="J202" i="823"/>
  <c r="J213" i="823" s="1"/>
  <c r="J18" i="823" s="1"/>
  <c r="H202" i="823"/>
  <c r="K190" i="819"/>
  <c r="J102" i="819"/>
  <c r="H102" i="819"/>
  <c r="K65" i="817"/>
  <c r="K84" i="817" s="1"/>
  <c r="H89" i="817"/>
  <c r="I89" i="817"/>
  <c r="J89" i="817" s="1"/>
  <c r="I51" i="808"/>
  <c r="J51" i="808" s="1"/>
  <c r="H51" i="808"/>
  <c r="K51" i="808" s="1"/>
  <c r="H50" i="814"/>
  <c r="I50" i="814"/>
  <c r="J50" i="814" s="1"/>
  <c r="I56" i="808"/>
  <c r="J56" i="808" s="1"/>
  <c r="H56" i="808"/>
  <c r="K56" i="808" s="1"/>
  <c r="H51" i="813"/>
  <c r="I51" i="813"/>
  <c r="J51" i="813" s="1"/>
  <c r="K76" i="806"/>
  <c r="K109" i="808"/>
  <c r="I50" i="801"/>
  <c r="J50" i="801" s="1"/>
  <c r="H50" i="801"/>
  <c r="I42" i="798"/>
  <c r="J42" i="798" s="1"/>
  <c r="H42" i="798"/>
  <c r="I49" i="800"/>
  <c r="J49" i="800" s="1"/>
  <c r="H49" i="800"/>
  <c r="I51" i="807"/>
  <c r="J51" i="807" s="1"/>
  <c r="H51" i="807"/>
  <c r="I101" i="792"/>
  <c r="J101" i="792" s="1"/>
  <c r="H101" i="792"/>
  <c r="K14" i="803"/>
  <c r="I75" i="794"/>
  <c r="J75" i="794" s="1"/>
  <c r="H75" i="794"/>
  <c r="I102" i="789"/>
  <c r="J102" i="789" s="1"/>
  <c r="H102" i="789"/>
  <c r="H48" i="810"/>
  <c r="I48" i="810"/>
  <c r="J48" i="810" s="1"/>
  <c r="I46" i="796"/>
  <c r="J46" i="796" s="1"/>
  <c r="H46" i="796"/>
  <c r="I45" i="791"/>
  <c r="J45" i="791" s="1"/>
  <c r="H45" i="791"/>
  <c r="K16" i="801"/>
  <c r="I119" i="784"/>
  <c r="J119" i="784" s="1"/>
  <c r="H119" i="784"/>
  <c r="I83" i="797"/>
  <c r="J83" i="797" s="1"/>
  <c r="H83" i="797"/>
  <c r="I44" i="789"/>
  <c r="J44" i="789" s="1"/>
  <c r="H44" i="789"/>
  <c r="H104" i="790"/>
  <c r="I104" i="790"/>
  <c r="J104" i="790" s="1"/>
  <c r="I44" i="787"/>
  <c r="J44" i="787" s="1"/>
  <c r="H44" i="787"/>
  <c r="I72" i="793"/>
  <c r="J72" i="793" s="1"/>
  <c r="H72" i="793"/>
  <c r="J57" i="773"/>
  <c r="J13" i="773" s="1"/>
  <c r="J34" i="773" s="1"/>
  <c r="J18" i="767" s="1"/>
  <c r="G85" i="819"/>
  <c r="I49" i="810"/>
  <c r="J49" i="810" s="1"/>
  <c r="H49" i="810"/>
  <c r="G130" i="823"/>
  <c r="G132" i="823"/>
  <c r="K121" i="823"/>
  <c r="G131" i="823"/>
  <c r="H122" i="820"/>
  <c r="H16" i="820" s="1"/>
  <c r="K101" i="820"/>
  <c r="I317" i="823"/>
  <c r="J317" i="823" s="1"/>
  <c r="J321" i="823" s="1"/>
  <c r="J22" i="823" s="1"/>
  <c r="H317" i="823"/>
  <c r="H123" i="817"/>
  <c r="H17" i="817" s="1"/>
  <c r="H292" i="816"/>
  <c r="H22" i="816" s="1"/>
  <c r="K22" i="816" s="1"/>
  <c r="K285" i="816"/>
  <c r="K292" i="816" s="1"/>
  <c r="I90" i="817"/>
  <c r="J90" i="817" s="1"/>
  <c r="H90" i="817"/>
  <c r="K94" i="812"/>
  <c r="K109" i="812" s="1"/>
  <c r="H109" i="812"/>
  <c r="H15" i="812" s="1"/>
  <c r="K15" i="812" s="1"/>
  <c r="I57" i="807"/>
  <c r="J57" i="807" s="1"/>
  <c r="H57" i="807"/>
  <c r="H48" i="814"/>
  <c r="I48" i="814"/>
  <c r="J48" i="814" s="1"/>
  <c r="I50" i="813"/>
  <c r="J50" i="813" s="1"/>
  <c r="H50" i="813"/>
  <c r="I56" i="806"/>
  <c r="J56" i="806" s="1"/>
  <c r="H56" i="806"/>
  <c r="K15" i="804"/>
  <c r="G112" i="816"/>
  <c r="K50" i="804"/>
  <c r="I50" i="802"/>
  <c r="J50" i="802" s="1"/>
  <c r="H50" i="802"/>
  <c r="I56" i="801"/>
  <c r="J56" i="801" s="1"/>
  <c r="H56" i="801"/>
  <c r="I50" i="811"/>
  <c r="J50" i="811" s="1"/>
  <c r="H50" i="811"/>
  <c r="H49" i="807"/>
  <c r="I49" i="807"/>
  <c r="J49" i="807" s="1"/>
  <c r="K49" i="812"/>
  <c r="I80" i="793"/>
  <c r="J80" i="793" s="1"/>
  <c r="H80" i="793"/>
  <c r="K56" i="803"/>
  <c r="I46" i="787"/>
  <c r="J46" i="787" s="1"/>
  <c r="H46" i="787"/>
  <c r="I44" i="796"/>
  <c r="J44" i="796" s="1"/>
  <c r="H44" i="796"/>
  <c r="H45" i="793"/>
  <c r="I45" i="793"/>
  <c r="J45" i="793" s="1"/>
  <c r="H45" i="789"/>
  <c r="I45" i="789"/>
  <c r="J45" i="789" s="1"/>
  <c r="I82" i="789"/>
  <c r="J82" i="789" s="1"/>
  <c r="H82" i="789"/>
  <c r="I84" i="787"/>
  <c r="J84" i="787" s="1"/>
  <c r="H84" i="787"/>
  <c r="K59" i="785"/>
  <c r="I51" i="769"/>
  <c r="J51" i="769" s="1"/>
  <c r="H51" i="769"/>
  <c r="H57" i="769" s="1"/>
  <c r="H13" i="769" s="1"/>
  <c r="H34" i="769" s="1"/>
  <c r="H14" i="767" s="1"/>
  <c r="K71" i="793"/>
  <c r="K57" i="773"/>
  <c r="K13" i="773" s="1"/>
  <c r="K34" i="773" s="1"/>
  <c r="K18" i="767" s="1"/>
  <c r="K57" i="780"/>
  <c r="K13" i="780" s="1"/>
  <c r="K34" i="780" s="1"/>
  <c r="K25" i="767" s="1"/>
  <c r="I41" i="785"/>
  <c r="J41" i="785" s="1"/>
  <c r="H41" i="785"/>
  <c r="H58" i="806"/>
  <c r="I58" i="806"/>
  <c r="J58" i="806" s="1"/>
  <c r="I48" i="802"/>
  <c r="J48" i="802" s="1"/>
  <c r="H48" i="802"/>
  <c r="H49" i="811"/>
  <c r="I49" i="811"/>
  <c r="J49" i="811" s="1"/>
  <c r="I44" i="792"/>
  <c r="J44" i="792" s="1"/>
  <c r="H44" i="792"/>
  <c r="H103" i="793"/>
  <c r="I103" i="793"/>
  <c r="J103" i="793" s="1"/>
  <c r="K101" i="794"/>
  <c r="H45" i="798"/>
  <c r="I45" i="798"/>
  <c r="J45" i="798" s="1"/>
  <c r="I84" i="797"/>
  <c r="J84" i="797" s="1"/>
  <c r="H84" i="797"/>
  <c r="H43" i="786"/>
  <c r="I43" i="786"/>
  <c r="J43" i="786" s="1"/>
  <c r="H57" i="785"/>
  <c r="I57" i="785"/>
  <c r="J57" i="785" s="1"/>
  <c r="I73" i="788"/>
  <c r="J73" i="788" s="1"/>
  <c r="H73" i="788"/>
  <c r="H109" i="788"/>
  <c r="H15" i="788" s="1"/>
  <c r="K15" i="788" s="1"/>
  <c r="I51" i="806"/>
  <c r="J51" i="806" s="1"/>
  <c r="H51" i="806"/>
  <c r="I57" i="808"/>
  <c r="J57" i="808" s="1"/>
  <c r="H57" i="808"/>
  <c r="K279" i="816"/>
  <c r="G280" i="816"/>
  <c r="H280" i="816" s="1"/>
  <c r="K280" i="816" s="1"/>
  <c r="K74" i="819"/>
  <c r="K76" i="819" s="1"/>
  <c r="H76" i="819"/>
  <c r="H15" i="819" s="1"/>
  <c r="K15" i="819" s="1"/>
  <c r="J135" i="816"/>
  <c r="H135" i="816"/>
  <c r="E132" i="818"/>
  <c r="J63" i="818"/>
  <c r="J68" i="818" s="1"/>
  <c r="J13" i="818" s="1"/>
  <c r="H63" i="818"/>
  <c r="I56" i="814"/>
  <c r="J56" i="814" s="1"/>
  <c r="H56" i="814"/>
  <c r="I49" i="814"/>
  <c r="J49" i="814" s="1"/>
  <c r="H49" i="814"/>
  <c r="I55" i="808"/>
  <c r="J55" i="808" s="1"/>
  <c r="H55" i="808"/>
  <c r="I49" i="804"/>
  <c r="J49" i="804" s="1"/>
  <c r="H49" i="804"/>
  <c r="G113" i="816"/>
  <c r="I51" i="802"/>
  <c r="J51" i="802" s="1"/>
  <c r="H51" i="802"/>
  <c r="I57" i="800"/>
  <c r="J57" i="800" s="1"/>
  <c r="H57" i="800"/>
  <c r="H50" i="805"/>
  <c r="I50" i="805"/>
  <c r="J50" i="805" s="1"/>
  <c r="H57" i="803"/>
  <c r="I57" i="803"/>
  <c r="J57" i="803" s="1"/>
  <c r="H44" i="797"/>
  <c r="I44" i="797"/>
  <c r="J44" i="797" s="1"/>
  <c r="I72" i="792"/>
  <c r="J72" i="792" s="1"/>
  <c r="H72" i="792"/>
  <c r="I46" i="798"/>
  <c r="J46" i="798" s="1"/>
  <c r="H46" i="798"/>
  <c r="K46" i="798" s="1"/>
  <c r="I102" i="791"/>
  <c r="J102" i="791" s="1"/>
  <c r="J109" i="791" s="1"/>
  <c r="J15" i="791" s="1"/>
  <c r="H102" i="791"/>
  <c r="I75" i="787"/>
  <c r="J75" i="787" s="1"/>
  <c r="H75" i="787"/>
  <c r="H88" i="784"/>
  <c r="I88" i="784"/>
  <c r="J88" i="784" s="1"/>
  <c r="H81" i="792"/>
  <c r="I81" i="792"/>
  <c r="J81" i="792" s="1"/>
  <c r="K84" i="794"/>
  <c r="K91" i="800"/>
  <c r="H44" i="786"/>
  <c r="I44" i="786"/>
  <c r="J44" i="786" s="1"/>
  <c r="H73" i="793"/>
  <c r="I73" i="793"/>
  <c r="J73" i="793" s="1"/>
  <c r="I79" i="784"/>
  <c r="J79" i="784" s="1"/>
  <c r="H79" i="784"/>
  <c r="J57" i="780"/>
  <c r="J13" i="780" s="1"/>
  <c r="J34" i="780" s="1"/>
  <c r="J25" i="767" s="1"/>
  <c r="H134" i="821"/>
  <c r="H16" i="821" s="1"/>
  <c r="K112" i="821"/>
  <c r="I51" i="814"/>
  <c r="J51" i="814" s="1"/>
  <c r="H51" i="814"/>
  <c r="I48" i="813"/>
  <c r="J48" i="813" s="1"/>
  <c r="H48" i="813"/>
  <c r="H16" i="822"/>
  <c r="G240" i="823"/>
  <c r="J237" i="823"/>
  <c r="H237" i="823"/>
  <c r="H155" i="818"/>
  <c r="J184" i="816"/>
  <c r="J16" i="816" s="1"/>
  <c r="H84" i="817"/>
  <c r="H14" i="817" s="1"/>
  <c r="K14" i="817" s="1"/>
  <c r="K168" i="816"/>
  <c r="K184" i="816" s="1"/>
  <c r="I49" i="805"/>
  <c r="J49" i="805" s="1"/>
  <c r="H49" i="805"/>
  <c r="H56" i="802"/>
  <c r="I56" i="802"/>
  <c r="J56" i="802" s="1"/>
  <c r="I49" i="802"/>
  <c r="J49" i="802" s="1"/>
  <c r="H49" i="802"/>
  <c r="I58" i="800"/>
  <c r="J58" i="800" s="1"/>
  <c r="H58" i="800"/>
  <c r="I99" i="797"/>
  <c r="J99" i="797" s="1"/>
  <c r="J109" i="797" s="1"/>
  <c r="J15" i="797" s="1"/>
  <c r="H99" i="797"/>
  <c r="I51" i="805"/>
  <c r="J51" i="805" s="1"/>
  <c r="H51" i="805"/>
  <c r="I74" i="798"/>
  <c r="J74" i="798" s="1"/>
  <c r="J86" i="798" s="1"/>
  <c r="J15" i="798" s="1"/>
  <c r="H74" i="798"/>
  <c r="H45" i="792"/>
  <c r="I45" i="792"/>
  <c r="J45" i="792" s="1"/>
  <c r="H92" i="798"/>
  <c r="I92" i="798"/>
  <c r="J92" i="798" s="1"/>
  <c r="H102" i="793"/>
  <c r="I102" i="793"/>
  <c r="J102" i="793" s="1"/>
  <c r="J109" i="793" s="1"/>
  <c r="J15" i="793" s="1"/>
  <c r="H46" i="793"/>
  <c r="I46" i="793"/>
  <c r="J46" i="793" s="1"/>
  <c r="H73" i="792"/>
  <c r="I73" i="792"/>
  <c r="J73" i="792" s="1"/>
  <c r="H47" i="798"/>
  <c r="I47" i="798"/>
  <c r="J47" i="798" s="1"/>
  <c r="I71" i="791"/>
  <c r="J71" i="791" s="1"/>
  <c r="H71" i="791"/>
  <c r="I44" i="791"/>
  <c r="J44" i="791" s="1"/>
  <c r="H44" i="791"/>
  <c r="I44" i="788"/>
  <c r="J44" i="788" s="1"/>
  <c r="J66" i="788" s="1"/>
  <c r="J13" i="788" s="1"/>
  <c r="H44" i="788"/>
  <c r="K48" i="801"/>
  <c r="I72" i="789"/>
  <c r="J72" i="789" s="1"/>
  <c r="H72" i="789"/>
  <c r="H71" i="790"/>
  <c r="I71" i="790"/>
  <c r="J71" i="790" s="1"/>
  <c r="I81" i="784"/>
  <c r="J81" i="784" s="1"/>
  <c r="H81" i="784"/>
  <c r="K73" i="786"/>
  <c r="I109" i="787"/>
  <c r="J109" i="787" s="1"/>
  <c r="H109" i="787"/>
  <c r="K120" i="787"/>
  <c r="I43" i="784"/>
  <c r="J43" i="784" s="1"/>
  <c r="H43" i="784"/>
  <c r="K41" i="775"/>
  <c r="K57" i="775" s="1"/>
  <c r="K13" i="775" s="1"/>
  <c r="K34" i="775" s="1"/>
  <c r="K20" i="767" s="1"/>
  <c r="H59" i="812" l="1"/>
  <c r="H12" i="812" s="1"/>
  <c r="H91" i="826"/>
  <c r="K91" i="826" s="1"/>
  <c r="H93" i="829"/>
  <c r="K93" i="829" s="1"/>
  <c r="K50" i="805"/>
  <c r="K168" i="823"/>
  <c r="K172" i="823" s="1"/>
  <c r="J59" i="813"/>
  <c r="J12" i="813" s="1"/>
  <c r="J34" i="813" s="1"/>
  <c r="J27" i="799" s="1"/>
  <c r="K56" i="800"/>
  <c r="K45" i="798"/>
  <c r="J99" i="817"/>
  <c r="K55" i="810"/>
  <c r="J59" i="809"/>
  <c r="J12" i="809" s="1"/>
  <c r="J34" i="809" s="1"/>
  <c r="J23" i="799" s="1"/>
  <c r="K50" i="810"/>
  <c r="H172" i="823"/>
  <c r="H17" i="823" s="1"/>
  <c r="K145" i="784"/>
  <c r="K47" i="798"/>
  <c r="J59" i="805"/>
  <c r="J12" i="805" s="1"/>
  <c r="J34" i="805" s="1"/>
  <c r="J19" i="799" s="1"/>
  <c r="K49" i="804"/>
  <c r="J66" i="785"/>
  <c r="J14" i="785" s="1"/>
  <c r="J51" i="785"/>
  <c r="J13" i="785" s="1"/>
  <c r="J34" i="785" s="1"/>
  <c r="J15" i="783" s="1"/>
  <c r="H109" i="794"/>
  <c r="H15" i="794" s="1"/>
  <c r="K51" i="801"/>
  <c r="K51" i="811"/>
  <c r="K49" i="813"/>
  <c r="K14" i="818"/>
  <c r="K83" i="788"/>
  <c r="K103" i="792"/>
  <c r="K51" i="809"/>
  <c r="K55" i="807"/>
  <c r="K84" i="821"/>
  <c r="I83" i="822"/>
  <c r="J83" i="822" s="1"/>
  <c r="K83" i="822" s="1"/>
  <c r="H84" i="822"/>
  <c r="K84" i="822" s="1"/>
  <c r="H122" i="831"/>
  <c r="H16" i="831" s="1"/>
  <c r="K16" i="831" s="1"/>
  <c r="H82" i="830"/>
  <c r="K82" i="830" s="1"/>
  <c r="H122" i="830"/>
  <c r="H16" i="830" s="1"/>
  <c r="K16" i="830" s="1"/>
  <c r="H83" i="830"/>
  <c r="K83" i="830" s="1"/>
  <c r="H92" i="829"/>
  <c r="K92" i="829" s="1"/>
  <c r="H122" i="829"/>
  <c r="H16" i="829" s="1"/>
  <c r="I84" i="829"/>
  <c r="J84" i="829" s="1"/>
  <c r="K84" i="829" s="1"/>
  <c r="H83" i="829"/>
  <c r="K83" i="829" s="1"/>
  <c r="H84" i="828"/>
  <c r="I83" i="828"/>
  <c r="J83" i="828" s="1"/>
  <c r="K83" i="828" s="1"/>
  <c r="H122" i="828"/>
  <c r="H16" i="828" s="1"/>
  <c r="K16" i="828" s="1"/>
  <c r="H91" i="827"/>
  <c r="K91" i="827" s="1"/>
  <c r="K49" i="827"/>
  <c r="H92" i="827"/>
  <c r="K92" i="827" s="1"/>
  <c r="H83" i="826"/>
  <c r="H96" i="826" s="1"/>
  <c r="H15" i="826" s="1"/>
  <c r="H122" i="826"/>
  <c r="H16" i="826" s="1"/>
  <c r="K122" i="826"/>
  <c r="I84" i="826"/>
  <c r="J84" i="826" s="1"/>
  <c r="J96" i="826" s="1"/>
  <c r="J15" i="826" s="1"/>
  <c r="H98" i="821"/>
  <c r="K98" i="821" s="1"/>
  <c r="I105" i="821"/>
  <c r="J105" i="821" s="1"/>
  <c r="K105" i="821" s="1"/>
  <c r="I96" i="821"/>
  <c r="J96" i="821" s="1"/>
  <c r="K96" i="821" s="1"/>
  <c r="J134" i="821"/>
  <c r="J16" i="821" s="1"/>
  <c r="K16" i="821" s="1"/>
  <c r="K48" i="825"/>
  <c r="H83" i="820"/>
  <c r="K83" i="820" s="1"/>
  <c r="H82" i="820"/>
  <c r="K82" i="820" s="1"/>
  <c r="H159" i="820"/>
  <c r="H17" i="820" s="1"/>
  <c r="K17" i="820" s="1"/>
  <c r="J109" i="819"/>
  <c r="J17" i="819" s="1"/>
  <c r="I193" i="816"/>
  <c r="J193" i="816" s="1"/>
  <c r="J201" i="816" s="1"/>
  <c r="J17" i="816" s="1"/>
  <c r="K352" i="816"/>
  <c r="H192" i="816"/>
  <c r="H201" i="816" s="1"/>
  <c r="H17" i="816" s="1"/>
  <c r="J69" i="784"/>
  <c r="J13" i="784" s="1"/>
  <c r="J138" i="784"/>
  <c r="J15" i="784" s="1"/>
  <c r="I83" i="827"/>
  <c r="J83" i="827" s="1"/>
  <c r="K83" i="827" s="1"/>
  <c r="K156" i="818"/>
  <c r="J159" i="818"/>
  <c r="J18" i="818" s="1"/>
  <c r="K17" i="817"/>
  <c r="I131" i="817"/>
  <c r="J131" i="817" s="1"/>
  <c r="K131" i="817" s="1"/>
  <c r="H132" i="817"/>
  <c r="H134" i="817" s="1"/>
  <c r="H18" i="817" s="1"/>
  <c r="K16" i="816"/>
  <c r="I84" i="827"/>
  <c r="J84" i="827" s="1"/>
  <c r="K84" i="827" s="1"/>
  <c r="K48" i="822"/>
  <c r="K59" i="822" s="1"/>
  <c r="K46" i="831"/>
  <c r="K49" i="831" s="1"/>
  <c r="K46" i="828"/>
  <c r="K49" i="828" s="1"/>
  <c r="K46" i="826"/>
  <c r="K49" i="826" s="1"/>
  <c r="K114" i="820"/>
  <c r="K122" i="820" s="1"/>
  <c r="K209" i="819"/>
  <c r="H111" i="816"/>
  <c r="K111" i="816" s="1"/>
  <c r="H352" i="816"/>
  <c r="H24" i="816" s="1"/>
  <c r="K24" i="816" s="1"/>
  <c r="K12" i="818"/>
  <c r="H84" i="820"/>
  <c r="K84" i="820" s="1"/>
  <c r="H48" i="825"/>
  <c r="H12" i="825" s="1"/>
  <c r="K12" i="825" s="1"/>
  <c r="H49" i="826"/>
  <c r="H12" i="826" s="1"/>
  <c r="K12" i="826" s="1"/>
  <c r="K46" i="829"/>
  <c r="K46" i="830"/>
  <c r="K49" i="830" s="1"/>
  <c r="H49" i="829"/>
  <c r="H12" i="829" s="1"/>
  <c r="K12" i="829" s="1"/>
  <c r="H234" i="828"/>
  <c r="K209" i="828"/>
  <c r="K19" i="828" s="1"/>
  <c r="K234" i="828"/>
  <c r="K122" i="831"/>
  <c r="K209" i="830"/>
  <c r="H209" i="830"/>
  <c r="K209" i="831"/>
  <c r="K19" i="831" s="1"/>
  <c r="K209" i="829"/>
  <c r="H209" i="829"/>
  <c r="K44" i="820"/>
  <c r="K259" i="819"/>
  <c r="K24" i="819" s="1"/>
  <c r="H259" i="819"/>
  <c r="H24" i="819" s="1"/>
  <c r="K205" i="822"/>
  <c r="K209" i="822" s="1"/>
  <c r="K19" i="822" s="1"/>
  <c r="H209" i="822"/>
  <c r="H19" i="822" s="1"/>
  <c r="H209" i="831"/>
  <c r="H19" i="831" s="1"/>
  <c r="K45" i="829"/>
  <c r="H209" i="828"/>
  <c r="H19" i="828" s="1"/>
  <c r="K205" i="827"/>
  <c r="K209" i="827" s="1"/>
  <c r="K19" i="827" s="1"/>
  <c r="H209" i="827"/>
  <c r="H19" i="827" s="1"/>
  <c r="K209" i="826"/>
  <c r="K19" i="826" s="1"/>
  <c r="H209" i="826"/>
  <c r="H19" i="826" s="1"/>
  <c r="K59" i="821"/>
  <c r="K219" i="821"/>
  <c r="K234" i="821" s="1"/>
  <c r="K19" i="821" s="1"/>
  <c r="H234" i="821"/>
  <c r="H19" i="821" s="1"/>
  <c r="J59" i="821"/>
  <c r="J12" i="821" s="1"/>
  <c r="K12" i="821" s="1"/>
  <c r="K122" i="825"/>
  <c r="K203" i="825"/>
  <c r="K19" i="825" s="1"/>
  <c r="H203" i="825"/>
  <c r="H19" i="825" s="1"/>
  <c r="K205" i="820"/>
  <c r="K209" i="820" s="1"/>
  <c r="K19" i="820" s="1"/>
  <c r="H209" i="820"/>
  <c r="H19" i="820" s="1"/>
  <c r="K12" i="820"/>
  <c r="H209" i="819"/>
  <c r="H22" i="819" s="1"/>
  <c r="K22" i="819" s="1"/>
  <c r="K48" i="820"/>
  <c r="K122" i="829"/>
  <c r="K122" i="830"/>
  <c r="K16" i="822"/>
  <c r="I166" i="822"/>
  <c r="J166" i="822" s="1"/>
  <c r="J169" i="822" s="1"/>
  <c r="J17" i="822" s="1"/>
  <c r="H166" i="822"/>
  <c r="I175" i="831"/>
  <c r="J175" i="831" s="1"/>
  <c r="J184" i="831" s="1"/>
  <c r="J18" i="831" s="1"/>
  <c r="H175" i="831"/>
  <c r="I175" i="830"/>
  <c r="J175" i="830" s="1"/>
  <c r="J184" i="830" s="1"/>
  <c r="J18" i="830" s="1"/>
  <c r="H175" i="830"/>
  <c r="I175" i="829"/>
  <c r="J175" i="829" s="1"/>
  <c r="J184" i="829" s="1"/>
  <c r="J18" i="829" s="1"/>
  <c r="H175" i="829"/>
  <c r="K175" i="828"/>
  <c r="K184" i="828" s="1"/>
  <c r="H184" i="828"/>
  <c r="H18" i="828" s="1"/>
  <c r="K18" i="828" s="1"/>
  <c r="K17" i="828"/>
  <c r="I175" i="827"/>
  <c r="J175" i="827" s="1"/>
  <c r="J184" i="827" s="1"/>
  <c r="J18" i="827" s="1"/>
  <c r="H175" i="827"/>
  <c r="G175" i="826"/>
  <c r="K17" i="826"/>
  <c r="K190" i="821"/>
  <c r="G191" i="821"/>
  <c r="K173" i="825"/>
  <c r="G174" i="825"/>
  <c r="I174" i="820"/>
  <c r="J174" i="820" s="1"/>
  <c r="J184" i="820" s="1"/>
  <c r="J18" i="820" s="1"/>
  <c r="H174" i="820"/>
  <c r="K174" i="831"/>
  <c r="J98" i="830"/>
  <c r="J15" i="830" s="1"/>
  <c r="K122" i="828"/>
  <c r="K17" i="827"/>
  <c r="K174" i="826"/>
  <c r="H17" i="821"/>
  <c r="K17" i="821" s="1"/>
  <c r="K16" i="825"/>
  <c r="K15" i="822"/>
  <c r="K113" i="822"/>
  <c r="K17" i="831"/>
  <c r="K17" i="830"/>
  <c r="K16" i="829"/>
  <c r="K17" i="829"/>
  <c r="K84" i="828"/>
  <c r="K16" i="827"/>
  <c r="K16" i="826"/>
  <c r="K16" i="820"/>
  <c r="K82" i="822"/>
  <c r="K82" i="831"/>
  <c r="H98" i="831"/>
  <c r="H15" i="831" s="1"/>
  <c r="J98" i="831"/>
  <c r="J15" i="831" s="1"/>
  <c r="K83" i="831"/>
  <c r="K84" i="831"/>
  <c r="K12" i="831"/>
  <c r="K12" i="830"/>
  <c r="K84" i="830"/>
  <c r="K82" i="829"/>
  <c r="K12" i="828"/>
  <c r="K82" i="828"/>
  <c r="H98" i="828"/>
  <c r="H15" i="828" s="1"/>
  <c r="K12" i="827"/>
  <c r="K82" i="827"/>
  <c r="K82" i="826"/>
  <c r="K83" i="826"/>
  <c r="K134" i="821"/>
  <c r="K92" i="825"/>
  <c r="H17" i="825"/>
  <c r="K17" i="825" s="1"/>
  <c r="K84" i="825"/>
  <c r="K83" i="825"/>
  <c r="H98" i="825"/>
  <c r="H15" i="825" s="1"/>
  <c r="J98" i="825"/>
  <c r="J15" i="825" s="1"/>
  <c r="J98" i="820"/>
  <c r="J15" i="820" s="1"/>
  <c r="J159" i="819"/>
  <c r="J19" i="819" s="1"/>
  <c r="K109" i="817"/>
  <c r="K96" i="817"/>
  <c r="K123" i="817"/>
  <c r="K112" i="818"/>
  <c r="K116" i="818" s="1"/>
  <c r="K49" i="802"/>
  <c r="K49" i="805"/>
  <c r="J59" i="786"/>
  <c r="J13" i="786" s="1"/>
  <c r="K56" i="801"/>
  <c r="J59" i="810"/>
  <c r="J12" i="810" s="1"/>
  <c r="J34" i="810" s="1"/>
  <c r="J24" i="799" s="1"/>
  <c r="K75" i="794"/>
  <c r="K75" i="786"/>
  <c r="K93" i="784"/>
  <c r="K74" i="795"/>
  <c r="K45" i="794"/>
  <c r="K17" i="823"/>
  <c r="K121" i="784"/>
  <c r="K51" i="800"/>
  <c r="H109" i="795"/>
  <c r="H15" i="795" s="1"/>
  <c r="K15" i="795" s="1"/>
  <c r="K50" i="812"/>
  <c r="K58" i="802"/>
  <c r="K92" i="820"/>
  <c r="K81" i="784"/>
  <c r="K51" i="805"/>
  <c r="K58" i="800"/>
  <c r="K51" i="814"/>
  <c r="K44" i="786"/>
  <c r="K50" i="811"/>
  <c r="K50" i="802"/>
  <c r="K49" i="810"/>
  <c r="K102" i="789"/>
  <c r="K137" i="820"/>
  <c r="K159" i="820" s="1"/>
  <c r="K55" i="813"/>
  <c r="K222" i="823"/>
  <c r="J59" i="800"/>
  <c r="J12" i="800" s="1"/>
  <c r="J34" i="800" s="1"/>
  <c r="J14" i="799" s="1"/>
  <c r="K58" i="785"/>
  <c r="K51" i="804"/>
  <c r="K97" i="817"/>
  <c r="K57" i="814"/>
  <c r="J116" i="818"/>
  <c r="J15" i="818" s="1"/>
  <c r="K15" i="818" s="1"/>
  <c r="K165" i="819"/>
  <c r="K153" i="819"/>
  <c r="K49" i="819"/>
  <c r="K51" i="819" s="1"/>
  <c r="H51" i="819"/>
  <c r="H12" i="819" s="1"/>
  <c r="K12" i="819" s="1"/>
  <c r="K90" i="819"/>
  <c r="J167" i="819"/>
  <c r="J20" i="819" s="1"/>
  <c r="K137" i="816"/>
  <c r="J146" i="816"/>
  <c r="J15" i="816" s="1"/>
  <c r="J66" i="797"/>
  <c r="J13" i="797" s="1"/>
  <c r="K82" i="797"/>
  <c r="J109" i="796"/>
  <c r="J15" i="796" s="1"/>
  <c r="K83" i="796"/>
  <c r="K101" i="796"/>
  <c r="K102" i="796"/>
  <c r="K46" i="796"/>
  <c r="K102" i="795"/>
  <c r="K109" i="795" s="1"/>
  <c r="J97" i="795"/>
  <c r="J14" i="795" s="1"/>
  <c r="J34" i="795" s="1"/>
  <c r="J25" i="783" s="1"/>
  <c r="K83" i="795"/>
  <c r="K45" i="795"/>
  <c r="K66" i="795" s="1"/>
  <c r="J66" i="794"/>
  <c r="J13" i="794" s="1"/>
  <c r="K102" i="794"/>
  <c r="K82" i="794"/>
  <c r="J109" i="794"/>
  <c r="J15" i="794" s="1"/>
  <c r="K15" i="794" s="1"/>
  <c r="K103" i="794"/>
  <c r="K46" i="793"/>
  <c r="K73" i="793"/>
  <c r="J97" i="793"/>
  <c r="J14" i="793" s="1"/>
  <c r="K103" i="793"/>
  <c r="J64" i="793"/>
  <c r="J13" i="793" s="1"/>
  <c r="J34" i="793" s="1"/>
  <c r="J23" i="783" s="1"/>
  <c r="K80" i="792"/>
  <c r="J109" i="792"/>
  <c r="J15" i="792" s="1"/>
  <c r="K73" i="792"/>
  <c r="J97" i="792"/>
  <c r="J14" i="792" s="1"/>
  <c r="J64" i="791"/>
  <c r="J13" i="791" s="1"/>
  <c r="K101" i="791"/>
  <c r="K45" i="791"/>
  <c r="K81" i="791"/>
  <c r="K103" i="790"/>
  <c r="K72" i="790"/>
  <c r="J64" i="790"/>
  <c r="J13" i="790" s="1"/>
  <c r="K104" i="790"/>
  <c r="K81" i="790"/>
  <c r="J97" i="790"/>
  <c r="J14" i="790" s="1"/>
  <c r="K82" i="790"/>
  <c r="K73" i="790"/>
  <c r="H95" i="789"/>
  <c r="H14" i="789" s="1"/>
  <c r="K100" i="789"/>
  <c r="J109" i="789"/>
  <c r="J15" i="789" s="1"/>
  <c r="K80" i="789"/>
  <c r="K72" i="789"/>
  <c r="K82" i="788"/>
  <c r="K75" i="788"/>
  <c r="J97" i="788"/>
  <c r="J14" i="788" s="1"/>
  <c r="J34" i="788" s="1"/>
  <c r="J18" i="783" s="1"/>
  <c r="K103" i="788"/>
  <c r="K109" i="788" s="1"/>
  <c r="K84" i="787"/>
  <c r="K45" i="787"/>
  <c r="K46" i="787"/>
  <c r="J135" i="787"/>
  <c r="J16" i="787" s="1"/>
  <c r="J65" i="787"/>
  <c r="J13" i="787" s="1"/>
  <c r="J115" i="787"/>
  <c r="J15" i="787" s="1"/>
  <c r="K75" i="787"/>
  <c r="K82" i="787"/>
  <c r="K51" i="802"/>
  <c r="H68" i="818"/>
  <c r="H13" i="818" s="1"/>
  <c r="K63" i="818"/>
  <c r="K68" i="818" s="1"/>
  <c r="J59" i="802"/>
  <c r="J12" i="802" s="1"/>
  <c r="J34" i="802" s="1"/>
  <c r="J16" i="799" s="1"/>
  <c r="I112" i="816"/>
  <c r="J112" i="816" s="1"/>
  <c r="H112" i="816"/>
  <c r="I131" i="823"/>
  <c r="J131" i="823" s="1"/>
  <c r="H131" i="823"/>
  <c r="K131" i="823" s="1"/>
  <c r="K44" i="787"/>
  <c r="H65" i="787"/>
  <c r="H13" i="787" s="1"/>
  <c r="K101" i="792"/>
  <c r="K109" i="792" s="1"/>
  <c r="H109" i="792"/>
  <c r="H15" i="792" s="1"/>
  <c r="K15" i="792" s="1"/>
  <c r="K44" i="794"/>
  <c r="H66" i="794"/>
  <c r="H13" i="794" s="1"/>
  <c r="J59" i="801"/>
  <c r="J12" i="801" s="1"/>
  <c r="J34" i="801" s="1"/>
  <c r="J15" i="799" s="1"/>
  <c r="J84" i="786"/>
  <c r="J14" i="786" s="1"/>
  <c r="G107" i="821"/>
  <c r="K45" i="784"/>
  <c r="K121" i="787"/>
  <c r="K75" i="796"/>
  <c r="K91" i="817"/>
  <c r="K252" i="816"/>
  <c r="K259" i="816" s="1"/>
  <c r="H259" i="816"/>
  <c r="H20" i="816" s="1"/>
  <c r="K20" i="816" s="1"/>
  <c r="K44" i="784"/>
  <c r="K82" i="791"/>
  <c r="K48" i="808"/>
  <c r="H59" i="808"/>
  <c r="H12" i="808" s="1"/>
  <c r="K102" i="793"/>
  <c r="H109" i="793"/>
  <c r="H15" i="793" s="1"/>
  <c r="K15" i="793" s="1"/>
  <c r="H34" i="812"/>
  <c r="H26" i="799" s="1"/>
  <c r="K12" i="812"/>
  <c r="K34" i="812" s="1"/>
  <c r="K26" i="799" s="1"/>
  <c r="K49" i="801"/>
  <c r="H59" i="801"/>
  <c r="H12" i="801" s="1"/>
  <c r="J95" i="822"/>
  <c r="J14" i="822" s="1"/>
  <c r="K119" i="787"/>
  <c r="K135" i="787" s="1"/>
  <c r="H135" i="787"/>
  <c r="H16" i="787" s="1"/>
  <c r="K101" i="787"/>
  <c r="H115" i="787"/>
  <c r="H15" i="787" s="1"/>
  <c r="K277" i="816"/>
  <c r="K284" i="816" s="1"/>
  <c r="H284" i="816"/>
  <c r="H21" i="816" s="1"/>
  <c r="K21" i="816" s="1"/>
  <c r="K199" i="818"/>
  <c r="K202" i="818" s="1"/>
  <c r="H202" i="818"/>
  <c r="H20" i="818" s="1"/>
  <c r="K20" i="818" s="1"/>
  <c r="K167" i="817"/>
  <c r="K170" i="817" s="1"/>
  <c r="H170" i="817"/>
  <c r="H20" i="817" s="1"/>
  <c r="K20" i="817" s="1"/>
  <c r="K12" i="822"/>
  <c r="J59" i="808"/>
  <c r="J12" i="808" s="1"/>
  <c r="J34" i="808" s="1"/>
  <c r="J22" i="799" s="1"/>
  <c r="K48" i="813"/>
  <c r="H59" i="813"/>
  <c r="H12" i="813" s="1"/>
  <c r="K43" i="784"/>
  <c r="H69" i="784"/>
  <c r="H13" i="784" s="1"/>
  <c r="K44" i="791"/>
  <c r="H64" i="791"/>
  <c r="H13" i="791" s="1"/>
  <c r="K81" i="792"/>
  <c r="K44" i="797"/>
  <c r="H66" i="797"/>
  <c r="H13" i="797" s="1"/>
  <c r="I113" i="816"/>
  <c r="J113" i="816" s="1"/>
  <c r="H113" i="816"/>
  <c r="H132" i="818"/>
  <c r="J132" i="818"/>
  <c r="J147" i="818" s="1"/>
  <c r="J17" i="818" s="1"/>
  <c r="K57" i="808"/>
  <c r="K45" i="789"/>
  <c r="K56" i="806"/>
  <c r="K90" i="817"/>
  <c r="K51" i="807"/>
  <c r="K51" i="813"/>
  <c r="K41" i="776"/>
  <c r="K57" i="776" s="1"/>
  <c r="K13" i="776" s="1"/>
  <c r="K34" i="776" s="1"/>
  <c r="K21" i="767" s="1"/>
  <c r="H57" i="776"/>
  <c r="H13" i="776" s="1"/>
  <c r="H34" i="776" s="1"/>
  <c r="H21" i="767" s="1"/>
  <c r="K72" i="791"/>
  <c r="K48" i="800"/>
  <c r="H59" i="800"/>
  <c r="H12" i="800" s="1"/>
  <c r="K55" i="803"/>
  <c r="K101" i="789"/>
  <c r="K109" i="789" s="1"/>
  <c r="H109" i="789"/>
  <c r="H15" i="789" s="1"/>
  <c r="K15" i="789" s="1"/>
  <c r="K56" i="812"/>
  <c r="K59" i="812" s="1"/>
  <c r="K67" i="786"/>
  <c r="K100" i="796"/>
  <c r="H109" i="796"/>
  <c r="H15" i="796" s="1"/>
  <c r="K177" i="784"/>
  <c r="K50" i="803"/>
  <c r="K46" i="788"/>
  <c r="K73" i="795"/>
  <c r="H97" i="795"/>
  <c r="H14" i="795" s="1"/>
  <c r="K14" i="795" s="1"/>
  <c r="K71" i="791"/>
  <c r="H97" i="791"/>
  <c r="H14" i="791" s="1"/>
  <c r="K92" i="798"/>
  <c r="K79" i="784"/>
  <c r="H103" i="784"/>
  <c r="H14" i="784" s="1"/>
  <c r="K88" i="784"/>
  <c r="K51" i="806"/>
  <c r="K73" i="788"/>
  <c r="H97" i="788"/>
  <c r="H14" i="788" s="1"/>
  <c r="K58" i="806"/>
  <c r="K45" i="793"/>
  <c r="H64" i="793"/>
  <c r="H13" i="793" s="1"/>
  <c r="K49" i="807"/>
  <c r="K50" i="813"/>
  <c r="I130" i="823"/>
  <c r="J130" i="823" s="1"/>
  <c r="H130" i="823"/>
  <c r="K49" i="800"/>
  <c r="J59" i="807"/>
  <c r="J12" i="807" s="1"/>
  <c r="J34" i="807" s="1"/>
  <c r="J21" i="799" s="1"/>
  <c r="K95" i="817"/>
  <c r="K80" i="790"/>
  <c r="K73" i="797"/>
  <c r="H94" i="797"/>
  <c r="H14" i="797" s="1"/>
  <c r="K92" i="822"/>
  <c r="K82" i="796"/>
  <c r="K66" i="786"/>
  <c r="K82" i="792"/>
  <c r="K82" i="795"/>
  <c r="K41" i="782"/>
  <c r="K57" i="782" s="1"/>
  <c r="K13" i="782" s="1"/>
  <c r="K34" i="782" s="1"/>
  <c r="K27" i="767" s="1"/>
  <c r="H57" i="782"/>
  <c r="H13" i="782" s="1"/>
  <c r="H34" i="782" s="1"/>
  <c r="H27" i="767" s="1"/>
  <c r="K70" i="785"/>
  <c r="K84" i="785" s="1"/>
  <c r="H84" i="785"/>
  <c r="H15" i="785" s="1"/>
  <c r="K15" i="785" s="1"/>
  <c r="H34" i="795"/>
  <c r="H25" i="783" s="1"/>
  <c r="K13" i="795"/>
  <c r="J94" i="797"/>
  <c r="J14" i="797" s="1"/>
  <c r="K163" i="819"/>
  <c r="H167" i="819"/>
  <c r="H20" i="819" s="1"/>
  <c r="K48" i="807"/>
  <c r="H59" i="807"/>
  <c r="H12" i="807" s="1"/>
  <c r="K155" i="818"/>
  <c r="H159" i="818"/>
  <c r="H18" i="818" s="1"/>
  <c r="K44" i="796"/>
  <c r="H65" i="796"/>
  <c r="H13" i="796" s="1"/>
  <c r="K71" i="790"/>
  <c r="H97" i="790"/>
  <c r="H14" i="790" s="1"/>
  <c r="K45" i="792"/>
  <c r="K56" i="802"/>
  <c r="K57" i="803"/>
  <c r="K55" i="808"/>
  <c r="K44" i="792"/>
  <c r="H64" i="792"/>
  <c r="H13" i="792" s="1"/>
  <c r="K41" i="785"/>
  <c r="H51" i="785"/>
  <c r="H13" i="785" s="1"/>
  <c r="J65" i="796"/>
  <c r="J13" i="796" s="1"/>
  <c r="J59" i="814"/>
  <c r="J12" i="814" s="1"/>
  <c r="J34" i="814" s="1"/>
  <c r="J28" i="799" s="1"/>
  <c r="K44" i="789"/>
  <c r="H64" i="789"/>
  <c r="H13" i="789" s="1"/>
  <c r="K48" i="810"/>
  <c r="H59" i="810"/>
  <c r="H12" i="810" s="1"/>
  <c r="K42" i="798"/>
  <c r="H59" i="798"/>
  <c r="H13" i="798" s="1"/>
  <c r="K50" i="814"/>
  <c r="K74" i="786"/>
  <c r="K46" i="794"/>
  <c r="K57" i="810"/>
  <c r="K152" i="819"/>
  <c r="H159" i="819"/>
  <c r="H19" i="819" s="1"/>
  <c r="I229" i="823"/>
  <c r="J229" i="823" s="1"/>
  <c r="H229" i="823"/>
  <c r="K107" i="787"/>
  <c r="K49" i="803"/>
  <c r="K91" i="798"/>
  <c r="K142" i="823"/>
  <c r="K73" i="787"/>
  <c r="H93" i="787"/>
  <c r="H14" i="787" s="1"/>
  <c r="J59" i="803"/>
  <c r="J12" i="803" s="1"/>
  <c r="J34" i="803" s="1"/>
  <c r="J17" i="799" s="1"/>
  <c r="J59" i="806"/>
  <c r="J13" i="806" s="1"/>
  <c r="J34" i="806" s="1"/>
  <c r="J20" i="799" s="1"/>
  <c r="K102" i="819"/>
  <c r="K109" i="819" s="1"/>
  <c r="H109" i="819"/>
  <c r="H17" i="819" s="1"/>
  <c r="J103" i="784"/>
  <c r="J14" i="784" s="1"/>
  <c r="K102" i="791"/>
  <c r="K109" i="791" s="1"/>
  <c r="H109" i="791"/>
  <c r="H15" i="791" s="1"/>
  <c r="K15" i="791" s="1"/>
  <c r="K57" i="785"/>
  <c r="K66" i="785" s="1"/>
  <c r="H66" i="785"/>
  <c r="H14" i="785" s="1"/>
  <c r="K14" i="785" s="1"/>
  <c r="J64" i="792"/>
  <c r="J13" i="792" s="1"/>
  <c r="K48" i="814"/>
  <c r="H59" i="814"/>
  <c r="H12" i="814" s="1"/>
  <c r="J64" i="789"/>
  <c r="J13" i="789" s="1"/>
  <c r="J59" i="798"/>
  <c r="J13" i="798" s="1"/>
  <c r="J59" i="804"/>
  <c r="J12" i="804" s="1"/>
  <c r="J34" i="804" s="1"/>
  <c r="J18" i="799" s="1"/>
  <c r="H96" i="796"/>
  <c r="H14" i="796" s="1"/>
  <c r="H59" i="805"/>
  <c r="H12" i="805" s="1"/>
  <c r="J93" i="787"/>
  <c r="J14" i="787" s="1"/>
  <c r="K48" i="803"/>
  <c r="H59" i="803"/>
  <c r="H12" i="803" s="1"/>
  <c r="K48" i="806"/>
  <c r="H59" i="806"/>
  <c r="H13" i="806" s="1"/>
  <c r="K74" i="798"/>
  <c r="H86" i="798"/>
  <c r="H15" i="798" s="1"/>
  <c r="K15" i="798" s="1"/>
  <c r="J95" i="789"/>
  <c r="J14" i="789" s="1"/>
  <c r="K49" i="814"/>
  <c r="K57" i="807"/>
  <c r="K317" i="823"/>
  <c r="K321" i="823" s="1"/>
  <c r="H321" i="823"/>
  <c r="H22" i="823" s="1"/>
  <c r="K22" i="823" s="1"/>
  <c r="K83" i="797"/>
  <c r="K50" i="801"/>
  <c r="K42" i="785"/>
  <c r="K102" i="790"/>
  <c r="H109" i="790"/>
  <c r="H15" i="790" s="1"/>
  <c r="K80" i="784"/>
  <c r="K51" i="803"/>
  <c r="K45" i="796"/>
  <c r="I87" i="819"/>
  <c r="J87" i="819" s="1"/>
  <c r="H87" i="819"/>
  <c r="K48" i="804"/>
  <c r="H59" i="804"/>
  <c r="H12" i="804" s="1"/>
  <c r="K88" i="786"/>
  <c r="K111" i="786" s="1"/>
  <c r="H111" i="786"/>
  <c r="H15" i="786" s="1"/>
  <c r="K74" i="796"/>
  <c r="K48" i="811"/>
  <c r="H59" i="811"/>
  <c r="H12" i="811" s="1"/>
  <c r="K221" i="823"/>
  <c r="I230" i="823"/>
  <c r="J230" i="823" s="1"/>
  <c r="J234" i="823" s="1"/>
  <c r="J19" i="823" s="1"/>
  <c r="H230" i="823"/>
  <c r="K56" i="804"/>
  <c r="K80" i="791"/>
  <c r="K57" i="813"/>
  <c r="K91" i="820"/>
  <c r="K45" i="797"/>
  <c r="K135" i="816"/>
  <c r="H146" i="816"/>
  <c r="H15" i="816" s="1"/>
  <c r="K43" i="786"/>
  <c r="K59" i="786" s="1"/>
  <c r="H59" i="786"/>
  <c r="H13" i="786" s="1"/>
  <c r="J109" i="790"/>
  <c r="J15" i="790" s="1"/>
  <c r="J111" i="786"/>
  <c r="J15" i="786" s="1"/>
  <c r="J96" i="796"/>
  <c r="J14" i="796" s="1"/>
  <c r="J59" i="811"/>
  <c r="J12" i="811" s="1"/>
  <c r="J34" i="811" s="1"/>
  <c r="J25" i="799" s="1"/>
  <c r="K73" i="794"/>
  <c r="H97" i="794"/>
  <c r="H14" i="794" s="1"/>
  <c r="K237" i="823"/>
  <c r="K109" i="787"/>
  <c r="K57" i="800"/>
  <c r="K56" i="814"/>
  <c r="K84" i="797"/>
  <c r="K49" i="811"/>
  <c r="K80" i="793"/>
  <c r="K72" i="793"/>
  <c r="K97" i="793" s="1"/>
  <c r="H97" i="793"/>
  <c r="H14" i="793" s="1"/>
  <c r="K14" i="793" s="1"/>
  <c r="K119" i="784"/>
  <c r="J15" i="817"/>
  <c r="K202" i="823"/>
  <c r="K213" i="823" s="1"/>
  <c r="H213" i="823"/>
  <c r="H18" i="823" s="1"/>
  <c r="K18" i="823" s="1"/>
  <c r="K46" i="789"/>
  <c r="K43" i="785"/>
  <c r="K50" i="807"/>
  <c r="K108" i="787"/>
  <c r="K56" i="810"/>
  <c r="K57" i="804"/>
  <c r="K46" i="790"/>
  <c r="K172" i="784"/>
  <c r="H179" i="784"/>
  <c r="H17" i="784" s="1"/>
  <c r="J97" i="794"/>
  <c r="J14" i="794" s="1"/>
  <c r="K90" i="798"/>
  <c r="H111" i="798"/>
  <c r="H16" i="798" s="1"/>
  <c r="I132" i="823"/>
  <c r="J132" i="823" s="1"/>
  <c r="H132" i="823"/>
  <c r="J97" i="791"/>
  <c r="J14" i="791" s="1"/>
  <c r="J34" i="791" s="1"/>
  <c r="J21" i="783" s="1"/>
  <c r="K51" i="769"/>
  <c r="K57" i="769" s="1"/>
  <c r="K13" i="769" s="1"/>
  <c r="K34" i="769" s="1"/>
  <c r="K14" i="767" s="1"/>
  <c r="J57" i="769"/>
  <c r="J13" i="769" s="1"/>
  <c r="J34" i="769" s="1"/>
  <c r="J14" i="767" s="1"/>
  <c r="J32" i="767" s="1"/>
  <c r="J16" i="279" s="1"/>
  <c r="K44" i="788"/>
  <c r="H66" i="788"/>
  <c r="H13" i="788" s="1"/>
  <c r="K99" i="797"/>
  <c r="K109" i="797" s="1"/>
  <c r="H109" i="797"/>
  <c r="H15" i="797" s="1"/>
  <c r="K15" i="797" s="1"/>
  <c r="H240" i="823"/>
  <c r="I240" i="823"/>
  <c r="J240" i="823" s="1"/>
  <c r="J244" i="823" s="1"/>
  <c r="J20" i="823" s="1"/>
  <c r="K72" i="792"/>
  <c r="K97" i="792" s="1"/>
  <c r="H97" i="792"/>
  <c r="H14" i="792" s="1"/>
  <c r="K48" i="802"/>
  <c r="H59" i="802"/>
  <c r="H12" i="802" s="1"/>
  <c r="K82" i="789"/>
  <c r="H85" i="819"/>
  <c r="I85" i="819"/>
  <c r="J85" i="819" s="1"/>
  <c r="K89" i="817"/>
  <c r="H99" i="817"/>
  <c r="H15" i="817" s="1"/>
  <c r="H138" i="784"/>
  <c r="H15" i="784" s="1"/>
  <c r="K55" i="809"/>
  <c r="H59" i="809"/>
  <c r="H12" i="809" s="1"/>
  <c r="K44" i="790"/>
  <c r="H64" i="790"/>
  <c r="H13" i="790" s="1"/>
  <c r="K89" i="784"/>
  <c r="K51" i="810"/>
  <c r="K65" i="786"/>
  <c r="H84" i="786"/>
  <c r="H14" i="786" s="1"/>
  <c r="K14" i="786" s="1"/>
  <c r="K120" i="784"/>
  <c r="K56" i="805"/>
  <c r="K59" i="805" s="1"/>
  <c r="K159" i="784"/>
  <c r="J179" i="784"/>
  <c r="J17" i="784" s="1"/>
  <c r="H86" i="819"/>
  <c r="I86" i="819"/>
  <c r="J86" i="819" s="1"/>
  <c r="J111" i="798"/>
  <c r="J16" i="798" s="1"/>
  <c r="K76" i="798"/>
  <c r="K59" i="798" l="1"/>
  <c r="K64" i="793"/>
  <c r="K59" i="809"/>
  <c r="K14" i="792"/>
  <c r="J34" i="797"/>
  <c r="J27" i="783" s="1"/>
  <c r="K59" i="802"/>
  <c r="K59" i="801"/>
  <c r="K32" i="767"/>
  <c r="K179" i="784"/>
  <c r="K109" i="790"/>
  <c r="K59" i="806"/>
  <c r="J34" i="792"/>
  <c r="J22" i="783" s="1"/>
  <c r="K14" i="788"/>
  <c r="H98" i="827"/>
  <c r="H15" i="827" s="1"/>
  <c r="H95" i="822"/>
  <c r="H14" i="822" s="1"/>
  <c r="K14" i="822" s="1"/>
  <c r="H98" i="830"/>
  <c r="H15" i="830" s="1"/>
  <c r="K15" i="830" s="1"/>
  <c r="J98" i="829"/>
  <c r="J15" i="829" s="1"/>
  <c r="J34" i="829" s="1"/>
  <c r="J23" i="815" s="1"/>
  <c r="H98" i="829"/>
  <c r="H15" i="829" s="1"/>
  <c r="K15" i="829" s="1"/>
  <c r="J98" i="828"/>
  <c r="J15" i="828" s="1"/>
  <c r="J34" i="828" s="1"/>
  <c r="J22" i="815" s="1"/>
  <c r="K15" i="828"/>
  <c r="K34" i="828" s="1"/>
  <c r="K22" i="815" s="1"/>
  <c r="K84" i="826"/>
  <c r="K96" i="826" s="1"/>
  <c r="K17" i="819"/>
  <c r="K192" i="816"/>
  <c r="K193" i="816"/>
  <c r="K15" i="784"/>
  <c r="K69" i="784"/>
  <c r="J34" i="784"/>
  <c r="J14" i="783" s="1"/>
  <c r="J98" i="827"/>
  <c r="J15" i="827" s="1"/>
  <c r="J34" i="827" s="1"/>
  <c r="J21" i="815" s="1"/>
  <c r="K18" i="818"/>
  <c r="K159" i="818"/>
  <c r="K17" i="816"/>
  <c r="J134" i="817"/>
  <c r="J18" i="817" s="1"/>
  <c r="J34" i="817" s="1"/>
  <c r="J14" i="815" s="1"/>
  <c r="K132" i="817"/>
  <c r="K134" i="817" s="1"/>
  <c r="K49" i="829"/>
  <c r="H98" i="820"/>
  <c r="H15" i="820" s="1"/>
  <c r="K159" i="819"/>
  <c r="J34" i="830"/>
  <c r="J24" i="815" s="1"/>
  <c r="J34" i="820"/>
  <c r="J17" i="815" s="1"/>
  <c r="K166" i="822"/>
  <c r="K169" i="822" s="1"/>
  <c r="H169" i="822"/>
  <c r="H17" i="822" s="1"/>
  <c r="K17" i="822" s="1"/>
  <c r="J34" i="822"/>
  <c r="J26" i="815" s="1"/>
  <c r="K175" i="831"/>
  <c r="K184" i="831" s="1"/>
  <c r="H184" i="831"/>
  <c r="H18" i="831" s="1"/>
  <c r="K18" i="831" s="1"/>
  <c r="J34" i="831"/>
  <c r="J25" i="815" s="1"/>
  <c r="K175" i="830"/>
  <c r="K184" i="830" s="1"/>
  <c r="H184" i="830"/>
  <c r="H18" i="830" s="1"/>
  <c r="K18" i="830" s="1"/>
  <c r="H184" i="829"/>
  <c r="H18" i="829" s="1"/>
  <c r="K18" i="829" s="1"/>
  <c r="K175" i="829"/>
  <c r="K184" i="829" s="1"/>
  <c r="K175" i="827"/>
  <c r="K184" i="827" s="1"/>
  <c r="H184" i="827"/>
  <c r="H18" i="827" s="1"/>
  <c r="K18" i="827" s="1"/>
  <c r="I175" i="826"/>
  <c r="J175" i="826" s="1"/>
  <c r="J184" i="826" s="1"/>
  <c r="J18" i="826" s="1"/>
  <c r="J34" i="826" s="1"/>
  <c r="J20" i="815" s="1"/>
  <c r="H175" i="826"/>
  <c r="H191" i="821"/>
  <c r="I191" i="821"/>
  <c r="J191" i="821" s="1"/>
  <c r="J198" i="821" s="1"/>
  <c r="J18" i="821" s="1"/>
  <c r="I174" i="825"/>
  <c r="J174" i="825" s="1"/>
  <c r="J178" i="825" s="1"/>
  <c r="J18" i="825" s="1"/>
  <c r="J34" i="825" s="1"/>
  <c r="J18" i="815" s="1"/>
  <c r="H174" i="825"/>
  <c r="K174" i="820"/>
  <c r="K184" i="820" s="1"/>
  <c r="H184" i="820"/>
  <c r="H18" i="820" s="1"/>
  <c r="K18" i="820" s="1"/>
  <c r="K98" i="827"/>
  <c r="K19" i="819"/>
  <c r="K15" i="831"/>
  <c r="K98" i="830"/>
  <c r="K98" i="829"/>
  <c r="K15" i="826"/>
  <c r="K98" i="820"/>
  <c r="K98" i="831"/>
  <c r="H34" i="828"/>
  <c r="H22" i="815" s="1"/>
  <c r="K98" i="828"/>
  <c r="K15" i="825"/>
  <c r="K98" i="825"/>
  <c r="K20" i="819"/>
  <c r="K15" i="817"/>
  <c r="J34" i="818"/>
  <c r="J15" i="815" s="1"/>
  <c r="K146" i="816"/>
  <c r="K113" i="816"/>
  <c r="K17" i="784"/>
  <c r="K59" i="814"/>
  <c r="K51" i="785"/>
  <c r="K240" i="823"/>
  <c r="K244" i="823" s="1"/>
  <c r="K132" i="823"/>
  <c r="K14" i="796"/>
  <c r="K229" i="823"/>
  <c r="K230" i="823"/>
  <c r="K234" i="823" s="1"/>
  <c r="J34" i="799"/>
  <c r="J18" i="279" s="1"/>
  <c r="H32" i="767"/>
  <c r="H16" i="279" s="1"/>
  <c r="J34" i="786"/>
  <c r="J16" i="783" s="1"/>
  <c r="K109" i="794"/>
  <c r="K167" i="819"/>
  <c r="K86" i="819"/>
  <c r="K87" i="819"/>
  <c r="K15" i="816"/>
  <c r="J123" i="816"/>
  <c r="J14" i="816" s="1"/>
  <c r="J34" i="816" s="1"/>
  <c r="J13" i="815" s="1"/>
  <c r="K15" i="796"/>
  <c r="J34" i="796"/>
  <c r="J26" i="783" s="1"/>
  <c r="K109" i="796"/>
  <c r="K34" i="795"/>
  <c r="K25" i="783" s="1"/>
  <c r="J34" i="794"/>
  <c r="J24" i="783" s="1"/>
  <c r="K14" i="794"/>
  <c r="K97" i="794"/>
  <c r="K109" i="793"/>
  <c r="K64" i="791"/>
  <c r="J34" i="790"/>
  <c r="J20" i="783" s="1"/>
  <c r="K97" i="790"/>
  <c r="K14" i="790"/>
  <c r="K14" i="789"/>
  <c r="K95" i="789"/>
  <c r="K97" i="788"/>
  <c r="K66" i="788"/>
  <c r="K15" i="787"/>
  <c r="J34" i="787"/>
  <c r="J17" i="783" s="1"/>
  <c r="K16" i="787"/>
  <c r="K93" i="787"/>
  <c r="K65" i="787"/>
  <c r="K115" i="787"/>
  <c r="H34" i="817"/>
  <c r="H14" i="815" s="1"/>
  <c r="K59" i="804"/>
  <c r="H34" i="814"/>
  <c r="H28" i="799" s="1"/>
  <c r="K12" i="814"/>
  <c r="K34" i="814" s="1"/>
  <c r="K28" i="799" s="1"/>
  <c r="J148" i="823"/>
  <c r="J16" i="823" s="1"/>
  <c r="J34" i="823" s="1"/>
  <c r="J27" i="815" s="1"/>
  <c r="K59" i="800"/>
  <c r="H34" i="791"/>
  <c r="H21" i="783" s="1"/>
  <c r="K13" i="791"/>
  <c r="K14" i="791"/>
  <c r="K84" i="786"/>
  <c r="H34" i="798"/>
  <c r="H28" i="783" s="1"/>
  <c r="K13" i="798"/>
  <c r="K14" i="797"/>
  <c r="H34" i="793"/>
  <c r="H23" i="783" s="1"/>
  <c r="K13" i="793"/>
  <c r="K34" i="793" s="1"/>
  <c r="K23" i="783" s="1"/>
  <c r="K97" i="791"/>
  <c r="H34" i="808"/>
  <c r="H22" i="799" s="1"/>
  <c r="K12" i="808"/>
  <c r="K34" i="808" s="1"/>
  <c r="K22" i="799" s="1"/>
  <c r="K95" i="822"/>
  <c r="K13" i="787"/>
  <c r="H34" i="787"/>
  <c r="H17" i="783" s="1"/>
  <c r="H234" i="823"/>
  <c r="H19" i="823" s="1"/>
  <c r="K19" i="823" s="1"/>
  <c r="K94" i="797"/>
  <c r="K59" i="808"/>
  <c r="H34" i="786"/>
  <c r="H16" i="783" s="1"/>
  <c r="K13" i="786"/>
  <c r="K99" i="817"/>
  <c r="H244" i="823"/>
  <c r="H20" i="823" s="1"/>
  <c r="K20" i="823" s="1"/>
  <c r="K12" i="811"/>
  <c r="K34" i="811" s="1"/>
  <c r="K25" i="799" s="1"/>
  <c r="H34" i="811"/>
  <c r="H25" i="799" s="1"/>
  <c r="K86" i="798"/>
  <c r="H34" i="806"/>
  <c r="H20" i="799" s="1"/>
  <c r="K13" i="806"/>
  <c r="K34" i="806" s="1"/>
  <c r="K20" i="799" s="1"/>
  <c r="K12" i="810"/>
  <c r="K34" i="810" s="1"/>
  <c r="K24" i="799" s="1"/>
  <c r="H34" i="810"/>
  <c r="H24" i="799" s="1"/>
  <c r="H34" i="792"/>
  <c r="H22" i="783" s="1"/>
  <c r="K13" i="792"/>
  <c r="K34" i="792" s="1"/>
  <c r="K22" i="783" s="1"/>
  <c r="K12" i="813"/>
  <c r="K34" i="813" s="1"/>
  <c r="K27" i="799" s="1"/>
  <c r="H34" i="813"/>
  <c r="H27" i="799" s="1"/>
  <c r="I107" i="821"/>
  <c r="J107" i="821" s="1"/>
  <c r="J109" i="821" s="1"/>
  <c r="J15" i="821" s="1"/>
  <c r="H107" i="821"/>
  <c r="J94" i="819"/>
  <c r="J16" i="819" s="1"/>
  <c r="J34" i="819" s="1"/>
  <c r="J16" i="815" s="1"/>
  <c r="K59" i="811"/>
  <c r="K14" i="787"/>
  <c r="K59" i="810"/>
  <c r="K64" i="792"/>
  <c r="H34" i="796"/>
  <c r="H26" i="783" s="1"/>
  <c r="K13" i="796"/>
  <c r="K97" i="795"/>
  <c r="K132" i="818"/>
  <c r="K147" i="818" s="1"/>
  <c r="H147" i="818"/>
  <c r="H17" i="818" s="1"/>
  <c r="K17" i="818" s="1"/>
  <c r="K59" i="813"/>
  <c r="K13" i="784"/>
  <c r="H34" i="784"/>
  <c r="H14" i="783" s="1"/>
  <c r="K13" i="789"/>
  <c r="K34" i="789" s="1"/>
  <c r="K19" i="783" s="1"/>
  <c r="H34" i="789"/>
  <c r="H19" i="783" s="1"/>
  <c r="K65" i="796"/>
  <c r="H34" i="785"/>
  <c r="H15" i="783" s="1"/>
  <c r="K13" i="785"/>
  <c r="K34" i="785" s="1"/>
  <c r="K15" i="783" s="1"/>
  <c r="K85" i="819"/>
  <c r="H94" i="819"/>
  <c r="H16" i="819" s="1"/>
  <c r="K96" i="796"/>
  <c r="K12" i="803"/>
  <c r="K34" i="803" s="1"/>
  <c r="K17" i="799" s="1"/>
  <c r="H34" i="803"/>
  <c r="H17" i="799" s="1"/>
  <c r="K64" i="790"/>
  <c r="K16" i="798"/>
  <c r="K15" i="786"/>
  <c r="K15" i="790"/>
  <c r="K59" i="803"/>
  <c r="H123" i="816"/>
  <c r="H14" i="816" s="1"/>
  <c r="K64" i="789"/>
  <c r="H34" i="794"/>
  <c r="H24" i="783" s="1"/>
  <c r="K13" i="794"/>
  <c r="K13" i="818"/>
  <c r="H34" i="818"/>
  <c r="H15" i="815" s="1"/>
  <c r="K13" i="790"/>
  <c r="H34" i="790"/>
  <c r="H20" i="783" s="1"/>
  <c r="H34" i="788"/>
  <c r="H18" i="783" s="1"/>
  <c r="K13" i="788"/>
  <c r="K34" i="788" s="1"/>
  <c r="K18" i="783" s="1"/>
  <c r="K111" i="798"/>
  <c r="H34" i="797"/>
  <c r="H27" i="783" s="1"/>
  <c r="K13" i="797"/>
  <c r="K66" i="794"/>
  <c r="K112" i="816"/>
  <c r="K138" i="784"/>
  <c r="K12" i="805"/>
  <c r="K34" i="805" s="1"/>
  <c r="K19" i="799" s="1"/>
  <c r="H34" i="805"/>
  <c r="H19" i="799" s="1"/>
  <c r="J34" i="798"/>
  <c r="J28" i="783" s="1"/>
  <c r="K12" i="807"/>
  <c r="K34" i="807" s="1"/>
  <c r="K21" i="799" s="1"/>
  <c r="H34" i="807"/>
  <c r="H21" i="799" s="1"/>
  <c r="K14" i="784"/>
  <c r="K66" i="797"/>
  <c r="H34" i="801"/>
  <c r="H15" i="799" s="1"/>
  <c r="K12" i="801"/>
  <c r="K34" i="801" s="1"/>
  <c r="K15" i="799" s="1"/>
  <c r="K15" i="820"/>
  <c r="H34" i="809"/>
  <c r="H23" i="799" s="1"/>
  <c r="K12" i="809"/>
  <c r="K34" i="809" s="1"/>
  <c r="K23" i="799" s="1"/>
  <c r="H34" i="802"/>
  <c r="H16" i="799" s="1"/>
  <c r="K12" i="802"/>
  <c r="K34" i="802" s="1"/>
  <c r="K16" i="799" s="1"/>
  <c r="H34" i="804"/>
  <c r="H18" i="799" s="1"/>
  <c r="K12" i="804"/>
  <c r="K34" i="804" s="1"/>
  <c r="K18" i="799" s="1"/>
  <c r="J34" i="789"/>
  <c r="J19" i="783" s="1"/>
  <c r="K59" i="807"/>
  <c r="K130" i="823"/>
  <c r="H148" i="823"/>
  <c r="H16" i="823" s="1"/>
  <c r="K103" i="784"/>
  <c r="K12" i="800"/>
  <c r="K34" i="800" s="1"/>
  <c r="K14" i="799" s="1"/>
  <c r="K34" i="799" s="1"/>
  <c r="H34" i="800"/>
  <c r="H14" i="799" s="1"/>
  <c r="K148" i="823" l="1"/>
  <c r="K201" i="816"/>
  <c r="K15" i="827"/>
  <c r="K34" i="827" s="1"/>
  <c r="K21" i="815" s="1"/>
  <c r="K18" i="817"/>
  <c r="K34" i="817" s="1"/>
  <c r="K14" i="815" s="1"/>
  <c r="K123" i="816"/>
  <c r="H34" i="822"/>
  <c r="H26" i="815" s="1"/>
  <c r="K34" i="822"/>
  <c r="K26" i="815" s="1"/>
  <c r="H34" i="827"/>
  <c r="H21" i="815" s="1"/>
  <c r="K34" i="829"/>
  <c r="K23" i="815" s="1"/>
  <c r="H34" i="829"/>
  <c r="H23" i="815" s="1"/>
  <c r="K34" i="830"/>
  <c r="K24" i="815" s="1"/>
  <c r="J34" i="821"/>
  <c r="J19" i="815" s="1"/>
  <c r="J34" i="815" s="1"/>
  <c r="J19" i="279" s="1"/>
  <c r="K34" i="820"/>
  <c r="K17" i="815" s="1"/>
  <c r="K34" i="831"/>
  <c r="K25" i="815" s="1"/>
  <c r="H34" i="831"/>
  <c r="H25" i="815" s="1"/>
  <c r="H34" i="830"/>
  <c r="H24" i="815" s="1"/>
  <c r="K175" i="826"/>
  <c r="K184" i="826" s="1"/>
  <c r="H184" i="826"/>
  <c r="H18" i="826" s="1"/>
  <c r="K191" i="821"/>
  <c r="K198" i="821" s="1"/>
  <c r="H198" i="821"/>
  <c r="H18" i="821" s="1"/>
  <c r="K18" i="821" s="1"/>
  <c r="K174" i="825"/>
  <c r="K178" i="825" s="1"/>
  <c r="H178" i="825"/>
  <c r="H18" i="825" s="1"/>
  <c r="H34" i="820"/>
  <c r="H17" i="815" s="1"/>
  <c r="K94" i="819"/>
  <c r="K34" i="786"/>
  <c r="K16" i="783" s="1"/>
  <c r="K34" i="791"/>
  <c r="K21" i="783" s="1"/>
  <c r="K34" i="797"/>
  <c r="K27" i="783" s="1"/>
  <c r="K34" i="796"/>
  <c r="K26" i="783" s="1"/>
  <c r="K34" i="794"/>
  <c r="K24" i="783" s="1"/>
  <c r="K34" i="790"/>
  <c r="K20" i="783" s="1"/>
  <c r="J34" i="783"/>
  <c r="J17" i="279" s="1"/>
  <c r="K16" i="823"/>
  <c r="K34" i="823" s="1"/>
  <c r="K27" i="815" s="1"/>
  <c r="H34" i="823"/>
  <c r="H27" i="815" s="1"/>
  <c r="K34" i="784"/>
  <c r="L18" i="784"/>
  <c r="K34" i="818"/>
  <c r="K15" i="815" s="1"/>
  <c r="K107" i="821"/>
  <c r="K109" i="821" s="1"/>
  <c r="H109" i="821"/>
  <c r="H15" i="821" s="1"/>
  <c r="K34" i="798"/>
  <c r="K28" i="783" s="1"/>
  <c r="K14" i="816"/>
  <c r="K34" i="816" s="1"/>
  <c r="K13" i="815" s="1"/>
  <c r="H34" i="816"/>
  <c r="H13" i="815" s="1"/>
  <c r="K16" i="819"/>
  <c r="K34" i="819" s="1"/>
  <c r="K16" i="815" s="1"/>
  <c r="H34" i="819"/>
  <c r="H16" i="815" s="1"/>
  <c r="K34" i="787"/>
  <c r="K17" i="783" s="1"/>
  <c r="H34" i="783"/>
  <c r="H17" i="279" s="1"/>
  <c r="H34" i="799"/>
  <c r="H18" i="279" s="1"/>
  <c r="K18" i="826" l="1"/>
  <c r="K34" i="826" s="1"/>
  <c r="K20" i="815" s="1"/>
  <c r="H34" i="826"/>
  <c r="H20" i="815" s="1"/>
  <c r="K18" i="825"/>
  <c r="K34" i="825" s="1"/>
  <c r="K18" i="815" s="1"/>
  <c r="H34" i="825"/>
  <c r="H18" i="815" s="1"/>
  <c r="K14" i="783"/>
  <c r="K34" i="783" s="1"/>
  <c r="P33" i="784"/>
  <c r="P34" i="784" s="1"/>
  <c r="K15" i="821"/>
  <c r="K34" i="821" s="1"/>
  <c r="K19" i="815" s="1"/>
  <c r="H34" i="821"/>
  <c r="H19" i="815" s="1"/>
  <c r="K34" i="815" l="1"/>
  <c r="H34" i="815"/>
  <c r="H19" i="279" s="1"/>
  <c r="F248" i="266"/>
  <c r="F249" i="266" s="1"/>
  <c r="K4627" i="677"/>
  <c r="J4622" i="677"/>
  <c r="H4622" i="677"/>
  <c r="J4621" i="677"/>
  <c r="H4621" i="677"/>
  <c r="J4620" i="677"/>
  <c r="H4620" i="677"/>
  <c r="J4618" i="677"/>
  <c r="H4618" i="677"/>
  <c r="K4618" i="677" s="1"/>
  <c r="J4617" i="677"/>
  <c r="H4617" i="677"/>
  <c r="J4616" i="677"/>
  <c r="H4616" i="677"/>
  <c r="J4615" i="677"/>
  <c r="H4615" i="677"/>
  <c r="J4614" i="677"/>
  <c r="H4614" i="677"/>
  <c r="K4614" i="677" s="1"/>
  <c r="J4613" i="677"/>
  <c r="H4613" i="677"/>
  <c r="K4613" i="677" s="1"/>
  <c r="J4612" i="677"/>
  <c r="K4612" i="677" s="1"/>
  <c r="H4612" i="677"/>
  <c r="J4610" i="677"/>
  <c r="H4610" i="677"/>
  <c r="J4609" i="677"/>
  <c r="H4609" i="677"/>
  <c r="J4608" i="677"/>
  <c r="H4608" i="677"/>
  <c r="K4608" i="677" s="1"/>
  <c r="J4607" i="677"/>
  <c r="K4607" i="677" s="1"/>
  <c r="H4607" i="677"/>
  <c r="J4606" i="677"/>
  <c r="H4606" i="677"/>
  <c r="J4605" i="677"/>
  <c r="H4605" i="677"/>
  <c r="J4604" i="677"/>
  <c r="H4604" i="677"/>
  <c r="K4604" i="677" s="1"/>
  <c r="J4602" i="677"/>
  <c r="K4602" i="677" s="1"/>
  <c r="H4602" i="677"/>
  <c r="J4600" i="677"/>
  <c r="H4600" i="677"/>
  <c r="H4623" i="677" s="1"/>
  <c r="J4597" i="677"/>
  <c r="K4597" i="677" s="1"/>
  <c r="H4597" i="677"/>
  <c r="J4596" i="677"/>
  <c r="H4596" i="677"/>
  <c r="J4595" i="677"/>
  <c r="H4595" i="677"/>
  <c r="J4594" i="677"/>
  <c r="H4594" i="677"/>
  <c r="K4594" i="677" s="1"/>
  <c r="J4593" i="677"/>
  <c r="H4593" i="677"/>
  <c r="J4592" i="677"/>
  <c r="H4592" i="677"/>
  <c r="J4591" i="677"/>
  <c r="H4591" i="677"/>
  <c r="E4590" i="677"/>
  <c r="J4590" i="677" s="1"/>
  <c r="E4589" i="677"/>
  <c r="J4589" i="677" s="1"/>
  <c r="J4588" i="677"/>
  <c r="H4588" i="677"/>
  <c r="E4587" i="677"/>
  <c r="J4587" i="677" s="1"/>
  <c r="J4586" i="677"/>
  <c r="H4586" i="677"/>
  <c r="E4586" i="677"/>
  <c r="J4585" i="677"/>
  <c r="H4585" i="677"/>
  <c r="J4583" i="677"/>
  <c r="E4583" i="677"/>
  <c r="H4583" i="677" s="1"/>
  <c r="K4583" i="677" s="1"/>
  <c r="H4582" i="677"/>
  <c r="E4582" i="677"/>
  <c r="J4582" i="677" s="1"/>
  <c r="E4581" i="677"/>
  <c r="J4581" i="677" s="1"/>
  <c r="J4580" i="677"/>
  <c r="H4580" i="677"/>
  <c r="K4580" i="677" s="1"/>
  <c r="J4579" i="677"/>
  <c r="H4579" i="677"/>
  <c r="J4578" i="677"/>
  <c r="H4578" i="677"/>
  <c r="J4576" i="677"/>
  <c r="H4576" i="677"/>
  <c r="K4576" i="677" s="1"/>
  <c r="J4575" i="677"/>
  <c r="H4575" i="677"/>
  <c r="J4574" i="677"/>
  <c r="H4574" i="677"/>
  <c r="K4574" i="677" s="1"/>
  <c r="E4573" i="677"/>
  <c r="H4573" i="677" s="1"/>
  <c r="E4572" i="677"/>
  <c r="J4572" i="677" s="1"/>
  <c r="E4571" i="677"/>
  <c r="J4571" i="677" s="1"/>
  <c r="J4570" i="677"/>
  <c r="H4570" i="677"/>
  <c r="E4569" i="677"/>
  <c r="J4568" i="677"/>
  <c r="H4568" i="677"/>
  <c r="J4567" i="677"/>
  <c r="H4567" i="677"/>
  <c r="E4566" i="677"/>
  <c r="J4565" i="677"/>
  <c r="H4565" i="677"/>
  <c r="J4564" i="677"/>
  <c r="H4564" i="677"/>
  <c r="K4563" i="677"/>
  <c r="J4563" i="677"/>
  <c r="H4563" i="677"/>
  <c r="J4562" i="677"/>
  <c r="H4562" i="677"/>
  <c r="J4561" i="677"/>
  <c r="H4561" i="677"/>
  <c r="J4560" i="677"/>
  <c r="H4560" i="677"/>
  <c r="J4559" i="677"/>
  <c r="H4559" i="677"/>
  <c r="K4559" i="677" s="1"/>
  <c r="J4558" i="677"/>
  <c r="H4558" i="677"/>
  <c r="J4557" i="677"/>
  <c r="H4557" i="677"/>
  <c r="J4556" i="677"/>
  <c r="H4556" i="677"/>
  <c r="J4555" i="677"/>
  <c r="H4555" i="677"/>
  <c r="K4555" i="677" s="1"/>
  <c r="J4554" i="677"/>
  <c r="K4554" i="677" s="1"/>
  <c r="H4554" i="677"/>
  <c r="J4553" i="677"/>
  <c r="H4553" i="677"/>
  <c r="J4552" i="677"/>
  <c r="H4552" i="677"/>
  <c r="J4551" i="677"/>
  <c r="H4551" i="677"/>
  <c r="K4551" i="677" s="1"/>
  <c r="J4550" i="677"/>
  <c r="K4550" i="677" s="1"/>
  <c r="H4550" i="677"/>
  <c r="J4549" i="677"/>
  <c r="H4549" i="677"/>
  <c r="E4548" i="677"/>
  <c r="J4548" i="677" s="1"/>
  <c r="E4547" i="677"/>
  <c r="H4547" i="677" s="1"/>
  <c r="E4546" i="677"/>
  <c r="J4546" i="677" s="1"/>
  <c r="J4545" i="677"/>
  <c r="H4545" i="677"/>
  <c r="K4545" i="677" s="1"/>
  <c r="E4544" i="677"/>
  <c r="J4544" i="677" s="1"/>
  <c r="J4543" i="677"/>
  <c r="H4543" i="677"/>
  <c r="K4543" i="677" s="1"/>
  <c r="J4542" i="677"/>
  <c r="H4542" i="677"/>
  <c r="E4541" i="677"/>
  <c r="J4541" i="677" s="1"/>
  <c r="J4540" i="677"/>
  <c r="H4540" i="677"/>
  <c r="K4540" i="677" s="1"/>
  <c r="N4538" i="677"/>
  <c r="N4537" i="677"/>
  <c r="E4537" i="677" s="1"/>
  <c r="N4536" i="677"/>
  <c r="E4536" i="677" s="1"/>
  <c r="J4536" i="677" s="1"/>
  <c r="N4535" i="677"/>
  <c r="E4535" i="677" s="1"/>
  <c r="H4535" i="677" s="1"/>
  <c r="N4534" i="677"/>
  <c r="E4534" i="677" s="1"/>
  <c r="N4533" i="677"/>
  <c r="E4533" i="677"/>
  <c r="H4533" i="677" s="1"/>
  <c r="N4532" i="677"/>
  <c r="E4532" i="677" s="1"/>
  <c r="N4530" i="677"/>
  <c r="E4530" i="677" s="1"/>
  <c r="N4529" i="677"/>
  <c r="E4529" i="677" s="1"/>
  <c r="J4529" i="677" s="1"/>
  <c r="N4528" i="677"/>
  <c r="E4528" i="677" s="1"/>
  <c r="N4527" i="677"/>
  <c r="E4527" i="677" s="1"/>
  <c r="J4527" i="677" s="1"/>
  <c r="I4527" i="677"/>
  <c r="G4527" i="677"/>
  <c r="N4526" i="677"/>
  <c r="E4526" i="677" s="1"/>
  <c r="N4525" i="677"/>
  <c r="E4525" i="677" s="1"/>
  <c r="J4525" i="677" s="1"/>
  <c r="N4524" i="677"/>
  <c r="E4524" i="677" s="1"/>
  <c r="N4523" i="677"/>
  <c r="E4523" i="677" s="1"/>
  <c r="N4522" i="677"/>
  <c r="E4522" i="677" s="1"/>
  <c r="I4522" i="677"/>
  <c r="G4522" i="677"/>
  <c r="N4521" i="677"/>
  <c r="E4521" i="677" s="1"/>
  <c r="N4519" i="677"/>
  <c r="E4519" i="677" s="1"/>
  <c r="N4518" i="677"/>
  <c r="E4518" i="677" s="1"/>
  <c r="J4518" i="677" s="1"/>
  <c r="I4518" i="677"/>
  <c r="G4518" i="677"/>
  <c r="N4517" i="677"/>
  <c r="E4517" i="677" s="1"/>
  <c r="G4517" i="677"/>
  <c r="N4516" i="677"/>
  <c r="E4516" i="677" s="1"/>
  <c r="N4515" i="677"/>
  <c r="E4515" i="677" s="1"/>
  <c r="J4515" i="677" s="1"/>
  <c r="N4514" i="677"/>
  <c r="E4514" i="677" s="1"/>
  <c r="N4513" i="677"/>
  <c r="E4513" i="677" s="1"/>
  <c r="J4513" i="677" s="1"/>
  <c r="N4512" i="677"/>
  <c r="E4512" i="677" s="1"/>
  <c r="G4512" i="677"/>
  <c r="N4511" i="677"/>
  <c r="E4511" i="677" s="1"/>
  <c r="H4511" i="677" s="1"/>
  <c r="N4510" i="677"/>
  <c r="E4510" i="677" s="1"/>
  <c r="N4509" i="677"/>
  <c r="E4509" i="677" s="1"/>
  <c r="N4508" i="677"/>
  <c r="E4508" i="677" s="1"/>
  <c r="I4508" i="677"/>
  <c r="G4508" i="677"/>
  <c r="N4507" i="677"/>
  <c r="E4507" i="677" s="1"/>
  <c r="J4507" i="677" s="1"/>
  <c r="G4507" i="677"/>
  <c r="N4506" i="677"/>
  <c r="E4506" i="677" s="1"/>
  <c r="N4505" i="677"/>
  <c r="E4505" i="677" s="1"/>
  <c r="J4505" i="677" s="1"/>
  <c r="N4504" i="677"/>
  <c r="E4504" i="677" s="1"/>
  <c r="H4504" i="677" s="1"/>
  <c r="N4503" i="677"/>
  <c r="E4503" i="677" s="1"/>
  <c r="N4502" i="677"/>
  <c r="E4502" i="677" s="1"/>
  <c r="J4502" i="677" s="1"/>
  <c r="G4502" i="677"/>
  <c r="N4501" i="677"/>
  <c r="E4501" i="677" s="1"/>
  <c r="N4498" i="677"/>
  <c r="E4498" i="677"/>
  <c r="N4497" i="677"/>
  <c r="E4497" i="677" s="1"/>
  <c r="N4496" i="677"/>
  <c r="E4496" i="677" s="1"/>
  <c r="I4496" i="677"/>
  <c r="G4496" i="677"/>
  <c r="N4495" i="677"/>
  <c r="E4495" i="677" s="1"/>
  <c r="G4495" i="677"/>
  <c r="N4494" i="677"/>
  <c r="E4494" i="677"/>
  <c r="N4493" i="677"/>
  <c r="E4493" i="677" s="1"/>
  <c r="J4493" i="677" s="1"/>
  <c r="N4492" i="677"/>
  <c r="E4492" i="677" s="1"/>
  <c r="N4491" i="677"/>
  <c r="E4491" i="677" s="1"/>
  <c r="J4491" i="677" s="1"/>
  <c r="N4490" i="677"/>
  <c r="E4490" i="677" s="1"/>
  <c r="G4490" i="677"/>
  <c r="N4489" i="677"/>
  <c r="E4489" i="677"/>
  <c r="H4489" i="677" s="1"/>
  <c r="N4488" i="677"/>
  <c r="E4488" i="677" s="1"/>
  <c r="N4487" i="677"/>
  <c r="E4487" i="677" s="1"/>
  <c r="N4486" i="677"/>
  <c r="E4486" i="677" s="1"/>
  <c r="I4486" i="677"/>
  <c r="G4486" i="677"/>
  <c r="N4485" i="677"/>
  <c r="G4485" i="677"/>
  <c r="E4485" i="677"/>
  <c r="J4485" i="677" s="1"/>
  <c r="N4484" i="677"/>
  <c r="E4484" i="677" s="1"/>
  <c r="J4484" i="677" s="1"/>
  <c r="N4483" i="677"/>
  <c r="E4483" i="677"/>
  <c r="J4483" i="677" s="1"/>
  <c r="N4482" i="677"/>
  <c r="E4482" i="677" s="1"/>
  <c r="H4482" i="677" s="1"/>
  <c r="N4481" i="677"/>
  <c r="E4481" i="677" s="1"/>
  <c r="N4480" i="677"/>
  <c r="E4480" i="677" s="1"/>
  <c r="G4480" i="677"/>
  <c r="N4479" i="677"/>
  <c r="E4479" i="677" s="1"/>
  <c r="N4478" i="677"/>
  <c r="E4478" i="677" s="1"/>
  <c r="J4478" i="677" s="1"/>
  <c r="N4477" i="677"/>
  <c r="E4477" i="677" s="1"/>
  <c r="J4477" i="677" s="1"/>
  <c r="N4476" i="677"/>
  <c r="E4476" i="677"/>
  <c r="J4476" i="677" s="1"/>
  <c r="N4475" i="677"/>
  <c r="E4475" i="677" s="1"/>
  <c r="I4475" i="677"/>
  <c r="G4475" i="677"/>
  <c r="N4474" i="677"/>
  <c r="E4474" i="677" s="1"/>
  <c r="J4474" i="677" s="1"/>
  <c r="I4474" i="677"/>
  <c r="G4474" i="677"/>
  <c r="N4473" i="677"/>
  <c r="E4473" i="677" s="1"/>
  <c r="J4473" i="677" s="1"/>
  <c r="N4472" i="677"/>
  <c r="E4472" i="677" s="1"/>
  <c r="J4472" i="677" s="1"/>
  <c r="N4471" i="677"/>
  <c r="E4471" i="677" s="1"/>
  <c r="H4471" i="677" s="1"/>
  <c r="N4470" i="677"/>
  <c r="E4470" i="677" s="1"/>
  <c r="N4469" i="677"/>
  <c r="E4469" i="677" s="1"/>
  <c r="J4469" i="677"/>
  <c r="I4469" i="677"/>
  <c r="G4469" i="677"/>
  <c r="N4468" i="677"/>
  <c r="E4468" i="677" s="1"/>
  <c r="N4467" i="677"/>
  <c r="E4467" i="677" s="1"/>
  <c r="N4466" i="677"/>
  <c r="E4466" i="677" s="1"/>
  <c r="H4466" i="677" s="1"/>
  <c r="N4465" i="677"/>
  <c r="E4465" i="677" s="1"/>
  <c r="N4464" i="677"/>
  <c r="E4464" i="677" s="1"/>
  <c r="H4464" i="677" s="1"/>
  <c r="I4464" i="677"/>
  <c r="G4464" i="677"/>
  <c r="N4463" i="677"/>
  <c r="E4463" i="677" s="1"/>
  <c r="I4463" i="677"/>
  <c r="G4463" i="677"/>
  <c r="N4462" i="677"/>
  <c r="E4462" i="677" s="1"/>
  <c r="H4462" i="677" s="1"/>
  <c r="N4461" i="677"/>
  <c r="E4461" i="677" s="1"/>
  <c r="N4460" i="677"/>
  <c r="E4460" i="677" s="1"/>
  <c r="H4460" i="677" s="1"/>
  <c r="N4459" i="677"/>
  <c r="E4459" i="677" s="1"/>
  <c r="N4458" i="677"/>
  <c r="E4458" i="677" s="1"/>
  <c r="I4458" i="677"/>
  <c r="G4458" i="677"/>
  <c r="N4457" i="677"/>
  <c r="E4457" i="677"/>
  <c r="J4457" i="677" s="1"/>
  <c r="N4456" i="677"/>
  <c r="E4456" i="677" s="1"/>
  <c r="N4455" i="677"/>
  <c r="E4455" i="677" s="1"/>
  <c r="N4454" i="677"/>
  <c r="E4454" i="677" s="1"/>
  <c r="N4453" i="677"/>
  <c r="E4453" i="677" s="1"/>
  <c r="I4453" i="677"/>
  <c r="G4453" i="677"/>
  <c r="N4452" i="677"/>
  <c r="E4452" i="677" s="1"/>
  <c r="I4452" i="677"/>
  <c r="G4452" i="677"/>
  <c r="N4451" i="677"/>
  <c r="E4451" i="677"/>
  <c r="N4450" i="677"/>
  <c r="E4450" i="677" s="1"/>
  <c r="N4449" i="677"/>
  <c r="E4449" i="677" s="1"/>
  <c r="J4449" i="677" s="1"/>
  <c r="N4448" i="677"/>
  <c r="E4448" i="677" s="1"/>
  <c r="N4447" i="677"/>
  <c r="E4447" i="677" s="1"/>
  <c r="I4447" i="677"/>
  <c r="G4447" i="677"/>
  <c r="N4446" i="677"/>
  <c r="E4446" i="677" s="1"/>
  <c r="N4445" i="677"/>
  <c r="E4445" i="677" s="1"/>
  <c r="N4444" i="677"/>
  <c r="E4444" i="677" s="1"/>
  <c r="J4444" i="677" s="1"/>
  <c r="N4443" i="677"/>
  <c r="E4443" i="677" s="1"/>
  <c r="I4443" i="677"/>
  <c r="N4442" i="677"/>
  <c r="E4442" i="677" s="1"/>
  <c r="I4442" i="677"/>
  <c r="G4442" i="677"/>
  <c r="N4441" i="677"/>
  <c r="E4441" i="677" s="1"/>
  <c r="I4441" i="677"/>
  <c r="G4441" i="677"/>
  <c r="N4440" i="677"/>
  <c r="E4440" i="677" s="1"/>
  <c r="J4440" i="677" s="1"/>
  <c r="N4439" i="677"/>
  <c r="E4439" i="677" s="1"/>
  <c r="N4438" i="677"/>
  <c r="E4438" i="677" s="1"/>
  <c r="N4437" i="677"/>
  <c r="E4437" i="677" s="1"/>
  <c r="N4436" i="677"/>
  <c r="E4436" i="677" s="1"/>
  <c r="I4436" i="677"/>
  <c r="G4436" i="677"/>
  <c r="N4435" i="677"/>
  <c r="E4435" i="677" s="1"/>
  <c r="N4434" i="677"/>
  <c r="N4433" i="677"/>
  <c r="K4433" i="677"/>
  <c r="N4432" i="677"/>
  <c r="N4431" i="677"/>
  <c r="N4430" i="677"/>
  <c r="N4429" i="677"/>
  <c r="N4428" i="677"/>
  <c r="N4427" i="677"/>
  <c r="N4426" i="677"/>
  <c r="E4426" i="677" s="1"/>
  <c r="J4426" i="677" s="1"/>
  <c r="N4425" i="677"/>
  <c r="E4425" i="677" s="1"/>
  <c r="N4424" i="677"/>
  <c r="E4424" i="677" s="1"/>
  <c r="N4423" i="677"/>
  <c r="E4423" i="677" s="1"/>
  <c r="J4423" i="677" s="1"/>
  <c r="N4422" i="677"/>
  <c r="E4422" i="677" s="1"/>
  <c r="N4421" i="677"/>
  <c r="E4421" i="677" s="1"/>
  <c r="H4421" i="677" s="1"/>
  <c r="N4420" i="677"/>
  <c r="E4420" i="677" s="1"/>
  <c r="N4419" i="677"/>
  <c r="E4419" i="677" s="1"/>
  <c r="H4419" i="677" s="1"/>
  <c r="N4418" i="677"/>
  <c r="E4418" i="677" s="1"/>
  <c r="N4417" i="677"/>
  <c r="E4417" i="677" s="1"/>
  <c r="N4416" i="677"/>
  <c r="E4416" i="677" s="1"/>
  <c r="N4415" i="677"/>
  <c r="E4415" i="677" s="1"/>
  <c r="N4414" i="677"/>
  <c r="E4414" i="677" s="1"/>
  <c r="J4414" i="677" s="1"/>
  <c r="N4413" i="677"/>
  <c r="E4413" i="677" s="1"/>
  <c r="N4412" i="677"/>
  <c r="E4412" i="677" s="1"/>
  <c r="N4411" i="677"/>
  <c r="E4411" i="677" s="1"/>
  <c r="J4411" i="677" s="1"/>
  <c r="N4410" i="677"/>
  <c r="E4410" i="677" s="1"/>
  <c r="N4409" i="677"/>
  <c r="E4409" i="677" s="1"/>
  <c r="H4409" i="677" s="1"/>
  <c r="N4408" i="677"/>
  <c r="E4408" i="677" s="1"/>
  <c r="N4407" i="677"/>
  <c r="E4407" i="677" s="1"/>
  <c r="H4407" i="677" s="1"/>
  <c r="N4406" i="677"/>
  <c r="E4406" i="677" s="1"/>
  <c r="J4406" i="677" s="1"/>
  <c r="N4405" i="677"/>
  <c r="E4405" i="677" s="1"/>
  <c r="N4404" i="677"/>
  <c r="E4404" i="677" s="1"/>
  <c r="N4403" i="677"/>
  <c r="E4403" i="677" s="1"/>
  <c r="N4402" i="677"/>
  <c r="E4402" i="677" s="1"/>
  <c r="J4402" i="677" s="1"/>
  <c r="N4401" i="677"/>
  <c r="E4401" i="677" s="1"/>
  <c r="N4400" i="677"/>
  <c r="E4400" i="677" s="1"/>
  <c r="J4400" i="677" s="1"/>
  <c r="H4400" i="677"/>
  <c r="K4400" i="677" s="1"/>
  <c r="N4399" i="677"/>
  <c r="E4399" i="677" s="1"/>
  <c r="J4399" i="677" s="1"/>
  <c r="N4398" i="677"/>
  <c r="E4398" i="677" s="1"/>
  <c r="N4397" i="677"/>
  <c r="E4397" i="677" s="1"/>
  <c r="H4397" i="677" s="1"/>
  <c r="N4396" i="677"/>
  <c r="E4396" i="677" s="1"/>
  <c r="N4395" i="677"/>
  <c r="E4395" i="677" s="1"/>
  <c r="H4395" i="677" s="1"/>
  <c r="N4394" i="677"/>
  <c r="E4394" i="677" s="1"/>
  <c r="J4394" i="677" s="1"/>
  <c r="N4393" i="677"/>
  <c r="E4393" i="677" s="1"/>
  <c r="N4392" i="677"/>
  <c r="E4392" i="677" s="1"/>
  <c r="N4391" i="677"/>
  <c r="E4391" i="677" s="1"/>
  <c r="N4390" i="677"/>
  <c r="E4390" i="677" s="1"/>
  <c r="J4390" i="677" s="1"/>
  <c r="N4389" i="677"/>
  <c r="E4389" i="677" s="1"/>
  <c r="N4388" i="677"/>
  <c r="E4388" i="677"/>
  <c r="J4388" i="677" s="1"/>
  <c r="N4387" i="677"/>
  <c r="E4387" i="677" s="1"/>
  <c r="J4387" i="677" s="1"/>
  <c r="N4386" i="677"/>
  <c r="E4386" i="677" s="1"/>
  <c r="N4385" i="677"/>
  <c r="E4385" i="677" s="1"/>
  <c r="H4385" i="677" s="1"/>
  <c r="N4384" i="677"/>
  <c r="E4384" i="677" s="1"/>
  <c r="N4383" i="677"/>
  <c r="E4383" i="677" s="1"/>
  <c r="N4382" i="677"/>
  <c r="E4382" i="677" s="1"/>
  <c r="N4381" i="677"/>
  <c r="E4381" i="677"/>
  <c r="N4380" i="677"/>
  <c r="E4380" i="677" s="1"/>
  <c r="J4380" i="677" s="1"/>
  <c r="N4379" i="677"/>
  <c r="E4379" i="677" s="1"/>
  <c r="N4378" i="677"/>
  <c r="E4378" i="677" s="1"/>
  <c r="J4378" i="677" s="1"/>
  <c r="N4377" i="677"/>
  <c r="E4377" i="677" s="1"/>
  <c r="N4376" i="677"/>
  <c r="E4376" i="677" s="1"/>
  <c r="N4375" i="677"/>
  <c r="E4375" i="677" s="1"/>
  <c r="J4375" i="677" s="1"/>
  <c r="N4374" i="677"/>
  <c r="E4374" i="677" s="1"/>
  <c r="N4373" i="677"/>
  <c r="E4373" i="677" s="1"/>
  <c r="N4372" i="677"/>
  <c r="J4372" i="677"/>
  <c r="H4372" i="677"/>
  <c r="K4372" i="677" s="1"/>
  <c r="N4371" i="677"/>
  <c r="E4371" i="677" s="1"/>
  <c r="N4370" i="677"/>
  <c r="E4370" i="677" s="1"/>
  <c r="J4370" i="677" s="1"/>
  <c r="N4369" i="677"/>
  <c r="E4369" i="677" s="1"/>
  <c r="N4368" i="677"/>
  <c r="E4368" i="677" s="1"/>
  <c r="N4367" i="677"/>
  <c r="E4367" i="677" s="1"/>
  <c r="N4366" i="677"/>
  <c r="E4366" i="677" s="1"/>
  <c r="H4366" i="677" s="1"/>
  <c r="N4365" i="677"/>
  <c r="J4365" i="677"/>
  <c r="E4365" i="677"/>
  <c r="H4365" i="677" s="1"/>
  <c r="N4364" i="677"/>
  <c r="E4364" i="677" s="1"/>
  <c r="N4363" i="677"/>
  <c r="E4363" i="677" s="1"/>
  <c r="N4362" i="677"/>
  <c r="E4362" i="677" s="1"/>
  <c r="N4361" i="677"/>
  <c r="E4361" i="677" s="1"/>
  <c r="J4361" i="677" s="1"/>
  <c r="N4360" i="677"/>
  <c r="E4360" i="677" s="1"/>
  <c r="N4359" i="677"/>
  <c r="E4359" i="677" s="1"/>
  <c r="J4359" i="677" s="1"/>
  <c r="N4358" i="677"/>
  <c r="E4358" i="677" s="1"/>
  <c r="J4358" i="677" s="1"/>
  <c r="N4357" i="677"/>
  <c r="E4357" i="677" s="1"/>
  <c r="N4355" i="677"/>
  <c r="E4355" i="677" s="1"/>
  <c r="H4355" i="677" s="1"/>
  <c r="N4354" i="677"/>
  <c r="E4354" i="677" s="1"/>
  <c r="N4353" i="677"/>
  <c r="E4353" i="677" s="1"/>
  <c r="J4353" i="677" s="1"/>
  <c r="N4352" i="677"/>
  <c r="E4352" i="677" s="1"/>
  <c r="N4351" i="677"/>
  <c r="E4351" i="677" s="1"/>
  <c r="N4350" i="677"/>
  <c r="E4350" i="677" s="1"/>
  <c r="J4350" i="677" s="1"/>
  <c r="N4349" i="677"/>
  <c r="E4349" i="677" s="1"/>
  <c r="N4348" i="677"/>
  <c r="E4348" i="677" s="1"/>
  <c r="H4348" i="677" s="1"/>
  <c r="N4347" i="677"/>
  <c r="E4347" i="677" s="1"/>
  <c r="H4347" i="677" s="1"/>
  <c r="N4346" i="677"/>
  <c r="E4346" i="677" s="1"/>
  <c r="N4345" i="677"/>
  <c r="E4345" i="677" s="1"/>
  <c r="N4344" i="677"/>
  <c r="E4344" i="677" s="1"/>
  <c r="N4343" i="677"/>
  <c r="E4343" i="677" s="1"/>
  <c r="N4342" i="677"/>
  <c r="E4342" i="677" s="1"/>
  <c r="H4342" i="677" s="1"/>
  <c r="N4341" i="677"/>
  <c r="E4341" i="677" s="1"/>
  <c r="J4341" i="677" s="1"/>
  <c r="N4340" i="677"/>
  <c r="E4340" i="677" s="1"/>
  <c r="N4339" i="677"/>
  <c r="E4339" i="677" s="1"/>
  <c r="N4338" i="677"/>
  <c r="E4338" i="677" s="1"/>
  <c r="N4337" i="677"/>
  <c r="E4337" i="677" s="1"/>
  <c r="N4336" i="677"/>
  <c r="E4336" i="677" s="1"/>
  <c r="J4336" i="677" s="1"/>
  <c r="N4335" i="677"/>
  <c r="E4335" i="677" s="1"/>
  <c r="N4334" i="677"/>
  <c r="E4334" i="677" s="1"/>
  <c r="N4333" i="677"/>
  <c r="J4333" i="677"/>
  <c r="H4333" i="677"/>
  <c r="N4332" i="677"/>
  <c r="E4332" i="677" s="1"/>
  <c r="H4332" i="677" s="1"/>
  <c r="N4331" i="677"/>
  <c r="E4331" i="677" s="1"/>
  <c r="J4331" i="677" s="1"/>
  <c r="N4330" i="677"/>
  <c r="E4330" i="677" s="1"/>
  <c r="J4330" i="677" s="1"/>
  <c r="N4329" i="677"/>
  <c r="E4329" i="677" s="1"/>
  <c r="H4329" i="677" s="1"/>
  <c r="N4328" i="677"/>
  <c r="E4328" i="677" s="1"/>
  <c r="J4328" i="677" s="1"/>
  <c r="N4327" i="677"/>
  <c r="E4327" i="677" s="1"/>
  <c r="H4327" i="677" s="1"/>
  <c r="N4326" i="677"/>
  <c r="E4326" i="677" s="1"/>
  <c r="H4326" i="677" s="1"/>
  <c r="N4325" i="677"/>
  <c r="E4325" i="677" s="1"/>
  <c r="N4324" i="677"/>
  <c r="E4324" i="677" s="1"/>
  <c r="N4323" i="677"/>
  <c r="E4323" i="677" s="1"/>
  <c r="N4322" i="677"/>
  <c r="E4322" i="677" s="1"/>
  <c r="J4322" i="677" s="1"/>
  <c r="N4321" i="677"/>
  <c r="E4321" i="677" s="1"/>
  <c r="N4320" i="677"/>
  <c r="E4320" i="677" s="1"/>
  <c r="J4320" i="677" s="1"/>
  <c r="N4319" i="677"/>
  <c r="E4319" i="677" s="1"/>
  <c r="J4319" i="677" s="1"/>
  <c r="N4318" i="677"/>
  <c r="E4318" i="677" s="1"/>
  <c r="N4317" i="677"/>
  <c r="E4317" i="677" s="1"/>
  <c r="H4317" i="677" s="1"/>
  <c r="N4316" i="677"/>
  <c r="E4316" i="677" s="1"/>
  <c r="J4316" i="677" s="1"/>
  <c r="N4315" i="677"/>
  <c r="E4315" i="677" s="1"/>
  <c r="H4315" i="677" s="1"/>
  <c r="N4314" i="677"/>
  <c r="E4314" i="677" s="1"/>
  <c r="N4313" i="677"/>
  <c r="E4313" i="677"/>
  <c r="N4312" i="677"/>
  <c r="E4312" i="677" s="1"/>
  <c r="H4312" i="677" s="1"/>
  <c r="N4311" i="677"/>
  <c r="E4311" i="677" s="1"/>
  <c r="N4310" i="677"/>
  <c r="E4310" i="677" s="1"/>
  <c r="N4309" i="677"/>
  <c r="E4309" i="677" s="1"/>
  <c r="N4308" i="677"/>
  <c r="E4308" i="677" s="1"/>
  <c r="H4308" i="677" s="1"/>
  <c r="J4308" i="677"/>
  <c r="N4307" i="677"/>
  <c r="E4307" i="677" s="1"/>
  <c r="N4306" i="677"/>
  <c r="E4306" i="677"/>
  <c r="H4306" i="677" s="1"/>
  <c r="N4305" i="677"/>
  <c r="E4305" i="677" s="1"/>
  <c r="N4304" i="677"/>
  <c r="E4304" i="677" s="1"/>
  <c r="N4303" i="677"/>
  <c r="E4303" i="677" s="1"/>
  <c r="J4303" i="677" s="1"/>
  <c r="N4302" i="677"/>
  <c r="E4302" i="677" s="1"/>
  <c r="N4301" i="677"/>
  <c r="E4301" i="677" s="1"/>
  <c r="J4301" i="677" s="1"/>
  <c r="N4300" i="677"/>
  <c r="E4300" i="677" s="1"/>
  <c r="N4299" i="677"/>
  <c r="E4299" i="677" s="1"/>
  <c r="J4299" i="677" s="1"/>
  <c r="N4298" i="677"/>
  <c r="E4298" i="677" s="1"/>
  <c r="N4297" i="677"/>
  <c r="E4297" i="677" s="1"/>
  <c r="H4297" i="677" s="1"/>
  <c r="N4296" i="677"/>
  <c r="E4296" i="677" s="1"/>
  <c r="N4295" i="677"/>
  <c r="E4295" i="677" s="1"/>
  <c r="N4294" i="677"/>
  <c r="E4294" i="677" s="1"/>
  <c r="H4294" i="677" s="1"/>
  <c r="N4293" i="677"/>
  <c r="E4293" i="677" s="1"/>
  <c r="H4293" i="677" s="1"/>
  <c r="N4292" i="677"/>
  <c r="E4292" i="677" s="1"/>
  <c r="N4291" i="677"/>
  <c r="E4291" i="677" s="1"/>
  <c r="N4290" i="677"/>
  <c r="E4290" i="677" s="1"/>
  <c r="J4290" i="677" s="1"/>
  <c r="N4289" i="677"/>
  <c r="E4289" i="677" s="1"/>
  <c r="J4289" i="677" s="1"/>
  <c r="N4288" i="677"/>
  <c r="E4288" i="677" s="1"/>
  <c r="N4287" i="677"/>
  <c r="E4287" i="677" s="1"/>
  <c r="J4287" i="677" s="1"/>
  <c r="N4286" i="677"/>
  <c r="E4286" i="677" s="1"/>
  <c r="N4285" i="677"/>
  <c r="E4285" i="677" s="1"/>
  <c r="H4285" i="677" s="1"/>
  <c r="N4284" i="677"/>
  <c r="E4284" i="677" s="1"/>
  <c r="N4283" i="677"/>
  <c r="E4283" i="677" s="1"/>
  <c r="N4282" i="677"/>
  <c r="E4282" i="677" s="1"/>
  <c r="N4281" i="677"/>
  <c r="E4281" i="677" s="1"/>
  <c r="H4281" i="677" s="1"/>
  <c r="N4280" i="677"/>
  <c r="E4280" i="677"/>
  <c r="N4279" i="677"/>
  <c r="E4279" i="677" s="1"/>
  <c r="N4278" i="677"/>
  <c r="E4278" i="677" s="1"/>
  <c r="J4278" i="677" s="1"/>
  <c r="N4277" i="677"/>
  <c r="E4277" i="677"/>
  <c r="J4277" i="677" s="1"/>
  <c r="N4276" i="677"/>
  <c r="E4276" i="677" s="1"/>
  <c r="N4275" i="677"/>
  <c r="E4275" i="677" s="1"/>
  <c r="J4275" i="677" s="1"/>
  <c r="N4274" i="677"/>
  <c r="E4274" i="677" s="1"/>
  <c r="J4274" i="677" s="1"/>
  <c r="N4273" i="677"/>
  <c r="E4273" i="677" s="1"/>
  <c r="H4273" i="677" s="1"/>
  <c r="N4272" i="677"/>
  <c r="E4272" i="677" s="1"/>
  <c r="N4271" i="677"/>
  <c r="J4271" i="677"/>
  <c r="H4271" i="677"/>
  <c r="K4271" i="677" s="1"/>
  <c r="N4270" i="677"/>
  <c r="E4270" i="677" s="1"/>
  <c r="J4270" i="677" s="1"/>
  <c r="N4269" i="677"/>
  <c r="E4269" i="677"/>
  <c r="J4269" i="677" s="1"/>
  <c r="N4268" i="677"/>
  <c r="E4268" i="677" s="1"/>
  <c r="H4268" i="677" s="1"/>
  <c r="N4267" i="677"/>
  <c r="E4267" i="677" s="1"/>
  <c r="N4266" i="677"/>
  <c r="E4266" i="677" s="1"/>
  <c r="N4265" i="677"/>
  <c r="E4265" i="677" s="1"/>
  <c r="H4265" i="677" s="1"/>
  <c r="N4264" i="677"/>
  <c r="E4264" i="677" s="1"/>
  <c r="J4264" i="677" s="1"/>
  <c r="N4263" i="677"/>
  <c r="E4263" i="677" s="1"/>
  <c r="N4262" i="677"/>
  <c r="E4262" i="677" s="1"/>
  <c r="N4261" i="677"/>
  <c r="E4261" i="677" s="1"/>
  <c r="J4261" i="677" s="1"/>
  <c r="N4260" i="677"/>
  <c r="E4260" i="677" s="1"/>
  <c r="N4257" i="677"/>
  <c r="E4257" i="677" s="1"/>
  <c r="H4257" i="677" s="1"/>
  <c r="N4256" i="677"/>
  <c r="E4256" i="677" s="1"/>
  <c r="J4256" i="677" s="1"/>
  <c r="N4255" i="677"/>
  <c r="E4255" i="677" s="1"/>
  <c r="J4255" i="677" s="1"/>
  <c r="N4254" i="677"/>
  <c r="E4254" i="677" s="1"/>
  <c r="H4254" i="677" s="1"/>
  <c r="N4253" i="677"/>
  <c r="E4253" i="677" s="1"/>
  <c r="N4252" i="677"/>
  <c r="E4252" i="677" s="1"/>
  <c r="N4251" i="677"/>
  <c r="E4251" i="677" s="1"/>
  <c r="N4250" i="677"/>
  <c r="E4250" i="677" s="1"/>
  <c r="H4250" i="677" s="1"/>
  <c r="N4249" i="677"/>
  <c r="E4249" i="677" s="1"/>
  <c r="N4248" i="677"/>
  <c r="E4248" i="677" s="1"/>
  <c r="N4247" i="677"/>
  <c r="E4247" i="677" s="1"/>
  <c r="J4247" i="677" s="1"/>
  <c r="N4246" i="677"/>
  <c r="E4246" i="677" s="1"/>
  <c r="N4245" i="677"/>
  <c r="E4245" i="677" s="1"/>
  <c r="H4245" i="677" s="1"/>
  <c r="J4245" i="677"/>
  <c r="N4244" i="677"/>
  <c r="E4244" i="677" s="1"/>
  <c r="J4244" i="677" s="1"/>
  <c r="N4243" i="677"/>
  <c r="E4243" i="677" s="1"/>
  <c r="J4243" i="677" s="1"/>
  <c r="N4242" i="677"/>
  <c r="E4242" i="677" s="1"/>
  <c r="H4242" i="677" s="1"/>
  <c r="N4241" i="677"/>
  <c r="E4241" i="677" s="1"/>
  <c r="N4240" i="677"/>
  <c r="E4240" i="677" s="1"/>
  <c r="N4239" i="677"/>
  <c r="E4239" i="677" s="1"/>
  <c r="H4239" i="677" s="1"/>
  <c r="N4238" i="677"/>
  <c r="E4238" i="677" s="1"/>
  <c r="H4238" i="677" s="1"/>
  <c r="N4237" i="677"/>
  <c r="E4237" i="677" s="1"/>
  <c r="N4236" i="677"/>
  <c r="E4236" i="677" s="1"/>
  <c r="N4235" i="677"/>
  <c r="E4235" i="677" s="1"/>
  <c r="J4235" i="677" s="1"/>
  <c r="N4234" i="677"/>
  <c r="E4234" i="677" s="1"/>
  <c r="N4233" i="677"/>
  <c r="E4233" i="677" s="1"/>
  <c r="H4233" i="677" s="1"/>
  <c r="N4232" i="677"/>
  <c r="E4232" i="677" s="1"/>
  <c r="N4231" i="677"/>
  <c r="J4231" i="677"/>
  <c r="H4231" i="677"/>
  <c r="N4230" i="677"/>
  <c r="E4230" i="677" s="1"/>
  <c r="J4230" i="677" s="1"/>
  <c r="N4229" i="677"/>
  <c r="E4229" i="677" s="1"/>
  <c r="N4228" i="677"/>
  <c r="E4228" i="677" s="1"/>
  <c r="H4228" i="677" s="1"/>
  <c r="N4227" i="677"/>
  <c r="E4227" i="677" s="1"/>
  <c r="N4226" i="677"/>
  <c r="E4226" i="677" s="1"/>
  <c r="J4226" i="677" s="1"/>
  <c r="N4225" i="677"/>
  <c r="E4225" i="677" s="1"/>
  <c r="H4225" i="677" s="1"/>
  <c r="N4224" i="677"/>
  <c r="E4224" i="677" s="1"/>
  <c r="H4224" i="677" s="1"/>
  <c r="N4223" i="677"/>
  <c r="E4223" i="677" s="1"/>
  <c r="N4222" i="677"/>
  <c r="E4222" i="677" s="1"/>
  <c r="H4222" i="677" s="1"/>
  <c r="J4221" i="677"/>
  <c r="H4221" i="677"/>
  <c r="N4220" i="677"/>
  <c r="J4220" i="677"/>
  <c r="H4220" i="677"/>
  <c r="N4219" i="677"/>
  <c r="N4218" i="677"/>
  <c r="E4218" i="677" s="1"/>
  <c r="J4218" i="677" s="1"/>
  <c r="N4217" i="677"/>
  <c r="E4217" i="677" s="1"/>
  <c r="H4217" i="677" s="1"/>
  <c r="N4216" i="677"/>
  <c r="E4216" i="677" s="1"/>
  <c r="J4216" i="677" s="1"/>
  <c r="N4215" i="677"/>
  <c r="E4215" i="677" s="1"/>
  <c r="J4215" i="677" s="1"/>
  <c r="N4214" i="677"/>
  <c r="E4214" i="677" s="1"/>
  <c r="H4214" i="677" s="1"/>
  <c r="N4213" i="677"/>
  <c r="E4213" i="677" s="1"/>
  <c r="N4212" i="677"/>
  <c r="E4212" i="677" s="1"/>
  <c r="N4211" i="677"/>
  <c r="E4211" i="677" s="1"/>
  <c r="N4210" i="677"/>
  <c r="E4210" i="677" s="1"/>
  <c r="N4209" i="677"/>
  <c r="E4209" i="677" s="1"/>
  <c r="N4208" i="677"/>
  <c r="E4208" i="677" s="1"/>
  <c r="N4207" i="677"/>
  <c r="E4207" i="677" s="1"/>
  <c r="J4207" i="677" s="1"/>
  <c r="N4206" i="677"/>
  <c r="E4206" i="677" s="1"/>
  <c r="J4206" i="677" s="1"/>
  <c r="N4205" i="677"/>
  <c r="E4205" i="677" s="1"/>
  <c r="H4205" i="677" s="1"/>
  <c r="N4204" i="677"/>
  <c r="E4204" i="677" s="1"/>
  <c r="J4204" i="677" s="1"/>
  <c r="N4203" i="677"/>
  <c r="E4203" i="677"/>
  <c r="J4203" i="677" s="1"/>
  <c r="N4202" i="677"/>
  <c r="E4202" i="677" s="1"/>
  <c r="H4202" i="677" s="1"/>
  <c r="N4201" i="677"/>
  <c r="E4201" i="677" s="1"/>
  <c r="N4200" i="677"/>
  <c r="E4200" i="677" s="1"/>
  <c r="N4199" i="677"/>
  <c r="E4199" i="677" s="1"/>
  <c r="N4198" i="677"/>
  <c r="E4198" i="677" s="1"/>
  <c r="H4198" i="677" s="1"/>
  <c r="N4197" i="677"/>
  <c r="E4197" i="677"/>
  <c r="N4196" i="677"/>
  <c r="E4196" i="677" s="1"/>
  <c r="N4195" i="677"/>
  <c r="E4195" i="677" s="1"/>
  <c r="J4195" i="677" s="1"/>
  <c r="N4194" i="677"/>
  <c r="E4194" i="677" s="1"/>
  <c r="J4194" i="677" s="1"/>
  <c r="N4193" i="677"/>
  <c r="E4193" i="677" s="1"/>
  <c r="H4193" i="677" s="1"/>
  <c r="N4192" i="677"/>
  <c r="E4192" i="677" s="1"/>
  <c r="J4192" i="677" s="1"/>
  <c r="N4191" i="677"/>
  <c r="E4191" i="677" s="1"/>
  <c r="J4191" i="677" s="1"/>
  <c r="N4190" i="677"/>
  <c r="E4190" i="677" s="1"/>
  <c r="H4190" i="677" s="1"/>
  <c r="N4189" i="677"/>
  <c r="E4189" i="677" s="1"/>
  <c r="J4189" i="677" s="1"/>
  <c r="N4188" i="677"/>
  <c r="E4188" i="677" s="1"/>
  <c r="N4187" i="677"/>
  <c r="E4187" i="677" s="1"/>
  <c r="H4187" i="677" s="1"/>
  <c r="N4186" i="677"/>
  <c r="E4186" i="677" s="1"/>
  <c r="J4186" i="677" s="1"/>
  <c r="N4185" i="677"/>
  <c r="E4185" i="677" s="1"/>
  <c r="N4184" i="677"/>
  <c r="E4184" i="677" s="1"/>
  <c r="H4184" i="677" s="1"/>
  <c r="N4183" i="677"/>
  <c r="E4183" i="677" s="1"/>
  <c r="J4183" i="677" s="1"/>
  <c r="N4182" i="677"/>
  <c r="E4182" i="677" s="1"/>
  <c r="N4181" i="677"/>
  <c r="E4181" i="677" s="1"/>
  <c r="H4181" i="677" s="1"/>
  <c r="N4180" i="677"/>
  <c r="E4180" i="677" s="1"/>
  <c r="J4180" i="677" s="1"/>
  <c r="N4179" i="677"/>
  <c r="E4179" i="677" s="1"/>
  <c r="J4179" i="677" s="1"/>
  <c r="N4178" i="677"/>
  <c r="E4178" i="677" s="1"/>
  <c r="H4178" i="677" s="1"/>
  <c r="N4177" i="677"/>
  <c r="E4177" i="677" s="1"/>
  <c r="J4177" i="677" s="1"/>
  <c r="N4176" i="677"/>
  <c r="E4176" i="677" s="1"/>
  <c r="H4176" i="677" s="1"/>
  <c r="N4175" i="677"/>
  <c r="E4175" i="677" s="1"/>
  <c r="J4175" i="677" s="1"/>
  <c r="N4174" i="677"/>
  <c r="E4174" i="677" s="1"/>
  <c r="N4173" i="677"/>
  <c r="E4173" i="677" s="1"/>
  <c r="N4172" i="677"/>
  <c r="E4172" i="677" s="1"/>
  <c r="H4172" i="677" s="1"/>
  <c r="N4171" i="677"/>
  <c r="E4171" i="677" s="1"/>
  <c r="N4170" i="677"/>
  <c r="E4170" i="677" s="1"/>
  <c r="J4170" i="677" s="1"/>
  <c r="N4169" i="677"/>
  <c r="E4169" i="677" s="1"/>
  <c r="N4168" i="677"/>
  <c r="E4168" i="677" s="1"/>
  <c r="J4168" i="677" s="1"/>
  <c r="N4167" i="677"/>
  <c r="E4167" i="677" s="1"/>
  <c r="J4167" i="677" s="1"/>
  <c r="N4166" i="677"/>
  <c r="E4166" i="677" s="1"/>
  <c r="N4165" i="677"/>
  <c r="J4165" i="677"/>
  <c r="H4165" i="677"/>
  <c r="N4164" i="677"/>
  <c r="E4164" i="677" s="1"/>
  <c r="N4163" i="677"/>
  <c r="E4163" i="677" s="1"/>
  <c r="N4162" i="677"/>
  <c r="E4162" i="677" s="1"/>
  <c r="J4162" i="677" s="1"/>
  <c r="N4161" i="677"/>
  <c r="E4161" i="677" s="1"/>
  <c r="H4161" i="677" s="1"/>
  <c r="N4160" i="677"/>
  <c r="E4160" i="677" s="1"/>
  <c r="H4160" i="677" s="1"/>
  <c r="N4159" i="677"/>
  <c r="E4159" i="677" s="1"/>
  <c r="H4159" i="677" s="1"/>
  <c r="N4158" i="677"/>
  <c r="E4158" i="677" s="1"/>
  <c r="N4157" i="677"/>
  <c r="E4157" i="677" s="1"/>
  <c r="N4156" i="677"/>
  <c r="E4156" i="677" s="1"/>
  <c r="J4156" i="677" s="1"/>
  <c r="N4155" i="677"/>
  <c r="E4155" i="677" s="1"/>
  <c r="N4154" i="677"/>
  <c r="E4154" i="677" s="1"/>
  <c r="J4154" i="677" s="1"/>
  <c r="N4153" i="677"/>
  <c r="E4153" i="677" s="1"/>
  <c r="N4152" i="677"/>
  <c r="E4152" i="677" s="1"/>
  <c r="N4151" i="677"/>
  <c r="E4151" i="677" s="1"/>
  <c r="J4151" i="677" s="1"/>
  <c r="N4150" i="677"/>
  <c r="E4150" i="677" s="1"/>
  <c r="N4149" i="677"/>
  <c r="E4149" i="677"/>
  <c r="N4148" i="677"/>
  <c r="E4148" i="677" s="1"/>
  <c r="J4148" i="677" s="1"/>
  <c r="N4147" i="677"/>
  <c r="E4147" i="677" s="1"/>
  <c r="H4147" i="677" s="1"/>
  <c r="N4146" i="677"/>
  <c r="H4146" i="677"/>
  <c r="E4146" i="677"/>
  <c r="J4146" i="677" s="1"/>
  <c r="K4146" i="677" s="1"/>
  <c r="N4145" i="677"/>
  <c r="E4145" i="677" s="1"/>
  <c r="N4144" i="677"/>
  <c r="E4144" i="677" s="1"/>
  <c r="N4143" i="677"/>
  <c r="E4143" i="677" s="1"/>
  <c r="J4143" i="677" s="1"/>
  <c r="N4142" i="677"/>
  <c r="E4142" i="677" s="1"/>
  <c r="J4142" i="677" s="1"/>
  <c r="N4141" i="677"/>
  <c r="E4141" i="677" s="1"/>
  <c r="N4140" i="677"/>
  <c r="E4140" i="677" s="1"/>
  <c r="J4140" i="677" s="1"/>
  <c r="N4139" i="677"/>
  <c r="E4139" i="677" s="1"/>
  <c r="N4138" i="677"/>
  <c r="E4138" i="677" s="1"/>
  <c r="N4137" i="677"/>
  <c r="E4137" i="677" s="1"/>
  <c r="N4136" i="677"/>
  <c r="E4136" i="677" s="1"/>
  <c r="J4136" i="677" s="1"/>
  <c r="N4135" i="677"/>
  <c r="E4135" i="677" s="1"/>
  <c r="H4135" i="677" s="1"/>
  <c r="N4134" i="677"/>
  <c r="E4134" i="677" s="1"/>
  <c r="N4133" i="677"/>
  <c r="E4133" i="677" s="1"/>
  <c r="J4133" i="677" s="1"/>
  <c r="N4132" i="677"/>
  <c r="E4132" i="677" s="1"/>
  <c r="N4131" i="677"/>
  <c r="E4131" i="677" s="1"/>
  <c r="J4131" i="677" s="1"/>
  <c r="N4130" i="677"/>
  <c r="E4130" i="677" s="1"/>
  <c r="N4129" i="677"/>
  <c r="E4129" i="677"/>
  <c r="N4128" i="677"/>
  <c r="J4128" i="677"/>
  <c r="H4128" i="677"/>
  <c r="N4127" i="677"/>
  <c r="E4127" i="677" s="1"/>
  <c r="N4126" i="677"/>
  <c r="E4126" i="677" s="1"/>
  <c r="N4125" i="677"/>
  <c r="E4125" i="677" s="1"/>
  <c r="N4124" i="677"/>
  <c r="E4124" i="677" s="1"/>
  <c r="N4123" i="677"/>
  <c r="E4123" i="677" s="1"/>
  <c r="N4122" i="677"/>
  <c r="E4122" i="677" s="1"/>
  <c r="N4121" i="677"/>
  <c r="E4121" i="677" s="1"/>
  <c r="N4120" i="677"/>
  <c r="E4120" i="677" s="1"/>
  <c r="H4120" i="677" s="1"/>
  <c r="N4119" i="677"/>
  <c r="E4119" i="677" s="1"/>
  <c r="N4118" i="677"/>
  <c r="E4118" i="677" s="1"/>
  <c r="N4117" i="677"/>
  <c r="E4117" i="677" s="1"/>
  <c r="J4117" i="677" s="1"/>
  <c r="N4116" i="677"/>
  <c r="E4116" i="677"/>
  <c r="J4116" i="677" s="1"/>
  <c r="N4115" i="677"/>
  <c r="E4115" i="677" s="1"/>
  <c r="N4114" i="677"/>
  <c r="E4114" i="677" s="1"/>
  <c r="J4114" i="677" s="1"/>
  <c r="N4113" i="677"/>
  <c r="E4113" i="677"/>
  <c r="N4112" i="677"/>
  <c r="E4112" i="677" s="1"/>
  <c r="N4111" i="677"/>
  <c r="E4111" i="677" s="1"/>
  <c r="N4110" i="677"/>
  <c r="E4110" i="677" s="1"/>
  <c r="N4109" i="677"/>
  <c r="E4109" i="677" s="1"/>
  <c r="H4109" i="677" s="1"/>
  <c r="N4108" i="677"/>
  <c r="E4108" i="677" s="1"/>
  <c r="H4108" i="677" s="1"/>
  <c r="N4107" i="677"/>
  <c r="E4107" i="677" s="1"/>
  <c r="N4106" i="677"/>
  <c r="E4106" i="677" s="1"/>
  <c r="N4105" i="677"/>
  <c r="E4105" i="677" s="1"/>
  <c r="N4104" i="677"/>
  <c r="E4104" i="677" s="1"/>
  <c r="J4104" i="677" s="1"/>
  <c r="N4103" i="677"/>
  <c r="E4103" i="677" s="1"/>
  <c r="N4102" i="677"/>
  <c r="E4102" i="677" s="1"/>
  <c r="J4102" i="677" s="1"/>
  <c r="N4101" i="677"/>
  <c r="E4101" i="677" s="1"/>
  <c r="N4100" i="677"/>
  <c r="J4100" i="677"/>
  <c r="E4100" i="677"/>
  <c r="H4100" i="677" s="1"/>
  <c r="N4099" i="677"/>
  <c r="E4099" i="677" s="1"/>
  <c r="N4098" i="677"/>
  <c r="E4098" i="677" s="1"/>
  <c r="N4097" i="677"/>
  <c r="E4097" i="677" s="1"/>
  <c r="H4097" i="677" s="1"/>
  <c r="N4096" i="677"/>
  <c r="E4096" i="677" s="1"/>
  <c r="H4096" i="677" s="1"/>
  <c r="N4095" i="677"/>
  <c r="E4095" i="677" s="1"/>
  <c r="N4094" i="677"/>
  <c r="E4094" i="677"/>
  <c r="N4093" i="677"/>
  <c r="E4093" i="677" s="1"/>
  <c r="J4093" i="677" s="1"/>
  <c r="N4090" i="677"/>
  <c r="E4090" i="677" s="1"/>
  <c r="N4089" i="677"/>
  <c r="E4089" i="677" s="1"/>
  <c r="N4088" i="677"/>
  <c r="E4088" i="677" s="1"/>
  <c r="N4087" i="677"/>
  <c r="E4087" i="677" s="1"/>
  <c r="N4086" i="677"/>
  <c r="E4086" i="677"/>
  <c r="N4085" i="677"/>
  <c r="E4085" i="677" s="1"/>
  <c r="N4084" i="677"/>
  <c r="E4084" i="677" s="1"/>
  <c r="N4083" i="677"/>
  <c r="E4083" i="677" s="1"/>
  <c r="H4083" i="677" s="1"/>
  <c r="N4082" i="677"/>
  <c r="E4082" i="677" s="1"/>
  <c r="H4082" i="677" s="1"/>
  <c r="N4081" i="677"/>
  <c r="E4081" i="677" s="1"/>
  <c r="N4080" i="677"/>
  <c r="E4080" i="677" s="1"/>
  <c r="N4079" i="677"/>
  <c r="E4079" i="677" s="1"/>
  <c r="J4079" i="677" s="1"/>
  <c r="H4079" i="677"/>
  <c r="K4079" i="677" s="1"/>
  <c r="N4078" i="677"/>
  <c r="E4078" i="677" s="1"/>
  <c r="N4077" i="677"/>
  <c r="E4077" i="677" s="1"/>
  <c r="N4076" i="677"/>
  <c r="E4076" i="677" s="1"/>
  <c r="N4075" i="677"/>
  <c r="E4075" i="677" s="1"/>
  <c r="N4074" i="677"/>
  <c r="E4074" i="677" s="1"/>
  <c r="N4073" i="677"/>
  <c r="E4073" i="677" s="1"/>
  <c r="N4072" i="677"/>
  <c r="E4072" i="677" s="1"/>
  <c r="N4071" i="677"/>
  <c r="E4071" i="677" s="1"/>
  <c r="H4071" i="677" s="1"/>
  <c r="N4070" i="677"/>
  <c r="E4070" i="677" s="1"/>
  <c r="N4069" i="677"/>
  <c r="E4069" i="677" s="1"/>
  <c r="N4068" i="677"/>
  <c r="E4068" i="677" s="1"/>
  <c r="N4067" i="677"/>
  <c r="E4067" i="677" s="1"/>
  <c r="J4067" i="677" s="1"/>
  <c r="N4066" i="677"/>
  <c r="E4066" i="677" s="1"/>
  <c r="N4065" i="677"/>
  <c r="J4065" i="677"/>
  <c r="H4065" i="677"/>
  <c r="N4064" i="677"/>
  <c r="E4064" i="677" s="1"/>
  <c r="N4063" i="677"/>
  <c r="E4063" i="677" s="1"/>
  <c r="N4062" i="677"/>
  <c r="E4062" i="677" s="1"/>
  <c r="N4061" i="677"/>
  <c r="E4061" i="677" s="1"/>
  <c r="N4060" i="677"/>
  <c r="E4060" i="677" s="1"/>
  <c r="N4059" i="677"/>
  <c r="E4059" i="677" s="1"/>
  <c r="J4059" i="677" s="1"/>
  <c r="N4058" i="677"/>
  <c r="E4058" i="677" s="1"/>
  <c r="N4057" i="677"/>
  <c r="E4057" i="677" s="1"/>
  <c r="N4056" i="677"/>
  <c r="E4056" i="677" s="1"/>
  <c r="N4055" i="677"/>
  <c r="E4055" i="677" s="1"/>
  <c r="N4054" i="677"/>
  <c r="E4054" i="677" s="1"/>
  <c r="H4054" i="677" s="1"/>
  <c r="N4053" i="677"/>
  <c r="E4053" i="677" s="1"/>
  <c r="H4053" i="677" s="1"/>
  <c r="N4052" i="677"/>
  <c r="E4052" i="677"/>
  <c r="N4051" i="677"/>
  <c r="E4051" i="677" s="1"/>
  <c r="N4050" i="677"/>
  <c r="E4050" i="677" s="1"/>
  <c r="J4050" i="677" s="1"/>
  <c r="N4049" i="677"/>
  <c r="E4049" i="677" s="1"/>
  <c r="N4048" i="677"/>
  <c r="E4048" i="677" s="1"/>
  <c r="N4047" i="677"/>
  <c r="E4047" i="677" s="1"/>
  <c r="J4047" i="677" s="1"/>
  <c r="N4046" i="677"/>
  <c r="E4046" i="677" s="1"/>
  <c r="N4045" i="677"/>
  <c r="E4045" i="677" s="1"/>
  <c r="N4044" i="677"/>
  <c r="E4044" i="677" s="1"/>
  <c r="N4043" i="677"/>
  <c r="E4043" i="677" s="1"/>
  <c r="N4042" i="677"/>
  <c r="E4042" i="677" s="1"/>
  <c r="N4041" i="677"/>
  <c r="E4041" i="677" s="1"/>
  <c r="H4041" i="677" s="1"/>
  <c r="N4040" i="677"/>
  <c r="E4040" i="677" s="1"/>
  <c r="N4039" i="677"/>
  <c r="E4039" i="677" s="1"/>
  <c r="N4038" i="677"/>
  <c r="E4038" i="677" s="1"/>
  <c r="N4037" i="677"/>
  <c r="E4037" i="677" s="1"/>
  <c r="N4036" i="677"/>
  <c r="E4036" i="677" s="1"/>
  <c r="N4035" i="677"/>
  <c r="E4035" i="677" s="1"/>
  <c r="J4035" i="677" s="1"/>
  <c r="N4034" i="677"/>
  <c r="E4034" i="677" s="1"/>
  <c r="N4033" i="677"/>
  <c r="E4033" i="677" s="1"/>
  <c r="N4032" i="677"/>
  <c r="E4032" i="677" s="1"/>
  <c r="N4031" i="677"/>
  <c r="E4031" i="677" s="1"/>
  <c r="N4030" i="677"/>
  <c r="E4030" i="677" s="1"/>
  <c r="H4030" i="677" s="1"/>
  <c r="N4029" i="677"/>
  <c r="E4029" i="677" s="1"/>
  <c r="H4029" i="677" s="1"/>
  <c r="N4028" i="677"/>
  <c r="E4028" i="677"/>
  <c r="N4027" i="677"/>
  <c r="J4027" i="677"/>
  <c r="H4027" i="677"/>
  <c r="N4026" i="677"/>
  <c r="E4026" i="677" s="1"/>
  <c r="N4025" i="677"/>
  <c r="E4025" i="677" s="1"/>
  <c r="H4025" i="677" s="1"/>
  <c r="N4024" i="677"/>
  <c r="E4024" i="677" s="1"/>
  <c r="H4024" i="677" s="1"/>
  <c r="N4023" i="677"/>
  <c r="E4023" i="677" s="1"/>
  <c r="N4022" i="677"/>
  <c r="E4022" i="677" s="1"/>
  <c r="N4021" i="677"/>
  <c r="E4021" i="677" s="1"/>
  <c r="J4021" i="677" s="1"/>
  <c r="N4020" i="677"/>
  <c r="E4020" i="677" s="1"/>
  <c r="J4020" i="677" s="1"/>
  <c r="N4019" i="677"/>
  <c r="E4019" i="677" s="1"/>
  <c r="N4018" i="677"/>
  <c r="E4018" i="677" s="1"/>
  <c r="J4017" i="677"/>
  <c r="H4017" i="677"/>
  <c r="N4016" i="677"/>
  <c r="J4016" i="677"/>
  <c r="H4016" i="677"/>
  <c r="K4016" i="677" s="1"/>
  <c r="N4015" i="677"/>
  <c r="N4014" i="677"/>
  <c r="E4014" i="677" s="1"/>
  <c r="H4014" i="677" s="1"/>
  <c r="N4013" i="677"/>
  <c r="E4013" i="677" s="1"/>
  <c r="J4013" i="677"/>
  <c r="H4013" i="677"/>
  <c r="K4013" i="677" s="1"/>
  <c r="N4012" i="677"/>
  <c r="E4012" i="677" s="1"/>
  <c r="N4011" i="677"/>
  <c r="E4011" i="677"/>
  <c r="N4010" i="677"/>
  <c r="E4010" i="677" s="1"/>
  <c r="J4010" i="677" s="1"/>
  <c r="N4009" i="677"/>
  <c r="E4009" i="677" s="1"/>
  <c r="J4009" i="677" s="1"/>
  <c r="N4008" i="677"/>
  <c r="E4008" i="677" s="1"/>
  <c r="H4008" i="677" s="1"/>
  <c r="N4007" i="677"/>
  <c r="E4007" i="677" s="1"/>
  <c r="N4006" i="677"/>
  <c r="E4006" i="677" s="1"/>
  <c r="J4006" i="677" s="1"/>
  <c r="N4005" i="677"/>
  <c r="E4005" i="677"/>
  <c r="N4004" i="677"/>
  <c r="E4004" i="677" s="1"/>
  <c r="N4003" i="677"/>
  <c r="E4003" i="677" s="1"/>
  <c r="N4002" i="677"/>
  <c r="E4002" i="677" s="1"/>
  <c r="N4001" i="677"/>
  <c r="E4001" i="677" s="1"/>
  <c r="N4000" i="677"/>
  <c r="E4000" i="677" s="1"/>
  <c r="N3999" i="677"/>
  <c r="E3999" i="677"/>
  <c r="N3998" i="677"/>
  <c r="E3998" i="677" s="1"/>
  <c r="J3998" i="677" s="1"/>
  <c r="N3997" i="677"/>
  <c r="E3997" i="677" s="1"/>
  <c r="J3997" i="677" s="1"/>
  <c r="N3996" i="677"/>
  <c r="E3996" i="677" s="1"/>
  <c r="N3995" i="677"/>
  <c r="E3995" i="677" s="1"/>
  <c r="J3995" i="677" s="1"/>
  <c r="N3994" i="677"/>
  <c r="E3994" i="677" s="1"/>
  <c r="J3994" i="677" s="1"/>
  <c r="N3993" i="677"/>
  <c r="E3993" i="677" s="1"/>
  <c r="N3992" i="677"/>
  <c r="E3992" i="677" s="1"/>
  <c r="N3991" i="677"/>
  <c r="E3991" i="677"/>
  <c r="N3990" i="677"/>
  <c r="E3990" i="677" s="1"/>
  <c r="H3990" i="677" s="1"/>
  <c r="N3989" i="677"/>
  <c r="E3989" i="677" s="1"/>
  <c r="N3988" i="677"/>
  <c r="E3988" i="677" s="1"/>
  <c r="N3987" i="677"/>
  <c r="E3987" i="677" s="1"/>
  <c r="N3986" i="677"/>
  <c r="E3986" i="677" s="1"/>
  <c r="J3986" i="677" s="1"/>
  <c r="N3985" i="677"/>
  <c r="E3985" i="677" s="1"/>
  <c r="J3985" i="677" s="1"/>
  <c r="N3984" i="677"/>
  <c r="E3984" i="677" s="1"/>
  <c r="H3984" i="677" s="1"/>
  <c r="N3983" i="677"/>
  <c r="E3983" i="677" s="1"/>
  <c r="N3982" i="677"/>
  <c r="E3982" i="677" s="1"/>
  <c r="J3982" i="677" s="1"/>
  <c r="N3981" i="677"/>
  <c r="E3981" i="677"/>
  <c r="N3980" i="677"/>
  <c r="E3980" i="677" s="1"/>
  <c r="N3979" i="677"/>
  <c r="E3979" i="677" s="1"/>
  <c r="N3978" i="677"/>
  <c r="E3978" i="677" s="1"/>
  <c r="N3977" i="677"/>
  <c r="E3977" i="677" s="1"/>
  <c r="J3977" i="677" s="1"/>
  <c r="N3976" i="677"/>
  <c r="E3976" i="677" s="1"/>
  <c r="N3975" i="677"/>
  <c r="E3975" i="677" s="1"/>
  <c r="N3974" i="677"/>
  <c r="E3974" i="677" s="1"/>
  <c r="J3974" i="677" s="1"/>
  <c r="N3973" i="677"/>
  <c r="E3973" i="677" s="1"/>
  <c r="J3973" i="677" s="1"/>
  <c r="N3972" i="677"/>
  <c r="E3972" i="677" s="1"/>
  <c r="H3972" i="677" s="1"/>
  <c r="N3971" i="677"/>
  <c r="E3971" i="677" s="1"/>
  <c r="J3971" i="677" s="1"/>
  <c r="N3970" i="677"/>
  <c r="E3970" i="677" s="1"/>
  <c r="J3970" i="677" s="1"/>
  <c r="N3969" i="677"/>
  <c r="E3969" i="677" s="1"/>
  <c r="N3968" i="677"/>
  <c r="E3968" i="677" s="1"/>
  <c r="N3967" i="677"/>
  <c r="E3967" i="677" s="1"/>
  <c r="N3966" i="677"/>
  <c r="E3966" i="677" s="1"/>
  <c r="H3966" i="677" s="1"/>
  <c r="N3965" i="677"/>
  <c r="E3965" i="677" s="1"/>
  <c r="J3965" i="677" s="1"/>
  <c r="N3964" i="677"/>
  <c r="E3964" i="677" s="1"/>
  <c r="N3963" i="677"/>
  <c r="E3963" i="677" s="1"/>
  <c r="N3962" i="677"/>
  <c r="E3962" i="677" s="1"/>
  <c r="J3962" i="677" s="1"/>
  <c r="N3961" i="677"/>
  <c r="E3961" i="677" s="1"/>
  <c r="J3961" i="677" s="1"/>
  <c r="N3960" i="677"/>
  <c r="J3960" i="677"/>
  <c r="K3960" i="677" s="1"/>
  <c r="H3960" i="677"/>
  <c r="N3959" i="677"/>
  <c r="E3959" i="677" s="1"/>
  <c r="N3958" i="677"/>
  <c r="E3958" i="677" s="1"/>
  <c r="N3957" i="677"/>
  <c r="E3957" i="677" s="1"/>
  <c r="J3957" i="677" s="1"/>
  <c r="N3956" i="677"/>
  <c r="E3956" i="677" s="1"/>
  <c r="J3956" i="677" s="1"/>
  <c r="N3955" i="677"/>
  <c r="E3955" i="677" s="1"/>
  <c r="H3955" i="677" s="1"/>
  <c r="N3954" i="677"/>
  <c r="E3954" i="677" s="1"/>
  <c r="J3954" i="677" s="1"/>
  <c r="N3953" i="677"/>
  <c r="E3953" i="677" s="1"/>
  <c r="N3952" i="677"/>
  <c r="E3952" i="677" s="1"/>
  <c r="H3952" i="677" s="1"/>
  <c r="N3951" i="677"/>
  <c r="E3951" i="677" s="1"/>
  <c r="J3951" i="677" s="1"/>
  <c r="N3950" i="677"/>
  <c r="E3950" i="677" s="1"/>
  <c r="N3949" i="677"/>
  <c r="E3949" i="677" s="1"/>
  <c r="N3948" i="677"/>
  <c r="E3948" i="677" s="1"/>
  <c r="H3948" i="677" s="1"/>
  <c r="N3947" i="677"/>
  <c r="E3947" i="677" s="1"/>
  <c r="N3946" i="677"/>
  <c r="E3946" i="677" s="1"/>
  <c r="N3945" i="677"/>
  <c r="E3945" i="677" s="1"/>
  <c r="N3944" i="677"/>
  <c r="E3944" i="677" s="1"/>
  <c r="H3944" i="677" s="1"/>
  <c r="N3943" i="677"/>
  <c r="E3943" i="677" s="1"/>
  <c r="N3942" i="677"/>
  <c r="E3942" i="677" s="1"/>
  <c r="J3942" i="677" s="1"/>
  <c r="N3941" i="677"/>
  <c r="E3941" i="677" s="1"/>
  <c r="N3940" i="677"/>
  <c r="E3940" i="677" s="1"/>
  <c r="J3940" i="677" s="1"/>
  <c r="N3939" i="677"/>
  <c r="E3939" i="677" s="1"/>
  <c r="H3939" i="677" s="1"/>
  <c r="N3938" i="677"/>
  <c r="E3938" i="677" s="1"/>
  <c r="N3937" i="677"/>
  <c r="E3937" i="677" s="1"/>
  <c r="N3936" i="677"/>
  <c r="E3936" i="677" s="1"/>
  <c r="J3936" i="677" s="1"/>
  <c r="N3935" i="677"/>
  <c r="E3935" i="677" s="1"/>
  <c r="H3935" i="677" s="1"/>
  <c r="N3934" i="677"/>
  <c r="E3934" i="677" s="1"/>
  <c r="J3934" i="677" s="1"/>
  <c r="N3933" i="677"/>
  <c r="J3933" i="677"/>
  <c r="E3933" i="677"/>
  <c r="H3933" i="677" s="1"/>
  <c r="N3932" i="677"/>
  <c r="E3932" i="677" s="1"/>
  <c r="N3931" i="677"/>
  <c r="E3931" i="677"/>
  <c r="N3930" i="677"/>
  <c r="E3930" i="677" s="1"/>
  <c r="J3930" i="677" s="1"/>
  <c r="N3929" i="677"/>
  <c r="E3929" i="677" s="1"/>
  <c r="N3928" i="677"/>
  <c r="E3928" i="677" s="1"/>
  <c r="N3927" i="677"/>
  <c r="E3927" i="677" s="1"/>
  <c r="N3926" i="677"/>
  <c r="E3926" i="677" s="1"/>
  <c r="J3926" i="677" s="1"/>
  <c r="N3925" i="677"/>
  <c r="E3925" i="677" s="1"/>
  <c r="N3924" i="677"/>
  <c r="E3924" i="677" s="1"/>
  <c r="J3924" i="677" s="1"/>
  <c r="N3923" i="677"/>
  <c r="J3923" i="677"/>
  <c r="K3923" i="677" s="1"/>
  <c r="H3923" i="677"/>
  <c r="N3922" i="677"/>
  <c r="E3922" i="677" s="1"/>
  <c r="N3921" i="677"/>
  <c r="E3921" i="677" s="1"/>
  <c r="N3920" i="677"/>
  <c r="E3920" i="677" s="1"/>
  <c r="N3919" i="677"/>
  <c r="E3919" i="677"/>
  <c r="N3918" i="677"/>
  <c r="E3918" i="677" s="1"/>
  <c r="H3918" i="677" s="1"/>
  <c r="N3917" i="677"/>
  <c r="E3917" i="677" s="1"/>
  <c r="N3916" i="677"/>
  <c r="E3916" i="677" s="1"/>
  <c r="N3915" i="677"/>
  <c r="E3915" i="677" s="1"/>
  <c r="N3914" i="677"/>
  <c r="E3914" i="677" s="1"/>
  <c r="J3914" i="677" s="1"/>
  <c r="N3913" i="677"/>
  <c r="E3913" i="677" s="1"/>
  <c r="N3912" i="677"/>
  <c r="E3912" i="677" s="1"/>
  <c r="N3911" i="677"/>
  <c r="E3911" i="677" s="1"/>
  <c r="J3911" i="677" s="1"/>
  <c r="N3910" i="677"/>
  <c r="E3910" i="677" s="1"/>
  <c r="N3909" i="677"/>
  <c r="E3909" i="677" s="1"/>
  <c r="J3909" i="677" s="1"/>
  <c r="N3908" i="677"/>
  <c r="E3908" i="677" s="1"/>
  <c r="N3907" i="677"/>
  <c r="E3907" i="677" s="1"/>
  <c r="N3906" i="677"/>
  <c r="E3906" i="677" s="1"/>
  <c r="N3905" i="677"/>
  <c r="E3905" i="677" s="1"/>
  <c r="N3904" i="677"/>
  <c r="E3904" i="677" s="1"/>
  <c r="H3904" i="677" s="1"/>
  <c r="N3903" i="677"/>
  <c r="E3903" i="677" s="1"/>
  <c r="J3903" i="677" s="1"/>
  <c r="N3902" i="677"/>
  <c r="E3902" i="677"/>
  <c r="N3901" i="677"/>
  <c r="E3901" i="677" s="1"/>
  <c r="J3901" i="677" s="1"/>
  <c r="N3900" i="677"/>
  <c r="E3900" i="677" s="1"/>
  <c r="N3899" i="677"/>
  <c r="E3899" i="677" s="1"/>
  <c r="N3898" i="677"/>
  <c r="E3898" i="677" s="1"/>
  <c r="N3897" i="677"/>
  <c r="E3897" i="677" s="1"/>
  <c r="H3897" i="677" s="1"/>
  <c r="N3896" i="677"/>
  <c r="E3896" i="677" s="1"/>
  <c r="N3895" i="677"/>
  <c r="E3895" i="677" s="1"/>
  <c r="N3894" i="677"/>
  <c r="E3894" i="677" s="1"/>
  <c r="N3893" i="677"/>
  <c r="E3893" i="677" s="1"/>
  <c r="J3893" i="677" s="1"/>
  <c r="N3892" i="677"/>
  <c r="E3892" i="677" s="1"/>
  <c r="N3891" i="677"/>
  <c r="E3891" i="677" s="1"/>
  <c r="J3891" i="677" s="1"/>
  <c r="N3890" i="677"/>
  <c r="E3890" i="677" s="1"/>
  <c r="J3890" i="677" s="1"/>
  <c r="N3889" i="677"/>
  <c r="E3889" i="677" s="1"/>
  <c r="N3888" i="677"/>
  <c r="E3888" i="677" s="1"/>
  <c r="N3887" i="677"/>
  <c r="E3887" i="677" s="1"/>
  <c r="N3886" i="677"/>
  <c r="E3886" i="677" s="1"/>
  <c r="H3886" i="677" s="1"/>
  <c r="N3885" i="677"/>
  <c r="E3885" i="677" s="1"/>
  <c r="J3885" i="677" s="1"/>
  <c r="N3884" i="677"/>
  <c r="E3884" i="677" s="1"/>
  <c r="N3883" i="677"/>
  <c r="E3883" i="677" s="1"/>
  <c r="N3882" i="677"/>
  <c r="E3882" i="677" s="1"/>
  <c r="N3881" i="677"/>
  <c r="E3881" i="677" s="1"/>
  <c r="N3880" i="677"/>
  <c r="E3880" i="677" s="1"/>
  <c r="N3879" i="677"/>
  <c r="E3879" i="677" s="1"/>
  <c r="N3878" i="677"/>
  <c r="E3878" i="677" s="1"/>
  <c r="N3877" i="677"/>
  <c r="E3877" i="677" s="1"/>
  <c r="N3876" i="677"/>
  <c r="E3876" i="677" s="1"/>
  <c r="N3875" i="677"/>
  <c r="E3875" i="677" s="1"/>
  <c r="N3874" i="677"/>
  <c r="E3874" i="677" s="1"/>
  <c r="N3873" i="677"/>
  <c r="E3873" i="677" s="1"/>
  <c r="N3872" i="677"/>
  <c r="E3872" i="677" s="1"/>
  <c r="N3871" i="677"/>
  <c r="E3871" i="677" s="1"/>
  <c r="N3870" i="677"/>
  <c r="E3870" i="677" s="1"/>
  <c r="H3870" i="677" s="1"/>
  <c r="N3869" i="677"/>
  <c r="E3869" i="677" s="1"/>
  <c r="N3868" i="677"/>
  <c r="E3868" i="677" s="1"/>
  <c r="H3868" i="677" s="1"/>
  <c r="N3867" i="677"/>
  <c r="E3867" i="677" s="1"/>
  <c r="N3866" i="677"/>
  <c r="E3866" i="677" s="1"/>
  <c r="N3865" i="677"/>
  <c r="E3865" i="677" s="1"/>
  <c r="N3864" i="677"/>
  <c r="E3864" i="677" s="1"/>
  <c r="N3863" i="677"/>
  <c r="E3863" i="677" s="1"/>
  <c r="N3862" i="677"/>
  <c r="E3862" i="677" s="1"/>
  <c r="H3862" i="677" s="1"/>
  <c r="N3861" i="677"/>
  <c r="E3861" i="677" s="1"/>
  <c r="J3861" i="677" s="1"/>
  <c r="N3860" i="677"/>
  <c r="J3860" i="677"/>
  <c r="H3860" i="677"/>
  <c r="K3860" i="677" s="1"/>
  <c r="N3859" i="677"/>
  <c r="E3859" i="677" s="1"/>
  <c r="N3858" i="677"/>
  <c r="E3858" i="677" s="1"/>
  <c r="J3858" i="677" s="1"/>
  <c r="N3857" i="677"/>
  <c r="E3857" i="677" s="1"/>
  <c r="N3856" i="677"/>
  <c r="E3856" i="677" s="1"/>
  <c r="H3856" i="677" s="1"/>
  <c r="N3855" i="677"/>
  <c r="E3855" i="677" s="1"/>
  <c r="N3854" i="677"/>
  <c r="E3854" i="677" s="1"/>
  <c r="N3853" i="677"/>
  <c r="E3853" i="677" s="1"/>
  <c r="N3852" i="677"/>
  <c r="E3852" i="677" s="1"/>
  <c r="N3851" i="677"/>
  <c r="E3851" i="677"/>
  <c r="J3851" i="677" s="1"/>
  <c r="N3850" i="677"/>
  <c r="E3850" i="677" s="1"/>
  <c r="N3849" i="677"/>
  <c r="E3849" i="677" s="1"/>
  <c r="N3848" i="677"/>
  <c r="E3848" i="677" s="1"/>
  <c r="J3848" i="677" s="1"/>
  <c r="H3848" i="677"/>
  <c r="K3848" i="677" s="1"/>
  <c r="N3847" i="677"/>
  <c r="E3847" i="677" s="1"/>
  <c r="N3846" i="677"/>
  <c r="E3846" i="677" s="1"/>
  <c r="J3846" i="677" s="1"/>
  <c r="H3846" i="677"/>
  <c r="K3846" i="677" s="1"/>
  <c r="N3845" i="677"/>
  <c r="E3845" i="677" s="1"/>
  <c r="H3845" i="677" s="1"/>
  <c r="N3844" i="677"/>
  <c r="E3844" i="677" s="1"/>
  <c r="N3843" i="677"/>
  <c r="E3843" i="677" s="1"/>
  <c r="N3842" i="677"/>
  <c r="E3842" i="677" s="1"/>
  <c r="N3841" i="677"/>
  <c r="E3841" i="677" s="1"/>
  <c r="N3840" i="677"/>
  <c r="E3840" i="677" s="1"/>
  <c r="N3839" i="677"/>
  <c r="E3839" i="677" s="1"/>
  <c r="J3839" i="677" s="1"/>
  <c r="N3838" i="677"/>
  <c r="E3838" i="677" s="1"/>
  <c r="N3837" i="677"/>
  <c r="E3837" i="677" s="1"/>
  <c r="N3836" i="677"/>
  <c r="E3836" i="677" s="1"/>
  <c r="J3836" i="677" s="1"/>
  <c r="N3835" i="677"/>
  <c r="E3835" i="677" s="1"/>
  <c r="N3834" i="677"/>
  <c r="E3834" i="677" s="1"/>
  <c r="H3834" i="677" s="1"/>
  <c r="N3833" i="677"/>
  <c r="E3833" i="677" s="1"/>
  <c r="H3833" i="677" s="1"/>
  <c r="N3832" i="677"/>
  <c r="E3832" i="677" s="1"/>
  <c r="N3831" i="677"/>
  <c r="E3831" i="677" s="1"/>
  <c r="N3830" i="677"/>
  <c r="E3830" i="677"/>
  <c r="N3829" i="677"/>
  <c r="E3829" i="677" s="1"/>
  <c r="N3828" i="677"/>
  <c r="E3828" i="677" s="1"/>
  <c r="N3827" i="677"/>
  <c r="E3827" i="677" s="1"/>
  <c r="N3826" i="677"/>
  <c r="E3826" i="677" s="1"/>
  <c r="H3826" i="677" s="1"/>
  <c r="N3825" i="677"/>
  <c r="E3825" i="677" s="1"/>
  <c r="N3824" i="677"/>
  <c r="E3824" i="677" s="1"/>
  <c r="J3824" i="677" s="1"/>
  <c r="N3823" i="677"/>
  <c r="E3823" i="677" s="1"/>
  <c r="N3822" i="677"/>
  <c r="J3822" i="677"/>
  <c r="H3822" i="677"/>
  <c r="N3821" i="677"/>
  <c r="E3821" i="677" s="1"/>
  <c r="N3820" i="677"/>
  <c r="E3820" i="677" s="1"/>
  <c r="J3820" i="677" s="1"/>
  <c r="N3819" i="677"/>
  <c r="E3819" i="677" s="1"/>
  <c r="J3819" i="677" s="1"/>
  <c r="N3818" i="677"/>
  <c r="E3818" i="677" s="1"/>
  <c r="N3817" i="677"/>
  <c r="E3817" i="677" s="1"/>
  <c r="J3817" i="677" s="1"/>
  <c r="N3816" i="677"/>
  <c r="E3816" i="677" s="1"/>
  <c r="H3816" i="677" s="1"/>
  <c r="N3815" i="677"/>
  <c r="E3815" i="677" s="1"/>
  <c r="N3814" i="677"/>
  <c r="E3814" i="677" s="1"/>
  <c r="H3814" i="677" s="1"/>
  <c r="N3813" i="677"/>
  <c r="E3813" i="677" s="1"/>
  <c r="J3812" i="677"/>
  <c r="H3812" i="677"/>
  <c r="N3811" i="677"/>
  <c r="J3811" i="677"/>
  <c r="H3811" i="677"/>
  <c r="N3810" i="677"/>
  <c r="N3809" i="677"/>
  <c r="E3809" i="677" s="1"/>
  <c r="N3808" i="677"/>
  <c r="E3808" i="677" s="1"/>
  <c r="J3808" i="677" s="1"/>
  <c r="N3807" i="677"/>
  <c r="E3807" i="677" s="1"/>
  <c r="H3807" i="677" s="1"/>
  <c r="N3806" i="677"/>
  <c r="E3806" i="677" s="1"/>
  <c r="N3805" i="677"/>
  <c r="E3805" i="677" s="1"/>
  <c r="H3805" i="677" s="1"/>
  <c r="N3804" i="677"/>
  <c r="E3804" i="677" s="1"/>
  <c r="J3804" i="677" s="1"/>
  <c r="N3803" i="677"/>
  <c r="E3803" i="677" s="1"/>
  <c r="N3802" i="677"/>
  <c r="E3802" i="677" s="1"/>
  <c r="N3801" i="677"/>
  <c r="E3801" i="677" s="1"/>
  <c r="H3801" i="677" s="1"/>
  <c r="N3800" i="677"/>
  <c r="E3800" i="677"/>
  <c r="N3799" i="677"/>
  <c r="E3799" i="677" s="1"/>
  <c r="J3799" i="677" s="1"/>
  <c r="N3798" i="677"/>
  <c r="E3798" i="677"/>
  <c r="H3798" i="677" s="1"/>
  <c r="N3797" i="677"/>
  <c r="E3797" i="677" s="1"/>
  <c r="N3796" i="677"/>
  <c r="E3796" i="677" s="1"/>
  <c r="J3796" i="677" s="1"/>
  <c r="N3795" i="677"/>
  <c r="E3795" i="677" s="1"/>
  <c r="H3795" i="677" s="1"/>
  <c r="N3794" i="677"/>
  <c r="E3794" i="677" s="1"/>
  <c r="J3794" i="677" s="1"/>
  <c r="N3793" i="677"/>
  <c r="E3793" i="677" s="1"/>
  <c r="N3792" i="677"/>
  <c r="E3792" i="677" s="1"/>
  <c r="N3791" i="677"/>
  <c r="E3791" i="677" s="1"/>
  <c r="N3790" i="677"/>
  <c r="E3790" i="677" s="1"/>
  <c r="N3789" i="677"/>
  <c r="E3789" i="677" s="1"/>
  <c r="N3788" i="677"/>
  <c r="E3788" i="677"/>
  <c r="N3787" i="677"/>
  <c r="E3787" i="677" s="1"/>
  <c r="N3786" i="677"/>
  <c r="E3786" i="677" s="1"/>
  <c r="N3785" i="677"/>
  <c r="E3785" i="677" s="1"/>
  <c r="N3784" i="677"/>
  <c r="E3784" i="677" s="1"/>
  <c r="N3783" i="677"/>
  <c r="E3783" i="677" s="1"/>
  <c r="H3783" i="677" s="1"/>
  <c r="N3782" i="677"/>
  <c r="E3782" i="677" s="1"/>
  <c r="H3782" i="677" s="1"/>
  <c r="N3781" i="677"/>
  <c r="E3781" i="677" s="1"/>
  <c r="N3778" i="677"/>
  <c r="E3778" i="677"/>
  <c r="N3777" i="677"/>
  <c r="E3777" i="677" s="1"/>
  <c r="N3776" i="677"/>
  <c r="E3776" i="677" s="1"/>
  <c r="N3775" i="677"/>
  <c r="E3775" i="677" s="1"/>
  <c r="N3774" i="677"/>
  <c r="E3774" i="677" s="1"/>
  <c r="N3773" i="677"/>
  <c r="E3773" i="677" s="1"/>
  <c r="N3772" i="677"/>
  <c r="E3772" i="677" s="1"/>
  <c r="N3771" i="677"/>
  <c r="E3771" i="677" s="1"/>
  <c r="N3770" i="677"/>
  <c r="E3770" i="677" s="1"/>
  <c r="J3770" i="677" s="1"/>
  <c r="N3769" i="677"/>
  <c r="E3769" i="677" s="1"/>
  <c r="H3769" i="677" s="1"/>
  <c r="N3768" i="677"/>
  <c r="E3768" i="677" s="1"/>
  <c r="J3768" i="677" s="1"/>
  <c r="N3767" i="677"/>
  <c r="E3767" i="677" s="1"/>
  <c r="H3767" i="677" s="1"/>
  <c r="N3766" i="677"/>
  <c r="E3766" i="677" s="1"/>
  <c r="J3766" i="677" s="1"/>
  <c r="N3765" i="677"/>
  <c r="E3765" i="677" s="1"/>
  <c r="N3764" i="677"/>
  <c r="E3764" i="677" s="1"/>
  <c r="N3763" i="677"/>
  <c r="E3763" i="677" s="1"/>
  <c r="N3762" i="677"/>
  <c r="E3762" i="677" s="1"/>
  <c r="N3761" i="677"/>
  <c r="E3761" i="677"/>
  <c r="N3760" i="677"/>
  <c r="E3760" i="677" s="1"/>
  <c r="J3760" i="677" s="1"/>
  <c r="N3759" i="677"/>
  <c r="E3759" i="677" s="1"/>
  <c r="N3758" i="677"/>
  <c r="E3758" i="677" s="1"/>
  <c r="N3757" i="677"/>
  <c r="E3757" i="677" s="1"/>
  <c r="N3756" i="677"/>
  <c r="E3756" i="677" s="1"/>
  <c r="J3756" i="677" s="1"/>
  <c r="N3755" i="677"/>
  <c r="E3755" i="677" s="1"/>
  <c r="H3755" i="677" s="1"/>
  <c r="N3754" i="677"/>
  <c r="E3754" i="677" s="1"/>
  <c r="N3753" i="677"/>
  <c r="J3753" i="677"/>
  <c r="H3753" i="677"/>
  <c r="N3752" i="677"/>
  <c r="E3752" i="677" s="1"/>
  <c r="N3751" i="677"/>
  <c r="E3751" i="677" s="1"/>
  <c r="H3751" i="677" s="1"/>
  <c r="N3750" i="677"/>
  <c r="E3750" i="677" s="1"/>
  <c r="N3749" i="677"/>
  <c r="E3749" i="677" s="1"/>
  <c r="N3748" i="677"/>
  <c r="E3748" i="677"/>
  <c r="N3747" i="677"/>
  <c r="E3747" i="677" s="1"/>
  <c r="N3746" i="677"/>
  <c r="E3746" i="677" s="1"/>
  <c r="N3745" i="677"/>
  <c r="E3745" i="677" s="1"/>
  <c r="J3745" i="677" s="1"/>
  <c r="N3744" i="677"/>
  <c r="E3744" i="677" s="1"/>
  <c r="N3743" i="677"/>
  <c r="E3743" i="677" s="1"/>
  <c r="N3742" i="677"/>
  <c r="E3742" i="677" s="1"/>
  <c r="J3742" i="677" s="1"/>
  <c r="N3741" i="677"/>
  <c r="E3741" i="677" s="1"/>
  <c r="J3741" i="677" s="1"/>
  <c r="N3740" i="677"/>
  <c r="E3740" i="677" s="1"/>
  <c r="N3739" i="677"/>
  <c r="E3739" i="677" s="1"/>
  <c r="H3739" i="677" s="1"/>
  <c r="N3738" i="677"/>
  <c r="E3738" i="677" s="1"/>
  <c r="N3737" i="677"/>
  <c r="E3737" i="677" s="1"/>
  <c r="J3737" i="677" s="1"/>
  <c r="N3736" i="677"/>
  <c r="E3736" i="677" s="1"/>
  <c r="N3735" i="677"/>
  <c r="E3735" i="677" s="1"/>
  <c r="N3734" i="677"/>
  <c r="E3734" i="677"/>
  <c r="N3733" i="677"/>
  <c r="E3733" i="677" s="1"/>
  <c r="H3733" i="677" s="1"/>
  <c r="N3732" i="677"/>
  <c r="E3732" i="677" s="1"/>
  <c r="N3730" i="677"/>
  <c r="E3730" i="677" s="1"/>
  <c r="J3730" i="677" s="1"/>
  <c r="H3730" i="677"/>
  <c r="K3730" i="677" s="1"/>
  <c r="N3729" i="677"/>
  <c r="E3729" i="677" s="1"/>
  <c r="J3729" i="677" s="1"/>
  <c r="H3729" i="677"/>
  <c r="N3728" i="677"/>
  <c r="E3728" i="677" s="1"/>
  <c r="J3728" i="677" s="1"/>
  <c r="N3727" i="677"/>
  <c r="E3727" i="677" s="1"/>
  <c r="N3726" i="677"/>
  <c r="E3726" i="677" s="1"/>
  <c r="N3725" i="677"/>
  <c r="E3725" i="677" s="1"/>
  <c r="J3725" i="677" s="1"/>
  <c r="N3724" i="677"/>
  <c r="E3724" i="677" s="1"/>
  <c r="H3724" i="677" s="1"/>
  <c r="N3723" i="677"/>
  <c r="E3723" i="677" s="1"/>
  <c r="N3722" i="677"/>
  <c r="E3722" i="677" s="1"/>
  <c r="N3721" i="677"/>
  <c r="E3721" i="677" s="1"/>
  <c r="N3720" i="677"/>
  <c r="E3720" i="677" s="1"/>
  <c r="N3719" i="677"/>
  <c r="E3719" i="677" s="1"/>
  <c r="N3718" i="677"/>
  <c r="E3718" i="677" s="1"/>
  <c r="N3717" i="677"/>
  <c r="E3717" i="677" s="1"/>
  <c r="N3716" i="677"/>
  <c r="E3716" i="677" s="1"/>
  <c r="J3716" i="677" s="1"/>
  <c r="N3715" i="677"/>
  <c r="E3715" i="677" s="1"/>
  <c r="N3714" i="677"/>
  <c r="J3714" i="677"/>
  <c r="H3714" i="677"/>
  <c r="K3714" i="677" s="1"/>
  <c r="N3713" i="677"/>
  <c r="E3713" i="677" s="1"/>
  <c r="N3712" i="677"/>
  <c r="E3712" i="677" s="1"/>
  <c r="J3712" i="677" s="1"/>
  <c r="N3711" i="677"/>
  <c r="E3711" i="677" s="1"/>
  <c r="N3710" i="677"/>
  <c r="E3710" i="677" s="1"/>
  <c r="H3710" i="677" s="1"/>
  <c r="N3709" i="677"/>
  <c r="E3709" i="677" s="1"/>
  <c r="N3708" i="677"/>
  <c r="E3708" i="677"/>
  <c r="N3707" i="677"/>
  <c r="E3707" i="677" s="1"/>
  <c r="H3707" i="677" s="1"/>
  <c r="N3706" i="677"/>
  <c r="E3706" i="677" s="1"/>
  <c r="N3705" i="677"/>
  <c r="E3705" i="677" s="1"/>
  <c r="H3705" i="677" s="1"/>
  <c r="N3704" i="677"/>
  <c r="E3704" i="677" s="1"/>
  <c r="N3703" i="677"/>
  <c r="E3703" i="677" s="1"/>
  <c r="N3702" i="677"/>
  <c r="E3702" i="677" s="1"/>
  <c r="N3701" i="677"/>
  <c r="E3701" i="677" s="1"/>
  <c r="J3701" i="677" s="1"/>
  <c r="N3700" i="677"/>
  <c r="E3700" i="677" s="1"/>
  <c r="J3700" i="677" s="1"/>
  <c r="N3699" i="677"/>
  <c r="E3699" i="677" s="1"/>
  <c r="J3699" i="677" s="1"/>
  <c r="N3698" i="677"/>
  <c r="E3698" i="677" s="1"/>
  <c r="N3697" i="677"/>
  <c r="E3697" i="677" s="1"/>
  <c r="N3696" i="677"/>
  <c r="E3696" i="677" s="1"/>
  <c r="N3695" i="677"/>
  <c r="E3695" i="677" s="1"/>
  <c r="N3694" i="677"/>
  <c r="E3694" i="677" s="1"/>
  <c r="H3694" i="677" s="1"/>
  <c r="N3693" i="677"/>
  <c r="E3693" i="677" s="1"/>
  <c r="J3693" i="677" s="1"/>
  <c r="H3693" i="677"/>
  <c r="K3693" i="677" s="1"/>
  <c r="N3692" i="677"/>
  <c r="E3692" i="677" s="1"/>
  <c r="N3691" i="677"/>
  <c r="E3691" i="677" s="1"/>
  <c r="N3690" i="677"/>
  <c r="E3690" i="677" s="1"/>
  <c r="N3689" i="677"/>
  <c r="E3689" i="677" s="1"/>
  <c r="N3688" i="677"/>
  <c r="E3688" i="677" s="1"/>
  <c r="J3688" i="677" s="1"/>
  <c r="N3687" i="677"/>
  <c r="E3687" i="677" s="1"/>
  <c r="H3687" i="677" s="1"/>
  <c r="N3686" i="677"/>
  <c r="E3686" i="677" s="1"/>
  <c r="N3685" i="677"/>
  <c r="E3685" i="677" s="1"/>
  <c r="N3684" i="677"/>
  <c r="E3684" i="677" s="1"/>
  <c r="N3683" i="677"/>
  <c r="E3683" i="677" s="1"/>
  <c r="H3683" i="677" s="1"/>
  <c r="N3682" i="677"/>
  <c r="E3682" i="677" s="1"/>
  <c r="N3681" i="677"/>
  <c r="E3681" i="677" s="1"/>
  <c r="N3680" i="677"/>
  <c r="E3680" i="677" s="1"/>
  <c r="J3680" i="677" s="1"/>
  <c r="N3679" i="677"/>
  <c r="E3679" i="677" s="1"/>
  <c r="N3678" i="677"/>
  <c r="E3678" i="677" s="1"/>
  <c r="N3677" i="677"/>
  <c r="E3677" i="677" s="1"/>
  <c r="N3676" i="677"/>
  <c r="E3676" i="677" s="1"/>
  <c r="J3676" i="677" s="1"/>
  <c r="N3675" i="677"/>
  <c r="E3675" i="677"/>
  <c r="J3675" i="677" s="1"/>
  <c r="N3674" i="677"/>
  <c r="E3674" i="677" s="1"/>
  <c r="N3673" i="677"/>
  <c r="E3673" i="677" s="1"/>
  <c r="N3672" i="677"/>
  <c r="E3672" i="677" s="1"/>
  <c r="N3671" i="677"/>
  <c r="E3671" i="677" s="1"/>
  <c r="N3670" i="677"/>
  <c r="E3670" i="677" s="1"/>
  <c r="N3669" i="677"/>
  <c r="E3669" i="677" s="1"/>
  <c r="N3668" i="677"/>
  <c r="E3668" i="677" s="1"/>
  <c r="J3668" i="677" s="1"/>
  <c r="N3667" i="677"/>
  <c r="E3667" i="677" s="1"/>
  <c r="N3666" i="677"/>
  <c r="E3666" i="677" s="1"/>
  <c r="N3665" i="677"/>
  <c r="E3665" i="677" s="1"/>
  <c r="N3664" i="677"/>
  <c r="E3664" i="677" s="1"/>
  <c r="J3664" i="677" s="1"/>
  <c r="N3663" i="677"/>
  <c r="E3663" i="677" s="1"/>
  <c r="N3662" i="677"/>
  <c r="E3662" i="677" s="1"/>
  <c r="J3662" i="677" s="1"/>
  <c r="N3661" i="677"/>
  <c r="E3661" i="677" s="1"/>
  <c r="N3660" i="677"/>
  <c r="E3660" i="677" s="1"/>
  <c r="N3659" i="677"/>
  <c r="E3659" i="677" s="1"/>
  <c r="H3659" i="677" s="1"/>
  <c r="N3658" i="677"/>
  <c r="E3658" i="677" s="1"/>
  <c r="N3657" i="677"/>
  <c r="E3657" i="677" s="1"/>
  <c r="N3656" i="677"/>
  <c r="E3656" i="677" s="1"/>
  <c r="J3656" i="677" s="1"/>
  <c r="N3655" i="677"/>
  <c r="E3655" i="677" s="1"/>
  <c r="N3654" i="677"/>
  <c r="E3654" i="677" s="1"/>
  <c r="N3653" i="677"/>
  <c r="E3653" i="677" s="1"/>
  <c r="N3652" i="677"/>
  <c r="J3652" i="677"/>
  <c r="H3652" i="677"/>
  <c r="K3652" i="677" s="1"/>
  <c r="N3651" i="677"/>
  <c r="E3651" i="677" s="1"/>
  <c r="N3650" i="677"/>
  <c r="E3650" i="677" s="1"/>
  <c r="J3650" i="677" s="1"/>
  <c r="N3649" i="677"/>
  <c r="E3649" i="677" s="1"/>
  <c r="N3648" i="677"/>
  <c r="E3648" i="677" s="1"/>
  <c r="N3647" i="677"/>
  <c r="E3647" i="677" s="1"/>
  <c r="J3647" i="677" s="1"/>
  <c r="N3646" i="677"/>
  <c r="E3646" i="677" s="1"/>
  <c r="N3645" i="677"/>
  <c r="E3645" i="677" s="1"/>
  <c r="N3644" i="677"/>
  <c r="E3644" i="677" s="1"/>
  <c r="N3643" i="677"/>
  <c r="E3643" i="677" s="1"/>
  <c r="N3642" i="677"/>
  <c r="E3642" i="677" s="1"/>
  <c r="N3641" i="677"/>
  <c r="E3641" i="677" s="1"/>
  <c r="N3640" i="677"/>
  <c r="E3640" i="677" s="1"/>
  <c r="N3639" i="677"/>
  <c r="E3639" i="677" s="1"/>
  <c r="J3639" i="677" s="1"/>
  <c r="N3638" i="677"/>
  <c r="E3638" i="677" s="1"/>
  <c r="N3637" i="677"/>
  <c r="E3637" i="677" s="1"/>
  <c r="N3636" i="677"/>
  <c r="E3636" i="677" s="1"/>
  <c r="J3636" i="677" s="1"/>
  <c r="N3635" i="677"/>
  <c r="E3635" i="677" s="1"/>
  <c r="N3634" i="677"/>
  <c r="E3634" i="677" s="1"/>
  <c r="N3633" i="677"/>
  <c r="E3633" i="677" s="1"/>
  <c r="H3633" i="677" s="1"/>
  <c r="N3632" i="677"/>
  <c r="E3632" i="677" s="1"/>
  <c r="N3631" i="677"/>
  <c r="E3631" i="677" s="1"/>
  <c r="N3630" i="677"/>
  <c r="E3630" i="677" s="1"/>
  <c r="N3629" i="677"/>
  <c r="E3629" i="677" s="1"/>
  <c r="N3628" i="677"/>
  <c r="E3628" i="677" s="1"/>
  <c r="N3627" i="677"/>
  <c r="E3627" i="677" s="1"/>
  <c r="J3627" i="677" s="1"/>
  <c r="N3626" i="677"/>
  <c r="E3626" i="677" s="1"/>
  <c r="J3626" i="677" s="1"/>
  <c r="N3625" i="677"/>
  <c r="E3625" i="677" s="1"/>
  <c r="N3624" i="677"/>
  <c r="E3624" i="677"/>
  <c r="J3624" i="677" s="1"/>
  <c r="N3623" i="677"/>
  <c r="E3623" i="677" s="1"/>
  <c r="J3623" i="677" s="1"/>
  <c r="N3622" i="677"/>
  <c r="E3622" i="677" s="1"/>
  <c r="N3621" i="677"/>
  <c r="E3621" i="677"/>
  <c r="N3620" i="677"/>
  <c r="E3620" i="677" s="1"/>
  <c r="N3619" i="677"/>
  <c r="E3619" i="677" s="1"/>
  <c r="N3618" i="677"/>
  <c r="E3618" i="677" s="1"/>
  <c r="H3618" i="677" s="1"/>
  <c r="N3617" i="677"/>
  <c r="E3617" i="677" s="1"/>
  <c r="N3616" i="677"/>
  <c r="E3616" i="677" s="1"/>
  <c r="N3615" i="677"/>
  <c r="E3615" i="677" s="1"/>
  <c r="N3614" i="677"/>
  <c r="J3614" i="677"/>
  <c r="H3614" i="677"/>
  <c r="N3613" i="677"/>
  <c r="E3613" i="677" s="1"/>
  <c r="N3612" i="677"/>
  <c r="E3612" i="677" s="1"/>
  <c r="N3611" i="677"/>
  <c r="E3611" i="677" s="1"/>
  <c r="N3610" i="677"/>
  <c r="E3610" i="677" s="1"/>
  <c r="N3609" i="677"/>
  <c r="E3609" i="677" s="1"/>
  <c r="N3608" i="677"/>
  <c r="E3608" i="677" s="1"/>
  <c r="N3607" i="677"/>
  <c r="E3607" i="677" s="1"/>
  <c r="N3606" i="677"/>
  <c r="E3606" i="677" s="1"/>
  <c r="J3606" i="677" s="1"/>
  <c r="N3605" i="677"/>
  <c r="E3605" i="677" s="1"/>
  <c r="J3604" i="677"/>
  <c r="H3604" i="677"/>
  <c r="N3603" i="677"/>
  <c r="J3603" i="677"/>
  <c r="H3603" i="677"/>
  <c r="N3602" i="677"/>
  <c r="J3602" i="677"/>
  <c r="H3602" i="677"/>
  <c r="N3601" i="677"/>
  <c r="E3601" i="677" s="1"/>
  <c r="N3600" i="677"/>
  <c r="E3600" i="677" s="1"/>
  <c r="N3599" i="677"/>
  <c r="E3599" i="677" s="1"/>
  <c r="N3598" i="677"/>
  <c r="E3598" i="677" s="1"/>
  <c r="N3597" i="677"/>
  <c r="E3597" i="677" s="1"/>
  <c r="J3597" i="677" s="1"/>
  <c r="N3596" i="677"/>
  <c r="E3596" i="677" s="1"/>
  <c r="N3595" i="677"/>
  <c r="E3595" i="677" s="1"/>
  <c r="N3594" i="677"/>
  <c r="E3594" i="677" s="1"/>
  <c r="N3593" i="677"/>
  <c r="E3593" i="677" s="1"/>
  <c r="N3592" i="677"/>
  <c r="E3592" i="677" s="1"/>
  <c r="N3591" i="677"/>
  <c r="E3591" i="677" s="1"/>
  <c r="N3590" i="677"/>
  <c r="E3590" i="677" s="1"/>
  <c r="N3589" i="677"/>
  <c r="E3589" i="677" s="1"/>
  <c r="J3589" i="677" s="1"/>
  <c r="N3588" i="677"/>
  <c r="E3588" i="677" s="1"/>
  <c r="N3587" i="677"/>
  <c r="E3587" i="677" s="1"/>
  <c r="J3587" i="677" s="1"/>
  <c r="N3586" i="677"/>
  <c r="E3586" i="677" s="1"/>
  <c r="H3586" i="677" s="1"/>
  <c r="N3585" i="677"/>
  <c r="E3585" i="677" s="1"/>
  <c r="J3585" i="677" s="1"/>
  <c r="N3584" i="677"/>
  <c r="E3584" i="677" s="1"/>
  <c r="N3583" i="677"/>
  <c r="E3583" i="677" s="1"/>
  <c r="N3582" i="677"/>
  <c r="E3582" i="677" s="1"/>
  <c r="N3581" i="677"/>
  <c r="E3581" i="677" s="1"/>
  <c r="N3580" i="677"/>
  <c r="E3580" i="677" s="1"/>
  <c r="N3579" i="677"/>
  <c r="E3579" i="677" s="1"/>
  <c r="N3578" i="677"/>
  <c r="E3578" i="677" s="1"/>
  <c r="J3578" i="677" s="1"/>
  <c r="N3577" i="677"/>
  <c r="E3577" i="677" s="1"/>
  <c r="N3576" i="677"/>
  <c r="E3576" i="677" s="1"/>
  <c r="N3575" i="677"/>
  <c r="E3575" i="677"/>
  <c r="N3574" i="677"/>
  <c r="E3574" i="677" s="1"/>
  <c r="H3574" i="677" s="1"/>
  <c r="N3573" i="677"/>
  <c r="E3573" i="677" s="1"/>
  <c r="J3573" i="677" s="1"/>
  <c r="N3572" i="677"/>
  <c r="E3572" i="677" s="1"/>
  <c r="N3571" i="677"/>
  <c r="E3571" i="677" s="1"/>
  <c r="N3570" i="677"/>
  <c r="E3570" i="677" s="1"/>
  <c r="N3569" i="677"/>
  <c r="E3569" i="677" s="1"/>
  <c r="N3568" i="677"/>
  <c r="E3568" i="677" s="1"/>
  <c r="N3567" i="677"/>
  <c r="E3567" i="677" s="1"/>
  <c r="N3566" i="677"/>
  <c r="E3566" i="677"/>
  <c r="J3566" i="677" s="1"/>
  <c r="N3565" i="677"/>
  <c r="E3565" i="677" s="1"/>
  <c r="N3564" i="677"/>
  <c r="E3564" i="677" s="1"/>
  <c r="N3563" i="677"/>
  <c r="E3563" i="677" s="1"/>
  <c r="N3562" i="677"/>
  <c r="E3562" i="677" s="1"/>
  <c r="N3561" i="677"/>
  <c r="E3561" i="677"/>
  <c r="J3561" i="677" s="1"/>
  <c r="N3560" i="677"/>
  <c r="E3560" i="677" s="1"/>
  <c r="N3559" i="677"/>
  <c r="E3559" i="677" s="1"/>
  <c r="N3558" i="677"/>
  <c r="E3558" i="677" s="1"/>
  <c r="N3557" i="677"/>
  <c r="E3557" i="677" s="1"/>
  <c r="N3556" i="677"/>
  <c r="E3556" i="677" s="1"/>
  <c r="N3555" i="677"/>
  <c r="E3555" i="677" s="1"/>
  <c r="N3554" i="677"/>
  <c r="E3554" i="677" s="1"/>
  <c r="J3554" i="677" s="1"/>
  <c r="N3553" i="677"/>
  <c r="E3553" i="677" s="1"/>
  <c r="H3553" i="677" s="1"/>
  <c r="N3552" i="677"/>
  <c r="E3552" i="677" s="1"/>
  <c r="N3551" i="677"/>
  <c r="E3551" i="677" s="1"/>
  <c r="N3550" i="677"/>
  <c r="E3550" i="677" s="1"/>
  <c r="J3550" i="677" s="1"/>
  <c r="N3549" i="677"/>
  <c r="E3549" i="677" s="1"/>
  <c r="J3549" i="677" s="1"/>
  <c r="N3548" i="677"/>
  <c r="E3548" i="677" s="1"/>
  <c r="N3547" i="677"/>
  <c r="J3547" i="677"/>
  <c r="H3547" i="677"/>
  <c r="K3547" i="677" s="1"/>
  <c r="N3546" i="677"/>
  <c r="E3546" i="677" s="1"/>
  <c r="N3545" i="677"/>
  <c r="E3545" i="677" s="1"/>
  <c r="N3544" i="677"/>
  <c r="E3544" i="677"/>
  <c r="J3544" i="677" s="1"/>
  <c r="N3543" i="677"/>
  <c r="E3543" i="677" s="1"/>
  <c r="J3543" i="677" s="1"/>
  <c r="N3542" i="677"/>
  <c r="E3542" i="677" s="1"/>
  <c r="N3541" i="677"/>
  <c r="E3541" i="677" s="1"/>
  <c r="N3540" i="677"/>
  <c r="E3540" i="677" s="1"/>
  <c r="N3539" i="677"/>
  <c r="E3539" i="677" s="1"/>
  <c r="N3538" i="677"/>
  <c r="E3538" i="677" s="1"/>
  <c r="N3537" i="677"/>
  <c r="E3537" i="677"/>
  <c r="N3536" i="677"/>
  <c r="E3536" i="677" s="1"/>
  <c r="N3535" i="677"/>
  <c r="E3535" i="677" s="1"/>
  <c r="N3534" i="677"/>
  <c r="E3534" i="677" s="1"/>
  <c r="N3533" i="677"/>
  <c r="E3533" i="677" s="1"/>
  <c r="N3532" i="677"/>
  <c r="E3532" i="677" s="1"/>
  <c r="N3531" i="677"/>
  <c r="E3531" i="677" s="1"/>
  <c r="N3530" i="677"/>
  <c r="E3530" i="677" s="1"/>
  <c r="J3530" i="677" s="1"/>
  <c r="N3529" i="677"/>
  <c r="E3529" i="677" s="1"/>
  <c r="N3528" i="677"/>
  <c r="E3528" i="677" s="1"/>
  <c r="N3527" i="677"/>
  <c r="E3527" i="677" s="1"/>
  <c r="N3526" i="677"/>
  <c r="E3526" i="677" s="1"/>
  <c r="J3526" i="677" s="1"/>
  <c r="N3525" i="677"/>
  <c r="E3525" i="677" s="1"/>
  <c r="N3524" i="677"/>
  <c r="E3524" i="677" s="1"/>
  <c r="J3524" i="677" s="1"/>
  <c r="N3523" i="677"/>
  <c r="E3523" i="677" s="1"/>
  <c r="J3523" i="677" s="1"/>
  <c r="N3522" i="677"/>
  <c r="E3522" i="677" s="1"/>
  <c r="N3521" i="677"/>
  <c r="E3521" i="677" s="1"/>
  <c r="N3520" i="677"/>
  <c r="E3520" i="677" s="1"/>
  <c r="N3519" i="677"/>
  <c r="E3519" i="677" s="1"/>
  <c r="J3519" i="677" s="1"/>
  <c r="H3519" i="677"/>
  <c r="N3518" i="677"/>
  <c r="E3518" i="677" s="1"/>
  <c r="H3518" i="677" s="1"/>
  <c r="N3517" i="677"/>
  <c r="E3517" i="677"/>
  <c r="N3516" i="677"/>
  <c r="E3516" i="677" s="1"/>
  <c r="N3515" i="677"/>
  <c r="E3515" i="677" s="1"/>
  <c r="N3514" i="677"/>
  <c r="E3514" i="677"/>
  <c r="J3514" i="677" s="1"/>
  <c r="N3513" i="677"/>
  <c r="E3513" i="677" s="1"/>
  <c r="J3513" i="677" s="1"/>
  <c r="N3512" i="677"/>
  <c r="E3512" i="677" s="1"/>
  <c r="N3511" i="677"/>
  <c r="E3511" i="677" s="1"/>
  <c r="J3511" i="677" s="1"/>
  <c r="N3510" i="677"/>
  <c r="E3510" i="677" s="1"/>
  <c r="N3509" i="677"/>
  <c r="J3509" i="677"/>
  <c r="H3509" i="677"/>
  <c r="N3508" i="677"/>
  <c r="E3508" i="677" s="1"/>
  <c r="J3508" i="677" s="1"/>
  <c r="N3507" i="677"/>
  <c r="E3507" i="677" s="1"/>
  <c r="J3507" i="677" s="1"/>
  <c r="N3506" i="677"/>
  <c r="E3506" i="677" s="1"/>
  <c r="N3505" i="677"/>
  <c r="E3505" i="677" s="1"/>
  <c r="N3504" i="677"/>
  <c r="E3504" i="677" s="1"/>
  <c r="N3503" i="677"/>
  <c r="E3503" i="677" s="1"/>
  <c r="N3502" i="677"/>
  <c r="E3502" i="677" s="1"/>
  <c r="J3502" i="677" s="1"/>
  <c r="N3501" i="677"/>
  <c r="E3501" i="677" s="1"/>
  <c r="N3500" i="677"/>
  <c r="E3500" i="677" s="1"/>
  <c r="N3499" i="677"/>
  <c r="E3499" i="677" s="1"/>
  <c r="N3498" i="677"/>
  <c r="E3498" i="677" s="1"/>
  <c r="N3497" i="677"/>
  <c r="E3497" i="677" s="1"/>
  <c r="H3497" i="677" s="1"/>
  <c r="N3496" i="677"/>
  <c r="E3496" i="677" s="1"/>
  <c r="J3496" i="677" s="1"/>
  <c r="H3496" i="677"/>
  <c r="N3495" i="677"/>
  <c r="E3495" i="677" s="1"/>
  <c r="J3495" i="677" s="1"/>
  <c r="N3494" i="677"/>
  <c r="E3494" i="677" s="1"/>
  <c r="N3493" i="677"/>
  <c r="E3493" i="677" s="1"/>
  <c r="N3492" i="677"/>
  <c r="E3492" i="677" s="1"/>
  <c r="N3491" i="677"/>
  <c r="E3491" i="677" s="1"/>
  <c r="N3490" i="677"/>
  <c r="E3490" i="677"/>
  <c r="H3490" i="677" s="1"/>
  <c r="N3489" i="677"/>
  <c r="E3489" i="677" s="1"/>
  <c r="N3488" i="677"/>
  <c r="E3488" i="677" s="1"/>
  <c r="N3487" i="677"/>
  <c r="E3487" i="677" s="1"/>
  <c r="N3486" i="677"/>
  <c r="E3486" i="677" s="1"/>
  <c r="N3485" i="677"/>
  <c r="E3485" i="677" s="1"/>
  <c r="J3485" i="677" s="1"/>
  <c r="N3484" i="677"/>
  <c r="E3484" i="677" s="1"/>
  <c r="N3483" i="677"/>
  <c r="E3483" i="677" s="1"/>
  <c r="J3483" i="677" s="1"/>
  <c r="N3482" i="677"/>
  <c r="E3482" i="677" s="1"/>
  <c r="N3481" i="677"/>
  <c r="E3481" i="677" s="1"/>
  <c r="N3480" i="677"/>
  <c r="E3480" i="677" s="1"/>
  <c r="N3479" i="677"/>
  <c r="E3479" i="677" s="1"/>
  <c r="N3478" i="677"/>
  <c r="E3478" i="677" s="1"/>
  <c r="N3477" i="677"/>
  <c r="E3477" i="677" s="1"/>
  <c r="H3477" i="677" s="1"/>
  <c r="N3476" i="677"/>
  <c r="E3476" i="677" s="1"/>
  <c r="N3475" i="677"/>
  <c r="E3475" i="677" s="1"/>
  <c r="N3474" i="677"/>
  <c r="E3474" i="677" s="1"/>
  <c r="N3473" i="677"/>
  <c r="E3473" i="677" s="1"/>
  <c r="H3473" i="677" s="1"/>
  <c r="J3473" i="677"/>
  <c r="N3472" i="677"/>
  <c r="E3472" i="677" s="1"/>
  <c r="J3472" i="677" s="1"/>
  <c r="N3471" i="677"/>
  <c r="E3471" i="677" s="1"/>
  <c r="J3471" i="677" s="1"/>
  <c r="N3470" i="677"/>
  <c r="E3470" i="677" s="1"/>
  <c r="N3469" i="677"/>
  <c r="E3469" i="677" s="1"/>
  <c r="N3468" i="677"/>
  <c r="E3468" i="677" s="1"/>
  <c r="N3467" i="677"/>
  <c r="E3467" i="677" s="1"/>
  <c r="N3466" i="677"/>
  <c r="E3466" i="677" s="1"/>
  <c r="H3466" i="677" s="1"/>
  <c r="N3465" i="677"/>
  <c r="E3465" i="677" s="1"/>
  <c r="H3465" i="677" s="1"/>
  <c r="N3464" i="677"/>
  <c r="E3464" i="677" s="1"/>
  <c r="N3463" i="677"/>
  <c r="E3463" i="677" s="1"/>
  <c r="N3462" i="677"/>
  <c r="E3462" i="677" s="1"/>
  <c r="N3461" i="677"/>
  <c r="E3461" i="677" s="1"/>
  <c r="N3460" i="677"/>
  <c r="E3460" i="677" s="1"/>
  <c r="J3460" i="677" s="1"/>
  <c r="N3459" i="677"/>
  <c r="E3459" i="677" s="1"/>
  <c r="J3459" i="677" s="1"/>
  <c r="N3458" i="677"/>
  <c r="E3458" i="677" s="1"/>
  <c r="N3457" i="677"/>
  <c r="E3457" i="677" s="1"/>
  <c r="N3456" i="677"/>
  <c r="E3456" i="677" s="1"/>
  <c r="N3455" i="677"/>
  <c r="E3455" i="677" s="1"/>
  <c r="N3454" i="677"/>
  <c r="E3454" i="677" s="1"/>
  <c r="H3454" i="677" s="1"/>
  <c r="N3453" i="677"/>
  <c r="E3453" i="677" s="1"/>
  <c r="J3453" i="677" s="1"/>
  <c r="N3452" i="677"/>
  <c r="E3452" i="677" s="1"/>
  <c r="N3451" i="677"/>
  <c r="E3451" i="677" s="1"/>
  <c r="N3450" i="677"/>
  <c r="E3450" i="677" s="1"/>
  <c r="N3449" i="677"/>
  <c r="E3449" i="677" s="1"/>
  <c r="N3448" i="677"/>
  <c r="E3448" i="677"/>
  <c r="J3448" i="677" s="1"/>
  <c r="N3447" i="677"/>
  <c r="J3447" i="677"/>
  <c r="H3447" i="677"/>
  <c r="N3446" i="677"/>
  <c r="E3446" i="677" s="1"/>
  <c r="N3445" i="677"/>
  <c r="E3445" i="677" s="1"/>
  <c r="N3444" i="677"/>
  <c r="E3444" i="677" s="1"/>
  <c r="N3443" i="677"/>
  <c r="E3443" i="677" s="1"/>
  <c r="N3442" i="677"/>
  <c r="E3442" i="677" s="1"/>
  <c r="J3442" i="677" s="1"/>
  <c r="N3441" i="677"/>
  <c r="E3441" i="677" s="1"/>
  <c r="N3440" i="677"/>
  <c r="E3440" i="677" s="1"/>
  <c r="N3439" i="677"/>
  <c r="E3439" i="677" s="1"/>
  <c r="N3438" i="677"/>
  <c r="E3438" i="677" s="1"/>
  <c r="N3437" i="677"/>
  <c r="E3437" i="677" s="1"/>
  <c r="N3436" i="677"/>
  <c r="E3436" i="677" s="1"/>
  <c r="N3435" i="677"/>
  <c r="E3435" i="677" s="1"/>
  <c r="J3435" i="677" s="1"/>
  <c r="N3434" i="677"/>
  <c r="E3434" i="677" s="1"/>
  <c r="N3433" i="677"/>
  <c r="E3433" i="677" s="1"/>
  <c r="N3432" i="677"/>
  <c r="E3432" i="677" s="1"/>
  <c r="N3431" i="677"/>
  <c r="E3431" i="677" s="1"/>
  <c r="J3431" i="677" s="1"/>
  <c r="N3430" i="677"/>
  <c r="E3430" i="677" s="1"/>
  <c r="N3429" i="677"/>
  <c r="E3429" i="677" s="1"/>
  <c r="N3428" i="677"/>
  <c r="E3428" i="677" s="1"/>
  <c r="N3427" i="677"/>
  <c r="E3427" i="677" s="1"/>
  <c r="H3427" i="677" s="1"/>
  <c r="N3426" i="677"/>
  <c r="E3426" i="677" s="1"/>
  <c r="N3425" i="677"/>
  <c r="E3425" i="677" s="1"/>
  <c r="J3425" i="677" s="1"/>
  <c r="N3424" i="677"/>
  <c r="E3424" i="677" s="1"/>
  <c r="H3424" i="677" s="1"/>
  <c r="N3423" i="677"/>
  <c r="E3423" i="677" s="1"/>
  <c r="J3423" i="677" s="1"/>
  <c r="N3422" i="677"/>
  <c r="E3422" i="677" s="1"/>
  <c r="N3421" i="677"/>
  <c r="E3421" i="677" s="1"/>
  <c r="N3419" i="677"/>
  <c r="E3419" i="677" s="1"/>
  <c r="N3418" i="677"/>
  <c r="E3418" i="677" s="1"/>
  <c r="J3418" i="677" s="1"/>
  <c r="N3417" i="677"/>
  <c r="E3417" i="677" s="1"/>
  <c r="H3417" i="677" s="1"/>
  <c r="N3416" i="677"/>
  <c r="E3416" i="677" s="1"/>
  <c r="N3415" i="677"/>
  <c r="E3415" i="677" s="1"/>
  <c r="N3414" i="677"/>
  <c r="E3414" i="677" s="1"/>
  <c r="H3414" i="677" s="1"/>
  <c r="J3414" i="677"/>
  <c r="N3413" i="677"/>
  <c r="E3413" i="677" s="1"/>
  <c r="H3413" i="677" s="1"/>
  <c r="N3412" i="677"/>
  <c r="E3412" i="677" s="1"/>
  <c r="J3412" i="677" s="1"/>
  <c r="N3411" i="677"/>
  <c r="E3411" i="677" s="1"/>
  <c r="N3410" i="677"/>
  <c r="E3410" i="677" s="1"/>
  <c r="N3409" i="677"/>
  <c r="E3409" i="677" s="1"/>
  <c r="N3408" i="677"/>
  <c r="J3408" i="677"/>
  <c r="H3408" i="677"/>
  <c r="N3407" i="677"/>
  <c r="E3407" i="677" s="1"/>
  <c r="H3407" i="677" s="1"/>
  <c r="N3406" i="677"/>
  <c r="E3406" i="677"/>
  <c r="J3406" i="677" s="1"/>
  <c r="N3405" i="677"/>
  <c r="E3405" i="677" s="1"/>
  <c r="N3404" i="677"/>
  <c r="E3404" i="677" s="1"/>
  <c r="N3403" i="677"/>
  <c r="E3403" i="677" s="1"/>
  <c r="H3403" i="677" s="1"/>
  <c r="N3402" i="677"/>
  <c r="E3402" i="677" s="1"/>
  <c r="N3401" i="677"/>
  <c r="E3401" i="677" s="1"/>
  <c r="N3400" i="677"/>
  <c r="E3400" i="677" s="1"/>
  <c r="J3400" i="677" s="1"/>
  <c r="N3399" i="677"/>
  <c r="E3399" i="677" s="1"/>
  <c r="J3398" i="677"/>
  <c r="H3398" i="677"/>
  <c r="N3397" i="677"/>
  <c r="J3397" i="677"/>
  <c r="H3397" i="677"/>
  <c r="N3395" i="677"/>
  <c r="N3394" i="677"/>
  <c r="E3394" i="677" s="1"/>
  <c r="J3394" i="677"/>
  <c r="H3394" i="677"/>
  <c r="N3393" i="677"/>
  <c r="E3393" i="677" s="1"/>
  <c r="J3393" i="677" s="1"/>
  <c r="N3392" i="677"/>
  <c r="E3392" i="677" s="1"/>
  <c r="N3391" i="677"/>
  <c r="E3391" i="677" s="1"/>
  <c r="H3391" i="677" s="1"/>
  <c r="N3390" i="677"/>
  <c r="E3390" i="677" s="1"/>
  <c r="H3390" i="677" s="1"/>
  <c r="N3389" i="677"/>
  <c r="E3389" i="677"/>
  <c r="J3389" i="677" s="1"/>
  <c r="N3388" i="677"/>
  <c r="E3388" i="677" s="1"/>
  <c r="J3388" i="677" s="1"/>
  <c r="N3387" i="677"/>
  <c r="E3387" i="677" s="1"/>
  <c r="N3386" i="677"/>
  <c r="E3386" i="677" s="1"/>
  <c r="N3385" i="677"/>
  <c r="E3385" i="677" s="1"/>
  <c r="N3384" i="677"/>
  <c r="E3384" i="677" s="1"/>
  <c r="N3383" i="677"/>
  <c r="E3383" i="677" s="1"/>
  <c r="J3383" i="677" s="1"/>
  <c r="N3382" i="677"/>
  <c r="E3382" i="677" s="1"/>
  <c r="H3382" i="677" s="1"/>
  <c r="J3382" i="677"/>
  <c r="N3381" i="677"/>
  <c r="E3381" i="677" s="1"/>
  <c r="N3380" i="677"/>
  <c r="E3380" i="677" s="1"/>
  <c r="N3379" i="677"/>
  <c r="E3379" i="677" s="1"/>
  <c r="H3379" i="677" s="1"/>
  <c r="N3378" i="677"/>
  <c r="E3378" i="677" s="1"/>
  <c r="H3378" i="677" s="1"/>
  <c r="N3377" i="677"/>
  <c r="E3377" i="677"/>
  <c r="J3377" i="677" s="1"/>
  <c r="N3376" i="677"/>
  <c r="E3376" i="677" s="1"/>
  <c r="N3375" i="677"/>
  <c r="E3375" i="677" s="1"/>
  <c r="N3374" i="677"/>
  <c r="E3374" i="677" s="1"/>
  <c r="N3373" i="677"/>
  <c r="E3373" i="677" s="1"/>
  <c r="N3372" i="677"/>
  <c r="E3372" i="677" s="1"/>
  <c r="N3371" i="677"/>
  <c r="E3371" i="677" s="1"/>
  <c r="J3371" i="677" s="1"/>
  <c r="N3370" i="677"/>
  <c r="E3370" i="677" s="1"/>
  <c r="N3369" i="677"/>
  <c r="E3369" i="677" s="1"/>
  <c r="N3368" i="677"/>
  <c r="E3368" i="677" s="1"/>
  <c r="H3368" i="677" s="1"/>
  <c r="N3367" i="677"/>
  <c r="E3367" i="677" s="1"/>
  <c r="N3366" i="677"/>
  <c r="E3366" i="677" s="1"/>
  <c r="N3365" i="677"/>
  <c r="E3365" i="677" s="1"/>
  <c r="H3365" i="677" s="1"/>
  <c r="N3364" i="677"/>
  <c r="E3364" i="677" s="1"/>
  <c r="N3363" i="677"/>
  <c r="E3363" i="677"/>
  <c r="N3362" i="677"/>
  <c r="E3362" i="677" s="1"/>
  <c r="N3361" i="677"/>
  <c r="E3361" i="677" s="1"/>
  <c r="N3360" i="677"/>
  <c r="E3360" i="677" s="1"/>
  <c r="N3359" i="677"/>
  <c r="E3359" i="677" s="1"/>
  <c r="N3358" i="677"/>
  <c r="E3358" i="677" s="1"/>
  <c r="J3358" i="677" s="1"/>
  <c r="H3358" i="677"/>
  <c r="K3358" i="677" s="1"/>
  <c r="N3357" i="677"/>
  <c r="E3357" i="677"/>
  <c r="J3357" i="677" s="1"/>
  <c r="N3356" i="677"/>
  <c r="E3356" i="677"/>
  <c r="N3355" i="677"/>
  <c r="E3355" i="677" s="1"/>
  <c r="N3354" i="677"/>
  <c r="E3354" i="677" s="1"/>
  <c r="N3353" i="677"/>
  <c r="E3353" i="677" s="1"/>
  <c r="H3353" i="677" s="1"/>
  <c r="N3352" i="677"/>
  <c r="E3352" i="677" s="1"/>
  <c r="N3351" i="677"/>
  <c r="E3351" i="677"/>
  <c r="N3350" i="677"/>
  <c r="E3350" i="677"/>
  <c r="N3349" i="677"/>
  <c r="E3349" i="677" s="1"/>
  <c r="N3348" i="677"/>
  <c r="E3348" i="677"/>
  <c r="J3348" i="677" s="1"/>
  <c r="N3347" i="677"/>
  <c r="E3347" i="677" s="1"/>
  <c r="N3346" i="677"/>
  <c r="E3346" i="677" s="1"/>
  <c r="N3345" i="677"/>
  <c r="E3345" i="677" s="1"/>
  <c r="N3344" i="677"/>
  <c r="E3344" i="677" s="1"/>
  <c r="N3343" i="677"/>
  <c r="E3343" i="677" s="1"/>
  <c r="H3343" i="677" s="1"/>
  <c r="N3342" i="677"/>
  <c r="E3342" i="677" s="1"/>
  <c r="N3341" i="677"/>
  <c r="E3341" i="677" s="1"/>
  <c r="H3341" i="677" s="1"/>
  <c r="N3340" i="677"/>
  <c r="J3340" i="677"/>
  <c r="H3340" i="677"/>
  <c r="N3339" i="677"/>
  <c r="E3339" i="677" s="1"/>
  <c r="J3339" i="677" s="1"/>
  <c r="N3338" i="677"/>
  <c r="E3338" i="677" s="1"/>
  <c r="H3338" i="677" s="1"/>
  <c r="N3337" i="677"/>
  <c r="E3337" i="677" s="1"/>
  <c r="N3336" i="677"/>
  <c r="E3336" i="677" s="1"/>
  <c r="N3335" i="677"/>
  <c r="E3335" i="677" s="1"/>
  <c r="H3335" i="677" s="1"/>
  <c r="N3334" i="677"/>
  <c r="E3334" i="677"/>
  <c r="N3333" i="677"/>
  <c r="E3333" i="677" s="1"/>
  <c r="N3332" i="677"/>
  <c r="E3332" i="677" s="1"/>
  <c r="N3331" i="677"/>
  <c r="E3331" i="677" s="1"/>
  <c r="N3330" i="677"/>
  <c r="E3330" i="677" s="1"/>
  <c r="H3330" i="677" s="1"/>
  <c r="N3329" i="677"/>
  <c r="E3329" i="677"/>
  <c r="N3328" i="677"/>
  <c r="E3328" i="677" s="1"/>
  <c r="N3327" i="677"/>
  <c r="E3327" i="677"/>
  <c r="N3326" i="677"/>
  <c r="E3326" i="677" s="1"/>
  <c r="N3325" i="677"/>
  <c r="E3325" i="677" s="1"/>
  <c r="N3323" i="677"/>
  <c r="E3323" i="677" s="1"/>
  <c r="H3323" i="677" s="1"/>
  <c r="N3322" i="677"/>
  <c r="E3322" i="677" s="1"/>
  <c r="J3322" i="677" s="1"/>
  <c r="N3321" i="677"/>
  <c r="E3321" i="677" s="1"/>
  <c r="N3320" i="677"/>
  <c r="E3320" i="677"/>
  <c r="N3319" i="677"/>
  <c r="E3319" i="677" s="1"/>
  <c r="N3318" i="677"/>
  <c r="E3318" i="677" s="1"/>
  <c r="N3317" i="677"/>
  <c r="E3317" i="677" s="1"/>
  <c r="H3317" i="677" s="1"/>
  <c r="N3316" i="677"/>
  <c r="E3316" i="677" s="1"/>
  <c r="N3315" i="677"/>
  <c r="E3315" i="677" s="1"/>
  <c r="N3314" i="677"/>
  <c r="E3314" i="677" s="1"/>
  <c r="N3313" i="677"/>
  <c r="E3313" i="677" s="1"/>
  <c r="H3313" i="677" s="1"/>
  <c r="N3312" i="677"/>
  <c r="E3312" i="677" s="1"/>
  <c r="N3311" i="677"/>
  <c r="E3311" i="677" s="1"/>
  <c r="H3311" i="677" s="1"/>
  <c r="N3310" i="677"/>
  <c r="E3310" i="677" s="1"/>
  <c r="J3310" i="677" s="1"/>
  <c r="N3309" i="677"/>
  <c r="E3309" i="677" s="1"/>
  <c r="N3308" i="677"/>
  <c r="E3308" i="677" s="1"/>
  <c r="N3307" i="677"/>
  <c r="E3307" i="677" s="1"/>
  <c r="N3306" i="677"/>
  <c r="E3306" i="677" s="1"/>
  <c r="J3306" i="677" s="1"/>
  <c r="N3305" i="677"/>
  <c r="E3305" i="677" s="1"/>
  <c r="N3304" i="677"/>
  <c r="E3304" i="677" s="1"/>
  <c r="J3304" i="677" s="1"/>
  <c r="N3303" i="677"/>
  <c r="E3303" i="677" s="1"/>
  <c r="J3303" i="677" s="1"/>
  <c r="N3302" i="677"/>
  <c r="E3302" i="677" s="1"/>
  <c r="N3301" i="677"/>
  <c r="J3301" i="677"/>
  <c r="H3301" i="677"/>
  <c r="N3300" i="677"/>
  <c r="E3300" i="677" s="1"/>
  <c r="H3300" i="677" s="1"/>
  <c r="N3299" i="677"/>
  <c r="E3299" i="677" s="1"/>
  <c r="J3299" i="677" s="1"/>
  <c r="N3298" i="677"/>
  <c r="E3298" i="677" s="1"/>
  <c r="N3297" i="677"/>
  <c r="E3297" i="677" s="1"/>
  <c r="N3296" i="677"/>
  <c r="E3296" i="677" s="1"/>
  <c r="H3296" i="677" s="1"/>
  <c r="N3295" i="677"/>
  <c r="E3295" i="677" s="1"/>
  <c r="N3294" i="677"/>
  <c r="E3294" i="677" s="1"/>
  <c r="H3294" i="677" s="1"/>
  <c r="N3293" i="677"/>
  <c r="E3293" i="677" s="1"/>
  <c r="N3292" i="677"/>
  <c r="E3292" i="677"/>
  <c r="N3291" i="677"/>
  <c r="E3291" i="677" s="1"/>
  <c r="N3290" i="677"/>
  <c r="E3290" i="677" s="1"/>
  <c r="N3289" i="677"/>
  <c r="E3289" i="677" s="1"/>
  <c r="N3288" i="677"/>
  <c r="E3288" i="677" s="1"/>
  <c r="H3288" i="677" s="1"/>
  <c r="N3287" i="677"/>
  <c r="E3287" i="677" s="1"/>
  <c r="J3287" i="677" s="1"/>
  <c r="N3286" i="677"/>
  <c r="E3286" i="677" s="1"/>
  <c r="J3286" i="677" s="1"/>
  <c r="N3285" i="677"/>
  <c r="E3285" i="677" s="1"/>
  <c r="N3284" i="677"/>
  <c r="E3284" i="677" s="1"/>
  <c r="J3284" i="677" s="1"/>
  <c r="N3283" i="677"/>
  <c r="E3283" i="677" s="1"/>
  <c r="N3282" i="677"/>
  <c r="E3282" i="677" s="1"/>
  <c r="N3281" i="677"/>
  <c r="E3281" i="677" s="1"/>
  <c r="H3281" i="677" s="1"/>
  <c r="J3281" i="677"/>
  <c r="N3280" i="677"/>
  <c r="E3280" i="677" s="1"/>
  <c r="N3279" i="677"/>
  <c r="E3279" i="677" s="1"/>
  <c r="N3278" i="677"/>
  <c r="E3278" i="677" s="1"/>
  <c r="N3277" i="677"/>
  <c r="E3277" i="677" s="1"/>
  <c r="J3277" i="677" s="1"/>
  <c r="N3276" i="677"/>
  <c r="E3276" i="677" s="1"/>
  <c r="N3275" i="677"/>
  <c r="E3275" i="677" s="1"/>
  <c r="N3274" i="677"/>
  <c r="E3274" i="677" s="1"/>
  <c r="J3274" i="677" s="1"/>
  <c r="N3273" i="677"/>
  <c r="E3273" i="677" s="1"/>
  <c r="N3272" i="677"/>
  <c r="E3272" i="677" s="1"/>
  <c r="H3272" i="677" s="1"/>
  <c r="N3271" i="677"/>
  <c r="E3271" i="677" s="1"/>
  <c r="N3270" i="677"/>
  <c r="E3270" i="677" s="1"/>
  <c r="H3270" i="677" s="1"/>
  <c r="N3269" i="677"/>
  <c r="E3269" i="677" s="1"/>
  <c r="N3268" i="677"/>
  <c r="E3268" i="677" s="1"/>
  <c r="N3267" i="677"/>
  <c r="E3267" i="677" s="1"/>
  <c r="H3267" i="677" s="1"/>
  <c r="N3266" i="677"/>
  <c r="E3266" i="677" s="1"/>
  <c r="N3265" i="677"/>
  <c r="E3265" i="677" s="1"/>
  <c r="J3265" i="677" s="1"/>
  <c r="N3264" i="677"/>
  <c r="E3264" i="677" s="1"/>
  <c r="N3263" i="677"/>
  <c r="E3263" i="677" s="1"/>
  <c r="N3262" i="677"/>
  <c r="E3262" i="677" s="1"/>
  <c r="J3262" i="677" s="1"/>
  <c r="N3261" i="677"/>
  <c r="E3261" i="677" s="1"/>
  <c r="N3260" i="677"/>
  <c r="E3260" i="677" s="1"/>
  <c r="H3260" i="677" s="1"/>
  <c r="J3260" i="677"/>
  <c r="N3259" i="677"/>
  <c r="E3259" i="677" s="1"/>
  <c r="N3258" i="677"/>
  <c r="E3258" i="677" s="1"/>
  <c r="H3258" i="677" s="1"/>
  <c r="N3257" i="677"/>
  <c r="E3257" i="677" s="1"/>
  <c r="J3257" i="677" s="1"/>
  <c r="N3256" i="677"/>
  <c r="E3256" i="677" s="1"/>
  <c r="N3255" i="677"/>
  <c r="E3255" i="677" s="1"/>
  <c r="N3254" i="677"/>
  <c r="E3254" i="677" s="1"/>
  <c r="N3253" i="677"/>
  <c r="E3253" i="677"/>
  <c r="J3253" i="677" s="1"/>
  <c r="N3252" i="677"/>
  <c r="E3252" i="677" s="1"/>
  <c r="H3252" i="677" s="1"/>
  <c r="J3252" i="677"/>
  <c r="N3251" i="677"/>
  <c r="E3251" i="677" s="1"/>
  <c r="N3250" i="677"/>
  <c r="E3250" i="677" s="1"/>
  <c r="N3249" i="677"/>
  <c r="E3249" i="677" s="1"/>
  <c r="J3249" i="677" s="1"/>
  <c r="N3248" i="677"/>
  <c r="E3248" i="677" s="1"/>
  <c r="J3248" i="677" s="1"/>
  <c r="N3247" i="677"/>
  <c r="E3247" i="677" s="1"/>
  <c r="N3246" i="677"/>
  <c r="E3246" i="677" s="1"/>
  <c r="H3246" i="677" s="1"/>
  <c r="N3245" i="677"/>
  <c r="E3245" i="677" s="1"/>
  <c r="N3244" i="677"/>
  <c r="E3244" i="677" s="1"/>
  <c r="N3243" i="677"/>
  <c r="E3243" i="677" s="1"/>
  <c r="H3243" i="677" s="1"/>
  <c r="N3242" i="677"/>
  <c r="E3242" i="677" s="1"/>
  <c r="N3241" i="677"/>
  <c r="E3241" i="677" s="1"/>
  <c r="J3241" i="677" s="1"/>
  <c r="N3240" i="677"/>
  <c r="E3240" i="677" s="1"/>
  <c r="N3239" i="677"/>
  <c r="J3239" i="677"/>
  <c r="H3239" i="677"/>
  <c r="N3238" i="677"/>
  <c r="E3238" i="677" s="1"/>
  <c r="H3238" i="677" s="1"/>
  <c r="N3237" i="677"/>
  <c r="E3237" i="677" s="1"/>
  <c r="N3236" i="677"/>
  <c r="E3236" i="677" s="1"/>
  <c r="J3236" i="677" s="1"/>
  <c r="N3235" i="677"/>
  <c r="E3235" i="677" s="1"/>
  <c r="H3235" i="677" s="1"/>
  <c r="N3234" i="677"/>
  <c r="E3234" i="677" s="1"/>
  <c r="J3234" i="677" s="1"/>
  <c r="N3233" i="677"/>
  <c r="E3233" i="677" s="1"/>
  <c r="J3233" i="677" s="1"/>
  <c r="N3232" i="677"/>
  <c r="E3232" i="677" s="1"/>
  <c r="J3232" i="677" s="1"/>
  <c r="N3231" i="677"/>
  <c r="E3231" i="677" s="1"/>
  <c r="H3231" i="677" s="1"/>
  <c r="N3230" i="677"/>
  <c r="E3230" i="677" s="1"/>
  <c r="N3229" i="677"/>
  <c r="E3229" i="677" s="1"/>
  <c r="N3228" i="677"/>
  <c r="E3228" i="677" s="1"/>
  <c r="H3228" i="677" s="1"/>
  <c r="N3225" i="677"/>
  <c r="E3225" i="677" s="1"/>
  <c r="N3224" i="677"/>
  <c r="E3224" i="677" s="1"/>
  <c r="N3223" i="677"/>
  <c r="E3223" i="677" s="1"/>
  <c r="N3222" i="677"/>
  <c r="E3222" i="677" s="1"/>
  <c r="J3222" i="677" s="1"/>
  <c r="N3221" i="677"/>
  <c r="E3221" i="677" s="1"/>
  <c r="N3220" i="677"/>
  <c r="E3220" i="677" s="1"/>
  <c r="N3219" i="677"/>
  <c r="E3219" i="677"/>
  <c r="N3218" i="677"/>
  <c r="E3218" i="677" s="1"/>
  <c r="N3217" i="677"/>
  <c r="E3217" i="677" s="1"/>
  <c r="J3217" i="677" s="1"/>
  <c r="N3216" i="677"/>
  <c r="E3216" i="677" s="1"/>
  <c r="N3215" i="677"/>
  <c r="E3215" i="677"/>
  <c r="H3215" i="677" s="1"/>
  <c r="N3214" i="677"/>
  <c r="E3214" i="677" s="1"/>
  <c r="N3213" i="677"/>
  <c r="E3213" i="677"/>
  <c r="N3212" i="677"/>
  <c r="E3212" i="677" s="1"/>
  <c r="N3211" i="677"/>
  <c r="E3211" i="677" s="1"/>
  <c r="N3210" i="677"/>
  <c r="E3210" i="677" s="1"/>
  <c r="N3209" i="677"/>
  <c r="E3209" i="677" s="1"/>
  <c r="N3208" i="677"/>
  <c r="E3208" i="677" s="1"/>
  <c r="N3207" i="677"/>
  <c r="E3207" i="677" s="1"/>
  <c r="J3207" i="677" s="1"/>
  <c r="N3206" i="677"/>
  <c r="E3206" i="677" s="1"/>
  <c r="N3205" i="677"/>
  <c r="E3205" i="677" s="1"/>
  <c r="N3204" i="677"/>
  <c r="E3204" i="677" s="1"/>
  <c r="N3203" i="677"/>
  <c r="E3203" i="677"/>
  <c r="H3203" i="677" s="1"/>
  <c r="N3202" i="677"/>
  <c r="E3202" i="677" s="1"/>
  <c r="J3202" i="677" s="1"/>
  <c r="N3201" i="677"/>
  <c r="E3201" i="677" s="1"/>
  <c r="N3200" i="677"/>
  <c r="E3200" i="677"/>
  <c r="N3199" i="677"/>
  <c r="J3199" i="677"/>
  <c r="H3199" i="677"/>
  <c r="K3199" i="677" s="1"/>
  <c r="N3198" i="677"/>
  <c r="E3198" i="677" s="1"/>
  <c r="H3198" i="677" s="1"/>
  <c r="N3197" i="677"/>
  <c r="E3197" i="677" s="1"/>
  <c r="J3197" i="677" s="1"/>
  <c r="N3196" i="677"/>
  <c r="E3196" i="677" s="1"/>
  <c r="N3195" i="677"/>
  <c r="E3195" i="677" s="1"/>
  <c r="H3195" i="677" s="1"/>
  <c r="N3194" i="677"/>
  <c r="E3194" i="677" s="1"/>
  <c r="N3193" i="677"/>
  <c r="E3193" i="677" s="1"/>
  <c r="N3192" i="677"/>
  <c r="E3192" i="677" s="1"/>
  <c r="H3192" i="677" s="1"/>
  <c r="J3192" i="677"/>
  <c r="N3191" i="677"/>
  <c r="E3191" i="677" s="1"/>
  <c r="J3191" i="677" s="1"/>
  <c r="N3190" i="677"/>
  <c r="E3190" i="677" s="1"/>
  <c r="J3190" i="677" s="1"/>
  <c r="J3189" i="677"/>
  <c r="H3189" i="677"/>
  <c r="N3188" i="677"/>
  <c r="J3188" i="677"/>
  <c r="K3188" i="677" s="1"/>
  <c r="H3188" i="677"/>
  <c r="N3187" i="677"/>
  <c r="N3186" i="677"/>
  <c r="E3186" i="677" s="1"/>
  <c r="J3186" i="677" s="1"/>
  <c r="N3185" i="677"/>
  <c r="E3185" i="677" s="1"/>
  <c r="N3184" i="677"/>
  <c r="E3184" i="677"/>
  <c r="H3184" i="677" s="1"/>
  <c r="N3183" i="677"/>
  <c r="E3183" i="677" s="1"/>
  <c r="N3182" i="677"/>
  <c r="E3182" i="677" s="1"/>
  <c r="J3182" i="677" s="1"/>
  <c r="N3181" i="677"/>
  <c r="E3181" i="677"/>
  <c r="H3181" i="677" s="1"/>
  <c r="N3180" i="677"/>
  <c r="E3180" i="677" s="1"/>
  <c r="J3180" i="677" s="1"/>
  <c r="N3179" i="677"/>
  <c r="E3179" i="677" s="1"/>
  <c r="J3179" i="677" s="1"/>
  <c r="N3178" i="677"/>
  <c r="E3178" i="677"/>
  <c r="N3177" i="677"/>
  <c r="E3177" i="677" s="1"/>
  <c r="H3177" i="677" s="1"/>
  <c r="N3176" i="677"/>
  <c r="E3176" i="677" s="1"/>
  <c r="N3175" i="677"/>
  <c r="E3175" i="677" s="1"/>
  <c r="N3174" i="677"/>
  <c r="E3174" i="677" s="1"/>
  <c r="J3174" i="677" s="1"/>
  <c r="H3174" i="677"/>
  <c r="K3174" i="677" s="1"/>
  <c r="N3173" i="677"/>
  <c r="E3173" i="677" s="1"/>
  <c r="N3172" i="677"/>
  <c r="E3172" i="677" s="1"/>
  <c r="J3172" i="677" s="1"/>
  <c r="N3171" i="677"/>
  <c r="E3171" i="677" s="1"/>
  <c r="N3170" i="677"/>
  <c r="E3170" i="677" s="1"/>
  <c r="N3169" i="677"/>
  <c r="E3169" i="677" s="1"/>
  <c r="N3168" i="677"/>
  <c r="E3168" i="677"/>
  <c r="J3168" i="677" s="1"/>
  <c r="N3167" i="677"/>
  <c r="E3167" i="677" s="1"/>
  <c r="N3166" i="677"/>
  <c r="E3166" i="677" s="1"/>
  <c r="J3166" i="677" s="1"/>
  <c r="N3165" i="677"/>
  <c r="E3165" i="677" s="1"/>
  <c r="J3165" i="677" s="1"/>
  <c r="N3164" i="677"/>
  <c r="E3164" i="677" s="1"/>
  <c r="N3163" i="677"/>
  <c r="E3163" i="677" s="1"/>
  <c r="N3162" i="677"/>
  <c r="E3162" i="677" s="1"/>
  <c r="J3162" i="677" s="1"/>
  <c r="N3161" i="677"/>
  <c r="E3161" i="677" s="1"/>
  <c r="N3160" i="677"/>
  <c r="E3160" i="677" s="1"/>
  <c r="N3159" i="677"/>
  <c r="E3159" i="677" s="1"/>
  <c r="N3158" i="677"/>
  <c r="E3158" i="677" s="1"/>
  <c r="N3157" i="677"/>
  <c r="E3157" i="677" s="1"/>
  <c r="H3157" i="677" s="1"/>
  <c r="N3156" i="677"/>
  <c r="E3156" i="677" s="1"/>
  <c r="J3156" i="677" s="1"/>
  <c r="N3155" i="677"/>
  <c r="E3155" i="677" s="1"/>
  <c r="N3154" i="677"/>
  <c r="E3154" i="677" s="1"/>
  <c r="N3153" i="677"/>
  <c r="E3153" i="677" s="1"/>
  <c r="J3153" i="677" s="1"/>
  <c r="N3152" i="677"/>
  <c r="E3152" i="677" s="1"/>
  <c r="N3151" i="677"/>
  <c r="E3151" i="677" s="1"/>
  <c r="N3150" i="677"/>
  <c r="E3150" i="677" s="1"/>
  <c r="J3150" i="677" s="1"/>
  <c r="N3149" i="677"/>
  <c r="E3149" i="677"/>
  <c r="H3149" i="677" s="1"/>
  <c r="N3148" i="677"/>
  <c r="E3148" i="677" s="1"/>
  <c r="N3147" i="677"/>
  <c r="E3147" i="677" s="1"/>
  <c r="N3146" i="677"/>
  <c r="E3146" i="677" s="1"/>
  <c r="N3145" i="677"/>
  <c r="E3145" i="677" s="1"/>
  <c r="N3144" i="677"/>
  <c r="E3144" i="677" s="1"/>
  <c r="J3144" i="677" s="1"/>
  <c r="N3143" i="677"/>
  <c r="E3143" i="677" s="1"/>
  <c r="N3142" i="677"/>
  <c r="E3142" i="677" s="1"/>
  <c r="N3141" i="677"/>
  <c r="E3141" i="677" s="1"/>
  <c r="J3141" i="677" s="1"/>
  <c r="N3140" i="677"/>
  <c r="E3140" i="677" s="1"/>
  <c r="N3139" i="677"/>
  <c r="E3139" i="677" s="1"/>
  <c r="N3138" i="677"/>
  <c r="E3138" i="677" s="1"/>
  <c r="N3137" i="677"/>
  <c r="E3137" i="677"/>
  <c r="N3136" i="677"/>
  <c r="E3136" i="677" s="1"/>
  <c r="N3135" i="677"/>
  <c r="E3135" i="677" s="1"/>
  <c r="N3134" i="677"/>
  <c r="E3134" i="677" s="1"/>
  <c r="H3134" i="677" s="1"/>
  <c r="N3133" i="677"/>
  <c r="J3133" i="677"/>
  <c r="H3133" i="677"/>
  <c r="N3132" i="677"/>
  <c r="E3132" i="677" s="1"/>
  <c r="N3131" i="677"/>
  <c r="E3131" i="677" s="1"/>
  <c r="N3130" i="677"/>
  <c r="E3130" i="677" s="1"/>
  <c r="N3129" i="677"/>
  <c r="E3129" i="677" s="1"/>
  <c r="H3129" i="677" s="1"/>
  <c r="N3128" i="677"/>
  <c r="E3128" i="677" s="1"/>
  <c r="H3128" i="677" s="1"/>
  <c r="N3127" i="677"/>
  <c r="E3127" i="677" s="1"/>
  <c r="N3126" i="677"/>
  <c r="E3126" i="677"/>
  <c r="N3125" i="677"/>
  <c r="E3125" i="677" s="1"/>
  <c r="N3124" i="677"/>
  <c r="E3124" i="677" s="1"/>
  <c r="J3124" i="677" s="1"/>
  <c r="N3123" i="677"/>
  <c r="E3123" i="677" s="1"/>
  <c r="N3122" i="677"/>
  <c r="E3122" i="677" s="1"/>
  <c r="J3122" i="677" s="1"/>
  <c r="N3121" i="677"/>
  <c r="E3121" i="677" s="1"/>
  <c r="N3120" i="677"/>
  <c r="E3120" i="677" s="1"/>
  <c r="N3119" i="677"/>
  <c r="E3119" i="677" s="1"/>
  <c r="N3118" i="677"/>
  <c r="E3118" i="677" s="1"/>
  <c r="N3117" i="677"/>
  <c r="E3117" i="677" s="1"/>
  <c r="N3116" i="677"/>
  <c r="E3116" i="677" s="1"/>
  <c r="H3116" i="677" s="1"/>
  <c r="N3115" i="677"/>
  <c r="E3115" i="677" s="1"/>
  <c r="N3114" i="677"/>
  <c r="E3114" i="677" s="1"/>
  <c r="N3113" i="677"/>
  <c r="E3113" i="677" s="1"/>
  <c r="N3112" i="677"/>
  <c r="E3112" i="677" s="1"/>
  <c r="J3112" i="677" s="1"/>
  <c r="N3111" i="677"/>
  <c r="E3111" i="677" s="1"/>
  <c r="N3110" i="677"/>
  <c r="E3110" i="677" s="1"/>
  <c r="N3109" i="677"/>
  <c r="E3109" i="677" s="1"/>
  <c r="J3109" i="677" s="1"/>
  <c r="H3109" i="677"/>
  <c r="N3108" i="677"/>
  <c r="E3108" i="677" s="1"/>
  <c r="N3107" i="677"/>
  <c r="E3107" i="677" s="1"/>
  <c r="N3106" i="677"/>
  <c r="E3106" i="677" s="1"/>
  <c r="N3105" i="677"/>
  <c r="E3105" i="677" s="1"/>
  <c r="H3105" i="677" s="1"/>
  <c r="N3104" i="677"/>
  <c r="E3104" i="677" s="1"/>
  <c r="H3104" i="677" s="1"/>
  <c r="N3103" i="677"/>
  <c r="E3103" i="677" s="1"/>
  <c r="N3102" i="677"/>
  <c r="E3102" i="677" s="1"/>
  <c r="N3101" i="677"/>
  <c r="E3101" i="677" s="1"/>
  <c r="N3100" i="677"/>
  <c r="E3100" i="677" s="1"/>
  <c r="J3100" i="677" s="1"/>
  <c r="N3099" i="677"/>
  <c r="E3099" i="677" s="1"/>
  <c r="N3098" i="677"/>
  <c r="E3098" i="677" s="1"/>
  <c r="J3098" i="677" s="1"/>
  <c r="N3097" i="677"/>
  <c r="E3097" i="677" s="1"/>
  <c r="N3096" i="677"/>
  <c r="J3096" i="677"/>
  <c r="H3096" i="677"/>
  <c r="N3095" i="677"/>
  <c r="E3095" i="677" s="1"/>
  <c r="J3095" i="677" s="1"/>
  <c r="N3094" i="677"/>
  <c r="E3094" i="677" s="1"/>
  <c r="N3093" i="677"/>
  <c r="E3093" i="677" s="1"/>
  <c r="J3093" i="677" s="1"/>
  <c r="N3092" i="677"/>
  <c r="E3092" i="677" s="1"/>
  <c r="N3091" i="677"/>
  <c r="E3091" i="677" s="1"/>
  <c r="N3090" i="677"/>
  <c r="E3090" i="677" s="1"/>
  <c r="N3089" i="677"/>
  <c r="E3089" i="677" s="1"/>
  <c r="N3088" i="677"/>
  <c r="E3088" i="677" s="1"/>
  <c r="N3087" i="677"/>
  <c r="E3087" i="677" s="1"/>
  <c r="H3087" i="677" s="1"/>
  <c r="N3086" i="677"/>
  <c r="E3086" i="677" s="1"/>
  <c r="N3085" i="677"/>
  <c r="E3085" i="677"/>
  <c r="N3084" i="677"/>
  <c r="E3084" i="677" s="1"/>
  <c r="N3083" i="677"/>
  <c r="E3083" i="677" s="1"/>
  <c r="J3083" i="677" s="1"/>
  <c r="N3082" i="677"/>
  <c r="E3082" i="677" s="1"/>
  <c r="N3081" i="677"/>
  <c r="E3081" i="677" s="1"/>
  <c r="J3081" i="677" s="1"/>
  <c r="N3080" i="677"/>
  <c r="E3080" i="677" s="1"/>
  <c r="N3079" i="677"/>
  <c r="E3079" i="677" s="1"/>
  <c r="N3078" i="677"/>
  <c r="E3078" i="677" s="1"/>
  <c r="N3077" i="677"/>
  <c r="E3077" i="677" s="1"/>
  <c r="N3076" i="677"/>
  <c r="E3076" i="677" s="1"/>
  <c r="H3076" i="677" s="1"/>
  <c r="N3075" i="677"/>
  <c r="E3075" i="677" s="1"/>
  <c r="H3075" i="677" s="1"/>
  <c r="N3074" i="677"/>
  <c r="E3074" i="677" s="1"/>
  <c r="N3073" i="677"/>
  <c r="E3073" i="677" s="1"/>
  <c r="N3072" i="677"/>
  <c r="E3072" i="677" s="1"/>
  <c r="N3071" i="677"/>
  <c r="E3071" i="677" s="1"/>
  <c r="J3071" i="677" s="1"/>
  <c r="N3070" i="677"/>
  <c r="E3070" i="677" s="1"/>
  <c r="N3069" i="677"/>
  <c r="E3069" i="677" s="1"/>
  <c r="J3069" i="677" s="1"/>
  <c r="N3068" i="677"/>
  <c r="E3068" i="677" s="1"/>
  <c r="N3067" i="677"/>
  <c r="E3067" i="677" s="1"/>
  <c r="N3066" i="677"/>
  <c r="E3066" i="677" s="1"/>
  <c r="N3065" i="677"/>
  <c r="E3065" i="677" s="1"/>
  <c r="N3064" i="677"/>
  <c r="E3064" i="677" s="1"/>
  <c r="N3063" i="677"/>
  <c r="E3063" i="677" s="1"/>
  <c r="H3063" i="677" s="1"/>
  <c r="N3062" i="677"/>
  <c r="E3062" i="677" s="1"/>
  <c r="N3061" i="677"/>
  <c r="E3061" i="677" s="1"/>
  <c r="J3061" i="677" s="1"/>
  <c r="N3058" i="677"/>
  <c r="E3058" i="677"/>
  <c r="J3058" i="677" s="1"/>
  <c r="N3057" i="677"/>
  <c r="E3057" i="677" s="1"/>
  <c r="J3057" i="677" s="1"/>
  <c r="N3056" i="677"/>
  <c r="E3056" i="677" s="1"/>
  <c r="N3055" i="677"/>
  <c r="E3055" i="677" s="1"/>
  <c r="J3055" i="677" s="1"/>
  <c r="N3054" i="677"/>
  <c r="E3054" i="677" s="1"/>
  <c r="J3054" i="677" s="1"/>
  <c r="N3053" i="677"/>
  <c r="E3053" i="677" s="1"/>
  <c r="J3053" i="677" s="1"/>
  <c r="N3052" i="677"/>
  <c r="E3052" i="677" s="1"/>
  <c r="N3051" i="677"/>
  <c r="E3051" i="677" s="1"/>
  <c r="N3050" i="677"/>
  <c r="E3050" i="677" s="1"/>
  <c r="H3050" i="677" s="1"/>
  <c r="N3049" i="677"/>
  <c r="E3049" i="677" s="1"/>
  <c r="H3049" i="677" s="1"/>
  <c r="N3048" i="677"/>
  <c r="E3048" i="677" s="1"/>
  <c r="N3047" i="677"/>
  <c r="E3047" i="677" s="1"/>
  <c r="N3046" i="677"/>
  <c r="E3046" i="677" s="1"/>
  <c r="J3046" i="677" s="1"/>
  <c r="N3045" i="677"/>
  <c r="E3045" i="677" s="1"/>
  <c r="J3045" i="677" s="1"/>
  <c r="N3044" i="677"/>
  <c r="E3044" i="677" s="1"/>
  <c r="N3043" i="677"/>
  <c r="E3043" i="677" s="1"/>
  <c r="J3043" i="677" s="1"/>
  <c r="H3043" i="677"/>
  <c r="K3043" i="677" s="1"/>
  <c r="N3042" i="677"/>
  <c r="E3042" i="677" s="1"/>
  <c r="N3041" i="677"/>
  <c r="E3041" i="677" s="1"/>
  <c r="N3040" i="677"/>
  <c r="E3040" i="677" s="1"/>
  <c r="N3039" i="677"/>
  <c r="E3039" i="677" s="1"/>
  <c r="N3038" i="677"/>
  <c r="E3038" i="677" s="1"/>
  <c r="N3037" i="677"/>
  <c r="E3037" i="677" s="1"/>
  <c r="H3037" i="677" s="1"/>
  <c r="N3036" i="677"/>
  <c r="E3036" i="677" s="1"/>
  <c r="N3035" i="677"/>
  <c r="E3035" i="677" s="1"/>
  <c r="J3035" i="677" s="1"/>
  <c r="N3034" i="677"/>
  <c r="E3034" i="677" s="1"/>
  <c r="N3033" i="677"/>
  <c r="J3033" i="677"/>
  <c r="H3033" i="677"/>
  <c r="N3032" i="677"/>
  <c r="E3032" i="677" s="1"/>
  <c r="N3031" i="677"/>
  <c r="E3031" i="677" s="1"/>
  <c r="N3030" i="677"/>
  <c r="E3030" i="677" s="1"/>
  <c r="J3030" i="677" s="1"/>
  <c r="N3029" i="677"/>
  <c r="E3029" i="677" s="1"/>
  <c r="J3029" i="677" s="1"/>
  <c r="N3028" i="677"/>
  <c r="E3028" i="677"/>
  <c r="J3028" i="677" s="1"/>
  <c r="N3027" i="677"/>
  <c r="E3027" i="677" s="1"/>
  <c r="N3026" i="677"/>
  <c r="E3026" i="677" s="1"/>
  <c r="J3026" i="677" s="1"/>
  <c r="N3025" i="677"/>
  <c r="E3025" i="677"/>
  <c r="J3025" i="677" s="1"/>
  <c r="N3024" i="677"/>
  <c r="E3024" i="677" s="1"/>
  <c r="N3023" i="677"/>
  <c r="E3023" i="677" s="1"/>
  <c r="N3022" i="677"/>
  <c r="E3022" i="677" s="1"/>
  <c r="N3021" i="677"/>
  <c r="E3021" i="677" s="1"/>
  <c r="H3021" i="677" s="1"/>
  <c r="N3020" i="677"/>
  <c r="E3020" i="677" s="1"/>
  <c r="H3020" i="677" s="1"/>
  <c r="N3019" i="677"/>
  <c r="E3019" i="677" s="1"/>
  <c r="N3018" i="677"/>
  <c r="E3018" i="677" s="1"/>
  <c r="N3017" i="677"/>
  <c r="E3017" i="677"/>
  <c r="J3017" i="677" s="1"/>
  <c r="N3016" i="677"/>
  <c r="E3016" i="677" s="1"/>
  <c r="J3016" i="677" s="1"/>
  <c r="N3015" i="677"/>
  <c r="E3015" i="677" s="1"/>
  <c r="N3014" i="677"/>
  <c r="E3014" i="677" s="1"/>
  <c r="J3014" i="677" s="1"/>
  <c r="N3013" i="677"/>
  <c r="E3013" i="677" s="1"/>
  <c r="J3013" i="677" s="1"/>
  <c r="N3012" i="677"/>
  <c r="E3012" i="677" s="1"/>
  <c r="H3012" i="677" s="1"/>
  <c r="N3011" i="677"/>
  <c r="E3011" i="677" s="1"/>
  <c r="N3010" i="677"/>
  <c r="E3010" i="677" s="1"/>
  <c r="N3009" i="677"/>
  <c r="E3009" i="677" s="1"/>
  <c r="H3009" i="677" s="1"/>
  <c r="N3008" i="677"/>
  <c r="E3008" i="677" s="1"/>
  <c r="H3008" i="677" s="1"/>
  <c r="N3007" i="677"/>
  <c r="E3007" i="677" s="1"/>
  <c r="N3006" i="677"/>
  <c r="E3006" i="677" s="1"/>
  <c r="N3005" i="677"/>
  <c r="E3005" i="677" s="1"/>
  <c r="N3004" i="677"/>
  <c r="E3004" i="677" s="1"/>
  <c r="J3004" i="677" s="1"/>
  <c r="N3003" i="677"/>
  <c r="E3003" i="677" s="1"/>
  <c r="N3002" i="677"/>
  <c r="E3002" i="677" s="1"/>
  <c r="J3002" i="677" s="1"/>
  <c r="N3001" i="677"/>
  <c r="E3001" i="677" s="1"/>
  <c r="H3001" i="677" s="1"/>
  <c r="N3000" i="677"/>
  <c r="E3000" i="677" s="1"/>
  <c r="H3000" i="677" s="1"/>
  <c r="N2999" i="677"/>
  <c r="E2999" i="677" s="1"/>
  <c r="N2998" i="677"/>
  <c r="E2998" i="677" s="1"/>
  <c r="N2997" i="677"/>
  <c r="E2997" i="677" s="1"/>
  <c r="H2997" i="677" s="1"/>
  <c r="N2996" i="677"/>
  <c r="E2996" i="677" s="1"/>
  <c r="H2996" i="677" s="1"/>
  <c r="J2996" i="677"/>
  <c r="K2996" i="677" s="1"/>
  <c r="N2995" i="677"/>
  <c r="J2995" i="677"/>
  <c r="H2995" i="677"/>
  <c r="K2995" i="677" s="1"/>
  <c r="N2994" i="677"/>
  <c r="E2994" i="677" s="1"/>
  <c r="N2993" i="677"/>
  <c r="E2993" i="677" s="1"/>
  <c r="N2992" i="677"/>
  <c r="E2992" i="677" s="1"/>
  <c r="H2992" i="677" s="1"/>
  <c r="N2991" i="677"/>
  <c r="E2991" i="677" s="1"/>
  <c r="H2991" i="677" s="1"/>
  <c r="N2990" i="677"/>
  <c r="E2990" i="677" s="1"/>
  <c r="N2989" i="677"/>
  <c r="E2989" i="677" s="1"/>
  <c r="J2989" i="677" s="1"/>
  <c r="N2988" i="677"/>
  <c r="E2988" i="677" s="1"/>
  <c r="N2987" i="677"/>
  <c r="E2987" i="677" s="1"/>
  <c r="J2987" i="677" s="1"/>
  <c r="N2986" i="677"/>
  <c r="E2986" i="677" s="1"/>
  <c r="J2985" i="677"/>
  <c r="H2985" i="677"/>
  <c r="K2985" i="677" s="1"/>
  <c r="N2984" i="677"/>
  <c r="J2984" i="677"/>
  <c r="H2984" i="677"/>
  <c r="N2983" i="677"/>
  <c r="N2982" i="677"/>
  <c r="E2982" i="677" s="1"/>
  <c r="N2981" i="677"/>
  <c r="E2981" i="677" s="1"/>
  <c r="H2981" i="677" s="1"/>
  <c r="N2980" i="677"/>
  <c r="E2980" i="677" s="1"/>
  <c r="H2980" i="677" s="1"/>
  <c r="J2980" i="677"/>
  <c r="N2979" i="677"/>
  <c r="E2979" i="677"/>
  <c r="N2978" i="677"/>
  <c r="E2978" i="677" s="1"/>
  <c r="J2978" i="677" s="1"/>
  <c r="N2977" i="677"/>
  <c r="E2977" i="677"/>
  <c r="J2977" i="677" s="1"/>
  <c r="N2976" i="677"/>
  <c r="E2976" i="677" s="1"/>
  <c r="J2976" i="677" s="1"/>
  <c r="N2975" i="677"/>
  <c r="E2975" i="677" s="1"/>
  <c r="N2974" i="677"/>
  <c r="E2974" i="677" s="1"/>
  <c r="J2974" i="677" s="1"/>
  <c r="N2973" i="677"/>
  <c r="E2973" i="677" s="1"/>
  <c r="H2973" i="677" s="1"/>
  <c r="N2972" i="677"/>
  <c r="E2972" i="677" s="1"/>
  <c r="J2972" i="677" s="1"/>
  <c r="N2971" i="677"/>
  <c r="E2971" i="677" s="1"/>
  <c r="N2970" i="677"/>
  <c r="E2970" i="677" s="1"/>
  <c r="N2969" i="677"/>
  <c r="E2969" i="677" s="1"/>
  <c r="H2969" i="677" s="1"/>
  <c r="N2968" i="677"/>
  <c r="E2968" i="677" s="1"/>
  <c r="H2968" i="677" s="1"/>
  <c r="N2967" i="677"/>
  <c r="E2967" i="677" s="1"/>
  <c r="N2966" i="677"/>
  <c r="E2966" i="677" s="1"/>
  <c r="N2965" i="677"/>
  <c r="E2965" i="677" s="1"/>
  <c r="N2964" i="677"/>
  <c r="E2964" i="677" s="1"/>
  <c r="N2963" i="677"/>
  <c r="E2963" i="677" s="1"/>
  <c r="N2962" i="677"/>
  <c r="E2962" i="677" s="1"/>
  <c r="J2962" i="677" s="1"/>
  <c r="N2961" i="677"/>
  <c r="E2961" i="677" s="1"/>
  <c r="H2961" i="677" s="1"/>
  <c r="N2960" i="677"/>
  <c r="E2960" i="677" s="1"/>
  <c r="H2960" i="677" s="1"/>
  <c r="N2959" i="677"/>
  <c r="E2959" i="677" s="1"/>
  <c r="N2958" i="677"/>
  <c r="E2958" i="677" s="1"/>
  <c r="N2957" i="677"/>
  <c r="E2957" i="677" s="1"/>
  <c r="H2957" i="677" s="1"/>
  <c r="N2956" i="677"/>
  <c r="E2956" i="677" s="1"/>
  <c r="N2955" i="677"/>
  <c r="E2955" i="677" s="1"/>
  <c r="N2954" i="677"/>
  <c r="E2954" i="677" s="1"/>
  <c r="J2954" i="677" s="1"/>
  <c r="N2953" i="677"/>
  <c r="E2953" i="677" s="1"/>
  <c r="J2953" i="677" s="1"/>
  <c r="N2952" i="677"/>
  <c r="E2952" i="677" s="1"/>
  <c r="N2951" i="677"/>
  <c r="E2951" i="677" s="1"/>
  <c r="N2950" i="677"/>
  <c r="E2950" i="677" s="1"/>
  <c r="J2950" i="677" s="1"/>
  <c r="N2949" i="677"/>
  <c r="E2949" i="677" s="1"/>
  <c r="H2949" i="677" s="1"/>
  <c r="N2948" i="677"/>
  <c r="E2948" i="677" s="1"/>
  <c r="H2948" i="677" s="1"/>
  <c r="N2947" i="677"/>
  <c r="E2947" i="677" s="1"/>
  <c r="N2946" i="677"/>
  <c r="E2946" i="677" s="1"/>
  <c r="N2945" i="677"/>
  <c r="E2945" i="677" s="1"/>
  <c r="H2945" i="677" s="1"/>
  <c r="N2944" i="677"/>
  <c r="E2944" i="677" s="1"/>
  <c r="H2944" i="677" s="1"/>
  <c r="N2943" i="677"/>
  <c r="E2943" i="677" s="1"/>
  <c r="N2942" i="677"/>
  <c r="E2942" i="677" s="1"/>
  <c r="J2942" i="677" s="1"/>
  <c r="N2941" i="677"/>
  <c r="E2941" i="677" s="1"/>
  <c r="N2940" i="677"/>
  <c r="E2940" i="677" s="1"/>
  <c r="N2939" i="677"/>
  <c r="E2939" i="677" s="1"/>
  <c r="N2938" i="677"/>
  <c r="E2938" i="677" s="1"/>
  <c r="J2938" i="677" s="1"/>
  <c r="H2938" i="677"/>
  <c r="K2938" i="677" s="1"/>
  <c r="N2937" i="677"/>
  <c r="E2937" i="677" s="1"/>
  <c r="H2937" i="677" s="1"/>
  <c r="N2936" i="677"/>
  <c r="E2936" i="677" s="1"/>
  <c r="N2935" i="677"/>
  <c r="E2935" i="677" s="1"/>
  <c r="N2934" i="677"/>
  <c r="E2934" i="677" s="1"/>
  <c r="N2933" i="677"/>
  <c r="E2933" i="677" s="1"/>
  <c r="H2933" i="677" s="1"/>
  <c r="N2932" i="677"/>
  <c r="E2932" i="677" s="1"/>
  <c r="H2932" i="677" s="1"/>
  <c r="N2931" i="677"/>
  <c r="E2931" i="677" s="1"/>
  <c r="N2930" i="677"/>
  <c r="E2930" i="677" s="1"/>
  <c r="N2929" i="677"/>
  <c r="E2929" i="677" s="1"/>
  <c r="J2929" i="677" s="1"/>
  <c r="N2928" i="677"/>
  <c r="J2928" i="677"/>
  <c r="H2928" i="677"/>
  <c r="N2927" i="677"/>
  <c r="E2927" i="677" s="1"/>
  <c r="H2927" i="677" s="1"/>
  <c r="N2926" i="677"/>
  <c r="E2926" i="677" s="1"/>
  <c r="N2925" i="677"/>
  <c r="E2925" i="677" s="1"/>
  <c r="J2925" i="677" s="1"/>
  <c r="N2924" i="677"/>
  <c r="E2924" i="677" s="1"/>
  <c r="J2924" i="677" s="1"/>
  <c r="N2923" i="677"/>
  <c r="E2923" i="677" s="1"/>
  <c r="J2923" i="677" s="1"/>
  <c r="N2922" i="677"/>
  <c r="E2922" i="677" s="1"/>
  <c r="N2921" i="677"/>
  <c r="E2921" i="677" s="1"/>
  <c r="J2921" i="677" s="1"/>
  <c r="N2920" i="677"/>
  <c r="E2920" i="677" s="1"/>
  <c r="N2919" i="677"/>
  <c r="E2919" i="677" s="1"/>
  <c r="N2918" i="677"/>
  <c r="E2918" i="677" s="1"/>
  <c r="J2918" i="677" s="1"/>
  <c r="N2917" i="677"/>
  <c r="E2917" i="677" s="1"/>
  <c r="H2917" i="677" s="1"/>
  <c r="N2916" i="677"/>
  <c r="E2916" i="677" s="1"/>
  <c r="J2916" i="677" s="1"/>
  <c r="N2915" i="677"/>
  <c r="E2915" i="677"/>
  <c r="J2915" i="677" s="1"/>
  <c r="N2914" i="677"/>
  <c r="E2914" i="677" s="1"/>
  <c r="N2913" i="677"/>
  <c r="E2913" i="677" s="1"/>
  <c r="N2912" i="677"/>
  <c r="E2912" i="677" s="1"/>
  <c r="N2911" i="677"/>
  <c r="E2911" i="677" s="1"/>
  <c r="N2910" i="677"/>
  <c r="E2910" i="677" s="1"/>
  <c r="J2910" i="677" s="1"/>
  <c r="N2909" i="677"/>
  <c r="E2909" i="677" s="1"/>
  <c r="N2908" i="677"/>
  <c r="E2908" i="677" s="1"/>
  <c r="N2907" i="677"/>
  <c r="E2907" i="677" s="1"/>
  <c r="N2906" i="677"/>
  <c r="E2906" i="677" s="1"/>
  <c r="J2906" i="677" s="1"/>
  <c r="N2905" i="677"/>
  <c r="E2905" i="677" s="1"/>
  <c r="H2905" i="677" s="1"/>
  <c r="N2904" i="677"/>
  <c r="E2904" i="677" s="1"/>
  <c r="N2903" i="677"/>
  <c r="E2903" i="677"/>
  <c r="J2903" i="677" s="1"/>
  <c r="N2902" i="677"/>
  <c r="E2902" i="677" s="1"/>
  <c r="H2902" i="677" s="1"/>
  <c r="N2901" i="677"/>
  <c r="E2901" i="677" s="1"/>
  <c r="N2900" i="677"/>
  <c r="E2900" i="677" s="1"/>
  <c r="N2899" i="677"/>
  <c r="E2899" i="677" s="1"/>
  <c r="H2899" i="677" s="1"/>
  <c r="N2898" i="677"/>
  <c r="E2898" i="677" s="1"/>
  <c r="J2898" i="677" s="1"/>
  <c r="N2897" i="677"/>
  <c r="E2897" i="677" s="1"/>
  <c r="N2896" i="677"/>
  <c r="E2896" i="677" s="1"/>
  <c r="N2895" i="677"/>
  <c r="E2895" i="677" s="1"/>
  <c r="N2894" i="677"/>
  <c r="E2894" i="677" s="1"/>
  <c r="J2894" i="677" s="1"/>
  <c r="N2893" i="677"/>
  <c r="E2893" i="677" s="1"/>
  <c r="H2893" i="677" s="1"/>
  <c r="N2892" i="677"/>
  <c r="E2892" i="677" s="1"/>
  <c r="N2891" i="677"/>
  <c r="E2891" i="677" s="1"/>
  <c r="J2891" i="677" s="1"/>
  <c r="N2890" i="677"/>
  <c r="J2890" i="677"/>
  <c r="H2890" i="677"/>
  <c r="N2889" i="677"/>
  <c r="E2889" i="677" s="1"/>
  <c r="J2889" i="677" s="1"/>
  <c r="N2888" i="677"/>
  <c r="E2888" i="677" s="1"/>
  <c r="N2887" i="677"/>
  <c r="E2887" i="677" s="1"/>
  <c r="J2887" i="677" s="1"/>
  <c r="N2886" i="677"/>
  <c r="E2886" i="677" s="1"/>
  <c r="J2886" i="677" s="1"/>
  <c r="N2885" i="677"/>
  <c r="E2885" i="677"/>
  <c r="H2885" i="677" s="1"/>
  <c r="N2884" i="677"/>
  <c r="E2884" i="677" s="1"/>
  <c r="N2883" i="677"/>
  <c r="E2883" i="677" s="1"/>
  <c r="N2882" i="677"/>
  <c r="E2882" i="677"/>
  <c r="H2882" i="677" s="1"/>
  <c r="N2881" i="677"/>
  <c r="E2881" i="677" s="1"/>
  <c r="J2881" i="677" s="1"/>
  <c r="N2880" i="677"/>
  <c r="E2880" i="677" s="1"/>
  <c r="N2879" i="677"/>
  <c r="E2879" i="677"/>
  <c r="N2878" i="677"/>
  <c r="E2878" i="677" s="1"/>
  <c r="N2877" i="677"/>
  <c r="E2877" i="677" s="1"/>
  <c r="J2877" i="677" s="1"/>
  <c r="N2876" i="677"/>
  <c r="E2876" i="677" s="1"/>
  <c r="H2876" i="677" s="1"/>
  <c r="N2875" i="677"/>
  <c r="E2875" i="677" s="1"/>
  <c r="J2875" i="677" s="1"/>
  <c r="N2874" i="677"/>
  <c r="E2874" i="677"/>
  <c r="J2874" i="677" s="1"/>
  <c r="N2873" i="677"/>
  <c r="E2873" i="677"/>
  <c r="H2873" i="677" s="1"/>
  <c r="N2872" i="677"/>
  <c r="E2872" i="677" s="1"/>
  <c r="N2871" i="677"/>
  <c r="E2871" i="677" s="1"/>
  <c r="N2870" i="677"/>
  <c r="E2870" i="677" s="1"/>
  <c r="N2869" i="677"/>
  <c r="E2869" i="677" s="1"/>
  <c r="H2869" i="677" s="1"/>
  <c r="N2868" i="677"/>
  <c r="E2868" i="677" s="1"/>
  <c r="N2867" i="677"/>
  <c r="E2867" i="677"/>
  <c r="N2866" i="677"/>
  <c r="E2866" i="677" s="1"/>
  <c r="N2865" i="677"/>
  <c r="E2865" i="677" s="1"/>
  <c r="J2865" i="677" s="1"/>
  <c r="N2864" i="677"/>
  <c r="E2864" i="677" s="1"/>
  <c r="H2864" i="677" s="1"/>
  <c r="N2863" i="677"/>
  <c r="E2863" i="677" s="1"/>
  <c r="J2863" i="677" s="1"/>
  <c r="N2862" i="677"/>
  <c r="E2862" i="677" s="1"/>
  <c r="N2861" i="677"/>
  <c r="E2861" i="677" s="1"/>
  <c r="H2861" i="677" s="1"/>
  <c r="N2860" i="677"/>
  <c r="E2860" i="677" s="1"/>
  <c r="N2859" i="677"/>
  <c r="E2859" i="677" s="1"/>
  <c r="N2858" i="677"/>
  <c r="E2858" i="677" s="1"/>
  <c r="N2857" i="677"/>
  <c r="E2857" i="677" s="1"/>
  <c r="N2856" i="677"/>
  <c r="E2856" i="677" s="1"/>
  <c r="N2855" i="677"/>
  <c r="E2855" i="677" s="1"/>
  <c r="N2854" i="677"/>
  <c r="E2854" i="677" s="1"/>
  <c r="N2853" i="677"/>
  <c r="E2853" i="677" s="1"/>
  <c r="J2853" i="677" s="1"/>
  <c r="N2852" i="677"/>
  <c r="E2852" i="677" s="1"/>
  <c r="N2851" i="677"/>
  <c r="E2851" i="677" s="1"/>
  <c r="J2851" i="677" s="1"/>
  <c r="H2851" i="677"/>
  <c r="K2851" i="677" s="1"/>
  <c r="N2850" i="677"/>
  <c r="E2850" i="677" s="1"/>
  <c r="J2850" i="677" s="1"/>
  <c r="N2849" i="677"/>
  <c r="E2849" i="677" s="1"/>
  <c r="N2848" i="677"/>
  <c r="E2848" i="677" s="1"/>
  <c r="N2847" i="677"/>
  <c r="E2847" i="677" s="1"/>
  <c r="N2846" i="677"/>
  <c r="E2846" i="677"/>
  <c r="H2846" i="677" s="1"/>
  <c r="N2845" i="677"/>
  <c r="E2845" i="677" s="1"/>
  <c r="J2845" i="677" s="1"/>
  <c r="H2845" i="677"/>
  <c r="N2844" i="677"/>
  <c r="E2844" i="677" s="1"/>
  <c r="N2843" i="677"/>
  <c r="E2843" i="677" s="1"/>
  <c r="N2842" i="677"/>
  <c r="E2842" i="677" s="1"/>
  <c r="N2841" i="677"/>
  <c r="E2841" i="677" s="1"/>
  <c r="J2841" i="677" s="1"/>
  <c r="N2840" i="677"/>
  <c r="E2840" i="677" s="1"/>
  <c r="H2840" i="677" s="1"/>
  <c r="J2840" i="677"/>
  <c r="N2839" i="677"/>
  <c r="E2839" i="677" s="1"/>
  <c r="J2839" i="677" s="1"/>
  <c r="N2838" i="677"/>
  <c r="E2838" i="677" s="1"/>
  <c r="N2837" i="677"/>
  <c r="E2837" i="677" s="1"/>
  <c r="N2836" i="677"/>
  <c r="E2836" i="677" s="1"/>
  <c r="N2835" i="677"/>
  <c r="E2835" i="677" s="1"/>
  <c r="N2834" i="677"/>
  <c r="E2834" i="677" s="1"/>
  <c r="N2833" i="677"/>
  <c r="E2833" i="677" s="1"/>
  <c r="J2833" i="677" s="1"/>
  <c r="N2832" i="677"/>
  <c r="E2832" i="677"/>
  <c r="N2831" i="677"/>
  <c r="E2831" i="677" s="1"/>
  <c r="N2830" i="677"/>
  <c r="E2830" i="677" s="1"/>
  <c r="N2829" i="677"/>
  <c r="E2829" i="677" s="1"/>
  <c r="J2829" i="677" s="1"/>
  <c r="N2828" i="677"/>
  <c r="J2828" i="677"/>
  <c r="H2828" i="677"/>
  <c r="N2827" i="677"/>
  <c r="E2827" i="677" s="1"/>
  <c r="N2826" i="677"/>
  <c r="E2826" i="677" s="1"/>
  <c r="N2825" i="677"/>
  <c r="E2825" i="677" s="1"/>
  <c r="N2824" i="677"/>
  <c r="E2824" i="677" s="1"/>
  <c r="J2824" i="677" s="1"/>
  <c r="N2823" i="677"/>
  <c r="E2823" i="677" s="1"/>
  <c r="H2823" i="677" s="1"/>
  <c r="N2822" i="677"/>
  <c r="E2822" i="677" s="1"/>
  <c r="J2822" i="677" s="1"/>
  <c r="N2821" i="677"/>
  <c r="E2821" i="677"/>
  <c r="J2821" i="677" s="1"/>
  <c r="N2820" i="677"/>
  <c r="E2820" i="677" s="1"/>
  <c r="H2820" i="677" s="1"/>
  <c r="J2820" i="677"/>
  <c r="N2819" i="677"/>
  <c r="E2819" i="677" s="1"/>
  <c r="N2818" i="677"/>
  <c r="E2818" i="677" s="1"/>
  <c r="N2817" i="677"/>
  <c r="E2817" i="677" s="1"/>
  <c r="N2816" i="677"/>
  <c r="E2816" i="677" s="1"/>
  <c r="N2815" i="677"/>
  <c r="E2815" i="677"/>
  <c r="N2814" i="677"/>
  <c r="E2814" i="677" s="1"/>
  <c r="N2813" i="677"/>
  <c r="E2813" i="677" s="1"/>
  <c r="N2812" i="677"/>
  <c r="E2812" i="677"/>
  <c r="J2812" i="677" s="1"/>
  <c r="N2811" i="677"/>
  <c r="E2811" i="677" s="1"/>
  <c r="N2810" i="677"/>
  <c r="E2810" i="677" s="1"/>
  <c r="J2810" i="677" s="1"/>
  <c r="N2809" i="677"/>
  <c r="E2809" i="677" s="1"/>
  <c r="J2809" i="677" s="1"/>
  <c r="N2808" i="677"/>
  <c r="E2808" i="677"/>
  <c r="H2808" i="677" s="1"/>
  <c r="N2807" i="677"/>
  <c r="E2807" i="677" s="1"/>
  <c r="N2806" i="677"/>
  <c r="E2806" i="677" s="1"/>
  <c r="N2805" i="677"/>
  <c r="E2805" i="677"/>
  <c r="H2805" i="677" s="1"/>
  <c r="N2804" i="677"/>
  <c r="E2804" i="677" s="1"/>
  <c r="J2804" i="677" s="1"/>
  <c r="N2803" i="677"/>
  <c r="E2803" i="677" s="1"/>
  <c r="N2802" i="677"/>
  <c r="E2802" i="677" s="1"/>
  <c r="N2801" i="677"/>
  <c r="E2801" i="677" s="1"/>
  <c r="N2800" i="677"/>
  <c r="E2800" i="677"/>
  <c r="J2800" i="677" s="1"/>
  <c r="N2799" i="677"/>
  <c r="E2799" i="677" s="1"/>
  <c r="H2799" i="677" s="1"/>
  <c r="N2798" i="677"/>
  <c r="E2798" i="677" s="1"/>
  <c r="J2798" i="677" s="1"/>
  <c r="N2797" i="677"/>
  <c r="E2797" i="677"/>
  <c r="J2797" i="677" s="1"/>
  <c r="N2796" i="677"/>
  <c r="E2796" i="677" s="1"/>
  <c r="N2795" i="677"/>
  <c r="E2795" i="677" s="1"/>
  <c r="N2794" i="677"/>
  <c r="E2794" i="677" s="1"/>
  <c r="N2793" i="677"/>
  <c r="E2793" i="677" s="1"/>
  <c r="H2793" i="677" s="1"/>
  <c r="N2792" i="677"/>
  <c r="E2792" i="677" s="1"/>
  <c r="J2792" i="677" s="1"/>
  <c r="H2792" i="677"/>
  <c r="N2791" i="677"/>
  <c r="E2791" i="677"/>
  <c r="N2790" i="677"/>
  <c r="J2790" i="677"/>
  <c r="H2790" i="677"/>
  <c r="N2789" i="677"/>
  <c r="E2789" i="677" s="1"/>
  <c r="N2788" i="677"/>
  <c r="E2788" i="677" s="1"/>
  <c r="H2788" i="677" s="1"/>
  <c r="N2787" i="677"/>
  <c r="E2787" i="677" s="1"/>
  <c r="N2786" i="677"/>
  <c r="E2786" i="677" s="1"/>
  <c r="N2785" i="677"/>
  <c r="E2785" i="677" s="1"/>
  <c r="N2784" i="677"/>
  <c r="E2784" i="677" s="1"/>
  <c r="N2783" i="677"/>
  <c r="E2783" i="677" s="1"/>
  <c r="J2783" i="677" s="1"/>
  <c r="N2782" i="677"/>
  <c r="E2782" i="677" s="1"/>
  <c r="H2782" i="677" s="1"/>
  <c r="N2781" i="677"/>
  <c r="E2781" i="677" s="1"/>
  <c r="J2781" i="677" s="1"/>
  <c r="J2780" i="677"/>
  <c r="H2780" i="677"/>
  <c r="K2780" i="677" s="1"/>
  <c r="N2779" i="677"/>
  <c r="J2779" i="677"/>
  <c r="H2779" i="677"/>
  <c r="N2778" i="677"/>
  <c r="N2777" i="677"/>
  <c r="E2777" i="677" s="1"/>
  <c r="H2777" i="677" s="1"/>
  <c r="N2776" i="677"/>
  <c r="E2776" i="677" s="1"/>
  <c r="J2776" i="677" s="1"/>
  <c r="N2775" i="677"/>
  <c r="E2775" i="677" s="1"/>
  <c r="N2774" i="677"/>
  <c r="E2774" i="677" s="1"/>
  <c r="N2773" i="677"/>
  <c r="E2773" i="677" s="1"/>
  <c r="N2772" i="677"/>
  <c r="E2772" i="677" s="1"/>
  <c r="J2772" i="677" s="1"/>
  <c r="N2771" i="677"/>
  <c r="E2771" i="677" s="1"/>
  <c r="N2770" i="677"/>
  <c r="E2770" i="677" s="1"/>
  <c r="J2770" i="677" s="1"/>
  <c r="N2769" i="677"/>
  <c r="E2769" i="677" s="1"/>
  <c r="N2768" i="677"/>
  <c r="E2768" i="677" s="1"/>
  <c r="N2767" i="677"/>
  <c r="E2767" i="677" s="1"/>
  <c r="N2766" i="677"/>
  <c r="E2766" i="677" s="1"/>
  <c r="N2765" i="677"/>
  <c r="E2765" i="677" s="1"/>
  <c r="H2765" i="677" s="1"/>
  <c r="N2764" i="677"/>
  <c r="E2764" i="677" s="1"/>
  <c r="H2764" i="677" s="1"/>
  <c r="N2763" i="677"/>
  <c r="E2763" i="677" s="1"/>
  <c r="N2762" i="677"/>
  <c r="E2762" i="677" s="1"/>
  <c r="N2761" i="677"/>
  <c r="E2761" i="677" s="1"/>
  <c r="N2760" i="677"/>
  <c r="E2760" i="677" s="1"/>
  <c r="J2760" i="677" s="1"/>
  <c r="N2759" i="677"/>
  <c r="E2759" i="677" s="1"/>
  <c r="H2759" i="677" s="1"/>
  <c r="N2758" i="677"/>
  <c r="E2758" i="677" s="1"/>
  <c r="J2758" i="677" s="1"/>
  <c r="N2757" i="677"/>
  <c r="E2757" i="677" s="1"/>
  <c r="N2756" i="677"/>
  <c r="E2756" i="677" s="1"/>
  <c r="N2755" i="677"/>
  <c r="E2755" i="677" s="1"/>
  <c r="N2754" i="677"/>
  <c r="E2754" i="677" s="1"/>
  <c r="N2753" i="677"/>
  <c r="E2753" i="677" s="1"/>
  <c r="N2752" i="677"/>
  <c r="E2752" i="677" s="1"/>
  <c r="J2752" i="677" s="1"/>
  <c r="N2751" i="677"/>
  <c r="E2751" i="677" s="1"/>
  <c r="N2750" i="677"/>
  <c r="E2750" i="677" s="1"/>
  <c r="N2749" i="677"/>
  <c r="E2749" i="677" s="1"/>
  <c r="N2746" i="677"/>
  <c r="E2746" i="677" s="1"/>
  <c r="J2746" i="677" s="1"/>
  <c r="N2745" i="677"/>
  <c r="E2745" i="677" s="1"/>
  <c r="N2744" i="677"/>
  <c r="E2744" i="677" s="1"/>
  <c r="J2744" i="677" s="1"/>
  <c r="N2743" i="677"/>
  <c r="E2743" i="677" s="1"/>
  <c r="J2743" i="677" s="1"/>
  <c r="N2742" i="677"/>
  <c r="E2742" i="677" s="1"/>
  <c r="N2741" i="677"/>
  <c r="E2741" i="677" s="1"/>
  <c r="N2740" i="677"/>
  <c r="E2740" i="677" s="1"/>
  <c r="N2739" i="677"/>
  <c r="E2739" i="677" s="1"/>
  <c r="H2739" i="677" s="1"/>
  <c r="N2738" i="677"/>
  <c r="E2738" i="677" s="1"/>
  <c r="N2737" i="677"/>
  <c r="E2737" i="677" s="1"/>
  <c r="N2736" i="677"/>
  <c r="E2736" i="677" s="1"/>
  <c r="N2735" i="677"/>
  <c r="E2735" i="677" s="1"/>
  <c r="N2734" i="677"/>
  <c r="E2734" i="677" s="1"/>
  <c r="J2734" i="677" s="1"/>
  <c r="N2733" i="677"/>
  <c r="E2733" i="677" s="1"/>
  <c r="H2733" i="677" s="1"/>
  <c r="N2732" i="677"/>
  <c r="E2732" i="677" s="1"/>
  <c r="J2732" i="677" s="1"/>
  <c r="N2731" i="677"/>
  <c r="E2731" i="677" s="1"/>
  <c r="N2730" i="677"/>
  <c r="E2730" i="677" s="1"/>
  <c r="J2730" i="677" s="1"/>
  <c r="N2729" i="677"/>
  <c r="E2729" i="677" s="1"/>
  <c r="N2728" i="677"/>
  <c r="E2728" i="677" s="1"/>
  <c r="N2727" i="677"/>
  <c r="E2727" i="677" s="1"/>
  <c r="H2727" i="677" s="1"/>
  <c r="J2727" i="677"/>
  <c r="N2726" i="677"/>
  <c r="E2726" i="677" s="1"/>
  <c r="J2726" i="677" s="1"/>
  <c r="N2725" i="677"/>
  <c r="E2725" i="677" s="1"/>
  <c r="N2724" i="677"/>
  <c r="E2724" i="677" s="1"/>
  <c r="N2723" i="677"/>
  <c r="E2723" i="677" s="1"/>
  <c r="N2722" i="677"/>
  <c r="E2722" i="677" s="1"/>
  <c r="J2722" i="677" s="1"/>
  <c r="N2721" i="677"/>
  <c r="J2721" i="677"/>
  <c r="H2721" i="677"/>
  <c r="N2720" i="677"/>
  <c r="E2720" i="677" s="1"/>
  <c r="N2719" i="677"/>
  <c r="E2719" i="677" s="1"/>
  <c r="N2718" i="677"/>
  <c r="E2718" i="677" s="1"/>
  <c r="N2717" i="677"/>
  <c r="E2717" i="677" s="1"/>
  <c r="N2716" i="677"/>
  <c r="E2716" i="677" s="1"/>
  <c r="N2715" i="677"/>
  <c r="E2715" i="677" s="1"/>
  <c r="J2715" i="677" s="1"/>
  <c r="N2714" i="677"/>
  <c r="E2714" i="677" s="1"/>
  <c r="J2714" i="677" s="1"/>
  <c r="N2713" i="677"/>
  <c r="E2713" i="677" s="1"/>
  <c r="J2713" i="677" s="1"/>
  <c r="N2712" i="677"/>
  <c r="E2712" i="677" s="1"/>
  <c r="J2712" i="677" s="1"/>
  <c r="N2711" i="677"/>
  <c r="E2711" i="677" s="1"/>
  <c r="N2710" i="677"/>
  <c r="E2710" i="677" s="1"/>
  <c r="H2710" i="677" s="1"/>
  <c r="N2709" i="677"/>
  <c r="E2709" i="677" s="1"/>
  <c r="N2708" i="677"/>
  <c r="E2708" i="677" s="1"/>
  <c r="N2707" i="677"/>
  <c r="E2707" i="677" s="1"/>
  <c r="N2706" i="677"/>
  <c r="E2706" i="677" s="1"/>
  <c r="N2705" i="677"/>
  <c r="E2705" i="677" s="1"/>
  <c r="N2704" i="677"/>
  <c r="E2704" i="677" s="1"/>
  <c r="N2703" i="677"/>
  <c r="E2703" i="677" s="1"/>
  <c r="J2703" i="677" s="1"/>
  <c r="N2702" i="677"/>
  <c r="E2702" i="677" s="1"/>
  <c r="J2702" i="677" s="1"/>
  <c r="N2701" i="677"/>
  <c r="E2701" i="677" s="1"/>
  <c r="J2701" i="677" s="1"/>
  <c r="N2700" i="677"/>
  <c r="E2700" i="677" s="1"/>
  <c r="J2700" i="677" s="1"/>
  <c r="N2698" i="677"/>
  <c r="E2698" i="677" s="1"/>
  <c r="N2697" i="677"/>
  <c r="E2697" i="677" s="1"/>
  <c r="N2696" i="677"/>
  <c r="E2696" i="677" s="1"/>
  <c r="H2696" i="677" s="1"/>
  <c r="N2695" i="677"/>
  <c r="E2695" i="677" s="1"/>
  <c r="N2694" i="677"/>
  <c r="E2694" i="677"/>
  <c r="H2694" i="677" s="1"/>
  <c r="N2693" i="677"/>
  <c r="E2693" i="677" s="1"/>
  <c r="N2692" i="677"/>
  <c r="E2692" i="677" s="1"/>
  <c r="N2691" i="677"/>
  <c r="E2691" i="677" s="1"/>
  <c r="H2691" i="677" s="1"/>
  <c r="N2690" i="677"/>
  <c r="E2690" i="677" s="1"/>
  <c r="N2689" i="677"/>
  <c r="E2689" i="677" s="1"/>
  <c r="N2688" i="677"/>
  <c r="E2688" i="677" s="1"/>
  <c r="J2688" i="677" s="1"/>
  <c r="N2687" i="677"/>
  <c r="E2687" i="677" s="1"/>
  <c r="J2687" i="677" s="1"/>
  <c r="N2686" i="677"/>
  <c r="E2686" i="677" s="1"/>
  <c r="N2685" i="677"/>
  <c r="E2685" i="677" s="1"/>
  <c r="N2684" i="677"/>
  <c r="E2684" i="677" s="1"/>
  <c r="H2684" i="677" s="1"/>
  <c r="N2683" i="677"/>
  <c r="E2683" i="677"/>
  <c r="N2682" i="677"/>
  <c r="J2682" i="677"/>
  <c r="H2682" i="677"/>
  <c r="N2681" i="677"/>
  <c r="E2681" i="677" s="1"/>
  <c r="N2680" i="677"/>
  <c r="E2680" i="677" s="1"/>
  <c r="H2680" i="677" s="1"/>
  <c r="N2679" i="677"/>
  <c r="E2679" i="677" s="1"/>
  <c r="H2679" i="677" s="1"/>
  <c r="N2678" i="677"/>
  <c r="E2678" i="677" s="1"/>
  <c r="N2677" i="677"/>
  <c r="E2677" i="677" s="1"/>
  <c r="H2677" i="677" s="1"/>
  <c r="N2676" i="677"/>
  <c r="E2676" i="677" s="1"/>
  <c r="N2675" i="677"/>
  <c r="E2675" i="677" s="1"/>
  <c r="N2674" i="677"/>
  <c r="E2674" i="677" s="1"/>
  <c r="N2673" i="677"/>
  <c r="E2673" i="677" s="1"/>
  <c r="J2673" i="677" s="1"/>
  <c r="N2672" i="677"/>
  <c r="E2672" i="677" s="1"/>
  <c r="N2671" i="677"/>
  <c r="E2671" i="677" s="1"/>
  <c r="J2671" i="677" s="1"/>
  <c r="N2670" i="677"/>
  <c r="E2670" i="677" s="1"/>
  <c r="J2670" i="677" s="1"/>
  <c r="N2669" i="677"/>
  <c r="E2669" i="677" s="1"/>
  <c r="N2668" i="677"/>
  <c r="E2668" i="677" s="1"/>
  <c r="H2668" i="677" s="1"/>
  <c r="N2667" i="677"/>
  <c r="E2667" i="677" s="1"/>
  <c r="J2667" i="677" s="1"/>
  <c r="N2666" i="677"/>
  <c r="E2666" i="677" s="1"/>
  <c r="N2665" i="677"/>
  <c r="E2665" i="677" s="1"/>
  <c r="N2664" i="677"/>
  <c r="E2664" i="677" s="1"/>
  <c r="N2663" i="677"/>
  <c r="E2663" i="677" s="1"/>
  <c r="N2662" i="677"/>
  <c r="E2662" i="677" s="1"/>
  <c r="H2662" i="677" s="1"/>
  <c r="N2661" i="677"/>
  <c r="E2661" i="677" s="1"/>
  <c r="J2661" i="677" s="1"/>
  <c r="N2660" i="677"/>
  <c r="E2660" i="677"/>
  <c r="J2660" i="677" s="1"/>
  <c r="N2659" i="677"/>
  <c r="E2659" i="677" s="1"/>
  <c r="J2659" i="677" s="1"/>
  <c r="N2658" i="677"/>
  <c r="E2658" i="677" s="1"/>
  <c r="N2657" i="677"/>
  <c r="E2657" i="677" s="1"/>
  <c r="N2656" i="677"/>
  <c r="E2656" i="677" s="1"/>
  <c r="H2656" i="677" s="1"/>
  <c r="N2655" i="677"/>
  <c r="E2655" i="677" s="1"/>
  <c r="N2654" i="677"/>
  <c r="E2654" i="677"/>
  <c r="N2653" i="677"/>
  <c r="E2653" i="677" s="1"/>
  <c r="H2653" i="677" s="1"/>
  <c r="N2652" i="677"/>
  <c r="E2652" i="677" s="1"/>
  <c r="N2651" i="677"/>
  <c r="E2651" i="677" s="1"/>
  <c r="N2650" i="677"/>
  <c r="E2650" i="677" s="1"/>
  <c r="H2650" i="677" s="1"/>
  <c r="J2650" i="677"/>
  <c r="N2649" i="677"/>
  <c r="E2649" i="677" s="1"/>
  <c r="N2648" i="677"/>
  <c r="E2648" i="677"/>
  <c r="J2648" i="677" s="1"/>
  <c r="N2647" i="677"/>
  <c r="E2647" i="677" s="1"/>
  <c r="J2647" i="677" s="1"/>
  <c r="N2646" i="677"/>
  <c r="E2646" i="677" s="1"/>
  <c r="N2645" i="677"/>
  <c r="E2645" i="677" s="1"/>
  <c r="N2644" i="677"/>
  <c r="E2644" i="677" s="1"/>
  <c r="N2643" i="677"/>
  <c r="E2643" i="677" s="1"/>
  <c r="H2643" i="677" s="1"/>
  <c r="N2642" i="677"/>
  <c r="E2642" i="677" s="1"/>
  <c r="N2641" i="677"/>
  <c r="E2641" i="677"/>
  <c r="N2640" i="677"/>
  <c r="E2640" i="677" s="1"/>
  <c r="N2639" i="677"/>
  <c r="E2639" i="677" s="1"/>
  <c r="N2638" i="677"/>
  <c r="E2638" i="677" s="1"/>
  <c r="H2638" i="677" s="1"/>
  <c r="J2638" i="677"/>
  <c r="K2638" i="677" s="1"/>
  <c r="N2637" i="677"/>
  <c r="E2637" i="677" s="1"/>
  <c r="J2637" i="677" s="1"/>
  <c r="N2636" i="677"/>
  <c r="E2636" i="677" s="1"/>
  <c r="N2635" i="677"/>
  <c r="E2635" i="677"/>
  <c r="J2635" i="677" s="1"/>
  <c r="N2634" i="677"/>
  <c r="E2634" i="677" s="1"/>
  <c r="J2634" i="677" s="1"/>
  <c r="N2633" i="677"/>
  <c r="E2633" i="677" s="1"/>
  <c r="N2632" i="677"/>
  <c r="E2632" i="677" s="1"/>
  <c r="H2632" i="677" s="1"/>
  <c r="N2631" i="677"/>
  <c r="E2631" i="677" s="1"/>
  <c r="J2631" i="677" s="1"/>
  <c r="N2630" i="677"/>
  <c r="E2630" i="677" s="1"/>
  <c r="N2629" i="677"/>
  <c r="E2629" i="677"/>
  <c r="N2628" i="677"/>
  <c r="E2628" i="677" s="1"/>
  <c r="N2627" i="677"/>
  <c r="E2627" i="677" s="1"/>
  <c r="N2626" i="677"/>
  <c r="E2626" i="677"/>
  <c r="H2626" i="677" s="1"/>
  <c r="N2625" i="677"/>
  <c r="E2625" i="677" s="1"/>
  <c r="H2625" i="677" s="1"/>
  <c r="N2624" i="677"/>
  <c r="E2624" i="677" s="1"/>
  <c r="N2623" i="677"/>
  <c r="E2623" i="677"/>
  <c r="H2623" i="677" s="1"/>
  <c r="N2622" i="677"/>
  <c r="E2622" i="677" s="1"/>
  <c r="J2622" i="677" s="1"/>
  <c r="N2621" i="677"/>
  <c r="E2621" i="677" s="1"/>
  <c r="N2620" i="677"/>
  <c r="J2620" i="677"/>
  <c r="H2620" i="677"/>
  <c r="N2619" i="677"/>
  <c r="E2619" i="677" s="1"/>
  <c r="N2618" i="677"/>
  <c r="E2618" i="677" s="1"/>
  <c r="N2617" i="677"/>
  <c r="E2617" i="677" s="1"/>
  <c r="J2617" i="677" s="1"/>
  <c r="N2616" i="677"/>
  <c r="E2616" i="677" s="1"/>
  <c r="N2615" i="677"/>
  <c r="E2615" i="677"/>
  <c r="H2615" i="677" s="1"/>
  <c r="N2614" i="677"/>
  <c r="E2614" i="677" s="1"/>
  <c r="J2614" i="677" s="1"/>
  <c r="N2613" i="677"/>
  <c r="E2613" i="677" s="1"/>
  <c r="J2613" i="677" s="1"/>
  <c r="N2612" i="677"/>
  <c r="E2612" i="677" s="1"/>
  <c r="N2611" i="677"/>
  <c r="E2611" i="677" s="1"/>
  <c r="J2611" i="677" s="1"/>
  <c r="H2611" i="677"/>
  <c r="K2611" i="677" s="1"/>
  <c r="N2610" i="677"/>
  <c r="E2610" i="677" s="1"/>
  <c r="N2609" i="677"/>
  <c r="E2609" i="677" s="1"/>
  <c r="N2608" i="677"/>
  <c r="E2608" i="677" s="1"/>
  <c r="J2608" i="677" s="1"/>
  <c r="H2608" i="677"/>
  <c r="N2607" i="677"/>
  <c r="E2607" i="677" s="1"/>
  <c r="J2607" i="677" s="1"/>
  <c r="N2606" i="677"/>
  <c r="E2606" i="677" s="1"/>
  <c r="N2605" i="677"/>
  <c r="E2605" i="677" s="1"/>
  <c r="J2605" i="677" s="1"/>
  <c r="N2604" i="677"/>
  <c r="E2604" i="677" s="1"/>
  <c r="N2603" i="677"/>
  <c r="E2603" i="677" s="1"/>
  <c r="H2603" i="677" s="1"/>
  <c r="N2602" i="677"/>
  <c r="E2602" i="677" s="1"/>
  <c r="J2602" i="677" s="1"/>
  <c r="N2601" i="677"/>
  <c r="E2601" i="677" s="1"/>
  <c r="J2601" i="677" s="1"/>
  <c r="N2600" i="677"/>
  <c r="E2600" i="677" s="1"/>
  <c r="N2599" i="677"/>
  <c r="E2599" i="677" s="1"/>
  <c r="J2599" i="677" s="1"/>
  <c r="N2598" i="677"/>
  <c r="E2598" i="677" s="1"/>
  <c r="N2597" i="677"/>
  <c r="E2597" i="677" s="1"/>
  <c r="N2596" i="677"/>
  <c r="E2596" i="677" s="1"/>
  <c r="H2596" i="677" s="1"/>
  <c r="J2596" i="677"/>
  <c r="N2595" i="677"/>
  <c r="E2595" i="677" s="1"/>
  <c r="J2595" i="677" s="1"/>
  <c r="N2594" i="677"/>
  <c r="E2594" i="677"/>
  <c r="N2593" i="677"/>
  <c r="E2593" i="677" s="1"/>
  <c r="J2593" i="677" s="1"/>
  <c r="N2592" i="677"/>
  <c r="E2592" i="677" s="1"/>
  <c r="N2591" i="677"/>
  <c r="E2591" i="677" s="1"/>
  <c r="H2591" i="677" s="1"/>
  <c r="J2591" i="677"/>
  <c r="K2591" i="677" s="1"/>
  <c r="N2590" i="677"/>
  <c r="E2590" i="677" s="1"/>
  <c r="H2590" i="677" s="1"/>
  <c r="N2589" i="677"/>
  <c r="E2589" i="677" s="1"/>
  <c r="N2588" i="677"/>
  <c r="E2588" i="677" s="1"/>
  <c r="H2588" i="677" s="1"/>
  <c r="N2587" i="677"/>
  <c r="E2587" i="677" s="1"/>
  <c r="J2587" i="677" s="1"/>
  <c r="N2586" i="677"/>
  <c r="E2586" i="677" s="1"/>
  <c r="N2585" i="677"/>
  <c r="E2585" i="677" s="1"/>
  <c r="N2584" i="677"/>
  <c r="E2584" i="677" s="1"/>
  <c r="J2584" i="677" s="1"/>
  <c r="N2583" i="677"/>
  <c r="E2583" i="677" s="1"/>
  <c r="N2582" i="677"/>
  <c r="J2582" i="677"/>
  <c r="H2582" i="677"/>
  <c r="K2582" i="677" s="1"/>
  <c r="N2581" i="677"/>
  <c r="E2581" i="677" s="1"/>
  <c r="N2580" i="677"/>
  <c r="E2580" i="677" s="1"/>
  <c r="J2580" i="677" s="1"/>
  <c r="N2579" i="677"/>
  <c r="E2579" i="677" s="1"/>
  <c r="N2578" i="677"/>
  <c r="E2578" i="677" s="1"/>
  <c r="N2577" i="677"/>
  <c r="E2577" i="677" s="1"/>
  <c r="N2576" i="677"/>
  <c r="E2576" i="677" s="1"/>
  <c r="N2575" i="677"/>
  <c r="E2575" i="677"/>
  <c r="J2575" i="677" s="1"/>
  <c r="N2574" i="677"/>
  <c r="E2574" i="677" s="1"/>
  <c r="H2574" i="677" s="1"/>
  <c r="N2573" i="677"/>
  <c r="E2573" i="677" s="1"/>
  <c r="J2573" i="677" s="1"/>
  <c r="J2572" i="677"/>
  <c r="H2572" i="677"/>
  <c r="K2572" i="677" s="1"/>
  <c r="N2571" i="677"/>
  <c r="J2571" i="677"/>
  <c r="H2571" i="677"/>
  <c r="N2570" i="677"/>
  <c r="N2569" i="677"/>
  <c r="E2569" i="677" s="1"/>
  <c r="N2568" i="677"/>
  <c r="E2568" i="677" s="1"/>
  <c r="N2567" i="677"/>
  <c r="E2567" i="677"/>
  <c r="N2566" i="677"/>
  <c r="E2566" i="677" s="1"/>
  <c r="H2566" i="677" s="1"/>
  <c r="N2565" i="677"/>
  <c r="E2565" i="677" s="1"/>
  <c r="N2564" i="677"/>
  <c r="E2564" i="677" s="1"/>
  <c r="J2564" i="677" s="1"/>
  <c r="N2563" i="677"/>
  <c r="E2563" i="677" s="1"/>
  <c r="N2562" i="677"/>
  <c r="E2562" i="677" s="1"/>
  <c r="N2561" i="677"/>
  <c r="E2561" i="677" s="1"/>
  <c r="N2560" i="677"/>
  <c r="E2560" i="677" s="1"/>
  <c r="N2559" i="677"/>
  <c r="E2559" i="677" s="1"/>
  <c r="J2559" i="677" s="1"/>
  <c r="N2558" i="677"/>
  <c r="E2558" i="677" s="1"/>
  <c r="J2558" i="677" s="1"/>
  <c r="N2557" i="677"/>
  <c r="E2557" i="677"/>
  <c r="H2557" i="677" s="1"/>
  <c r="N2556" i="677"/>
  <c r="E2556" i="677" s="1"/>
  <c r="N2555" i="677"/>
  <c r="E2555" i="677" s="1"/>
  <c r="N2554" i="677"/>
  <c r="E2554" i="677" s="1"/>
  <c r="H2554" i="677" s="1"/>
  <c r="N2553" i="677"/>
  <c r="E2553" i="677" s="1"/>
  <c r="N2552" i="677"/>
  <c r="E2552" i="677" s="1"/>
  <c r="N2551" i="677"/>
  <c r="E2551" i="677" s="1"/>
  <c r="N2550" i="677"/>
  <c r="E2550" i="677" s="1"/>
  <c r="J2550" i="677" s="1"/>
  <c r="N2549" i="677"/>
  <c r="E2549" i="677" s="1"/>
  <c r="N2548" i="677"/>
  <c r="E2548" i="677" s="1"/>
  <c r="N2547" i="677"/>
  <c r="E2547" i="677" s="1"/>
  <c r="J2547" i="677" s="1"/>
  <c r="N2546" i="677"/>
  <c r="E2546" i="677" s="1"/>
  <c r="J2546" i="677" s="1"/>
  <c r="N2545" i="677"/>
  <c r="E2545" i="677" s="1"/>
  <c r="J2545" i="677" s="1"/>
  <c r="H2545" i="677"/>
  <c r="K2545" i="677" s="1"/>
  <c r="N2544" i="677"/>
  <c r="E2544" i="677" s="1"/>
  <c r="N2543" i="677"/>
  <c r="E2543" i="677" s="1"/>
  <c r="N2542" i="677"/>
  <c r="E2542" i="677" s="1"/>
  <c r="N2541" i="677"/>
  <c r="E2541" i="677" s="1"/>
  <c r="N2540" i="677"/>
  <c r="E2540" i="677" s="1"/>
  <c r="N2539" i="677"/>
  <c r="E2539" i="677" s="1"/>
  <c r="N2538" i="677"/>
  <c r="E2538" i="677" s="1"/>
  <c r="N2537" i="677"/>
  <c r="E2537" i="677" s="1"/>
  <c r="N2536" i="677"/>
  <c r="E2536" i="677" s="1"/>
  <c r="N2535" i="677"/>
  <c r="E2535" i="677" s="1"/>
  <c r="J2535" i="677" s="1"/>
  <c r="N2534" i="677"/>
  <c r="E2534" i="677" s="1"/>
  <c r="J2534" i="677" s="1"/>
  <c r="N2533" i="677"/>
  <c r="E2533" i="677" s="1"/>
  <c r="N2532" i="677"/>
  <c r="E2532" i="677" s="1"/>
  <c r="N2531" i="677"/>
  <c r="E2531" i="677"/>
  <c r="N2530" i="677"/>
  <c r="E2530" i="677" s="1"/>
  <c r="H2530" i="677" s="1"/>
  <c r="N2529" i="677"/>
  <c r="E2529" i="677" s="1"/>
  <c r="N2528" i="677"/>
  <c r="E2528" i="677" s="1"/>
  <c r="J2528" i="677" s="1"/>
  <c r="N2527" i="677"/>
  <c r="E2527" i="677" s="1"/>
  <c r="N2526" i="677"/>
  <c r="E2526" i="677" s="1"/>
  <c r="N2525" i="677"/>
  <c r="E2525" i="677" s="1"/>
  <c r="N2524" i="677"/>
  <c r="E2524" i="677" s="1"/>
  <c r="N2523" i="677"/>
  <c r="E2523" i="677" s="1"/>
  <c r="J2523" i="677" s="1"/>
  <c r="N2522" i="677"/>
  <c r="E2522" i="677" s="1"/>
  <c r="J2522" i="677" s="1"/>
  <c r="N2521" i="677"/>
  <c r="E2521" i="677" s="1"/>
  <c r="N2520" i="677"/>
  <c r="E2520" i="677" s="1"/>
  <c r="N2519" i="677"/>
  <c r="E2519" i="677"/>
  <c r="N2518" i="677"/>
  <c r="E2518" i="677" s="1"/>
  <c r="H2518" i="677" s="1"/>
  <c r="J2518" i="677"/>
  <c r="K2518" i="677" s="1"/>
  <c r="N2517" i="677"/>
  <c r="E2517" i="677" s="1"/>
  <c r="N2516" i="677"/>
  <c r="E2516" i="677" s="1"/>
  <c r="H2516" i="677" s="1"/>
  <c r="N2515" i="677"/>
  <c r="J2515" i="677"/>
  <c r="H2515" i="677"/>
  <c r="K2515" i="677" s="1"/>
  <c r="N2514" i="677"/>
  <c r="E2514" i="677" s="1"/>
  <c r="N2513" i="677"/>
  <c r="E2513" i="677" s="1"/>
  <c r="N2512" i="677"/>
  <c r="E2512" i="677" s="1"/>
  <c r="N2511" i="677"/>
  <c r="E2511" i="677" s="1"/>
  <c r="N2510" i="677"/>
  <c r="E2510" i="677"/>
  <c r="H2510" i="677" s="1"/>
  <c r="N2509" i="677"/>
  <c r="E2509" i="677"/>
  <c r="N2508" i="677"/>
  <c r="E2508" i="677" s="1"/>
  <c r="N2507" i="677"/>
  <c r="E2507" i="677" s="1"/>
  <c r="N2506" i="677"/>
  <c r="E2506" i="677" s="1"/>
  <c r="J2506" i="677" s="1"/>
  <c r="N2505" i="677"/>
  <c r="E2505" i="677" s="1"/>
  <c r="J2505" i="677" s="1"/>
  <c r="N2504" i="677"/>
  <c r="E2504" i="677" s="1"/>
  <c r="J2504" i="677" s="1"/>
  <c r="N2503" i="677"/>
  <c r="E2503" i="677" s="1"/>
  <c r="N2502" i="677"/>
  <c r="E2502" i="677" s="1"/>
  <c r="N2501" i="677"/>
  <c r="E2501" i="677" s="1"/>
  <c r="H2501" i="677" s="1"/>
  <c r="N2500" i="677"/>
  <c r="E2500" i="677" s="1"/>
  <c r="N2499" i="677"/>
  <c r="E2499" i="677" s="1"/>
  <c r="J2499" i="677" s="1"/>
  <c r="N2498" i="677"/>
  <c r="E2498" i="677" s="1"/>
  <c r="J2498" i="677" s="1"/>
  <c r="N2497" i="677"/>
  <c r="E2497" i="677" s="1"/>
  <c r="J2497" i="677" s="1"/>
  <c r="N2496" i="677"/>
  <c r="E2496" i="677" s="1"/>
  <c r="N2495" i="677"/>
  <c r="E2495" i="677" s="1"/>
  <c r="N2494" i="677"/>
  <c r="E2494" i="677" s="1"/>
  <c r="J2494" i="677" s="1"/>
  <c r="N2493" i="677"/>
  <c r="E2493" i="677" s="1"/>
  <c r="J2493" i="677" s="1"/>
  <c r="N2492" i="677"/>
  <c r="E2492" i="677" s="1"/>
  <c r="N2491" i="677"/>
  <c r="E2491" i="677" s="1"/>
  <c r="N2490" i="677"/>
  <c r="E2490" i="677" s="1"/>
  <c r="N2489" i="677"/>
  <c r="E2489" i="677" s="1"/>
  <c r="N2488" i="677"/>
  <c r="E2488" i="677" s="1"/>
  <c r="N2487" i="677"/>
  <c r="E2487" i="677" s="1"/>
  <c r="N2486" i="677"/>
  <c r="E2486" i="677" s="1"/>
  <c r="N2485" i="677"/>
  <c r="E2485" i="677" s="1"/>
  <c r="N2484" i="677"/>
  <c r="E2484" i="677" s="1"/>
  <c r="N2483" i="677"/>
  <c r="E2483" i="677" s="1"/>
  <c r="N2482" i="677"/>
  <c r="E2482" i="677" s="1"/>
  <c r="J2482" i="677" s="1"/>
  <c r="N2481" i="677"/>
  <c r="E2481" i="677" s="1"/>
  <c r="J2481" i="677" s="1"/>
  <c r="N2480" i="677"/>
  <c r="E2480" i="677"/>
  <c r="N2479" i="677"/>
  <c r="E2479" i="677" s="1"/>
  <c r="N2478" i="677"/>
  <c r="E2478" i="677" s="1"/>
  <c r="N2477" i="677"/>
  <c r="J2477" i="677"/>
  <c r="H2477" i="677"/>
  <c r="N2476" i="677"/>
  <c r="E2476" i="677" s="1"/>
  <c r="J2476" i="677" s="1"/>
  <c r="N2475" i="677"/>
  <c r="E2475" i="677" s="1"/>
  <c r="N2474" i="677"/>
  <c r="E2474" i="677" s="1"/>
  <c r="N2473" i="677"/>
  <c r="E2473" i="677" s="1"/>
  <c r="N2472" i="677"/>
  <c r="E2472" i="677" s="1"/>
  <c r="H2472" i="677" s="1"/>
  <c r="N2471" i="677"/>
  <c r="E2471" i="677" s="1"/>
  <c r="N2470" i="677"/>
  <c r="E2470" i="677" s="1"/>
  <c r="H2470" i="677" s="1"/>
  <c r="N2469" i="677"/>
  <c r="E2469" i="677" s="1"/>
  <c r="N2468" i="677"/>
  <c r="E2468" i="677"/>
  <c r="N2467" i="677"/>
  <c r="E2467" i="677" s="1"/>
  <c r="N2466" i="677"/>
  <c r="E2466" i="677" s="1"/>
  <c r="N2465" i="677"/>
  <c r="E2465" i="677" s="1"/>
  <c r="H2465" i="677" s="1"/>
  <c r="J2465" i="677"/>
  <c r="N2464" i="677"/>
  <c r="E2464" i="677" s="1"/>
  <c r="J2464" i="677" s="1"/>
  <c r="N2463" i="677"/>
  <c r="E2463" i="677" s="1"/>
  <c r="N2462" i="677"/>
  <c r="E2462" i="677" s="1"/>
  <c r="N2461" i="677"/>
  <c r="E2461" i="677" s="1"/>
  <c r="N2460" i="677"/>
  <c r="E2460" i="677" s="1"/>
  <c r="H2460" i="677" s="1"/>
  <c r="N2459" i="677"/>
  <c r="E2459" i="677" s="1"/>
  <c r="N2458" i="677"/>
  <c r="E2458" i="677"/>
  <c r="N2457" i="677"/>
  <c r="E2457" i="677" s="1"/>
  <c r="N2456" i="677"/>
  <c r="E2456" i="677" s="1"/>
  <c r="N2455" i="677"/>
  <c r="E2455" i="677" s="1"/>
  <c r="N2454" i="677"/>
  <c r="E2454" i="677" s="1"/>
  <c r="N2453" i="677"/>
  <c r="E2453" i="677" s="1"/>
  <c r="J2453" i="677" s="1"/>
  <c r="N2452" i="677"/>
  <c r="E2452" i="677" s="1"/>
  <c r="J2452" i="677" s="1"/>
  <c r="N2451" i="677"/>
  <c r="E2451" i="677" s="1"/>
  <c r="N2450" i="677"/>
  <c r="E2450" i="677" s="1"/>
  <c r="N2449" i="677"/>
  <c r="E2449" i="677" s="1"/>
  <c r="N2448" i="677"/>
  <c r="E2448" i="677" s="1"/>
  <c r="H2448" i="677" s="1"/>
  <c r="N2447" i="677"/>
  <c r="E2447" i="677" s="1"/>
  <c r="N2446" i="677"/>
  <c r="E2446" i="677" s="1"/>
  <c r="N2445" i="677"/>
  <c r="E2445" i="677" s="1"/>
  <c r="N2444" i="677"/>
  <c r="E2444" i="677" s="1"/>
  <c r="N2443" i="677"/>
  <c r="E2443" i="677" s="1"/>
  <c r="N2442" i="677"/>
  <c r="E2442" i="677" s="1"/>
  <c r="N2441" i="677"/>
  <c r="E2441" i="677" s="1"/>
  <c r="N2440" i="677"/>
  <c r="E2440" i="677" s="1"/>
  <c r="N2439" i="677"/>
  <c r="E2439" i="677" s="1"/>
  <c r="H2439" i="677" s="1"/>
  <c r="N2438" i="677"/>
  <c r="E2438" i="677" s="1"/>
  <c r="N2437" i="677"/>
  <c r="E2437" i="677" s="1"/>
  <c r="N2436" i="677"/>
  <c r="E2436" i="677" s="1"/>
  <c r="N2435" i="677"/>
  <c r="E2435" i="677" s="1"/>
  <c r="N2434" i="677"/>
  <c r="E2434" i="677" s="1"/>
  <c r="N2433" i="677"/>
  <c r="E2433" i="677" s="1"/>
  <c r="J2433" i="677" s="1"/>
  <c r="N2432" i="677"/>
  <c r="E2432" i="677" s="1"/>
  <c r="N2431" i="677"/>
  <c r="E2431" i="677" s="1"/>
  <c r="N2430" i="677"/>
  <c r="E2430" i="677" s="1"/>
  <c r="J2430" i="677" s="1"/>
  <c r="N2429" i="677"/>
  <c r="E2429" i="677" s="1"/>
  <c r="N2428" i="677"/>
  <c r="E2428" i="677" s="1"/>
  <c r="N2427" i="677"/>
  <c r="E2427" i="677" s="1"/>
  <c r="J2427" i="677" s="1"/>
  <c r="N2426" i="677"/>
  <c r="E2426" i="677" s="1"/>
  <c r="J2426" i="677" s="1"/>
  <c r="N2425" i="677"/>
  <c r="E2425" i="677" s="1"/>
  <c r="N2424" i="677"/>
  <c r="E2424" i="677" s="1"/>
  <c r="J2424" i="677" s="1"/>
  <c r="H2424" i="677"/>
  <c r="K2424" i="677" s="1"/>
  <c r="N2423" i="677"/>
  <c r="E2423" i="677" s="1"/>
  <c r="N2422" i="677"/>
  <c r="E2422" i="677" s="1"/>
  <c r="N2421" i="677"/>
  <c r="E2421" i="677" s="1"/>
  <c r="N2420" i="677"/>
  <c r="E2420" i="677" s="1"/>
  <c r="J2420" i="677" s="1"/>
  <c r="H2420" i="677"/>
  <c r="K2420" i="677" s="1"/>
  <c r="N2419" i="677"/>
  <c r="E2419" i="677" s="1"/>
  <c r="H2419" i="677" s="1"/>
  <c r="N2418" i="677"/>
  <c r="E2418" i="677" s="1"/>
  <c r="N2417" i="677"/>
  <c r="E2417" i="677" s="1"/>
  <c r="N2416" i="677"/>
  <c r="E2416" i="677" s="1"/>
  <c r="H2416" i="677" s="1"/>
  <c r="N2415" i="677"/>
  <c r="J2415" i="677"/>
  <c r="H2415" i="677"/>
  <c r="N2414" i="677"/>
  <c r="E2414" i="677" s="1"/>
  <c r="N2413" i="677"/>
  <c r="E2413" i="677" s="1"/>
  <c r="N2412" i="677"/>
  <c r="E2412" i="677" s="1"/>
  <c r="N2411" i="677"/>
  <c r="E2411" i="677" s="1"/>
  <c r="N2410" i="677"/>
  <c r="E2410" i="677" s="1"/>
  <c r="J2410" i="677" s="1"/>
  <c r="N2409" i="677"/>
  <c r="E2409" i="677" s="1"/>
  <c r="J2409" i="677" s="1"/>
  <c r="N2408" i="677"/>
  <c r="E2408" i="677" s="1"/>
  <c r="N2407" i="677"/>
  <c r="E2407" i="677" s="1"/>
  <c r="J2407" i="677" s="1"/>
  <c r="N2406" i="677"/>
  <c r="E2406" i="677" s="1"/>
  <c r="N2405" i="677"/>
  <c r="E2405" i="677" s="1"/>
  <c r="N2404" i="677"/>
  <c r="E2404" i="677" s="1"/>
  <c r="N2403" i="677"/>
  <c r="E2403" i="677" s="1"/>
  <c r="J2403" i="677" s="1"/>
  <c r="N2402" i="677"/>
  <c r="E2402" i="677" s="1"/>
  <c r="N2401" i="677"/>
  <c r="E2401" i="677" s="1"/>
  <c r="N2400" i="677"/>
  <c r="E2400" i="677" s="1"/>
  <c r="N2399" i="677"/>
  <c r="E2399" i="677" s="1"/>
  <c r="N2398" i="677"/>
  <c r="E2398" i="677" s="1"/>
  <c r="H2398" i="677" s="1"/>
  <c r="N2397" i="677"/>
  <c r="E2397" i="677" s="1"/>
  <c r="J2397" i="677" s="1"/>
  <c r="N2396" i="677"/>
  <c r="E2396" i="677" s="1"/>
  <c r="N2395" i="677"/>
  <c r="E2395" i="677" s="1"/>
  <c r="N2394" i="677"/>
  <c r="E2394" i="677" s="1"/>
  <c r="N2393" i="677"/>
  <c r="E2393" i="677" s="1"/>
  <c r="N2392" i="677"/>
  <c r="E2392" i="677" s="1"/>
  <c r="N2391" i="677"/>
  <c r="E2391" i="677" s="1"/>
  <c r="N2390" i="677"/>
  <c r="E2390" i="677"/>
  <c r="H2390" i="677" s="1"/>
  <c r="N2389" i="677"/>
  <c r="E2389" i="677" s="1"/>
  <c r="N2387" i="677"/>
  <c r="E2387" i="677" s="1"/>
  <c r="N2386" i="677"/>
  <c r="E2386" i="677"/>
  <c r="N2385" i="677"/>
  <c r="E2385" i="677" s="1"/>
  <c r="H2385" i="677" s="1"/>
  <c r="N2384" i="677"/>
  <c r="E2384" i="677" s="1"/>
  <c r="J2384" i="677" s="1"/>
  <c r="N2383" i="677"/>
  <c r="E2383" i="677" s="1"/>
  <c r="N2382" i="677"/>
  <c r="E2382" i="677" s="1"/>
  <c r="N2381" i="677"/>
  <c r="E2381" i="677" s="1"/>
  <c r="N2380" i="677"/>
  <c r="E2380" i="677" s="1"/>
  <c r="N2379" i="677"/>
  <c r="E2379" i="677" s="1"/>
  <c r="N2378" i="677"/>
  <c r="E2378" i="677" s="1"/>
  <c r="J2378" i="677" s="1"/>
  <c r="N2377" i="677"/>
  <c r="E2377" i="677"/>
  <c r="N2376" i="677"/>
  <c r="J2376" i="677"/>
  <c r="H2376" i="677"/>
  <c r="N2375" i="677"/>
  <c r="E2375" i="677" s="1"/>
  <c r="N2374" i="677"/>
  <c r="E2374" i="677" s="1"/>
  <c r="N2373" i="677"/>
  <c r="E2373" i="677" s="1"/>
  <c r="J2373" i="677" s="1"/>
  <c r="N2372" i="677"/>
  <c r="E2372" i="677" s="1"/>
  <c r="H2372" i="677" s="1"/>
  <c r="N2371" i="677"/>
  <c r="E2371" i="677" s="1"/>
  <c r="N2370" i="677"/>
  <c r="E2370" i="677" s="1"/>
  <c r="N2369" i="677"/>
  <c r="E2369" i="677" s="1"/>
  <c r="H2369" i="677" s="1"/>
  <c r="N2368" i="677"/>
  <c r="E2368" i="677" s="1"/>
  <c r="N2367" i="677"/>
  <c r="E2367" i="677" s="1"/>
  <c r="J2367" i="677" s="1"/>
  <c r="J2366" i="677"/>
  <c r="H2366" i="677"/>
  <c r="N2365" i="677"/>
  <c r="J2365" i="677"/>
  <c r="H2365" i="677"/>
  <c r="K2365" i="677" s="1"/>
  <c r="N2364" i="677"/>
  <c r="E2364" i="677" s="1"/>
  <c r="N2363" i="677"/>
  <c r="E2363" i="677" s="1"/>
  <c r="H2363" i="677" s="1"/>
  <c r="N2362" i="677"/>
  <c r="E2362" i="677" s="1"/>
  <c r="N2361" i="677"/>
  <c r="E2361" i="677" s="1"/>
  <c r="N2360" i="677"/>
  <c r="E2360" i="677"/>
  <c r="N2359" i="677"/>
  <c r="E2359" i="677" s="1"/>
  <c r="N2358" i="677"/>
  <c r="E2358" i="677" s="1"/>
  <c r="N2357" i="677"/>
  <c r="E2357" i="677" s="1"/>
  <c r="N2356" i="677"/>
  <c r="E2356" i="677" s="1"/>
  <c r="J2356" i="677" s="1"/>
  <c r="N2355" i="677"/>
  <c r="E2355" i="677" s="1"/>
  <c r="J2355" i="677" s="1"/>
  <c r="N2354" i="677"/>
  <c r="E2354" i="677" s="1"/>
  <c r="N2353" i="677"/>
  <c r="E2353" i="677" s="1"/>
  <c r="N2352" i="677"/>
  <c r="E2352" i="677" s="1"/>
  <c r="N2351" i="677"/>
  <c r="E2351" i="677" s="1"/>
  <c r="N2350" i="677"/>
  <c r="E2350" i="677" s="1"/>
  <c r="J2350" i="677" s="1"/>
  <c r="H2350" i="677"/>
  <c r="N2349" i="677"/>
  <c r="E2349" i="677"/>
  <c r="N2348" i="677"/>
  <c r="E2348" i="677" s="1"/>
  <c r="N2347" i="677"/>
  <c r="E2347" i="677" s="1"/>
  <c r="J2347" i="677" s="1"/>
  <c r="N2346" i="677"/>
  <c r="E2346" i="677" s="1"/>
  <c r="N2345" i="677"/>
  <c r="E2345" i="677" s="1"/>
  <c r="N2344" i="677"/>
  <c r="E2344" i="677" s="1"/>
  <c r="J2344" i="677" s="1"/>
  <c r="N2343" i="677"/>
  <c r="E2343" i="677" s="1"/>
  <c r="N2342" i="677"/>
  <c r="E2342" i="677" s="1"/>
  <c r="N2341" i="677"/>
  <c r="E2341" i="677" s="1"/>
  <c r="N2340" i="677"/>
  <c r="E2340" i="677" s="1"/>
  <c r="N2339" i="677"/>
  <c r="E2339" i="677" s="1"/>
  <c r="N2338" i="677"/>
  <c r="E2338" i="677" s="1"/>
  <c r="N2337" i="677"/>
  <c r="E2337" i="677" s="1"/>
  <c r="N2336" i="677"/>
  <c r="E2336" i="677" s="1"/>
  <c r="N2335" i="677"/>
  <c r="E2335" i="677" s="1"/>
  <c r="J2335" i="677" s="1"/>
  <c r="N2334" i="677"/>
  <c r="E2334" i="677" s="1"/>
  <c r="N2333" i="677"/>
  <c r="E2333" i="677" s="1"/>
  <c r="N2332" i="677"/>
  <c r="E2332" i="677" s="1"/>
  <c r="J2332" i="677" s="1"/>
  <c r="N2331" i="677"/>
  <c r="E2331" i="677" s="1"/>
  <c r="J2331" i="677" s="1"/>
  <c r="N2330" i="677"/>
  <c r="E2330" i="677" s="1"/>
  <c r="N2329" i="677"/>
  <c r="E2329" i="677" s="1"/>
  <c r="N2328" i="677"/>
  <c r="E2328" i="677"/>
  <c r="N2327" i="677"/>
  <c r="E2327" i="677" s="1"/>
  <c r="N2326" i="677"/>
  <c r="E2326" i="677" s="1"/>
  <c r="N2325" i="677"/>
  <c r="E2325" i="677" s="1"/>
  <c r="N2324" i="677"/>
  <c r="E2324" i="677" s="1"/>
  <c r="N2323" i="677"/>
  <c r="E2323" i="677" s="1"/>
  <c r="N2322" i="677"/>
  <c r="E2322" i="677" s="1"/>
  <c r="N2321" i="677"/>
  <c r="E2321" i="677" s="1"/>
  <c r="N2320" i="677"/>
  <c r="E2320" i="677" s="1"/>
  <c r="J2320" i="677" s="1"/>
  <c r="N2319" i="677"/>
  <c r="E2319" i="677" s="1"/>
  <c r="J2319" i="677" s="1"/>
  <c r="N2318" i="677"/>
  <c r="E2318" i="677" s="1"/>
  <c r="H2318" i="677" s="1"/>
  <c r="N2317" i="677"/>
  <c r="E2317" i="677" s="1"/>
  <c r="N2316" i="677"/>
  <c r="E2316" i="677" s="1"/>
  <c r="N2315" i="677"/>
  <c r="E2315" i="677" s="1"/>
  <c r="H2315" i="677" s="1"/>
  <c r="N2314" i="677"/>
  <c r="E2314" i="677" s="1"/>
  <c r="N2313" i="677"/>
  <c r="E2313" i="677" s="1"/>
  <c r="N2312" i="677"/>
  <c r="E2312" i="677" s="1"/>
  <c r="N2311" i="677"/>
  <c r="E2311" i="677" s="1"/>
  <c r="J2311" i="677" s="1"/>
  <c r="N2310" i="677"/>
  <c r="E2310" i="677" s="1"/>
  <c r="N2309" i="677"/>
  <c r="E2309" i="677" s="1"/>
  <c r="N2308" i="677"/>
  <c r="J2308" i="677"/>
  <c r="H2308" i="677"/>
  <c r="K2308" i="677" s="1"/>
  <c r="N2307" i="677"/>
  <c r="E2307" i="677" s="1"/>
  <c r="N2306" i="677"/>
  <c r="E2306" i="677" s="1"/>
  <c r="J2306" i="677" s="1"/>
  <c r="N2305" i="677"/>
  <c r="E2305" i="677" s="1"/>
  <c r="N2304" i="677"/>
  <c r="E2304" i="677" s="1"/>
  <c r="N2303" i="677"/>
  <c r="E2303" i="677" s="1"/>
  <c r="J2303" i="677" s="1"/>
  <c r="N2302" i="677"/>
  <c r="E2302" i="677" s="1"/>
  <c r="N2301" i="677"/>
  <c r="E2301" i="677" s="1"/>
  <c r="N2300" i="677"/>
  <c r="E2300" i="677" s="1"/>
  <c r="N2299" i="677"/>
  <c r="E2299" i="677" s="1"/>
  <c r="N2298" i="677"/>
  <c r="E2298" i="677"/>
  <c r="H2298" i="677" s="1"/>
  <c r="N2297" i="677"/>
  <c r="E2297" i="677" s="1"/>
  <c r="J2297" i="677" s="1"/>
  <c r="N2296" i="677"/>
  <c r="E2296" i="677" s="1"/>
  <c r="N2295" i="677"/>
  <c r="E2295" i="677" s="1"/>
  <c r="N2294" i="677"/>
  <c r="E2294" i="677" s="1"/>
  <c r="J2294" i="677" s="1"/>
  <c r="N2293" i="677"/>
  <c r="E2293" i="677" s="1"/>
  <c r="N2291" i="677"/>
  <c r="E2291" i="677" s="1"/>
  <c r="N2290" i="677"/>
  <c r="E2290" i="677" s="1"/>
  <c r="J2290" i="677" s="1"/>
  <c r="N2289" i="677"/>
  <c r="E2289" i="677" s="1"/>
  <c r="J2289" i="677" s="1"/>
  <c r="N2288" i="677"/>
  <c r="E2288" i="677" s="1"/>
  <c r="N2287" i="677"/>
  <c r="E2287" i="677" s="1"/>
  <c r="N2286" i="677"/>
  <c r="E2286" i="677" s="1"/>
  <c r="N2285" i="677"/>
  <c r="E2285" i="677" s="1"/>
  <c r="N2284" i="677"/>
  <c r="E2284" i="677" s="1"/>
  <c r="J2284" i="677" s="1"/>
  <c r="N2283" i="677"/>
  <c r="E2283" i="677" s="1"/>
  <c r="N2282" i="677"/>
  <c r="E2282" i="677" s="1"/>
  <c r="N2281" i="677"/>
  <c r="E2281" i="677" s="1"/>
  <c r="J2281" i="677" s="1"/>
  <c r="N2280" i="677"/>
  <c r="E2280" i="677" s="1"/>
  <c r="N2279" i="677"/>
  <c r="E2279" i="677" s="1"/>
  <c r="N2278" i="677"/>
  <c r="E2278" i="677" s="1"/>
  <c r="J2278" i="677" s="1"/>
  <c r="N2277" i="677"/>
  <c r="E2277" i="677" s="1"/>
  <c r="J2277" i="677" s="1"/>
  <c r="N2276" i="677"/>
  <c r="E2276" i="677" s="1"/>
  <c r="H2276" i="677" s="1"/>
  <c r="N2275" i="677"/>
  <c r="E2275" i="677" s="1"/>
  <c r="N2274" i="677"/>
  <c r="E2274" i="677" s="1"/>
  <c r="N2273" i="677"/>
  <c r="E2273" i="677"/>
  <c r="H2273" i="677" s="1"/>
  <c r="N2272" i="677"/>
  <c r="E2272" i="677" s="1"/>
  <c r="J2272" i="677" s="1"/>
  <c r="N2271" i="677"/>
  <c r="E2271" i="677" s="1"/>
  <c r="N2270" i="677"/>
  <c r="E2270" i="677" s="1"/>
  <c r="N2269" i="677"/>
  <c r="J2269" i="677"/>
  <c r="H2269" i="677"/>
  <c r="N2268" i="677"/>
  <c r="E2268" i="677" s="1"/>
  <c r="N2267" i="677"/>
  <c r="E2267" i="677" s="1"/>
  <c r="N2266" i="677"/>
  <c r="E2266" i="677" s="1"/>
  <c r="N2265" i="677"/>
  <c r="E2265" i="677" s="1"/>
  <c r="N2264" i="677"/>
  <c r="E2264" i="677" s="1"/>
  <c r="J2264" i="677" s="1"/>
  <c r="N2263" i="677"/>
  <c r="E2263" i="677" s="1"/>
  <c r="N2262" i="677"/>
  <c r="E2262" i="677" s="1"/>
  <c r="N2261" i="677"/>
  <c r="E2261" i="677" s="1"/>
  <c r="N2260" i="677"/>
  <c r="E2260" i="677" s="1"/>
  <c r="J2260" i="677" s="1"/>
  <c r="N2259" i="677"/>
  <c r="E2259" i="677" s="1"/>
  <c r="H2259" i="677" s="1"/>
  <c r="N2257" i="677"/>
  <c r="E2257" i="677" s="1"/>
  <c r="N2256" i="677"/>
  <c r="E2256" i="677" s="1"/>
  <c r="N2255" i="677"/>
  <c r="E2255" i="677" s="1"/>
  <c r="N2254" i="677"/>
  <c r="E2254" i="677"/>
  <c r="J2254" i="677" s="1"/>
  <c r="N2253" i="677"/>
  <c r="E2253" i="677" s="1"/>
  <c r="N2252" i="677"/>
  <c r="E2252" i="677" s="1"/>
  <c r="N2251" i="677"/>
  <c r="E2251" i="677" s="1"/>
  <c r="J2251" i="677" s="1"/>
  <c r="H2251" i="677"/>
  <c r="K2251" i="677" s="1"/>
  <c r="N2250" i="677"/>
  <c r="E2250" i="677" s="1"/>
  <c r="N2249" i="677"/>
  <c r="E2249" i="677" s="1"/>
  <c r="N2248" i="677"/>
  <c r="E2248" i="677" s="1"/>
  <c r="J2248" i="677" s="1"/>
  <c r="N2247" i="677"/>
  <c r="E2247" i="677" s="1"/>
  <c r="J2247" i="677" s="1"/>
  <c r="N2246" i="677"/>
  <c r="E2246" i="677" s="1"/>
  <c r="N2245" i="677"/>
  <c r="E2245" i="677" s="1"/>
  <c r="N2244" i="677"/>
  <c r="E2244" i="677" s="1"/>
  <c r="N2243" i="677"/>
  <c r="E2243" i="677" s="1"/>
  <c r="H2243" i="677" s="1"/>
  <c r="N2242" i="677"/>
  <c r="E2242" i="677" s="1"/>
  <c r="N2241" i="677"/>
  <c r="E2241" i="677"/>
  <c r="N2240" i="677"/>
  <c r="E2240" i="677" s="1"/>
  <c r="N2239" i="677"/>
  <c r="E2239" i="677" s="1"/>
  <c r="J2239" i="677" s="1"/>
  <c r="N2238" i="677"/>
  <c r="E2238" i="677" s="1"/>
  <c r="N2237" i="677"/>
  <c r="E2237" i="677" s="1"/>
  <c r="N2236" i="677"/>
  <c r="E2236" i="677" s="1"/>
  <c r="J2236" i="677" s="1"/>
  <c r="N2235" i="677"/>
  <c r="E2235" i="677" s="1"/>
  <c r="J2235" i="677" s="1"/>
  <c r="N2234" i="677"/>
  <c r="E2234" i="677" s="1"/>
  <c r="H2234" i="677" s="1"/>
  <c r="N2233" i="677"/>
  <c r="E2233" i="677" s="1"/>
  <c r="N2232" i="677"/>
  <c r="E2232" i="677" s="1"/>
  <c r="N2231" i="677"/>
  <c r="E2231" i="677" s="1"/>
  <c r="N2230" i="677"/>
  <c r="E2230" i="677" s="1"/>
  <c r="N2229" i="677"/>
  <c r="E2229" i="677" s="1"/>
  <c r="N2228" i="677"/>
  <c r="E2228" i="677" s="1"/>
  <c r="N2227" i="677"/>
  <c r="E2227" i="677" s="1"/>
  <c r="J2227" i="677" s="1"/>
  <c r="N2226" i="677"/>
  <c r="E2226" i="677" s="1"/>
  <c r="N2225" i="677"/>
  <c r="E2225" i="677" s="1"/>
  <c r="N2224" i="677"/>
  <c r="E2224" i="677" s="1"/>
  <c r="N2223" i="677"/>
  <c r="E2223" i="677" s="1"/>
  <c r="J2223" i="677" s="1"/>
  <c r="N2222" i="677"/>
  <c r="E2222" i="677" s="1"/>
  <c r="N2221" i="677"/>
  <c r="E2221" i="677" s="1"/>
  <c r="N2220" i="677"/>
  <c r="E2220" i="677" s="1"/>
  <c r="N2219" i="677"/>
  <c r="E2219" i="677" s="1"/>
  <c r="H2219" i="677" s="1"/>
  <c r="N2218" i="677"/>
  <c r="E2218" i="677" s="1"/>
  <c r="J2218" i="677" s="1"/>
  <c r="N2217" i="677"/>
  <c r="E2217" i="677" s="1"/>
  <c r="N2216" i="677"/>
  <c r="E2216" i="677"/>
  <c r="N2215" i="677"/>
  <c r="E2215" i="677" s="1"/>
  <c r="J2215" i="677" s="1"/>
  <c r="N2214" i="677"/>
  <c r="E2214" i="677" s="1"/>
  <c r="N2213" i="677"/>
  <c r="E2213" i="677" s="1"/>
  <c r="N2212" i="677"/>
  <c r="E2212" i="677" s="1"/>
  <c r="J2212" i="677" s="1"/>
  <c r="N2211" i="677"/>
  <c r="E2211" i="677" s="1"/>
  <c r="J2211" i="677" s="1"/>
  <c r="N2210" i="677"/>
  <c r="E2210" i="677" s="1"/>
  <c r="H2210" i="677" s="1"/>
  <c r="N2209" i="677"/>
  <c r="E2209" i="677" s="1"/>
  <c r="N2208" i="677"/>
  <c r="E2208" i="677" s="1"/>
  <c r="N2207" i="677"/>
  <c r="J2207" i="677"/>
  <c r="H2207" i="677"/>
  <c r="N2206" i="677"/>
  <c r="E2206" i="677" s="1"/>
  <c r="J2206" i="677" s="1"/>
  <c r="N2205" i="677"/>
  <c r="E2205" i="677" s="1"/>
  <c r="H2205" i="677" s="1"/>
  <c r="N2204" i="677"/>
  <c r="E2204" i="677" s="1"/>
  <c r="N2203" i="677"/>
  <c r="E2203" i="677" s="1"/>
  <c r="N2202" i="677"/>
  <c r="E2202" i="677" s="1"/>
  <c r="H2202" i="677" s="1"/>
  <c r="N2201" i="677"/>
  <c r="E2201" i="677" s="1"/>
  <c r="N2200" i="677"/>
  <c r="E2200" i="677"/>
  <c r="N2199" i="677"/>
  <c r="E2199" i="677" s="1"/>
  <c r="N2198" i="677"/>
  <c r="E2198" i="677" s="1"/>
  <c r="J2198" i="677" s="1"/>
  <c r="N2197" i="677"/>
  <c r="E2197" i="677" s="1"/>
  <c r="N2195" i="677"/>
  <c r="E2195" i="677" s="1"/>
  <c r="H2195" i="677" s="1"/>
  <c r="N2194" i="677"/>
  <c r="E2194" i="677" s="1"/>
  <c r="J2194" i="677" s="1"/>
  <c r="H2194" i="677"/>
  <c r="K2194" i="677" s="1"/>
  <c r="N2193" i="677"/>
  <c r="E2193" i="677" s="1"/>
  <c r="J2193" i="677" s="1"/>
  <c r="N2192" i="677"/>
  <c r="E2192" i="677" s="1"/>
  <c r="H2192" i="677" s="1"/>
  <c r="N2191" i="677"/>
  <c r="E2191" i="677" s="1"/>
  <c r="N2190" i="677"/>
  <c r="E2190" i="677" s="1"/>
  <c r="N2189" i="677"/>
  <c r="E2189" i="677" s="1"/>
  <c r="N2188" i="677"/>
  <c r="E2188" i="677" s="1"/>
  <c r="N2187" i="677"/>
  <c r="E2187" i="677"/>
  <c r="N2186" i="677"/>
  <c r="E2186" i="677" s="1"/>
  <c r="N2185" i="677"/>
  <c r="E2185" i="677" s="1"/>
  <c r="J2185" i="677" s="1"/>
  <c r="N2184" i="677"/>
  <c r="E2184" i="677" s="1"/>
  <c r="N2183" i="677"/>
  <c r="E2183" i="677" s="1"/>
  <c r="N2182" i="677"/>
  <c r="E2182" i="677" s="1"/>
  <c r="J2182" i="677" s="1"/>
  <c r="N2181" i="677"/>
  <c r="E2181" i="677" s="1"/>
  <c r="J2181" i="677" s="1"/>
  <c r="N2180" i="677"/>
  <c r="E2180" i="677" s="1"/>
  <c r="N2179" i="677"/>
  <c r="E2179" i="677" s="1"/>
  <c r="N2178" i="677"/>
  <c r="E2178" i="677" s="1"/>
  <c r="N2177" i="677"/>
  <c r="E2177" i="677" s="1"/>
  <c r="H2177" i="677" s="1"/>
  <c r="N2176" i="677"/>
  <c r="E2176" i="677" s="1"/>
  <c r="J2176" i="677" s="1"/>
  <c r="N2175" i="677"/>
  <c r="E2175" i="677" s="1"/>
  <c r="N2174" i="677"/>
  <c r="E2174" i="677" s="1"/>
  <c r="N2173" i="677"/>
  <c r="E2173" i="677" s="1"/>
  <c r="J2173" i="677" s="1"/>
  <c r="N2172" i="677"/>
  <c r="E2172" i="677" s="1"/>
  <c r="J2172" i="677" s="1"/>
  <c r="N2171" i="677"/>
  <c r="E2171" i="677" s="1"/>
  <c r="N2170" i="677"/>
  <c r="E2170" i="677" s="1"/>
  <c r="J2170" i="677" s="1"/>
  <c r="N2169" i="677"/>
  <c r="E2169" i="677" s="1"/>
  <c r="J2169" i="677" s="1"/>
  <c r="N2168" i="677"/>
  <c r="J2168" i="677"/>
  <c r="H2168" i="677"/>
  <c r="N2167" i="677"/>
  <c r="E2167" i="677" s="1"/>
  <c r="J2167" i="677" s="1"/>
  <c r="N2166" i="677"/>
  <c r="E2166" i="677" s="1"/>
  <c r="N2165" i="677"/>
  <c r="E2165" i="677" s="1"/>
  <c r="J2165" i="677" s="1"/>
  <c r="N2164" i="677"/>
  <c r="E2164" i="677" s="1"/>
  <c r="N2163" i="677"/>
  <c r="E2163" i="677" s="1"/>
  <c r="H2163" i="677" s="1"/>
  <c r="N2162" i="677"/>
  <c r="E2162" i="677" s="1"/>
  <c r="H2162" i="677" s="1"/>
  <c r="N2161" i="677"/>
  <c r="E2161" i="677" s="1"/>
  <c r="N2160" i="677"/>
  <c r="E2160" i="677" s="1"/>
  <c r="H2160" i="677" s="1"/>
  <c r="N2159" i="677"/>
  <c r="E2159" i="677" s="1"/>
  <c r="J2158" i="677"/>
  <c r="H2158" i="677"/>
  <c r="J2157" i="677"/>
  <c r="H2157" i="677"/>
  <c r="J2155" i="677"/>
  <c r="H2155" i="677"/>
  <c r="J2154" i="677"/>
  <c r="H2154" i="677"/>
  <c r="J2152" i="677"/>
  <c r="H2152" i="677"/>
  <c r="J2151" i="677"/>
  <c r="H2151" i="677"/>
  <c r="K2151" i="677" s="1"/>
  <c r="J2150" i="677"/>
  <c r="H2150" i="677"/>
  <c r="J2149" i="677"/>
  <c r="H2149" i="677"/>
  <c r="J2148" i="677"/>
  <c r="H2148" i="677"/>
  <c r="J2147" i="677"/>
  <c r="H2147" i="677"/>
  <c r="J2146" i="677"/>
  <c r="H2146" i="677"/>
  <c r="E2143" i="677"/>
  <c r="E2144" i="677" s="1"/>
  <c r="J2142" i="677"/>
  <c r="H2142" i="677"/>
  <c r="K2142" i="677" s="1"/>
  <c r="J2141" i="677"/>
  <c r="H2141" i="677"/>
  <c r="K2141" i="677" s="1"/>
  <c r="E2136" i="677"/>
  <c r="H2136" i="677" s="1"/>
  <c r="J2135" i="677"/>
  <c r="H2135" i="677"/>
  <c r="J2132" i="677"/>
  <c r="H2132" i="677"/>
  <c r="J2131" i="677"/>
  <c r="H2131" i="677"/>
  <c r="J2129" i="677"/>
  <c r="H2129" i="677"/>
  <c r="J2128" i="677"/>
  <c r="H2128" i="677"/>
  <c r="J2127" i="677"/>
  <c r="H2127" i="677"/>
  <c r="K2127" i="677" s="1"/>
  <c r="J2126" i="677"/>
  <c r="H2126" i="677"/>
  <c r="J2125" i="677"/>
  <c r="H2125" i="677"/>
  <c r="K2125" i="677" s="1"/>
  <c r="J2124" i="677"/>
  <c r="H2124" i="677"/>
  <c r="J2123" i="677"/>
  <c r="H2123" i="677"/>
  <c r="K2123" i="677" s="1"/>
  <c r="E2120" i="677"/>
  <c r="J2120" i="677" s="1"/>
  <c r="J2119" i="677"/>
  <c r="H2119" i="677"/>
  <c r="K2119" i="677" s="1"/>
  <c r="J2118" i="677"/>
  <c r="H2118" i="677"/>
  <c r="K2118" i="677" s="1"/>
  <c r="E2113" i="677"/>
  <c r="E2114" i="677" s="1"/>
  <c r="J2114" i="677" s="1"/>
  <c r="J2112" i="677"/>
  <c r="H2112" i="677"/>
  <c r="J2109" i="677"/>
  <c r="H2109" i="677"/>
  <c r="J2108" i="677"/>
  <c r="H2108" i="677"/>
  <c r="K2108" i="677" s="1"/>
  <c r="J2105" i="677"/>
  <c r="H2105" i="677"/>
  <c r="J2104" i="677"/>
  <c r="H2104" i="677"/>
  <c r="J2103" i="677"/>
  <c r="H2103" i="677"/>
  <c r="J2102" i="677"/>
  <c r="H2102" i="677"/>
  <c r="K2102" i="677" s="1"/>
  <c r="J2101" i="677"/>
  <c r="H2101" i="677"/>
  <c r="E2098" i="677"/>
  <c r="E2099" i="677" s="1"/>
  <c r="J2099" i="677" s="1"/>
  <c r="J2097" i="677"/>
  <c r="H2097" i="677"/>
  <c r="J2096" i="677"/>
  <c r="H2096" i="677"/>
  <c r="E2091" i="677"/>
  <c r="E2092" i="677" s="1"/>
  <c r="E2093" i="677" s="1"/>
  <c r="H2093" i="677" s="1"/>
  <c r="J2090" i="677"/>
  <c r="H2090" i="677"/>
  <c r="B2086" i="677"/>
  <c r="N2085" i="677"/>
  <c r="J2085" i="677"/>
  <c r="H2085" i="677"/>
  <c r="K2085" i="677" s="1"/>
  <c r="N2084" i="677"/>
  <c r="J2084" i="677"/>
  <c r="H2084" i="677"/>
  <c r="N2083" i="677"/>
  <c r="J2083" i="677"/>
  <c r="H2083" i="677"/>
  <c r="N2082" i="677"/>
  <c r="J2082" i="677"/>
  <c r="H2082" i="677"/>
  <c r="N2081" i="677"/>
  <c r="J2081" i="677"/>
  <c r="H2081" i="677"/>
  <c r="K2081" i="677" s="1"/>
  <c r="N2080" i="677"/>
  <c r="J2080" i="677"/>
  <c r="H2080" i="677"/>
  <c r="N2079" i="677"/>
  <c r="J2079" i="677"/>
  <c r="H2079" i="677"/>
  <c r="N2078" i="677"/>
  <c r="J2078" i="677"/>
  <c r="H2078" i="677"/>
  <c r="N2077" i="677"/>
  <c r="G2077" i="677"/>
  <c r="E2077" i="677"/>
  <c r="J2077" i="677" s="1"/>
  <c r="N2076" i="677"/>
  <c r="I2076" i="677"/>
  <c r="E2076" i="677"/>
  <c r="N2075" i="677"/>
  <c r="I2075" i="677"/>
  <c r="G2075" i="677"/>
  <c r="E2075" i="677"/>
  <c r="N2074" i="677"/>
  <c r="E2074" i="677"/>
  <c r="N2073" i="677"/>
  <c r="G2073" i="677"/>
  <c r="E2073" i="677"/>
  <c r="J2073" i="677" s="1"/>
  <c r="N2072" i="677"/>
  <c r="E2072" i="677"/>
  <c r="H2072" i="677" s="1"/>
  <c r="N2071" i="677"/>
  <c r="E2071" i="677"/>
  <c r="H2071" i="677" s="1"/>
  <c r="N2070" i="677"/>
  <c r="E2070" i="677"/>
  <c r="J2070" i="677" s="1"/>
  <c r="N2069" i="677"/>
  <c r="J2069" i="677"/>
  <c r="K2069" i="677" s="1"/>
  <c r="N2068" i="677"/>
  <c r="I2068" i="677"/>
  <c r="J2068" i="677" s="1"/>
  <c r="E2068" i="677"/>
  <c r="H2068" i="677" s="1"/>
  <c r="N2067" i="677"/>
  <c r="I2067" i="677"/>
  <c r="G2067" i="677"/>
  <c r="E2067" i="677"/>
  <c r="N2066" i="677"/>
  <c r="J2066" i="677"/>
  <c r="H2066" i="677"/>
  <c r="E2066" i="677"/>
  <c r="N2065" i="677"/>
  <c r="G2065" i="677"/>
  <c r="E2065" i="677"/>
  <c r="N2064" i="677"/>
  <c r="E2064" i="677"/>
  <c r="J2064" i="677" s="1"/>
  <c r="N2063" i="677"/>
  <c r="E2063" i="677"/>
  <c r="H2063" i="677" s="1"/>
  <c r="N2062" i="677"/>
  <c r="E2062" i="677"/>
  <c r="H2062" i="677" s="1"/>
  <c r="N2061" i="677"/>
  <c r="K2061" i="677"/>
  <c r="J2061" i="677"/>
  <c r="N2060" i="677"/>
  <c r="G2060" i="677"/>
  <c r="E2060" i="677"/>
  <c r="N2059" i="677"/>
  <c r="E2059" i="677"/>
  <c r="J2059" i="677" s="1"/>
  <c r="N2058" i="677"/>
  <c r="I2058" i="677"/>
  <c r="J2058" i="677" s="1"/>
  <c r="E2058" i="677"/>
  <c r="H2058" i="677" s="1"/>
  <c r="N2057" i="677"/>
  <c r="I2057" i="677"/>
  <c r="E2057" i="677"/>
  <c r="H2057" i="677" s="1"/>
  <c r="N2056" i="677"/>
  <c r="E2056" i="677"/>
  <c r="J2056" i="677" s="1"/>
  <c r="N2055" i="677"/>
  <c r="H2055" i="677"/>
  <c r="E2055" i="677"/>
  <c r="J2055" i="677" s="1"/>
  <c r="N2054" i="677"/>
  <c r="J2054" i="677"/>
  <c r="K2054" i="677" s="1"/>
  <c r="N2053" i="677"/>
  <c r="J2053" i="677"/>
  <c r="K2053" i="677" s="1"/>
  <c r="N2052" i="677"/>
  <c r="E2052" i="677"/>
  <c r="N2051" i="677"/>
  <c r="J2051" i="677"/>
  <c r="H2051" i="677"/>
  <c r="N2050" i="677"/>
  <c r="J2050" i="677"/>
  <c r="H2050" i="677"/>
  <c r="N2049" i="677"/>
  <c r="J2049" i="677"/>
  <c r="H2049" i="677"/>
  <c r="N2047" i="677"/>
  <c r="J2047" i="677"/>
  <c r="H2047" i="677"/>
  <c r="N2046" i="677"/>
  <c r="J2046" i="677"/>
  <c r="H2046" i="677"/>
  <c r="N2045" i="677"/>
  <c r="J2045" i="677"/>
  <c r="H2045" i="677"/>
  <c r="N2044" i="677"/>
  <c r="J2044" i="677"/>
  <c r="H2044" i="677"/>
  <c r="N2043" i="677"/>
  <c r="E2043" i="677"/>
  <c r="H2043" i="677" s="1"/>
  <c r="N2042" i="677"/>
  <c r="E2042" i="677"/>
  <c r="H2042" i="677" s="1"/>
  <c r="N2041" i="677"/>
  <c r="I2041" i="677"/>
  <c r="E2041" i="677"/>
  <c r="H2041" i="677" s="1"/>
  <c r="N2040" i="677"/>
  <c r="E2040" i="677"/>
  <c r="H2040" i="677" s="1"/>
  <c r="N2039" i="677"/>
  <c r="E2039" i="677"/>
  <c r="J2039" i="677" s="1"/>
  <c r="N2038" i="677"/>
  <c r="E2038" i="677"/>
  <c r="H2038" i="677" s="1"/>
  <c r="K2038" i="677" s="1"/>
  <c r="N2037" i="677"/>
  <c r="J2037" i="677"/>
  <c r="K2037" i="677" s="1"/>
  <c r="N2036" i="677"/>
  <c r="E2036" i="677"/>
  <c r="J2036" i="677" s="1"/>
  <c r="N2035" i="677"/>
  <c r="E2035" i="677"/>
  <c r="J2035" i="677" s="1"/>
  <c r="N2034" i="677"/>
  <c r="J2034" i="677"/>
  <c r="H2034" i="677"/>
  <c r="N2033" i="677"/>
  <c r="I2033" i="677"/>
  <c r="E2033" i="677"/>
  <c r="H2033" i="677" s="1"/>
  <c r="N2032" i="677"/>
  <c r="E2032" i="677"/>
  <c r="H2032" i="677" s="1"/>
  <c r="N2031" i="677"/>
  <c r="E2031" i="677"/>
  <c r="J2031" i="677" s="1"/>
  <c r="N2030" i="677"/>
  <c r="J2030" i="677"/>
  <c r="K2030" i="677" s="1"/>
  <c r="N2029" i="677"/>
  <c r="J2029" i="677"/>
  <c r="H2029" i="677"/>
  <c r="N2028" i="677"/>
  <c r="E2028" i="677"/>
  <c r="J2028" i="677" s="1"/>
  <c r="N2027" i="677"/>
  <c r="I2027" i="677"/>
  <c r="E2027" i="677"/>
  <c r="H2027" i="677" s="1"/>
  <c r="N2026" i="677"/>
  <c r="I2026" i="677"/>
  <c r="E2026" i="677"/>
  <c r="H2026" i="677" s="1"/>
  <c r="N2025" i="677"/>
  <c r="J2025" i="677"/>
  <c r="E2025" i="677"/>
  <c r="H2025" i="677" s="1"/>
  <c r="N2024" i="677"/>
  <c r="E2024" i="677"/>
  <c r="H2024" i="677" s="1"/>
  <c r="N2023" i="677"/>
  <c r="J2023" i="677"/>
  <c r="K2023" i="677" s="1"/>
  <c r="N2022" i="677"/>
  <c r="K2022" i="677"/>
  <c r="N2014" i="677"/>
  <c r="E2014" i="677"/>
  <c r="J2014" i="677" s="1"/>
  <c r="N2013" i="677"/>
  <c r="E2013" i="677"/>
  <c r="H2013" i="677" s="1"/>
  <c r="N2012" i="677"/>
  <c r="J2012" i="677"/>
  <c r="H2012" i="677"/>
  <c r="N2011" i="677"/>
  <c r="J2011" i="677"/>
  <c r="H2011" i="677"/>
  <c r="N2010" i="677"/>
  <c r="J2010" i="677"/>
  <c r="H2010" i="677"/>
  <c r="N2009" i="677"/>
  <c r="E2009" i="677"/>
  <c r="H2009" i="677" s="1"/>
  <c r="N2008" i="677"/>
  <c r="E2008" i="677"/>
  <c r="J2008" i="677" s="1"/>
  <c r="N2007" i="677"/>
  <c r="E2007" i="677"/>
  <c r="J2007" i="677" s="1"/>
  <c r="N2006" i="677"/>
  <c r="J2006" i="677"/>
  <c r="H2006" i="677"/>
  <c r="N2005" i="677"/>
  <c r="J2005" i="677"/>
  <c r="H2005" i="677"/>
  <c r="N2004" i="677"/>
  <c r="I2004" i="677"/>
  <c r="G2004" i="677"/>
  <c r="E2004" i="677"/>
  <c r="N2003" i="677"/>
  <c r="J2003" i="677"/>
  <c r="H2003" i="677"/>
  <c r="K2003" i="677" s="1"/>
  <c r="N2002" i="677"/>
  <c r="E2002" i="677"/>
  <c r="N2001" i="677"/>
  <c r="E2001" i="677"/>
  <c r="J2001" i="677" s="1"/>
  <c r="N2000" i="677"/>
  <c r="E2000" i="677"/>
  <c r="H2000" i="677" s="1"/>
  <c r="N1999" i="677"/>
  <c r="I1999" i="677"/>
  <c r="G1999" i="677"/>
  <c r="H1999" i="677" s="1"/>
  <c r="E1999" i="677"/>
  <c r="N1998" i="677"/>
  <c r="I1998" i="677"/>
  <c r="E1998" i="677"/>
  <c r="H1998" i="677" s="1"/>
  <c r="N1997" i="677"/>
  <c r="I1997" i="677"/>
  <c r="E1997" i="677"/>
  <c r="H1997" i="677" s="1"/>
  <c r="N1996" i="677"/>
  <c r="N1995" i="677"/>
  <c r="M1995" i="677"/>
  <c r="E1995" i="677"/>
  <c r="J1995" i="677" s="1"/>
  <c r="N1993" i="677"/>
  <c r="M1993" i="677"/>
  <c r="E1993" i="677"/>
  <c r="H1993" i="677" s="1"/>
  <c r="N1992" i="677"/>
  <c r="M1992" i="677"/>
  <c r="E1992" i="677"/>
  <c r="J1992" i="677" s="1"/>
  <c r="N1991" i="677"/>
  <c r="M1991" i="677"/>
  <c r="E1991" i="677"/>
  <c r="H1991" i="677" s="1"/>
  <c r="N1990" i="677"/>
  <c r="K1990" i="677"/>
  <c r="N1988" i="677"/>
  <c r="G1988" i="677"/>
  <c r="E1988" i="677"/>
  <c r="J1988" i="677" s="1"/>
  <c r="N1987" i="677"/>
  <c r="E1987" i="677"/>
  <c r="N1986" i="677"/>
  <c r="E1986" i="677"/>
  <c r="J1986" i="677" s="1"/>
  <c r="N1985" i="677"/>
  <c r="E1985" i="677"/>
  <c r="N1984" i="677"/>
  <c r="I1984" i="677"/>
  <c r="E1984" i="677"/>
  <c r="H1984" i="677" s="1"/>
  <c r="N1983" i="677"/>
  <c r="I1983" i="677"/>
  <c r="J1983" i="677" s="1"/>
  <c r="E1983" i="677"/>
  <c r="H1983" i="677" s="1"/>
  <c r="N1982" i="677"/>
  <c r="E1982" i="677"/>
  <c r="N1981" i="677"/>
  <c r="E1981" i="677"/>
  <c r="J1981" i="677" s="1"/>
  <c r="N1980" i="677"/>
  <c r="K1980" i="677"/>
  <c r="N1979" i="677"/>
  <c r="K1979" i="677"/>
  <c r="N1978" i="677"/>
  <c r="J1978" i="677"/>
  <c r="H1978" i="677"/>
  <c r="N1977" i="677"/>
  <c r="J1977" i="677"/>
  <c r="G1977" i="677"/>
  <c r="E1977" i="677"/>
  <c r="N1976" i="677"/>
  <c r="G1976" i="677"/>
  <c r="E1976" i="677"/>
  <c r="N1975" i="677"/>
  <c r="J1975" i="677"/>
  <c r="G1975" i="677"/>
  <c r="H1975" i="677" s="1"/>
  <c r="N1974" i="677"/>
  <c r="G1974" i="677"/>
  <c r="E1974" i="677"/>
  <c r="J1974" i="677" s="1"/>
  <c r="N1973" i="677"/>
  <c r="J1973" i="677"/>
  <c r="G1973" i="677"/>
  <c r="H1973" i="677" s="1"/>
  <c r="N1972" i="677"/>
  <c r="J1972" i="677"/>
  <c r="G1972" i="677"/>
  <c r="H1972" i="677" s="1"/>
  <c r="N1971" i="677"/>
  <c r="J1971" i="677"/>
  <c r="H1971" i="677"/>
  <c r="N1970" i="677"/>
  <c r="G1970" i="677"/>
  <c r="E1970" i="677"/>
  <c r="J1970" i="677" s="1"/>
  <c r="N1969" i="677"/>
  <c r="K1969" i="677"/>
  <c r="J1969" i="677"/>
  <c r="H1969" i="677"/>
  <c r="N1968" i="677"/>
  <c r="I1968" i="677"/>
  <c r="J1968" i="677" s="1"/>
  <c r="E1968" i="677"/>
  <c r="H1968" i="677" s="1"/>
  <c r="N1967" i="677"/>
  <c r="I1967" i="677"/>
  <c r="E1967" i="677"/>
  <c r="H1967" i="677" s="1"/>
  <c r="N1966" i="677"/>
  <c r="I1966" i="677"/>
  <c r="E1966" i="677"/>
  <c r="H1966" i="677" s="1"/>
  <c r="N1965" i="677"/>
  <c r="I1965" i="677"/>
  <c r="G1965" i="677"/>
  <c r="E1965" i="677"/>
  <c r="N1964" i="677"/>
  <c r="E1964" i="677"/>
  <c r="N1963" i="677"/>
  <c r="G1963" i="677"/>
  <c r="E1963" i="677"/>
  <c r="J1963" i="677" s="1"/>
  <c r="N1960" i="677"/>
  <c r="E1960" i="677"/>
  <c r="J1960" i="677" s="1"/>
  <c r="N1959" i="677"/>
  <c r="E1959" i="677"/>
  <c r="N1958" i="677"/>
  <c r="J1958" i="677"/>
  <c r="H1958" i="677"/>
  <c r="N1957" i="677"/>
  <c r="E1957" i="677"/>
  <c r="J1957" i="677" s="1"/>
  <c r="N1956" i="677"/>
  <c r="N1955" i="677"/>
  <c r="G1955" i="677"/>
  <c r="E1955" i="677"/>
  <c r="N1954" i="677"/>
  <c r="G1954" i="677"/>
  <c r="E1954" i="677"/>
  <c r="H1954" i="677" s="1"/>
  <c r="N1953" i="677"/>
  <c r="J1953" i="677"/>
  <c r="H1953" i="677"/>
  <c r="K1953" i="677" s="1"/>
  <c r="N1952" i="677"/>
  <c r="J1952" i="677"/>
  <c r="H1952" i="677"/>
  <c r="K1952" i="677" s="1"/>
  <c r="N1951" i="677"/>
  <c r="J1951" i="677"/>
  <c r="H1951" i="677"/>
  <c r="N1950" i="677"/>
  <c r="E1950" i="677"/>
  <c r="H1950" i="677" s="1"/>
  <c r="N1949" i="677"/>
  <c r="E1949" i="677"/>
  <c r="N1948" i="677"/>
  <c r="E1948" i="677"/>
  <c r="J1948" i="677" s="1"/>
  <c r="N1947" i="677"/>
  <c r="I1947" i="677"/>
  <c r="E1947" i="677"/>
  <c r="H1947" i="677" s="1"/>
  <c r="N1946" i="677"/>
  <c r="I1946" i="677"/>
  <c r="E1946" i="677"/>
  <c r="H1946" i="677" s="1"/>
  <c r="N1945" i="677"/>
  <c r="E1945" i="677"/>
  <c r="J1945" i="677" s="1"/>
  <c r="N1944" i="677"/>
  <c r="E1944" i="677"/>
  <c r="N1943" i="677"/>
  <c r="N1942" i="677"/>
  <c r="S1939" i="677"/>
  <c r="J1939" i="677"/>
  <c r="H1939" i="677"/>
  <c r="S1938" i="677"/>
  <c r="J1938" i="677"/>
  <c r="H1938" i="677"/>
  <c r="S1937" i="677"/>
  <c r="J1937" i="677"/>
  <c r="H1937" i="677"/>
  <c r="S1936" i="677"/>
  <c r="J1936" i="677"/>
  <c r="H1936" i="677"/>
  <c r="S1935" i="677"/>
  <c r="J1935" i="677"/>
  <c r="H1935" i="677"/>
  <c r="S1934" i="677"/>
  <c r="J1934" i="677"/>
  <c r="H1934" i="677"/>
  <c r="S1933" i="677"/>
  <c r="J1933" i="677"/>
  <c r="H1933" i="677"/>
  <c r="S1932" i="677"/>
  <c r="J1932" i="677"/>
  <c r="H1932" i="677"/>
  <c r="S1931" i="677"/>
  <c r="J1931" i="677"/>
  <c r="H1931" i="677"/>
  <c r="S1930" i="677"/>
  <c r="J1930" i="677"/>
  <c r="K1930" i="677" s="1"/>
  <c r="H1930" i="677"/>
  <c r="S1929" i="677"/>
  <c r="J1929" i="677"/>
  <c r="H1929" i="677"/>
  <c r="S1928" i="677"/>
  <c r="J1928" i="677"/>
  <c r="H1928" i="677"/>
  <c r="S1927" i="677"/>
  <c r="J1927" i="677"/>
  <c r="H1927" i="677"/>
  <c r="S1926" i="677"/>
  <c r="J1926" i="677"/>
  <c r="K1926" i="677" s="1"/>
  <c r="H1926" i="677"/>
  <c r="S1925" i="677"/>
  <c r="J1925" i="677"/>
  <c r="H1925" i="677"/>
  <c r="S1924" i="677"/>
  <c r="J1924" i="677"/>
  <c r="H1924" i="677"/>
  <c r="S1923" i="677"/>
  <c r="J1923" i="677"/>
  <c r="H1923" i="677"/>
  <c r="K1923" i="677" s="1"/>
  <c r="S1922" i="677"/>
  <c r="J1922" i="677"/>
  <c r="K1922" i="677" s="1"/>
  <c r="H1922" i="677"/>
  <c r="S1921" i="677"/>
  <c r="J1921" i="677"/>
  <c r="H1921" i="677"/>
  <c r="S1920" i="677"/>
  <c r="J1920" i="677"/>
  <c r="H1920" i="677"/>
  <c r="K1920" i="677" s="1"/>
  <c r="S1919" i="677"/>
  <c r="J1919" i="677"/>
  <c r="H1919" i="677"/>
  <c r="S1918" i="677"/>
  <c r="J1918" i="677"/>
  <c r="H1918" i="677"/>
  <c r="S1917" i="677"/>
  <c r="M1917" i="677"/>
  <c r="J1917" i="677"/>
  <c r="H1917" i="677"/>
  <c r="S1916" i="677"/>
  <c r="S1915" i="677"/>
  <c r="J1915" i="677"/>
  <c r="H1915" i="677"/>
  <c r="S1914" i="677"/>
  <c r="J1914" i="677"/>
  <c r="H1914" i="677"/>
  <c r="S1913" i="677"/>
  <c r="J1913" i="677"/>
  <c r="H1913" i="677"/>
  <c r="S1912" i="677"/>
  <c r="J1912" i="677"/>
  <c r="H1912" i="677"/>
  <c r="S1911" i="677"/>
  <c r="J1911" i="677"/>
  <c r="H1911" i="677"/>
  <c r="S1910" i="677"/>
  <c r="J1910" i="677"/>
  <c r="H1910" i="677"/>
  <c r="S1901" i="677"/>
  <c r="J1901" i="677"/>
  <c r="H1901" i="677"/>
  <c r="S1900" i="677"/>
  <c r="J1900" i="677"/>
  <c r="H1900" i="677"/>
  <c r="K1900" i="677" s="1"/>
  <c r="S1899" i="677"/>
  <c r="J1899" i="677"/>
  <c r="H1899" i="677"/>
  <c r="S1898" i="677"/>
  <c r="J1898" i="677"/>
  <c r="H1898" i="677"/>
  <c r="S1897" i="677"/>
  <c r="J1897" i="677"/>
  <c r="H1897" i="677"/>
  <c r="S1896" i="677"/>
  <c r="J1896" i="677"/>
  <c r="H1896" i="677"/>
  <c r="S1895" i="677"/>
  <c r="J1895" i="677"/>
  <c r="H1895" i="677"/>
  <c r="S1891" i="677"/>
  <c r="J1891" i="677"/>
  <c r="H1891" i="677"/>
  <c r="K1891" i="677" s="1"/>
  <c r="S1890" i="677"/>
  <c r="J1890" i="677"/>
  <c r="H1890" i="677"/>
  <c r="S1889" i="677"/>
  <c r="J1889" i="677"/>
  <c r="H1889" i="677"/>
  <c r="S1888" i="677"/>
  <c r="J1888" i="677"/>
  <c r="H1888" i="677"/>
  <c r="S1887" i="677"/>
  <c r="J1887" i="677"/>
  <c r="H1887" i="677"/>
  <c r="K1887" i="677" s="1"/>
  <c r="S1886" i="677"/>
  <c r="J1886" i="677"/>
  <c r="H1886" i="677"/>
  <c r="K1886" i="677" s="1"/>
  <c r="S1885" i="677"/>
  <c r="J1885" i="677"/>
  <c r="H1885" i="677"/>
  <c r="K1885" i="677" s="1"/>
  <c r="S1884" i="677"/>
  <c r="J1884" i="677"/>
  <c r="H1884" i="677"/>
  <c r="S1876" i="677"/>
  <c r="J1876" i="677"/>
  <c r="H1876" i="677"/>
  <c r="S1875" i="677"/>
  <c r="J1875" i="677"/>
  <c r="H1875" i="677"/>
  <c r="S1874" i="677"/>
  <c r="J1874" i="677"/>
  <c r="H1874" i="677"/>
  <c r="S1873" i="677"/>
  <c r="J1873" i="677"/>
  <c r="H1873" i="677"/>
  <c r="S1872" i="677"/>
  <c r="J1872" i="677"/>
  <c r="H1872" i="677"/>
  <c r="S1871" i="677"/>
  <c r="J1871" i="677"/>
  <c r="H1871" i="677"/>
  <c r="S1870" i="677"/>
  <c r="J1870" i="677"/>
  <c r="H1870" i="677"/>
  <c r="S1866" i="677"/>
  <c r="J1866" i="677"/>
  <c r="H1866" i="677"/>
  <c r="S1865" i="677"/>
  <c r="J1865" i="677"/>
  <c r="H1865" i="677"/>
  <c r="S1864" i="677"/>
  <c r="J1864" i="677"/>
  <c r="H1864" i="677"/>
  <c r="S1863" i="677"/>
  <c r="J1863" i="677"/>
  <c r="H1863" i="677"/>
  <c r="S1862" i="677"/>
  <c r="J1862" i="677"/>
  <c r="K1862" i="677" s="1"/>
  <c r="H1862" i="677"/>
  <c r="S1861" i="677"/>
  <c r="J1861" i="677"/>
  <c r="H1861" i="677"/>
  <c r="S1860" i="677"/>
  <c r="J1860" i="677"/>
  <c r="H1860" i="677"/>
  <c r="S1859" i="677"/>
  <c r="J1859" i="677"/>
  <c r="H1859" i="677"/>
  <c r="S1850" i="677"/>
  <c r="J1850" i="677"/>
  <c r="H1850" i="677"/>
  <c r="S1849" i="677"/>
  <c r="J1849" i="677"/>
  <c r="H1849" i="677"/>
  <c r="S1848" i="677"/>
  <c r="J1848" i="677"/>
  <c r="H1848" i="677"/>
  <c r="S1847" i="677"/>
  <c r="J1847" i="677"/>
  <c r="H1847" i="677"/>
  <c r="S1846" i="677"/>
  <c r="J1846" i="677"/>
  <c r="H1846" i="677"/>
  <c r="S1845" i="677"/>
  <c r="J1845" i="677"/>
  <c r="H1845" i="677"/>
  <c r="K1845" i="677" s="1"/>
  <c r="S1844" i="677"/>
  <c r="J1844" i="677"/>
  <c r="H1844" i="677"/>
  <c r="K1844" i="677" s="1"/>
  <c r="S1840" i="677"/>
  <c r="J1840" i="677"/>
  <c r="H1840" i="677"/>
  <c r="K1840" i="677" s="1"/>
  <c r="S1839" i="677"/>
  <c r="J1839" i="677"/>
  <c r="H1839" i="677"/>
  <c r="S1838" i="677"/>
  <c r="J1838" i="677"/>
  <c r="H1838" i="677"/>
  <c r="K1838" i="677" s="1"/>
  <c r="S1837" i="677"/>
  <c r="J1837" i="677"/>
  <c r="H1837" i="677"/>
  <c r="S1836" i="677"/>
  <c r="J1836" i="677"/>
  <c r="H1836" i="677"/>
  <c r="S1835" i="677"/>
  <c r="J1835" i="677"/>
  <c r="H1835" i="677"/>
  <c r="S1834" i="677"/>
  <c r="J1834" i="677"/>
  <c r="H1834" i="677"/>
  <c r="S1833" i="677"/>
  <c r="J1833" i="677"/>
  <c r="H1833" i="677"/>
  <c r="K1833" i="677" s="1"/>
  <c r="S1825" i="677"/>
  <c r="J1825" i="677"/>
  <c r="H1825" i="677"/>
  <c r="S1824" i="677"/>
  <c r="J1824" i="677"/>
  <c r="H1824" i="677"/>
  <c r="S1823" i="677"/>
  <c r="J1823" i="677"/>
  <c r="H1823" i="677"/>
  <c r="S1822" i="677"/>
  <c r="J1822" i="677"/>
  <c r="H1822" i="677"/>
  <c r="K1822" i="677" s="1"/>
  <c r="S1821" i="677"/>
  <c r="J1821" i="677"/>
  <c r="H1821" i="677"/>
  <c r="S1820" i="677"/>
  <c r="J1820" i="677"/>
  <c r="H1820" i="677"/>
  <c r="S1819" i="677"/>
  <c r="J1819" i="677"/>
  <c r="H1819" i="677"/>
  <c r="S1815" i="677"/>
  <c r="J1815" i="677"/>
  <c r="H1815" i="677"/>
  <c r="K1815" i="677" s="1"/>
  <c r="S1814" i="677"/>
  <c r="J1814" i="677"/>
  <c r="H1814" i="677"/>
  <c r="S1813" i="677"/>
  <c r="J1813" i="677"/>
  <c r="H1813" i="677"/>
  <c r="S1812" i="677"/>
  <c r="J1812" i="677"/>
  <c r="H1812" i="677"/>
  <c r="S1811" i="677"/>
  <c r="J1811" i="677"/>
  <c r="H1811" i="677"/>
  <c r="K1811" i="677" s="1"/>
  <c r="S1810" i="677"/>
  <c r="J1810" i="677"/>
  <c r="H1810" i="677"/>
  <c r="S1809" i="677"/>
  <c r="J1809" i="677"/>
  <c r="H1809" i="677"/>
  <c r="S1808" i="677"/>
  <c r="J1808" i="677"/>
  <c r="H1808" i="677"/>
  <c r="S1800" i="677"/>
  <c r="J1800" i="677"/>
  <c r="H1800" i="677"/>
  <c r="K1800" i="677" s="1"/>
  <c r="S1799" i="677"/>
  <c r="J1799" i="677"/>
  <c r="H1799" i="677"/>
  <c r="K1799" i="677" s="1"/>
  <c r="S1798" i="677"/>
  <c r="J1798" i="677"/>
  <c r="H1798" i="677"/>
  <c r="S1797" i="677"/>
  <c r="J1797" i="677"/>
  <c r="H1797" i="677"/>
  <c r="S1796" i="677"/>
  <c r="J1796" i="677"/>
  <c r="H1796" i="677"/>
  <c r="K1796" i="677" s="1"/>
  <c r="S1795" i="677"/>
  <c r="J1795" i="677"/>
  <c r="H1795" i="677"/>
  <c r="K1795" i="677" s="1"/>
  <c r="S1794" i="677"/>
  <c r="J1794" i="677"/>
  <c r="H1794" i="677"/>
  <c r="S1790" i="677"/>
  <c r="J1790" i="677"/>
  <c r="H1790" i="677"/>
  <c r="S1789" i="677"/>
  <c r="J1789" i="677"/>
  <c r="H1789" i="677"/>
  <c r="S1788" i="677"/>
  <c r="J1788" i="677"/>
  <c r="H1788" i="677"/>
  <c r="S1787" i="677"/>
  <c r="J1787" i="677"/>
  <c r="H1787" i="677"/>
  <c r="S1786" i="677"/>
  <c r="J1786" i="677"/>
  <c r="H1786" i="677"/>
  <c r="K1786" i="677" s="1"/>
  <c r="S1785" i="677"/>
  <c r="J1785" i="677"/>
  <c r="H1785" i="677"/>
  <c r="K1785" i="677" s="1"/>
  <c r="S1784" i="677"/>
  <c r="J1784" i="677"/>
  <c r="H1784" i="677"/>
  <c r="K1784" i="677" s="1"/>
  <c r="S1783" i="677"/>
  <c r="J1783" i="677"/>
  <c r="H1783" i="677"/>
  <c r="S1775" i="677"/>
  <c r="J1775" i="677"/>
  <c r="H1775" i="677"/>
  <c r="K1775" i="677" s="1"/>
  <c r="S1774" i="677"/>
  <c r="J1774" i="677"/>
  <c r="H1774" i="677"/>
  <c r="S1773" i="677"/>
  <c r="J1773" i="677"/>
  <c r="H1773" i="677"/>
  <c r="S1772" i="677"/>
  <c r="J1772" i="677"/>
  <c r="K1772" i="677" s="1"/>
  <c r="H1772" i="677"/>
  <c r="S1771" i="677"/>
  <c r="J1771" i="677"/>
  <c r="H1771" i="677"/>
  <c r="S1770" i="677"/>
  <c r="J1770" i="677"/>
  <c r="K1770" i="677" s="1"/>
  <c r="H1770" i="677"/>
  <c r="S1769" i="677"/>
  <c r="J1769" i="677"/>
  <c r="H1769" i="677"/>
  <c r="S1765" i="677"/>
  <c r="J1765" i="677"/>
  <c r="K1765" i="677" s="1"/>
  <c r="H1765" i="677"/>
  <c r="S1764" i="677"/>
  <c r="J1764" i="677"/>
  <c r="H1764" i="677"/>
  <c r="S1763" i="677"/>
  <c r="J1763" i="677"/>
  <c r="K1763" i="677" s="1"/>
  <c r="H1763" i="677"/>
  <c r="S1762" i="677"/>
  <c r="J1762" i="677"/>
  <c r="H1762" i="677"/>
  <c r="S1761" i="677"/>
  <c r="J1761" i="677"/>
  <c r="H1761" i="677"/>
  <c r="S1760" i="677"/>
  <c r="J1760" i="677"/>
  <c r="H1760" i="677"/>
  <c r="S1759" i="677"/>
  <c r="J1759" i="677"/>
  <c r="H1759" i="677"/>
  <c r="S1758" i="677"/>
  <c r="J1758" i="677"/>
  <c r="H1758" i="677"/>
  <c r="S1757" i="677"/>
  <c r="J1757" i="677"/>
  <c r="H1757" i="677"/>
  <c r="S1749" i="677"/>
  <c r="J1749" i="677"/>
  <c r="H1749" i="677"/>
  <c r="K1749" i="677" s="1"/>
  <c r="S1748" i="677"/>
  <c r="J1748" i="677"/>
  <c r="H1748" i="677"/>
  <c r="S1747" i="677"/>
  <c r="J1747" i="677"/>
  <c r="H1747" i="677"/>
  <c r="S1745" i="677"/>
  <c r="J1745" i="677"/>
  <c r="H1745" i="677"/>
  <c r="S1744" i="677"/>
  <c r="J1744" i="677"/>
  <c r="H1744" i="677"/>
  <c r="K1744" i="677" s="1"/>
  <c r="S1743" i="677"/>
  <c r="J1743" i="677"/>
  <c r="H1743" i="677"/>
  <c r="S1742" i="677"/>
  <c r="J1742" i="677"/>
  <c r="H1742" i="677"/>
  <c r="S1741" i="677"/>
  <c r="J1741" i="677"/>
  <c r="H1741" i="677"/>
  <c r="S1740" i="677"/>
  <c r="J1740" i="677"/>
  <c r="H1740" i="677"/>
  <c r="K1740" i="677" s="1"/>
  <c r="S1739" i="677"/>
  <c r="J1739" i="677"/>
  <c r="H1739" i="677"/>
  <c r="K1739" i="677" s="1"/>
  <c r="S1735" i="677"/>
  <c r="J1735" i="677"/>
  <c r="H1735" i="677"/>
  <c r="S1734" i="677"/>
  <c r="J1734" i="677"/>
  <c r="S1733" i="677"/>
  <c r="J1733" i="677"/>
  <c r="H1733" i="677"/>
  <c r="K1733" i="677" s="1"/>
  <c r="S1732" i="677"/>
  <c r="J1732" i="677"/>
  <c r="H1732" i="677"/>
  <c r="K1732" i="677" s="1"/>
  <c r="S1731" i="677"/>
  <c r="J1731" i="677"/>
  <c r="K1731" i="677" s="1"/>
  <c r="H1731" i="677"/>
  <c r="S1730" i="677"/>
  <c r="J1730" i="677"/>
  <c r="H1730" i="677"/>
  <c r="S1729" i="677"/>
  <c r="J1729" i="677"/>
  <c r="H1729" i="677"/>
  <c r="E1728" i="677"/>
  <c r="E1727" i="677"/>
  <c r="H1727" i="677" s="1"/>
  <c r="E1726" i="677"/>
  <c r="E1755" i="677" s="1"/>
  <c r="E1725" i="677"/>
  <c r="S1725" i="677" s="1"/>
  <c r="E1724" i="677"/>
  <c r="H1724" i="677" s="1"/>
  <c r="S1723" i="677"/>
  <c r="J1723" i="677"/>
  <c r="H1723" i="677"/>
  <c r="E1722" i="677"/>
  <c r="E1753" i="677" s="1"/>
  <c r="E1721" i="677"/>
  <c r="E1752" i="677" s="1"/>
  <c r="E1720" i="677"/>
  <c r="E1751" i="677" s="1"/>
  <c r="H1751" i="677" s="1"/>
  <c r="E1719" i="677"/>
  <c r="S1718" i="677"/>
  <c r="J1718" i="677"/>
  <c r="H1718" i="677"/>
  <c r="K1718" i="677" s="1"/>
  <c r="S1717" i="677"/>
  <c r="J1717" i="677"/>
  <c r="H1717" i="677"/>
  <c r="S1716" i="677"/>
  <c r="J1716" i="677"/>
  <c r="H1716" i="677"/>
  <c r="S1715" i="677"/>
  <c r="J1715" i="677"/>
  <c r="H1715" i="677"/>
  <c r="S1714" i="677"/>
  <c r="J1714" i="677"/>
  <c r="H1714" i="677"/>
  <c r="S1713" i="677"/>
  <c r="J1713" i="677"/>
  <c r="H1713" i="677"/>
  <c r="S1712" i="677"/>
  <c r="J1712" i="677"/>
  <c r="H1712" i="677"/>
  <c r="K1712" i="677" s="1"/>
  <c r="S1711" i="677"/>
  <c r="J1711" i="677"/>
  <c r="H1711" i="677"/>
  <c r="S1710" i="677"/>
  <c r="J1710" i="677"/>
  <c r="H1710" i="677"/>
  <c r="E1709" i="677"/>
  <c r="E1738" i="677" s="1"/>
  <c r="E1708" i="677"/>
  <c r="E1737" i="677" s="1"/>
  <c r="E1707" i="677"/>
  <c r="E1736" i="677" s="1"/>
  <c r="S1706" i="677"/>
  <c r="J1706" i="677"/>
  <c r="H1706" i="677"/>
  <c r="S1705" i="677"/>
  <c r="J1705" i="677"/>
  <c r="H1705" i="677"/>
  <c r="S1704" i="677"/>
  <c r="J1704" i="677"/>
  <c r="H1704" i="677"/>
  <c r="S1703" i="677"/>
  <c r="J1703" i="677"/>
  <c r="H1703" i="677"/>
  <c r="S1702" i="677"/>
  <c r="J1702" i="677"/>
  <c r="H1702" i="677"/>
  <c r="K1702" i="677" s="1"/>
  <c r="S1701" i="677"/>
  <c r="J1701" i="677"/>
  <c r="H1701" i="677"/>
  <c r="S1700" i="677"/>
  <c r="J1700" i="677"/>
  <c r="H1700" i="677"/>
  <c r="S1699" i="677"/>
  <c r="J1699" i="677"/>
  <c r="H1699" i="677"/>
  <c r="S1698" i="677"/>
  <c r="J1698" i="677"/>
  <c r="H1698" i="677"/>
  <c r="K1698" i="677" s="1"/>
  <c r="S1697" i="677"/>
  <c r="J1697" i="677"/>
  <c r="H1697" i="677"/>
  <c r="S1696" i="677"/>
  <c r="J1696" i="677"/>
  <c r="H1696" i="677"/>
  <c r="K1696" i="677" s="1"/>
  <c r="S1695" i="677"/>
  <c r="J1695" i="677"/>
  <c r="H1695" i="677"/>
  <c r="S1694" i="677"/>
  <c r="J1694" i="677"/>
  <c r="H1694" i="677"/>
  <c r="K1694" i="677" s="1"/>
  <c r="S1693" i="677"/>
  <c r="J1693" i="677"/>
  <c r="H1693" i="677"/>
  <c r="K1693" i="677" s="1"/>
  <c r="S1692" i="677"/>
  <c r="J1692" i="677"/>
  <c r="H1692" i="677"/>
  <c r="K1692" i="677" s="1"/>
  <c r="S1691" i="677"/>
  <c r="J1691" i="677"/>
  <c r="H1691" i="677"/>
  <c r="S1690" i="677"/>
  <c r="J1690" i="677"/>
  <c r="H1690" i="677"/>
  <c r="K1690" i="677" s="1"/>
  <c r="S1689" i="677"/>
  <c r="J1689" i="677"/>
  <c r="H1689" i="677"/>
  <c r="K1689" i="677" s="1"/>
  <c r="S1688" i="677"/>
  <c r="J1688" i="677"/>
  <c r="H1688" i="677"/>
  <c r="S1687" i="677"/>
  <c r="J1687" i="677"/>
  <c r="H1687" i="677"/>
  <c r="S1686" i="677"/>
  <c r="J1686" i="677"/>
  <c r="H1686" i="677"/>
  <c r="K1686" i="677" s="1"/>
  <c r="S1685" i="677"/>
  <c r="J1685" i="677"/>
  <c r="H1685" i="677"/>
  <c r="K1685" i="677" s="1"/>
  <c r="S1684" i="677"/>
  <c r="J1684" i="677"/>
  <c r="H1684" i="677"/>
  <c r="S1683" i="677"/>
  <c r="J1683" i="677"/>
  <c r="H1683" i="677"/>
  <c r="S1682" i="677"/>
  <c r="J1682" i="677"/>
  <c r="H1682" i="677"/>
  <c r="S1681" i="677"/>
  <c r="J1681" i="677"/>
  <c r="H1681" i="677"/>
  <c r="K1681" i="677" s="1"/>
  <c r="S1680" i="677"/>
  <c r="J1680" i="677"/>
  <c r="H1680" i="677"/>
  <c r="K1680" i="677" s="1"/>
  <c r="S1679" i="677"/>
  <c r="M1679" i="677"/>
  <c r="J1679" i="677"/>
  <c r="H1679" i="677"/>
  <c r="S1678" i="677"/>
  <c r="J1678" i="677"/>
  <c r="H1678" i="677"/>
  <c r="S1677" i="677"/>
  <c r="J1677" i="677"/>
  <c r="H1677" i="677"/>
  <c r="S1676" i="677"/>
  <c r="J1676" i="677"/>
  <c r="H1676" i="677"/>
  <c r="K1676" i="677" s="1"/>
  <c r="S1675" i="677"/>
  <c r="J1675" i="677"/>
  <c r="H1675" i="677"/>
  <c r="K1675" i="677" s="1"/>
  <c r="S1674" i="677"/>
  <c r="J1674" i="677"/>
  <c r="K1674" i="677" s="1"/>
  <c r="H1674" i="677"/>
  <c r="S1673" i="677"/>
  <c r="J1673" i="677"/>
  <c r="H1673" i="677"/>
  <c r="K1673" i="677" s="1"/>
  <c r="S1672" i="677"/>
  <c r="J1672" i="677"/>
  <c r="H1672" i="677"/>
  <c r="K1672" i="677" s="1"/>
  <c r="S1671" i="677"/>
  <c r="J1671" i="677"/>
  <c r="H1671" i="677"/>
  <c r="S1670" i="677"/>
  <c r="J1670" i="677"/>
  <c r="H1670" i="677"/>
  <c r="S1669" i="677"/>
  <c r="J1669" i="677"/>
  <c r="H1669" i="677"/>
  <c r="S1668" i="677"/>
  <c r="J1668" i="677"/>
  <c r="H1668" i="677"/>
  <c r="S1667" i="677"/>
  <c r="J1667" i="677"/>
  <c r="H1667" i="677"/>
  <c r="K1667" i="677" s="1"/>
  <c r="S1666" i="677"/>
  <c r="J1666" i="677"/>
  <c r="H1666" i="677"/>
  <c r="S1665" i="677"/>
  <c r="J1665" i="677"/>
  <c r="H1665" i="677"/>
  <c r="K1665" i="677" s="1"/>
  <c r="S1664" i="677"/>
  <c r="J1664" i="677"/>
  <c r="H1664" i="677"/>
  <c r="K1664" i="677" s="1"/>
  <c r="S1663" i="677"/>
  <c r="J1663" i="677"/>
  <c r="H1663" i="677"/>
  <c r="K1663" i="677" s="1"/>
  <c r="S1662" i="677"/>
  <c r="J1662" i="677"/>
  <c r="K1662" i="677" s="1"/>
  <c r="H1662" i="677"/>
  <c r="S1661" i="677"/>
  <c r="J1661" i="677"/>
  <c r="H1661" i="677"/>
  <c r="S1660" i="677"/>
  <c r="J1660" i="677"/>
  <c r="H1660" i="677"/>
  <c r="K1660" i="677" s="1"/>
  <c r="S1659" i="677"/>
  <c r="J1659" i="677"/>
  <c r="H1659" i="677"/>
  <c r="S1658" i="677"/>
  <c r="J1658" i="677"/>
  <c r="H1658" i="677"/>
  <c r="S1657" i="677"/>
  <c r="J1657" i="677"/>
  <c r="H1657" i="677"/>
  <c r="K1657" i="677" s="1"/>
  <c r="S1656" i="677"/>
  <c r="J1656" i="677"/>
  <c r="H1656" i="677"/>
  <c r="K1656" i="677" s="1"/>
  <c r="S1655" i="677"/>
  <c r="J1655" i="677"/>
  <c r="H1655" i="677"/>
  <c r="K1655" i="677" s="1"/>
  <c r="S1654" i="677"/>
  <c r="M1654" i="677"/>
  <c r="J1654" i="677"/>
  <c r="H1654" i="677"/>
  <c r="K1654" i="677" s="1"/>
  <c r="S1653" i="677"/>
  <c r="J1653" i="677"/>
  <c r="H1653" i="677"/>
  <c r="S1652" i="677"/>
  <c r="J1652" i="677"/>
  <c r="H1652" i="677"/>
  <c r="K1652" i="677" s="1"/>
  <c r="S1651" i="677"/>
  <c r="J1651" i="677"/>
  <c r="H1651" i="677"/>
  <c r="S1650" i="677"/>
  <c r="J1650" i="677"/>
  <c r="H1650" i="677"/>
  <c r="K1650" i="677" s="1"/>
  <c r="S1649" i="677"/>
  <c r="J1649" i="677"/>
  <c r="H1649" i="677"/>
  <c r="S1648" i="677"/>
  <c r="J1648" i="677"/>
  <c r="H1648" i="677"/>
  <c r="S1647" i="677"/>
  <c r="J1647" i="677"/>
  <c r="H1647" i="677"/>
  <c r="S1646" i="677"/>
  <c r="J1646" i="677"/>
  <c r="H1646" i="677"/>
  <c r="S1645" i="677"/>
  <c r="J1645" i="677"/>
  <c r="H1645" i="677"/>
  <c r="S1644" i="677"/>
  <c r="J1644" i="677"/>
  <c r="H1644" i="677"/>
  <c r="K1644" i="677" s="1"/>
  <c r="S1643" i="677"/>
  <c r="J1643" i="677"/>
  <c r="H1643" i="677"/>
  <c r="K1643" i="677" s="1"/>
  <c r="S1642" i="677"/>
  <c r="J1642" i="677"/>
  <c r="H1642" i="677"/>
  <c r="K1642" i="677" s="1"/>
  <c r="S1641" i="677"/>
  <c r="J1641" i="677"/>
  <c r="H1641" i="677"/>
  <c r="S1640" i="677"/>
  <c r="J1640" i="677"/>
  <c r="H1640" i="677"/>
  <c r="S1639" i="677"/>
  <c r="J1639" i="677"/>
  <c r="H1639" i="677"/>
  <c r="S1638" i="677"/>
  <c r="J1638" i="677"/>
  <c r="H1638" i="677"/>
  <c r="K1638" i="677" s="1"/>
  <c r="S1637" i="677"/>
  <c r="J1637" i="677"/>
  <c r="H1637" i="677"/>
  <c r="S1636" i="677"/>
  <c r="J1636" i="677"/>
  <c r="H1636" i="677"/>
  <c r="S1635" i="677"/>
  <c r="J1635" i="677"/>
  <c r="H1635" i="677"/>
  <c r="K1635" i="677" s="1"/>
  <c r="S1634" i="677"/>
  <c r="J1634" i="677"/>
  <c r="H1634" i="677"/>
  <c r="K1634" i="677" s="1"/>
  <c r="S1633" i="677"/>
  <c r="J1633" i="677"/>
  <c r="H1633" i="677"/>
  <c r="S1632" i="677"/>
  <c r="J1632" i="677"/>
  <c r="H1632" i="677"/>
  <c r="K1632" i="677" s="1"/>
  <c r="S1631" i="677"/>
  <c r="J1631" i="677"/>
  <c r="H1631" i="677"/>
  <c r="S1630" i="677"/>
  <c r="J1630" i="677"/>
  <c r="H1630" i="677"/>
  <c r="K1630" i="677" s="1"/>
  <c r="S1629" i="677"/>
  <c r="J1629" i="677"/>
  <c r="H1629" i="677"/>
  <c r="S1628" i="677"/>
  <c r="J1628" i="677"/>
  <c r="H1628" i="677"/>
  <c r="K1628" i="677" s="1"/>
  <c r="S1627" i="677"/>
  <c r="J1627" i="677"/>
  <c r="H1627" i="677"/>
  <c r="S1626" i="677"/>
  <c r="M1626" i="677"/>
  <c r="J1626" i="677"/>
  <c r="H1626" i="677"/>
  <c r="S1625" i="677"/>
  <c r="J1625" i="677"/>
  <c r="H1625" i="677"/>
  <c r="K1625" i="677" s="1"/>
  <c r="S1624" i="677"/>
  <c r="J1624" i="677"/>
  <c r="H1624" i="677"/>
  <c r="S1623" i="677"/>
  <c r="J1623" i="677"/>
  <c r="H1623" i="677"/>
  <c r="K1623" i="677" s="1"/>
  <c r="S1622" i="677"/>
  <c r="J1622" i="677"/>
  <c r="H1622" i="677"/>
  <c r="S1621" i="677"/>
  <c r="J1621" i="677"/>
  <c r="H1621" i="677"/>
  <c r="S1620" i="677"/>
  <c r="J1620" i="677"/>
  <c r="K1620" i="677" s="1"/>
  <c r="H1620" i="677"/>
  <c r="S1619" i="677"/>
  <c r="J1619" i="677"/>
  <c r="H1619" i="677"/>
  <c r="K1619" i="677" s="1"/>
  <c r="S1618" i="677"/>
  <c r="J1618" i="677"/>
  <c r="H1618" i="677"/>
  <c r="K1618" i="677" s="1"/>
  <c r="S1617" i="677"/>
  <c r="J1617" i="677"/>
  <c r="H1617" i="677"/>
  <c r="K1617" i="677" s="1"/>
  <c r="S1616" i="677"/>
  <c r="J1616" i="677"/>
  <c r="H1616" i="677"/>
  <c r="S1615" i="677"/>
  <c r="J1615" i="677"/>
  <c r="H1615" i="677"/>
  <c r="K1615" i="677" s="1"/>
  <c r="S1614" i="677"/>
  <c r="J1614" i="677"/>
  <c r="H1614" i="677"/>
  <c r="K1614" i="677" s="1"/>
  <c r="S1613" i="677"/>
  <c r="J1613" i="677"/>
  <c r="H1613" i="677"/>
  <c r="K1613" i="677" s="1"/>
  <c r="S1612" i="677"/>
  <c r="M1612" i="677"/>
  <c r="J1612" i="677"/>
  <c r="H1612" i="677"/>
  <c r="S1611" i="677"/>
  <c r="S1610" i="677"/>
  <c r="J1610" i="677"/>
  <c r="H1610" i="677"/>
  <c r="K1610" i="677" s="1"/>
  <c r="S1609" i="677"/>
  <c r="J1609" i="677"/>
  <c r="H1609" i="677"/>
  <c r="S1608" i="677"/>
  <c r="J1608" i="677"/>
  <c r="H1608" i="677"/>
  <c r="S1607" i="677"/>
  <c r="J1607" i="677"/>
  <c r="H1607" i="677"/>
  <c r="S1606" i="677"/>
  <c r="J1606" i="677"/>
  <c r="H1606" i="677"/>
  <c r="K1606" i="677" s="1"/>
  <c r="S1605" i="677"/>
  <c r="J1605" i="677"/>
  <c r="H1605" i="677"/>
  <c r="S1604" i="677"/>
  <c r="J1604" i="677"/>
  <c r="H1604" i="677"/>
  <c r="K1604" i="677" s="1"/>
  <c r="S1603" i="677"/>
  <c r="J1603" i="677"/>
  <c r="H1603" i="677"/>
  <c r="M1602" i="677"/>
  <c r="B1600" i="677"/>
  <c r="N1599" i="677"/>
  <c r="J1599" i="677"/>
  <c r="H1599" i="677"/>
  <c r="K1599" i="677" s="1"/>
  <c r="N1598" i="677"/>
  <c r="J1598" i="677"/>
  <c r="H1598" i="677"/>
  <c r="K1598" i="677" s="1"/>
  <c r="N1597" i="677"/>
  <c r="J1597" i="677"/>
  <c r="H1597" i="677"/>
  <c r="N1596" i="677"/>
  <c r="E1596" i="677"/>
  <c r="J1596" i="677" s="1"/>
  <c r="N1595" i="677"/>
  <c r="J1595" i="677"/>
  <c r="H1595" i="677"/>
  <c r="N1594" i="677"/>
  <c r="J1594" i="677"/>
  <c r="H1594" i="677"/>
  <c r="N1593" i="677"/>
  <c r="J1593" i="677"/>
  <c r="H1593" i="677"/>
  <c r="N1592" i="677"/>
  <c r="J1592" i="677"/>
  <c r="K1592" i="677" s="1"/>
  <c r="N1591" i="677"/>
  <c r="J1591" i="677"/>
  <c r="K1591" i="677" s="1"/>
  <c r="H1591" i="677"/>
  <c r="N1590" i="677"/>
  <c r="J1590" i="677"/>
  <c r="H1590" i="677"/>
  <c r="N1589" i="677"/>
  <c r="E1589" i="677"/>
  <c r="J1589" i="677" s="1"/>
  <c r="N1588" i="677"/>
  <c r="J1588" i="677"/>
  <c r="H1588" i="677"/>
  <c r="N1587" i="677"/>
  <c r="J1587" i="677"/>
  <c r="H1587" i="677"/>
  <c r="N1586" i="677"/>
  <c r="J1586" i="677"/>
  <c r="H1586" i="677"/>
  <c r="N1585" i="677"/>
  <c r="J1585" i="677"/>
  <c r="K1585" i="677" s="1"/>
  <c r="N1584" i="677"/>
  <c r="E1584" i="677"/>
  <c r="J1584" i="677" s="1"/>
  <c r="N1583" i="677"/>
  <c r="J1583" i="677"/>
  <c r="H1583" i="677"/>
  <c r="K1583" i="677" s="1"/>
  <c r="N1582" i="677"/>
  <c r="K1582" i="677"/>
  <c r="J1582" i="677"/>
  <c r="H1582" i="677"/>
  <c r="N1581" i="677"/>
  <c r="J1581" i="677"/>
  <c r="H1581" i="677"/>
  <c r="N1580" i="677"/>
  <c r="J1580" i="677"/>
  <c r="H1580" i="677"/>
  <c r="N1579" i="677"/>
  <c r="J1579" i="677"/>
  <c r="K1579" i="677" s="1"/>
  <c r="N1578" i="677"/>
  <c r="J1578" i="677"/>
  <c r="H1578" i="677"/>
  <c r="N1577" i="677"/>
  <c r="J1577" i="677"/>
  <c r="I1577" i="677"/>
  <c r="G1577" i="677"/>
  <c r="H1577" i="677" s="1"/>
  <c r="N1576" i="677"/>
  <c r="K1576" i="677"/>
  <c r="J1576" i="677"/>
  <c r="H1576" i="677"/>
  <c r="N1575" i="677"/>
  <c r="E1575" i="677"/>
  <c r="N1574" i="677"/>
  <c r="E1574" i="677"/>
  <c r="J1574" i="677" s="1"/>
  <c r="N1573" i="677"/>
  <c r="E1573" i="677"/>
  <c r="J1573" i="677" s="1"/>
  <c r="N1572" i="677"/>
  <c r="E1572" i="677"/>
  <c r="N1571" i="677"/>
  <c r="J1571" i="677"/>
  <c r="K1571" i="677" s="1"/>
  <c r="B1569" i="677"/>
  <c r="N1568" i="677"/>
  <c r="N1567" i="677"/>
  <c r="N1566" i="677"/>
  <c r="E1566" i="677" s="1"/>
  <c r="J1566" i="677" s="1"/>
  <c r="N1565" i="677"/>
  <c r="E1565" i="677" s="1"/>
  <c r="N1564" i="677"/>
  <c r="E1564" i="677"/>
  <c r="N1563" i="677"/>
  <c r="E1563" i="677" s="1"/>
  <c r="N1562" i="677"/>
  <c r="E1562" i="677" s="1"/>
  <c r="N1561" i="677"/>
  <c r="E1561" i="677" s="1"/>
  <c r="H1561" i="677" s="1"/>
  <c r="N1560" i="677"/>
  <c r="E1560" i="677" s="1"/>
  <c r="N1559" i="677"/>
  <c r="E1559" i="677" s="1"/>
  <c r="J1559" i="677" s="1"/>
  <c r="N1558" i="677"/>
  <c r="E1558" i="677" s="1"/>
  <c r="J1558" i="677" s="1"/>
  <c r="N1557" i="677"/>
  <c r="E1557" i="677" s="1"/>
  <c r="J1557" i="677" s="1"/>
  <c r="N1556" i="677"/>
  <c r="E1556" i="677" s="1"/>
  <c r="N1555" i="677"/>
  <c r="J1555" i="677"/>
  <c r="H1555" i="677"/>
  <c r="K1555" i="677" s="1"/>
  <c r="N1554" i="677"/>
  <c r="J1554" i="677"/>
  <c r="H1554" i="677"/>
  <c r="N1553" i="677"/>
  <c r="J1553" i="677"/>
  <c r="K1553" i="677" s="1"/>
  <c r="N1551" i="677"/>
  <c r="J1551" i="677"/>
  <c r="H1551" i="677"/>
  <c r="K1551" i="677" s="1"/>
  <c r="N1550" i="677"/>
  <c r="E1550" i="677" s="1"/>
  <c r="N1549" i="677"/>
  <c r="E1549" i="677" s="1"/>
  <c r="N1548" i="677"/>
  <c r="E1548" i="677" s="1"/>
  <c r="N1547" i="677"/>
  <c r="E1547" i="677" s="1"/>
  <c r="H1547" i="677" s="1"/>
  <c r="N1546" i="677"/>
  <c r="E1546" i="677" s="1"/>
  <c r="J1546" i="677" s="1"/>
  <c r="N1545" i="677"/>
  <c r="E1545" i="677" s="1"/>
  <c r="J1545" i="677" s="1"/>
  <c r="N1544" i="677"/>
  <c r="E1544" i="677"/>
  <c r="J1544" i="677" s="1"/>
  <c r="N1543" i="677"/>
  <c r="J1543" i="677"/>
  <c r="H1543" i="677"/>
  <c r="K1543" i="677" s="1"/>
  <c r="N1542" i="677"/>
  <c r="J1542" i="677"/>
  <c r="H1542" i="677"/>
  <c r="N1541" i="677"/>
  <c r="E1541" i="677" s="1"/>
  <c r="N1540" i="677"/>
  <c r="E1540" i="677" s="1"/>
  <c r="N1539" i="677"/>
  <c r="J1539" i="677"/>
  <c r="H1539" i="677"/>
  <c r="N1538" i="677"/>
  <c r="J1538" i="677"/>
  <c r="H1538" i="677"/>
  <c r="K1538" i="677" s="1"/>
  <c r="N1537" i="677"/>
  <c r="J1537" i="677"/>
  <c r="K1537" i="677" s="1"/>
  <c r="N1536" i="677"/>
  <c r="N1535" i="677"/>
  <c r="J1535" i="677"/>
  <c r="H1535" i="677"/>
  <c r="K1535" i="677" s="1"/>
  <c r="N1534" i="677"/>
  <c r="E1534" i="677" s="1"/>
  <c r="N1533" i="677"/>
  <c r="E1533" i="677" s="1"/>
  <c r="N1532" i="677"/>
  <c r="E1532" i="677"/>
  <c r="J1532" i="677" s="1"/>
  <c r="N1531" i="677"/>
  <c r="E1531" i="677" s="1"/>
  <c r="N1529" i="677"/>
  <c r="E1529" i="677" s="1"/>
  <c r="N1528" i="677"/>
  <c r="E1528" i="677" s="1"/>
  <c r="N1527" i="677"/>
  <c r="E1527" i="677" s="1"/>
  <c r="H1527" i="677" s="1"/>
  <c r="N1526" i="677"/>
  <c r="J1526" i="677"/>
  <c r="H1526" i="677"/>
  <c r="K1526" i="677" s="1"/>
  <c r="N1525" i="677"/>
  <c r="J1525" i="677"/>
  <c r="H1525" i="677"/>
  <c r="N1524" i="677"/>
  <c r="E1524" i="677" s="1"/>
  <c r="N1523" i="677"/>
  <c r="E1523" i="677" s="1"/>
  <c r="N1522" i="677"/>
  <c r="J1522" i="677"/>
  <c r="H1522" i="677"/>
  <c r="N1521" i="677"/>
  <c r="J1521" i="677"/>
  <c r="H1521" i="677"/>
  <c r="N1520" i="677"/>
  <c r="J1520" i="677"/>
  <c r="K1520" i="677" s="1"/>
  <c r="N1518" i="677"/>
  <c r="J1518" i="677"/>
  <c r="H1518" i="677"/>
  <c r="K1518" i="677" s="1"/>
  <c r="N1517" i="677"/>
  <c r="E1517" i="677" s="1"/>
  <c r="N1516" i="677"/>
  <c r="E1516" i="677" s="1"/>
  <c r="N1515" i="677"/>
  <c r="E1515" i="677" s="1"/>
  <c r="H1515" i="677" s="1"/>
  <c r="N1514" i="677"/>
  <c r="E1514" i="677" s="1"/>
  <c r="N1513" i="677"/>
  <c r="E1513" i="677" s="1"/>
  <c r="J1513" i="677" s="1"/>
  <c r="N1512" i="677"/>
  <c r="E1512" i="677"/>
  <c r="J1512" i="677" s="1"/>
  <c r="N1511" i="677"/>
  <c r="E1511" i="677" s="1"/>
  <c r="J1511" i="677" s="1"/>
  <c r="N1510" i="677"/>
  <c r="J1510" i="677"/>
  <c r="H1510" i="677"/>
  <c r="K1510" i="677" s="1"/>
  <c r="N1509" i="677"/>
  <c r="J1509" i="677"/>
  <c r="H1509" i="677"/>
  <c r="N1508" i="677"/>
  <c r="E1508" i="677" s="1"/>
  <c r="N1507" i="677"/>
  <c r="E1507" i="677" s="1"/>
  <c r="N1506" i="677"/>
  <c r="J1506" i="677"/>
  <c r="H1506" i="677"/>
  <c r="K1506" i="677" s="1"/>
  <c r="N1505" i="677"/>
  <c r="J1505" i="677"/>
  <c r="H1505" i="677"/>
  <c r="N1504" i="677"/>
  <c r="J1504" i="677"/>
  <c r="K1504" i="677" s="1"/>
  <c r="N1502" i="677"/>
  <c r="J1502" i="677"/>
  <c r="H1502" i="677"/>
  <c r="K1502" i="677" s="1"/>
  <c r="N1501" i="677"/>
  <c r="E1501" i="677" s="1"/>
  <c r="J1501" i="677" s="1"/>
  <c r="N1500" i="677"/>
  <c r="E1500" i="677" s="1"/>
  <c r="J1500" i="677" s="1"/>
  <c r="N1499" i="677"/>
  <c r="E1499" i="677" s="1"/>
  <c r="J1499" i="677" s="1"/>
  <c r="N1498" i="677"/>
  <c r="E1498" i="677" s="1"/>
  <c r="N1497" i="677"/>
  <c r="E1497" i="677" s="1"/>
  <c r="N1496" i="677"/>
  <c r="E1496" i="677" s="1"/>
  <c r="J1496" i="677" s="1"/>
  <c r="H1496" i="677"/>
  <c r="N1495" i="677"/>
  <c r="E1495" i="677" s="1"/>
  <c r="J1495" i="677" s="1"/>
  <c r="N1494" i="677"/>
  <c r="J1494" i="677"/>
  <c r="H1494" i="677"/>
  <c r="N1493" i="677"/>
  <c r="J1493" i="677"/>
  <c r="H1493" i="677"/>
  <c r="K1493" i="677" s="1"/>
  <c r="N1492" i="677"/>
  <c r="E1492" i="677" s="1"/>
  <c r="H1492" i="677" s="1"/>
  <c r="N1491" i="677"/>
  <c r="E1491" i="677" s="1"/>
  <c r="J1491" i="677" s="1"/>
  <c r="N1490" i="677"/>
  <c r="J1490" i="677"/>
  <c r="H1490" i="677"/>
  <c r="N1489" i="677"/>
  <c r="J1489" i="677"/>
  <c r="H1489" i="677"/>
  <c r="K1489" i="677" s="1"/>
  <c r="N1488" i="677"/>
  <c r="J1488" i="677"/>
  <c r="K1488" i="677" s="1"/>
  <c r="N1487" i="677"/>
  <c r="J1487" i="677"/>
  <c r="K1487" i="677" s="1"/>
  <c r="N1486" i="677"/>
  <c r="J1486" i="677"/>
  <c r="H1486" i="677"/>
  <c r="N1485" i="677"/>
  <c r="E1485" i="677" s="1"/>
  <c r="N1484" i="677"/>
  <c r="E1484" i="677" s="1"/>
  <c r="N1483" i="677"/>
  <c r="E1483" i="677" s="1"/>
  <c r="N1482" i="677"/>
  <c r="E1482" i="677" s="1"/>
  <c r="N1480" i="677"/>
  <c r="E1480" i="677" s="1"/>
  <c r="N1479" i="677"/>
  <c r="E1479" i="677" s="1"/>
  <c r="J1479" i="677" s="1"/>
  <c r="N1478" i="677"/>
  <c r="E1478" i="677" s="1"/>
  <c r="J1478" i="677" s="1"/>
  <c r="N1477" i="677"/>
  <c r="J1477" i="677"/>
  <c r="H1477" i="677"/>
  <c r="N1476" i="677"/>
  <c r="J1476" i="677"/>
  <c r="H1476" i="677"/>
  <c r="K1476" i="677" s="1"/>
  <c r="N1475" i="677"/>
  <c r="E1475" i="677" s="1"/>
  <c r="N1474" i="677"/>
  <c r="E1474" i="677" s="1"/>
  <c r="N1473" i="677"/>
  <c r="J1473" i="677"/>
  <c r="H1473" i="677"/>
  <c r="N1472" i="677"/>
  <c r="J1472" i="677"/>
  <c r="H1472" i="677"/>
  <c r="K1472" i="677" s="1"/>
  <c r="N1471" i="677"/>
  <c r="J1471" i="677"/>
  <c r="K1471" i="677" s="1"/>
  <c r="N1470" i="677"/>
  <c r="J1470" i="677"/>
  <c r="K1470" i="677" s="1"/>
  <c r="N1469" i="677"/>
  <c r="J1469" i="677"/>
  <c r="H1469" i="677"/>
  <c r="N1468" i="677"/>
  <c r="E1468" i="677" s="1"/>
  <c r="N1467" i="677"/>
  <c r="E1467" i="677" s="1"/>
  <c r="N1466" i="677"/>
  <c r="E1466" i="677" s="1"/>
  <c r="N1465" i="677"/>
  <c r="E1465" i="677" s="1"/>
  <c r="J1465" i="677" s="1"/>
  <c r="N1464" i="677"/>
  <c r="E1464" i="677"/>
  <c r="J1464" i="677" s="1"/>
  <c r="N1463" i="677"/>
  <c r="E1463" i="677" s="1"/>
  <c r="N1462" i="677"/>
  <c r="E1462" i="677" s="1"/>
  <c r="N1461" i="677"/>
  <c r="J1461" i="677"/>
  <c r="H1461" i="677"/>
  <c r="N1460" i="677"/>
  <c r="J1460" i="677"/>
  <c r="H1460" i="677"/>
  <c r="K1460" i="677" s="1"/>
  <c r="N1459" i="677"/>
  <c r="E1459" i="677" s="1"/>
  <c r="J1459" i="677" s="1"/>
  <c r="N1458" i="677"/>
  <c r="E1458" i="677" s="1"/>
  <c r="N1457" i="677"/>
  <c r="K1457" i="677"/>
  <c r="J1457" i="677"/>
  <c r="H1457" i="677"/>
  <c r="N1456" i="677"/>
  <c r="J1456" i="677"/>
  <c r="H1456" i="677"/>
  <c r="N1455" i="677"/>
  <c r="J1455" i="677"/>
  <c r="K1455" i="677" s="1"/>
  <c r="N1454" i="677"/>
  <c r="J1454" i="677"/>
  <c r="K1454" i="677" s="1"/>
  <c r="N1449" i="677"/>
  <c r="J1449" i="677"/>
  <c r="H1449" i="677"/>
  <c r="N1448" i="677"/>
  <c r="E1448" i="677" s="1"/>
  <c r="N1447" i="677"/>
  <c r="E1447" i="677" s="1"/>
  <c r="H1447" i="677" s="1"/>
  <c r="N1446" i="677"/>
  <c r="E1446" i="677" s="1"/>
  <c r="N1445" i="677"/>
  <c r="E1445" i="677" s="1"/>
  <c r="J1445" i="677" s="1"/>
  <c r="N1443" i="677"/>
  <c r="E1443" i="677" s="1"/>
  <c r="J1443" i="677" s="1"/>
  <c r="N1442" i="677"/>
  <c r="E1442" i="677" s="1"/>
  <c r="N1441" i="677"/>
  <c r="E1441" i="677" s="1"/>
  <c r="N1440" i="677"/>
  <c r="J1440" i="677"/>
  <c r="H1440" i="677"/>
  <c r="N1439" i="677"/>
  <c r="J1439" i="677"/>
  <c r="H1439" i="677"/>
  <c r="K1439" i="677" s="1"/>
  <c r="N1438" i="677"/>
  <c r="E1438" i="677" s="1"/>
  <c r="N1437" i="677"/>
  <c r="E1437" i="677" s="1"/>
  <c r="N1436" i="677"/>
  <c r="J1436" i="677"/>
  <c r="H1436" i="677"/>
  <c r="N1435" i="677"/>
  <c r="J1435" i="677"/>
  <c r="H1435" i="677"/>
  <c r="K1435" i="677" s="1"/>
  <c r="N1434" i="677"/>
  <c r="J1434" i="677"/>
  <c r="K1434" i="677" s="1"/>
  <c r="N1433" i="677"/>
  <c r="J1433" i="677"/>
  <c r="K1433" i="677" s="1"/>
  <c r="N1432" i="677"/>
  <c r="J1432" i="677"/>
  <c r="H1432" i="677"/>
  <c r="N1431" i="677"/>
  <c r="E1431" i="677" s="1"/>
  <c r="N1430" i="677"/>
  <c r="E1430" i="677" s="1"/>
  <c r="J1430" i="677" s="1"/>
  <c r="H1430" i="677"/>
  <c r="N1429" i="677"/>
  <c r="E1429" i="677"/>
  <c r="J1429" i="677" s="1"/>
  <c r="N1428" i="677"/>
  <c r="E1428" i="677" s="1"/>
  <c r="N1426" i="677"/>
  <c r="E1426" i="677" s="1"/>
  <c r="N1425" i="677"/>
  <c r="E1425" i="677" s="1"/>
  <c r="N1424" i="677"/>
  <c r="E1424" i="677" s="1"/>
  <c r="N1423" i="677"/>
  <c r="J1423" i="677"/>
  <c r="H1423" i="677"/>
  <c r="N1422" i="677"/>
  <c r="J1422" i="677"/>
  <c r="H1422" i="677"/>
  <c r="K1422" i="677" s="1"/>
  <c r="N1421" i="677"/>
  <c r="E1421" i="677" s="1"/>
  <c r="N1420" i="677"/>
  <c r="E1420" i="677" s="1"/>
  <c r="N1419" i="677"/>
  <c r="J1419" i="677"/>
  <c r="H1419" i="677"/>
  <c r="N1418" i="677"/>
  <c r="J1418" i="677"/>
  <c r="H1418" i="677"/>
  <c r="K1418" i="677" s="1"/>
  <c r="N1417" i="677"/>
  <c r="J1417" i="677"/>
  <c r="K1417" i="677" s="1"/>
  <c r="N1416" i="677"/>
  <c r="N1415" i="677"/>
  <c r="J1415" i="677"/>
  <c r="H1415" i="677"/>
  <c r="N1414" i="677"/>
  <c r="E1414" i="677" s="1"/>
  <c r="J1414" i="677" s="1"/>
  <c r="N1413" i="677"/>
  <c r="E1413" i="677" s="1"/>
  <c r="N1412" i="677"/>
  <c r="E1412" i="677" s="1"/>
  <c r="N1411" i="677"/>
  <c r="E1411" i="677" s="1"/>
  <c r="N1410" i="677"/>
  <c r="E1410" i="677" s="1"/>
  <c r="J1410" i="677" s="1"/>
  <c r="N1409" i="677"/>
  <c r="E1409" i="677" s="1"/>
  <c r="J1409" i="677" s="1"/>
  <c r="N1408" i="677"/>
  <c r="E1408" i="677" s="1"/>
  <c r="N1407" i="677"/>
  <c r="J1407" i="677"/>
  <c r="H1407" i="677"/>
  <c r="N1406" i="677"/>
  <c r="J1406" i="677"/>
  <c r="H1406" i="677"/>
  <c r="N1405" i="677"/>
  <c r="E1405" i="677" s="1"/>
  <c r="J1405" i="677" s="1"/>
  <c r="N1404" i="677"/>
  <c r="E1404" i="677" s="1"/>
  <c r="J1404" i="677" s="1"/>
  <c r="N1403" i="677"/>
  <c r="J1403" i="677"/>
  <c r="H1403" i="677"/>
  <c r="N1402" i="677"/>
  <c r="J1402" i="677"/>
  <c r="H1402" i="677"/>
  <c r="N1401" i="677"/>
  <c r="J1401" i="677"/>
  <c r="K1401" i="677" s="1"/>
  <c r="N1400" i="677"/>
  <c r="N1398" i="677"/>
  <c r="J1398" i="677"/>
  <c r="H1398" i="677"/>
  <c r="N1397" i="677"/>
  <c r="E1397" i="677" s="1"/>
  <c r="H1397" i="677" s="1"/>
  <c r="N1396" i="677"/>
  <c r="E1396" i="677" s="1"/>
  <c r="N1395" i="677"/>
  <c r="E1395" i="677" s="1"/>
  <c r="N1394" i="677"/>
  <c r="E1394" i="677"/>
  <c r="J1394" i="677" s="1"/>
  <c r="N1393" i="677"/>
  <c r="E1393" i="677" s="1"/>
  <c r="N1392" i="677"/>
  <c r="E1392" i="677" s="1"/>
  <c r="N1391" i="677"/>
  <c r="E1391" i="677" s="1"/>
  <c r="N1390" i="677"/>
  <c r="J1390" i="677"/>
  <c r="H1390" i="677"/>
  <c r="N1389" i="677"/>
  <c r="J1389" i="677"/>
  <c r="H1389" i="677"/>
  <c r="N1387" i="677"/>
  <c r="E1387" i="677" s="1"/>
  <c r="N1386" i="677"/>
  <c r="E1386" i="677" s="1"/>
  <c r="H1386" i="677" s="1"/>
  <c r="N1385" i="677"/>
  <c r="J1385" i="677"/>
  <c r="H1385" i="677"/>
  <c r="N1384" i="677"/>
  <c r="J1384" i="677"/>
  <c r="H1384" i="677"/>
  <c r="N1383" i="677"/>
  <c r="J1383" i="677"/>
  <c r="K1383" i="677" s="1"/>
  <c r="N1382" i="677"/>
  <c r="J1382" i="677"/>
  <c r="K1382" i="677" s="1"/>
  <c r="N1381" i="677"/>
  <c r="J1381" i="677"/>
  <c r="H1381" i="677"/>
  <c r="N1380" i="677"/>
  <c r="E1380" i="677" s="1"/>
  <c r="H1380" i="677" s="1"/>
  <c r="N1379" i="677"/>
  <c r="E1379" i="677"/>
  <c r="J1379" i="677" s="1"/>
  <c r="N1378" i="677"/>
  <c r="E1378" i="677" s="1"/>
  <c r="N1377" i="677"/>
  <c r="E1377" i="677" s="1"/>
  <c r="N1376" i="677"/>
  <c r="E1376" i="677" s="1"/>
  <c r="N1375" i="677"/>
  <c r="E1375" i="677" s="1"/>
  <c r="H1375" i="677" s="1"/>
  <c r="N1374" i="677"/>
  <c r="E1374" i="677" s="1"/>
  <c r="N1373" i="677"/>
  <c r="J1373" i="677"/>
  <c r="H1373" i="677"/>
  <c r="N1372" i="677"/>
  <c r="J1372" i="677"/>
  <c r="H1372" i="677"/>
  <c r="N1371" i="677"/>
  <c r="E1371" i="677" s="1"/>
  <c r="N1370" i="677"/>
  <c r="E1370" i="677" s="1"/>
  <c r="N1369" i="677"/>
  <c r="J1369" i="677"/>
  <c r="H1369" i="677"/>
  <c r="K1369" i="677" s="1"/>
  <c r="N1368" i="677"/>
  <c r="J1368" i="677"/>
  <c r="H1368" i="677"/>
  <c r="N1367" i="677"/>
  <c r="N1366" i="677"/>
  <c r="J1366" i="677"/>
  <c r="H1366" i="677"/>
  <c r="N1365" i="677"/>
  <c r="E1365" i="677" s="1"/>
  <c r="J1365" i="677" s="1"/>
  <c r="N1364" i="677"/>
  <c r="E1364" i="677" s="1"/>
  <c r="J1364" i="677" s="1"/>
  <c r="N1363" i="677"/>
  <c r="E1363" i="677" s="1"/>
  <c r="J1363" i="677" s="1"/>
  <c r="N1362" i="677"/>
  <c r="E1362" i="677" s="1"/>
  <c r="N1361" i="677"/>
  <c r="E1361" i="677" s="1"/>
  <c r="N1360" i="677"/>
  <c r="E1360" i="677" s="1"/>
  <c r="N1359" i="677"/>
  <c r="E1359" i="677" s="1"/>
  <c r="J1359" i="677" s="1"/>
  <c r="N1358" i="677"/>
  <c r="E1358" i="677"/>
  <c r="N1357" i="677"/>
  <c r="E1357" i="677" s="1"/>
  <c r="N1356" i="677"/>
  <c r="E1356" i="677" s="1"/>
  <c r="N1355" i="677"/>
  <c r="E1355" i="677" s="1"/>
  <c r="N1354" i="677"/>
  <c r="J1354" i="677"/>
  <c r="H1354" i="677"/>
  <c r="N1353" i="677"/>
  <c r="J1353" i="677"/>
  <c r="H1353" i="677"/>
  <c r="N1352" i="677"/>
  <c r="N1351" i="677"/>
  <c r="N1350" i="677"/>
  <c r="E1350" i="677" s="1"/>
  <c r="J1350" i="677" s="1"/>
  <c r="N1349" i="677"/>
  <c r="E1349" i="677" s="1"/>
  <c r="N1348" i="677"/>
  <c r="E1348" i="677" s="1"/>
  <c r="N1347" i="677"/>
  <c r="E1347" i="677" s="1"/>
  <c r="N1345" i="677"/>
  <c r="E1345" i="677" s="1"/>
  <c r="H1345" i="677" s="1"/>
  <c r="N1344" i="677"/>
  <c r="E1344" i="677" s="1"/>
  <c r="J1344" i="677" s="1"/>
  <c r="N1343" i="677"/>
  <c r="E1343" i="677" s="1"/>
  <c r="J1343" i="677" s="1"/>
  <c r="N1342" i="677"/>
  <c r="E1342" i="677" s="1"/>
  <c r="N1341" i="677"/>
  <c r="E1341" i="677" s="1"/>
  <c r="N1340" i="677"/>
  <c r="E1340" i="677" s="1"/>
  <c r="N1339" i="677"/>
  <c r="E1339" i="677" s="1"/>
  <c r="N1338" i="677"/>
  <c r="J1338" i="677"/>
  <c r="H1338" i="677"/>
  <c r="K1338" i="677" s="1"/>
  <c r="N1337" i="677"/>
  <c r="J1337" i="677"/>
  <c r="H1337" i="677"/>
  <c r="B1334" i="677"/>
  <c r="N1333" i="677"/>
  <c r="J1333" i="677"/>
  <c r="K1333" i="677" s="1"/>
  <c r="N1332" i="677"/>
  <c r="E1332" i="677" s="1"/>
  <c r="N1331" i="677"/>
  <c r="E1331" i="677" s="1"/>
  <c r="N1330" i="677"/>
  <c r="E1330" i="677" s="1"/>
  <c r="I1330" i="677"/>
  <c r="G1330" i="677"/>
  <c r="N1329" i="677"/>
  <c r="E1329" i="677" s="1"/>
  <c r="N1328" i="677"/>
  <c r="E1328" i="677" s="1"/>
  <c r="H1328" i="677" s="1"/>
  <c r="N1327" i="677"/>
  <c r="E1327" i="677" s="1"/>
  <c r="N1326" i="677"/>
  <c r="E1326" i="677" s="1"/>
  <c r="N1325" i="677"/>
  <c r="E1325" i="677" s="1"/>
  <c r="N1324" i="677"/>
  <c r="E1324" i="677" s="1"/>
  <c r="N1323" i="677"/>
  <c r="E1323" i="677" s="1"/>
  <c r="N1322" i="677"/>
  <c r="E1322" i="677" s="1"/>
  <c r="H1322" i="677" s="1"/>
  <c r="N1321" i="677"/>
  <c r="E1321" i="677" s="1"/>
  <c r="J1321" i="677" s="1"/>
  <c r="N1320" i="677"/>
  <c r="E1320" i="677" s="1"/>
  <c r="J1320" i="677" s="1"/>
  <c r="K1320" i="677" s="1"/>
  <c r="N1319" i="677"/>
  <c r="E1319" i="677" s="1"/>
  <c r="J1319" i="677" s="1"/>
  <c r="K1319" i="677" s="1"/>
  <c r="N1318" i="677"/>
  <c r="E1318" i="677" s="1"/>
  <c r="H1318" i="677" s="1"/>
  <c r="N1317" i="677"/>
  <c r="E1317" i="677" s="1"/>
  <c r="J1317" i="677" s="1"/>
  <c r="K1317" i="677" s="1"/>
  <c r="N1316" i="677"/>
  <c r="E1316" i="677" s="1"/>
  <c r="N1315" i="677"/>
  <c r="E1315" i="677" s="1"/>
  <c r="N1314" i="677"/>
  <c r="E1314" i="677" s="1"/>
  <c r="N1313" i="677"/>
  <c r="E1313" i="677" s="1"/>
  <c r="N1312" i="677"/>
  <c r="E1312" i="677" s="1"/>
  <c r="H1312" i="677" s="1"/>
  <c r="N1311" i="677"/>
  <c r="E1311" i="677" s="1"/>
  <c r="J1311" i="677" s="1"/>
  <c r="N1310" i="677"/>
  <c r="E1310" i="677" s="1"/>
  <c r="N1309" i="677"/>
  <c r="E1309" i="677" s="1"/>
  <c r="J1309" i="677" s="1"/>
  <c r="K1309" i="677" s="1"/>
  <c r="N1308" i="677"/>
  <c r="E1308" i="677" s="1"/>
  <c r="H1308" i="677" s="1"/>
  <c r="N1307" i="677"/>
  <c r="E1307" i="677" s="1"/>
  <c r="J1307" i="677" s="1"/>
  <c r="N1306" i="677"/>
  <c r="E1306" i="677" s="1"/>
  <c r="J1306" i="677" s="1"/>
  <c r="K1306" i="677" s="1"/>
  <c r="N1305" i="677"/>
  <c r="E1305" i="677" s="1"/>
  <c r="N1304" i="677"/>
  <c r="E1304" i="677" s="1"/>
  <c r="J1304" i="677" s="1"/>
  <c r="K1304" i="677" s="1"/>
  <c r="N1303" i="677"/>
  <c r="E1303" i="677" s="1"/>
  <c r="J1303" i="677" s="1"/>
  <c r="K1303" i="677" s="1"/>
  <c r="N1302" i="677"/>
  <c r="E1302" i="677" s="1"/>
  <c r="N1301" i="677"/>
  <c r="E1301" i="677" s="1"/>
  <c r="J1301" i="677" s="1"/>
  <c r="K1301" i="677" s="1"/>
  <c r="N1300" i="677"/>
  <c r="E1300" i="677" s="1"/>
  <c r="N1299" i="677"/>
  <c r="E1299" i="677"/>
  <c r="J1299" i="677" s="1"/>
  <c r="N1298" i="677"/>
  <c r="E1298" i="677" s="1"/>
  <c r="J1298" i="677" s="1"/>
  <c r="K1298" i="677" s="1"/>
  <c r="N1297" i="677"/>
  <c r="E1297" i="677" s="1"/>
  <c r="N1296" i="677"/>
  <c r="E1296" i="677" s="1"/>
  <c r="J1296" i="677" s="1"/>
  <c r="K1296" i="677" s="1"/>
  <c r="N1295" i="677"/>
  <c r="E1295" i="677" s="1"/>
  <c r="H1295" i="677" s="1"/>
  <c r="N1294" i="677"/>
  <c r="E1294" i="677" s="1"/>
  <c r="J1294" i="677" s="1"/>
  <c r="K1294" i="677" s="1"/>
  <c r="N1293" i="677"/>
  <c r="E1293" i="677" s="1"/>
  <c r="N1291" i="677"/>
  <c r="E1291" i="677" s="1"/>
  <c r="N1290" i="677"/>
  <c r="E1290" i="677" s="1"/>
  <c r="H1290" i="677" s="1"/>
  <c r="N1289" i="677"/>
  <c r="E1289" i="677" s="1"/>
  <c r="N1288" i="677"/>
  <c r="E1288" i="677" s="1"/>
  <c r="N1287" i="677"/>
  <c r="E1287" i="677" s="1"/>
  <c r="N1286" i="677"/>
  <c r="E1286" i="677" s="1"/>
  <c r="N1285" i="677"/>
  <c r="E1285" i="677" s="1"/>
  <c r="N1284" i="677"/>
  <c r="E1284" i="677" s="1"/>
  <c r="H1284" i="677" s="1"/>
  <c r="N1283" i="677"/>
  <c r="E1283" i="677" s="1"/>
  <c r="H1283" i="677" s="1"/>
  <c r="N1282" i="677"/>
  <c r="N1281" i="677"/>
  <c r="N1280" i="677"/>
  <c r="E1280" i="677"/>
  <c r="H1280" i="677" s="1"/>
  <c r="N1279" i="677"/>
  <c r="N1278" i="677"/>
  <c r="J1278" i="677"/>
  <c r="H1278" i="677"/>
  <c r="N1277" i="677"/>
  <c r="J1277" i="677"/>
  <c r="K1277" i="677" s="1"/>
  <c r="N1276" i="677"/>
  <c r="E1276" i="677" s="1"/>
  <c r="N1275" i="677"/>
  <c r="J1275" i="677"/>
  <c r="K1275" i="677" s="1"/>
  <c r="N1274" i="677"/>
  <c r="E1274" i="677" s="1"/>
  <c r="N1273" i="677"/>
  <c r="E1273" i="677" s="1"/>
  <c r="N1272" i="677"/>
  <c r="E1272" i="677" s="1"/>
  <c r="I1272" i="677"/>
  <c r="G1272" i="677"/>
  <c r="N1271" i="677"/>
  <c r="E1271" i="677" s="1"/>
  <c r="N1270" i="677"/>
  <c r="E1270" i="677" s="1"/>
  <c r="N1269" i="677"/>
  <c r="E1269" i="677" s="1"/>
  <c r="N1268" i="677"/>
  <c r="E1268" i="677" s="1"/>
  <c r="J1268" i="677" s="1"/>
  <c r="N1267" i="677"/>
  <c r="E1267" i="677" s="1"/>
  <c r="N1266" i="677"/>
  <c r="E1266" i="677" s="1"/>
  <c r="J1266" i="677" s="1"/>
  <c r="N1265" i="677"/>
  <c r="E1265" i="677" s="1"/>
  <c r="N1264" i="677"/>
  <c r="E1264" i="677" s="1"/>
  <c r="N1263" i="677"/>
  <c r="E1263" i="677" s="1"/>
  <c r="H1263" i="677" s="1"/>
  <c r="N1262" i="677"/>
  <c r="E1262" i="677" s="1"/>
  <c r="J1262" i="677" s="1"/>
  <c r="K1262" i="677" s="1"/>
  <c r="N1261" i="677"/>
  <c r="E1261" i="677" s="1"/>
  <c r="J1261" i="677" s="1"/>
  <c r="K1261" i="677" s="1"/>
  <c r="N1260" i="677"/>
  <c r="E1260" i="677" s="1"/>
  <c r="N1259" i="677"/>
  <c r="E1259" i="677" s="1"/>
  <c r="J1259" i="677" s="1"/>
  <c r="K1259" i="677" s="1"/>
  <c r="N1258" i="677"/>
  <c r="J1258" i="677"/>
  <c r="H1258" i="677"/>
  <c r="N1257" i="677"/>
  <c r="E1257" i="677" s="1"/>
  <c r="N1256" i="677"/>
  <c r="E1256" i="677" s="1"/>
  <c r="N1255" i="677"/>
  <c r="E1255" i="677" s="1"/>
  <c r="H1255" i="677" s="1"/>
  <c r="N1254" i="677"/>
  <c r="J1254" i="677"/>
  <c r="H1254" i="677"/>
  <c r="N1253" i="677"/>
  <c r="E1253" i="677" s="1"/>
  <c r="J1253" i="677" s="1"/>
  <c r="N1252" i="677"/>
  <c r="E1252" i="677" s="1"/>
  <c r="N1251" i="677"/>
  <c r="E1251" i="677" s="1"/>
  <c r="J1251" i="677" s="1"/>
  <c r="K1251" i="677" s="1"/>
  <c r="N1250" i="677"/>
  <c r="E1250" i="677" s="1"/>
  <c r="N1249" i="677"/>
  <c r="E1249" i="677" s="1"/>
  <c r="N1248" i="677"/>
  <c r="E1248" i="677" s="1"/>
  <c r="J1248" i="677" s="1"/>
  <c r="K1248" i="677" s="1"/>
  <c r="N1247" i="677"/>
  <c r="E1247" i="677" s="1"/>
  <c r="N1246" i="677"/>
  <c r="E1246" i="677" s="1"/>
  <c r="J1246" i="677" s="1"/>
  <c r="K1246" i="677" s="1"/>
  <c r="N1245" i="677"/>
  <c r="E1245" i="677" s="1"/>
  <c r="J1245" i="677" s="1"/>
  <c r="K1245" i="677" s="1"/>
  <c r="N1244" i="677"/>
  <c r="E1244" i="677" s="1"/>
  <c r="N1243" i="677"/>
  <c r="E1243" i="677" s="1"/>
  <c r="J1243" i="677" s="1"/>
  <c r="K1243" i="677" s="1"/>
  <c r="N1242" i="677"/>
  <c r="E1242" i="677" s="1"/>
  <c r="H1242" i="677" s="1"/>
  <c r="N1241" i="677"/>
  <c r="E1241" i="677" s="1"/>
  <c r="J1241" i="677" s="1"/>
  <c r="N1240" i="677"/>
  <c r="E1240" i="677" s="1"/>
  <c r="J1240" i="677" s="1"/>
  <c r="K1240" i="677" s="1"/>
  <c r="N1239" i="677"/>
  <c r="E1239" i="677" s="1"/>
  <c r="N1236" i="677"/>
  <c r="E1236" i="677" s="1"/>
  <c r="J1236" i="677" s="1"/>
  <c r="K1236" i="677" s="1"/>
  <c r="N1235" i="677"/>
  <c r="E1235" i="677" s="1"/>
  <c r="J1235" i="677" s="1"/>
  <c r="N1234" i="677"/>
  <c r="E1234" i="677" s="1"/>
  <c r="J1234" i="677" s="1"/>
  <c r="K1234" i="677" s="1"/>
  <c r="N1233" i="677"/>
  <c r="E1233" i="677" s="1"/>
  <c r="H1233" i="677" s="1"/>
  <c r="N1232" i="677"/>
  <c r="E1232" i="677" s="1"/>
  <c r="H1232" i="677" s="1"/>
  <c r="N1231" i="677"/>
  <c r="E1231" i="677" s="1"/>
  <c r="J1231" i="677" s="1"/>
  <c r="N1230" i="677"/>
  <c r="E1230" i="677" s="1"/>
  <c r="N1229" i="677"/>
  <c r="E1229" i="677" s="1"/>
  <c r="N1228" i="677"/>
  <c r="E1228" i="677" s="1"/>
  <c r="N1227" i="677"/>
  <c r="E1227" i="677" s="1"/>
  <c r="Q1226" i="677"/>
  <c r="N1226" i="677"/>
  <c r="E1226" i="677" s="1"/>
  <c r="H1226" i="677" s="1"/>
  <c r="N1225" i="677"/>
  <c r="E1225" i="677" s="1"/>
  <c r="H1225" i="677" s="1"/>
  <c r="N1224" i="677"/>
  <c r="E1224" i="677" s="1"/>
  <c r="N1223" i="677"/>
  <c r="N1222" i="677"/>
  <c r="N1221" i="677"/>
  <c r="E1221" i="677"/>
  <c r="N1220" i="677"/>
  <c r="N1219" i="677"/>
  <c r="J1219" i="677"/>
  <c r="H1219" i="677"/>
  <c r="K1219" i="677" s="1"/>
  <c r="N1218" i="677"/>
  <c r="J1218" i="677"/>
  <c r="K1218" i="677" s="1"/>
  <c r="N1217" i="677"/>
  <c r="E1217" i="677" s="1"/>
  <c r="N1216" i="677"/>
  <c r="J1216" i="677"/>
  <c r="K1216" i="677" s="1"/>
  <c r="N1215" i="677"/>
  <c r="E1215" i="677" s="1"/>
  <c r="J1215" i="677" s="1"/>
  <c r="N1214" i="677"/>
  <c r="E1214" i="677" s="1"/>
  <c r="N1213" i="677"/>
  <c r="I1213" i="677"/>
  <c r="G1213" i="677"/>
  <c r="E1213" i="677"/>
  <c r="N1212" i="677"/>
  <c r="E1212" i="677" s="1"/>
  <c r="N1211" i="677"/>
  <c r="E1211" i="677" s="1"/>
  <c r="H1211" i="677" s="1"/>
  <c r="N1210" i="677"/>
  <c r="E1210" i="677" s="1"/>
  <c r="H1210" i="677" s="1"/>
  <c r="N1209" i="677"/>
  <c r="E1209" i="677"/>
  <c r="N1208" i="677"/>
  <c r="E1208" i="677" s="1"/>
  <c r="N1207" i="677"/>
  <c r="E1207" i="677" s="1"/>
  <c r="N1206" i="677"/>
  <c r="E1206" i="677"/>
  <c r="N1205" i="677"/>
  <c r="E1205" i="677" s="1"/>
  <c r="N1204" i="677"/>
  <c r="E1204" i="677" s="1"/>
  <c r="N1203" i="677"/>
  <c r="E1203" i="677"/>
  <c r="J1203" i="677" s="1"/>
  <c r="K1203" i="677" s="1"/>
  <c r="N1202" i="677"/>
  <c r="E1202" i="677" s="1"/>
  <c r="J1202" i="677" s="1"/>
  <c r="K1202" i="677" s="1"/>
  <c r="N1201" i="677"/>
  <c r="E1201" i="677" s="1"/>
  <c r="H1201" i="677" s="1"/>
  <c r="N1200" i="677"/>
  <c r="E1200" i="677" s="1"/>
  <c r="J1200" i="677" s="1"/>
  <c r="K1200" i="677" s="1"/>
  <c r="N1199" i="677"/>
  <c r="J1199" i="677"/>
  <c r="H1199" i="677"/>
  <c r="N1198" i="677"/>
  <c r="E1198" i="677" s="1"/>
  <c r="N1197" i="677"/>
  <c r="E1197" i="677" s="1"/>
  <c r="N1196" i="677"/>
  <c r="E1196" i="677" s="1"/>
  <c r="N1195" i="677"/>
  <c r="J1195" i="677"/>
  <c r="H1195" i="677"/>
  <c r="N1194" i="677"/>
  <c r="E1194" i="677" s="1"/>
  <c r="N1193" i="677"/>
  <c r="E1193" i="677" s="1"/>
  <c r="N1192" i="677"/>
  <c r="E1192" i="677" s="1"/>
  <c r="J1192" i="677" s="1"/>
  <c r="K1192" i="677" s="1"/>
  <c r="N1191" i="677"/>
  <c r="E1191" i="677" s="1"/>
  <c r="H1191" i="677" s="1"/>
  <c r="N1190" i="677"/>
  <c r="E1190" i="677"/>
  <c r="J1190" i="677" s="1"/>
  <c r="N1189" i="677"/>
  <c r="E1189" i="677" s="1"/>
  <c r="J1189" i="677" s="1"/>
  <c r="K1189" i="677" s="1"/>
  <c r="N1188" i="677"/>
  <c r="E1188" i="677" s="1"/>
  <c r="H1188" i="677" s="1"/>
  <c r="N1187" i="677"/>
  <c r="E1187" i="677" s="1"/>
  <c r="J1187" i="677" s="1"/>
  <c r="K1187" i="677" s="1"/>
  <c r="N1186" i="677"/>
  <c r="E1186" i="677"/>
  <c r="J1186" i="677" s="1"/>
  <c r="K1186" i="677" s="1"/>
  <c r="N1185" i="677"/>
  <c r="E1185" i="677" s="1"/>
  <c r="N1184" i="677"/>
  <c r="E1184" i="677" s="1"/>
  <c r="J1184" i="677" s="1"/>
  <c r="K1184" i="677" s="1"/>
  <c r="N1183" i="677"/>
  <c r="E1183" i="677" s="1"/>
  <c r="J1183" i="677" s="1"/>
  <c r="N1182" i="677"/>
  <c r="E1182" i="677" s="1"/>
  <c r="J1182" i="677" s="1"/>
  <c r="N1181" i="677"/>
  <c r="E1181" i="677" s="1"/>
  <c r="J1181" i="677" s="1"/>
  <c r="K1181" i="677" s="1"/>
  <c r="N1180" i="677"/>
  <c r="E1180" i="677" s="1"/>
  <c r="H1180" i="677" s="1"/>
  <c r="N1179" i="677"/>
  <c r="E1179" i="677" s="1"/>
  <c r="J1179" i="677" s="1"/>
  <c r="K1179" i="677" s="1"/>
  <c r="N1178" i="677"/>
  <c r="E1178" i="677" s="1"/>
  <c r="J1178" i="677" s="1"/>
  <c r="N1177" i="677"/>
  <c r="E1177" i="677" s="1"/>
  <c r="J1177" i="677" s="1"/>
  <c r="K1177" i="677" s="1"/>
  <c r="N1176" i="677"/>
  <c r="E1176" i="677" s="1"/>
  <c r="N1175" i="677"/>
  <c r="E1175" i="677" s="1"/>
  <c r="J1175" i="677" s="1"/>
  <c r="H1175" i="677"/>
  <c r="N1174" i="677"/>
  <c r="E1174" i="677" s="1"/>
  <c r="N1173" i="677"/>
  <c r="E1173" i="677" s="1"/>
  <c r="J1173" i="677" s="1"/>
  <c r="N1172" i="677"/>
  <c r="E1172" i="677" s="1"/>
  <c r="N1171" i="677"/>
  <c r="E1171" i="677" s="1"/>
  <c r="N1170" i="677"/>
  <c r="E1170" i="677" s="1"/>
  <c r="H1170" i="677" s="1"/>
  <c r="Q1169" i="677"/>
  <c r="N1169" i="677"/>
  <c r="E1169" i="677" s="1"/>
  <c r="N1168" i="677"/>
  <c r="E1168" i="677" s="1"/>
  <c r="H1168" i="677" s="1"/>
  <c r="N1167" i="677"/>
  <c r="E1167" i="677" s="1"/>
  <c r="N1166" i="677"/>
  <c r="N1165" i="677"/>
  <c r="N1164" i="677"/>
  <c r="E1164" i="677"/>
  <c r="J1164" i="677" s="1"/>
  <c r="N1163" i="677"/>
  <c r="N1162" i="677"/>
  <c r="J1162" i="677"/>
  <c r="H1162" i="677"/>
  <c r="N1161" i="677"/>
  <c r="J1161" i="677"/>
  <c r="K1161" i="677" s="1"/>
  <c r="N1160" i="677"/>
  <c r="E1160" i="677" s="1"/>
  <c r="H1160" i="677" s="1"/>
  <c r="N1159" i="677"/>
  <c r="J1159" i="677"/>
  <c r="K1159" i="677" s="1"/>
  <c r="N1158" i="677"/>
  <c r="E1158" i="677" s="1"/>
  <c r="N1157" i="677"/>
  <c r="E1157" i="677" s="1"/>
  <c r="N1156" i="677"/>
  <c r="E1156" i="677" s="1"/>
  <c r="I1156" i="677"/>
  <c r="G1156" i="677"/>
  <c r="N1155" i="677"/>
  <c r="E1155" i="677" s="1"/>
  <c r="N1154" i="677"/>
  <c r="E1154" i="677" s="1"/>
  <c r="N1153" i="677"/>
  <c r="E1153" i="677" s="1"/>
  <c r="H1153" i="677" s="1"/>
  <c r="N1152" i="677"/>
  <c r="E1152" i="677"/>
  <c r="J1152" i="677" s="1"/>
  <c r="N1151" i="677"/>
  <c r="E1151" i="677" s="1"/>
  <c r="J1151" i="677" s="1"/>
  <c r="N1150" i="677"/>
  <c r="E1150" i="677" s="1"/>
  <c r="J1150" i="677" s="1"/>
  <c r="N1149" i="677"/>
  <c r="E1149" i="677"/>
  <c r="N1148" i="677"/>
  <c r="E1148" i="677" s="1"/>
  <c r="N1147" i="677"/>
  <c r="E1147" i="677" s="1"/>
  <c r="J1147" i="677" s="1"/>
  <c r="N1146" i="677"/>
  <c r="E1146" i="677" s="1"/>
  <c r="J1146" i="677" s="1"/>
  <c r="K1146" i="677" s="1"/>
  <c r="N1145" i="677"/>
  <c r="E1145" i="677" s="1"/>
  <c r="J1145" i="677" s="1"/>
  <c r="K1145" i="677" s="1"/>
  <c r="N1144" i="677"/>
  <c r="E1144" i="677" s="1"/>
  <c r="J1144" i="677" s="1"/>
  <c r="N1143" i="677"/>
  <c r="E1143" i="677" s="1"/>
  <c r="J1143" i="677" s="1"/>
  <c r="K1143" i="677" s="1"/>
  <c r="N1142" i="677"/>
  <c r="J1142" i="677"/>
  <c r="H1142" i="677"/>
  <c r="K1142" i="677" s="1"/>
  <c r="N1141" i="677"/>
  <c r="E1141" i="677" s="1"/>
  <c r="N1140" i="677"/>
  <c r="E1140" i="677" s="1"/>
  <c r="J1140" i="677" s="1"/>
  <c r="N1139" i="677"/>
  <c r="E1139" i="677"/>
  <c r="N1138" i="677"/>
  <c r="J1138" i="677"/>
  <c r="H1138" i="677"/>
  <c r="N1137" i="677"/>
  <c r="E1137" i="677" s="1"/>
  <c r="N1136" i="677"/>
  <c r="E1136" i="677" s="1"/>
  <c r="N1135" i="677"/>
  <c r="E1135" i="677" s="1"/>
  <c r="J1135" i="677" s="1"/>
  <c r="K1135" i="677" s="1"/>
  <c r="N1134" i="677"/>
  <c r="E1134" i="677" s="1"/>
  <c r="N1133" i="677"/>
  <c r="E1133" i="677" s="1"/>
  <c r="N1132" i="677"/>
  <c r="E1132" i="677" s="1"/>
  <c r="J1132" i="677" s="1"/>
  <c r="K1132" i="677" s="1"/>
  <c r="N1131" i="677"/>
  <c r="E1131" i="677" s="1"/>
  <c r="J1131" i="677" s="1"/>
  <c r="N1130" i="677"/>
  <c r="E1130" i="677" s="1"/>
  <c r="J1130" i="677" s="1"/>
  <c r="K1130" i="677" s="1"/>
  <c r="N1129" i="677"/>
  <c r="E1129" i="677" s="1"/>
  <c r="J1129" i="677" s="1"/>
  <c r="K1129" i="677" s="1"/>
  <c r="N1128" i="677"/>
  <c r="E1128" i="677" s="1"/>
  <c r="N1127" i="677"/>
  <c r="E1127" i="677" s="1"/>
  <c r="J1127" i="677" s="1"/>
  <c r="K1127" i="677" s="1"/>
  <c r="N1126" i="677"/>
  <c r="E1126" i="677" s="1"/>
  <c r="N1125" i="677"/>
  <c r="E1125" i="677" s="1"/>
  <c r="N1124" i="677"/>
  <c r="E1124" i="677" s="1"/>
  <c r="J1124" i="677" s="1"/>
  <c r="K1124" i="677" s="1"/>
  <c r="N1123" i="677"/>
  <c r="E1123" i="677" s="1"/>
  <c r="J1123" i="677" s="1"/>
  <c r="N1122" i="677"/>
  <c r="E1122" i="677" s="1"/>
  <c r="J1122" i="677" s="1"/>
  <c r="K1122" i="677" s="1"/>
  <c r="N1121" i="677"/>
  <c r="E1121" i="677" s="1"/>
  <c r="J1121" i="677" s="1"/>
  <c r="N1120" i="677"/>
  <c r="E1120" i="677" s="1"/>
  <c r="J1120" i="677" s="1"/>
  <c r="K1120" i="677" s="1"/>
  <c r="N1119" i="677"/>
  <c r="E1119" i="677" s="1"/>
  <c r="J1119" i="677" s="1"/>
  <c r="N1118" i="677"/>
  <c r="E1118" i="677" s="1"/>
  <c r="J1118" i="677" s="1"/>
  <c r="N1117" i="677"/>
  <c r="E1117" i="677" s="1"/>
  <c r="J1117" i="677" s="1"/>
  <c r="N1116" i="677"/>
  <c r="E1116" i="677" s="1"/>
  <c r="J1116" i="677" s="1"/>
  <c r="N1115" i="677"/>
  <c r="E1115" i="677" s="1"/>
  <c r="N1114" i="677"/>
  <c r="E1114" i="677" s="1"/>
  <c r="N1113" i="677"/>
  <c r="E1113" i="677" s="1"/>
  <c r="J1113" i="677" s="1"/>
  <c r="Q1112" i="677"/>
  <c r="N1112" i="677"/>
  <c r="E1112" i="677" s="1"/>
  <c r="J1112" i="677" s="1"/>
  <c r="N1111" i="677"/>
  <c r="E1111" i="677"/>
  <c r="J1111" i="677" s="1"/>
  <c r="N1110" i="677"/>
  <c r="E1110" i="677" s="1"/>
  <c r="J1110" i="677" s="1"/>
  <c r="N1109" i="677"/>
  <c r="N1108" i="677"/>
  <c r="N1107" i="677"/>
  <c r="J1107" i="677"/>
  <c r="E1107" i="677"/>
  <c r="H1107" i="677" s="1"/>
  <c r="N1106" i="677"/>
  <c r="N1105" i="677"/>
  <c r="J1105" i="677"/>
  <c r="H1105" i="677"/>
  <c r="N1104" i="677"/>
  <c r="J1104" i="677"/>
  <c r="K1104" i="677" s="1"/>
  <c r="N1098" i="677"/>
  <c r="E1098" i="677" s="1"/>
  <c r="J1098" i="677" s="1"/>
  <c r="N1097" i="677"/>
  <c r="J1097" i="677"/>
  <c r="K1097" i="677" s="1"/>
  <c r="N1096" i="677"/>
  <c r="E1096" i="677" s="1"/>
  <c r="N1095" i="677"/>
  <c r="E1095" i="677" s="1"/>
  <c r="N1094" i="677"/>
  <c r="E1094" i="677" s="1"/>
  <c r="H1094" i="677" s="1"/>
  <c r="I1094" i="677"/>
  <c r="G1094" i="677"/>
  <c r="N1093" i="677"/>
  <c r="E1093" i="677" s="1"/>
  <c r="N1092" i="677"/>
  <c r="E1092" i="677" s="1"/>
  <c r="J1092" i="677" s="1"/>
  <c r="N1091" i="677"/>
  <c r="E1091" i="677" s="1"/>
  <c r="J1091" i="677" s="1"/>
  <c r="N1090" i="677"/>
  <c r="E1090" i="677" s="1"/>
  <c r="J1090" i="677" s="1"/>
  <c r="N1089" i="677"/>
  <c r="E1089" i="677" s="1"/>
  <c r="N1088" i="677"/>
  <c r="E1088" i="677" s="1"/>
  <c r="N1087" i="677"/>
  <c r="E1087" i="677" s="1"/>
  <c r="N1086" i="677"/>
  <c r="E1086" i="677"/>
  <c r="J1086" i="677" s="1"/>
  <c r="N1085" i="677"/>
  <c r="E1085" i="677" s="1"/>
  <c r="N1084" i="677"/>
  <c r="E1084" i="677" s="1"/>
  <c r="J1084" i="677" s="1"/>
  <c r="K1084" i="677" s="1"/>
  <c r="N1083" i="677"/>
  <c r="E1083" i="677" s="1"/>
  <c r="J1083" i="677" s="1"/>
  <c r="K1083" i="677" s="1"/>
  <c r="N1082" i="677"/>
  <c r="E1082" i="677" s="1"/>
  <c r="J1082" i="677" s="1"/>
  <c r="N1081" i="677"/>
  <c r="E1081" i="677" s="1"/>
  <c r="J1081" i="677" s="1"/>
  <c r="K1081" i="677" s="1"/>
  <c r="N1080" i="677"/>
  <c r="J1080" i="677"/>
  <c r="H1080" i="677"/>
  <c r="N1079" i="677"/>
  <c r="E1079" i="677" s="1"/>
  <c r="N1078" i="677"/>
  <c r="E1078" i="677"/>
  <c r="J1078" i="677" s="1"/>
  <c r="N1077" i="677"/>
  <c r="E1077" i="677" s="1"/>
  <c r="N1076" i="677"/>
  <c r="J1076" i="677"/>
  <c r="H1076" i="677"/>
  <c r="N1075" i="677"/>
  <c r="E1075" i="677" s="1"/>
  <c r="N1074" i="677"/>
  <c r="E1074" i="677" s="1"/>
  <c r="N1073" i="677"/>
  <c r="E1073" i="677" s="1"/>
  <c r="J1073" i="677" s="1"/>
  <c r="K1073" i="677" s="1"/>
  <c r="N1072" i="677"/>
  <c r="E1072" i="677" s="1"/>
  <c r="J1072" i="677" s="1"/>
  <c r="N1071" i="677"/>
  <c r="E1071" i="677" s="1"/>
  <c r="N1069" i="677"/>
  <c r="E1069" i="677" s="1"/>
  <c r="J1069" i="677" s="1"/>
  <c r="K1069" i="677" s="1"/>
  <c r="N1068" i="677"/>
  <c r="E1068" i="677"/>
  <c r="J1068" i="677" s="1"/>
  <c r="N1067" i="677"/>
  <c r="E1067" i="677" s="1"/>
  <c r="J1067" i="677" s="1"/>
  <c r="K1067" i="677" s="1"/>
  <c r="N1066" i="677"/>
  <c r="E1066" i="677" s="1"/>
  <c r="J1066" i="677" s="1"/>
  <c r="K1066" i="677" s="1"/>
  <c r="N1065" i="677"/>
  <c r="E1065" i="677" s="1"/>
  <c r="N1064" i="677"/>
  <c r="E1064" i="677" s="1"/>
  <c r="J1064" i="677" s="1"/>
  <c r="K1064" i="677" s="1"/>
  <c r="N1063" i="677"/>
  <c r="E1063" i="677" s="1"/>
  <c r="J1063" i="677" s="1"/>
  <c r="N1062" i="677"/>
  <c r="E1062" i="677" s="1"/>
  <c r="N1061" i="677"/>
  <c r="E1061" i="677" s="1"/>
  <c r="J1061" i="677" s="1"/>
  <c r="K1061" i="677" s="1"/>
  <c r="N1060" i="677"/>
  <c r="E1060" i="677" s="1"/>
  <c r="J1060" i="677" s="1"/>
  <c r="N1059" i="677"/>
  <c r="E1059" i="677" s="1"/>
  <c r="J1059" i="677" s="1"/>
  <c r="K1059" i="677" s="1"/>
  <c r="N1058" i="677"/>
  <c r="E1058" i="677" s="1"/>
  <c r="N1057" i="677"/>
  <c r="E1057" i="677" s="1"/>
  <c r="J1057" i="677" s="1"/>
  <c r="K1057" i="677" s="1"/>
  <c r="N1056" i="677"/>
  <c r="E1056" i="677" s="1"/>
  <c r="J1056" i="677" s="1"/>
  <c r="N1055" i="677"/>
  <c r="E1055" i="677" s="1"/>
  <c r="N1054" i="677"/>
  <c r="E1054" i="677" s="1"/>
  <c r="N1053" i="677"/>
  <c r="E1053" i="677" s="1"/>
  <c r="N1052" i="677"/>
  <c r="E1052" i="677" s="1"/>
  <c r="N1051" i="677"/>
  <c r="E1051" i="677" s="1"/>
  <c r="N1050" i="677"/>
  <c r="E1050" i="677" s="1"/>
  <c r="J1050" i="677" s="1"/>
  <c r="Q1048" i="677"/>
  <c r="N1048" i="677"/>
  <c r="E1048" i="677" s="1"/>
  <c r="J1048" i="677" s="1"/>
  <c r="N1047" i="677"/>
  <c r="E1047" i="677" s="1"/>
  <c r="H1047" i="677" s="1"/>
  <c r="N1046" i="677"/>
  <c r="E1046" i="677" s="1"/>
  <c r="N1045" i="677"/>
  <c r="N1044" i="677"/>
  <c r="N1043" i="677"/>
  <c r="J1043" i="677"/>
  <c r="E1043" i="677"/>
  <c r="H1043" i="677" s="1"/>
  <c r="N1042" i="677"/>
  <c r="N1041" i="677"/>
  <c r="J1041" i="677"/>
  <c r="H1041" i="677"/>
  <c r="N1040" i="677"/>
  <c r="J1040" i="677"/>
  <c r="K1040" i="677" s="1"/>
  <c r="N1039" i="677"/>
  <c r="N1038" i="677"/>
  <c r="J1038" i="677"/>
  <c r="K1038" i="677" s="1"/>
  <c r="N1037" i="677"/>
  <c r="E1037" i="677" s="1"/>
  <c r="N1036" i="677"/>
  <c r="J1036" i="677"/>
  <c r="K1036" i="677" s="1"/>
  <c r="N1035" i="677"/>
  <c r="E1035" i="677" s="1"/>
  <c r="J1035" i="677" s="1"/>
  <c r="N1034" i="677"/>
  <c r="E1034" i="677" s="1"/>
  <c r="J1034" i="677" s="1"/>
  <c r="N1033" i="677"/>
  <c r="E1033" i="677" s="1"/>
  <c r="J1033" i="677" s="1"/>
  <c r="I1033" i="677"/>
  <c r="G1033" i="677"/>
  <c r="N1032" i="677"/>
  <c r="E1032" i="677" s="1"/>
  <c r="N1031" i="677"/>
  <c r="E1031" i="677" s="1"/>
  <c r="J1031" i="677" s="1"/>
  <c r="N1030" i="677"/>
  <c r="E1030" i="677" s="1"/>
  <c r="N1029" i="677"/>
  <c r="E1029" i="677" s="1"/>
  <c r="N1028" i="677"/>
  <c r="E1028" i="677" s="1"/>
  <c r="N1027" i="677"/>
  <c r="E1027" i="677" s="1"/>
  <c r="J1027" i="677" s="1"/>
  <c r="N1026" i="677"/>
  <c r="E1026" i="677" s="1"/>
  <c r="N1025" i="677"/>
  <c r="E1025" i="677" s="1"/>
  <c r="N1024" i="677"/>
  <c r="E1024" i="677" s="1"/>
  <c r="N1023" i="677"/>
  <c r="E1023" i="677" s="1"/>
  <c r="J1023" i="677" s="1"/>
  <c r="K1023" i="677" s="1"/>
  <c r="N1022" i="677"/>
  <c r="E1022" i="677" s="1"/>
  <c r="J1022" i="677" s="1"/>
  <c r="K1022" i="677" s="1"/>
  <c r="N1021" i="677"/>
  <c r="E1021" i="677" s="1"/>
  <c r="J1021" i="677" s="1"/>
  <c r="N1020" i="677"/>
  <c r="E1020" i="677" s="1"/>
  <c r="J1020" i="677" s="1"/>
  <c r="K1020" i="677" s="1"/>
  <c r="N1019" i="677"/>
  <c r="J1019" i="677"/>
  <c r="H1019" i="677"/>
  <c r="N1018" i="677"/>
  <c r="E1018" i="677" s="1"/>
  <c r="N1017" i="677"/>
  <c r="E1017" i="677" s="1"/>
  <c r="N1016" i="677"/>
  <c r="E1016" i="677" s="1"/>
  <c r="N1015" i="677"/>
  <c r="J1015" i="677"/>
  <c r="H1015" i="677"/>
  <c r="N1014" i="677"/>
  <c r="E1014" i="677" s="1"/>
  <c r="J1014" i="677" s="1"/>
  <c r="N1013" i="677"/>
  <c r="E1013" i="677" s="1"/>
  <c r="H1013" i="677" s="1"/>
  <c r="N1012" i="677"/>
  <c r="E1012" i="677" s="1"/>
  <c r="J1012" i="677" s="1"/>
  <c r="K1012" i="677" s="1"/>
  <c r="N1011" i="677"/>
  <c r="E1011" i="677" s="1"/>
  <c r="N1010" i="677"/>
  <c r="E1010" i="677" s="1"/>
  <c r="N1009" i="677"/>
  <c r="E1009" i="677"/>
  <c r="J1009" i="677" s="1"/>
  <c r="K1009" i="677" s="1"/>
  <c r="N1008" i="677"/>
  <c r="E1008" i="677" s="1"/>
  <c r="J1008" i="677" s="1"/>
  <c r="N1007" i="677"/>
  <c r="E1007" i="677" s="1"/>
  <c r="J1007" i="677" s="1"/>
  <c r="K1007" i="677" s="1"/>
  <c r="N1006" i="677"/>
  <c r="E1006" i="677" s="1"/>
  <c r="J1006" i="677" s="1"/>
  <c r="K1006" i="677" s="1"/>
  <c r="N1005" i="677"/>
  <c r="E1005" i="677" s="1"/>
  <c r="N1004" i="677"/>
  <c r="E1004" i="677" s="1"/>
  <c r="J1004" i="677" s="1"/>
  <c r="K1004" i="677" s="1"/>
  <c r="N1003" i="677"/>
  <c r="E1003" i="677" s="1"/>
  <c r="N1002" i="677"/>
  <c r="E1002" i="677" s="1"/>
  <c r="N1001" i="677"/>
  <c r="E1001" i="677" s="1"/>
  <c r="J1001" i="677" s="1"/>
  <c r="K1001" i="677" s="1"/>
  <c r="N1000" i="677"/>
  <c r="E1000" i="677" s="1"/>
  <c r="J1000" i="677" s="1"/>
  <c r="N999" i="677"/>
  <c r="E999" i="677" s="1"/>
  <c r="J999" i="677" s="1"/>
  <c r="K999" i="677" s="1"/>
  <c r="N998" i="677"/>
  <c r="E998" i="677" s="1"/>
  <c r="N997" i="677"/>
  <c r="E997" i="677" s="1"/>
  <c r="J997" i="677" s="1"/>
  <c r="K997" i="677" s="1"/>
  <c r="N996" i="677"/>
  <c r="E996" i="677" s="1"/>
  <c r="N995" i="677"/>
  <c r="E995" i="677" s="1"/>
  <c r="N994" i="677"/>
  <c r="E994" i="677" s="1"/>
  <c r="N993" i="677"/>
  <c r="E993" i="677" s="1"/>
  <c r="N992" i="677"/>
  <c r="E992" i="677" s="1"/>
  <c r="J992" i="677" s="1"/>
  <c r="N991" i="677"/>
  <c r="E991" i="677"/>
  <c r="J991" i="677" s="1"/>
  <c r="N990" i="677"/>
  <c r="E990" i="677" s="1"/>
  <c r="J990" i="677" s="1"/>
  <c r="Q989" i="677"/>
  <c r="N989" i="677"/>
  <c r="E989" i="677" s="1"/>
  <c r="N988" i="677"/>
  <c r="E988" i="677" s="1"/>
  <c r="N987" i="677"/>
  <c r="E987" i="677" s="1"/>
  <c r="N986" i="677"/>
  <c r="N985" i="677"/>
  <c r="N984" i="677"/>
  <c r="E984" i="677"/>
  <c r="J984" i="677" s="1"/>
  <c r="N983" i="677"/>
  <c r="N982" i="677"/>
  <c r="J982" i="677"/>
  <c r="H982" i="677"/>
  <c r="N981" i="677"/>
  <c r="J981" i="677"/>
  <c r="K981" i="677" s="1"/>
  <c r="N980" i="677"/>
  <c r="J980" i="677"/>
  <c r="K980" i="677" s="1"/>
  <c r="N979" i="677"/>
  <c r="E979" i="677" s="1"/>
  <c r="N978" i="677"/>
  <c r="J978" i="677"/>
  <c r="K978" i="677" s="1"/>
  <c r="N977" i="677"/>
  <c r="E977" i="677" s="1"/>
  <c r="N976" i="677"/>
  <c r="E976" i="677" s="1"/>
  <c r="N975" i="677"/>
  <c r="I975" i="677"/>
  <c r="G975" i="677"/>
  <c r="E975" i="677"/>
  <c r="N974" i="677"/>
  <c r="E974" i="677" s="1"/>
  <c r="N973" i="677"/>
  <c r="E973" i="677" s="1"/>
  <c r="N972" i="677"/>
  <c r="E972" i="677"/>
  <c r="J972" i="677" s="1"/>
  <c r="N971" i="677"/>
  <c r="E971" i="677" s="1"/>
  <c r="J971" i="677" s="1"/>
  <c r="N970" i="677"/>
  <c r="E970" i="677" s="1"/>
  <c r="J970" i="677" s="1"/>
  <c r="N969" i="677"/>
  <c r="E969" i="677" s="1"/>
  <c r="N968" i="677"/>
  <c r="E968" i="677" s="1"/>
  <c r="N967" i="677"/>
  <c r="E967" i="677" s="1"/>
  <c r="N966" i="677"/>
  <c r="E966" i="677" s="1"/>
  <c r="J966" i="677" s="1"/>
  <c r="N965" i="677"/>
  <c r="E965" i="677" s="1"/>
  <c r="J965" i="677" s="1"/>
  <c r="K965" i="677" s="1"/>
  <c r="N964" i="677"/>
  <c r="E964" i="677" s="1"/>
  <c r="J964" i="677" s="1"/>
  <c r="K964" i="677" s="1"/>
  <c r="N963" i="677"/>
  <c r="E963" i="677" s="1"/>
  <c r="N962" i="677"/>
  <c r="E962" i="677" s="1"/>
  <c r="J962" i="677" s="1"/>
  <c r="K962" i="677" s="1"/>
  <c r="N961" i="677"/>
  <c r="J961" i="677"/>
  <c r="H961" i="677"/>
  <c r="N960" i="677"/>
  <c r="E960" i="677" s="1"/>
  <c r="N959" i="677"/>
  <c r="E959" i="677" s="1"/>
  <c r="N958" i="677"/>
  <c r="E958" i="677" s="1"/>
  <c r="J958" i="677" s="1"/>
  <c r="N957" i="677"/>
  <c r="J957" i="677"/>
  <c r="H957" i="677"/>
  <c r="N956" i="677"/>
  <c r="E956" i="677" s="1"/>
  <c r="N955" i="677"/>
  <c r="E955" i="677" s="1"/>
  <c r="N954" i="677"/>
  <c r="E954" i="677" s="1"/>
  <c r="J954" i="677" s="1"/>
  <c r="K954" i="677" s="1"/>
  <c r="N953" i="677"/>
  <c r="E953" i="677" s="1"/>
  <c r="N952" i="677"/>
  <c r="E952" i="677" s="1"/>
  <c r="J952" i="677" s="1"/>
  <c r="N951" i="677"/>
  <c r="E951" i="677" s="1"/>
  <c r="J951" i="677" s="1"/>
  <c r="K951" i="677" s="1"/>
  <c r="N950" i="677"/>
  <c r="E950" i="677" s="1"/>
  <c r="N949" i="677"/>
  <c r="E949" i="677"/>
  <c r="J949" i="677" s="1"/>
  <c r="K949" i="677" s="1"/>
  <c r="N948" i="677"/>
  <c r="E948" i="677" s="1"/>
  <c r="J948" i="677" s="1"/>
  <c r="K948" i="677" s="1"/>
  <c r="N947" i="677"/>
  <c r="E947" i="677" s="1"/>
  <c r="N946" i="677"/>
  <c r="E946" i="677" s="1"/>
  <c r="J946" i="677" s="1"/>
  <c r="K946" i="677" s="1"/>
  <c r="N945" i="677"/>
  <c r="E945" i="677" s="1"/>
  <c r="N944" i="677"/>
  <c r="E944" i="677" s="1"/>
  <c r="J944" i="677" s="1"/>
  <c r="N943" i="677"/>
  <c r="E943" i="677" s="1"/>
  <c r="J943" i="677" s="1"/>
  <c r="K943" i="677" s="1"/>
  <c r="N942" i="677"/>
  <c r="E942" i="677" s="1"/>
  <c r="N939" i="677"/>
  <c r="E939" i="677"/>
  <c r="J939" i="677" s="1"/>
  <c r="K939" i="677" s="1"/>
  <c r="N938" i="677"/>
  <c r="E938" i="677" s="1"/>
  <c r="N937" i="677"/>
  <c r="E937" i="677" s="1"/>
  <c r="J937" i="677" s="1"/>
  <c r="K937" i="677" s="1"/>
  <c r="N936" i="677"/>
  <c r="E936" i="677" s="1"/>
  <c r="N935" i="677"/>
  <c r="E935" i="677" s="1"/>
  <c r="J935" i="677" s="1"/>
  <c r="N934" i="677"/>
  <c r="E934" i="677" s="1"/>
  <c r="N933" i="677"/>
  <c r="E933" i="677" s="1"/>
  <c r="N932" i="677"/>
  <c r="E932" i="677" s="1"/>
  <c r="N931" i="677"/>
  <c r="E931" i="677" s="1"/>
  <c r="N930" i="677"/>
  <c r="E930" i="677" s="1"/>
  <c r="Q929" i="677"/>
  <c r="N929" i="677"/>
  <c r="E929" i="677" s="1"/>
  <c r="N928" i="677"/>
  <c r="E928" i="677"/>
  <c r="J928" i="677" s="1"/>
  <c r="N927" i="677"/>
  <c r="E927" i="677" s="1"/>
  <c r="N925" i="677"/>
  <c r="N924" i="677"/>
  <c r="N923" i="677"/>
  <c r="E923" i="677"/>
  <c r="H923" i="677" s="1"/>
  <c r="N922" i="677"/>
  <c r="N921" i="677"/>
  <c r="J921" i="677"/>
  <c r="H921" i="677"/>
  <c r="N920" i="677"/>
  <c r="J920" i="677"/>
  <c r="K920" i="677" s="1"/>
  <c r="N919" i="677"/>
  <c r="K919" i="677"/>
  <c r="J919" i="677"/>
  <c r="N918" i="677"/>
  <c r="E918" i="677" s="1"/>
  <c r="J918" i="677" s="1"/>
  <c r="N917" i="677"/>
  <c r="J917" i="677"/>
  <c r="K917" i="677" s="1"/>
  <c r="N916" i="677"/>
  <c r="E916" i="677"/>
  <c r="J916" i="677" s="1"/>
  <c r="N915" i="677"/>
  <c r="E915" i="677" s="1"/>
  <c r="N914" i="677"/>
  <c r="E914" i="677" s="1"/>
  <c r="I914" i="677"/>
  <c r="G914" i="677"/>
  <c r="N913" i="677"/>
  <c r="E913" i="677" s="1"/>
  <c r="N912" i="677"/>
  <c r="E912" i="677" s="1"/>
  <c r="N911" i="677"/>
  <c r="E911" i="677"/>
  <c r="N910" i="677"/>
  <c r="E910" i="677" s="1"/>
  <c r="N909" i="677"/>
  <c r="E909" i="677" s="1"/>
  <c r="J909" i="677" s="1"/>
  <c r="N908" i="677"/>
  <c r="E908" i="677" s="1"/>
  <c r="J908" i="677" s="1"/>
  <c r="N907" i="677"/>
  <c r="E907" i="677"/>
  <c r="J907" i="677" s="1"/>
  <c r="N906" i="677"/>
  <c r="E906" i="677" s="1"/>
  <c r="J906" i="677" s="1"/>
  <c r="N905" i="677"/>
  <c r="E905" i="677" s="1"/>
  <c r="N904" i="677"/>
  <c r="E904" i="677"/>
  <c r="J904" i="677" s="1"/>
  <c r="K904" i="677" s="1"/>
  <c r="N903" i="677"/>
  <c r="E903" i="677" s="1"/>
  <c r="J903" i="677" s="1"/>
  <c r="K903" i="677" s="1"/>
  <c r="N902" i="677"/>
  <c r="E902" i="677" s="1"/>
  <c r="N901" i="677"/>
  <c r="E901" i="677" s="1"/>
  <c r="J901" i="677" s="1"/>
  <c r="K901" i="677" s="1"/>
  <c r="N900" i="677"/>
  <c r="J900" i="677"/>
  <c r="H900" i="677"/>
  <c r="N899" i="677"/>
  <c r="E899" i="677"/>
  <c r="J899" i="677" s="1"/>
  <c r="N898" i="677"/>
  <c r="E898" i="677" s="1"/>
  <c r="H898" i="677" s="1"/>
  <c r="N896" i="677"/>
  <c r="E896" i="677" s="1"/>
  <c r="N895" i="677"/>
  <c r="J895" i="677"/>
  <c r="H895" i="677"/>
  <c r="N894" i="677"/>
  <c r="E894" i="677" s="1"/>
  <c r="N893" i="677"/>
  <c r="E893" i="677" s="1"/>
  <c r="N892" i="677"/>
  <c r="E892" i="677" s="1"/>
  <c r="J892" i="677" s="1"/>
  <c r="K892" i="677" s="1"/>
  <c r="N891" i="677"/>
  <c r="E891" i="677" s="1"/>
  <c r="H891" i="677" s="1"/>
  <c r="N890" i="677"/>
  <c r="E890" i="677" s="1"/>
  <c r="N889" i="677"/>
  <c r="E889" i="677" s="1"/>
  <c r="J889" i="677" s="1"/>
  <c r="K889" i="677" s="1"/>
  <c r="N888" i="677"/>
  <c r="E888" i="677" s="1"/>
  <c r="N887" i="677"/>
  <c r="E887" i="677" s="1"/>
  <c r="J887" i="677" s="1"/>
  <c r="K887" i="677" s="1"/>
  <c r="N886" i="677"/>
  <c r="E886" i="677"/>
  <c r="J886" i="677" s="1"/>
  <c r="K886" i="677" s="1"/>
  <c r="N885" i="677"/>
  <c r="E885" i="677" s="1"/>
  <c r="N884" i="677"/>
  <c r="E884" i="677" s="1"/>
  <c r="J884" i="677" s="1"/>
  <c r="K884" i="677" s="1"/>
  <c r="N883" i="677"/>
  <c r="E883" i="677" s="1"/>
  <c r="H883" i="677" s="1"/>
  <c r="N882" i="677"/>
  <c r="E882" i="677" s="1"/>
  <c r="N881" i="677"/>
  <c r="E881" i="677" s="1"/>
  <c r="J881" i="677" s="1"/>
  <c r="K881" i="677" s="1"/>
  <c r="N880" i="677"/>
  <c r="E880" i="677" s="1"/>
  <c r="N879" i="677"/>
  <c r="E879" i="677" s="1"/>
  <c r="J879" i="677" s="1"/>
  <c r="K879" i="677" s="1"/>
  <c r="N878" i="677"/>
  <c r="E878" i="677" s="1"/>
  <c r="J878" i="677" s="1"/>
  <c r="N877" i="677"/>
  <c r="E877" i="677"/>
  <c r="J877" i="677" s="1"/>
  <c r="K877" i="677" s="1"/>
  <c r="N876" i="677"/>
  <c r="E876" i="677" s="1"/>
  <c r="J876" i="677" s="1"/>
  <c r="H876" i="677"/>
  <c r="K876" i="677" s="1"/>
  <c r="N875" i="677"/>
  <c r="E875" i="677" s="1"/>
  <c r="N874" i="677"/>
  <c r="E874" i="677" s="1"/>
  <c r="J874" i="677" s="1"/>
  <c r="N873" i="677"/>
  <c r="E873" i="677" s="1"/>
  <c r="J873" i="677" s="1"/>
  <c r="H873" i="677"/>
  <c r="K873" i="677" s="1"/>
  <c r="N872" i="677"/>
  <c r="E872" i="677" s="1"/>
  <c r="J872" i="677" s="1"/>
  <c r="N871" i="677"/>
  <c r="E871" i="677" s="1"/>
  <c r="H871" i="677" s="1"/>
  <c r="N870" i="677"/>
  <c r="E870" i="677" s="1"/>
  <c r="Q869" i="677"/>
  <c r="N869" i="677"/>
  <c r="E869" i="677" s="1"/>
  <c r="J869" i="677" s="1"/>
  <c r="N868" i="677"/>
  <c r="E868" i="677" s="1"/>
  <c r="N867" i="677"/>
  <c r="E867" i="677" s="1"/>
  <c r="J867" i="677" s="1"/>
  <c r="N866" i="677"/>
  <c r="N865" i="677"/>
  <c r="N864" i="677"/>
  <c r="E864" i="677"/>
  <c r="H864" i="677" s="1"/>
  <c r="N863" i="677"/>
  <c r="N862" i="677"/>
  <c r="J862" i="677"/>
  <c r="H862" i="677"/>
  <c r="N861" i="677"/>
  <c r="J861" i="677"/>
  <c r="K861" i="677" s="1"/>
  <c r="N853" i="677"/>
  <c r="E853" i="677" s="1"/>
  <c r="N852" i="677"/>
  <c r="J852" i="677"/>
  <c r="K852" i="677" s="1"/>
  <c r="N851" i="677"/>
  <c r="E851" i="677"/>
  <c r="N850" i="677"/>
  <c r="E850" i="677" s="1"/>
  <c r="N849" i="677"/>
  <c r="E849" i="677" s="1"/>
  <c r="I849" i="677"/>
  <c r="G849" i="677"/>
  <c r="N848" i="677"/>
  <c r="E848" i="677" s="1"/>
  <c r="J848" i="677" s="1"/>
  <c r="N847" i="677"/>
  <c r="E847" i="677" s="1"/>
  <c r="J847" i="677" s="1"/>
  <c r="N846" i="677"/>
  <c r="E846" i="677" s="1"/>
  <c r="N845" i="677"/>
  <c r="E845" i="677" s="1"/>
  <c r="J845" i="677" s="1"/>
  <c r="N844" i="677"/>
  <c r="E844" i="677" s="1"/>
  <c r="J844" i="677" s="1"/>
  <c r="N843" i="677"/>
  <c r="E843" i="677" s="1"/>
  <c r="J843" i="677" s="1"/>
  <c r="N842" i="677"/>
  <c r="E842" i="677" s="1"/>
  <c r="H842" i="677" s="1"/>
  <c r="N841" i="677"/>
  <c r="E841" i="677" s="1"/>
  <c r="N840" i="677"/>
  <c r="E840" i="677" s="1"/>
  <c r="N839" i="677"/>
  <c r="E839" i="677" s="1"/>
  <c r="J839" i="677" s="1"/>
  <c r="K839" i="677" s="1"/>
  <c r="N838" i="677"/>
  <c r="E838" i="677" s="1"/>
  <c r="J838" i="677" s="1"/>
  <c r="K838" i="677" s="1"/>
  <c r="N837" i="677"/>
  <c r="E837" i="677" s="1"/>
  <c r="J837" i="677" s="1"/>
  <c r="N836" i="677"/>
  <c r="E836" i="677" s="1"/>
  <c r="J836" i="677" s="1"/>
  <c r="K836" i="677" s="1"/>
  <c r="N835" i="677"/>
  <c r="J835" i="677"/>
  <c r="H835" i="677"/>
  <c r="K835" i="677" s="1"/>
  <c r="N833" i="677"/>
  <c r="E833" i="677" s="1"/>
  <c r="H833" i="677" s="1"/>
  <c r="N832" i="677"/>
  <c r="E832" i="677" s="1"/>
  <c r="N831" i="677"/>
  <c r="E831" i="677" s="1"/>
  <c r="H831" i="677" s="1"/>
  <c r="N830" i="677"/>
  <c r="J830" i="677"/>
  <c r="K830" i="677" s="1"/>
  <c r="H830" i="677"/>
  <c r="N829" i="677"/>
  <c r="E829" i="677" s="1"/>
  <c r="J829" i="677" s="1"/>
  <c r="N828" i="677"/>
  <c r="E828" i="677" s="1"/>
  <c r="H828" i="677" s="1"/>
  <c r="N827" i="677"/>
  <c r="E827" i="677" s="1"/>
  <c r="J827" i="677" s="1"/>
  <c r="K827" i="677" s="1"/>
  <c r="N826" i="677"/>
  <c r="E826" i="677" s="1"/>
  <c r="J826" i="677" s="1"/>
  <c r="N825" i="677"/>
  <c r="E825" i="677" s="1"/>
  <c r="J825" i="677" s="1"/>
  <c r="N824" i="677"/>
  <c r="E824" i="677" s="1"/>
  <c r="J824" i="677" s="1"/>
  <c r="K824" i="677" s="1"/>
  <c r="N823" i="677"/>
  <c r="E823" i="677" s="1"/>
  <c r="J823" i="677" s="1"/>
  <c r="N822" i="677"/>
  <c r="E822" i="677" s="1"/>
  <c r="J822" i="677" s="1"/>
  <c r="K822" i="677" s="1"/>
  <c r="N821" i="677"/>
  <c r="E821" i="677"/>
  <c r="J821" i="677" s="1"/>
  <c r="K821" i="677" s="1"/>
  <c r="N820" i="677"/>
  <c r="E820" i="677" s="1"/>
  <c r="H820" i="677" s="1"/>
  <c r="N819" i="677"/>
  <c r="E819" i="677" s="1"/>
  <c r="J819" i="677" s="1"/>
  <c r="K819" i="677" s="1"/>
  <c r="N818" i="677"/>
  <c r="E818" i="677" s="1"/>
  <c r="J818" i="677" s="1"/>
  <c r="N817" i="677"/>
  <c r="E817" i="677" s="1"/>
  <c r="J817" i="677" s="1"/>
  <c r="N816" i="677"/>
  <c r="E816" i="677" s="1"/>
  <c r="J816" i="677" s="1"/>
  <c r="K816" i="677" s="1"/>
  <c r="N815" i="677"/>
  <c r="E815" i="677" s="1"/>
  <c r="J815" i="677" s="1"/>
  <c r="N814" i="677"/>
  <c r="E814" i="677" s="1"/>
  <c r="J814" i="677" s="1"/>
  <c r="K814" i="677" s="1"/>
  <c r="N813" i="677"/>
  <c r="E813" i="677" s="1"/>
  <c r="J813" i="677" s="1"/>
  <c r="N812" i="677"/>
  <c r="E812" i="677" s="1"/>
  <c r="J812" i="677" s="1"/>
  <c r="K812" i="677" s="1"/>
  <c r="N811" i="677"/>
  <c r="E811" i="677" s="1"/>
  <c r="N810" i="677"/>
  <c r="E810" i="677" s="1"/>
  <c r="H810" i="677" s="1"/>
  <c r="N809" i="677"/>
  <c r="E809" i="677" s="1"/>
  <c r="H809" i="677" s="1"/>
  <c r="N808" i="677"/>
  <c r="E808" i="677" s="1"/>
  <c r="J808" i="677" s="1"/>
  <c r="N807" i="677"/>
  <c r="E807" i="677" s="1"/>
  <c r="N805" i="677"/>
  <c r="E805" i="677" s="1"/>
  <c r="N804" i="677"/>
  <c r="E804" i="677" s="1"/>
  <c r="J804" i="677" s="1"/>
  <c r="Q803" i="677"/>
  <c r="N803" i="677"/>
  <c r="E803" i="677" s="1"/>
  <c r="N802" i="677"/>
  <c r="E802" i="677" s="1"/>
  <c r="H802" i="677" s="1"/>
  <c r="N801" i="677"/>
  <c r="E801" i="677" s="1"/>
  <c r="H801" i="677" s="1"/>
  <c r="N800" i="677"/>
  <c r="N799" i="677"/>
  <c r="N798" i="677"/>
  <c r="E798" i="677"/>
  <c r="J798" i="677" s="1"/>
  <c r="N797" i="677"/>
  <c r="N796" i="677"/>
  <c r="J796" i="677"/>
  <c r="H796" i="677"/>
  <c r="K796" i="677" s="1"/>
  <c r="N795" i="677"/>
  <c r="J795" i="677"/>
  <c r="K795" i="677" s="1"/>
  <c r="N794" i="677"/>
  <c r="J794" i="677"/>
  <c r="K794" i="677" s="1"/>
  <c r="N793" i="677"/>
  <c r="E793" i="677" s="1"/>
  <c r="J793" i="677" s="1"/>
  <c r="N792" i="677"/>
  <c r="J792" i="677"/>
  <c r="K792" i="677" s="1"/>
  <c r="N791" i="677"/>
  <c r="E791" i="677" s="1"/>
  <c r="H791" i="677" s="1"/>
  <c r="N790" i="677"/>
  <c r="E790" i="677" s="1"/>
  <c r="H790" i="677" s="1"/>
  <c r="N789" i="677"/>
  <c r="E789" i="677" s="1"/>
  <c r="I789" i="677"/>
  <c r="G789" i="677"/>
  <c r="N788" i="677"/>
  <c r="E788" i="677" s="1"/>
  <c r="H788" i="677" s="1"/>
  <c r="N787" i="677"/>
  <c r="E787" i="677" s="1"/>
  <c r="J787" i="677" s="1"/>
  <c r="N786" i="677"/>
  <c r="E786" i="677" s="1"/>
  <c r="N785" i="677"/>
  <c r="E785" i="677" s="1"/>
  <c r="N784" i="677"/>
  <c r="E784" i="677" s="1"/>
  <c r="J784" i="677" s="1"/>
  <c r="N783" i="677"/>
  <c r="E783" i="677" s="1"/>
  <c r="N782" i="677"/>
  <c r="E782" i="677" s="1"/>
  <c r="J782" i="677" s="1"/>
  <c r="N781" i="677"/>
  <c r="E781" i="677" s="1"/>
  <c r="J781" i="677" s="1"/>
  <c r="N780" i="677"/>
  <c r="E780" i="677" s="1"/>
  <c r="N778" i="677"/>
  <c r="E778" i="677" s="1"/>
  <c r="J778" i="677" s="1"/>
  <c r="K778" i="677" s="1"/>
  <c r="N777" i="677"/>
  <c r="E777" i="677" s="1"/>
  <c r="J777" i="677" s="1"/>
  <c r="K777" i="677" s="1"/>
  <c r="N776" i="677"/>
  <c r="E776" i="677" s="1"/>
  <c r="J776" i="677" s="1"/>
  <c r="N775" i="677"/>
  <c r="E775" i="677" s="1"/>
  <c r="J775" i="677" s="1"/>
  <c r="K775" i="677" s="1"/>
  <c r="N774" i="677"/>
  <c r="J774" i="677"/>
  <c r="H774" i="677"/>
  <c r="K774" i="677" s="1"/>
  <c r="N773" i="677"/>
  <c r="E773" i="677" s="1"/>
  <c r="J773" i="677" s="1"/>
  <c r="N772" i="677"/>
  <c r="E772" i="677" s="1"/>
  <c r="J772" i="677" s="1"/>
  <c r="N771" i="677"/>
  <c r="E771" i="677" s="1"/>
  <c r="N770" i="677"/>
  <c r="J770" i="677"/>
  <c r="H770" i="677"/>
  <c r="N769" i="677"/>
  <c r="E769" i="677" s="1"/>
  <c r="N768" i="677"/>
  <c r="E768" i="677" s="1"/>
  <c r="J768" i="677" s="1"/>
  <c r="N767" i="677"/>
  <c r="E767" i="677" s="1"/>
  <c r="J767" i="677" s="1"/>
  <c r="K767" i="677" s="1"/>
  <c r="N766" i="677"/>
  <c r="E766" i="677" s="1"/>
  <c r="N765" i="677"/>
  <c r="E765" i="677" s="1"/>
  <c r="J765" i="677" s="1"/>
  <c r="N764" i="677"/>
  <c r="E764" i="677" s="1"/>
  <c r="J764" i="677" s="1"/>
  <c r="K764" i="677" s="1"/>
  <c r="N763" i="677"/>
  <c r="E763" i="677" s="1"/>
  <c r="N762" i="677"/>
  <c r="E762" i="677" s="1"/>
  <c r="J762" i="677" s="1"/>
  <c r="K762" i="677" s="1"/>
  <c r="N761" i="677"/>
  <c r="E761" i="677" s="1"/>
  <c r="J761" i="677" s="1"/>
  <c r="K761" i="677" s="1"/>
  <c r="N760" i="677"/>
  <c r="E760" i="677" s="1"/>
  <c r="J760" i="677" s="1"/>
  <c r="N759" i="677"/>
  <c r="E759" i="677" s="1"/>
  <c r="J759" i="677" s="1"/>
  <c r="K759" i="677" s="1"/>
  <c r="N758" i="677"/>
  <c r="E758" i="677" s="1"/>
  <c r="N757" i="677"/>
  <c r="E757" i="677" s="1"/>
  <c r="J757" i="677" s="1"/>
  <c r="N756" i="677"/>
  <c r="E756" i="677" s="1"/>
  <c r="J756" i="677" s="1"/>
  <c r="K756" i="677" s="1"/>
  <c r="N755" i="677"/>
  <c r="E755" i="677" s="1"/>
  <c r="J755" i="677" s="1"/>
  <c r="N754" i="677"/>
  <c r="E754" i="677" s="1"/>
  <c r="J754" i="677" s="1"/>
  <c r="K754" i="677" s="1"/>
  <c r="N753" i="677"/>
  <c r="E753" i="677" s="1"/>
  <c r="N752" i="677"/>
  <c r="E752" i="677" s="1"/>
  <c r="J752" i="677" s="1"/>
  <c r="K752" i="677" s="1"/>
  <c r="N751" i="677"/>
  <c r="E751" i="677" s="1"/>
  <c r="J751" i="677" s="1"/>
  <c r="N750" i="677"/>
  <c r="E750" i="677" s="1"/>
  <c r="N749" i="677"/>
  <c r="E749" i="677" s="1"/>
  <c r="H749" i="677" s="1"/>
  <c r="N747" i="677"/>
  <c r="E747" i="677" s="1"/>
  <c r="N746" i="677"/>
  <c r="E746" i="677" s="1"/>
  <c r="N745" i="677"/>
  <c r="E745" i="677" s="1"/>
  <c r="H745" i="677" s="1"/>
  <c r="N744" i="677"/>
  <c r="E744" i="677"/>
  <c r="J744" i="677" s="1"/>
  <c r="Q743" i="677"/>
  <c r="N743" i="677"/>
  <c r="E743" i="677" s="1"/>
  <c r="J743" i="677" s="1"/>
  <c r="N742" i="677"/>
  <c r="E742" i="677" s="1"/>
  <c r="N741" i="677"/>
  <c r="E741" i="677" s="1"/>
  <c r="H741" i="677" s="1"/>
  <c r="N740" i="677"/>
  <c r="N739" i="677"/>
  <c r="N738" i="677"/>
  <c r="H738" i="677"/>
  <c r="E738" i="677"/>
  <c r="J738" i="677" s="1"/>
  <c r="N737" i="677"/>
  <c r="N736" i="677"/>
  <c r="J736" i="677"/>
  <c r="H736" i="677"/>
  <c r="N735" i="677"/>
  <c r="I735" i="677"/>
  <c r="J735" i="677" s="1"/>
  <c r="G735" i="677"/>
  <c r="H735" i="677" s="1"/>
  <c r="N734" i="677"/>
  <c r="I734" i="677"/>
  <c r="J734" i="677" s="1"/>
  <c r="G734" i="677"/>
  <c r="H734" i="677" s="1"/>
  <c r="K734" i="677" s="1"/>
  <c r="N733" i="677"/>
  <c r="E733" i="677" s="1"/>
  <c r="N732" i="677"/>
  <c r="J732" i="677"/>
  <c r="K732" i="677" s="1"/>
  <c r="N731" i="677"/>
  <c r="E731" i="677" s="1"/>
  <c r="N730" i="677"/>
  <c r="E730" i="677" s="1"/>
  <c r="J730" i="677" s="1"/>
  <c r="N729" i="677"/>
  <c r="E729" i="677" s="1"/>
  <c r="I729" i="677"/>
  <c r="G729" i="677"/>
  <c r="N728" i="677"/>
  <c r="E728" i="677" s="1"/>
  <c r="J728" i="677" s="1"/>
  <c r="N727" i="677"/>
  <c r="E727" i="677" s="1"/>
  <c r="J727" i="677" s="1"/>
  <c r="N726" i="677"/>
  <c r="E726" i="677" s="1"/>
  <c r="N725" i="677"/>
  <c r="E725" i="677" s="1"/>
  <c r="J725" i="677" s="1"/>
  <c r="N724" i="677"/>
  <c r="E724" i="677" s="1"/>
  <c r="J724" i="677" s="1"/>
  <c r="N723" i="677"/>
  <c r="E723" i="677" s="1"/>
  <c r="H723" i="677" s="1"/>
  <c r="N722" i="677"/>
  <c r="E722" i="677" s="1"/>
  <c r="H722" i="677" s="1"/>
  <c r="N721" i="677"/>
  <c r="E721" i="677" s="1"/>
  <c r="N720" i="677"/>
  <c r="E720" i="677" s="1"/>
  <c r="N719" i="677"/>
  <c r="E719" i="677" s="1"/>
  <c r="J719" i="677" s="1"/>
  <c r="K719" i="677" s="1"/>
  <c r="N718" i="677"/>
  <c r="E718" i="677" s="1"/>
  <c r="J718" i="677" s="1"/>
  <c r="K718" i="677" s="1"/>
  <c r="N717" i="677"/>
  <c r="E717" i="677" s="1"/>
  <c r="J717" i="677" s="1"/>
  <c r="N716" i="677"/>
  <c r="E716" i="677" s="1"/>
  <c r="J716" i="677" s="1"/>
  <c r="K716" i="677" s="1"/>
  <c r="N715" i="677"/>
  <c r="J715" i="677"/>
  <c r="H715" i="677"/>
  <c r="N714" i="677"/>
  <c r="E714" i="677" s="1"/>
  <c r="H714" i="677" s="1"/>
  <c r="N713" i="677"/>
  <c r="E713" i="677" s="1"/>
  <c r="N712" i="677"/>
  <c r="E712" i="677" s="1"/>
  <c r="N711" i="677"/>
  <c r="J711" i="677"/>
  <c r="H711" i="677"/>
  <c r="N710" i="677"/>
  <c r="E710" i="677" s="1"/>
  <c r="H710" i="677" s="1"/>
  <c r="N709" i="677"/>
  <c r="E709" i="677" s="1"/>
  <c r="H709" i="677" s="1"/>
  <c r="N708" i="677"/>
  <c r="E708" i="677" s="1"/>
  <c r="J708" i="677" s="1"/>
  <c r="K708" i="677" s="1"/>
  <c r="N707" i="677"/>
  <c r="E707" i="677" s="1"/>
  <c r="H707" i="677" s="1"/>
  <c r="N706" i="677"/>
  <c r="E706" i="677" s="1"/>
  <c r="J706" i="677" s="1"/>
  <c r="N705" i="677"/>
  <c r="E705" i="677" s="1"/>
  <c r="J705" i="677" s="1"/>
  <c r="K705" i="677" s="1"/>
  <c r="N704" i="677"/>
  <c r="E704" i="677" s="1"/>
  <c r="J704" i="677" s="1"/>
  <c r="N703" i="677"/>
  <c r="E703" i="677" s="1"/>
  <c r="J703" i="677" s="1"/>
  <c r="K703" i="677" s="1"/>
  <c r="N702" i="677"/>
  <c r="E702" i="677" s="1"/>
  <c r="J702" i="677" s="1"/>
  <c r="K702" i="677" s="1"/>
  <c r="N701" i="677"/>
  <c r="E701" i="677" s="1"/>
  <c r="H701" i="677" s="1"/>
  <c r="N700" i="677"/>
  <c r="E700" i="677" s="1"/>
  <c r="J700" i="677" s="1"/>
  <c r="K700" i="677" s="1"/>
  <c r="N699" i="677"/>
  <c r="E699" i="677" s="1"/>
  <c r="J699" i="677" s="1"/>
  <c r="N698" i="677"/>
  <c r="E698" i="677" s="1"/>
  <c r="J698" i="677" s="1"/>
  <c r="N697" i="677"/>
  <c r="E697" i="677" s="1"/>
  <c r="J697" i="677" s="1"/>
  <c r="K697" i="677" s="1"/>
  <c r="N696" i="677"/>
  <c r="E696" i="677" s="1"/>
  <c r="J696" i="677" s="1"/>
  <c r="N695" i="677"/>
  <c r="E695" i="677" s="1"/>
  <c r="J695" i="677" s="1"/>
  <c r="K695" i="677" s="1"/>
  <c r="N694" i="677"/>
  <c r="E694" i="677" s="1"/>
  <c r="N693" i="677"/>
  <c r="E693" i="677" s="1"/>
  <c r="J693" i="677" s="1"/>
  <c r="K693" i="677" s="1"/>
  <c r="N692" i="677"/>
  <c r="E692" i="677"/>
  <c r="N690" i="677"/>
  <c r="E690" i="677"/>
  <c r="H690" i="677" s="1"/>
  <c r="N689" i="677"/>
  <c r="E689" i="677" s="1"/>
  <c r="N688" i="677"/>
  <c r="E688" i="677" s="1"/>
  <c r="J688" i="677" s="1"/>
  <c r="N687" i="677"/>
  <c r="E687" i="677"/>
  <c r="N686" i="677"/>
  <c r="E686" i="677" s="1"/>
  <c r="J686" i="677" s="1"/>
  <c r="N685" i="677"/>
  <c r="E685" i="677" s="1"/>
  <c r="J685" i="677" s="1"/>
  <c r="Q684" i="677"/>
  <c r="N684" i="677"/>
  <c r="E684" i="677" s="1"/>
  <c r="N683" i="677"/>
  <c r="E683" i="677"/>
  <c r="H683" i="677" s="1"/>
  <c r="N682" i="677"/>
  <c r="E682" i="677" s="1"/>
  <c r="N681" i="677"/>
  <c r="N680" i="677"/>
  <c r="N679" i="677"/>
  <c r="E679" i="677"/>
  <c r="J679" i="677" s="1"/>
  <c r="N678" i="677"/>
  <c r="N677" i="677"/>
  <c r="J677" i="677"/>
  <c r="H677" i="677"/>
  <c r="N676" i="677"/>
  <c r="J676" i="677"/>
  <c r="K676" i="677" s="1"/>
  <c r="N674" i="677"/>
  <c r="E674" i="677" s="1"/>
  <c r="J674" i="677" s="1"/>
  <c r="N673" i="677"/>
  <c r="J673" i="677"/>
  <c r="K673" i="677" s="1"/>
  <c r="N672" i="677"/>
  <c r="E672" i="677" s="1"/>
  <c r="H672" i="677" s="1"/>
  <c r="N671" i="677"/>
  <c r="E671" i="677" s="1"/>
  <c r="H671" i="677" s="1"/>
  <c r="N670" i="677"/>
  <c r="E670" i="677" s="1"/>
  <c r="I670" i="677"/>
  <c r="G670" i="677"/>
  <c r="N669" i="677"/>
  <c r="E669" i="677" s="1"/>
  <c r="H669" i="677" s="1"/>
  <c r="N668" i="677"/>
  <c r="E668" i="677" s="1"/>
  <c r="N667" i="677"/>
  <c r="E667" i="677" s="1"/>
  <c r="H667" i="677" s="1"/>
  <c r="N666" i="677"/>
  <c r="E666" i="677" s="1"/>
  <c r="N665" i="677"/>
  <c r="E665" i="677" s="1"/>
  <c r="J665" i="677" s="1"/>
  <c r="N664" i="677"/>
  <c r="E664" i="677" s="1"/>
  <c r="N663" i="677"/>
  <c r="E663" i="677" s="1"/>
  <c r="J663" i="677" s="1"/>
  <c r="N662" i="677"/>
  <c r="E662" i="677" s="1"/>
  <c r="J662" i="677" s="1"/>
  <c r="N661" i="677"/>
  <c r="E661" i="677" s="1"/>
  <c r="H661" i="677" s="1"/>
  <c r="N660" i="677"/>
  <c r="E660" i="677" s="1"/>
  <c r="J660" i="677" s="1"/>
  <c r="K660" i="677" s="1"/>
  <c r="N659" i="677"/>
  <c r="E659" i="677" s="1"/>
  <c r="J659" i="677" s="1"/>
  <c r="K659" i="677" s="1"/>
  <c r="N658" i="677"/>
  <c r="E658" i="677" s="1"/>
  <c r="N657" i="677"/>
  <c r="E657" i="677" s="1"/>
  <c r="J657" i="677"/>
  <c r="K657" i="677" s="1"/>
  <c r="N656" i="677"/>
  <c r="J656" i="677"/>
  <c r="H656" i="677"/>
  <c r="N655" i="677"/>
  <c r="E655" i="677" s="1"/>
  <c r="J655" i="677" s="1"/>
  <c r="N654" i="677"/>
  <c r="E654" i="677" s="1"/>
  <c r="J654" i="677" s="1"/>
  <c r="N653" i="677"/>
  <c r="E653" i="677" s="1"/>
  <c r="H653" i="677" s="1"/>
  <c r="N652" i="677"/>
  <c r="J652" i="677"/>
  <c r="H652" i="677"/>
  <c r="N651" i="677"/>
  <c r="E651" i="677" s="1"/>
  <c r="J651" i="677" s="1"/>
  <c r="N650" i="677"/>
  <c r="E650" i="677" s="1"/>
  <c r="J650" i="677" s="1"/>
  <c r="N649" i="677"/>
  <c r="E649" i="677" s="1"/>
  <c r="J649" i="677" s="1"/>
  <c r="K649" i="677" s="1"/>
  <c r="N648" i="677"/>
  <c r="E648" i="677" s="1"/>
  <c r="N647" i="677"/>
  <c r="E647" i="677" s="1"/>
  <c r="N646" i="677"/>
  <c r="E646" i="677"/>
  <c r="J646" i="677" s="1"/>
  <c r="K646" i="677" s="1"/>
  <c r="N645" i="677"/>
  <c r="E645" i="677" s="1"/>
  <c r="N644" i="677"/>
  <c r="E644" i="677" s="1"/>
  <c r="J644" i="677" s="1"/>
  <c r="K644" i="677" s="1"/>
  <c r="N643" i="677"/>
  <c r="E643" i="677"/>
  <c r="J643" i="677" s="1"/>
  <c r="K643" i="677" s="1"/>
  <c r="N642" i="677"/>
  <c r="E642" i="677" s="1"/>
  <c r="J642" i="677" s="1"/>
  <c r="N641" i="677"/>
  <c r="E641" i="677" s="1"/>
  <c r="J641" i="677" s="1"/>
  <c r="K641" i="677" s="1"/>
  <c r="N640" i="677"/>
  <c r="E640" i="677" s="1"/>
  <c r="N639" i="677"/>
  <c r="E639" i="677" s="1"/>
  <c r="N638" i="677"/>
  <c r="E638" i="677" s="1"/>
  <c r="J638" i="677" s="1"/>
  <c r="K638" i="677" s="1"/>
  <c r="N637" i="677"/>
  <c r="E637" i="677" s="1"/>
  <c r="N636" i="677"/>
  <c r="E636" i="677" s="1"/>
  <c r="J636" i="677" s="1"/>
  <c r="K636" i="677" s="1"/>
  <c r="N635" i="677"/>
  <c r="E635" i="677" s="1"/>
  <c r="N634" i="677"/>
  <c r="E634" i="677" s="1"/>
  <c r="J634" i="677" s="1"/>
  <c r="K634" i="677" s="1"/>
  <c r="N633" i="677"/>
  <c r="E633" i="677" s="1"/>
  <c r="N632" i="677"/>
  <c r="E632" i="677" s="1"/>
  <c r="N631" i="677"/>
  <c r="E631" i="677" s="1"/>
  <c r="N630" i="677"/>
  <c r="J630" i="677"/>
  <c r="H630" i="677"/>
  <c r="N629" i="677"/>
  <c r="E629" i="677" s="1"/>
  <c r="J629" i="677" s="1"/>
  <c r="N628" i="677"/>
  <c r="J628" i="677"/>
  <c r="H628" i="677"/>
  <c r="N627" i="677"/>
  <c r="J627" i="677"/>
  <c r="H627" i="677"/>
  <c r="Q626" i="677"/>
  <c r="N626" i="677"/>
  <c r="E626" i="677" s="1"/>
  <c r="N625" i="677"/>
  <c r="E625" i="677" s="1"/>
  <c r="N624" i="677"/>
  <c r="E624" i="677"/>
  <c r="J624" i="677" s="1"/>
  <c r="N623" i="677"/>
  <c r="N622" i="677"/>
  <c r="N621" i="677"/>
  <c r="E621" i="677"/>
  <c r="H621" i="677" s="1"/>
  <c r="N620" i="677"/>
  <c r="N619" i="677"/>
  <c r="J619" i="677"/>
  <c r="H619" i="677"/>
  <c r="N618" i="677"/>
  <c r="J618" i="677"/>
  <c r="K618" i="677" s="1"/>
  <c r="N617" i="677"/>
  <c r="J617" i="677"/>
  <c r="K617" i="677" s="1"/>
  <c r="N611" i="677"/>
  <c r="J611" i="677"/>
  <c r="K611" i="677" s="1"/>
  <c r="N610" i="677"/>
  <c r="E610" i="677" s="1"/>
  <c r="N609" i="677"/>
  <c r="E609" i="677" s="1"/>
  <c r="J609" i="677" s="1"/>
  <c r="N608" i="677"/>
  <c r="E608" i="677" s="1"/>
  <c r="I608" i="677"/>
  <c r="G608" i="677"/>
  <c r="N607" i="677"/>
  <c r="E607" i="677" s="1"/>
  <c r="N606" i="677"/>
  <c r="E606" i="677" s="1"/>
  <c r="J606" i="677" s="1"/>
  <c r="N605" i="677"/>
  <c r="E605" i="677" s="1"/>
  <c r="N604" i="677"/>
  <c r="E604" i="677" s="1"/>
  <c r="N603" i="677"/>
  <c r="J603" i="677"/>
  <c r="H603" i="677"/>
  <c r="K603" i="677" s="1"/>
  <c r="N602" i="677"/>
  <c r="E602" i="677" s="1"/>
  <c r="N601" i="677"/>
  <c r="E601" i="677"/>
  <c r="J601" i="677" s="1"/>
  <c r="N600" i="677"/>
  <c r="E600" i="677" s="1"/>
  <c r="N599" i="677"/>
  <c r="E599" i="677" s="1"/>
  <c r="N598" i="677"/>
  <c r="E598" i="677" s="1"/>
  <c r="J598" i="677" s="1"/>
  <c r="K598" i="677" s="1"/>
  <c r="N597" i="677"/>
  <c r="E597" i="677" s="1"/>
  <c r="J597" i="677" s="1"/>
  <c r="K597" i="677" s="1"/>
  <c r="N596" i="677"/>
  <c r="E596" i="677" s="1"/>
  <c r="N595" i="677"/>
  <c r="E595" i="677" s="1"/>
  <c r="J595" i="677" s="1"/>
  <c r="K595" i="677" s="1"/>
  <c r="N594" i="677"/>
  <c r="E594" i="677" s="1"/>
  <c r="N593" i="677"/>
  <c r="E593" i="677" s="1"/>
  <c r="N592" i="677"/>
  <c r="E592" i="677" s="1"/>
  <c r="E558" i="677" s="1"/>
  <c r="N591" i="677"/>
  <c r="E591" i="677" s="1"/>
  <c r="N590" i="677"/>
  <c r="E590" i="677" s="1"/>
  <c r="N589" i="677"/>
  <c r="E589" i="677" s="1"/>
  <c r="N588" i="677"/>
  <c r="E588" i="677" s="1"/>
  <c r="N587" i="677"/>
  <c r="E587" i="677" s="1"/>
  <c r="J587" i="677" s="1"/>
  <c r="K587" i="677" s="1"/>
  <c r="N586" i="677"/>
  <c r="E586" i="677" s="1"/>
  <c r="N585" i="677"/>
  <c r="E585" i="677" s="1"/>
  <c r="N584" i="677"/>
  <c r="E584" i="677" s="1"/>
  <c r="J584" i="677" s="1"/>
  <c r="K584" i="677" s="1"/>
  <c r="N583" i="677"/>
  <c r="E583" i="677" s="1"/>
  <c r="N582" i="677"/>
  <c r="E582" i="677" s="1"/>
  <c r="J582" i="677" s="1"/>
  <c r="K582" i="677" s="1"/>
  <c r="N581" i="677"/>
  <c r="E581" i="677" s="1"/>
  <c r="J581" i="677" s="1"/>
  <c r="K581" i="677" s="1"/>
  <c r="N580" i="677"/>
  <c r="E580" i="677" s="1"/>
  <c r="N579" i="677"/>
  <c r="E579" i="677" s="1"/>
  <c r="J579" i="677" s="1"/>
  <c r="K579" i="677" s="1"/>
  <c r="N578" i="677"/>
  <c r="E578" i="677" s="1"/>
  <c r="N577" i="677"/>
  <c r="E577" i="677" s="1"/>
  <c r="N576" i="677"/>
  <c r="E576" i="677" s="1"/>
  <c r="J576" i="677" s="1"/>
  <c r="K576" i="677" s="1"/>
  <c r="N575" i="677"/>
  <c r="E575" i="677" s="1"/>
  <c r="N574" i="677"/>
  <c r="E574" i="677" s="1"/>
  <c r="J574" i="677" s="1"/>
  <c r="K574" i="677" s="1"/>
  <c r="N573" i="677"/>
  <c r="E573" i="677" s="1"/>
  <c r="N572" i="677"/>
  <c r="E572" i="677" s="1"/>
  <c r="J572" i="677" s="1"/>
  <c r="K572" i="677" s="1"/>
  <c r="N571" i="677"/>
  <c r="E571" i="677" s="1"/>
  <c r="N570" i="677"/>
  <c r="E570" i="677"/>
  <c r="J570" i="677" s="1"/>
  <c r="N569" i="677"/>
  <c r="E569" i="677" s="1"/>
  <c r="N568" i="677"/>
  <c r="E568" i="677" s="1"/>
  <c r="N567" i="677"/>
  <c r="E567" i="677"/>
  <c r="H567" i="677" s="1"/>
  <c r="N566" i="677"/>
  <c r="E566" i="677" s="1"/>
  <c r="N565" i="677"/>
  <c r="J565" i="677"/>
  <c r="H565" i="677"/>
  <c r="K565" i="677" s="1"/>
  <c r="N564" i="677"/>
  <c r="E564" i="677" s="1"/>
  <c r="N563" i="677"/>
  <c r="E563" i="677" s="1"/>
  <c r="N562" i="677"/>
  <c r="E562" i="677" s="1"/>
  <c r="N561" i="677"/>
  <c r="N560" i="677"/>
  <c r="N559" i="677"/>
  <c r="E559" i="677"/>
  <c r="J559" i="677" s="1"/>
  <c r="N558" i="677"/>
  <c r="N557" i="677"/>
  <c r="J557" i="677"/>
  <c r="H557" i="677"/>
  <c r="K557" i="677" s="1"/>
  <c r="N556" i="677"/>
  <c r="J556" i="677"/>
  <c r="H556" i="677"/>
  <c r="N555" i="677"/>
  <c r="J555" i="677"/>
  <c r="K555" i="677" s="1"/>
  <c r="N554" i="677"/>
  <c r="E554" i="677" s="1"/>
  <c r="J554" i="677" s="1"/>
  <c r="K554" i="677" s="1"/>
  <c r="N553" i="677"/>
  <c r="E553" i="677"/>
  <c r="J553" i="677" s="1"/>
  <c r="N552" i="677"/>
  <c r="E552" i="677" s="1"/>
  <c r="J552" i="677" s="1"/>
  <c r="N551" i="677"/>
  <c r="E551" i="677" s="1"/>
  <c r="I551" i="677"/>
  <c r="G551" i="677"/>
  <c r="N550" i="677"/>
  <c r="E550" i="677" s="1"/>
  <c r="J550" i="677" s="1"/>
  <c r="N549" i="677"/>
  <c r="E549" i="677" s="1"/>
  <c r="N548" i="677"/>
  <c r="E548" i="677" s="1"/>
  <c r="N547" i="677"/>
  <c r="E547" i="677" s="1"/>
  <c r="N546" i="677"/>
  <c r="E546" i="677" s="1"/>
  <c r="N545" i="677"/>
  <c r="E545" i="677" s="1"/>
  <c r="J545" i="677" s="1"/>
  <c r="N544" i="677"/>
  <c r="E544" i="677" s="1"/>
  <c r="J544" i="677" s="1"/>
  <c r="N543" i="677"/>
  <c r="E543" i="677" s="1"/>
  <c r="N542" i="677"/>
  <c r="E542" i="677" s="1"/>
  <c r="N541" i="677"/>
  <c r="E541" i="677" s="1"/>
  <c r="J541" i="677" s="1"/>
  <c r="K541" i="677" s="1"/>
  <c r="N540" i="677"/>
  <c r="E540" i="677" s="1"/>
  <c r="J540" i="677" s="1"/>
  <c r="K540" i="677" s="1"/>
  <c r="N539" i="677"/>
  <c r="E539" i="677" s="1"/>
  <c r="N538" i="677"/>
  <c r="E538" i="677" s="1"/>
  <c r="J538" i="677" s="1"/>
  <c r="K538" i="677" s="1"/>
  <c r="N537" i="677"/>
  <c r="E537" i="677" s="1"/>
  <c r="N535" i="677"/>
  <c r="E535" i="677" s="1"/>
  <c r="N534" i="677"/>
  <c r="E534" i="677" s="1"/>
  <c r="N533" i="677"/>
  <c r="E533" i="677" s="1"/>
  <c r="N532" i="677"/>
  <c r="E532" i="677" s="1"/>
  <c r="N531" i="677"/>
  <c r="E531" i="677" s="1"/>
  <c r="H531" i="677" s="1"/>
  <c r="N530" i="677"/>
  <c r="E530" i="677" s="1"/>
  <c r="N529" i="677"/>
  <c r="E529" i="677" s="1"/>
  <c r="J529" i="677" s="1"/>
  <c r="K529" i="677" s="1"/>
  <c r="N528" i="677"/>
  <c r="E528" i="677" s="1"/>
  <c r="N527" i="677"/>
  <c r="E527" i="677" s="1"/>
  <c r="N526" i="677"/>
  <c r="E526" i="677" s="1"/>
  <c r="J526" i="677" s="1"/>
  <c r="K526" i="677" s="1"/>
  <c r="N525" i="677"/>
  <c r="E525" i="677" s="1"/>
  <c r="J525" i="677" s="1"/>
  <c r="N524" i="677"/>
  <c r="E524" i="677" s="1"/>
  <c r="J524" i="677" s="1"/>
  <c r="K524" i="677" s="1"/>
  <c r="N523" i="677"/>
  <c r="E523" i="677" s="1"/>
  <c r="J523" i="677" s="1"/>
  <c r="K523" i="677" s="1"/>
  <c r="N522" i="677"/>
  <c r="E522" i="677" s="1"/>
  <c r="N521" i="677"/>
  <c r="E521" i="677" s="1"/>
  <c r="J521" i="677" s="1"/>
  <c r="K521" i="677" s="1"/>
  <c r="N520" i="677"/>
  <c r="E520" i="677" s="1"/>
  <c r="N519" i="677"/>
  <c r="E519" i="677" s="1"/>
  <c r="N518" i="677"/>
  <c r="E518" i="677" s="1"/>
  <c r="J518" i="677" s="1"/>
  <c r="K518" i="677" s="1"/>
  <c r="N517" i="677"/>
  <c r="E517" i="677" s="1"/>
  <c r="J517" i="677" s="1"/>
  <c r="N516" i="677"/>
  <c r="E516" i="677" s="1"/>
  <c r="J516" i="677" s="1"/>
  <c r="K516" i="677" s="1"/>
  <c r="N515" i="677"/>
  <c r="E515" i="677" s="1"/>
  <c r="N513" i="677"/>
  <c r="E513" i="677" s="1"/>
  <c r="J513" i="677" s="1"/>
  <c r="K513" i="677" s="1"/>
  <c r="N512" i="677"/>
  <c r="E512" i="677" s="1"/>
  <c r="J512" i="677" s="1"/>
  <c r="N511" i="677"/>
  <c r="E511" i="677" s="1"/>
  <c r="J511" i="677" s="1"/>
  <c r="N510" i="677"/>
  <c r="E510" i="677" s="1"/>
  <c r="N508" i="677"/>
  <c r="E508" i="677" s="1"/>
  <c r="N507" i="677"/>
  <c r="E507" i="677" s="1"/>
  <c r="N506" i="677"/>
  <c r="E506" i="677" s="1"/>
  <c r="N505" i="677"/>
  <c r="E505" i="677" s="1"/>
  <c r="J505" i="677" s="1"/>
  <c r="N504" i="677"/>
  <c r="E504" i="677" s="1"/>
  <c r="J504" i="677" s="1"/>
  <c r="N503" i="677"/>
  <c r="E503" i="677" s="1"/>
  <c r="N502" i="677"/>
  <c r="E502" i="677" s="1"/>
  <c r="N501" i="677"/>
  <c r="N500" i="677"/>
  <c r="N499" i="677"/>
  <c r="E499" i="677"/>
  <c r="J499" i="677" s="1"/>
  <c r="N498" i="677"/>
  <c r="N497" i="677"/>
  <c r="J497" i="677"/>
  <c r="H497" i="677"/>
  <c r="N496" i="677"/>
  <c r="B494" i="677"/>
  <c r="E493" i="677"/>
  <c r="J493" i="677" s="1"/>
  <c r="N492" i="677"/>
  <c r="E492" i="677" s="1"/>
  <c r="J492" i="677" s="1"/>
  <c r="N491" i="677"/>
  <c r="E491" i="677" s="1"/>
  <c r="N490" i="677"/>
  <c r="E490" i="677" s="1"/>
  <c r="N489" i="677"/>
  <c r="E489" i="677" s="1"/>
  <c r="H489" i="677" s="1"/>
  <c r="N488" i="677"/>
  <c r="E488" i="677" s="1"/>
  <c r="N487" i="677"/>
  <c r="E487" i="677" s="1"/>
  <c r="J487" i="677" s="1"/>
  <c r="N486" i="677"/>
  <c r="E486" i="677" s="1"/>
  <c r="J486" i="677" s="1"/>
  <c r="N485" i="677"/>
  <c r="E485" i="677" s="1"/>
  <c r="N484" i="677"/>
  <c r="E484" i="677" s="1"/>
  <c r="N483" i="677"/>
  <c r="E483" i="677" s="1"/>
  <c r="N482" i="677"/>
  <c r="E482" i="677" s="1"/>
  <c r="N481" i="677"/>
  <c r="E481" i="677" s="1"/>
  <c r="N480" i="677"/>
  <c r="E480" i="677" s="1"/>
  <c r="J480" i="677" s="1"/>
  <c r="N479" i="677"/>
  <c r="E479" i="677" s="1"/>
  <c r="N478" i="677"/>
  <c r="E478" i="677" s="1"/>
  <c r="N477" i="677"/>
  <c r="E477" i="677" s="1"/>
  <c r="N476" i="677"/>
  <c r="E476" i="677" s="1"/>
  <c r="G476" i="677"/>
  <c r="N475" i="677"/>
  <c r="E475" i="677" s="1"/>
  <c r="N474" i="677"/>
  <c r="E474" i="677" s="1"/>
  <c r="J474" i="677" s="1"/>
  <c r="N473" i="677"/>
  <c r="E473" i="677" s="1"/>
  <c r="J473" i="677" s="1"/>
  <c r="N472" i="677"/>
  <c r="E472" i="677" s="1"/>
  <c r="N471" i="677"/>
  <c r="E471" i="677" s="1"/>
  <c r="N470" i="677"/>
  <c r="E470" i="677" s="1"/>
  <c r="N469" i="677"/>
  <c r="E469" i="677" s="1"/>
  <c r="N468" i="677"/>
  <c r="E468" i="677" s="1"/>
  <c r="J468" i="677" s="1"/>
  <c r="N467" i="677"/>
  <c r="E467" i="677" s="1"/>
  <c r="J467" i="677" s="1"/>
  <c r="N466" i="677"/>
  <c r="E466" i="677" s="1"/>
  <c r="N465" i="677"/>
  <c r="E465" i="677" s="1"/>
  <c r="N464" i="677"/>
  <c r="N463" i="677"/>
  <c r="J463" i="677"/>
  <c r="H463" i="677"/>
  <c r="N462" i="677"/>
  <c r="E462" i="677" s="1"/>
  <c r="J462" i="677" s="1"/>
  <c r="N461" i="677"/>
  <c r="E461" i="677" s="1"/>
  <c r="N460" i="677"/>
  <c r="E460" i="677" s="1"/>
  <c r="N458" i="677"/>
  <c r="E458" i="677" s="1"/>
  <c r="N457" i="677"/>
  <c r="E457" i="677" s="1"/>
  <c r="N456" i="677"/>
  <c r="E456" i="677" s="1"/>
  <c r="J456" i="677" s="1"/>
  <c r="N455" i="677"/>
  <c r="E455" i="677" s="1"/>
  <c r="J455" i="677" s="1"/>
  <c r="N454" i="677"/>
  <c r="E454" i="677" s="1"/>
  <c r="N453" i="677"/>
  <c r="E453" i="677" s="1"/>
  <c r="N452" i="677"/>
  <c r="E452" i="677" s="1"/>
  <c r="H452" i="677" s="1"/>
  <c r="N451" i="677"/>
  <c r="E451" i="677" s="1"/>
  <c r="N450" i="677"/>
  <c r="E450" i="677" s="1"/>
  <c r="J450" i="677" s="1"/>
  <c r="N449" i="677"/>
  <c r="E449" i="677" s="1"/>
  <c r="J449" i="677" s="1"/>
  <c r="N448" i="677"/>
  <c r="E448" i="677" s="1"/>
  <c r="N447" i="677"/>
  <c r="E447" i="677" s="1"/>
  <c r="N446" i="677"/>
  <c r="E446" i="677" s="1"/>
  <c r="N445" i="677"/>
  <c r="E445" i="677"/>
  <c r="H445" i="677" s="1"/>
  <c r="N444" i="677"/>
  <c r="E444" i="677" s="1"/>
  <c r="G444" i="677"/>
  <c r="N443" i="677"/>
  <c r="E443" i="677" s="1"/>
  <c r="J443" i="677" s="1"/>
  <c r="N442" i="677"/>
  <c r="E442" i="677" s="1"/>
  <c r="J442" i="677" s="1"/>
  <c r="N441" i="677"/>
  <c r="E441" i="677" s="1"/>
  <c r="N440" i="677"/>
  <c r="E440" i="677" s="1"/>
  <c r="N439" i="677"/>
  <c r="E439" i="677" s="1"/>
  <c r="N438" i="677"/>
  <c r="J438" i="677"/>
  <c r="H438" i="677"/>
  <c r="N437" i="677"/>
  <c r="E437" i="677" s="1"/>
  <c r="J437" i="677" s="1"/>
  <c r="N436" i="677"/>
  <c r="J436" i="677"/>
  <c r="H436" i="677"/>
  <c r="N435" i="677"/>
  <c r="E435" i="677" s="1"/>
  <c r="N434" i="677"/>
  <c r="E434" i="677" s="1"/>
  <c r="N433" i="677"/>
  <c r="E433" i="677" s="1"/>
  <c r="J433" i="677" s="1"/>
  <c r="N432" i="677"/>
  <c r="N431" i="677"/>
  <c r="J431" i="677"/>
  <c r="H431" i="677"/>
  <c r="N427" i="677"/>
  <c r="J427" i="677"/>
  <c r="H427" i="677"/>
  <c r="N426" i="677"/>
  <c r="E426" i="677" s="1"/>
  <c r="N425" i="677"/>
  <c r="E425" i="677" s="1"/>
  <c r="J425" i="677" s="1"/>
  <c r="N424" i="677"/>
  <c r="E424" i="677" s="1"/>
  <c r="N423" i="677"/>
  <c r="E423" i="677" s="1"/>
  <c r="N422" i="677"/>
  <c r="E422" i="677" s="1"/>
  <c r="N421" i="677"/>
  <c r="E421" i="677" s="1"/>
  <c r="N420" i="677"/>
  <c r="E420" i="677" s="1"/>
  <c r="N419" i="677"/>
  <c r="E419" i="677" s="1"/>
  <c r="J419" i="677" s="1"/>
  <c r="N418" i="677"/>
  <c r="E418" i="677" s="1"/>
  <c r="N417" i="677"/>
  <c r="E417" i="677" s="1"/>
  <c r="N416" i="677"/>
  <c r="E416" i="677" s="1"/>
  <c r="H416" i="677" s="1"/>
  <c r="N415" i="677"/>
  <c r="E415" i="677" s="1"/>
  <c r="J415" i="677" s="1"/>
  <c r="N414" i="677"/>
  <c r="E414" i="677"/>
  <c r="J414" i="677" s="1"/>
  <c r="N413" i="677"/>
  <c r="E413" i="677" s="1"/>
  <c r="J413" i="677" s="1"/>
  <c r="N412" i="677"/>
  <c r="E412" i="677" s="1"/>
  <c r="N411" i="677"/>
  <c r="E411" i="677" s="1"/>
  <c r="N410" i="677"/>
  <c r="E410" i="677" s="1"/>
  <c r="H410" i="677" s="1"/>
  <c r="N409" i="677"/>
  <c r="E409" i="677" s="1"/>
  <c r="G409" i="677"/>
  <c r="N408" i="677"/>
  <c r="E408" i="677" s="1"/>
  <c r="J408" i="677" s="1"/>
  <c r="N407" i="677"/>
  <c r="E407" i="677" s="1"/>
  <c r="N406" i="677"/>
  <c r="E406" i="677" s="1"/>
  <c r="J406" i="677" s="1"/>
  <c r="N405" i="677"/>
  <c r="E405" i="677" s="1"/>
  <c r="N404" i="677"/>
  <c r="E404" i="677" s="1"/>
  <c r="N403" i="677"/>
  <c r="J403" i="677"/>
  <c r="H403" i="677"/>
  <c r="N402" i="677"/>
  <c r="E402" i="677" s="1"/>
  <c r="N401" i="677"/>
  <c r="J401" i="677"/>
  <c r="H401" i="677"/>
  <c r="K401" i="677" s="1"/>
  <c r="N400" i="677"/>
  <c r="E400" i="677" s="1"/>
  <c r="N399" i="677"/>
  <c r="E399" i="677" s="1"/>
  <c r="J399" i="677" s="1"/>
  <c r="N398" i="677"/>
  <c r="E398" i="677" s="1"/>
  <c r="H398" i="677" s="1"/>
  <c r="N397" i="677"/>
  <c r="N396" i="677"/>
  <c r="J396" i="677"/>
  <c r="H396" i="677"/>
  <c r="K396" i="677" s="1"/>
  <c r="N395" i="677"/>
  <c r="J395" i="677"/>
  <c r="H395" i="677"/>
  <c r="K395" i="677" s="1"/>
  <c r="N394" i="677"/>
  <c r="E394" i="677" s="1"/>
  <c r="N393" i="677"/>
  <c r="E393" i="677" s="1"/>
  <c r="N392" i="677"/>
  <c r="J392" i="677"/>
  <c r="H392" i="677"/>
  <c r="N391" i="677"/>
  <c r="E391" i="677" s="1"/>
  <c r="N390" i="677"/>
  <c r="E390" i="677"/>
  <c r="H390" i="677" s="1"/>
  <c r="N389" i="677"/>
  <c r="E389" i="677" s="1"/>
  <c r="N388" i="677"/>
  <c r="E388" i="677" s="1"/>
  <c r="N387" i="677"/>
  <c r="E387" i="677" s="1"/>
  <c r="J387" i="677" s="1"/>
  <c r="N386" i="677"/>
  <c r="E386" i="677" s="1"/>
  <c r="N385" i="677"/>
  <c r="E385" i="677" s="1"/>
  <c r="N384" i="677"/>
  <c r="E384" i="677" s="1"/>
  <c r="J384" i="677" s="1"/>
  <c r="N383" i="677"/>
  <c r="E383" i="677" s="1"/>
  <c r="J383" i="677" s="1"/>
  <c r="N382" i="677"/>
  <c r="E382" i="677"/>
  <c r="J382" i="677" s="1"/>
  <c r="N381" i="677"/>
  <c r="E381" i="677" s="1"/>
  <c r="J381" i="677" s="1"/>
  <c r="N380" i="677"/>
  <c r="E380" i="677" s="1"/>
  <c r="N379" i="677"/>
  <c r="E379" i="677" s="1"/>
  <c r="N378" i="677"/>
  <c r="E378" i="677" s="1"/>
  <c r="N377" i="677"/>
  <c r="E377" i="677" s="1"/>
  <c r="G377" i="677"/>
  <c r="N376" i="677"/>
  <c r="E376" i="677" s="1"/>
  <c r="J376" i="677" s="1"/>
  <c r="N375" i="677"/>
  <c r="E375" i="677" s="1"/>
  <c r="N374" i="677"/>
  <c r="E374" i="677" s="1"/>
  <c r="J374" i="677" s="1"/>
  <c r="N373" i="677"/>
  <c r="E373" i="677" s="1"/>
  <c r="N372" i="677"/>
  <c r="E372" i="677" s="1"/>
  <c r="N371" i="677"/>
  <c r="J371" i="677"/>
  <c r="H371" i="677"/>
  <c r="N370" i="677"/>
  <c r="E370" i="677" s="1"/>
  <c r="N369" i="677"/>
  <c r="J369" i="677"/>
  <c r="H369" i="677"/>
  <c r="K369" i="677" s="1"/>
  <c r="N368" i="677"/>
  <c r="E368" i="677" s="1"/>
  <c r="N367" i="677"/>
  <c r="E367" i="677" s="1"/>
  <c r="N366" i="677"/>
  <c r="E366" i="677" s="1"/>
  <c r="H366" i="677" s="1"/>
  <c r="N365" i="677"/>
  <c r="N364" i="677"/>
  <c r="J364" i="677"/>
  <c r="H364" i="677"/>
  <c r="N363" i="677"/>
  <c r="J363" i="677"/>
  <c r="H363" i="677"/>
  <c r="K363" i="677" s="1"/>
  <c r="N362" i="677"/>
  <c r="E362" i="677" s="1"/>
  <c r="N361" i="677"/>
  <c r="E361" i="677" s="1"/>
  <c r="N360" i="677"/>
  <c r="J360" i="677"/>
  <c r="H360" i="677"/>
  <c r="N359" i="677"/>
  <c r="E359" i="677" s="1"/>
  <c r="N358" i="677"/>
  <c r="E358" i="677" s="1"/>
  <c r="N357" i="677"/>
  <c r="E357" i="677" s="1"/>
  <c r="N356" i="677"/>
  <c r="E356" i="677" s="1"/>
  <c r="N355" i="677"/>
  <c r="E355" i="677" s="1"/>
  <c r="J355" i="677" s="1"/>
  <c r="N354" i="677"/>
  <c r="E354" i="677" s="1"/>
  <c r="N353" i="677"/>
  <c r="E353" i="677" s="1"/>
  <c r="N352" i="677"/>
  <c r="E352" i="677" s="1"/>
  <c r="N351" i="677"/>
  <c r="E351" i="677" s="1"/>
  <c r="J351" i="677" s="1"/>
  <c r="N350" i="677"/>
  <c r="E350" i="677" s="1"/>
  <c r="J350" i="677" s="1"/>
  <c r="N349" i="677"/>
  <c r="E349" i="677" s="1"/>
  <c r="J349" i="677" s="1"/>
  <c r="N348" i="677"/>
  <c r="E348" i="677" s="1"/>
  <c r="N347" i="677"/>
  <c r="E347" i="677" s="1"/>
  <c r="N346" i="677"/>
  <c r="E346" i="677" s="1"/>
  <c r="N345" i="677"/>
  <c r="G345" i="677"/>
  <c r="E345" i="677"/>
  <c r="N344" i="677"/>
  <c r="E344" i="677" s="1"/>
  <c r="J344" i="677" s="1"/>
  <c r="N343" i="677"/>
  <c r="E343" i="677"/>
  <c r="J343" i="677" s="1"/>
  <c r="N342" i="677"/>
  <c r="E342" i="677" s="1"/>
  <c r="J342" i="677" s="1"/>
  <c r="N341" i="677"/>
  <c r="E341" i="677" s="1"/>
  <c r="N340" i="677"/>
  <c r="E340" i="677" s="1"/>
  <c r="N339" i="677"/>
  <c r="J339" i="677"/>
  <c r="H339" i="677"/>
  <c r="N338" i="677"/>
  <c r="E338" i="677" s="1"/>
  <c r="N337" i="677"/>
  <c r="J337" i="677"/>
  <c r="H337" i="677"/>
  <c r="N336" i="677"/>
  <c r="E336" i="677" s="1"/>
  <c r="N335" i="677"/>
  <c r="E335" i="677" s="1"/>
  <c r="N334" i="677"/>
  <c r="E334" i="677" s="1"/>
  <c r="H334" i="677" s="1"/>
  <c r="N333" i="677"/>
  <c r="N332" i="677"/>
  <c r="J332" i="677"/>
  <c r="H332" i="677"/>
  <c r="N331" i="677"/>
  <c r="J331" i="677"/>
  <c r="H331" i="677"/>
  <c r="K331" i="677" s="1"/>
  <c r="N330" i="677"/>
  <c r="E330" i="677" s="1"/>
  <c r="N329" i="677"/>
  <c r="E329" i="677" s="1"/>
  <c r="N328" i="677"/>
  <c r="J328" i="677"/>
  <c r="H328" i="677"/>
  <c r="N327" i="677"/>
  <c r="E327" i="677" s="1"/>
  <c r="N326" i="677"/>
  <c r="E326" i="677" s="1"/>
  <c r="N325" i="677"/>
  <c r="E325" i="677" s="1"/>
  <c r="N324" i="677"/>
  <c r="E324" i="677" s="1"/>
  <c r="N323" i="677"/>
  <c r="E323" i="677" s="1"/>
  <c r="J323" i="677" s="1"/>
  <c r="N322" i="677"/>
  <c r="E322" i="677" s="1"/>
  <c r="N321" i="677"/>
  <c r="E321" i="677" s="1"/>
  <c r="N320" i="677"/>
  <c r="E320" i="677" s="1"/>
  <c r="N319" i="677"/>
  <c r="E319" i="677" s="1"/>
  <c r="J319" i="677" s="1"/>
  <c r="N318" i="677"/>
  <c r="E318" i="677" s="1"/>
  <c r="N317" i="677"/>
  <c r="E317" i="677"/>
  <c r="J317" i="677" s="1"/>
  <c r="N316" i="677"/>
  <c r="E316" i="677" s="1"/>
  <c r="N315" i="677"/>
  <c r="E315" i="677" s="1"/>
  <c r="N314" i="677"/>
  <c r="E314" i="677" s="1"/>
  <c r="H314" i="677" s="1"/>
  <c r="N313" i="677"/>
  <c r="E313" i="677" s="1"/>
  <c r="G313" i="677"/>
  <c r="N312" i="677"/>
  <c r="E312" i="677" s="1"/>
  <c r="J312" i="677" s="1"/>
  <c r="H312" i="677"/>
  <c r="K312" i="677" s="1"/>
  <c r="N311" i="677"/>
  <c r="E311" i="677" s="1"/>
  <c r="N310" i="677"/>
  <c r="E310" i="677" s="1"/>
  <c r="J310" i="677" s="1"/>
  <c r="N309" i="677"/>
  <c r="E309" i="677" s="1"/>
  <c r="N308" i="677"/>
  <c r="E308" i="677" s="1"/>
  <c r="N307" i="677"/>
  <c r="J307" i="677"/>
  <c r="H307" i="677"/>
  <c r="N306" i="677"/>
  <c r="E306" i="677"/>
  <c r="J306" i="677" s="1"/>
  <c r="N305" i="677"/>
  <c r="J305" i="677"/>
  <c r="H305" i="677"/>
  <c r="N304" i="677"/>
  <c r="E304" i="677" s="1"/>
  <c r="N303" i="677"/>
  <c r="E303" i="677" s="1"/>
  <c r="N302" i="677"/>
  <c r="E302" i="677" s="1"/>
  <c r="J302" i="677" s="1"/>
  <c r="N301" i="677"/>
  <c r="N300" i="677"/>
  <c r="J300" i="677"/>
  <c r="H300" i="677"/>
  <c r="K300" i="677" s="1"/>
  <c r="N299" i="677"/>
  <c r="J299" i="677"/>
  <c r="H299" i="677"/>
  <c r="K299" i="677" s="1"/>
  <c r="N298" i="677"/>
  <c r="E298" i="677" s="1"/>
  <c r="N297" i="677"/>
  <c r="E297" i="677" s="1"/>
  <c r="N296" i="677"/>
  <c r="J296" i="677"/>
  <c r="H296" i="677"/>
  <c r="N295" i="677"/>
  <c r="E295" i="677" s="1"/>
  <c r="N294" i="677"/>
  <c r="E294" i="677" s="1"/>
  <c r="N293" i="677"/>
  <c r="E293" i="677" s="1"/>
  <c r="N292" i="677"/>
  <c r="E292" i="677" s="1"/>
  <c r="N291" i="677"/>
  <c r="E291" i="677" s="1"/>
  <c r="N290" i="677"/>
  <c r="E290" i="677" s="1"/>
  <c r="N289" i="677"/>
  <c r="E289" i="677" s="1"/>
  <c r="N288" i="677"/>
  <c r="E288" i="677" s="1"/>
  <c r="N287" i="677"/>
  <c r="E287" i="677" s="1"/>
  <c r="N286" i="677"/>
  <c r="E286" i="677" s="1"/>
  <c r="J286" i="677" s="1"/>
  <c r="N285" i="677"/>
  <c r="E285" i="677" s="1"/>
  <c r="N284" i="677"/>
  <c r="E284" i="677" s="1"/>
  <c r="N283" i="677"/>
  <c r="E283" i="677" s="1"/>
  <c r="N282" i="677"/>
  <c r="E282" i="677" s="1"/>
  <c r="H282" i="677" s="1"/>
  <c r="N281" i="677"/>
  <c r="E281" i="677" s="1"/>
  <c r="G281" i="677"/>
  <c r="N280" i="677"/>
  <c r="E280" i="677"/>
  <c r="J280" i="677" s="1"/>
  <c r="N279" i="677"/>
  <c r="E279" i="677" s="1"/>
  <c r="N278" i="677"/>
  <c r="E278" i="677" s="1"/>
  <c r="N277" i="677"/>
  <c r="E277" i="677" s="1"/>
  <c r="N276" i="677"/>
  <c r="E276" i="677" s="1"/>
  <c r="N275" i="677"/>
  <c r="J275" i="677"/>
  <c r="H275" i="677"/>
  <c r="N274" i="677"/>
  <c r="E274" i="677" s="1"/>
  <c r="N273" i="677"/>
  <c r="J273" i="677"/>
  <c r="H273" i="677"/>
  <c r="N272" i="677"/>
  <c r="E272" i="677" s="1"/>
  <c r="N271" i="677"/>
  <c r="E271" i="677" s="1"/>
  <c r="N270" i="677"/>
  <c r="E270" i="677" s="1"/>
  <c r="N269" i="677"/>
  <c r="N268" i="677"/>
  <c r="J268" i="677"/>
  <c r="H268" i="677"/>
  <c r="K268" i="677" s="1"/>
  <c r="N267" i="677"/>
  <c r="J267" i="677"/>
  <c r="H267" i="677"/>
  <c r="K267" i="677" s="1"/>
  <c r="N266" i="677"/>
  <c r="E266" i="677" s="1"/>
  <c r="N265" i="677"/>
  <c r="E265" i="677" s="1"/>
  <c r="J265" i="677" s="1"/>
  <c r="N264" i="677"/>
  <c r="J264" i="677"/>
  <c r="H264" i="677"/>
  <c r="N262" i="677"/>
  <c r="E262" i="677" s="1"/>
  <c r="N261" i="677"/>
  <c r="E261" i="677" s="1"/>
  <c r="H261" i="677" s="1"/>
  <c r="N260" i="677"/>
  <c r="E260" i="677" s="1"/>
  <c r="H260" i="677" s="1"/>
  <c r="N259" i="677"/>
  <c r="E259" i="677" s="1"/>
  <c r="J259" i="677" s="1"/>
  <c r="N258" i="677"/>
  <c r="E258" i="677" s="1"/>
  <c r="N257" i="677"/>
  <c r="E257" i="677" s="1"/>
  <c r="N256" i="677"/>
  <c r="E256" i="677" s="1"/>
  <c r="N255" i="677"/>
  <c r="E255" i="677" s="1"/>
  <c r="H255" i="677" s="1"/>
  <c r="N254" i="677"/>
  <c r="E254" i="677" s="1"/>
  <c r="J254" i="677" s="1"/>
  <c r="N253" i="677"/>
  <c r="E253" i="677" s="1"/>
  <c r="J253" i="677" s="1"/>
  <c r="N252" i="677"/>
  <c r="E252" i="677" s="1"/>
  <c r="N251" i="677"/>
  <c r="E251" i="677" s="1"/>
  <c r="N250" i="677"/>
  <c r="E250" i="677" s="1"/>
  <c r="N249" i="677"/>
  <c r="E249" i="677" s="1"/>
  <c r="H249" i="677" s="1"/>
  <c r="N248" i="677"/>
  <c r="E248" i="677" s="1"/>
  <c r="J248" i="677" s="1"/>
  <c r="G248" i="677"/>
  <c r="N247" i="677"/>
  <c r="E247" i="677" s="1"/>
  <c r="J247" i="677" s="1"/>
  <c r="N246" i="677"/>
  <c r="E246" i="677" s="1"/>
  <c r="J246" i="677" s="1"/>
  <c r="N245" i="677"/>
  <c r="E245" i="677" s="1"/>
  <c r="N244" i="677"/>
  <c r="E244" i="677" s="1"/>
  <c r="N243" i="677"/>
  <c r="E243" i="677" s="1"/>
  <c r="N242" i="677"/>
  <c r="J242" i="677"/>
  <c r="H242" i="677"/>
  <c r="N241" i="677"/>
  <c r="E241" i="677" s="1"/>
  <c r="J241" i="677" s="1"/>
  <c r="N240" i="677"/>
  <c r="J240" i="677"/>
  <c r="H240" i="677"/>
  <c r="N239" i="677"/>
  <c r="E239" i="677" s="1"/>
  <c r="N238" i="677"/>
  <c r="E238" i="677" s="1"/>
  <c r="H238" i="677" s="1"/>
  <c r="N237" i="677"/>
  <c r="E237" i="677" s="1"/>
  <c r="H237" i="677" s="1"/>
  <c r="N236" i="677"/>
  <c r="N235" i="677"/>
  <c r="J235" i="677"/>
  <c r="H235" i="677"/>
  <c r="N232" i="677"/>
  <c r="J232" i="677"/>
  <c r="H232" i="677"/>
  <c r="K232" i="677" s="1"/>
  <c r="N231" i="677"/>
  <c r="E231" i="677" s="1"/>
  <c r="J231" i="677" s="1"/>
  <c r="N230" i="677"/>
  <c r="E230" i="677" s="1"/>
  <c r="N229" i="677"/>
  <c r="J229" i="677"/>
  <c r="H229" i="677"/>
  <c r="K229" i="677" s="1"/>
  <c r="N228" i="677"/>
  <c r="E228" i="677" s="1"/>
  <c r="N227" i="677"/>
  <c r="E227" i="677" s="1"/>
  <c r="H227" i="677" s="1"/>
  <c r="N226" i="677"/>
  <c r="E226" i="677" s="1"/>
  <c r="N225" i="677"/>
  <c r="E225" i="677" s="1"/>
  <c r="N224" i="677"/>
  <c r="E224" i="677" s="1"/>
  <c r="N223" i="677"/>
  <c r="E223" i="677" s="1"/>
  <c r="J223" i="677" s="1"/>
  <c r="N222" i="677"/>
  <c r="E222" i="677" s="1"/>
  <c r="N221" i="677"/>
  <c r="E221" i="677" s="1"/>
  <c r="H221" i="677" s="1"/>
  <c r="N220" i="677"/>
  <c r="E220" i="677" s="1"/>
  <c r="H220" i="677" s="1"/>
  <c r="J220" i="677"/>
  <c r="N219" i="677"/>
  <c r="E219" i="677" s="1"/>
  <c r="N218" i="677"/>
  <c r="E218" i="677" s="1"/>
  <c r="H218" i="677" s="1"/>
  <c r="N217" i="677"/>
  <c r="E217" i="677" s="1"/>
  <c r="N216" i="677"/>
  <c r="E216" i="677" s="1"/>
  <c r="N215" i="677"/>
  <c r="E215" i="677" s="1"/>
  <c r="H215" i="677" s="1"/>
  <c r="N214" i="677"/>
  <c r="E214" i="677" s="1"/>
  <c r="J214" i="677" s="1"/>
  <c r="G214" i="677"/>
  <c r="N213" i="677"/>
  <c r="E213" i="677" s="1"/>
  <c r="J213" i="677" s="1"/>
  <c r="N212" i="677"/>
  <c r="E212" i="677" s="1"/>
  <c r="J212" i="677" s="1"/>
  <c r="N211" i="677"/>
  <c r="E211" i="677" s="1"/>
  <c r="H211" i="677" s="1"/>
  <c r="N210" i="677"/>
  <c r="E210" i="677" s="1"/>
  <c r="N209" i="677"/>
  <c r="E209" i="677" s="1"/>
  <c r="N208" i="677"/>
  <c r="J208" i="677"/>
  <c r="H208" i="677"/>
  <c r="N207" i="677"/>
  <c r="E207" i="677" s="1"/>
  <c r="J207" i="677" s="1"/>
  <c r="N206" i="677"/>
  <c r="J206" i="677"/>
  <c r="H206" i="677"/>
  <c r="N205" i="677"/>
  <c r="E205" i="677" s="1"/>
  <c r="N204" i="677"/>
  <c r="E204" i="677" s="1"/>
  <c r="H204" i="677" s="1"/>
  <c r="N203" i="677"/>
  <c r="E203" i="677" s="1"/>
  <c r="H203" i="677" s="1"/>
  <c r="N202" i="677"/>
  <c r="N201" i="677"/>
  <c r="J201" i="677"/>
  <c r="H201" i="677"/>
  <c r="N200" i="677"/>
  <c r="J200" i="677"/>
  <c r="H200" i="677"/>
  <c r="K200" i="677" s="1"/>
  <c r="N199" i="677"/>
  <c r="E199" i="677" s="1"/>
  <c r="J199" i="677" s="1"/>
  <c r="N198" i="677"/>
  <c r="E198" i="677" s="1"/>
  <c r="N197" i="677"/>
  <c r="E197" i="677" s="1"/>
  <c r="N196" i="677"/>
  <c r="E196" i="677" s="1"/>
  <c r="J196" i="677" s="1"/>
  <c r="N195" i="677"/>
  <c r="E195" i="677" s="1"/>
  <c r="N194" i="677"/>
  <c r="E194" i="677" s="1"/>
  <c r="H194" i="677" s="1"/>
  <c r="N193" i="677"/>
  <c r="E193" i="677" s="1"/>
  <c r="J193" i="677" s="1"/>
  <c r="N192" i="677"/>
  <c r="E192" i="677" s="1"/>
  <c r="N191" i="677"/>
  <c r="E191" i="677" s="1"/>
  <c r="N190" i="677"/>
  <c r="E190" i="677" s="1"/>
  <c r="N189" i="677"/>
  <c r="E189" i="677" s="1"/>
  <c r="N188" i="677"/>
  <c r="E188" i="677" s="1"/>
  <c r="H188" i="677" s="1"/>
  <c r="N187" i="677"/>
  <c r="E187" i="677" s="1"/>
  <c r="N186" i="677"/>
  <c r="E186" i="677" s="1"/>
  <c r="N185" i="677"/>
  <c r="E185" i="677"/>
  <c r="N184" i="677"/>
  <c r="E184" i="677" s="1"/>
  <c r="J184" i="677" s="1"/>
  <c r="N183" i="677"/>
  <c r="E183" i="677" s="1"/>
  <c r="N182" i="677"/>
  <c r="E182" i="677" s="1"/>
  <c r="G182" i="677"/>
  <c r="N181" i="677"/>
  <c r="E181" i="677" s="1"/>
  <c r="H181" i="677" s="1"/>
  <c r="N180" i="677"/>
  <c r="E180" i="677" s="1"/>
  <c r="J180" i="677" s="1"/>
  <c r="N179" i="677"/>
  <c r="E179" i="677" s="1"/>
  <c r="N178" i="677"/>
  <c r="E178" i="677" s="1"/>
  <c r="N177" i="677"/>
  <c r="E177" i="677" s="1"/>
  <c r="N176" i="677"/>
  <c r="J176" i="677"/>
  <c r="H176" i="677"/>
  <c r="N175" i="677"/>
  <c r="E175" i="677" s="1"/>
  <c r="N174" i="677"/>
  <c r="J174" i="677"/>
  <c r="H174" i="677"/>
  <c r="K174" i="677" s="1"/>
  <c r="N173" i="677"/>
  <c r="E173" i="677" s="1"/>
  <c r="N172" i="677"/>
  <c r="E172" i="677" s="1"/>
  <c r="J172" i="677" s="1"/>
  <c r="N171" i="677"/>
  <c r="E171" i="677" s="1"/>
  <c r="N170" i="677"/>
  <c r="N169" i="677"/>
  <c r="J169" i="677"/>
  <c r="H169" i="677"/>
  <c r="N166" i="677"/>
  <c r="J166" i="677"/>
  <c r="H166" i="677"/>
  <c r="K166" i="677" s="1"/>
  <c r="N165" i="677"/>
  <c r="E165" i="677" s="1"/>
  <c r="N164" i="677"/>
  <c r="E164" i="677" s="1"/>
  <c r="N163" i="677"/>
  <c r="J163" i="677"/>
  <c r="H163" i="677"/>
  <c r="N162" i="677"/>
  <c r="E162" i="677" s="1"/>
  <c r="N161" i="677"/>
  <c r="E161" i="677"/>
  <c r="J161" i="677" s="1"/>
  <c r="N160" i="677"/>
  <c r="E160" i="677" s="1"/>
  <c r="N159" i="677"/>
  <c r="E159" i="677" s="1"/>
  <c r="N158" i="677"/>
  <c r="E158" i="677" s="1"/>
  <c r="J158" i="677" s="1"/>
  <c r="N157" i="677"/>
  <c r="E157" i="677" s="1"/>
  <c r="N156" i="677"/>
  <c r="E156" i="677" s="1"/>
  <c r="N155" i="677"/>
  <c r="E155" i="677" s="1"/>
  <c r="J155" i="677" s="1"/>
  <c r="N154" i="677"/>
  <c r="E154" i="677" s="1"/>
  <c r="J154" i="677" s="1"/>
  <c r="N153" i="677"/>
  <c r="E153" i="677" s="1"/>
  <c r="N152" i="677"/>
  <c r="E152" i="677" s="1"/>
  <c r="J152" i="677" s="1"/>
  <c r="N151" i="677"/>
  <c r="E151" i="677" s="1"/>
  <c r="H151" i="677" s="1"/>
  <c r="N150" i="677"/>
  <c r="E150" i="677" s="1"/>
  <c r="N149" i="677"/>
  <c r="E149" i="677" s="1"/>
  <c r="J149" i="677" s="1"/>
  <c r="N148" i="677"/>
  <c r="E148" i="677" s="1"/>
  <c r="G148" i="677"/>
  <c r="N147" i="677"/>
  <c r="E147" i="677" s="1"/>
  <c r="J147" i="677" s="1"/>
  <c r="N146" i="677"/>
  <c r="E146" i="677" s="1"/>
  <c r="N145" i="677"/>
  <c r="E145" i="677" s="1"/>
  <c r="J145" i="677" s="1"/>
  <c r="N144" i="677"/>
  <c r="E144" i="677" s="1"/>
  <c r="H144" i="677" s="1"/>
  <c r="N143" i="677"/>
  <c r="E143" i="677" s="1"/>
  <c r="N142" i="677"/>
  <c r="J142" i="677"/>
  <c r="H142" i="677"/>
  <c r="N141" i="677"/>
  <c r="E141" i="677" s="1"/>
  <c r="N140" i="677"/>
  <c r="J140" i="677"/>
  <c r="H140" i="677"/>
  <c r="N139" i="677"/>
  <c r="E139" i="677" s="1"/>
  <c r="N138" i="677"/>
  <c r="E138" i="677" s="1"/>
  <c r="N137" i="677"/>
  <c r="E137" i="677" s="1"/>
  <c r="N136" i="677"/>
  <c r="N135" i="677"/>
  <c r="J135" i="677"/>
  <c r="H135" i="677"/>
  <c r="N134" i="677"/>
  <c r="J134" i="677"/>
  <c r="H134" i="677"/>
  <c r="K134" i="677" s="1"/>
  <c r="N133" i="677"/>
  <c r="E133" i="677" s="1"/>
  <c r="N132" i="677"/>
  <c r="E132" i="677" s="1"/>
  <c r="N131" i="677"/>
  <c r="J131" i="677"/>
  <c r="H131" i="677"/>
  <c r="N130" i="677"/>
  <c r="E130" i="677" s="1"/>
  <c r="N129" i="677"/>
  <c r="E129" i="677" s="1"/>
  <c r="N128" i="677"/>
  <c r="E128" i="677" s="1"/>
  <c r="N127" i="677"/>
  <c r="E127" i="677" s="1"/>
  <c r="N126" i="677"/>
  <c r="E126" i="677" s="1"/>
  <c r="J126" i="677" s="1"/>
  <c r="N125" i="677"/>
  <c r="E125" i="677" s="1"/>
  <c r="J125" i="677" s="1"/>
  <c r="N124" i="677"/>
  <c r="E124" i="677" s="1"/>
  <c r="N123" i="677"/>
  <c r="E123" i="677" s="1"/>
  <c r="N122" i="677"/>
  <c r="E122" i="677" s="1"/>
  <c r="J122" i="677" s="1"/>
  <c r="N121" i="677"/>
  <c r="E121" i="677" s="1"/>
  <c r="N120" i="677"/>
  <c r="E120" i="677" s="1"/>
  <c r="J120" i="677" s="1"/>
  <c r="N119" i="677"/>
  <c r="E119" i="677" s="1"/>
  <c r="H119" i="677" s="1"/>
  <c r="N118" i="677"/>
  <c r="J118" i="677"/>
  <c r="H118" i="677"/>
  <c r="N117" i="677"/>
  <c r="E117" i="677" s="1"/>
  <c r="J117" i="677" s="1"/>
  <c r="N116" i="677"/>
  <c r="E116" i="677" s="1"/>
  <c r="G116" i="677"/>
  <c r="N115" i="677"/>
  <c r="E115" i="677" s="1"/>
  <c r="N114" i="677"/>
  <c r="E114" i="677" s="1"/>
  <c r="J114" i="677" s="1"/>
  <c r="N113" i="677"/>
  <c r="E113" i="677" s="1"/>
  <c r="J113" i="677" s="1"/>
  <c r="N112" i="677"/>
  <c r="E112" i="677" s="1"/>
  <c r="N111" i="677"/>
  <c r="J111" i="677"/>
  <c r="K111" i="677" s="1"/>
  <c r="H111" i="677"/>
  <c r="N110" i="677"/>
  <c r="J110" i="677"/>
  <c r="H110" i="677"/>
  <c r="N109" i="677"/>
  <c r="E109" i="677" s="1"/>
  <c r="H109" i="677" s="1"/>
  <c r="N108" i="677"/>
  <c r="J108" i="677"/>
  <c r="H108" i="677"/>
  <c r="N107" i="677"/>
  <c r="E107" i="677" s="1"/>
  <c r="J107" i="677" s="1"/>
  <c r="N106" i="677"/>
  <c r="E106" i="677" s="1"/>
  <c r="N105" i="677"/>
  <c r="E105" i="677" s="1"/>
  <c r="J105" i="677" s="1"/>
  <c r="N104" i="677"/>
  <c r="N103" i="677"/>
  <c r="J103" i="677"/>
  <c r="H103" i="677"/>
  <c r="K103" i="677" s="1"/>
  <c r="N102" i="677"/>
  <c r="J102" i="677"/>
  <c r="H102" i="677"/>
  <c r="N101" i="677"/>
  <c r="E101" i="677" s="1"/>
  <c r="J101" i="677" s="1"/>
  <c r="N100" i="677"/>
  <c r="E100" i="677" s="1"/>
  <c r="H100" i="677" s="1"/>
  <c r="N99" i="677"/>
  <c r="J99" i="677"/>
  <c r="H99" i="677"/>
  <c r="K99" i="677" s="1"/>
  <c r="N98" i="677"/>
  <c r="E98" i="677" s="1"/>
  <c r="N97" i="677"/>
  <c r="E97" i="677" s="1"/>
  <c r="N96" i="677"/>
  <c r="E96" i="677"/>
  <c r="J96" i="677" s="1"/>
  <c r="N95" i="677"/>
  <c r="E95" i="677"/>
  <c r="H95" i="677" s="1"/>
  <c r="N94" i="677"/>
  <c r="E94" i="677" s="1"/>
  <c r="N93" i="677"/>
  <c r="E93" i="677" s="1"/>
  <c r="J93" i="677" s="1"/>
  <c r="N92" i="677"/>
  <c r="E92" i="677"/>
  <c r="J92" i="677" s="1"/>
  <c r="N91" i="677"/>
  <c r="E91" i="677" s="1"/>
  <c r="N90" i="677"/>
  <c r="E90" i="677" s="1"/>
  <c r="J90" i="677" s="1"/>
  <c r="N89" i="677"/>
  <c r="E89" i="677" s="1"/>
  <c r="N88" i="677"/>
  <c r="E88" i="677" s="1"/>
  <c r="N87" i="677"/>
  <c r="E87" i="677" s="1"/>
  <c r="N86" i="677"/>
  <c r="E86" i="677" s="1"/>
  <c r="N85" i="677"/>
  <c r="E85" i="677" s="1"/>
  <c r="N84" i="677"/>
  <c r="E84" i="677" s="1"/>
  <c r="G84" i="677"/>
  <c r="N83" i="677"/>
  <c r="E83" i="677" s="1"/>
  <c r="J83" i="677" s="1"/>
  <c r="N82" i="677"/>
  <c r="E82" i="677" s="1"/>
  <c r="N81" i="677"/>
  <c r="E81" i="677" s="1"/>
  <c r="N80" i="677"/>
  <c r="E80" i="677" s="1"/>
  <c r="N79" i="677"/>
  <c r="J79" i="677"/>
  <c r="H79" i="677"/>
  <c r="N78" i="677"/>
  <c r="E78" i="677" s="1"/>
  <c r="J78" i="677" s="1"/>
  <c r="N77" i="677"/>
  <c r="E77" i="677" s="1"/>
  <c r="N76" i="677"/>
  <c r="J76" i="677"/>
  <c r="H76" i="677"/>
  <c r="N75" i="677"/>
  <c r="E75" i="677" s="1"/>
  <c r="J75" i="677" s="1"/>
  <c r="N74" i="677"/>
  <c r="E74" i="677" s="1"/>
  <c r="N73" i="677"/>
  <c r="E73" i="677" s="1"/>
  <c r="J73" i="677" s="1"/>
  <c r="N72" i="677"/>
  <c r="N71" i="677"/>
  <c r="J71" i="677"/>
  <c r="H71" i="677"/>
  <c r="N70" i="677"/>
  <c r="J70" i="677"/>
  <c r="H70" i="677"/>
  <c r="N69" i="677"/>
  <c r="E69" i="677" s="1"/>
  <c r="J69" i="677" s="1"/>
  <c r="N68" i="677"/>
  <c r="E68" i="677" s="1"/>
  <c r="N67" i="677"/>
  <c r="E67" i="677" s="1"/>
  <c r="N66" i="677"/>
  <c r="E66" i="677" s="1"/>
  <c r="N65" i="677"/>
  <c r="E65" i="677" s="1"/>
  <c r="J65" i="677" s="1"/>
  <c r="N64" i="677"/>
  <c r="E64" i="677" s="1"/>
  <c r="N63" i="677"/>
  <c r="E63" i="677"/>
  <c r="J63" i="677" s="1"/>
  <c r="N62" i="677"/>
  <c r="E62" i="677" s="1"/>
  <c r="H62" i="677" s="1"/>
  <c r="N61" i="677"/>
  <c r="E61" i="677" s="1"/>
  <c r="N60" i="677"/>
  <c r="E60" i="677" s="1"/>
  <c r="J60" i="677" s="1"/>
  <c r="N59" i="677"/>
  <c r="E59" i="677" s="1"/>
  <c r="N58" i="677"/>
  <c r="E58" i="677" s="1"/>
  <c r="N57" i="677"/>
  <c r="E57" i="677" s="1"/>
  <c r="J57" i="677" s="1"/>
  <c r="N56" i="677"/>
  <c r="E56" i="677" s="1"/>
  <c r="H56" i="677" s="1"/>
  <c r="N55" i="677"/>
  <c r="E55" i="677" s="1"/>
  <c r="N54" i="677"/>
  <c r="E54" i="677" s="1"/>
  <c r="N53" i="677"/>
  <c r="E53" i="677" s="1"/>
  <c r="J53" i="677" s="1"/>
  <c r="N52" i="677"/>
  <c r="E52" i="677" s="1"/>
  <c r="G52" i="677"/>
  <c r="N51" i="677"/>
  <c r="E51" i="677" s="1"/>
  <c r="N50" i="677"/>
  <c r="E50" i="677" s="1"/>
  <c r="J50" i="677" s="1"/>
  <c r="N49" i="677"/>
  <c r="E49" i="677"/>
  <c r="H49" i="677" s="1"/>
  <c r="N48" i="677"/>
  <c r="E48" i="677" s="1"/>
  <c r="N47" i="677"/>
  <c r="E47" i="677" s="1"/>
  <c r="N46" i="677"/>
  <c r="E46" i="677" s="1"/>
  <c r="J46" i="677" s="1"/>
  <c r="N45" i="677"/>
  <c r="E45" i="677" s="1"/>
  <c r="N44" i="677"/>
  <c r="J44" i="677"/>
  <c r="K44" i="677" s="1"/>
  <c r="H44" i="677"/>
  <c r="N43" i="677"/>
  <c r="E43" i="677" s="1"/>
  <c r="N42" i="677"/>
  <c r="E42" i="677"/>
  <c r="J42" i="677" s="1"/>
  <c r="N41" i="677"/>
  <c r="E41" i="677" s="1"/>
  <c r="J41" i="677" s="1"/>
  <c r="B37" i="677"/>
  <c r="H23" i="677"/>
  <c r="A23" i="677"/>
  <c r="B22" i="677"/>
  <c r="A22" i="677"/>
  <c r="B21" i="677"/>
  <c r="A21" i="677"/>
  <c r="B20" i="677"/>
  <c r="A20" i="677"/>
  <c r="B19" i="677"/>
  <c r="A19" i="677"/>
  <c r="B18" i="677"/>
  <c r="A18" i="677"/>
  <c r="B17" i="677"/>
  <c r="A17" i="677"/>
  <c r="B16" i="677"/>
  <c r="A16" i="677"/>
  <c r="B15" i="677"/>
  <c r="A15" i="677"/>
  <c r="B14" i="677"/>
  <c r="A14" i="677"/>
  <c r="B13" i="677"/>
  <c r="A13" i="677"/>
  <c r="B129" i="676"/>
  <c r="J112" i="676"/>
  <c r="H112" i="676"/>
  <c r="J111" i="676"/>
  <c r="H111" i="676"/>
  <c r="K111" i="676" s="1"/>
  <c r="J110" i="676"/>
  <c r="K110" i="676" s="1"/>
  <c r="H110" i="676"/>
  <c r="J109" i="676"/>
  <c r="H109" i="676"/>
  <c r="J108" i="676"/>
  <c r="H108" i="676"/>
  <c r="J107" i="676"/>
  <c r="H107" i="676"/>
  <c r="J106" i="676"/>
  <c r="H106" i="676"/>
  <c r="J105" i="676"/>
  <c r="H105" i="676"/>
  <c r="J104" i="676"/>
  <c r="K104" i="676" s="1"/>
  <c r="H104" i="676"/>
  <c r="J103" i="676"/>
  <c r="H103" i="676"/>
  <c r="J102" i="676"/>
  <c r="H102" i="676"/>
  <c r="J101" i="676"/>
  <c r="H101" i="676"/>
  <c r="E100" i="676"/>
  <c r="H100" i="676" s="1"/>
  <c r="J99" i="676"/>
  <c r="H99" i="676"/>
  <c r="J98" i="676"/>
  <c r="H98" i="676"/>
  <c r="K98" i="676" s="1"/>
  <c r="J97" i="676"/>
  <c r="H97" i="676"/>
  <c r="J96" i="676"/>
  <c r="H96" i="676"/>
  <c r="K96" i="676" s="1"/>
  <c r="J95" i="676"/>
  <c r="H95" i="676"/>
  <c r="J94" i="676"/>
  <c r="H94" i="676"/>
  <c r="K94" i="676" s="1"/>
  <c r="J93" i="676"/>
  <c r="H93" i="676"/>
  <c r="J88" i="676"/>
  <c r="H88" i="676"/>
  <c r="K88" i="676" s="1"/>
  <c r="J87" i="676"/>
  <c r="H87" i="676"/>
  <c r="J86" i="676"/>
  <c r="H86" i="676"/>
  <c r="J85" i="676"/>
  <c r="H85" i="676"/>
  <c r="J84" i="676"/>
  <c r="K84" i="676" s="1"/>
  <c r="H84" i="676"/>
  <c r="J83" i="676"/>
  <c r="H83" i="676"/>
  <c r="J82" i="676"/>
  <c r="H82" i="676"/>
  <c r="J80" i="676"/>
  <c r="H80" i="676"/>
  <c r="B75" i="676"/>
  <c r="J73" i="676"/>
  <c r="K73" i="676" s="1"/>
  <c r="H73" i="676"/>
  <c r="J72" i="676"/>
  <c r="H72" i="676"/>
  <c r="J71" i="676"/>
  <c r="H71" i="676"/>
  <c r="J70" i="676"/>
  <c r="H70" i="676"/>
  <c r="J69" i="676"/>
  <c r="H69" i="676"/>
  <c r="J66" i="676"/>
  <c r="H66" i="676"/>
  <c r="J63" i="676"/>
  <c r="H63" i="676"/>
  <c r="J62" i="676"/>
  <c r="H62" i="676"/>
  <c r="J59" i="676"/>
  <c r="H59" i="676"/>
  <c r="J58" i="676"/>
  <c r="H58" i="676"/>
  <c r="J57" i="676"/>
  <c r="H57" i="676"/>
  <c r="J56" i="676"/>
  <c r="H56" i="676"/>
  <c r="J54" i="676"/>
  <c r="K54" i="676" s="1"/>
  <c r="H54" i="676"/>
  <c r="J53" i="676"/>
  <c r="H53" i="676"/>
  <c r="J51" i="676"/>
  <c r="H51" i="676"/>
  <c r="H47" i="676"/>
  <c r="K47" i="676" s="1"/>
  <c r="J45" i="676"/>
  <c r="H45" i="676"/>
  <c r="J44" i="676"/>
  <c r="H44" i="676"/>
  <c r="K44" i="676" s="1"/>
  <c r="J43" i="676"/>
  <c r="H43" i="676"/>
  <c r="J42" i="676"/>
  <c r="H42" i="676"/>
  <c r="K42" i="676" s="1"/>
  <c r="J41" i="676"/>
  <c r="H41" i="676"/>
  <c r="E40" i="676"/>
  <c r="H40" i="676" s="1"/>
  <c r="B34" i="676"/>
  <c r="B14" i="676"/>
  <c r="A14" i="676"/>
  <c r="B13" i="676"/>
  <c r="A13" i="676"/>
  <c r="J694" i="677" l="1"/>
  <c r="H694" i="677"/>
  <c r="K694" i="677" s="1"/>
  <c r="H2796" i="677"/>
  <c r="J2796" i="677"/>
  <c r="J2672" i="677"/>
  <c r="H2672" i="677"/>
  <c r="K2672" i="677" s="1"/>
  <c r="H3212" i="677"/>
  <c r="J3212" i="677"/>
  <c r="H4213" i="677"/>
  <c r="J4213" i="677"/>
  <c r="H4360" i="677"/>
  <c r="J4360" i="677"/>
  <c r="K4360" i="677" s="1"/>
  <c r="H4459" i="677"/>
  <c r="J4459" i="677"/>
  <c r="K58" i="676"/>
  <c r="K66" i="676"/>
  <c r="K72" i="676"/>
  <c r="H129" i="676"/>
  <c r="H14" i="676" s="1"/>
  <c r="K163" i="677"/>
  <c r="H182" i="677"/>
  <c r="K328" i="677"/>
  <c r="H698" i="677"/>
  <c r="K698" i="677" s="1"/>
  <c r="H760" i="677"/>
  <c r="H970" i="677"/>
  <c r="K970" i="677" s="1"/>
  <c r="K1019" i="677"/>
  <c r="K1278" i="677"/>
  <c r="K1406" i="677"/>
  <c r="K1622" i="677"/>
  <c r="K1626" i="677"/>
  <c r="K1647" i="677"/>
  <c r="K1711" i="677"/>
  <c r="K2097" i="677"/>
  <c r="J2805" i="677"/>
  <c r="H2914" i="677"/>
  <c r="J2914" i="677"/>
  <c r="H3205" i="677"/>
  <c r="J3205" i="677"/>
  <c r="H3544" i="677"/>
  <c r="H3695" i="677"/>
  <c r="J3695" i="677"/>
  <c r="J3787" i="677"/>
  <c r="H3787" i="677"/>
  <c r="J3840" i="677"/>
  <c r="H3840" i="677"/>
  <c r="H3874" i="677"/>
  <c r="J3874" i="677"/>
  <c r="H3969" i="677"/>
  <c r="J3969" i="677"/>
  <c r="H3981" i="677"/>
  <c r="J3981" i="677"/>
  <c r="K53" i="676"/>
  <c r="H75" i="676"/>
  <c r="H13" i="676" s="1"/>
  <c r="K93" i="676"/>
  <c r="K95" i="676"/>
  <c r="K392" i="677"/>
  <c r="H1000" i="677"/>
  <c r="K1000" i="677" s="1"/>
  <c r="E1045" i="677"/>
  <c r="K1199" i="677"/>
  <c r="J1210" i="677"/>
  <c r="J1213" i="677"/>
  <c r="J1397" i="677"/>
  <c r="K1397" i="677" s="1"/>
  <c r="K1542" i="677"/>
  <c r="K1578" i="677"/>
  <c r="K1588" i="677"/>
  <c r="K1594" i="677"/>
  <c r="K1704" i="677"/>
  <c r="K1889" i="677"/>
  <c r="J1966" i="677"/>
  <c r="J1997" i="677"/>
  <c r="J2027" i="677"/>
  <c r="J2041" i="677"/>
  <c r="K2207" i="677"/>
  <c r="J2273" i="677"/>
  <c r="J2298" i="677"/>
  <c r="J2390" i="677"/>
  <c r="J2615" i="677"/>
  <c r="H3329" i="677"/>
  <c r="J3329" i="677"/>
  <c r="H3438" i="677"/>
  <c r="J3438" i="677"/>
  <c r="J3565" i="677"/>
  <c r="H3565" i="677"/>
  <c r="K3565" i="677" s="1"/>
  <c r="J3784" i="677"/>
  <c r="H3784" i="677"/>
  <c r="K3784" i="677" s="1"/>
  <c r="J3798" i="677"/>
  <c r="J3899" i="677"/>
  <c r="H3899" i="677"/>
  <c r="J4566" i="677"/>
  <c r="H4566" i="677"/>
  <c r="K41" i="676"/>
  <c r="K45" i="676"/>
  <c r="K82" i="676"/>
  <c r="K102" i="676"/>
  <c r="K71" i="677"/>
  <c r="K76" i="677"/>
  <c r="K131" i="677"/>
  <c r="K135" i="677"/>
  <c r="K140" i="677"/>
  <c r="K142" i="677"/>
  <c r="J203" i="677"/>
  <c r="K206" i="677"/>
  <c r="K208" i="677"/>
  <c r="K242" i="677"/>
  <c r="K273" i="677"/>
  <c r="K275" i="677"/>
  <c r="K337" i="677"/>
  <c r="K360" i="677"/>
  <c r="K364" i="677"/>
  <c r="K436" i="677"/>
  <c r="K627" i="677"/>
  <c r="K677" i="677"/>
  <c r="H699" i="677"/>
  <c r="H730" i="677"/>
  <c r="K730" i="677" s="1"/>
  <c r="K736" i="677"/>
  <c r="H782" i="677"/>
  <c r="K895" i="677"/>
  <c r="K982" i="677"/>
  <c r="E1042" i="677"/>
  <c r="J1042" i="677" s="1"/>
  <c r="K1138" i="677"/>
  <c r="K1210" i="677"/>
  <c r="K1366" i="677"/>
  <c r="K1368" i="677"/>
  <c r="K1385" i="677"/>
  <c r="K1390" i="677"/>
  <c r="K1402" i="677"/>
  <c r="K1461" i="677"/>
  <c r="K1580" i="677"/>
  <c r="K1605" i="677"/>
  <c r="K1609" i="677"/>
  <c r="K1616" i="677"/>
  <c r="K1624" i="677"/>
  <c r="K1629" i="677"/>
  <c r="K1633" i="677"/>
  <c r="K1645" i="677"/>
  <c r="K1666" i="677"/>
  <c r="K1683" i="677"/>
  <c r="K1699" i="677"/>
  <c r="K1703" i="677"/>
  <c r="K1717" i="677"/>
  <c r="K1741" i="677"/>
  <c r="K1787" i="677"/>
  <c r="K1788" i="677"/>
  <c r="K1794" i="677"/>
  <c r="K1798" i="677"/>
  <c r="K1809" i="677"/>
  <c r="K1884" i="677"/>
  <c r="K1895" i="677"/>
  <c r="K1899" i="677"/>
  <c r="K1911" i="677"/>
  <c r="K1915" i="677"/>
  <c r="K1917" i="677"/>
  <c r="K1938" i="677"/>
  <c r="H1955" i="677"/>
  <c r="K1973" i="677"/>
  <c r="H1981" i="677"/>
  <c r="J1984" i="677"/>
  <c r="K1984" i="677" s="1"/>
  <c r="K2006" i="677"/>
  <c r="H2073" i="677"/>
  <c r="K2080" i="677"/>
  <c r="K2126" i="677"/>
  <c r="K2135" i="677"/>
  <c r="K2155" i="677"/>
  <c r="K2158" i="677"/>
  <c r="H2165" i="677"/>
  <c r="K2165" i="677" s="1"/>
  <c r="K2269" i="677"/>
  <c r="J2369" i="677"/>
  <c r="J2574" i="677"/>
  <c r="J2643" i="677"/>
  <c r="H2781" i="677"/>
  <c r="K2781" i="677" s="1"/>
  <c r="J2904" i="677"/>
  <c r="H2904" i="677"/>
  <c r="J2960" i="677"/>
  <c r="H2989" i="677"/>
  <c r="K2989" i="677" s="1"/>
  <c r="J3009" i="677"/>
  <c r="J3012" i="677"/>
  <c r="J3157" i="677"/>
  <c r="H3224" i="677"/>
  <c r="J3224" i="677"/>
  <c r="K3224" i="677" s="1"/>
  <c r="J3272" i="677"/>
  <c r="K3272" i="677" s="1"/>
  <c r="J3327" i="677"/>
  <c r="H3327" i="677"/>
  <c r="J3367" i="677"/>
  <c r="H3367" i="677"/>
  <c r="J3378" i="677"/>
  <c r="J3391" i="677"/>
  <c r="K3397" i="677"/>
  <c r="H3562" i="677"/>
  <c r="J3562" i="677"/>
  <c r="H3675" i="677"/>
  <c r="H3861" i="677"/>
  <c r="K3861" i="677" s="1"/>
  <c r="J4034" i="677"/>
  <c r="H4034" i="677"/>
  <c r="J4075" i="677"/>
  <c r="H4075" i="677"/>
  <c r="K4075" i="677" s="1"/>
  <c r="J4182" i="677"/>
  <c r="H4182" i="677"/>
  <c r="K4182" i="677" s="1"/>
  <c r="K4578" i="677"/>
  <c r="K4065" i="677"/>
  <c r="K4542" i="677"/>
  <c r="K4556" i="677"/>
  <c r="K4575" i="677"/>
  <c r="J2937" i="677"/>
  <c r="J2961" i="677"/>
  <c r="J2997" i="677"/>
  <c r="J3008" i="677"/>
  <c r="K3008" i="677" s="1"/>
  <c r="J3116" i="677"/>
  <c r="H3460" i="677"/>
  <c r="J3477" i="677"/>
  <c r="H3647" i="677"/>
  <c r="K3647" i="677" s="1"/>
  <c r="H3662" i="677"/>
  <c r="H3819" i="677"/>
  <c r="K3819" i="677" s="1"/>
  <c r="H3858" i="677"/>
  <c r="H3891" i="677"/>
  <c r="J4348" i="677"/>
  <c r="K2928" i="677"/>
  <c r="K3301" i="677"/>
  <c r="K3811" i="677"/>
  <c r="K3891" i="677"/>
  <c r="J4025" i="677"/>
  <c r="H4093" i="677"/>
  <c r="K4093" i="677" s="1"/>
  <c r="J4198" i="677"/>
  <c r="K4221" i="677"/>
  <c r="J4228" i="677"/>
  <c r="K4228" i="677" s="1"/>
  <c r="H4270" i="677"/>
  <c r="K4270" i="677" s="1"/>
  <c r="H4289" i="677"/>
  <c r="K4289" i="677" s="1"/>
  <c r="J4496" i="677"/>
  <c r="K4622" i="677"/>
  <c r="J298" i="677"/>
  <c r="H298" i="677"/>
  <c r="J535" i="677"/>
  <c r="H535" i="677"/>
  <c r="H294" i="677"/>
  <c r="J294" i="677"/>
  <c r="J682" i="677"/>
  <c r="H682" i="677"/>
  <c r="K101" i="676"/>
  <c r="K103" i="676"/>
  <c r="K105" i="676"/>
  <c r="K109" i="676"/>
  <c r="K112" i="676"/>
  <c r="J181" i="677"/>
  <c r="K181" i="677" s="1"/>
  <c r="J237" i="677"/>
  <c r="K240" i="677"/>
  <c r="K307" i="677"/>
  <c r="H351" i="677"/>
  <c r="K351" i="677" s="1"/>
  <c r="H1018" i="677"/>
  <c r="J1018" i="677"/>
  <c r="H2330" i="677"/>
  <c r="J2330" i="677"/>
  <c r="J2338" i="677"/>
  <c r="H2338" i="677"/>
  <c r="H2858" i="677"/>
  <c r="J2858" i="677"/>
  <c r="K169" i="677"/>
  <c r="H196" i="677"/>
  <c r="K196" i="677" s="1"/>
  <c r="K332" i="677"/>
  <c r="H345" i="677"/>
  <c r="K556" i="677"/>
  <c r="K630" i="677"/>
  <c r="J653" i="677"/>
  <c r="H655" i="677"/>
  <c r="K655" i="677" s="1"/>
  <c r="H663" i="677"/>
  <c r="K663" i="677" s="1"/>
  <c r="J667" i="677"/>
  <c r="J669" i="677"/>
  <c r="H679" i="677"/>
  <c r="K679" i="677" s="1"/>
  <c r="J763" i="677"/>
  <c r="H763" i="677"/>
  <c r="K763" i="677" s="1"/>
  <c r="J850" i="677"/>
  <c r="H850" i="677"/>
  <c r="K850" i="677" s="1"/>
  <c r="J1032" i="677"/>
  <c r="H1032" i="677"/>
  <c r="K1032" i="677" s="1"/>
  <c r="H2285" i="677"/>
  <c r="J2285" i="677"/>
  <c r="H2870" i="677"/>
  <c r="J2870" i="677"/>
  <c r="J3034" i="677"/>
  <c r="H3034" i="677"/>
  <c r="K3034" i="677" s="1"/>
  <c r="H3042" i="677"/>
  <c r="J3042" i="677"/>
  <c r="J40" i="676"/>
  <c r="K51" i="676"/>
  <c r="K57" i="676"/>
  <c r="K71" i="676"/>
  <c r="K87" i="676"/>
  <c r="J100" i="676"/>
  <c r="K106" i="676"/>
  <c r="K108" i="677"/>
  <c r="K118" i="677"/>
  <c r="H184" i="677"/>
  <c r="K184" i="677" s="1"/>
  <c r="H302" i="677"/>
  <c r="K305" i="677"/>
  <c r="J1249" i="677"/>
  <c r="H1249" i="677"/>
  <c r="K1249" i="677" s="1"/>
  <c r="J1289" i="677"/>
  <c r="H1289" i="677"/>
  <c r="H2255" i="677"/>
  <c r="J2255" i="677"/>
  <c r="H2707" i="677"/>
  <c r="J2707" i="677"/>
  <c r="H2756" i="677"/>
  <c r="J2756" i="677"/>
  <c r="J260" i="677"/>
  <c r="K264" i="677"/>
  <c r="J345" i="677"/>
  <c r="K431" i="677"/>
  <c r="K438" i="677"/>
  <c r="J445" i="677"/>
  <c r="K445" i="677" s="1"/>
  <c r="K652" i="677"/>
  <c r="H654" i="677"/>
  <c r="K654" i="677" s="1"/>
  <c r="K656" i="677"/>
  <c r="H674" i="677"/>
  <c r="K674" i="677" s="1"/>
  <c r="H1174" i="677"/>
  <c r="J1174" i="677"/>
  <c r="H717" i="677"/>
  <c r="K717" i="677" s="1"/>
  <c r="H837" i="677"/>
  <c r="K837" i="677" s="1"/>
  <c r="J864" i="677"/>
  <c r="K1043" i="677"/>
  <c r="H1117" i="677"/>
  <c r="K1117" i="677" s="1"/>
  <c r="J1225" i="677"/>
  <c r="J1233" i="677"/>
  <c r="K1233" i="677" s="1"/>
  <c r="H1266" i="677"/>
  <c r="K1266" i="677" s="1"/>
  <c r="J1283" i="677"/>
  <c r="K1283" i="677" s="1"/>
  <c r="K1372" i="677"/>
  <c r="K1403" i="677"/>
  <c r="H1574" i="677"/>
  <c r="H1596" i="677"/>
  <c r="K1651" i="677"/>
  <c r="K1668" i="677"/>
  <c r="K1687" i="677"/>
  <c r="H1707" i="677"/>
  <c r="S1727" i="677"/>
  <c r="E1756" i="677"/>
  <c r="K1774" i="677"/>
  <c r="K1834" i="677"/>
  <c r="K1861" i="677"/>
  <c r="K1896" i="677"/>
  <c r="K1901" i="677"/>
  <c r="K1913" i="677"/>
  <c r="K1934" i="677"/>
  <c r="J1946" i="677"/>
  <c r="K1951" i="677"/>
  <c r="J1954" i="677"/>
  <c r="K1954" i="677" s="1"/>
  <c r="H1976" i="677"/>
  <c r="J1999" i="677"/>
  <c r="J2013" i="677"/>
  <c r="K2029" i="677"/>
  <c r="K2034" i="677"/>
  <c r="J2062" i="677"/>
  <c r="K2062" i="677" s="1"/>
  <c r="J2063" i="677"/>
  <c r="K2063" i="677" s="1"/>
  <c r="H2075" i="677"/>
  <c r="H2077" i="677"/>
  <c r="K2152" i="677"/>
  <c r="K2168" i="677"/>
  <c r="H2170" i="677"/>
  <c r="K2170" i="677" s="1"/>
  <c r="H2185" i="677"/>
  <c r="K2185" i="677" s="1"/>
  <c r="H3161" i="677"/>
  <c r="J3161" i="677"/>
  <c r="J3178" i="677"/>
  <c r="H3178" i="677"/>
  <c r="J3206" i="677"/>
  <c r="H3206" i="677"/>
  <c r="H3269" i="677"/>
  <c r="J3269" i="677"/>
  <c r="J3344" i="677"/>
  <c r="H3344" i="677"/>
  <c r="J3402" i="677"/>
  <c r="H3402" i="677"/>
  <c r="J3429" i="677"/>
  <c r="H3429" i="677"/>
  <c r="J3482" i="677"/>
  <c r="H3482" i="677"/>
  <c r="K3482" i="677" s="1"/>
  <c r="J3551" i="677"/>
  <c r="H3551" i="677"/>
  <c r="H3609" i="677"/>
  <c r="J3609" i="677"/>
  <c r="H3658" i="677"/>
  <c r="J3658" i="677"/>
  <c r="J3665" i="677"/>
  <c r="H3665" i="677"/>
  <c r="K3665" i="677" s="1"/>
  <c r="J3708" i="677"/>
  <c r="H3708" i="677"/>
  <c r="H3717" i="677"/>
  <c r="J3717" i="677"/>
  <c r="J3757" i="677"/>
  <c r="H3757" i="677"/>
  <c r="H3761" i="677"/>
  <c r="J3761" i="677"/>
  <c r="J3788" i="677"/>
  <c r="H3788" i="677"/>
  <c r="J3821" i="677"/>
  <c r="H3821" i="677"/>
  <c r="K3821" i="677" s="1"/>
  <c r="H3892" i="677"/>
  <c r="J3892" i="677"/>
  <c r="J4141" i="677"/>
  <c r="H4141" i="677"/>
  <c r="J4169" i="677"/>
  <c r="H4169" i="677"/>
  <c r="J4298" i="677"/>
  <c r="H4298" i="677"/>
  <c r="H4311" i="677"/>
  <c r="J4311" i="677"/>
  <c r="H804" i="677"/>
  <c r="K804" i="677" s="1"/>
  <c r="J820" i="677"/>
  <c r="H878" i="677"/>
  <c r="K878" i="677" s="1"/>
  <c r="H907" i="677"/>
  <c r="K907" i="677" s="1"/>
  <c r="K921" i="677"/>
  <c r="J923" i="677"/>
  <c r="H1008" i="677"/>
  <c r="K1008" i="677" s="1"/>
  <c r="K1107" i="677"/>
  <c r="H1152" i="677"/>
  <c r="K1225" i="677"/>
  <c r="K1436" i="677"/>
  <c r="J1492" i="677"/>
  <c r="H1584" i="677"/>
  <c r="K1603" i="677"/>
  <c r="K1670" i="677"/>
  <c r="K1695" i="677"/>
  <c r="J1707" i="677"/>
  <c r="K1714" i="677"/>
  <c r="K1761" i="677"/>
  <c r="K1762" i="677"/>
  <c r="K1848" i="677"/>
  <c r="K1888" i="677"/>
  <c r="K1921" i="677"/>
  <c r="K2129" i="677"/>
  <c r="H2206" i="677"/>
  <c r="K2206" i="677" s="1"/>
  <c r="J2210" i="677"/>
  <c r="H2260" i="677"/>
  <c r="K2260" i="677" s="1"/>
  <c r="H2289" i="677"/>
  <c r="K2289" i="677" s="1"/>
  <c r="J2472" i="677"/>
  <c r="K2472" i="677" s="1"/>
  <c r="J2510" i="677"/>
  <c r="J2516" i="677"/>
  <c r="H2614" i="677"/>
  <c r="J2626" i="677"/>
  <c r="K2643" i="677"/>
  <c r="J2679" i="677"/>
  <c r="H2804" i="677"/>
  <c r="J2808" i="677"/>
  <c r="H2810" i="677"/>
  <c r="K2810" i="677" s="1"/>
  <c r="H2821" i="677"/>
  <c r="K2821" i="677" s="1"/>
  <c r="J2823" i="677"/>
  <c r="K2823" i="677" s="1"/>
  <c r="K2828" i="677"/>
  <c r="J2869" i="677"/>
  <c r="H2929" i="677"/>
  <c r="K2929" i="677" s="1"/>
  <c r="H2974" i="677"/>
  <c r="K2974" i="677" s="1"/>
  <c r="J3000" i="677"/>
  <c r="H3017" i="677"/>
  <c r="H3025" i="677"/>
  <c r="H3029" i="677"/>
  <c r="H3053" i="677"/>
  <c r="H3245" i="677"/>
  <c r="J3245" i="677"/>
  <c r="J3273" i="677"/>
  <c r="H3273" i="677"/>
  <c r="H3373" i="677"/>
  <c r="J3373" i="677"/>
  <c r="H3436" i="677"/>
  <c r="J3436" i="677"/>
  <c r="K3473" i="677"/>
  <c r="H3479" i="677"/>
  <c r="J3479" i="677"/>
  <c r="J3506" i="677"/>
  <c r="H3506" i="677"/>
  <c r="K3506" i="677" s="1"/>
  <c r="H3530" i="677"/>
  <c r="J3575" i="677"/>
  <c r="H3575" i="677"/>
  <c r="J3633" i="677"/>
  <c r="H3670" i="677"/>
  <c r="J3670" i="677"/>
  <c r="H3680" i="677"/>
  <c r="K3680" i="677" s="1"/>
  <c r="H3746" i="677"/>
  <c r="J3746" i="677"/>
  <c r="H3752" i="677"/>
  <c r="J3752" i="677"/>
  <c r="J3772" i="677"/>
  <c r="H3772" i="677"/>
  <c r="J3778" i="677"/>
  <c r="H3778" i="677"/>
  <c r="J3815" i="677"/>
  <c r="H3815" i="677"/>
  <c r="H3873" i="677"/>
  <c r="J3873" i="677"/>
  <c r="H3880" i="677"/>
  <c r="J3880" i="677"/>
  <c r="J3905" i="677"/>
  <c r="H3905" i="677"/>
  <c r="J3946" i="677"/>
  <c r="H3946" i="677"/>
  <c r="H3949" i="677"/>
  <c r="J3949" i="677"/>
  <c r="H3996" i="677"/>
  <c r="K3996" i="677" s="1"/>
  <c r="J3996" i="677"/>
  <c r="J4018" i="677"/>
  <c r="H4018" i="677"/>
  <c r="H4042" i="677"/>
  <c r="J4042" i="677"/>
  <c r="H4057" i="677"/>
  <c r="J4057" i="677"/>
  <c r="H4201" i="677"/>
  <c r="J4201" i="677"/>
  <c r="J4412" i="677"/>
  <c r="H4412" i="677"/>
  <c r="J4424" i="677"/>
  <c r="H4424" i="677"/>
  <c r="J4521" i="677"/>
  <c r="H4521" i="677"/>
  <c r="H815" i="677"/>
  <c r="K815" i="677" s="1"/>
  <c r="J833" i="677"/>
  <c r="H869" i="677"/>
  <c r="K869" i="677" s="1"/>
  <c r="K1080" i="677"/>
  <c r="J1160" i="677"/>
  <c r="K1160" i="677" s="1"/>
  <c r="J1242" i="677"/>
  <c r="H1307" i="677"/>
  <c r="K1381" i="677"/>
  <c r="K1384" i="677"/>
  <c r="K1389" i="677"/>
  <c r="K1432" i="677"/>
  <c r="H1465" i="677"/>
  <c r="K1593" i="677"/>
  <c r="K1653" i="677"/>
  <c r="K1659" i="677"/>
  <c r="K1669" i="677"/>
  <c r="K1684" i="677"/>
  <c r="S1707" i="677"/>
  <c r="J1722" i="677"/>
  <c r="K1730" i="677"/>
  <c r="K1859" i="677"/>
  <c r="K1924" i="677"/>
  <c r="K1928" i="677"/>
  <c r="K1932" i="677"/>
  <c r="K1936" i="677"/>
  <c r="H1965" i="677"/>
  <c r="H1974" i="677"/>
  <c r="K1974" i="677" s="1"/>
  <c r="J2033" i="677"/>
  <c r="J2043" i="677"/>
  <c r="H2167" i="677"/>
  <c r="K2167" i="677" s="1"/>
  <c r="H2223" i="677"/>
  <c r="K2223" i="677" s="1"/>
  <c r="H2277" i="677"/>
  <c r="K2277" i="677" s="1"/>
  <c r="H2294" i="677"/>
  <c r="K2294" i="677" s="1"/>
  <c r="H2410" i="677"/>
  <c r="H2498" i="677"/>
  <c r="K2498" i="677" s="1"/>
  <c r="J2501" i="677"/>
  <c r="K2501" i="677" s="1"/>
  <c r="H2599" i="677"/>
  <c r="K2599" i="677" s="1"/>
  <c r="H2661" i="677"/>
  <c r="K2661" i="677" s="1"/>
  <c r="H2673" i="677"/>
  <c r="K2673" i="677" s="1"/>
  <c r="H2703" i="677"/>
  <c r="K2703" i="677" s="1"/>
  <c r="K2721" i="677"/>
  <c r="H2726" i="677"/>
  <c r="H2732" i="677"/>
  <c r="K2732" i="677" s="1"/>
  <c r="H2833" i="677"/>
  <c r="H3091" i="677"/>
  <c r="J3091" i="677"/>
  <c r="H3293" i="677"/>
  <c r="K3293" i="677" s="1"/>
  <c r="J3293" i="677"/>
  <c r="J3314" i="677"/>
  <c r="H3314" i="677"/>
  <c r="H3346" i="677"/>
  <c r="J3346" i="677"/>
  <c r="H3370" i="677"/>
  <c r="J3370" i="677"/>
  <c r="H3421" i="677"/>
  <c r="J3421" i="677"/>
  <c r="H3444" i="677"/>
  <c r="J3444" i="677"/>
  <c r="H3467" i="677"/>
  <c r="J3467" i="677"/>
  <c r="H3484" i="677"/>
  <c r="J3484" i="677"/>
  <c r="H3541" i="677"/>
  <c r="J3541" i="677"/>
  <c r="J3568" i="677"/>
  <c r="H3568" i="677"/>
  <c r="J3601" i="677"/>
  <c r="H3601" i="677"/>
  <c r="H3663" i="677"/>
  <c r="J3663" i="677"/>
  <c r="J3863" i="677"/>
  <c r="H3863" i="677"/>
  <c r="J4126" i="677"/>
  <c r="H4126" i="677"/>
  <c r="H4325" i="677"/>
  <c r="J4325" i="677"/>
  <c r="H4383" i="677"/>
  <c r="J4383" i="677"/>
  <c r="J710" i="677"/>
  <c r="J749" i="677"/>
  <c r="H765" i="677"/>
  <c r="K765" i="677" s="1"/>
  <c r="H768" i="677"/>
  <c r="H773" i="677"/>
  <c r="K1041" i="677"/>
  <c r="H1118" i="677"/>
  <c r="K1175" i="677"/>
  <c r="J1295" i="677"/>
  <c r="J1328" i="677"/>
  <c r="K1328" i="677" s="1"/>
  <c r="K1449" i="677"/>
  <c r="K1509" i="677"/>
  <c r="K1539" i="677"/>
  <c r="J1720" i="677"/>
  <c r="J1727" i="677"/>
  <c r="K1764" i="677"/>
  <c r="K1790" i="677"/>
  <c r="K1866" i="677"/>
  <c r="K1897" i="677"/>
  <c r="K1910" i="677"/>
  <c r="K1914" i="677"/>
  <c r="K1939" i="677"/>
  <c r="K1946" i="677"/>
  <c r="J1947" i="677"/>
  <c r="H1957" i="677"/>
  <c r="H1960" i="677"/>
  <c r="K1999" i="677"/>
  <c r="J2000" i="677"/>
  <c r="J2009" i="677"/>
  <c r="K2009" i="677" s="1"/>
  <c r="K2045" i="677"/>
  <c r="K2046" i="677"/>
  <c r="K2051" i="677"/>
  <c r="K2055" i="677"/>
  <c r="K2104" i="677"/>
  <c r="K2150" i="677"/>
  <c r="H2172" i="677"/>
  <c r="K2172" i="677" s="1"/>
  <c r="H2281" i="677"/>
  <c r="K2281" i="677" s="1"/>
  <c r="H2306" i="677"/>
  <c r="K2306" i="677" s="1"/>
  <c r="J2363" i="677"/>
  <c r="H2373" i="677"/>
  <c r="K2373" i="677" s="1"/>
  <c r="J2398" i="677"/>
  <c r="J2416" i="677"/>
  <c r="J2439" i="677"/>
  <c r="J2448" i="677"/>
  <c r="J2460" i="677"/>
  <c r="K2460" i="677" s="1"/>
  <c r="H2593" i="677"/>
  <c r="K2593" i="677" s="1"/>
  <c r="H2605" i="677"/>
  <c r="K2605" i="677" s="1"/>
  <c r="H2637" i="677"/>
  <c r="K2637" i="677" s="1"/>
  <c r="J2656" i="677"/>
  <c r="H2667" i="677"/>
  <c r="H2670" i="677"/>
  <c r="K2670" i="677" s="1"/>
  <c r="K2779" i="677"/>
  <c r="J2793" i="677"/>
  <c r="H2822" i="677"/>
  <c r="K2822" i="677" s="1"/>
  <c r="H2887" i="677"/>
  <c r="K2887" i="677" s="1"/>
  <c r="H2924" i="677"/>
  <c r="K2924" i="677" s="1"/>
  <c r="J2973" i="677"/>
  <c r="K2973" i="677" s="1"/>
  <c r="J3021" i="677"/>
  <c r="K3033" i="677"/>
  <c r="H3108" i="677"/>
  <c r="J3108" i="677"/>
  <c r="K3205" i="677"/>
  <c r="H3240" i="677"/>
  <c r="J3240" i="677"/>
  <c r="H3347" i="677"/>
  <c r="K3347" i="677" s="1"/>
  <c r="J3347" i="677"/>
  <c r="H3384" i="677"/>
  <c r="J3384" i="677"/>
  <c r="H3435" i="677"/>
  <c r="K3435" i="677" s="1"/>
  <c r="J3458" i="677"/>
  <c r="H3458" i="677"/>
  <c r="K3458" i="677" s="1"/>
  <c r="K3477" i="677"/>
  <c r="H3580" i="677"/>
  <c r="J3580" i="677"/>
  <c r="H3598" i="677"/>
  <c r="K3598" i="677" s="1"/>
  <c r="J3598" i="677"/>
  <c r="H3642" i="677"/>
  <c r="J3642" i="677"/>
  <c r="H3672" i="677"/>
  <c r="J3672" i="677"/>
  <c r="J3681" i="677"/>
  <c r="H3681" i="677"/>
  <c r="K3798" i="677"/>
  <c r="J3809" i="677"/>
  <c r="H3809" i="677"/>
  <c r="K3809" i="677" s="1"/>
  <c r="J4001" i="677"/>
  <c r="H4001" i="677"/>
  <c r="H4210" i="677"/>
  <c r="J4210" i="677"/>
  <c r="K3096" i="677"/>
  <c r="K3438" i="677"/>
  <c r="K3447" i="677"/>
  <c r="K3604" i="677"/>
  <c r="H3930" i="677"/>
  <c r="K3930" i="677" s="1"/>
  <c r="H3940" i="677"/>
  <c r="K3940" i="677" s="1"/>
  <c r="K4198" i="677"/>
  <c r="J4265" i="677"/>
  <c r="H4275" i="677"/>
  <c r="K4275" i="677" s="1"/>
  <c r="H4380" i="677"/>
  <c r="K4380" i="677" s="1"/>
  <c r="H4469" i="677"/>
  <c r="H4541" i="677"/>
  <c r="J4547" i="677"/>
  <c r="K4552" i="677"/>
  <c r="K4565" i="677"/>
  <c r="K4568" i="677"/>
  <c r="J4573" i="677"/>
  <c r="K4582" i="677"/>
  <c r="K4586" i="677"/>
  <c r="K4605" i="677"/>
  <c r="H3172" i="677"/>
  <c r="K3172" i="677" s="1"/>
  <c r="K3252" i="677"/>
  <c r="H3284" i="677"/>
  <c r="K3284" i="677" s="1"/>
  <c r="H3453" i="677"/>
  <c r="K3453" i="677" s="1"/>
  <c r="J3466" i="677"/>
  <c r="H3550" i="677"/>
  <c r="K3550" i="677" s="1"/>
  <c r="J3586" i="677"/>
  <c r="H3589" i="677"/>
  <c r="H3741" i="677"/>
  <c r="K3741" i="677" s="1"/>
  <c r="H3909" i="677"/>
  <c r="J3935" i="677"/>
  <c r="J3948" i="677"/>
  <c r="J4030" i="677"/>
  <c r="J4108" i="677"/>
  <c r="J4159" i="677"/>
  <c r="K4159" i="677" s="1"/>
  <c r="J4181" i="677"/>
  <c r="H4322" i="677"/>
  <c r="K4322" i="677" s="1"/>
  <c r="H4353" i="677"/>
  <c r="H4414" i="677"/>
  <c r="K4414" i="677" s="1"/>
  <c r="H4426" i="677"/>
  <c r="K4426" i="677" s="1"/>
  <c r="J4442" i="677"/>
  <c r="H4480" i="677"/>
  <c r="H4544" i="677"/>
  <c r="K4544" i="677" s="1"/>
  <c r="H4546" i="677"/>
  <c r="K4546" i="677" s="1"/>
  <c r="K4553" i="677"/>
  <c r="K4558" i="677"/>
  <c r="K4562" i="677"/>
  <c r="K4564" i="677"/>
  <c r="K4567" i="677"/>
  <c r="K4570" i="677"/>
  <c r="H4572" i="677"/>
  <c r="K4616" i="677"/>
  <c r="K4621" i="677"/>
  <c r="H3058" i="677"/>
  <c r="K3058" i="677" s="1"/>
  <c r="J3104" i="677"/>
  <c r="J3149" i="677"/>
  <c r="J3177" i="677"/>
  <c r="H3232" i="677"/>
  <c r="J3235" i="677"/>
  <c r="H3274" i="677"/>
  <c r="K3274" i="677" s="1"/>
  <c r="H3299" i="677"/>
  <c r="K3299" i="677" s="1"/>
  <c r="J3313" i="677"/>
  <c r="J3330" i="677"/>
  <c r="K3330" i="677" s="1"/>
  <c r="J3335" i="677"/>
  <c r="K3335" i="677" s="1"/>
  <c r="J3413" i="677"/>
  <c r="K3413" i="677" s="1"/>
  <c r="H3508" i="677"/>
  <c r="K3695" i="677"/>
  <c r="H3701" i="677"/>
  <c r="J3739" i="677"/>
  <c r="K3739" i="677" s="1"/>
  <c r="J3783" i="677"/>
  <c r="J3795" i="677"/>
  <c r="J3870" i="677"/>
  <c r="H3977" i="677"/>
  <c r="H4154" i="677"/>
  <c r="K4154" i="677" s="1"/>
  <c r="H4244" i="677"/>
  <c r="K4244" i="677" s="1"/>
  <c r="J4250" i="677"/>
  <c r="J4312" i="677"/>
  <c r="J4317" i="677"/>
  <c r="K4317" i="677" s="1"/>
  <c r="K4593" i="677"/>
  <c r="K4615" i="677"/>
  <c r="K4617" i="677"/>
  <c r="K4620" i="677"/>
  <c r="J87" i="677"/>
  <c r="H87" i="677"/>
  <c r="J129" i="677"/>
  <c r="H129" i="677"/>
  <c r="K129" i="677" s="1"/>
  <c r="J575" i="677"/>
  <c r="H575" i="677"/>
  <c r="H712" i="677"/>
  <c r="J712" i="677"/>
  <c r="J271" i="677"/>
  <c r="H271" i="677"/>
  <c r="K271" i="677" s="1"/>
  <c r="H446" i="677"/>
  <c r="J446" i="677"/>
  <c r="H689" i="677"/>
  <c r="J689" i="677"/>
  <c r="H934" i="677"/>
  <c r="J934" i="677"/>
  <c r="H191" i="677"/>
  <c r="J191" i="677"/>
  <c r="J534" i="677"/>
  <c r="E498" i="677"/>
  <c r="J498" i="677" s="1"/>
  <c r="H720" i="677"/>
  <c r="J720" i="677"/>
  <c r="H98" i="677"/>
  <c r="J98" i="677"/>
  <c r="J287" i="677"/>
  <c r="H287" i="677"/>
  <c r="K287" i="677" s="1"/>
  <c r="H352" i="677"/>
  <c r="J352" i="677"/>
  <c r="H367" i="677"/>
  <c r="J367" i="677"/>
  <c r="J375" i="677"/>
  <c r="H375" i="677"/>
  <c r="K375" i="677" s="1"/>
  <c r="J607" i="677"/>
  <c r="H607" i="677"/>
  <c r="K607" i="677" s="1"/>
  <c r="J625" i="677"/>
  <c r="H625" i="677"/>
  <c r="H840" i="677"/>
  <c r="J840" i="677"/>
  <c r="J885" i="677"/>
  <c r="H885" i="677"/>
  <c r="K885" i="677" s="1"/>
  <c r="J225" i="677"/>
  <c r="H225" i="677"/>
  <c r="K225" i="677" s="1"/>
  <c r="J226" i="677"/>
  <c r="H226" i="677"/>
  <c r="K226" i="677" s="1"/>
  <c r="H422" i="677"/>
  <c r="J422" i="677"/>
  <c r="K422" i="677" s="1"/>
  <c r="J945" i="677"/>
  <c r="H945" i="677"/>
  <c r="H1026" i="677"/>
  <c r="J1026" i="677"/>
  <c r="J279" i="677"/>
  <c r="H279" i="677"/>
  <c r="J80" i="677"/>
  <c r="H80" i="677"/>
  <c r="K80" i="677" s="1"/>
  <c r="J266" i="677"/>
  <c r="H266" i="677"/>
  <c r="H458" i="677"/>
  <c r="J458" i="677"/>
  <c r="H547" i="677"/>
  <c r="J547" i="677"/>
  <c r="H631" i="677"/>
  <c r="J631" i="677"/>
  <c r="H769" i="677"/>
  <c r="J769" i="677"/>
  <c r="H913" i="677"/>
  <c r="J913" i="677"/>
  <c r="H927" i="677"/>
  <c r="J927" i="677"/>
  <c r="J270" i="677"/>
  <c r="H270" i="677"/>
  <c r="K270" i="677" s="1"/>
  <c r="H330" i="677"/>
  <c r="J330" i="677"/>
  <c r="J338" i="677"/>
  <c r="H338" i="677"/>
  <c r="H59" i="677"/>
  <c r="J59" i="677"/>
  <c r="H68" i="677"/>
  <c r="J68" i="677"/>
  <c r="H82" i="677"/>
  <c r="J82" i="677"/>
  <c r="H346" i="677"/>
  <c r="J346" i="677"/>
  <c r="H362" i="677"/>
  <c r="J362" i="677"/>
  <c r="J407" i="677"/>
  <c r="H407" i="677"/>
  <c r="K407" i="677" s="1"/>
  <c r="H435" i="677"/>
  <c r="J435" i="677"/>
  <c r="H477" i="677"/>
  <c r="J477" i="677"/>
  <c r="H562" i="677"/>
  <c r="J562" i="677"/>
  <c r="H1005" i="677"/>
  <c r="J1005" i="677"/>
  <c r="J1167" i="677"/>
  <c r="H1167" i="677"/>
  <c r="J192" i="677"/>
  <c r="H192" i="677"/>
  <c r="K192" i="677" s="1"/>
  <c r="J186" i="677"/>
  <c r="H186" i="677"/>
  <c r="J219" i="677"/>
  <c r="H219" i="677"/>
  <c r="K219" i="677" s="1"/>
  <c r="J274" i="677"/>
  <c r="H274" i="677"/>
  <c r="H378" i="677"/>
  <c r="J378" i="677"/>
  <c r="J394" i="677"/>
  <c r="H394" i="677"/>
  <c r="J602" i="677"/>
  <c r="H602" i="677"/>
  <c r="H187" i="677"/>
  <c r="J187" i="677"/>
  <c r="J370" i="677"/>
  <c r="H370" i="677"/>
  <c r="J426" i="677"/>
  <c r="H426" i="677"/>
  <c r="H470" i="677"/>
  <c r="J470" i="677"/>
  <c r="J593" i="677"/>
  <c r="H593" i="677"/>
  <c r="J666" i="677"/>
  <c r="H666" i="677"/>
  <c r="H133" i="677"/>
  <c r="J133" i="677"/>
  <c r="J571" i="677"/>
  <c r="H571" i="677"/>
  <c r="H148" i="677"/>
  <c r="J148" i="677"/>
  <c r="H165" i="677"/>
  <c r="J165" i="677"/>
  <c r="J198" i="677"/>
  <c r="H198" i="677"/>
  <c r="J318" i="677"/>
  <c r="H318" i="677"/>
  <c r="J583" i="677"/>
  <c r="H583" i="677"/>
  <c r="H746" i="677"/>
  <c r="J746" i="677"/>
  <c r="H915" i="677"/>
  <c r="J915" i="677"/>
  <c r="H483" i="677"/>
  <c r="J483" i="677"/>
  <c r="H160" i="677"/>
  <c r="J160" i="677"/>
  <c r="E866" i="677"/>
  <c r="H893" i="677"/>
  <c r="H1055" i="677"/>
  <c r="J1055" i="677"/>
  <c r="H326" i="677"/>
  <c r="J326" i="677"/>
  <c r="H157" i="677"/>
  <c r="J157" i="677"/>
  <c r="J357" i="677"/>
  <c r="H357" i="677"/>
  <c r="K357" i="677" s="1"/>
  <c r="J402" i="677"/>
  <c r="H402" i="677"/>
  <c r="J481" i="677"/>
  <c r="H481" i="677"/>
  <c r="J953" i="677"/>
  <c r="H953" i="677"/>
  <c r="H89" i="677"/>
  <c r="J89" i="677"/>
  <c r="H77" i="677"/>
  <c r="J77" i="677"/>
  <c r="H86" i="677"/>
  <c r="J86" i="677"/>
  <c r="H128" i="677"/>
  <c r="J128" i="677"/>
  <c r="J230" i="677"/>
  <c r="H230" i="677"/>
  <c r="J293" i="677"/>
  <c r="H293" i="677"/>
  <c r="J311" i="677"/>
  <c r="H311" i="677"/>
  <c r="H358" i="677"/>
  <c r="J358" i="677"/>
  <c r="J789" i="677"/>
  <c r="H789" i="677"/>
  <c r="K789" i="677" s="1"/>
  <c r="K56" i="676"/>
  <c r="K86" i="676"/>
  <c r="K102" i="677"/>
  <c r="K296" i="677"/>
  <c r="H415" i="677"/>
  <c r="K415" i="677" s="1"/>
  <c r="K463" i="677"/>
  <c r="K619" i="677"/>
  <c r="H696" i="677"/>
  <c r="K696" i="677" s="1"/>
  <c r="J707" i="677"/>
  <c r="H772" i="677"/>
  <c r="K772" i="677" s="1"/>
  <c r="J891" i="677"/>
  <c r="K891" i="677" s="1"/>
  <c r="K961" i="677"/>
  <c r="E1223" i="677"/>
  <c r="J1223" i="677" s="1"/>
  <c r="K1354" i="677"/>
  <c r="J1370" i="677"/>
  <c r="H1370" i="677"/>
  <c r="K1370" i="677" s="1"/>
  <c r="K1496" i="677"/>
  <c r="K1641" i="677"/>
  <c r="K1701" i="677"/>
  <c r="H2231" i="677"/>
  <c r="K2231" i="677" s="1"/>
  <c r="J2231" i="677"/>
  <c r="J1250" i="677"/>
  <c r="H1250" i="677"/>
  <c r="J1267" i="677"/>
  <c r="H1267" i="677"/>
  <c r="J1565" i="677"/>
  <c r="H1565" i="677"/>
  <c r="J2188" i="677"/>
  <c r="H2188" i="677"/>
  <c r="H2222" i="677"/>
  <c r="J2222" i="677"/>
  <c r="H2463" i="677"/>
  <c r="J2463" i="677"/>
  <c r="J119" i="677"/>
  <c r="K119" i="677" s="1"/>
  <c r="H399" i="677"/>
  <c r="K399" i="677" s="1"/>
  <c r="J791" i="677"/>
  <c r="J802" i="677"/>
  <c r="K802" i="677" s="1"/>
  <c r="H848" i="677"/>
  <c r="H1224" i="677"/>
  <c r="J1224" i="677"/>
  <c r="K1242" i="677"/>
  <c r="H1300" i="677"/>
  <c r="J1300" i="677"/>
  <c r="K1492" i="677"/>
  <c r="H2189" i="677"/>
  <c r="J2189" i="677"/>
  <c r="J2242" i="677"/>
  <c r="H2242" i="677"/>
  <c r="H2301" i="677"/>
  <c r="J2301" i="677"/>
  <c r="H384" i="677"/>
  <c r="K384" i="677" s="1"/>
  <c r="H517" i="677"/>
  <c r="J567" i="677"/>
  <c r="K69" i="676"/>
  <c r="J109" i="677"/>
  <c r="K109" i="677" s="1"/>
  <c r="J144" i="677"/>
  <c r="K144" i="677" s="1"/>
  <c r="H149" i="677"/>
  <c r="H161" i="677"/>
  <c r="H180" i="677"/>
  <c r="K180" i="677" s="1"/>
  <c r="H254" i="677"/>
  <c r="J261" i="677"/>
  <c r="K261" i="677" s="1"/>
  <c r="H280" i="677"/>
  <c r="K280" i="677" s="1"/>
  <c r="H306" i="677"/>
  <c r="H343" i="677"/>
  <c r="K343" i="677" s="1"/>
  <c r="J410" i="677"/>
  <c r="K410" i="677" s="1"/>
  <c r="J416" i="677"/>
  <c r="K416" i="677" s="1"/>
  <c r="J709" i="677"/>
  <c r="H787" i="677"/>
  <c r="K787" i="677" s="1"/>
  <c r="H899" i="677"/>
  <c r="K899" i="677" s="1"/>
  <c r="K1015" i="677"/>
  <c r="K1152" i="677"/>
  <c r="H1532" i="677"/>
  <c r="K1532" i="677" s="1"/>
  <c r="H2180" i="677"/>
  <c r="J2180" i="677"/>
  <c r="K567" i="677"/>
  <c r="H286" i="677"/>
  <c r="K286" i="677" s="1"/>
  <c r="K403" i="677"/>
  <c r="H456" i="677"/>
  <c r="H525" i="677"/>
  <c r="H609" i="677"/>
  <c r="K609" i="677" s="1"/>
  <c r="K70" i="676"/>
  <c r="K97" i="676"/>
  <c r="K107" i="676"/>
  <c r="H213" i="677"/>
  <c r="K213" i="677" s="1"/>
  <c r="H665" i="677"/>
  <c r="K665" i="677" s="1"/>
  <c r="H725" i="677"/>
  <c r="K725" i="677" s="1"/>
  <c r="H755" i="677"/>
  <c r="K755" i="677" s="1"/>
  <c r="J810" i="677"/>
  <c r="K810" i="677" s="1"/>
  <c r="H1034" i="677"/>
  <c r="J1139" i="677"/>
  <c r="H1139" i="677"/>
  <c r="J1196" i="677"/>
  <c r="H1196" i="677"/>
  <c r="H1424" i="677"/>
  <c r="J1424" i="677"/>
  <c r="J1959" i="677"/>
  <c r="H1959" i="677"/>
  <c r="H2411" i="677"/>
  <c r="K2411" i="677" s="1"/>
  <c r="J2411" i="677"/>
  <c r="K70" i="677"/>
  <c r="J218" i="677"/>
  <c r="J390" i="677"/>
  <c r="J75" i="676"/>
  <c r="J13" i="676" s="1"/>
  <c r="K83" i="676"/>
  <c r="K110" i="677"/>
  <c r="H493" i="677"/>
  <c r="J621" i="677"/>
  <c r="K621" i="677" s="1"/>
  <c r="K653" i="677"/>
  <c r="K715" i="677"/>
  <c r="J788" i="677"/>
  <c r="H823" i="677"/>
  <c r="K823" i="677" s="1"/>
  <c r="K900" i="677"/>
  <c r="K923" i="677"/>
  <c r="J1153" i="677"/>
  <c r="K1153" i="677" s="1"/>
  <c r="K1254" i="677"/>
  <c r="J1312" i="677"/>
  <c r="K1312" i="677" s="1"/>
  <c r="K1419" i="677"/>
  <c r="J1533" i="677"/>
  <c r="H1533" i="677"/>
  <c r="J1575" i="677"/>
  <c r="H1575" i="677"/>
  <c r="J2052" i="677"/>
  <c r="H2052" i="677"/>
  <c r="H2339" i="677"/>
  <c r="J2339" i="677"/>
  <c r="H2402" i="677"/>
  <c r="J2402" i="677"/>
  <c r="K682" i="677"/>
  <c r="K699" i="677"/>
  <c r="H1330" i="677"/>
  <c r="J1330" i="677"/>
  <c r="J1475" i="677"/>
  <c r="H1475" i="677"/>
  <c r="H1482" i="677"/>
  <c r="J1482" i="677"/>
  <c r="K1947" i="677"/>
  <c r="J2183" i="677"/>
  <c r="H2183" i="677"/>
  <c r="J2201" i="677"/>
  <c r="H2201" i="677"/>
  <c r="K298" i="677"/>
  <c r="K108" i="676"/>
  <c r="H60" i="677"/>
  <c r="K60" i="677" s="1"/>
  <c r="J95" i="677"/>
  <c r="K95" i="677" s="1"/>
  <c r="J100" i="677"/>
  <c r="K100" i="677" s="1"/>
  <c r="J151" i="677"/>
  <c r="K151" i="677" s="1"/>
  <c r="H281" i="677"/>
  <c r="H350" i="677"/>
  <c r="H382" i="677"/>
  <c r="J452" i="677"/>
  <c r="K452" i="677" s="1"/>
  <c r="H474" i="677"/>
  <c r="K474" i="677" s="1"/>
  <c r="H512" i="677"/>
  <c r="K512" i="677" s="1"/>
  <c r="H545" i="677"/>
  <c r="K545" i="677" s="1"/>
  <c r="H757" i="677"/>
  <c r="K757" i="677" s="1"/>
  <c r="H798" i="677"/>
  <c r="H817" i="677"/>
  <c r="K817" i="677" s="1"/>
  <c r="K862" i="677"/>
  <c r="H971" i="677"/>
  <c r="H990" i="677"/>
  <c r="K990" i="677" s="1"/>
  <c r="J1047" i="677"/>
  <c r="K1047" i="677" s="1"/>
  <c r="J1191" i="677"/>
  <c r="K1191" i="677" s="1"/>
  <c r="K1295" i="677"/>
  <c r="J2159" i="677"/>
  <c r="H2159" i="677"/>
  <c r="H2246" i="677"/>
  <c r="J2246" i="677"/>
  <c r="J2314" i="677"/>
  <c r="H2314" i="677"/>
  <c r="H2414" i="677"/>
  <c r="J2414" i="677"/>
  <c r="K302" i="677"/>
  <c r="K59" i="676"/>
  <c r="K62" i="676"/>
  <c r="K99" i="676"/>
  <c r="K176" i="677"/>
  <c r="H214" i="677"/>
  <c r="K220" i="677"/>
  <c r="K339" i="677"/>
  <c r="K497" i="677"/>
  <c r="K628" i="677"/>
  <c r="J661" i="677"/>
  <c r="K661" i="677" s="1"/>
  <c r="K711" i="677"/>
  <c r="E737" i="677"/>
  <c r="J737" i="677" s="1"/>
  <c r="J883" i="677"/>
  <c r="K883" i="677" s="1"/>
  <c r="H1148" i="677"/>
  <c r="J1148" i="677"/>
  <c r="H1360" i="677"/>
  <c r="J1360" i="677"/>
  <c r="J1752" i="677"/>
  <c r="E1778" i="677"/>
  <c r="J1985" i="677"/>
  <c r="H1985" i="677"/>
  <c r="K1985" i="677" s="1"/>
  <c r="H2288" i="677"/>
  <c r="J2288" i="677"/>
  <c r="J1208" i="677"/>
  <c r="H1208" i="677"/>
  <c r="K1208" i="677" s="1"/>
  <c r="J1288" i="677"/>
  <c r="H1288" i="677"/>
  <c r="K1307" i="677"/>
  <c r="J1541" i="677"/>
  <c r="H1541" i="677"/>
  <c r="J1728" i="677"/>
  <c r="S1728" i="677"/>
  <c r="H1982" i="677"/>
  <c r="J1982" i="677"/>
  <c r="J2368" i="677"/>
  <c r="H2368" i="677"/>
  <c r="K294" i="677"/>
  <c r="K63" i="676"/>
  <c r="K85" i="676"/>
  <c r="K100" i="676"/>
  <c r="J49" i="677"/>
  <c r="J56" i="677"/>
  <c r="K56" i="677" s="1"/>
  <c r="K79" i="677"/>
  <c r="E170" i="677"/>
  <c r="H170" i="677" s="1"/>
  <c r="H199" i="677"/>
  <c r="K199" i="677" s="1"/>
  <c r="K203" i="677"/>
  <c r="H231" i="677"/>
  <c r="K231" i="677" s="1"/>
  <c r="K237" i="677"/>
  <c r="H383" i="677"/>
  <c r="K383" i="677" s="1"/>
  <c r="H414" i="677"/>
  <c r="J489" i="677"/>
  <c r="K489" i="677" s="1"/>
  <c r="H505" i="677"/>
  <c r="K505" i="677" s="1"/>
  <c r="H651" i="677"/>
  <c r="K651" i="677" s="1"/>
  <c r="K667" i="677"/>
  <c r="J701" i="677"/>
  <c r="K701" i="677" s="1"/>
  <c r="E800" i="677"/>
  <c r="J800" i="677" s="1"/>
  <c r="H813" i="677"/>
  <c r="K813" i="677" s="1"/>
  <c r="H825" i="677"/>
  <c r="K825" i="677" s="1"/>
  <c r="H847" i="677"/>
  <c r="K847" i="677" s="1"/>
  <c r="H984" i="677"/>
  <c r="K984" i="677" s="1"/>
  <c r="H991" i="677"/>
  <c r="J1013" i="677"/>
  <c r="J1326" i="677"/>
  <c r="H1326" i="677"/>
  <c r="H2267" i="677"/>
  <c r="J2267" i="677"/>
  <c r="J2326" i="677"/>
  <c r="H2326" i="677"/>
  <c r="J2362" i="677"/>
  <c r="H2362" i="677"/>
  <c r="K791" i="677"/>
  <c r="K49" i="677"/>
  <c r="K43" i="676"/>
  <c r="J129" i="676"/>
  <c r="J14" i="676" s="1"/>
  <c r="K14" i="676" s="1"/>
  <c r="J62" i="677"/>
  <c r="K62" i="677" s="1"/>
  <c r="H223" i="677"/>
  <c r="K223" i="677" s="1"/>
  <c r="J227" i="677"/>
  <c r="K227" i="677" s="1"/>
  <c r="K371" i="677"/>
  <c r="K427" i="677"/>
  <c r="J531" i="677"/>
  <c r="K531" i="677" s="1"/>
  <c r="H553" i="677"/>
  <c r="K553" i="677" s="1"/>
  <c r="H1077" i="677"/>
  <c r="J1077" i="677"/>
  <c r="H1085" i="677"/>
  <c r="J1085" i="677"/>
  <c r="H1230" i="677"/>
  <c r="J1230" i="677"/>
  <c r="J1327" i="677"/>
  <c r="H1327" i="677"/>
  <c r="K1648" i="677"/>
  <c r="J2230" i="677"/>
  <c r="H2230" i="677"/>
  <c r="H2268" i="677"/>
  <c r="J2268" i="677"/>
  <c r="H2327" i="677"/>
  <c r="J2327" i="677"/>
  <c r="K1771" i="677"/>
  <c r="K1860" i="677"/>
  <c r="K1925" i="677"/>
  <c r="K1929" i="677"/>
  <c r="K1933" i="677"/>
  <c r="K1937" i="677"/>
  <c r="K2047" i="677"/>
  <c r="J2434" i="677"/>
  <c r="H2434" i="677"/>
  <c r="J2468" i="677"/>
  <c r="H2468" i="677"/>
  <c r="J2562" i="677"/>
  <c r="H2562" i="677"/>
  <c r="K2562" i="677" s="1"/>
  <c r="H2577" i="677"/>
  <c r="K2577" i="677" s="1"/>
  <c r="J2577" i="677"/>
  <c r="H2594" i="677"/>
  <c r="J2594" i="677"/>
  <c r="J2689" i="677"/>
  <c r="H2689" i="677"/>
  <c r="J2769" i="677"/>
  <c r="H2769" i="677"/>
  <c r="K2769" i="677" s="1"/>
  <c r="J2787" i="677"/>
  <c r="H2787" i="677"/>
  <c r="J3092" i="677"/>
  <c r="H3092" i="677"/>
  <c r="H1321" i="677"/>
  <c r="K1597" i="677"/>
  <c r="K1627" i="677"/>
  <c r="H1721" i="677"/>
  <c r="H1725" i="677"/>
  <c r="K1729" i="677"/>
  <c r="K1757" i="677"/>
  <c r="K1813" i="677"/>
  <c r="K1820" i="677"/>
  <c r="K1864" i="677"/>
  <c r="K1871" i="677"/>
  <c r="K1875" i="677"/>
  <c r="K1918" i="677"/>
  <c r="H1948" i="677"/>
  <c r="K1978" i="677"/>
  <c r="J1991" i="677"/>
  <c r="K1991" i="677" s="1"/>
  <c r="H2007" i="677"/>
  <c r="K2007" i="677" s="1"/>
  <c r="K2011" i="677"/>
  <c r="J2026" i="677"/>
  <c r="K2026" i="677" s="1"/>
  <c r="J2040" i="677"/>
  <c r="K2040" i="677" s="1"/>
  <c r="H2056" i="677"/>
  <c r="K2056" i="677" s="1"/>
  <c r="K2124" i="677"/>
  <c r="K2154" i="677"/>
  <c r="J2195" i="677"/>
  <c r="K2195" i="677" s="1"/>
  <c r="J2234" i="677"/>
  <c r="H2254" i="677"/>
  <c r="K2254" i="677" s="1"/>
  <c r="H2272" i="677"/>
  <c r="K2272" i="677" s="1"/>
  <c r="H2284" i="677"/>
  <c r="K2284" i="677" s="1"/>
  <c r="H2297" i="677"/>
  <c r="J2315" i="677"/>
  <c r="K2315" i="677" s="1"/>
  <c r="H2342" i="677"/>
  <c r="J2342" i="677"/>
  <c r="J2382" i="677"/>
  <c r="H2382" i="677"/>
  <c r="K2410" i="677"/>
  <c r="K2416" i="677"/>
  <c r="J2444" i="677"/>
  <c r="H2444" i="677"/>
  <c r="J2526" i="677"/>
  <c r="H2526" i="677"/>
  <c r="H2609" i="677"/>
  <c r="J2609" i="677"/>
  <c r="J2624" i="677"/>
  <c r="H2624" i="677"/>
  <c r="J2690" i="677"/>
  <c r="H2690" i="677"/>
  <c r="H2738" i="677"/>
  <c r="J2738" i="677"/>
  <c r="H2837" i="677"/>
  <c r="J2837" i="677"/>
  <c r="J2919" i="677"/>
  <c r="H2919" i="677"/>
  <c r="J3072" i="677"/>
  <c r="H3072" i="677"/>
  <c r="H3138" i="677"/>
  <c r="J3138" i="677"/>
  <c r="H3316" i="677"/>
  <c r="J3316" i="677"/>
  <c r="K1076" i="677"/>
  <c r="J1255" i="677"/>
  <c r="J1284" i="677"/>
  <c r="J1308" i="677"/>
  <c r="K1308" i="677" s="1"/>
  <c r="K1373" i="677"/>
  <c r="J1380" i="677"/>
  <c r="K1398" i="677"/>
  <c r="K1469" i="677"/>
  <c r="K1473" i="677"/>
  <c r="K1477" i="677"/>
  <c r="K1521" i="677"/>
  <c r="K1586" i="677"/>
  <c r="K1590" i="677"/>
  <c r="K1607" i="677"/>
  <c r="K1621" i="677"/>
  <c r="K1631" i="677"/>
  <c r="K1649" i="677"/>
  <c r="K1691" i="677"/>
  <c r="K1710" i="677"/>
  <c r="J1721" i="677"/>
  <c r="J1725" i="677"/>
  <c r="K1748" i="677"/>
  <c r="K1789" i="677"/>
  <c r="K1835" i="677"/>
  <c r="K1839" i="677"/>
  <c r="K1849" i="677"/>
  <c r="J1965" i="677"/>
  <c r="K1972" i="677"/>
  <c r="K1975" i="677"/>
  <c r="H2004" i="677"/>
  <c r="K2044" i="677"/>
  <c r="J2072" i="677"/>
  <c r="K2072" i="677" s="1"/>
  <c r="K2084" i="677"/>
  <c r="K2096" i="677"/>
  <c r="K2131" i="677"/>
  <c r="J2202" i="677"/>
  <c r="K2202" i="677" s="1"/>
  <c r="H2278" i="677"/>
  <c r="K2278" i="677" s="1"/>
  <c r="H2303" i="677"/>
  <c r="K2303" i="677" s="1"/>
  <c r="H2351" i="677"/>
  <c r="J2351" i="677"/>
  <c r="J2391" i="677"/>
  <c r="H2391" i="677"/>
  <c r="J2435" i="677"/>
  <c r="H2435" i="677"/>
  <c r="J2511" i="677"/>
  <c r="H2511" i="677"/>
  <c r="J2658" i="677"/>
  <c r="H2658" i="677"/>
  <c r="J2838" i="677"/>
  <c r="H2838" i="677"/>
  <c r="H2911" i="677"/>
  <c r="J2911" i="677"/>
  <c r="J2920" i="677"/>
  <c r="H2920" i="677"/>
  <c r="H2936" i="677"/>
  <c r="J2936" i="677"/>
  <c r="H3120" i="677"/>
  <c r="J3120" i="677"/>
  <c r="J3437" i="677"/>
  <c r="H3437" i="677"/>
  <c r="K1255" i="677"/>
  <c r="K1284" i="677"/>
  <c r="J1290" i="677"/>
  <c r="K1290" i="677" s="1"/>
  <c r="J1322" i="677"/>
  <c r="K1322" i="677" s="1"/>
  <c r="K1380" i="677"/>
  <c r="S1721" i="677"/>
  <c r="K1983" i="677"/>
  <c r="H2036" i="677"/>
  <c r="K2036" i="677" s="1"/>
  <c r="K2049" i="677"/>
  <c r="K2149" i="677"/>
  <c r="H2235" i="677"/>
  <c r="K2235" i="677" s="1"/>
  <c r="H2344" i="677"/>
  <c r="K2344" i="677" s="1"/>
  <c r="H2436" i="677"/>
  <c r="J2436" i="677"/>
  <c r="J2470" i="677"/>
  <c r="K2470" i="677" s="1"/>
  <c r="H2564" i="677"/>
  <c r="H2618" i="677"/>
  <c r="J2618" i="677"/>
  <c r="H2771" i="677"/>
  <c r="J2771" i="677"/>
  <c r="H2817" i="677"/>
  <c r="J2817" i="677"/>
  <c r="H3121" i="677"/>
  <c r="J3121" i="677"/>
  <c r="H3264" i="677"/>
  <c r="J3264" i="677"/>
  <c r="J1188" i="677"/>
  <c r="K1188" i="677" s="1"/>
  <c r="H1350" i="677"/>
  <c r="K1350" i="677" s="1"/>
  <c r="K1440" i="677"/>
  <c r="K1490" i="677"/>
  <c r="J1527" i="677"/>
  <c r="K1527" i="677" s="1"/>
  <c r="H1546" i="677"/>
  <c r="K1546" i="677" s="1"/>
  <c r="K1646" i="677"/>
  <c r="K1677" i="677"/>
  <c r="K1688" i="677"/>
  <c r="H1726" i="677"/>
  <c r="K1758" i="677"/>
  <c r="K1783" i="677"/>
  <c r="K1814" i="677"/>
  <c r="K1821" i="677"/>
  <c r="K1825" i="677"/>
  <c r="K1846" i="677"/>
  <c r="K1865" i="677"/>
  <c r="K1872" i="677"/>
  <c r="K1876" i="677"/>
  <c r="K1890" i="677"/>
  <c r="K1919" i="677"/>
  <c r="J2004" i="677"/>
  <c r="H2008" i="677"/>
  <c r="K2012" i="677"/>
  <c r="K2041" i="677"/>
  <c r="K2068" i="677"/>
  <c r="K2105" i="677"/>
  <c r="K2132" i="677"/>
  <c r="K2210" i="677"/>
  <c r="K2330" i="677"/>
  <c r="J2385" i="677"/>
  <c r="K2385" i="677" s="1"/>
  <c r="J2419" i="677"/>
  <c r="K2419" i="677" s="1"/>
  <c r="H2427" i="677"/>
  <c r="K2427" i="677" s="1"/>
  <c r="H2528" i="677"/>
  <c r="K2564" i="677"/>
  <c r="J2589" i="677"/>
  <c r="H2589" i="677"/>
  <c r="H2849" i="677"/>
  <c r="J2849" i="677"/>
  <c r="J2988" i="677"/>
  <c r="H2988" i="677"/>
  <c r="H3132" i="677"/>
  <c r="J3132" i="677"/>
  <c r="J3285" i="677"/>
  <c r="H3285" i="677"/>
  <c r="J3405" i="677"/>
  <c r="H3405" i="677"/>
  <c r="J3470" i="677"/>
  <c r="H3470" i="677"/>
  <c r="H1090" i="677"/>
  <c r="K1090" i="677" s="1"/>
  <c r="J1094" i="677"/>
  <c r="K1094" i="677" s="1"/>
  <c r="H1111" i="677"/>
  <c r="K1111" i="677" s="1"/>
  <c r="K1162" i="677"/>
  <c r="K1195" i="677"/>
  <c r="H1268" i="677"/>
  <c r="K1268" i="677" s="1"/>
  <c r="E1282" i="677"/>
  <c r="H1410" i="677"/>
  <c r="K1486" i="677"/>
  <c r="K1494" i="677"/>
  <c r="K1505" i="677"/>
  <c r="K1587" i="677"/>
  <c r="K1639" i="677"/>
  <c r="J1726" i="677"/>
  <c r="K1957" i="677"/>
  <c r="K2077" i="677"/>
  <c r="H2354" i="677"/>
  <c r="J2354" i="677"/>
  <c r="J2456" i="677"/>
  <c r="H2456" i="677"/>
  <c r="H2597" i="677"/>
  <c r="J2597" i="677"/>
  <c r="H2612" i="677"/>
  <c r="J2612" i="677"/>
  <c r="J2731" i="677"/>
  <c r="H2731" i="677"/>
  <c r="K2731" i="677" s="1"/>
  <c r="H2742" i="677"/>
  <c r="K2742" i="677" s="1"/>
  <c r="J2742" i="677"/>
  <c r="K2840" i="677"/>
  <c r="J2965" i="677"/>
  <c r="H2965" i="677"/>
  <c r="J3047" i="677"/>
  <c r="H3047" i="677"/>
  <c r="H3501" i="677"/>
  <c r="J3501" i="677"/>
  <c r="J1232" i="677"/>
  <c r="K1258" i="677"/>
  <c r="J1263" i="677"/>
  <c r="K1263" i="677" s="1"/>
  <c r="J1280" i="677"/>
  <c r="K1280" i="677" s="1"/>
  <c r="H1344" i="677"/>
  <c r="K1344" i="677" s="1"/>
  <c r="J1375" i="677"/>
  <c r="K1375" i="677" s="1"/>
  <c r="K1554" i="677"/>
  <c r="H1566" i="677"/>
  <c r="K1566" i="677" s="1"/>
  <c r="H1573" i="677"/>
  <c r="K1595" i="677"/>
  <c r="S1722" i="677"/>
  <c r="K1769" i="677"/>
  <c r="K1773" i="677"/>
  <c r="K1912" i="677"/>
  <c r="K1927" i="677"/>
  <c r="K1931" i="677"/>
  <c r="K1935" i="677"/>
  <c r="H2001" i="677"/>
  <c r="K2001" i="677" s="1"/>
  <c r="K2005" i="677"/>
  <c r="J2024" i="677"/>
  <c r="K2024" i="677" s="1"/>
  <c r="K2033" i="677"/>
  <c r="K2050" i="677"/>
  <c r="K2157" i="677"/>
  <c r="J2163" i="677"/>
  <c r="K2163" i="677" s="1"/>
  <c r="H2176" i="677"/>
  <c r="J2192" i="677"/>
  <c r="K2192" i="677" s="1"/>
  <c r="H2218" i="677"/>
  <c r="K2218" i="677" s="1"/>
  <c r="H2386" i="677"/>
  <c r="J2386" i="677"/>
  <c r="J2395" i="677"/>
  <c r="H2395" i="677"/>
  <c r="H2428" i="677"/>
  <c r="J2428" i="677"/>
  <c r="J2480" i="677"/>
  <c r="H2480" i="677"/>
  <c r="J2540" i="677"/>
  <c r="H2540" i="677"/>
  <c r="J2557" i="677"/>
  <c r="J2636" i="677"/>
  <c r="H2636" i="677"/>
  <c r="K2869" i="677"/>
  <c r="J2966" i="677"/>
  <c r="H2966" i="677"/>
  <c r="J3041" i="677"/>
  <c r="H3041" i="677"/>
  <c r="J3399" i="677"/>
  <c r="H3399" i="677"/>
  <c r="J3525" i="677"/>
  <c r="H3525" i="677"/>
  <c r="K1118" i="677"/>
  <c r="K1232" i="677"/>
  <c r="H1299" i="677"/>
  <c r="K1299" i="677" s="1"/>
  <c r="K1423" i="677"/>
  <c r="K1636" i="677"/>
  <c r="K1671" i="677"/>
  <c r="K1715" i="677"/>
  <c r="K1723" i="677"/>
  <c r="S1726" i="677"/>
  <c r="K1759" i="677"/>
  <c r="K1873" i="677"/>
  <c r="H1963" i="677"/>
  <c r="K1963" i="677" s="1"/>
  <c r="H1970" i="677"/>
  <c r="K1970" i="677" s="1"/>
  <c r="J1976" i="677"/>
  <c r="K1976" i="677" s="1"/>
  <c r="K2013" i="677"/>
  <c r="J2205" i="677"/>
  <c r="J2243" i="677"/>
  <c r="K2243" i="677" s="1"/>
  <c r="J2318" i="677"/>
  <c r="K2363" i="677"/>
  <c r="K2369" i="677"/>
  <c r="H2377" i="677"/>
  <c r="J2377" i="677"/>
  <c r="K2439" i="677"/>
  <c r="K2448" i="677"/>
  <c r="H2458" i="677"/>
  <c r="J2458" i="677"/>
  <c r="H2685" i="677"/>
  <c r="J2685" i="677"/>
  <c r="H2716" i="677"/>
  <c r="J2716" i="677"/>
  <c r="K2820" i="677"/>
  <c r="J3005" i="677"/>
  <c r="H3005" i="677"/>
  <c r="J3097" i="677"/>
  <c r="H3097" i="677"/>
  <c r="H3279" i="677"/>
  <c r="K3279" i="677" s="1"/>
  <c r="J3279" i="677"/>
  <c r="H3359" i="677"/>
  <c r="J3359" i="677"/>
  <c r="J3441" i="677"/>
  <c r="H3441" i="677"/>
  <c r="J3478" i="677"/>
  <c r="H3478" i="677"/>
  <c r="H1091" i="677"/>
  <c r="K1091" i="677" s="1"/>
  <c r="H1147" i="677"/>
  <c r="K1147" i="677" s="1"/>
  <c r="J1318" i="677"/>
  <c r="K1318" i="677" s="1"/>
  <c r="K1353" i="677"/>
  <c r="H1359" i="677"/>
  <c r="K1465" i="677"/>
  <c r="K1640" i="677"/>
  <c r="K1661" i="677"/>
  <c r="K1682" i="677"/>
  <c r="K1700" i="677"/>
  <c r="K1727" i="677"/>
  <c r="K1745" i="677"/>
  <c r="K1797" i="677"/>
  <c r="K1837" i="677"/>
  <c r="K1958" i="677"/>
  <c r="J1967" i="677"/>
  <c r="K1981" i="677"/>
  <c r="J1993" i="677"/>
  <c r="K1993" i="677" s="1"/>
  <c r="K2066" i="677"/>
  <c r="K2078" i="677"/>
  <c r="K2082" i="677"/>
  <c r="K2101" i="677"/>
  <c r="K2109" i="677"/>
  <c r="E2121" i="677"/>
  <c r="H2121" i="677" s="1"/>
  <c r="K2146" i="677"/>
  <c r="H2193" i="677"/>
  <c r="K2193" i="677" s="1"/>
  <c r="H2239" i="677"/>
  <c r="K2239" i="677" s="1"/>
  <c r="H2332" i="677"/>
  <c r="K2332" i="677" s="1"/>
  <c r="H2521" i="677"/>
  <c r="J2521" i="677"/>
  <c r="K2574" i="677"/>
  <c r="J2583" i="677"/>
  <c r="H2583" i="677"/>
  <c r="H2606" i="677"/>
  <c r="J2606" i="677"/>
  <c r="H2629" i="677"/>
  <c r="J2629" i="677"/>
  <c r="J2646" i="677"/>
  <c r="H2646" i="677"/>
  <c r="H3067" i="677"/>
  <c r="J3067" i="677"/>
  <c r="H3079" i="677"/>
  <c r="J3079" i="677"/>
  <c r="J3360" i="677"/>
  <c r="H3360" i="677"/>
  <c r="J3376" i="677"/>
  <c r="H3376" i="677"/>
  <c r="J1345" i="677"/>
  <c r="K1345" i="677" s="1"/>
  <c r="H1495" i="677"/>
  <c r="H1501" i="677"/>
  <c r="K1501" i="677" s="1"/>
  <c r="K1577" i="677"/>
  <c r="J2509" i="677"/>
  <c r="H2509" i="677"/>
  <c r="H2697" i="677"/>
  <c r="J2697" i="677"/>
  <c r="H2745" i="677"/>
  <c r="J2745" i="677"/>
  <c r="J2757" i="677"/>
  <c r="H2757" i="677"/>
  <c r="H2834" i="677"/>
  <c r="J2834" i="677"/>
  <c r="J2862" i="677"/>
  <c r="H2862" i="677"/>
  <c r="K2862" i="677" s="1"/>
  <c r="J3068" i="677"/>
  <c r="H3068" i="677"/>
  <c r="J3080" i="677"/>
  <c r="H3080" i="677"/>
  <c r="J3297" i="677"/>
  <c r="H3297" i="677"/>
  <c r="J3449" i="677"/>
  <c r="H3449" i="677"/>
  <c r="K1407" i="677"/>
  <c r="K1456" i="677"/>
  <c r="K1525" i="677"/>
  <c r="K1581" i="677"/>
  <c r="K1637" i="677"/>
  <c r="K1658" i="677"/>
  <c r="K1697" i="677"/>
  <c r="H1720" i="677"/>
  <c r="K1720" i="677" s="1"/>
  <c r="K1742" i="677"/>
  <c r="E1754" i="677"/>
  <c r="K1760" i="677"/>
  <c r="K1808" i="677"/>
  <c r="K1812" i="677"/>
  <c r="K1819" i="677"/>
  <c r="K1823" i="677"/>
  <c r="K1863" i="677"/>
  <c r="K1870" i="677"/>
  <c r="K1874" i="677"/>
  <c r="K1898" i="677"/>
  <c r="K1971" i="677"/>
  <c r="H1977" i="677"/>
  <c r="K1977" i="677" s="1"/>
  <c r="K2010" i="677"/>
  <c r="H2039" i="677"/>
  <c r="K2039" i="677" s="1"/>
  <c r="K2043" i="677"/>
  <c r="K2128" i="677"/>
  <c r="J2136" i="677"/>
  <c r="K2136" i="677" s="1"/>
  <c r="J2177" i="677"/>
  <c r="K2177" i="677" s="1"/>
  <c r="J2219" i="677"/>
  <c r="K2219" i="677" s="1"/>
  <c r="J2259" i="677"/>
  <c r="K2259" i="677" s="1"/>
  <c r="J2276" i="677"/>
  <c r="K2276" i="677" s="1"/>
  <c r="J2372" i="677"/>
  <c r="K2372" i="677" s="1"/>
  <c r="K2398" i="677"/>
  <c r="H2482" i="677"/>
  <c r="K2482" i="677" s="1"/>
  <c r="J2552" i="677"/>
  <c r="H2552" i="677"/>
  <c r="J2569" i="677"/>
  <c r="H2569" i="677"/>
  <c r="H2585" i="677"/>
  <c r="J2585" i="677"/>
  <c r="H2719" i="677"/>
  <c r="J2719" i="677"/>
  <c r="K2726" i="677"/>
  <c r="J2941" i="677"/>
  <c r="H2941" i="677"/>
  <c r="J3218" i="677"/>
  <c r="H3218" i="677"/>
  <c r="J3289" i="677"/>
  <c r="H3289" i="677"/>
  <c r="H3305" i="677"/>
  <c r="J3305" i="677"/>
  <c r="J3599" i="677"/>
  <c r="H3599" i="677"/>
  <c r="J2075" i="677"/>
  <c r="K2075" i="677" s="1"/>
  <c r="K2079" i="677"/>
  <c r="K2083" i="677"/>
  <c r="K2112" i="677"/>
  <c r="E2137" i="677"/>
  <c r="K2147" i="677"/>
  <c r="H2173" i="677"/>
  <c r="K2173" i="677" s="1"/>
  <c r="H2215" i="677"/>
  <c r="K2215" i="677" s="1"/>
  <c r="H2399" i="677"/>
  <c r="J2399" i="677"/>
  <c r="H2475" i="677"/>
  <c r="J2475" i="677"/>
  <c r="K2510" i="677"/>
  <c r="J2533" i="677"/>
  <c r="H2533" i="677"/>
  <c r="H2600" i="677"/>
  <c r="J2600" i="677"/>
  <c r="H2631" i="677"/>
  <c r="K2631" i="677" s="1"/>
  <c r="H2665" i="677"/>
  <c r="J2665" i="677"/>
  <c r="H2768" i="677"/>
  <c r="J2768" i="677"/>
  <c r="J3024" i="677"/>
  <c r="H3024" i="677"/>
  <c r="H3426" i="677"/>
  <c r="K3426" i="677" s="1"/>
  <c r="J3426" i="677"/>
  <c r="H3433" i="677"/>
  <c r="J3433" i="677"/>
  <c r="J3696" i="677"/>
  <c r="H3696" i="677"/>
  <c r="J3720" i="677"/>
  <c r="H3720" i="677"/>
  <c r="J3792" i="677"/>
  <c r="H3792" i="677"/>
  <c r="J3850" i="677"/>
  <c r="H3850" i="677"/>
  <c r="J3881" i="677"/>
  <c r="H3881" i="677"/>
  <c r="K2366" i="677"/>
  <c r="H2403" i="677"/>
  <c r="K2403" i="677" s="1"/>
  <c r="H2494" i="677"/>
  <c r="K2494" i="677" s="1"/>
  <c r="H2523" i="677"/>
  <c r="K2523" i="677" s="1"/>
  <c r="J2530" i="677"/>
  <c r="K2530" i="677" s="1"/>
  <c r="J2603" i="677"/>
  <c r="K2603" i="677" s="1"/>
  <c r="K2620" i="677"/>
  <c r="J2632" i="677"/>
  <c r="J2739" i="677"/>
  <c r="K2739" i="677" s="1"/>
  <c r="H2776" i="677"/>
  <c r="J2788" i="677"/>
  <c r="J2876" i="677"/>
  <c r="K2876" i="677" s="1"/>
  <c r="J2882" i="677"/>
  <c r="K2882" i="677" s="1"/>
  <c r="J2902" i="677"/>
  <c r="K2902" i="677" s="1"/>
  <c r="J2933" i="677"/>
  <c r="J2945" i="677"/>
  <c r="H2972" i="677"/>
  <c r="K2972" i="677" s="1"/>
  <c r="H2977" i="677"/>
  <c r="H3013" i="677"/>
  <c r="K3013" i="677" s="1"/>
  <c r="H3035" i="677"/>
  <c r="K3035" i="677" s="1"/>
  <c r="H3046" i="677"/>
  <c r="K3046" i="677" s="1"/>
  <c r="H3069" i="677"/>
  <c r="K3069" i="677" s="1"/>
  <c r="H3081" i="677"/>
  <c r="K3081" i="677" s="1"/>
  <c r="K3108" i="677"/>
  <c r="H3162" i="677"/>
  <c r="K3162" i="677" s="1"/>
  <c r="H3171" i="677"/>
  <c r="J3171" i="677"/>
  <c r="K3178" i="677"/>
  <c r="K3192" i="677"/>
  <c r="H3221" i="677"/>
  <c r="J3221" i="677"/>
  <c r="J3231" i="677"/>
  <c r="K3231" i="677" s="1"/>
  <c r="J3318" i="677"/>
  <c r="H3318" i="677"/>
  <c r="J3403" i="677"/>
  <c r="J3427" i="677"/>
  <c r="J3465" i="677"/>
  <c r="K3465" i="677" s="1"/>
  <c r="H3472" i="677"/>
  <c r="K3472" i="677" s="1"/>
  <c r="K3484" i="677"/>
  <c r="J3490" i="677"/>
  <c r="K3490" i="677" s="1"/>
  <c r="J3497" i="677"/>
  <c r="K3497" i="677" s="1"/>
  <c r="H3511" i="677"/>
  <c r="K3511" i="677" s="1"/>
  <c r="J3574" i="677"/>
  <c r="K3574" i="677" s="1"/>
  <c r="J3634" i="677"/>
  <c r="H3634" i="677"/>
  <c r="J3660" i="677"/>
  <c r="H3660" i="677"/>
  <c r="J3771" i="677"/>
  <c r="H3771" i="677"/>
  <c r="K2615" i="677"/>
  <c r="H2700" i="677"/>
  <c r="K2700" i="677" s="1"/>
  <c r="J2733" i="677"/>
  <c r="K2756" i="677"/>
  <c r="K2808" i="677"/>
  <c r="K2833" i="677"/>
  <c r="K2858" i="677"/>
  <c r="J2864" i="677"/>
  <c r="K2864" i="677" s="1"/>
  <c r="K2984" i="677"/>
  <c r="J3001" i="677"/>
  <c r="K3025" i="677"/>
  <c r="K3053" i="677"/>
  <c r="J3076" i="677"/>
  <c r="K3109" i="677"/>
  <c r="K3149" i="677"/>
  <c r="J3193" i="677"/>
  <c r="H3193" i="677"/>
  <c r="J3214" i="677"/>
  <c r="H3214" i="677"/>
  <c r="K3260" i="677"/>
  <c r="J3300" i="677"/>
  <c r="K3329" i="677"/>
  <c r="H3355" i="677"/>
  <c r="J3355" i="677"/>
  <c r="K3403" i="677"/>
  <c r="J3410" i="677"/>
  <c r="H3410" i="677"/>
  <c r="K3427" i="677"/>
  <c r="J3518" i="677"/>
  <c r="K3589" i="677"/>
  <c r="J3635" i="677"/>
  <c r="H3635" i="677"/>
  <c r="H3645" i="677"/>
  <c r="J3645" i="677"/>
  <c r="H3668" i="677"/>
  <c r="K3668" i="677" s="1"/>
  <c r="J3674" i="677"/>
  <c r="H3674" i="677"/>
  <c r="J3713" i="677"/>
  <c r="H3713" i="677"/>
  <c r="J3722" i="677"/>
  <c r="H3722" i="677"/>
  <c r="J3867" i="677"/>
  <c r="H3867" i="677"/>
  <c r="K2733" i="677"/>
  <c r="K3001" i="677"/>
  <c r="H3117" i="677"/>
  <c r="J3117" i="677"/>
  <c r="K3300" i="677"/>
  <c r="J3356" i="677"/>
  <c r="H3356" i="677"/>
  <c r="H3404" i="677"/>
  <c r="J3404" i="677"/>
  <c r="J3411" i="677"/>
  <c r="H3411" i="677"/>
  <c r="J3419" i="677"/>
  <c r="H3419" i="677"/>
  <c r="H3491" i="677"/>
  <c r="J3491" i="677"/>
  <c r="J3646" i="677"/>
  <c r="H3646" i="677"/>
  <c r="J3689" i="677"/>
  <c r="H3689" i="677"/>
  <c r="J3723" i="677"/>
  <c r="H3723" i="677"/>
  <c r="K2790" i="677"/>
  <c r="K2796" i="677"/>
  <c r="K2890" i="677"/>
  <c r="H3014" i="677"/>
  <c r="K3014" i="677" s="1"/>
  <c r="K3091" i="677"/>
  <c r="H3179" i="677"/>
  <c r="K3179" i="677" s="1"/>
  <c r="J3208" i="677"/>
  <c r="H3208" i="677"/>
  <c r="K3232" i="677"/>
  <c r="J3246" i="677"/>
  <c r="H3253" i="677"/>
  <c r="K3253" i="677" s="1"/>
  <c r="H3306" i="677"/>
  <c r="K3306" i="677" s="1"/>
  <c r="H3336" i="677"/>
  <c r="J3336" i="677"/>
  <c r="K3344" i="677"/>
  <c r="H3348" i="677"/>
  <c r="K3348" i="677" s="1"/>
  <c r="K3460" i="677"/>
  <c r="K3466" i="677"/>
  <c r="H3485" i="677"/>
  <c r="K3485" i="677" s="1"/>
  <c r="K3551" i="677"/>
  <c r="K3603" i="677"/>
  <c r="J3610" i="677"/>
  <c r="H3610" i="677"/>
  <c r="J3653" i="677"/>
  <c r="H3653" i="677"/>
  <c r="H3669" i="677"/>
  <c r="J3669" i="677"/>
  <c r="J3110" i="677"/>
  <c r="H3110" i="677"/>
  <c r="H3209" i="677"/>
  <c r="J3209" i="677"/>
  <c r="J3261" i="677"/>
  <c r="H3261" i="677"/>
  <c r="H3385" i="677"/>
  <c r="J3385" i="677"/>
  <c r="J3531" i="677"/>
  <c r="H3531" i="677"/>
  <c r="J3590" i="677"/>
  <c r="H3590" i="677"/>
  <c r="J3611" i="677"/>
  <c r="H3611" i="677"/>
  <c r="J3621" i="677"/>
  <c r="H3621" i="677"/>
  <c r="K2571" i="677"/>
  <c r="J2846" i="677"/>
  <c r="K2846" i="677" s="1"/>
  <c r="J2885" i="677"/>
  <c r="K2885" i="677" s="1"/>
  <c r="J2948" i="677"/>
  <c r="H3054" i="677"/>
  <c r="K3054" i="677" s="1"/>
  <c r="H3061" i="677"/>
  <c r="K3061" i="677" s="1"/>
  <c r="H3150" i="677"/>
  <c r="K3150" i="677" s="1"/>
  <c r="H3166" i="677"/>
  <c r="K3166" i="677" s="1"/>
  <c r="H3217" i="677"/>
  <c r="K3217" i="677" s="1"/>
  <c r="K3269" i="677"/>
  <c r="J3338" i="677"/>
  <c r="J3454" i="677"/>
  <c r="K3454" i="677" s="1"/>
  <c r="K3467" i="677"/>
  <c r="J3494" i="677"/>
  <c r="H3494" i="677"/>
  <c r="H3526" i="677"/>
  <c r="K3526" i="677" s="1"/>
  <c r="J3539" i="677"/>
  <c r="H3539" i="677"/>
  <c r="J3553" i="677"/>
  <c r="K3553" i="677" s="1"/>
  <c r="K3562" i="677"/>
  <c r="H3682" i="677"/>
  <c r="J3682" i="677"/>
  <c r="J3692" i="677"/>
  <c r="H3692" i="677"/>
  <c r="J3837" i="677"/>
  <c r="H3837" i="677"/>
  <c r="J3877" i="677"/>
  <c r="H3877" i="677"/>
  <c r="J3917" i="677"/>
  <c r="H3917" i="677"/>
  <c r="K2477" i="677"/>
  <c r="H2648" i="677"/>
  <c r="K2648" i="677" s="1"/>
  <c r="J2662" i="677"/>
  <c r="K2662" i="677" s="1"/>
  <c r="J2668" i="677"/>
  <c r="K2682" i="677"/>
  <c r="J3210" i="677"/>
  <c r="H3210" i="677"/>
  <c r="J3302" i="677"/>
  <c r="K3302" i="677" s="1"/>
  <c r="H3302" i="677"/>
  <c r="J3461" i="677"/>
  <c r="H3461" i="677"/>
  <c r="H3540" i="677"/>
  <c r="J3540" i="677"/>
  <c r="J3622" i="677"/>
  <c r="H3622" i="677"/>
  <c r="H3630" i="677"/>
  <c r="J3630" i="677"/>
  <c r="H3735" i="677"/>
  <c r="J3735" i="677"/>
  <c r="J3828" i="677"/>
  <c r="H3828" i="677"/>
  <c r="J3878" i="677"/>
  <c r="H3878" i="677"/>
  <c r="H2547" i="677"/>
  <c r="K2547" i="677" s="1"/>
  <c r="J2566" i="677"/>
  <c r="H2752" i="677"/>
  <c r="K2752" i="677" s="1"/>
  <c r="H2797" i="677"/>
  <c r="K2797" i="677" s="1"/>
  <c r="J2861" i="677"/>
  <c r="K2861" i="677" s="1"/>
  <c r="J2873" i="677"/>
  <c r="K2873" i="677" s="1"/>
  <c r="J2899" i="677"/>
  <c r="K2899" i="677" s="1"/>
  <c r="J2949" i="677"/>
  <c r="J2957" i="677"/>
  <c r="K2957" i="677" s="1"/>
  <c r="K2980" i="677"/>
  <c r="K3189" i="677"/>
  <c r="K3235" i="677"/>
  <c r="H3249" i="677"/>
  <c r="J3263" i="677"/>
  <c r="H3263" i="677"/>
  <c r="J3331" i="677"/>
  <c r="H3331" i="677"/>
  <c r="H3339" i="677"/>
  <c r="K3346" i="677"/>
  <c r="H3372" i="677"/>
  <c r="J3372" i="677"/>
  <c r="H3388" i="677"/>
  <c r="H3401" i="677"/>
  <c r="J3401" i="677"/>
  <c r="J3407" i="677"/>
  <c r="J3424" i="677"/>
  <c r="J3443" i="677"/>
  <c r="H3443" i="677"/>
  <c r="H3455" i="677"/>
  <c r="J3455" i="677"/>
  <c r="K3508" i="677"/>
  <c r="H3514" i="677"/>
  <c r="K3514" i="677" s="1"/>
  <c r="K3541" i="677"/>
  <c r="H3554" i="677"/>
  <c r="K3554" i="677" s="1"/>
  <c r="J3563" i="677"/>
  <c r="H3563" i="677"/>
  <c r="J3577" i="677"/>
  <c r="H3577" i="677"/>
  <c r="J3592" i="677"/>
  <c r="H3592" i="677"/>
  <c r="H3671" i="677"/>
  <c r="J3671" i="677"/>
  <c r="J3677" i="677"/>
  <c r="H3677" i="677"/>
  <c r="J3684" i="677"/>
  <c r="H3684" i="677"/>
  <c r="K2376" i="677"/>
  <c r="K2465" i="677"/>
  <c r="K2566" i="677"/>
  <c r="J2696" i="677"/>
  <c r="K2696" i="677" s="1"/>
  <c r="K2792" i="677"/>
  <c r="K2805" i="677"/>
  <c r="J2893" i="677"/>
  <c r="K2893" i="677" s="1"/>
  <c r="K2914" i="677"/>
  <c r="K2937" i="677"/>
  <c r="J2981" i="677"/>
  <c r="H3055" i="677"/>
  <c r="K3055" i="677" s="1"/>
  <c r="J3129" i="677"/>
  <c r="H3137" i="677"/>
  <c r="J3137" i="677"/>
  <c r="K3161" i="677"/>
  <c r="H3175" i="677"/>
  <c r="J3175" i="677"/>
  <c r="H3236" i="677"/>
  <c r="K3236" i="677" s="1"/>
  <c r="H3282" i="677"/>
  <c r="J3282" i="677"/>
  <c r="H3310" i="677"/>
  <c r="K3310" i="677" s="1"/>
  <c r="K3339" i="677"/>
  <c r="K3407" i="677"/>
  <c r="K3496" i="677"/>
  <c r="H3502" i="677"/>
  <c r="K3509" i="677"/>
  <c r="H3578" i="677"/>
  <c r="K3578" i="677" s="1"/>
  <c r="K3586" i="677"/>
  <c r="J3657" i="677"/>
  <c r="H3657" i="677"/>
  <c r="J3063" i="677"/>
  <c r="K3063" i="677" s="1"/>
  <c r="J3176" i="677"/>
  <c r="H3176" i="677"/>
  <c r="J3219" i="677"/>
  <c r="H3219" i="677"/>
  <c r="H3229" i="677"/>
  <c r="J3229" i="677"/>
  <c r="H3276" i="677"/>
  <c r="J3276" i="677"/>
  <c r="J3381" i="677"/>
  <c r="H3381" i="677"/>
  <c r="J3489" i="677"/>
  <c r="H3489" i="677"/>
  <c r="J3686" i="677"/>
  <c r="H3686" i="677"/>
  <c r="K2415" i="677"/>
  <c r="K2516" i="677"/>
  <c r="K2596" i="677"/>
  <c r="K2650" i="677"/>
  <c r="J2927" i="677"/>
  <c r="K2927" i="677" s="1"/>
  <c r="J2932" i="677"/>
  <c r="K2932" i="677" s="1"/>
  <c r="J2944" i="677"/>
  <c r="K2944" i="677" s="1"/>
  <c r="J3087" i="677"/>
  <c r="K3087" i="677" s="1"/>
  <c r="H3093" i="677"/>
  <c r="K3093" i="677" s="1"/>
  <c r="H3098" i="677"/>
  <c r="K3098" i="677" s="1"/>
  <c r="H3183" i="677"/>
  <c r="J3183" i="677"/>
  <c r="J3251" i="677"/>
  <c r="H3251" i="677"/>
  <c r="H3304" i="677"/>
  <c r="K3304" i="677" s="1"/>
  <c r="J3317" i="677"/>
  <c r="K3317" i="677" s="1"/>
  <c r="J3352" i="677"/>
  <c r="H3352" i="677"/>
  <c r="J3417" i="677"/>
  <c r="K3444" i="677"/>
  <c r="J3556" i="677"/>
  <c r="H3556" i="677"/>
  <c r="H3587" i="677"/>
  <c r="K3587" i="677" s="1"/>
  <c r="K3601" i="677"/>
  <c r="J3615" i="677"/>
  <c r="H3615" i="677"/>
  <c r="J3651" i="677"/>
  <c r="H3651" i="677"/>
  <c r="K3658" i="677"/>
  <c r="J3704" i="677"/>
  <c r="H3704" i="677"/>
  <c r="J3913" i="677"/>
  <c r="H3913" i="677"/>
  <c r="H3627" i="677"/>
  <c r="K3627" i="677" s="1"/>
  <c r="H3699" i="677"/>
  <c r="J3711" i="677"/>
  <c r="H3711" i="677"/>
  <c r="H3734" i="677"/>
  <c r="J3734" i="677"/>
  <c r="H3799" i="677"/>
  <c r="K3799" i="677" s="1"/>
  <c r="J3826" i="677"/>
  <c r="K3826" i="677" s="1"/>
  <c r="J3856" i="677"/>
  <c r="J3869" i="677"/>
  <c r="H3869" i="677"/>
  <c r="J3953" i="677"/>
  <c r="H3953" i="677"/>
  <c r="J3989" i="677"/>
  <c r="H3989" i="677"/>
  <c r="J4062" i="677"/>
  <c r="H4062" i="677"/>
  <c r="J4260" i="677"/>
  <c r="H4260" i="677"/>
  <c r="J4286" i="677"/>
  <c r="H4286" i="677"/>
  <c r="K4469" i="677"/>
  <c r="H3180" i="677"/>
  <c r="K3180" i="677" s="1"/>
  <c r="J3228" i="677"/>
  <c r="K3239" i="677"/>
  <c r="J3267" i="677"/>
  <c r="K3267" i="677" s="1"/>
  <c r="J3288" i="677"/>
  <c r="K3288" i="677" s="1"/>
  <c r="K3373" i="677"/>
  <c r="J3379" i="677"/>
  <c r="J3390" i="677"/>
  <c r="K3390" i="677" s="1"/>
  <c r="H3448" i="677"/>
  <c r="K3448" i="677" s="1"/>
  <c r="K3479" i="677"/>
  <c r="H3513" i="677"/>
  <c r="K3513" i="677" s="1"/>
  <c r="H3523" i="677"/>
  <c r="K3523" i="677" s="1"/>
  <c r="H3566" i="677"/>
  <c r="K3566" i="677" s="1"/>
  <c r="H3606" i="677"/>
  <c r="K3606" i="677" s="1"/>
  <c r="H3639" i="677"/>
  <c r="K3639" i="677" s="1"/>
  <c r="J3683" i="677"/>
  <c r="J3687" i="677"/>
  <c r="H3706" i="677"/>
  <c r="J3706" i="677"/>
  <c r="J3767" i="677"/>
  <c r="J3773" i="677"/>
  <c r="H3773" i="677"/>
  <c r="J3806" i="677"/>
  <c r="H3806" i="677"/>
  <c r="H3820" i="677"/>
  <c r="K3820" i="677" s="1"/>
  <c r="J3932" i="677"/>
  <c r="H3932" i="677"/>
  <c r="H4045" i="677"/>
  <c r="J4045" i="677"/>
  <c r="H4157" i="677"/>
  <c r="J4157" i="677"/>
  <c r="J4334" i="677"/>
  <c r="H4334" i="677"/>
  <c r="J4498" i="677"/>
  <c r="H4498" i="677"/>
  <c r="K3206" i="677"/>
  <c r="K3228" i="677"/>
  <c r="K3273" i="677"/>
  <c r="K3327" i="677"/>
  <c r="K3670" i="677"/>
  <c r="J3694" i="677"/>
  <c r="K3729" i="677"/>
  <c r="J3743" i="677"/>
  <c r="H3743" i="677"/>
  <c r="J3782" i="677"/>
  <c r="K3782" i="677" s="1"/>
  <c r="J3800" i="677"/>
  <c r="H3800" i="677"/>
  <c r="J3807" i="677"/>
  <c r="H3857" i="677"/>
  <c r="J3857" i="677"/>
  <c r="J3897" i="677"/>
  <c r="H3903" i="677"/>
  <c r="K3903" i="677" s="1"/>
  <c r="J4101" i="677"/>
  <c r="H4101" i="677"/>
  <c r="J4158" i="677"/>
  <c r="H4158" i="677"/>
  <c r="H4175" i="677"/>
  <c r="J4232" i="677"/>
  <c r="H4232" i="677"/>
  <c r="J4346" i="677"/>
  <c r="H4346" i="677"/>
  <c r="J4363" i="677"/>
  <c r="H4363" i="677"/>
  <c r="H4406" i="677"/>
  <c r="K4406" i="677" s="1"/>
  <c r="J4445" i="677"/>
  <c r="H4445" i="677"/>
  <c r="K3694" i="677"/>
  <c r="H3756" i="677"/>
  <c r="K3756" i="677" s="1"/>
  <c r="J3774" i="677"/>
  <c r="H3774" i="677"/>
  <c r="J3827" i="677"/>
  <c r="H3827" i="677"/>
  <c r="J3844" i="677"/>
  <c r="H3844" i="677"/>
  <c r="J4046" i="677"/>
  <c r="H4046" i="677"/>
  <c r="H4199" i="677"/>
  <c r="J4199" i="677"/>
  <c r="H4208" i="677"/>
  <c r="K4208" i="677" s="1"/>
  <c r="J4208" i="677"/>
  <c r="H4251" i="677"/>
  <c r="J4251" i="677"/>
  <c r="J4371" i="677"/>
  <c r="H4371" i="677"/>
  <c r="J4458" i="677"/>
  <c r="H4458" i="677"/>
  <c r="K4458" i="677" s="1"/>
  <c r="K3391" i="677"/>
  <c r="K3398" i="677"/>
  <c r="J3618" i="677"/>
  <c r="K3618" i="677" s="1"/>
  <c r="H3623" i="677"/>
  <c r="J3721" i="677"/>
  <c r="H3721" i="677"/>
  <c r="J3814" i="677"/>
  <c r="J3865" i="677"/>
  <c r="H3865" i="677"/>
  <c r="H3898" i="677"/>
  <c r="J3898" i="677"/>
  <c r="H3927" i="677"/>
  <c r="J3927" i="677"/>
  <c r="H4074" i="677"/>
  <c r="J4074" i="677"/>
  <c r="H4112" i="677"/>
  <c r="J4112" i="677"/>
  <c r="J4234" i="677"/>
  <c r="H4234" i="677"/>
  <c r="K4308" i="677"/>
  <c r="J4313" i="677"/>
  <c r="H4313" i="677"/>
  <c r="J4337" i="677"/>
  <c r="H4337" i="677"/>
  <c r="J4523" i="677"/>
  <c r="H4523" i="677"/>
  <c r="J4532" i="677"/>
  <c r="K4532" i="677" s="1"/>
  <c r="H4532" i="677"/>
  <c r="K3675" i="677"/>
  <c r="K3708" i="677"/>
  <c r="J3762" i="677"/>
  <c r="H3762" i="677"/>
  <c r="J3886" i="677"/>
  <c r="K3892" i="677"/>
  <c r="K3905" i="677"/>
  <c r="H3934" i="677"/>
  <c r="K3934" i="677" s="1"/>
  <c r="H3993" i="677"/>
  <c r="J3993" i="677"/>
  <c r="J4121" i="677"/>
  <c r="K4121" i="677" s="1"/>
  <c r="H4121" i="677"/>
  <c r="J4486" i="677"/>
  <c r="H4486" i="677"/>
  <c r="J4510" i="677"/>
  <c r="K4510" i="677" s="1"/>
  <c r="H4510" i="677"/>
  <c r="J3838" i="677"/>
  <c r="H3838" i="677"/>
  <c r="J3852" i="677"/>
  <c r="H3852" i="677"/>
  <c r="J3879" i="677"/>
  <c r="H3879" i="677"/>
  <c r="K3886" i="677"/>
  <c r="J4113" i="677"/>
  <c r="H4113" i="677"/>
  <c r="H4152" i="677"/>
  <c r="J4152" i="677"/>
  <c r="J4227" i="677"/>
  <c r="H4227" i="677"/>
  <c r="H4314" i="677"/>
  <c r="J4314" i="677"/>
  <c r="K4314" i="677" s="1"/>
  <c r="K3133" i="677"/>
  <c r="K3177" i="677"/>
  <c r="K3408" i="677"/>
  <c r="K3614" i="677"/>
  <c r="K3752" i="677"/>
  <c r="H3763" i="677"/>
  <c r="J3763" i="677"/>
  <c r="K3880" i="677"/>
  <c r="J4058" i="677"/>
  <c r="H4058" i="677"/>
  <c r="H4129" i="677"/>
  <c r="J4129" i="677"/>
  <c r="J4153" i="677"/>
  <c r="H4153" i="677"/>
  <c r="K4265" i="677"/>
  <c r="J4340" i="677"/>
  <c r="H4340" i="677"/>
  <c r="J4418" i="677"/>
  <c r="H4418" i="677"/>
  <c r="J3921" i="677"/>
  <c r="H3921" i="677"/>
  <c r="H4033" i="677"/>
  <c r="J4033" i="677"/>
  <c r="J4076" i="677"/>
  <c r="H4076" i="677"/>
  <c r="H4086" i="677"/>
  <c r="J4086" i="677"/>
  <c r="H4139" i="677"/>
  <c r="K4139" i="677" s="1"/>
  <c r="J4139" i="677"/>
  <c r="J4171" i="677"/>
  <c r="H4171" i="677"/>
  <c r="H4211" i="677"/>
  <c r="J4211" i="677"/>
  <c r="H4282" i="677"/>
  <c r="J4282" i="677"/>
  <c r="J4382" i="677"/>
  <c r="H4382" i="677"/>
  <c r="J4488" i="677"/>
  <c r="H4488" i="677"/>
  <c r="K3575" i="677"/>
  <c r="J3759" i="677"/>
  <c r="H3759" i="677"/>
  <c r="J3786" i="677"/>
  <c r="H3786" i="677"/>
  <c r="H3804" i="677"/>
  <c r="J3889" i="677"/>
  <c r="H3889" i="677"/>
  <c r="H3901" i="677"/>
  <c r="K3901" i="677" s="1"/>
  <c r="J3915" i="677"/>
  <c r="H3915" i="677"/>
  <c r="H3922" i="677"/>
  <c r="J3922" i="677"/>
  <c r="J3945" i="677"/>
  <c r="H3945" i="677"/>
  <c r="H4124" i="677"/>
  <c r="J4124" i="677"/>
  <c r="J4130" i="677"/>
  <c r="H4130" i="677"/>
  <c r="J4164" i="677"/>
  <c r="H4164" i="677"/>
  <c r="K4164" i="677" s="1"/>
  <c r="J4229" i="677"/>
  <c r="H4229" i="677"/>
  <c r="J4246" i="677"/>
  <c r="H4246" i="677"/>
  <c r="J4324" i="677"/>
  <c r="H4324" i="677"/>
  <c r="K3281" i="677"/>
  <c r="K3340" i="677"/>
  <c r="K3421" i="677"/>
  <c r="J3659" i="677"/>
  <c r="K3659" i="677" s="1"/>
  <c r="J3698" i="677"/>
  <c r="H3698" i="677"/>
  <c r="K3698" i="677" s="1"/>
  <c r="J3705" i="677"/>
  <c r="K3705" i="677" s="1"/>
  <c r="J3710" i="677"/>
  <c r="K3710" i="677" s="1"/>
  <c r="K3717" i="677"/>
  <c r="J3733" i="677"/>
  <c r="H3760" i="677"/>
  <c r="K3760" i="677" s="1"/>
  <c r="K3840" i="677"/>
  <c r="H4005" i="677"/>
  <c r="J4005" i="677"/>
  <c r="J4087" i="677"/>
  <c r="H4087" i="677"/>
  <c r="H4196" i="677"/>
  <c r="J4196" i="677"/>
  <c r="J4294" i="677"/>
  <c r="J4376" i="677"/>
  <c r="H4376" i="677"/>
  <c r="K3733" i="677"/>
  <c r="H3747" i="677"/>
  <c r="J3747" i="677"/>
  <c r="J3832" i="677"/>
  <c r="H3832" i="677"/>
  <c r="J3849" i="677"/>
  <c r="H3849" i="677"/>
  <c r="J3938" i="677"/>
  <c r="H3938" i="677"/>
  <c r="K3938" i="677" s="1"/>
  <c r="J4088" i="677"/>
  <c r="H4088" i="677"/>
  <c r="J4125" i="677"/>
  <c r="H4125" i="677"/>
  <c r="K4125" i="677" s="1"/>
  <c r="J4352" i="677"/>
  <c r="H4352" i="677"/>
  <c r="K3909" i="677"/>
  <c r="K4245" i="677"/>
  <c r="J4464" i="677"/>
  <c r="K4464" i="677" s="1"/>
  <c r="H3796" i="677"/>
  <c r="K3796" i="677" s="1"/>
  <c r="J3816" i="677"/>
  <c r="H3893" i="677"/>
  <c r="K3893" i="677" s="1"/>
  <c r="H3926" i="677"/>
  <c r="K3926" i="677" s="1"/>
  <c r="H3942" i="677"/>
  <c r="K3942" i="677" s="1"/>
  <c r="J3952" i="677"/>
  <c r="K3952" i="677" s="1"/>
  <c r="J4053" i="677"/>
  <c r="J4109" i="677"/>
  <c r="J4184" i="677"/>
  <c r="K4184" i="677" s="1"/>
  <c r="J4239" i="677"/>
  <c r="K4239" i="677" s="1"/>
  <c r="H4277" i="677"/>
  <c r="K4277" i="677" s="1"/>
  <c r="H4328" i="677"/>
  <c r="K4328" i="677" s="1"/>
  <c r="H4358" i="677"/>
  <c r="H4370" i="677"/>
  <c r="H4388" i="677"/>
  <c r="H4394" i="677"/>
  <c r="K4394" i="677" s="1"/>
  <c r="H4457" i="677"/>
  <c r="K4457" i="677" s="1"/>
  <c r="H4475" i="677"/>
  <c r="J3707" i="677"/>
  <c r="K3707" i="677" s="1"/>
  <c r="H3965" i="677"/>
  <c r="K3965" i="677" s="1"/>
  <c r="J3972" i="677"/>
  <c r="K3972" i="677" s="1"/>
  <c r="H4140" i="677"/>
  <c r="K4140" i="677" s="1"/>
  <c r="J4285" i="677"/>
  <c r="H4290" i="677"/>
  <c r="K4290" i="677" s="1"/>
  <c r="H4319" i="677"/>
  <c r="K4319" i="677" s="1"/>
  <c r="H4402" i="677"/>
  <c r="K4402" i="677" s="1"/>
  <c r="K3812" i="677"/>
  <c r="K4027" i="677"/>
  <c r="J4054" i="677"/>
  <c r="J4096" i="677"/>
  <c r="K4128" i="677"/>
  <c r="J4193" i="677"/>
  <c r="K4193" i="677" s="1"/>
  <c r="J4205" i="677"/>
  <c r="K4205" i="677" s="1"/>
  <c r="K4210" i="677"/>
  <c r="J4217" i="677"/>
  <c r="K4217" i="677" s="1"/>
  <c r="H4442" i="677"/>
  <c r="K4442" i="677" s="1"/>
  <c r="H4513" i="677"/>
  <c r="K4513" i="677" s="1"/>
  <c r="K4560" i="677"/>
  <c r="K4588" i="677"/>
  <c r="K4609" i="677"/>
  <c r="J4041" i="677"/>
  <c r="H4117" i="677"/>
  <c r="K4117" i="677" s="1"/>
  <c r="J4254" i="677"/>
  <c r="J4268" i="677"/>
  <c r="J4273" i="677"/>
  <c r="H4390" i="677"/>
  <c r="K4390" i="677" s="1"/>
  <c r="H4477" i="677"/>
  <c r="K4477" i="677" s="1"/>
  <c r="K3948" i="677"/>
  <c r="J4224" i="677"/>
  <c r="H4230" i="677"/>
  <c r="K4230" i="677" s="1"/>
  <c r="H4235" i="677"/>
  <c r="K4235" i="677" s="1"/>
  <c r="K4311" i="677"/>
  <c r="H4320" i="677"/>
  <c r="K4320" i="677" s="1"/>
  <c r="K4325" i="677"/>
  <c r="K4365" i="677"/>
  <c r="H4473" i="677"/>
  <c r="K4473" i="677" s="1"/>
  <c r="K4561" i="677"/>
  <c r="K4610" i="677"/>
  <c r="K4541" i="677"/>
  <c r="J4083" i="677"/>
  <c r="H4136" i="677"/>
  <c r="K4136" i="677" s="1"/>
  <c r="K4181" i="677"/>
  <c r="K4231" i="677"/>
  <c r="H4243" i="677"/>
  <c r="K4243" i="677" s="1"/>
  <c r="H4255" i="677"/>
  <c r="K4255" i="677" s="1"/>
  <c r="H4264" i="677"/>
  <c r="H4269" i="677"/>
  <c r="K4269" i="677" s="1"/>
  <c r="H4274" i="677"/>
  <c r="K4274" i="677" s="1"/>
  <c r="H4287" i="677"/>
  <c r="K4287" i="677" s="1"/>
  <c r="J4306" i="677"/>
  <c r="H4336" i="677"/>
  <c r="K4336" i="677" s="1"/>
  <c r="H4341" i="677"/>
  <c r="K4348" i="677"/>
  <c r="H4440" i="677"/>
  <c r="K4440" i="677" s="1"/>
  <c r="H4478" i="677"/>
  <c r="K4478" i="677" s="1"/>
  <c r="K4573" i="677"/>
  <c r="K4579" i="677"/>
  <c r="K4596" i="677"/>
  <c r="K4057" i="677"/>
  <c r="K4100" i="677"/>
  <c r="K4201" i="677"/>
  <c r="K4213" i="677"/>
  <c r="K4220" i="677"/>
  <c r="J4293" i="677"/>
  <c r="K4312" i="677"/>
  <c r="H4331" i="677"/>
  <c r="H4361" i="677"/>
  <c r="K4585" i="677"/>
  <c r="K4017" i="677"/>
  <c r="K4165" i="677"/>
  <c r="K4250" i="677"/>
  <c r="J4441" i="677"/>
  <c r="K4547" i="677"/>
  <c r="K4592" i="677"/>
  <c r="J173" i="677"/>
  <c r="H173" i="677"/>
  <c r="J47" i="677"/>
  <c r="H47" i="677"/>
  <c r="J54" i="677"/>
  <c r="H54" i="677"/>
  <c r="J67" i="677"/>
  <c r="H67" i="677"/>
  <c r="H116" i="677"/>
  <c r="J116" i="677"/>
  <c r="J146" i="677"/>
  <c r="H146" i="677"/>
  <c r="J175" i="677"/>
  <c r="H175" i="677"/>
  <c r="J48" i="677"/>
  <c r="H48" i="677"/>
  <c r="J124" i="677"/>
  <c r="H124" i="677"/>
  <c r="J51" i="677"/>
  <c r="H51" i="677"/>
  <c r="J55" i="677"/>
  <c r="H55" i="677"/>
  <c r="H106" i="677"/>
  <c r="J106" i="677"/>
  <c r="J61" i="677"/>
  <c r="H61" i="677"/>
  <c r="J123" i="677"/>
  <c r="H123" i="677"/>
  <c r="J141" i="677"/>
  <c r="H141" i="677"/>
  <c r="J170" i="677"/>
  <c r="E40" i="677"/>
  <c r="J43" i="677"/>
  <c r="H43" i="677"/>
  <c r="J85" i="677"/>
  <c r="H85" i="677"/>
  <c r="J97" i="677"/>
  <c r="H97" i="677"/>
  <c r="J153" i="677"/>
  <c r="H153" i="677"/>
  <c r="J177" i="677"/>
  <c r="H177" i="677"/>
  <c r="H216" i="677"/>
  <c r="J216" i="677"/>
  <c r="H91" i="677"/>
  <c r="J91" i="677"/>
  <c r="J112" i="677"/>
  <c r="H112" i="677"/>
  <c r="J178" i="677"/>
  <c r="H178" i="677"/>
  <c r="J143" i="677"/>
  <c r="H143" i="677"/>
  <c r="J179" i="677"/>
  <c r="H179" i="677"/>
  <c r="H228" i="677"/>
  <c r="J228" i="677"/>
  <c r="E72" i="677"/>
  <c r="J74" i="677"/>
  <c r="H74" i="677"/>
  <c r="J58" i="677"/>
  <c r="H58" i="677"/>
  <c r="E136" i="677"/>
  <c r="J81" i="677"/>
  <c r="H81" i="677"/>
  <c r="J132" i="677"/>
  <c r="H132" i="677"/>
  <c r="K149" i="677"/>
  <c r="K161" i="677"/>
  <c r="J127" i="677"/>
  <c r="H127" i="677"/>
  <c r="H45" i="677"/>
  <c r="J45" i="677"/>
  <c r="H52" i="677"/>
  <c r="J52" i="677"/>
  <c r="K87" i="677"/>
  <c r="J138" i="677"/>
  <c r="H138" i="677"/>
  <c r="J156" i="677"/>
  <c r="H156" i="677"/>
  <c r="J130" i="677"/>
  <c r="H130" i="677"/>
  <c r="H64" i="677"/>
  <c r="J64" i="677"/>
  <c r="J94" i="677"/>
  <c r="H94" i="677"/>
  <c r="J115" i="677"/>
  <c r="H115" i="677"/>
  <c r="J139" i="677"/>
  <c r="H139" i="677"/>
  <c r="J150" i="677"/>
  <c r="H150" i="677"/>
  <c r="J162" i="677"/>
  <c r="H162" i="677"/>
  <c r="J84" i="677"/>
  <c r="H84" i="677"/>
  <c r="J159" i="677"/>
  <c r="H159" i="677"/>
  <c r="J164" i="677"/>
  <c r="H164" i="677"/>
  <c r="H209" i="677"/>
  <c r="J209" i="677"/>
  <c r="J66" i="677"/>
  <c r="H66" i="677"/>
  <c r="J88" i="677"/>
  <c r="H88" i="677"/>
  <c r="J121" i="677"/>
  <c r="H121" i="677"/>
  <c r="J183" i="677"/>
  <c r="H183" i="677"/>
  <c r="J256" i="677"/>
  <c r="H256" i="677"/>
  <c r="H262" i="677"/>
  <c r="J262" i="677"/>
  <c r="J285" i="677"/>
  <c r="H285" i="677"/>
  <c r="J289" i="677"/>
  <c r="H289" i="677"/>
  <c r="J303" i="677"/>
  <c r="E301" i="677"/>
  <c r="H303" i="677"/>
  <c r="H308" i="677"/>
  <c r="J308" i="677"/>
  <c r="J321" i="677"/>
  <c r="H321" i="677"/>
  <c r="H347" i="677"/>
  <c r="J347" i="677"/>
  <c r="J388" i="677"/>
  <c r="H388" i="677"/>
  <c r="J434" i="677"/>
  <c r="H434" i="677"/>
  <c r="J439" i="677"/>
  <c r="H439" i="677"/>
  <c r="J551" i="677"/>
  <c r="H551" i="677"/>
  <c r="H563" i="677"/>
  <c r="J563" i="677"/>
  <c r="H632" i="677"/>
  <c r="J632" i="677"/>
  <c r="J670" i="677"/>
  <c r="H670" i="677"/>
  <c r="J197" i="677"/>
  <c r="H197" i="677"/>
  <c r="H50" i="677"/>
  <c r="K50" i="677" s="1"/>
  <c r="H57" i="677"/>
  <c r="K57" i="677" s="1"/>
  <c r="H69" i="677"/>
  <c r="K69" i="677" s="1"/>
  <c r="H96" i="677"/>
  <c r="K96" i="677" s="1"/>
  <c r="H101" i="677"/>
  <c r="K101" i="677" s="1"/>
  <c r="E104" i="677"/>
  <c r="H114" i="677"/>
  <c r="K114" i="677" s="1"/>
  <c r="H126" i="677"/>
  <c r="K126" i="677" s="1"/>
  <c r="H158" i="677"/>
  <c r="K158" i="677" s="1"/>
  <c r="J188" i="677"/>
  <c r="K188" i="677" s="1"/>
  <c r="J217" i="677"/>
  <c r="H217" i="677"/>
  <c r="J257" i="677"/>
  <c r="H257" i="677"/>
  <c r="J290" i="677"/>
  <c r="H290" i="677"/>
  <c r="J309" i="677"/>
  <c r="H309" i="677"/>
  <c r="H315" i="677"/>
  <c r="J315" i="677"/>
  <c r="J322" i="677"/>
  <c r="H322" i="677"/>
  <c r="J348" i="677"/>
  <c r="H348" i="677"/>
  <c r="J353" i="677"/>
  <c r="H353" i="677"/>
  <c r="H372" i="677"/>
  <c r="J372" i="677"/>
  <c r="K426" i="677"/>
  <c r="J440" i="677"/>
  <c r="H440" i="677"/>
  <c r="J460" i="677"/>
  <c r="H460" i="677"/>
  <c r="K481" i="677"/>
  <c r="J488" i="677"/>
  <c r="H488" i="677"/>
  <c r="J537" i="677"/>
  <c r="H537" i="677"/>
  <c r="J564" i="677"/>
  <c r="H564" i="677"/>
  <c r="J577" i="677"/>
  <c r="H577" i="677"/>
  <c r="K593" i="677"/>
  <c r="J633" i="677"/>
  <c r="H633" i="677"/>
  <c r="J733" i="677"/>
  <c r="H733" i="677"/>
  <c r="H193" i="677"/>
  <c r="K193" i="677" s="1"/>
  <c r="K201" i="677"/>
  <c r="K218" i="677"/>
  <c r="K235" i="677"/>
  <c r="H248" i="677"/>
  <c r="K248" i="677" s="1"/>
  <c r="H253" i="677"/>
  <c r="K253" i="677" s="1"/>
  <c r="J258" i="677"/>
  <c r="H258" i="677"/>
  <c r="J291" i="677"/>
  <c r="H291" i="677"/>
  <c r="H295" i="677"/>
  <c r="J295" i="677"/>
  <c r="J304" i="677"/>
  <c r="H304" i="677"/>
  <c r="J316" i="677"/>
  <c r="H316" i="677"/>
  <c r="K338" i="677"/>
  <c r="H344" i="677"/>
  <c r="K344" i="677" s="1"/>
  <c r="J354" i="677"/>
  <c r="H354" i="677"/>
  <c r="H359" i="677"/>
  <c r="J359" i="677"/>
  <c r="J373" i="677"/>
  <c r="H373" i="677"/>
  <c r="J389" i="677"/>
  <c r="H389" i="677"/>
  <c r="J398" i="677"/>
  <c r="K398" i="677" s="1"/>
  <c r="E397" i="677"/>
  <c r="K402" i="677"/>
  <c r="H408" i="677"/>
  <c r="K408" i="677" s="1"/>
  <c r="K414" i="677"/>
  <c r="J420" i="677"/>
  <c r="H420" i="677"/>
  <c r="J441" i="677"/>
  <c r="H441" i="677"/>
  <c r="H453" i="677"/>
  <c r="J453" i="677"/>
  <c r="J461" i="677"/>
  <c r="H461" i="677"/>
  <c r="J475" i="677"/>
  <c r="H475" i="677"/>
  <c r="J522" i="677"/>
  <c r="H522" i="677"/>
  <c r="E501" i="677"/>
  <c r="J530" i="677"/>
  <c r="H530" i="677"/>
  <c r="J546" i="677"/>
  <c r="H546" i="677"/>
  <c r="K571" i="677"/>
  <c r="J578" i="677"/>
  <c r="H578" i="677"/>
  <c r="J585" i="677"/>
  <c r="H585" i="677"/>
  <c r="K602" i="677"/>
  <c r="J185" i="677"/>
  <c r="H185" i="677"/>
  <c r="J205" i="677"/>
  <c r="H205" i="677"/>
  <c r="J222" i="677"/>
  <c r="H222" i="677"/>
  <c r="J239" i="677"/>
  <c r="H239" i="677"/>
  <c r="H243" i="677"/>
  <c r="J243" i="677"/>
  <c r="J329" i="677"/>
  <c r="H329" i="677"/>
  <c r="J368" i="677"/>
  <c r="H368" i="677"/>
  <c r="H379" i="677"/>
  <c r="J379" i="677"/>
  <c r="K390" i="677"/>
  <c r="J454" i="677"/>
  <c r="H454" i="677"/>
  <c r="J469" i="677"/>
  <c r="H469" i="677"/>
  <c r="J482" i="677"/>
  <c r="H482" i="677"/>
  <c r="J515" i="677"/>
  <c r="H515" i="677"/>
  <c r="J539" i="677"/>
  <c r="H539" i="677"/>
  <c r="J586" i="677"/>
  <c r="H586" i="677"/>
  <c r="J594" i="677"/>
  <c r="H594" i="677"/>
  <c r="H189" i="677"/>
  <c r="J189" i="677"/>
  <c r="K214" i="677"/>
  <c r="J244" i="677"/>
  <c r="H244" i="677"/>
  <c r="J292" i="677"/>
  <c r="H292" i="677"/>
  <c r="J324" i="677"/>
  <c r="H324" i="677"/>
  <c r="J380" i="677"/>
  <c r="H380" i="677"/>
  <c r="J421" i="677"/>
  <c r="H421" i="677"/>
  <c r="J447" i="677"/>
  <c r="H447" i="677"/>
  <c r="J476" i="677"/>
  <c r="H476" i="677"/>
  <c r="K476" i="677" s="1"/>
  <c r="J635" i="677"/>
  <c r="H635" i="677"/>
  <c r="K635" i="677" s="1"/>
  <c r="J684" i="677"/>
  <c r="H684" i="677"/>
  <c r="H41" i="677"/>
  <c r="K41" i="677" s="1"/>
  <c r="H46" i="677"/>
  <c r="K46" i="677" s="1"/>
  <c r="H53" i="677"/>
  <c r="K53" i="677" s="1"/>
  <c r="H65" i="677"/>
  <c r="K65" i="677" s="1"/>
  <c r="H75" i="677"/>
  <c r="K75" i="677" s="1"/>
  <c r="H92" i="677"/>
  <c r="K92" i="677" s="1"/>
  <c r="H107" i="677"/>
  <c r="K107" i="677" s="1"/>
  <c r="H117" i="677"/>
  <c r="K117" i="677" s="1"/>
  <c r="H122" i="677"/>
  <c r="K122" i="677" s="1"/>
  <c r="H137" i="677"/>
  <c r="H147" i="677"/>
  <c r="K147" i="677" s="1"/>
  <c r="H154" i="677"/>
  <c r="K154" i="677" s="1"/>
  <c r="H171" i="677"/>
  <c r="J194" i="677"/>
  <c r="K194" i="677" s="1"/>
  <c r="E202" i="677"/>
  <c r="J210" i="677"/>
  <c r="H210" i="677"/>
  <c r="E236" i="677"/>
  <c r="J245" i="677"/>
  <c r="H245" i="677"/>
  <c r="J249" i="677"/>
  <c r="K249" i="677" s="1"/>
  <c r="K254" i="677"/>
  <c r="H259" i="677"/>
  <c r="K259" i="677" s="1"/>
  <c r="H265" i="677"/>
  <c r="K265" i="677" s="1"/>
  <c r="H276" i="677"/>
  <c r="J276" i="677"/>
  <c r="J281" i="677"/>
  <c r="K281" i="677" s="1"/>
  <c r="K311" i="677"/>
  <c r="K350" i="677"/>
  <c r="J356" i="677"/>
  <c r="H356" i="677"/>
  <c r="J409" i="677"/>
  <c r="H409" i="677"/>
  <c r="J448" i="677"/>
  <c r="H448" i="677"/>
  <c r="H490" i="677"/>
  <c r="J490" i="677"/>
  <c r="J506" i="677"/>
  <c r="H506" i="677"/>
  <c r="J566" i="677"/>
  <c r="H566" i="677"/>
  <c r="H573" i="677"/>
  <c r="J573" i="677"/>
  <c r="J580" i="677"/>
  <c r="H580" i="677"/>
  <c r="J596" i="677"/>
  <c r="H596" i="677"/>
  <c r="J608" i="677"/>
  <c r="H608" i="677"/>
  <c r="J729" i="677"/>
  <c r="H729" i="677"/>
  <c r="J137" i="677"/>
  <c r="J171" i="677"/>
  <c r="J224" i="677"/>
  <c r="H224" i="677"/>
  <c r="J272" i="677"/>
  <c r="H272" i="677"/>
  <c r="E269" i="677"/>
  <c r="J277" i="677"/>
  <c r="H277" i="677"/>
  <c r="J297" i="677"/>
  <c r="H297" i="677"/>
  <c r="J325" i="677"/>
  <c r="H325" i="677"/>
  <c r="J334" i="677"/>
  <c r="K334" i="677" s="1"/>
  <c r="E333" i="677"/>
  <c r="H391" i="677"/>
  <c r="J391" i="677"/>
  <c r="J491" i="677"/>
  <c r="H491" i="677"/>
  <c r="J507" i="677"/>
  <c r="H507" i="677"/>
  <c r="H532" i="677"/>
  <c r="J532" i="677"/>
  <c r="H548" i="677"/>
  <c r="J548" i="677"/>
  <c r="J588" i="677"/>
  <c r="H588" i="677"/>
  <c r="K588" i="677" s="1"/>
  <c r="E561" i="677"/>
  <c r="J637" i="677"/>
  <c r="H637" i="677"/>
  <c r="J645" i="677"/>
  <c r="H645" i="677"/>
  <c r="H1045" i="677"/>
  <c r="J1045" i="677"/>
  <c r="H63" i="677"/>
  <c r="K63" i="677" s="1"/>
  <c r="H73" i="677"/>
  <c r="K73" i="677" s="1"/>
  <c r="H78" i="677"/>
  <c r="K78" i="677" s="1"/>
  <c r="H83" i="677"/>
  <c r="K83" i="677" s="1"/>
  <c r="H90" i="677"/>
  <c r="K90" i="677" s="1"/>
  <c r="H105" i="677"/>
  <c r="K105" i="677" s="1"/>
  <c r="H120" i="677"/>
  <c r="K120" i="677" s="1"/>
  <c r="H145" i="677"/>
  <c r="K145" i="677" s="1"/>
  <c r="H152" i="677"/>
  <c r="K152" i="677" s="1"/>
  <c r="J190" i="677"/>
  <c r="H190" i="677"/>
  <c r="J211" i="677"/>
  <c r="K211" i="677" s="1"/>
  <c r="J215" i="677"/>
  <c r="K215" i="677" s="1"/>
  <c r="J278" i="677"/>
  <c r="H278" i="677"/>
  <c r="J282" i="677"/>
  <c r="K282" i="677" s="1"/>
  <c r="K306" i="677"/>
  <c r="J335" i="677"/>
  <c r="H335" i="677"/>
  <c r="H340" i="677"/>
  <c r="J340" i="677"/>
  <c r="J361" i="677"/>
  <c r="H361" i="677"/>
  <c r="H404" i="677"/>
  <c r="J404" i="677"/>
  <c r="K456" i="677"/>
  <c r="H471" i="677"/>
  <c r="J471" i="677"/>
  <c r="J484" i="677"/>
  <c r="H484" i="677"/>
  <c r="J508" i="677"/>
  <c r="H508" i="677"/>
  <c r="K517" i="677"/>
  <c r="K525" i="677"/>
  <c r="J533" i="677"/>
  <c r="H533" i="677"/>
  <c r="J542" i="677"/>
  <c r="H542" i="677"/>
  <c r="J549" i="677"/>
  <c r="H549" i="677"/>
  <c r="J589" i="677"/>
  <c r="H589" i="677"/>
  <c r="J626" i="677"/>
  <c r="H626" i="677"/>
  <c r="H113" i="677"/>
  <c r="K113" i="677" s="1"/>
  <c r="H125" i="677"/>
  <c r="K125" i="677" s="1"/>
  <c r="J182" i="677"/>
  <c r="K182" i="677" s="1"/>
  <c r="K191" i="677"/>
  <c r="H207" i="677"/>
  <c r="K207" i="677" s="1"/>
  <c r="H241" i="677"/>
  <c r="K241" i="677" s="1"/>
  <c r="H246" i="677"/>
  <c r="K246" i="677" s="1"/>
  <c r="J255" i="677"/>
  <c r="K255" i="677" s="1"/>
  <c r="K260" i="677"/>
  <c r="K266" i="677"/>
  <c r="H319" i="677"/>
  <c r="K319" i="677" s="1"/>
  <c r="J341" i="677"/>
  <c r="H341" i="677"/>
  <c r="K370" i="677"/>
  <c r="H376" i="677"/>
  <c r="K376" i="677" s="1"/>
  <c r="K382" i="677"/>
  <c r="J385" i="677"/>
  <c r="H385" i="677"/>
  <c r="J405" i="677"/>
  <c r="H405" i="677"/>
  <c r="H423" i="677"/>
  <c r="J423" i="677"/>
  <c r="J444" i="677"/>
  <c r="H444" i="677"/>
  <c r="J472" i="677"/>
  <c r="H472" i="677"/>
  <c r="H478" i="677"/>
  <c r="J478" i="677"/>
  <c r="J485" i="677"/>
  <c r="H485" i="677"/>
  <c r="J510" i="677"/>
  <c r="H510" i="677"/>
  <c r="J543" i="677"/>
  <c r="H543" i="677"/>
  <c r="J590" i="677"/>
  <c r="H590" i="677"/>
  <c r="H604" i="677"/>
  <c r="K604" i="677" s="1"/>
  <c r="J604" i="677"/>
  <c r="J195" i="677"/>
  <c r="H195" i="677"/>
  <c r="H250" i="677"/>
  <c r="K250" i="677" s="1"/>
  <c r="J250" i="677"/>
  <c r="J336" i="677"/>
  <c r="H336" i="677"/>
  <c r="J386" i="677"/>
  <c r="H386" i="677"/>
  <c r="J400" i="677"/>
  <c r="H400" i="677"/>
  <c r="H411" i="677"/>
  <c r="K411" i="677" s="1"/>
  <c r="J411" i="677"/>
  <c r="J424" i="677"/>
  <c r="H424" i="677"/>
  <c r="J457" i="677"/>
  <c r="H457" i="677"/>
  <c r="E464" i="677"/>
  <c r="J465" i="677"/>
  <c r="H465" i="677"/>
  <c r="K465" i="677" s="1"/>
  <c r="J479" i="677"/>
  <c r="H479" i="677"/>
  <c r="H568" i="677"/>
  <c r="J568" i="677"/>
  <c r="J591" i="677"/>
  <c r="H591" i="677"/>
  <c r="H599" i="677"/>
  <c r="J599" i="677"/>
  <c r="J605" i="677"/>
  <c r="H605" i="677"/>
  <c r="K605" i="677" s="1"/>
  <c r="J610" i="677"/>
  <c r="H610" i="677"/>
  <c r="K610" i="677" s="1"/>
  <c r="J639" i="677"/>
  <c r="H639" i="677"/>
  <c r="J647" i="677"/>
  <c r="H647" i="677"/>
  <c r="H93" i="677"/>
  <c r="K93" i="677" s="1"/>
  <c r="H155" i="677"/>
  <c r="K155" i="677" s="1"/>
  <c r="H172" i="677"/>
  <c r="K172" i="677" s="1"/>
  <c r="H212" i="677"/>
  <c r="K212" i="677" s="1"/>
  <c r="H247" i="677"/>
  <c r="K247" i="677" s="1"/>
  <c r="J251" i="677"/>
  <c r="H251" i="677"/>
  <c r="K279" i="677"/>
  <c r="H283" i="677"/>
  <c r="J283" i="677"/>
  <c r="J288" i="677"/>
  <c r="H288" i="677"/>
  <c r="J313" i="677"/>
  <c r="H313" i="677"/>
  <c r="J320" i="677"/>
  <c r="H320" i="677"/>
  <c r="H327" i="677"/>
  <c r="J327" i="677"/>
  <c r="J366" i="677"/>
  <c r="K366" i="677" s="1"/>
  <c r="E365" i="677"/>
  <c r="J412" i="677"/>
  <c r="H412" i="677"/>
  <c r="J417" i="677"/>
  <c r="H417" i="677"/>
  <c r="J451" i="677"/>
  <c r="H451" i="677"/>
  <c r="J466" i="677"/>
  <c r="H466" i="677"/>
  <c r="K493" i="677"/>
  <c r="H502" i="677"/>
  <c r="J502" i="677"/>
  <c r="H519" i="677"/>
  <c r="J519" i="677"/>
  <c r="H527" i="677"/>
  <c r="J527" i="677"/>
  <c r="J569" i="677"/>
  <c r="H569" i="677"/>
  <c r="K575" i="677"/>
  <c r="J558" i="677"/>
  <c r="H558" i="677"/>
  <c r="E560" i="677"/>
  <c r="J600" i="677"/>
  <c r="H600" i="677"/>
  <c r="J640" i="677"/>
  <c r="H640" i="677"/>
  <c r="J648" i="677"/>
  <c r="H648" i="677"/>
  <c r="J658" i="677"/>
  <c r="H658" i="677"/>
  <c r="H42" i="677"/>
  <c r="K42" i="677" s="1"/>
  <c r="J204" i="677"/>
  <c r="K204" i="677" s="1"/>
  <c r="J221" i="677"/>
  <c r="K221" i="677" s="1"/>
  <c r="J238" i="677"/>
  <c r="K238" i="677" s="1"/>
  <c r="J252" i="677"/>
  <c r="H252" i="677"/>
  <c r="K274" i="677"/>
  <c r="J284" i="677"/>
  <c r="H284" i="677"/>
  <c r="J314" i="677"/>
  <c r="K314" i="677" s="1"/>
  <c r="K358" i="677"/>
  <c r="J377" i="677"/>
  <c r="H377" i="677"/>
  <c r="J393" i="677"/>
  <c r="H393" i="677"/>
  <c r="J418" i="677"/>
  <c r="H418" i="677"/>
  <c r="J503" i="677"/>
  <c r="H503" i="677"/>
  <c r="K503" i="677" s="1"/>
  <c r="J520" i="677"/>
  <c r="H520" i="677"/>
  <c r="J528" i="677"/>
  <c r="H528" i="677"/>
  <c r="K535" i="677"/>
  <c r="K583" i="677"/>
  <c r="E500" i="677"/>
  <c r="E620" i="677"/>
  <c r="K666" i="677"/>
  <c r="H685" i="677"/>
  <c r="K685" i="677" s="1"/>
  <c r="H751" i="677"/>
  <c r="K751" i="677" s="1"/>
  <c r="J771" i="677"/>
  <c r="H771" i="677"/>
  <c r="H818" i="677"/>
  <c r="K818" i="677" s="1"/>
  <c r="J846" i="677"/>
  <c r="H846" i="677"/>
  <c r="J868" i="677"/>
  <c r="H868" i="677"/>
  <c r="K868" i="677" s="1"/>
  <c r="H874" i="677"/>
  <c r="K874" i="677" s="1"/>
  <c r="J890" i="677"/>
  <c r="H890" i="677"/>
  <c r="H906" i="677"/>
  <c r="K906" i="677" s="1"/>
  <c r="H911" i="677"/>
  <c r="J911" i="677"/>
  <c r="H944" i="677"/>
  <c r="K944" i="677" s="1"/>
  <c r="J989" i="677"/>
  <c r="H989" i="677"/>
  <c r="H995" i="677"/>
  <c r="K995" i="677" s="1"/>
  <c r="J995" i="677"/>
  <c r="H1021" i="677"/>
  <c r="K1021" i="677" s="1"/>
  <c r="J1062" i="677"/>
  <c r="H1062" i="677"/>
  <c r="J1088" i="677"/>
  <c r="H1088" i="677"/>
  <c r="J1114" i="677"/>
  <c r="H1114" i="677"/>
  <c r="K1114" i="677" s="1"/>
  <c r="J1126" i="677"/>
  <c r="H1126" i="677"/>
  <c r="K1126" i="677" s="1"/>
  <c r="J1325" i="677"/>
  <c r="H1325" i="677"/>
  <c r="K689" i="677"/>
  <c r="K707" i="677"/>
  <c r="J745" i="677"/>
  <c r="K782" i="677"/>
  <c r="J803" i="677"/>
  <c r="H803" i="677"/>
  <c r="K803" i="677" s="1"/>
  <c r="J809" i="677"/>
  <c r="K809" i="677" s="1"/>
  <c r="H952" i="677"/>
  <c r="K952" i="677" s="1"/>
  <c r="J1002" i="677"/>
  <c r="H1002" i="677"/>
  <c r="H1063" i="677"/>
  <c r="K1063" i="677" s="1"/>
  <c r="K1077" i="677"/>
  <c r="J1089" i="677"/>
  <c r="H1089" i="677"/>
  <c r="H1110" i="677"/>
  <c r="K1110" i="677" s="1"/>
  <c r="J1115" i="677"/>
  <c r="H1115" i="677"/>
  <c r="H1133" i="677"/>
  <c r="J1133" i="677"/>
  <c r="J1204" i="677"/>
  <c r="H1204" i="677"/>
  <c r="J1228" i="677"/>
  <c r="H1228" i="677"/>
  <c r="H1269" i="677"/>
  <c r="J1269" i="677"/>
  <c r="E432" i="677"/>
  <c r="K745" i="677"/>
  <c r="K768" i="677"/>
  <c r="J841" i="677"/>
  <c r="H841" i="677"/>
  <c r="K841" i="677" s="1"/>
  <c r="J880" i="677"/>
  <c r="H880" i="677"/>
  <c r="K880" i="677" s="1"/>
  <c r="J912" i="677"/>
  <c r="H912" i="677"/>
  <c r="J959" i="677"/>
  <c r="H959" i="677"/>
  <c r="E922" i="677"/>
  <c r="J996" i="677"/>
  <c r="H996" i="677"/>
  <c r="J1003" i="677"/>
  <c r="H1003" i="677"/>
  <c r="H1016" i="677"/>
  <c r="J1016" i="677"/>
  <c r="J1028" i="677"/>
  <c r="H1028" i="677"/>
  <c r="J1071" i="677"/>
  <c r="H1071" i="677"/>
  <c r="J1149" i="677"/>
  <c r="H1149" i="677"/>
  <c r="J1395" i="677"/>
  <c r="H1395" i="677"/>
  <c r="H323" i="677"/>
  <c r="K323" i="677" s="1"/>
  <c r="H355" i="677"/>
  <c r="K355" i="677" s="1"/>
  <c r="H387" i="677"/>
  <c r="K387" i="677" s="1"/>
  <c r="H419" i="677"/>
  <c r="K419" i="677" s="1"/>
  <c r="H437" i="677"/>
  <c r="K437" i="677" s="1"/>
  <c r="H442" i="677"/>
  <c r="K442" i="677" s="1"/>
  <c r="H449" i="677"/>
  <c r="K449" i="677" s="1"/>
  <c r="H462" i="677"/>
  <c r="K462" i="677" s="1"/>
  <c r="H467" i="677"/>
  <c r="K467" i="677" s="1"/>
  <c r="H486" i="677"/>
  <c r="K486" i="677" s="1"/>
  <c r="H498" i="677"/>
  <c r="K498" i="677" s="1"/>
  <c r="H511" i="677"/>
  <c r="K511" i="677" s="1"/>
  <c r="H544" i="677"/>
  <c r="K544" i="677" s="1"/>
  <c r="H559" i="677"/>
  <c r="K559" i="677" s="1"/>
  <c r="H592" i="677"/>
  <c r="E623" i="677"/>
  <c r="H686" i="677"/>
  <c r="K686" i="677" s="1"/>
  <c r="H737" i="677"/>
  <c r="K737" i="677" s="1"/>
  <c r="J741" i="677"/>
  <c r="K741" i="677" s="1"/>
  <c r="H776" i="677"/>
  <c r="K776" i="677" s="1"/>
  <c r="J842" i="677"/>
  <c r="K842" i="677" s="1"/>
  <c r="J851" i="677"/>
  <c r="H851" i="677"/>
  <c r="K851" i="677" s="1"/>
  <c r="K864" i="677"/>
  <c r="J875" i="677"/>
  <c r="H875" i="677"/>
  <c r="K913" i="677"/>
  <c r="J960" i="677"/>
  <c r="H960" i="677"/>
  <c r="J979" i="677"/>
  <c r="H979" i="677"/>
  <c r="J1010" i="677"/>
  <c r="H1010" i="677"/>
  <c r="K1010" i="677" s="1"/>
  <c r="J1029" i="677"/>
  <c r="H1029" i="677"/>
  <c r="K1034" i="677"/>
  <c r="H1072" i="677"/>
  <c r="K1072" i="677" s="1"/>
  <c r="K1105" i="677"/>
  <c r="J1134" i="677"/>
  <c r="H1134" i="677"/>
  <c r="J592" i="677"/>
  <c r="J664" i="677"/>
  <c r="H664" i="677"/>
  <c r="J721" i="677"/>
  <c r="H721" i="677"/>
  <c r="K721" i="677" s="1"/>
  <c r="E740" i="677"/>
  <c r="K773" i="677"/>
  <c r="J929" i="677"/>
  <c r="H929" i="677"/>
  <c r="J936" i="677"/>
  <c r="H936" i="677"/>
  <c r="J973" i="677"/>
  <c r="H973" i="677"/>
  <c r="J1011" i="677"/>
  <c r="H1011" i="677"/>
  <c r="E983" i="677"/>
  <c r="J1017" i="677"/>
  <c r="H1017" i="677"/>
  <c r="J1030" i="677"/>
  <c r="H1030" i="677"/>
  <c r="H1058" i="677"/>
  <c r="J1058" i="677"/>
  <c r="J1155" i="677"/>
  <c r="H1155" i="677"/>
  <c r="J1193" i="677"/>
  <c r="H1193" i="677"/>
  <c r="E1166" i="677"/>
  <c r="J687" i="677"/>
  <c r="H687" i="677"/>
  <c r="J690" i="677"/>
  <c r="K690" i="677" s="1"/>
  <c r="H704" i="677"/>
  <c r="K704" i="677" s="1"/>
  <c r="E678" i="677"/>
  <c r="J713" i="677"/>
  <c r="H713" i="677"/>
  <c r="J726" i="677"/>
  <c r="H726" i="677"/>
  <c r="J742" i="677"/>
  <c r="H742" i="677"/>
  <c r="J753" i="677"/>
  <c r="H753" i="677"/>
  <c r="J758" i="677"/>
  <c r="H758" i="677"/>
  <c r="J783" i="677"/>
  <c r="H783" i="677"/>
  <c r="K788" i="677"/>
  <c r="H800" i="677"/>
  <c r="K800" i="677" s="1"/>
  <c r="K820" i="677"/>
  <c r="J831" i="677"/>
  <c r="K831" i="677" s="1"/>
  <c r="K848" i="677"/>
  <c r="J870" i="677"/>
  <c r="H870" i="677"/>
  <c r="J896" i="677"/>
  <c r="H896" i="677"/>
  <c r="J902" i="677"/>
  <c r="H902" i="677"/>
  <c r="H918" i="677"/>
  <c r="K918" i="677" s="1"/>
  <c r="J967" i="677"/>
  <c r="H967" i="677"/>
  <c r="J974" i="677"/>
  <c r="H974" i="677"/>
  <c r="K991" i="677"/>
  <c r="K1018" i="677"/>
  <c r="H1031" i="677"/>
  <c r="K1031" i="677" s="1"/>
  <c r="J1051" i="677"/>
  <c r="H1051" i="677"/>
  <c r="J1128" i="677"/>
  <c r="H1128" i="677"/>
  <c r="H1339" i="677"/>
  <c r="J1339" i="677"/>
  <c r="J671" i="677"/>
  <c r="K671" i="677" s="1"/>
  <c r="J683" i="677"/>
  <c r="K683" i="677" s="1"/>
  <c r="K709" i="677"/>
  <c r="J722" i="677"/>
  <c r="K722" i="677" s="1"/>
  <c r="H727" i="677"/>
  <c r="K727" i="677" s="1"/>
  <c r="J731" i="677"/>
  <c r="H731" i="677"/>
  <c r="H784" i="677"/>
  <c r="K784" i="677" s="1"/>
  <c r="J805" i="677"/>
  <c r="H805" i="677"/>
  <c r="H826" i="677"/>
  <c r="K826" i="677" s="1"/>
  <c r="J871" i="677"/>
  <c r="K871" i="677" s="1"/>
  <c r="J882" i="677"/>
  <c r="H882" i="677"/>
  <c r="J930" i="677"/>
  <c r="H930" i="677"/>
  <c r="J938" i="677"/>
  <c r="H938" i="677"/>
  <c r="J947" i="677"/>
  <c r="H947" i="677"/>
  <c r="J968" i="677"/>
  <c r="H968" i="677"/>
  <c r="J975" i="677"/>
  <c r="H975" i="677"/>
  <c r="J998" i="677"/>
  <c r="H998" i="677"/>
  <c r="K1013" i="677"/>
  <c r="H1024" i="677"/>
  <c r="J1024" i="677"/>
  <c r="J1052" i="677"/>
  <c r="H1052" i="677"/>
  <c r="J1065" i="677"/>
  <c r="H1065" i="677"/>
  <c r="J1079" i="677"/>
  <c r="H1079" i="677"/>
  <c r="K1085" i="677"/>
  <c r="J1095" i="677"/>
  <c r="H1095" i="677"/>
  <c r="H1313" i="677"/>
  <c r="J1313" i="677"/>
  <c r="J668" i="677"/>
  <c r="H668" i="677"/>
  <c r="K710" i="677"/>
  <c r="J714" i="677"/>
  <c r="K735" i="677"/>
  <c r="K738" i="677"/>
  <c r="H743" i="677"/>
  <c r="K743" i="677" s="1"/>
  <c r="J747" i="677"/>
  <c r="H747" i="677"/>
  <c r="H793" i="677"/>
  <c r="K793" i="677" s="1"/>
  <c r="J801" i="677"/>
  <c r="K801" i="677" s="1"/>
  <c r="J807" i="677"/>
  <c r="H807" i="677"/>
  <c r="J811" i="677"/>
  <c r="H811" i="677"/>
  <c r="E797" i="677"/>
  <c r="J832" i="677"/>
  <c r="H832" i="677"/>
  <c r="H844" i="677"/>
  <c r="K844" i="677" s="1"/>
  <c r="J849" i="677"/>
  <c r="H849" i="677"/>
  <c r="J931" i="677"/>
  <c r="H931" i="677"/>
  <c r="E925" i="677"/>
  <c r="J955" i="677"/>
  <c r="H955" i="677"/>
  <c r="J969" i="677"/>
  <c r="H969" i="677"/>
  <c r="J1046" i="677"/>
  <c r="H1046" i="677"/>
  <c r="H1053" i="677"/>
  <c r="J1053" i="677"/>
  <c r="J1096" i="677"/>
  <c r="H1096" i="677"/>
  <c r="J1156" i="677"/>
  <c r="H1156" i="677"/>
  <c r="J1272" i="677"/>
  <c r="H1272" i="677"/>
  <c r="H433" i="677"/>
  <c r="K433" i="677" s="1"/>
  <c r="H443" i="677"/>
  <c r="K443" i="677" s="1"/>
  <c r="H450" i="677"/>
  <c r="K450" i="677" s="1"/>
  <c r="H468" i="677"/>
  <c r="K468" i="677" s="1"/>
  <c r="H487" i="677"/>
  <c r="K487" i="677" s="1"/>
  <c r="H499" i="677"/>
  <c r="K499" i="677" s="1"/>
  <c r="J692" i="677"/>
  <c r="H692" i="677"/>
  <c r="K714" i="677"/>
  <c r="K760" i="677"/>
  <c r="J853" i="677"/>
  <c r="H853" i="677"/>
  <c r="J888" i="677"/>
  <c r="H888" i="677"/>
  <c r="K888" i="677" s="1"/>
  <c r="J898" i="677"/>
  <c r="K898" i="677" s="1"/>
  <c r="E863" i="677"/>
  <c r="J914" i="677"/>
  <c r="H914" i="677"/>
  <c r="H932" i="677"/>
  <c r="J932" i="677"/>
  <c r="J956" i="677"/>
  <c r="H956" i="677"/>
  <c r="J1025" i="677"/>
  <c r="H1025" i="677"/>
  <c r="K1025" i="677" s="1"/>
  <c r="J1074" i="677"/>
  <c r="H1074" i="677"/>
  <c r="E1109" i="677"/>
  <c r="J1136" i="677"/>
  <c r="H1136" i="677"/>
  <c r="J1141" i="677"/>
  <c r="H1141" i="677"/>
  <c r="H310" i="677"/>
  <c r="K310" i="677" s="1"/>
  <c r="H317" i="677"/>
  <c r="K317" i="677" s="1"/>
  <c r="H342" i="677"/>
  <c r="K342" i="677" s="1"/>
  <c r="H349" i="677"/>
  <c r="K349" i="677" s="1"/>
  <c r="H374" i="677"/>
  <c r="K374" i="677" s="1"/>
  <c r="H381" i="677"/>
  <c r="K381" i="677" s="1"/>
  <c r="H406" i="677"/>
  <c r="K406" i="677" s="1"/>
  <c r="H413" i="677"/>
  <c r="K413" i="677" s="1"/>
  <c r="H425" i="677"/>
  <c r="K425" i="677" s="1"/>
  <c r="H455" i="677"/>
  <c r="K455" i="677" s="1"/>
  <c r="H473" i="677"/>
  <c r="K473" i="677" s="1"/>
  <c r="H480" i="677"/>
  <c r="K480" i="677" s="1"/>
  <c r="H492" i="677"/>
  <c r="K492" i="677" s="1"/>
  <c r="H504" i="677"/>
  <c r="K504" i="677" s="1"/>
  <c r="H534" i="677"/>
  <c r="K534" i="677" s="1"/>
  <c r="H550" i="677"/>
  <c r="K550" i="677" s="1"/>
  <c r="H552" i="677"/>
  <c r="K552" i="677" s="1"/>
  <c r="H570" i="677"/>
  <c r="K570" i="677" s="1"/>
  <c r="H601" i="677"/>
  <c r="K601" i="677" s="1"/>
  <c r="H606" i="677"/>
  <c r="K606" i="677" s="1"/>
  <c r="H624" i="677"/>
  <c r="K624" i="677" s="1"/>
  <c r="H629" i="677"/>
  <c r="K629" i="677" s="1"/>
  <c r="H642" i="677"/>
  <c r="K642" i="677" s="1"/>
  <c r="H650" i="677"/>
  <c r="K650" i="677" s="1"/>
  <c r="J672" i="677"/>
  <c r="K672" i="677" s="1"/>
  <c r="E681" i="677"/>
  <c r="H688" i="677"/>
  <c r="K688" i="677" s="1"/>
  <c r="J723" i="677"/>
  <c r="K723" i="677" s="1"/>
  <c r="H728" i="677"/>
  <c r="K728" i="677" s="1"/>
  <c r="K749" i="677"/>
  <c r="K770" i="677"/>
  <c r="J780" i="677"/>
  <c r="H780" i="677"/>
  <c r="J785" i="677"/>
  <c r="H785" i="677"/>
  <c r="J828" i="677"/>
  <c r="K828" i="677" s="1"/>
  <c r="K833" i="677"/>
  <c r="H845" i="677"/>
  <c r="K845" i="677" s="1"/>
  <c r="H867" i="677"/>
  <c r="K867" i="677" s="1"/>
  <c r="K915" i="677"/>
  <c r="K957" i="677"/>
  <c r="J987" i="677"/>
  <c r="H987" i="677"/>
  <c r="K1026" i="677"/>
  <c r="J1054" i="677"/>
  <c r="H1054" i="677"/>
  <c r="J1075" i="677"/>
  <c r="H1075" i="677"/>
  <c r="J1137" i="677"/>
  <c r="H1137" i="677"/>
  <c r="E739" i="677"/>
  <c r="J750" i="677"/>
  <c r="H750" i="677"/>
  <c r="J786" i="677"/>
  <c r="H786" i="677"/>
  <c r="J894" i="677"/>
  <c r="H894" i="677"/>
  <c r="J933" i="677"/>
  <c r="H933" i="677"/>
  <c r="J942" i="677"/>
  <c r="H942" i="677"/>
  <c r="K942" i="677" s="1"/>
  <c r="J963" i="677"/>
  <c r="H963" i="677"/>
  <c r="K963" i="677" s="1"/>
  <c r="J976" i="677"/>
  <c r="H976" i="677"/>
  <c r="H988" i="677"/>
  <c r="J988" i="677"/>
  <c r="J993" i="677"/>
  <c r="H993" i="677"/>
  <c r="H1125" i="677"/>
  <c r="J1125" i="677"/>
  <c r="J1274" i="677"/>
  <c r="H1274" i="677"/>
  <c r="K1274" i="677" s="1"/>
  <c r="J1282" i="677"/>
  <c r="H1282" i="677"/>
  <c r="K1282" i="677" s="1"/>
  <c r="H662" i="677"/>
  <c r="K662" i="677" s="1"/>
  <c r="K669" i="677"/>
  <c r="H706" i="677"/>
  <c r="K706" i="677" s="1"/>
  <c r="H724" i="677"/>
  <c r="K724" i="677" s="1"/>
  <c r="H744" i="677"/>
  <c r="K744" i="677" s="1"/>
  <c r="J766" i="677"/>
  <c r="H766" i="677"/>
  <c r="H781" i="677"/>
  <c r="K781" i="677" s="1"/>
  <c r="J790" i="677"/>
  <c r="K790" i="677" s="1"/>
  <c r="K798" i="677"/>
  <c r="H808" i="677"/>
  <c r="K808" i="677" s="1"/>
  <c r="K840" i="677"/>
  <c r="J905" i="677"/>
  <c r="H905" i="677"/>
  <c r="K905" i="677" s="1"/>
  <c r="J910" i="677"/>
  <c r="H910" i="677"/>
  <c r="K927" i="677"/>
  <c r="K934" i="677"/>
  <c r="J950" i="677"/>
  <c r="H950" i="677"/>
  <c r="K971" i="677"/>
  <c r="H977" i="677"/>
  <c r="J977" i="677"/>
  <c r="J994" i="677"/>
  <c r="H994" i="677"/>
  <c r="J1037" i="677"/>
  <c r="H1037" i="677"/>
  <c r="J1087" i="677"/>
  <c r="H1087" i="677"/>
  <c r="J1093" i="677"/>
  <c r="H1093" i="677"/>
  <c r="J1172" i="677"/>
  <c r="H1172" i="677"/>
  <c r="H1209" i="677"/>
  <c r="J1209" i="677"/>
  <c r="E986" i="677"/>
  <c r="J1168" i="677"/>
  <c r="K1168" i="677" s="1"/>
  <c r="J1205" i="677"/>
  <c r="H1205" i="677"/>
  <c r="J1226" i="677"/>
  <c r="K1226" i="677" s="1"/>
  <c r="J1239" i="677"/>
  <c r="H1239" i="677"/>
  <c r="K1239" i="677" s="1"/>
  <c r="J1252" i="677"/>
  <c r="H1252" i="677"/>
  <c r="J1257" i="677"/>
  <c r="H1257" i="677"/>
  <c r="J1270" i="677"/>
  <c r="H1270" i="677"/>
  <c r="J1305" i="677"/>
  <c r="H1305" i="677"/>
  <c r="K1305" i="677" s="1"/>
  <c r="J1314" i="677"/>
  <c r="H1314" i="677"/>
  <c r="E1279" i="677"/>
  <c r="J1340" i="677"/>
  <c r="H1340" i="677"/>
  <c r="H1364" i="677"/>
  <c r="K1364" i="677" s="1"/>
  <c r="J1411" i="677"/>
  <c r="H1411" i="677"/>
  <c r="J1447" i="677"/>
  <c r="K1447" i="677" s="1"/>
  <c r="H1491" i="677"/>
  <c r="K1491" i="677" s="1"/>
  <c r="J1515" i="677"/>
  <c r="K1515" i="677" s="1"/>
  <c r="H1545" i="677"/>
  <c r="K1545" i="677" s="1"/>
  <c r="J1561" i="677"/>
  <c r="K1561" i="677" s="1"/>
  <c r="K1716" i="677"/>
  <c r="S1751" i="677"/>
  <c r="J1751" i="677"/>
  <c r="K1751" i="677" s="1"/>
  <c r="E1777" i="677"/>
  <c r="J2417" i="677"/>
  <c r="H2417" i="677"/>
  <c r="H909" i="677"/>
  <c r="K909" i="677" s="1"/>
  <c r="E1106" i="677"/>
  <c r="J1185" i="677"/>
  <c r="H1185" i="677"/>
  <c r="J1197" i="677"/>
  <c r="H1197" i="677"/>
  <c r="E1163" i="677"/>
  <c r="J1206" i="677"/>
  <c r="H1206" i="677"/>
  <c r="K1206" i="677" s="1"/>
  <c r="J1271" i="677"/>
  <c r="H1271" i="677"/>
  <c r="J1315" i="677"/>
  <c r="H1315" i="677"/>
  <c r="K1321" i="677"/>
  <c r="J1341" i="677"/>
  <c r="H1341" i="677"/>
  <c r="K1359" i="677"/>
  <c r="J1396" i="677"/>
  <c r="H1396" i="677"/>
  <c r="K1430" i="677"/>
  <c r="J1466" i="677"/>
  <c r="H1466" i="677"/>
  <c r="J1480" i="677"/>
  <c r="H1480" i="677"/>
  <c r="S1778" i="677"/>
  <c r="J1778" i="677"/>
  <c r="E1803" i="677"/>
  <c r="H1778" i="677"/>
  <c r="J2412" i="677"/>
  <c r="H2412" i="677"/>
  <c r="H829" i="677"/>
  <c r="K829" i="677" s="1"/>
  <c r="H843" i="677"/>
  <c r="K843" i="677" s="1"/>
  <c r="H872" i="677"/>
  <c r="K872" i="677" s="1"/>
  <c r="H916" i="677"/>
  <c r="K916" i="677" s="1"/>
  <c r="H928" i="677"/>
  <c r="K928" i="677" s="1"/>
  <c r="H935" i="677"/>
  <c r="K935" i="677" s="1"/>
  <c r="H958" i="677"/>
  <c r="K958" i="677" s="1"/>
  <c r="H966" i="677"/>
  <c r="K966" i="677" s="1"/>
  <c r="H1014" i="677"/>
  <c r="K1014" i="677" s="1"/>
  <c r="H1027" i="677"/>
  <c r="K1027" i="677" s="1"/>
  <c r="H1048" i="677"/>
  <c r="K1048" i="677" s="1"/>
  <c r="H1056" i="677"/>
  <c r="K1056" i="677" s="1"/>
  <c r="H1078" i="677"/>
  <c r="K1078" i="677" s="1"/>
  <c r="H1086" i="677"/>
  <c r="K1086" i="677" s="1"/>
  <c r="H1098" i="677"/>
  <c r="K1098" i="677" s="1"/>
  <c r="H1113" i="677"/>
  <c r="K1113" i="677" s="1"/>
  <c r="H1123" i="677"/>
  <c r="K1123" i="677" s="1"/>
  <c r="H1131" i="677"/>
  <c r="K1131" i="677" s="1"/>
  <c r="H1144" i="677"/>
  <c r="K1144" i="677" s="1"/>
  <c r="H1150" i="677"/>
  <c r="K1150" i="677" s="1"/>
  <c r="J1157" i="677"/>
  <c r="H1157" i="677"/>
  <c r="H1173" i="677"/>
  <c r="K1173" i="677" s="1"/>
  <c r="J1176" i="677"/>
  <c r="H1176" i="677"/>
  <c r="H1190" i="677"/>
  <c r="K1190" i="677" s="1"/>
  <c r="J1194" i="677"/>
  <c r="H1194" i="677"/>
  <c r="J1198" i="677"/>
  <c r="H1198" i="677"/>
  <c r="H1223" i="677"/>
  <c r="K1223" i="677" s="1"/>
  <c r="J1244" i="677"/>
  <c r="H1244" i="677"/>
  <c r="H1253" i="677"/>
  <c r="K1253" i="677" s="1"/>
  <c r="H1311" i="677"/>
  <c r="K1311" i="677" s="1"/>
  <c r="J1316" i="677"/>
  <c r="H1316" i="677"/>
  <c r="J1342" i="677"/>
  <c r="H1342" i="677"/>
  <c r="J1347" i="677"/>
  <c r="H1347" i="677"/>
  <c r="H1365" i="677"/>
  <c r="K1365" i="677" s="1"/>
  <c r="J1374" i="677"/>
  <c r="H1374" i="677"/>
  <c r="J1412" i="677"/>
  <c r="H1412" i="677"/>
  <c r="K1495" i="677"/>
  <c r="K1522" i="677"/>
  <c r="K1574" i="677"/>
  <c r="K1584" i="677"/>
  <c r="K1608" i="677"/>
  <c r="K1713" i="677"/>
  <c r="S1724" i="677"/>
  <c r="J1724" i="677"/>
  <c r="J2002" i="677"/>
  <c r="H2002" i="677"/>
  <c r="J2164" i="677"/>
  <c r="H2164" i="677"/>
  <c r="J2408" i="677"/>
  <c r="H2408" i="677"/>
  <c r="J1214" i="677"/>
  <c r="H1214" i="677"/>
  <c r="J1348" i="677"/>
  <c r="H1348" i="677"/>
  <c r="J1413" i="677"/>
  <c r="H1413" i="677"/>
  <c r="J1448" i="677"/>
  <c r="H1448" i="677"/>
  <c r="J1467" i="677"/>
  <c r="H1467" i="677"/>
  <c r="J1516" i="677"/>
  <c r="H1516" i="677"/>
  <c r="J1556" i="677"/>
  <c r="H1556" i="677"/>
  <c r="J1562" i="677"/>
  <c r="H1562" i="677"/>
  <c r="K1724" i="677"/>
  <c r="J893" i="677"/>
  <c r="K893" i="677" s="1"/>
  <c r="J1169" i="677"/>
  <c r="H1169" i="677"/>
  <c r="H1182" i="677"/>
  <c r="K1182" i="677" s="1"/>
  <c r="J1207" i="677"/>
  <c r="H1207" i="677"/>
  <c r="H1231" i="677"/>
  <c r="K1231" i="677" s="1"/>
  <c r="H1235" i="677"/>
  <c r="K1235" i="677" s="1"/>
  <c r="H1241" i="677"/>
  <c r="K1241" i="677" s="1"/>
  <c r="J1276" i="677"/>
  <c r="H1276" i="677"/>
  <c r="J1349" i="677"/>
  <c r="H1349" i="677"/>
  <c r="J1391" i="677"/>
  <c r="H1391" i="677"/>
  <c r="J1431" i="677"/>
  <c r="H1431" i="677"/>
  <c r="J1441" i="677"/>
  <c r="H1441" i="677"/>
  <c r="J1468" i="677"/>
  <c r="H1468" i="677"/>
  <c r="J1517" i="677"/>
  <c r="H1517" i="677"/>
  <c r="J1534" i="677"/>
  <c r="H1534" i="677"/>
  <c r="J1563" i="677"/>
  <c r="H1563" i="677"/>
  <c r="K1596" i="677"/>
  <c r="E1044" i="677"/>
  <c r="H1116" i="677"/>
  <c r="K1116" i="677" s="1"/>
  <c r="H1121" i="677"/>
  <c r="K1121" i="677" s="1"/>
  <c r="H1151" i="677"/>
  <c r="K1151" i="677" s="1"/>
  <c r="J1154" i="677"/>
  <c r="H1154" i="677"/>
  <c r="J1158" i="677"/>
  <c r="H1158" i="677"/>
  <c r="J1211" i="677"/>
  <c r="K1211" i="677" s="1"/>
  <c r="H1215" i="677"/>
  <c r="K1215" i="677" s="1"/>
  <c r="J1227" i="677"/>
  <c r="H1227" i="677"/>
  <c r="K1227" i="677" s="1"/>
  <c r="J1285" i="677"/>
  <c r="H1285" i="677"/>
  <c r="J1302" i="677"/>
  <c r="H1302" i="677"/>
  <c r="H1343" i="677"/>
  <c r="K1343" i="677" s="1"/>
  <c r="K1360" i="677"/>
  <c r="J1408" i="677"/>
  <c r="H1408" i="677"/>
  <c r="J1442" i="677"/>
  <c r="H1442" i="677"/>
  <c r="J1462" i="677"/>
  <c r="H1462" i="677"/>
  <c r="K1462" i="677" s="1"/>
  <c r="J1483" i="677"/>
  <c r="H1483" i="677"/>
  <c r="J1523" i="677"/>
  <c r="H1523" i="677"/>
  <c r="J1528" i="677"/>
  <c r="H1528" i="677"/>
  <c r="J1564" i="677"/>
  <c r="H1564" i="677"/>
  <c r="S1756" i="677"/>
  <c r="H1756" i="677"/>
  <c r="E1782" i="677"/>
  <c r="J1170" i="677"/>
  <c r="K1170" i="677" s="1"/>
  <c r="H1178" i="677"/>
  <c r="K1178" i="677" s="1"/>
  <c r="J1286" i="677"/>
  <c r="H1286" i="677"/>
  <c r="J1297" i="677"/>
  <c r="H1297" i="677"/>
  <c r="J1376" i="677"/>
  <c r="H1376" i="677"/>
  <c r="J1386" i="677"/>
  <c r="K1386" i="677" s="1"/>
  <c r="J1392" i="677"/>
  <c r="H1392" i="677"/>
  <c r="K1415" i="677"/>
  <c r="J1463" i="677"/>
  <c r="H1463" i="677"/>
  <c r="J1484" i="677"/>
  <c r="H1484" i="677"/>
  <c r="J1507" i="677"/>
  <c r="H1507" i="677"/>
  <c r="J1529" i="677"/>
  <c r="H1529" i="677"/>
  <c r="J1547" i="677"/>
  <c r="K1547" i="677" s="1"/>
  <c r="K1743" i="677"/>
  <c r="J1756" i="677"/>
  <c r="J1264" i="677"/>
  <c r="H1264" i="677"/>
  <c r="J1287" i="677"/>
  <c r="H1287" i="677"/>
  <c r="J1331" i="677"/>
  <c r="H1331" i="677"/>
  <c r="J1355" i="677"/>
  <c r="H1355" i="677"/>
  <c r="K1355" i="677" s="1"/>
  <c r="J1361" i="677"/>
  <c r="H1361" i="677"/>
  <c r="J1371" i="677"/>
  <c r="H1371" i="677"/>
  <c r="J1377" i="677"/>
  <c r="H1377" i="677"/>
  <c r="J1393" i="677"/>
  <c r="H1393" i="677"/>
  <c r="J1420" i="677"/>
  <c r="H1420" i="677"/>
  <c r="J1425" i="677"/>
  <c r="H1425" i="677"/>
  <c r="K1425" i="677" s="1"/>
  <c r="J1437" i="677"/>
  <c r="H1437" i="677"/>
  <c r="J1458" i="677"/>
  <c r="H1458" i="677"/>
  <c r="J1485" i="677"/>
  <c r="H1485" i="677"/>
  <c r="J1497" i="677"/>
  <c r="H1497" i="677"/>
  <c r="J1508" i="677"/>
  <c r="H1508" i="677"/>
  <c r="J1524" i="677"/>
  <c r="H1524" i="677"/>
  <c r="K1524" i="677" s="1"/>
  <c r="J1531" i="677"/>
  <c r="H1531" i="677"/>
  <c r="J1755" i="677"/>
  <c r="H1755" i="677"/>
  <c r="S1755" i="677"/>
  <c r="E1781" i="677"/>
  <c r="J2302" i="677"/>
  <c r="H2302" i="677"/>
  <c r="H908" i="677"/>
  <c r="K908" i="677" s="1"/>
  <c r="H972" i="677"/>
  <c r="K972" i="677" s="1"/>
  <c r="H992" i="677"/>
  <c r="K992" i="677" s="1"/>
  <c r="H1035" i="677"/>
  <c r="K1035" i="677" s="1"/>
  <c r="H1042" i="677"/>
  <c r="K1042" i="677" s="1"/>
  <c r="H1050" i="677"/>
  <c r="K1050" i="677" s="1"/>
  <c r="H1060" i="677"/>
  <c r="K1060" i="677" s="1"/>
  <c r="H1068" i="677"/>
  <c r="K1068" i="677" s="1"/>
  <c r="H1082" i="677"/>
  <c r="K1082" i="677" s="1"/>
  <c r="H1092" i="677"/>
  <c r="K1092" i="677" s="1"/>
  <c r="H1112" i="677"/>
  <c r="K1112" i="677" s="1"/>
  <c r="H1119" i="677"/>
  <c r="K1119" i="677" s="1"/>
  <c r="H1140" i="677"/>
  <c r="K1140" i="677" s="1"/>
  <c r="H1183" i="677"/>
  <c r="K1183" i="677" s="1"/>
  <c r="J1212" i="677"/>
  <c r="H1212" i="677"/>
  <c r="K1212" i="677" s="1"/>
  <c r="J1221" i="677"/>
  <c r="H1221" i="677"/>
  <c r="J1265" i="677"/>
  <c r="H1265" i="677"/>
  <c r="J1273" i="677"/>
  <c r="H1273" i="677"/>
  <c r="J1291" i="677"/>
  <c r="H1291" i="677"/>
  <c r="J1323" i="677"/>
  <c r="H1323" i="677"/>
  <c r="J1332" i="677"/>
  <c r="H1332" i="677"/>
  <c r="K1332" i="677" s="1"/>
  <c r="J1356" i="677"/>
  <c r="H1356" i="677"/>
  <c r="J1362" i="677"/>
  <c r="H1362" i="677"/>
  <c r="J1378" i="677"/>
  <c r="H1378" i="677"/>
  <c r="J1426" i="677"/>
  <c r="H1426" i="677"/>
  <c r="J1438" i="677"/>
  <c r="H1438" i="677"/>
  <c r="J1474" i="677"/>
  <c r="H1474" i="677"/>
  <c r="K1474" i="677" s="1"/>
  <c r="J1540" i="677"/>
  <c r="H1540" i="677"/>
  <c r="K1565" i="677"/>
  <c r="J1572" i="677"/>
  <c r="H1572" i="677"/>
  <c r="H1033" i="677"/>
  <c r="K1033" i="677" s="1"/>
  <c r="J1171" i="677"/>
  <c r="H1171" i="677"/>
  <c r="H1213" i="677"/>
  <c r="K1213" i="677" s="1"/>
  <c r="J1229" i="677"/>
  <c r="H1229" i="677"/>
  <c r="J1260" i="677"/>
  <c r="H1260" i="677"/>
  <c r="J1293" i="677"/>
  <c r="H1293" i="677"/>
  <c r="J1324" i="677"/>
  <c r="H1324" i="677"/>
  <c r="J1357" i="677"/>
  <c r="H1357" i="677"/>
  <c r="J1387" i="677"/>
  <c r="H1387" i="677"/>
  <c r="H1405" i="677"/>
  <c r="K1405" i="677" s="1"/>
  <c r="K1410" i="677"/>
  <c r="J1421" i="677"/>
  <c r="H1421" i="677"/>
  <c r="J1428" i="677"/>
  <c r="H1428" i="677"/>
  <c r="H1445" i="677"/>
  <c r="K1445" i="677" s="1"/>
  <c r="J1498" i="677"/>
  <c r="H1498" i="677"/>
  <c r="H1513" i="677"/>
  <c r="K1513" i="677" s="1"/>
  <c r="J1548" i="677"/>
  <c r="H1548" i="677"/>
  <c r="H1559" i="677"/>
  <c r="K1559" i="677" s="1"/>
  <c r="S1736" i="677"/>
  <c r="J1736" i="677"/>
  <c r="E1766" i="677"/>
  <c r="H1736" i="677"/>
  <c r="J1549" i="677"/>
  <c r="H1549" i="677"/>
  <c r="K1549" i="677" s="1"/>
  <c r="E1750" i="677"/>
  <c r="M1706" i="677"/>
  <c r="S1719" i="677"/>
  <c r="J1719" i="677"/>
  <c r="J2203" i="677"/>
  <c r="H2203" i="677"/>
  <c r="J1180" i="677"/>
  <c r="K1180" i="677" s="1"/>
  <c r="J1201" i="677"/>
  <c r="K1201" i="677" s="1"/>
  <c r="J1217" i="677"/>
  <c r="H1217" i="677"/>
  <c r="J1247" i="677"/>
  <c r="H1247" i="677"/>
  <c r="K1247" i="677" s="1"/>
  <c r="E1220" i="677"/>
  <c r="J1256" i="677"/>
  <c r="H1256" i="677"/>
  <c r="J1310" i="677"/>
  <c r="H1310" i="677"/>
  <c r="J1329" i="677"/>
  <c r="H1329" i="677"/>
  <c r="J1358" i="677"/>
  <c r="H1358" i="677"/>
  <c r="J1446" i="677"/>
  <c r="H1446" i="677"/>
  <c r="K1475" i="677"/>
  <c r="H1479" i="677"/>
  <c r="K1479" i="677" s="1"/>
  <c r="J1514" i="677"/>
  <c r="H1514" i="677"/>
  <c r="K1541" i="677"/>
  <c r="J1550" i="677"/>
  <c r="H1550" i="677"/>
  <c r="J1560" i="677"/>
  <c r="H1560" i="677"/>
  <c r="K1560" i="677" s="1"/>
  <c r="K1573" i="677"/>
  <c r="H1719" i="677"/>
  <c r="J2250" i="677"/>
  <c r="H2250" i="677"/>
  <c r="K2250" i="677" s="1"/>
  <c r="J2224" i="677"/>
  <c r="H2224" i="677"/>
  <c r="J2323" i="677"/>
  <c r="H2323" i="677"/>
  <c r="J2328" i="677"/>
  <c r="H2328" i="677"/>
  <c r="J2340" i="677"/>
  <c r="H2340" i="677"/>
  <c r="J2400" i="677"/>
  <c r="H2400" i="677"/>
  <c r="S1737" i="677"/>
  <c r="H1737" i="677"/>
  <c r="E1767" i="677"/>
  <c r="J1944" i="677"/>
  <c r="H1944" i="677"/>
  <c r="K1967" i="677"/>
  <c r="E1996" i="677"/>
  <c r="J2060" i="677"/>
  <c r="H2060" i="677"/>
  <c r="J2067" i="677"/>
  <c r="H2067" i="677"/>
  <c r="K2090" i="677"/>
  <c r="J2256" i="677"/>
  <c r="H2256" i="677"/>
  <c r="J2291" i="677"/>
  <c r="H2291" i="677"/>
  <c r="J2324" i="677"/>
  <c r="H2324" i="677"/>
  <c r="J2401" i="677"/>
  <c r="H2401" i="677"/>
  <c r="J3022" i="677"/>
  <c r="H3022" i="677"/>
  <c r="K3022" i="677" s="1"/>
  <c r="H1499" i="677"/>
  <c r="K1499" i="677" s="1"/>
  <c r="H1511" i="677"/>
  <c r="K1511" i="677" s="1"/>
  <c r="H1557" i="677"/>
  <c r="K1557" i="677" s="1"/>
  <c r="H1589" i="677"/>
  <c r="K1589" i="677" s="1"/>
  <c r="H1708" i="677"/>
  <c r="E1779" i="677"/>
  <c r="S1753" i="677"/>
  <c r="J2370" i="677"/>
  <c r="H2370" i="677"/>
  <c r="J2847" i="677"/>
  <c r="H2847" i="677"/>
  <c r="K1337" i="677"/>
  <c r="J1708" i="677"/>
  <c r="H1722" i="677"/>
  <c r="K1722" i="677" s="1"/>
  <c r="H1753" i="677"/>
  <c r="K1824" i="677"/>
  <c r="K1850" i="677"/>
  <c r="J1964" i="677"/>
  <c r="H1964" i="677"/>
  <c r="J1987" i="677"/>
  <c r="H1987" i="677"/>
  <c r="K2025" i="677"/>
  <c r="J2092" i="677"/>
  <c r="H2092" i="677"/>
  <c r="J2214" i="677"/>
  <c r="H2214" i="677"/>
  <c r="J2244" i="677"/>
  <c r="H2244" i="677"/>
  <c r="J2274" i="677"/>
  <c r="H2274" i="677"/>
  <c r="K2274" i="677" s="1"/>
  <c r="J1753" i="677"/>
  <c r="K1948" i="677"/>
  <c r="K1997" i="677"/>
  <c r="K2000" i="677"/>
  <c r="J2076" i="677"/>
  <c r="H2076" i="677"/>
  <c r="K2076" i="677" s="1"/>
  <c r="E2094" i="677"/>
  <c r="J2093" i="677"/>
  <c r="K2093" i="677" s="1"/>
  <c r="J2178" i="677"/>
  <c r="H2178" i="677"/>
  <c r="J2232" i="677"/>
  <c r="H2232" i="677"/>
  <c r="K2232" i="677" s="1"/>
  <c r="J2245" i="677"/>
  <c r="H2245" i="677"/>
  <c r="J2275" i="677"/>
  <c r="H2275" i="677"/>
  <c r="K2275" i="677" s="1"/>
  <c r="S1708" i="677"/>
  <c r="J1737" i="677"/>
  <c r="K1847" i="677"/>
  <c r="K1965" i="677"/>
  <c r="K1968" i="677"/>
  <c r="K2004" i="677"/>
  <c r="K2103" i="677"/>
  <c r="E2115" i="677"/>
  <c r="H2114" i="677"/>
  <c r="K2114" i="677" s="1"/>
  <c r="J2161" i="677"/>
  <c r="H2161" i="677"/>
  <c r="J2179" i="677"/>
  <c r="H2179" i="677"/>
  <c r="J2220" i="677"/>
  <c r="H2220" i="677"/>
  <c r="J2271" i="677"/>
  <c r="H2271" i="677"/>
  <c r="K2318" i="677"/>
  <c r="J2343" i="677"/>
  <c r="H2343" i="677"/>
  <c r="H2378" i="677"/>
  <c r="K2378" i="677" s="1"/>
  <c r="J2705" i="677"/>
  <c r="H2705" i="677"/>
  <c r="H1379" i="677"/>
  <c r="K1379" i="677" s="1"/>
  <c r="H1409" i="677"/>
  <c r="K1409" i="677" s="1"/>
  <c r="H1429" i="677"/>
  <c r="K1429" i="677" s="1"/>
  <c r="H1464" i="677"/>
  <c r="K1464" i="677" s="1"/>
  <c r="E1768" i="677"/>
  <c r="S1738" i="677"/>
  <c r="J1754" i="677"/>
  <c r="H1754" i="677"/>
  <c r="E1780" i="677"/>
  <c r="J2065" i="677"/>
  <c r="H2065" i="677"/>
  <c r="J2144" i="677"/>
  <c r="H2144" i="677"/>
  <c r="J2241" i="677"/>
  <c r="H2241" i="677"/>
  <c r="H1363" i="677"/>
  <c r="K1363" i="677" s="1"/>
  <c r="H1394" i="677"/>
  <c r="K1394" i="677" s="1"/>
  <c r="H1404" i="677"/>
  <c r="K1404" i="677" s="1"/>
  <c r="H1414" i="677"/>
  <c r="K1414" i="677" s="1"/>
  <c r="H1443" i="677"/>
  <c r="K1443" i="677" s="1"/>
  <c r="H1459" i="677"/>
  <c r="K1459" i="677" s="1"/>
  <c r="H1478" i="677"/>
  <c r="K1478" i="677" s="1"/>
  <c r="H1500" i="677"/>
  <c r="K1500" i="677" s="1"/>
  <c r="H1512" i="677"/>
  <c r="K1512" i="677" s="1"/>
  <c r="H1544" i="677"/>
  <c r="K1544" i="677" s="1"/>
  <c r="H1558" i="677"/>
  <c r="K1558" i="677" s="1"/>
  <c r="H1709" i="677"/>
  <c r="H1738" i="677"/>
  <c r="S1754" i="677"/>
  <c r="J1949" i="677"/>
  <c r="H1949" i="677"/>
  <c r="E2145" i="677"/>
  <c r="J2175" i="677"/>
  <c r="H2175" i="677"/>
  <c r="J2208" i="677"/>
  <c r="H2208" i="677"/>
  <c r="H1164" i="677"/>
  <c r="K1164" i="677" s="1"/>
  <c r="J1709" i="677"/>
  <c r="S1720" i="677"/>
  <c r="H1728" i="677"/>
  <c r="K1728" i="677" s="1"/>
  <c r="J1738" i="677"/>
  <c r="K1960" i="677"/>
  <c r="K2008" i="677"/>
  <c r="H2035" i="677"/>
  <c r="K2035" i="677" s="1"/>
  <c r="K2058" i="677"/>
  <c r="K2073" i="677"/>
  <c r="H2169" i="677"/>
  <c r="K2169" i="677" s="1"/>
  <c r="J2209" i="677"/>
  <c r="H2209" i="677"/>
  <c r="J2261" i="677"/>
  <c r="H2261" i="677"/>
  <c r="J2441" i="677"/>
  <c r="H2441" i="677"/>
  <c r="J2462" i="677"/>
  <c r="H2462" i="677"/>
  <c r="S1752" i="677"/>
  <c r="H1752" i="677"/>
  <c r="K1752" i="677" s="1"/>
  <c r="K1747" i="677"/>
  <c r="K1836" i="677"/>
  <c r="J1998" i="677"/>
  <c r="K1998" i="677" s="1"/>
  <c r="K2027" i="677"/>
  <c r="J2199" i="677"/>
  <c r="H2199" i="677"/>
  <c r="J2333" i="677"/>
  <c r="H2333" i="677"/>
  <c r="J2359" i="677"/>
  <c r="H2359" i="677"/>
  <c r="S1709" i="677"/>
  <c r="K1735" i="677"/>
  <c r="K1810" i="677"/>
  <c r="K1966" i="677"/>
  <c r="J2074" i="677"/>
  <c r="H2074" i="677"/>
  <c r="E2100" i="677"/>
  <c r="H2099" i="677"/>
  <c r="K2099" i="677" s="1"/>
  <c r="K2255" i="677"/>
  <c r="K2297" i="677"/>
  <c r="J2360" i="677"/>
  <c r="H2360" i="677"/>
  <c r="J1950" i="677"/>
  <c r="K1950" i="677" s="1"/>
  <c r="J1955" i="677"/>
  <c r="K1955" i="677" s="1"/>
  <c r="J2032" i="677"/>
  <c r="K2032" i="677" s="1"/>
  <c r="J2042" i="677"/>
  <c r="K2042" i="677" s="1"/>
  <c r="J2057" i="677"/>
  <c r="K2057" i="677" s="1"/>
  <c r="J2071" i="677"/>
  <c r="K2071" i="677" s="1"/>
  <c r="K2159" i="677"/>
  <c r="J2174" i="677"/>
  <c r="H2174" i="677"/>
  <c r="J2240" i="677"/>
  <c r="H2240" i="677"/>
  <c r="J2280" i="677"/>
  <c r="H2280" i="677"/>
  <c r="K2285" i="677"/>
  <c r="J2313" i="677"/>
  <c r="H2313" i="677"/>
  <c r="J2317" i="677"/>
  <c r="H2317" i="677"/>
  <c r="K2338" i="677"/>
  <c r="J2349" i="677"/>
  <c r="H2349" i="677"/>
  <c r="J2353" i="677"/>
  <c r="H2353" i="677"/>
  <c r="K2390" i="677"/>
  <c r="J2423" i="677"/>
  <c r="H2423" i="677"/>
  <c r="H2455" i="677"/>
  <c r="J2455" i="677"/>
  <c r="J2485" i="677"/>
  <c r="H2485" i="677"/>
  <c r="J2200" i="677"/>
  <c r="H2200" i="677"/>
  <c r="J2204" i="677"/>
  <c r="H2204" i="677"/>
  <c r="J2225" i="677"/>
  <c r="H2225" i="677"/>
  <c r="J2262" i="677"/>
  <c r="H2262" i="677"/>
  <c r="J2282" i="677"/>
  <c r="H2282" i="677"/>
  <c r="J2286" i="677"/>
  <c r="H2286" i="677"/>
  <c r="J2334" i="677"/>
  <c r="H2334" i="677"/>
  <c r="J2379" i="677"/>
  <c r="H2379" i="677"/>
  <c r="J2413" i="677"/>
  <c r="H2413" i="677"/>
  <c r="J2418" i="677"/>
  <c r="H2418" i="677"/>
  <c r="J2425" i="677"/>
  <c r="H2425" i="677"/>
  <c r="J2429" i="677"/>
  <c r="H2429" i="677"/>
  <c r="J2487" i="677"/>
  <c r="H2487" i="677"/>
  <c r="J2538" i="677"/>
  <c r="H2538" i="677"/>
  <c r="J2160" i="677"/>
  <c r="K2160" i="677" s="1"/>
  <c r="J2184" i="677"/>
  <c r="H2184" i="677"/>
  <c r="K2184" i="677" s="1"/>
  <c r="K2205" i="677"/>
  <c r="J2216" i="677"/>
  <c r="H2216" i="677"/>
  <c r="H2236" i="677"/>
  <c r="K2236" i="677" s="1"/>
  <c r="J2252" i="677"/>
  <c r="H2252" i="677"/>
  <c r="J2293" i="677"/>
  <c r="H2293" i="677"/>
  <c r="K2298" i="677"/>
  <c r="K2314" i="677"/>
  <c r="H2319" i="677"/>
  <c r="K2319" i="677" s="1"/>
  <c r="J2325" i="677"/>
  <c r="H2325" i="677"/>
  <c r="J2329" i="677"/>
  <c r="H2329" i="677"/>
  <c r="H2335" i="677"/>
  <c r="K2335" i="677" s="1"/>
  <c r="K2350" i="677"/>
  <c r="H2355" i="677"/>
  <c r="K2355" i="677" s="1"/>
  <c r="J2361" i="677"/>
  <c r="H2361" i="677"/>
  <c r="J2374" i="677"/>
  <c r="H2374" i="677"/>
  <c r="K2414" i="677"/>
  <c r="K2436" i="677"/>
  <c r="J2457" i="677"/>
  <c r="H2457" i="677"/>
  <c r="J2226" i="677"/>
  <c r="H2226" i="677"/>
  <c r="J2263" i="677"/>
  <c r="H2263" i="677"/>
  <c r="K2263" i="677" s="1"/>
  <c r="J2283" i="677"/>
  <c r="H2283" i="677"/>
  <c r="J2287" i="677"/>
  <c r="H2287" i="677"/>
  <c r="K2287" i="677" s="1"/>
  <c r="J2309" i="677"/>
  <c r="H2309" i="677"/>
  <c r="J2345" i="677"/>
  <c r="H2345" i="677"/>
  <c r="J2380" i="677"/>
  <c r="H2380" i="677"/>
  <c r="J2392" i="677"/>
  <c r="H2392" i="677"/>
  <c r="K2392" i="677" s="1"/>
  <c r="J2581" i="677"/>
  <c r="H2581" i="677"/>
  <c r="H2028" i="677"/>
  <c r="K2028" i="677" s="1"/>
  <c r="H2031" i="677"/>
  <c r="K2031" i="677" s="1"/>
  <c r="H2070" i="677"/>
  <c r="K2070" i="677" s="1"/>
  <c r="H2091" i="677"/>
  <c r="H2143" i="677"/>
  <c r="J2166" i="677"/>
  <c r="H2166" i="677"/>
  <c r="J2171" i="677"/>
  <c r="H2171" i="677"/>
  <c r="K2176" i="677"/>
  <c r="H2181" i="677"/>
  <c r="K2181" i="677" s="1"/>
  <c r="H2211" i="677"/>
  <c r="K2211" i="677" s="1"/>
  <c r="J2217" i="677"/>
  <c r="H2217" i="677"/>
  <c r="K2217" i="677" s="1"/>
  <c r="J2221" i="677"/>
  <c r="H2221" i="677"/>
  <c r="H2227" i="677"/>
  <c r="K2227" i="677" s="1"/>
  <c r="K2242" i="677"/>
  <c r="H2247" i="677"/>
  <c r="K2247" i="677" s="1"/>
  <c r="J2253" i="677"/>
  <c r="H2253" i="677"/>
  <c r="J2257" i="677"/>
  <c r="H2257" i="677"/>
  <c r="H2264" i="677"/>
  <c r="K2264" i="677" s="1"/>
  <c r="K2288" i="677"/>
  <c r="J2304" i="677"/>
  <c r="H2304" i="677"/>
  <c r="H2320" i="677"/>
  <c r="K2320" i="677" s="1"/>
  <c r="J2336" i="677"/>
  <c r="H2336" i="677"/>
  <c r="H2356" i="677"/>
  <c r="K2356" i="677" s="1"/>
  <c r="J2375" i="677"/>
  <c r="H2375" i="677"/>
  <c r="J2381" i="677"/>
  <c r="H2381" i="677"/>
  <c r="J2451" i="677"/>
  <c r="H2451" i="677"/>
  <c r="H2489" i="677"/>
  <c r="J2489" i="677"/>
  <c r="H2513" i="677"/>
  <c r="J2513" i="677"/>
  <c r="J2610" i="677"/>
  <c r="H2610" i="677"/>
  <c r="J2091" i="677"/>
  <c r="J2143" i="677"/>
  <c r="J2186" i="677"/>
  <c r="H2186" i="677"/>
  <c r="J2190" i="677"/>
  <c r="H2190" i="677"/>
  <c r="J2237" i="677"/>
  <c r="H2237" i="677"/>
  <c r="J2295" i="677"/>
  <c r="H2295" i="677"/>
  <c r="J2299" i="677"/>
  <c r="H2299" i="677"/>
  <c r="J2310" i="677"/>
  <c r="H2310" i="677"/>
  <c r="J2346" i="677"/>
  <c r="H2346" i="677"/>
  <c r="J2393" i="677"/>
  <c r="H2393" i="677"/>
  <c r="J2404" i="677"/>
  <c r="H2404" i="677"/>
  <c r="J2432" i="677"/>
  <c r="H2432" i="677"/>
  <c r="H2496" i="677"/>
  <c r="J2496" i="677"/>
  <c r="J3052" i="677"/>
  <c r="H3052" i="677"/>
  <c r="H1945" i="677"/>
  <c r="K1945" i="677" s="1"/>
  <c r="H2098" i="677"/>
  <c r="H2113" i="677"/>
  <c r="H2137" i="677"/>
  <c r="J2162" i="677"/>
  <c r="K2162" i="677" s="1"/>
  <c r="H2182" i="677"/>
  <c r="K2182" i="677" s="1"/>
  <c r="H2212" i="677"/>
  <c r="K2212" i="677" s="1"/>
  <c r="J2228" i="677"/>
  <c r="H2228" i="677"/>
  <c r="H2248" i="677"/>
  <c r="K2248" i="677" s="1"/>
  <c r="J2265" i="677"/>
  <c r="H2265" i="677"/>
  <c r="K2273" i="677"/>
  <c r="J2305" i="677"/>
  <c r="H2305" i="677"/>
  <c r="H2311" i="677"/>
  <c r="K2311" i="677" s="1"/>
  <c r="H2331" i="677"/>
  <c r="K2331" i="677" s="1"/>
  <c r="J2337" i="677"/>
  <c r="H2337" i="677"/>
  <c r="K2337" i="677" s="1"/>
  <c r="J2341" i="677"/>
  <c r="H2341" i="677"/>
  <c r="H2347" i="677"/>
  <c r="K2347" i="677" s="1"/>
  <c r="K2362" i="677"/>
  <c r="J2394" i="677"/>
  <c r="H2394" i="677"/>
  <c r="K2533" i="677"/>
  <c r="H1988" i="677"/>
  <c r="K1988" i="677" s="1"/>
  <c r="J2098" i="677"/>
  <c r="J2113" i="677"/>
  <c r="J2187" i="677"/>
  <c r="H2187" i="677"/>
  <c r="J2191" i="677"/>
  <c r="H2191" i="677"/>
  <c r="J2238" i="677"/>
  <c r="H2238" i="677"/>
  <c r="J2296" i="677"/>
  <c r="H2296" i="677"/>
  <c r="J2300" i="677"/>
  <c r="H2300" i="677"/>
  <c r="J2321" i="677"/>
  <c r="H2321" i="677"/>
  <c r="J2357" i="677"/>
  <c r="H2357" i="677"/>
  <c r="J2383" i="677"/>
  <c r="H2383" i="677"/>
  <c r="J2387" i="677"/>
  <c r="H2387" i="677"/>
  <c r="J2405" i="677"/>
  <c r="H2405" i="677"/>
  <c r="J2421" i="677"/>
  <c r="H2421" i="677"/>
  <c r="J2446" i="677"/>
  <c r="H2446" i="677"/>
  <c r="J2883" i="677"/>
  <c r="H2883" i="677"/>
  <c r="H1986" i="677"/>
  <c r="K1986" i="677" s="1"/>
  <c r="H1992" i="677"/>
  <c r="K1992" i="677" s="1"/>
  <c r="H1995" i="677"/>
  <c r="K1995" i="677" s="1"/>
  <c r="H2014" i="677"/>
  <c r="K2014" i="677" s="1"/>
  <c r="H2059" i="677"/>
  <c r="K2059" i="677" s="1"/>
  <c r="H2064" i="677"/>
  <c r="K2064" i="677" s="1"/>
  <c r="H2120" i="677"/>
  <c r="K2120" i="677" s="1"/>
  <c r="J2197" i="677"/>
  <c r="H2197" i="677"/>
  <c r="J2229" i="677"/>
  <c r="H2229" i="677"/>
  <c r="J2233" i="677"/>
  <c r="H2233" i="677"/>
  <c r="J2266" i="677"/>
  <c r="H2266" i="677"/>
  <c r="J2279" i="677"/>
  <c r="H2279" i="677"/>
  <c r="J2312" i="677"/>
  <c r="H2312" i="677"/>
  <c r="J2316" i="677"/>
  <c r="H2316" i="677"/>
  <c r="J2348" i="677"/>
  <c r="H2348" i="677"/>
  <c r="J2352" i="677"/>
  <c r="H2352" i="677"/>
  <c r="J2371" i="677"/>
  <c r="H2371" i="677"/>
  <c r="J2406" i="677"/>
  <c r="H2406" i="677"/>
  <c r="K2434" i="677"/>
  <c r="J2492" i="677"/>
  <c r="H2492" i="677"/>
  <c r="J2655" i="677"/>
  <c r="H2655" i="677"/>
  <c r="K2148" i="677"/>
  <c r="H2198" i="677"/>
  <c r="K2198" i="677" s="1"/>
  <c r="J2213" i="677"/>
  <c r="H2213" i="677"/>
  <c r="K2234" i="677"/>
  <c r="J2249" i="677"/>
  <c r="H2249" i="677"/>
  <c r="J2270" i="677"/>
  <c r="H2270" i="677"/>
  <c r="H2290" i="677"/>
  <c r="K2290" i="677" s="1"/>
  <c r="J2307" i="677"/>
  <c r="H2307" i="677"/>
  <c r="J2322" i="677"/>
  <c r="H2322" i="677"/>
  <c r="K2327" i="677"/>
  <c r="J2358" i="677"/>
  <c r="H2358" i="677"/>
  <c r="J2389" i="677"/>
  <c r="H2389" i="677"/>
  <c r="J2396" i="677"/>
  <c r="H2396" i="677"/>
  <c r="H2407" i="677"/>
  <c r="K2407" i="677" s="1"/>
  <c r="J2422" i="677"/>
  <c r="H2422" i="677"/>
  <c r="K2422" i="677" s="1"/>
  <c r="K2528" i="677"/>
  <c r="H2542" i="677"/>
  <c r="K2542" i="677" s="1"/>
  <c r="J2542" i="677"/>
  <c r="J2736" i="677"/>
  <c r="H2736" i="677"/>
  <c r="H2431" i="677"/>
  <c r="J2431" i="677"/>
  <c r="J2449" i="677"/>
  <c r="H2449" i="677"/>
  <c r="J2469" i="677"/>
  <c r="H2469" i="677"/>
  <c r="J2474" i="677"/>
  <c r="H2474" i="677"/>
  <c r="J2483" i="677"/>
  <c r="H2483" i="677"/>
  <c r="J2488" i="677"/>
  <c r="H2488" i="677"/>
  <c r="J2502" i="677"/>
  <c r="H2502" i="677"/>
  <c r="J2520" i="677"/>
  <c r="H2520" i="677"/>
  <c r="H2535" i="677"/>
  <c r="K2535" i="677" s="1"/>
  <c r="J2578" i="677"/>
  <c r="H2578" i="677"/>
  <c r="K2578" i="677" s="1"/>
  <c r="J2598" i="677"/>
  <c r="H2598" i="677"/>
  <c r="K2598" i="677" s="1"/>
  <c r="J2640" i="677"/>
  <c r="H2640" i="677"/>
  <c r="J2720" i="677"/>
  <c r="H2720" i="677"/>
  <c r="H2753" i="677"/>
  <c r="J2753" i="677"/>
  <c r="J2827" i="677"/>
  <c r="H2827" i="677"/>
  <c r="K2827" i="677" s="1"/>
  <c r="J2952" i="677"/>
  <c r="H2952" i="677"/>
  <c r="K2952" i="677" s="1"/>
  <c r="J2959" i="677"/>
  <c r="H2959" i="677"/>
  <c r="K2959" i="677" s="1"/>
  <c r="H2367" i="677"/>
  <c r="K2367" i="677" s="1"/>
  <c r="H2384" i="677"/>
  <c r="K2384" i="677" s="1"/>
  <c r="H2397" i="677"/>
  <c r="K2397" i="677" s="1"/>
  <c r="H2409" i="677"/>
  <c r="K2409" i="677" s="1"/>
  <c r="H2426" i="677"/>
  <c r="K2426" i="677" s="1"/>
  <c r="J2454" i="677"/>
  <c r="H2454" i="677"/>
  <c r="J2459" i="677"/>
  <c r="H2459" i="677"/>
  <c r="J2479" i="677"/>
  <c r="H2479" i="677"/>
  <c r="J2507" i="677"/>
  <c r="H2507" i="677"/>
  <c r="H2525" i="677"/>
  <c r="J2525" i="677"/>
  <c r="H2550" i="677"/>
  <c r="K2550" i="677" s="1"/>
  <c r="J2555" i="677"/>
  <c r="H2555" i="677"/>
  <c r="H2641" i="677"/>
  <c r="J2641" i="677"/>
  <c r="J2664" i="677"/>
  <c r="H2664" i="677"/>
  <c r="K2664" i="677" s="1"/>
  <c r="J2694" i="677"/>
  <c r="K2694" i="677" s="1"/>
  <c r="H2874" i="677"/>
  <c r="K2874" i="677" s="1"/>
  <c r="H2898" i="677"/>
  <c r="K2898" i="677" s="1"/>
  <c r="H2903" i="677"/>
  <c r="K2903" i="677" s="1"/>
  <c r="H2939" i="677"/>
  <c r="J2939" i="677"/>
  <c r="J3312" i="677"/>
  <c r="H3312" i="677"/>
  <c r="H3906" i="677"/>
  <c r="J3906" i="677"/>
  <c r="J2440" i="677"/>
  <c r="H2440" i="677"/>
  <c r="J2445" i="677"/>
  <c r="H2445" i="677"/>
  <c r="K2445" i="677" s="1"/>
  <c r="J2450" i="677"/>
  <c r="H2450" i="677"/>
  <c r="H2484" i="677"/>
  <c r="J2484" i="677"/>
  <c r="J2503" i="677"/>
  <c r="H2503" i="677"/>
  <c r="J2560" i="677"/>
  <c r="H2560" i="677"/>
  <c r="J2565" i="677"/>
  <c r="H2565" i="677"/>
  <c r="J2579" i="677"/>
  <c r="H2579" i="677"/>
  <c r="K2579" i="677" s="1"/>
  <c r="J2619" i="677"/>
  <c r="H2619" i="677"/>
  <c r="K2665" i="677"/>
  <c r="H2715" i="677"/>
  <c r="K2715" i="677" s="1"/>
  <c r="J2754" i="677"/>
  <c r="H2754" i="677"/>
  <c r="J2791" i="677"/>
  <c r="H2791" i="677"/>
  <c r="H2857" i="677"/>
  <c r="J2857" i="677"/>
  <c r="H2863" i="677"/>
  <c r="K2863" i="677" s="1"/>
  <c r="J2892" i="677"/>
  <c r="H2892" i="677"/>
  <c r="J2934" i="677"/>
  <c r="H2934" i="677"/>
  <c r="J2946" i="677"/>
  <c r="H2946" i="677"/>
  <c r="J3220" i="677"/>
  <c r="H3220" i="677"/>
  <c r="H3255" i="677"/>
  <c r="J3255" i="677"/>
  <c r="H2508" i="677"/>
  <c r="J2508" i="677"/>
  <c r="J2531" i="677"/>
  <c r="H2531" i="677"/>
  <c r="J2551" i="677"/>
  <c r="H2551" i="677"/>
  <c r="J2556" i="677"/>
  <c r="H2556" i="677"/>
  <c r="K2614" i="677"/>
  <c r="J2630" i="677"/>
  <c r="H2630" i="677"/>
  <c r="J2695" i="677"/>
  <c r="H2695" i="677"/>
  <c r="J2755" i="677"/>
  <c r="H2755" i="677"/>
  <c r="K2755" i="677" s="1"/>
  <c r="J2786" i="677"/>
  <c r="H2786" i="677"/>
  <c r="H2816" i="677"/>
  <c r="J2816" i="677"/>
  <c r="J3130" i="677"/>
  <c r="H3130" i="677"/>
  <c r="J3250" i="677"/>
  <c r="H3250" i="677"/>
  <c r="H2433" i="677"/>
  <c r="K2433" i="677" s="1"/>
  <c r="J2490" i="677"/>
  <c r="H2490" i="677"/>
  <c r="H2499" i="677"/>
  <c r="K2499" i="677" s="1"/>
  <c r="H2504" i="677"/>
  <c r="K2504" i="677" s="1"/>
  <c r="J2512" i="677"/>
  <c r="H2512" i="677"/>
  <c r="J2536" i="677"/>
  <c r="H2536" i="677"/>
  <c r="J2541" i="677"/>
  <c r="H2541" i="677"/>
  <c r="H2561" i="677"/>
  <c r="J2561" i="677"/>
  <c r="H2575" i="677"/>
  <c r="K2575" i="677" s="1"/>
  <c r="H2580" i="677"/>
  <c r="K2580" i="677" s="1"/>
  <c r="J2590" i="677"/>
  <c r="K2590" i="677" s="1"/>
  <c r="H2595" i="677"/>
  <c r="K2595" i="677" s="1"/>
  <c r="J2625" i="677"/>
  <c r="K2625" i="677" s="1"/>
  <c r="H2660" i="677"/>
  <c r="K2660" i="677" s="1"/>
  <c r="H2709" i="677"/>
  <c r="K2709" i="677" s="1"/>
  <c r="J2709" i="677"/>
  <c r="J2741" i="677"/>
  <c r="H2741" i="677"/>
  <c r="J2749" i="677"/>
  <c r="H2749" i="677"/>
  <c r="J2461" i="677"/>
  <c r="H2461" i="677"/>
  <c r="J2495" i="677"/>
  <c r="H2495" i="677"/>
  <c r="J2527" i="677"/>
  <c r="H2527" i="677"/>
  <c r="J2532" i="677"/>
  <c r="H2532" i="677"/>
  <c r="K2557" i="677"/>
  <c r="J2684" i="677"/>
  <c r="K2684" i="677" s="1"/>
  <c r="J2710" i="677"/>
  <c r="K2710" i="677" s="1"/>
  <c r="H2852" i="677"/>
  <c r="J2852" i="677"/>
  <c r="H2888" i="677"/>
  <c r="J2888" i="677"/>
  <c r="K3104" i="677"/>
  <c r="J2437" i="677"/>
  <c r="H2437" i="677"/>
  <c r="J2466" i="677"/>
  <c r="H2466" i="677"/>
  <c r="J2471" i="677"/>
  <c r="H2471" i="677"/>
  <c r="J2486" i="677"/>
  <c r="H2486" i="677"/>
  <c r="J2491" i="677"/>
  <c r="H2491" i="677"/>
  <c r="J2517" i="677"/>
  <c r="H2517" i="677"/>
  <c r="H2537" i="677"/>
  <c r="J2537" i="677"/>
  <c r="J2567" i="677"/>
  <c r="H2567" i="677"/>
  <c r="K2626" i="677"/>
  <c r="J2649" i="677"/>
  <c r="H2649" i="677"/>
  <c r="H2704" i="677"/>
  <c r="J2704" i="677"/>
  <c r="J2735" i="677"/>
  <c r="H2735" i="677"/>
  <c r="J2775" i="677"/>
  <c r="H2775" i="677"/>
  <c r="H2811" i="677"/>
  <c r="J2811" i="677"/>
  <c r="J2913" i="677"/>
  <c r="H2913" i="677"/>
  <c r="K2913" i="677" s="1"/>
  <c r="H3056" i="677"/>
  <c r="J3056" i="677"/>
  <c r="J3074" i="677"/>
  <c r="H3074" i="677"/>
  <c r="H2430" i="677"/>
  <c r="K2430" i="677" s="1"/>
  <c r="J2442" i="677"/>
  <c r="H2442" i="677"/>
  <c r="J2447" i="677"/>
  <c r="H2447" i="677"/>
  <c r="H2467" i="677"/>
  <c r="J2467" i="677"/>
  <c r="J2500" i="677"/>
  <c r="H2500" i="677"/>
  <c r="J2514" i="677"/>
  <c r="H2514" i="677"/>
  <c r="J2543" i="677"/>
  <c r="H2543" i="677"/>
  <c r="J2563" i="677"/>
  <c r="H2563" i="677"/>
  <c r="J2568" i="677"/>
  <c r="H2568" i="677"/>
  <c r="J2576" i="677"/>
  <c r="H2576" i="677"/>
  <c r="J2586" i="677"/>
  <c r="H2586" i="677"/>
  <c r="J2621" i="677"/>
  <c r="H2621" i="677"/>
  <c r="H2644" i="677"/>
  <c r="J2644" i="677"/>
  <c r="K2679" i="677"/>
  <c r="K2776" i="677"/>
  <c r="J2806" i="677"/>
  <c r="H2806" i="677"/>
  <c r="J2842" i="677"/>
  <c r="H2842" i="677"/>
  <c r="J2848" i="677"/>
  <c r="H2848" i="677"/>
  <c r="J2884" i="677"/>
  <c r="H2884" i="677"/>
  <c r="H3015" i="677"/>
  <c r="J3015" i="677"/>
  <c r="H3026" i="677"/>
  <c r="K3026" i="677" s="1"/>
  <c r="H3032" i="677"/>
  <c r="J3032" i="677"/>
  <c r="J2438" i="677"/>
  <c r="H2438" i="677"/>
  <c r="H2453" i="677"/>
  <c r="K2453" i="677" s="1"/>
  <c r="H2497" i="677"/>
  <c r="K2497" i="677" s="1"/>
  <c r="H2506" i="677"/>
  <c r="K2506" i="677" s="1"/>
  <c r="J2548" i="677"/>
  <c r="H2548" i="677"/>
  <c r="J2553" i="677"/>
  <c r="H2553" i="677"/>
  <c r="H2573" i="677"/>
  <c r="K2573" i="677" s="1"/>
  <c r="H2587" i="677"/>
  <c r="K2587" i="677" s="1"/>
  <c r="J2592" i="677"/>
  <c r="H2592" i="677"/>
  <c r="J2616" i="677"/>
  <c r="H2616" i="677"/>
  <c r="H2622" i="677"/>
  <c r="K2622" i="677" s="1"/>
  <c r="J2680" i="677"/>
  <c r="K2680" i="677" s="1"/>
  <c r="J2737" i="677"/>
  <c r="H2737" i="677"/>
  <c r="J2764" i="677"/>
  <c r="K2764" i="677" s="1"/>
  <c r="H2770" i="677"/>
  <c r="K2770" i="677" s="1"/>
  <c r="J2801" i="677"/>
  <c r="H2801" i="677"/>
  <c r="J2807" i="677"/>
  <c r="H2807" i="677"/>
  <c r="J2843" i="677"/>
  <c r="H2843" i="677"/>
  <c r="J2878" i="677"/>
  <c r="H2878" i="677"/>
  <c r="J2908" i="677"/>
  <c r="H2908" i="677"/>
  <c r="H2975" i="677"/>
  <c r="J2975" i="677"/>
  <c r="J3010" i="677"/>
  <c r="H3010" i="677"/>
  <c r="H2443" i="677"/>
  <c r="J2443" i="677"/>
  <c r="J2473" i="677"/>
  <c r="H2473" i="677"/>
  <c r="J2519" i="677"/>
  <c r="H2519" i="677"/>
  <c r="J2539" i="677"/>
  <c r="H2539" i="677"/>
  <c r="J2544" i="677"/>
  <c r="H2544" i="677"/>
  <c r="J2554" i="677"/>
  <c r="K2554" i="677" s="1"/>
  <c r="H2559" i="677"/>
  <c r="K2559" i="677" s="1"/>
  <c r="K2569" i="677"/>
  <c r="H2602" i="677"/>
  <c r="K2602" i="677" s="1"/>
  <c r="J2645" i="677"/>
  <c r="H2645" i="677"/>
  <c r="H2674" i="677"/>
  <c r="J2674" i="677"/>
  <c r="J2725" i="677"/>
  <c r="H2725" i="677"/>
  <c r="J2802" i="677"/>
  <c r="H2802" i="677"/>
  <c r="J2832" i="677"/>
  <c r="H2832" i="677"/>
  <c r="J2879" i="677"/>
  <c r="H2879" i="677"/>
  <c r="J2971" i="677"/>
  <c r="H2971" i="677"/>
  <c r="J2998" i="677"/>
  <c r="H2998" i="677"/>
  <c r="J2478" i="677"/>
  <c r="H2478" i="677"/>
  <c r="J2524" i="677"/>
  <c r="H2524" i="677"/>
  <c r="J2529" i="677"/>
  <c r="H2529" i="677"/>
  <c r="H2549" i="677"/>
  <c r="J2549" i="677"/>
  <c r="H2607" i="677"/>
  <c r="K2607" i="677" s="1"/>
  <c r="K2618" i="677"/>
  <c r="J2669" i="677"/>
  <c r="H2669" i="677"/>
  <c r="J2675" i="677"/>
  <c r="H2675" i="677"/>
  <c r="J2759" i="677"/>
  <c r="K2759" i="677" s="1"/>
  <c r="J2765" i="677"/>
  <c r="K2765" i="677" s="1"/>
  <c r="J2868" i="677"/>
  <c r="H2868" i="677"/>
  <c r="J2909" i="677"/>
  <c r="H2909" i="677"/>
  <c r="J2982" i="677"/>
  <c r="H2982" i="677"/>
  <c r="J2999" i="677"/>
  <c r="H2999" i="677"/>
  <c r="K2606" i="677"/>
  <c r="J2639" i="677"/>
  <c r="H2639" i="677"/>
  <c r="J2654" i="677"/>
  <c r="H2654" i="677"/>
  <c r="J2693" i="677"/>
  <c r="H2693" i="677"/>
  <c r="J2698" i="677"/>
  <c r="H2698" i="677"/>
  <c r="J2724" i="677"/>
  <c r="H2724" i="677"/>
  <c r="J2740" i="677"/>
  <c r="H2740" i="677"/>
  <c r="J2785" i="677"/>
  <c r="H2785" i="677"/>
  <c r="J2907" i="677"/>
  <c r="H2907" i="677"/>
  <c r="J2912" i="677"/>
  <c r="H2912" i="677"/>
  <c r="J3031" i="677"/>
  <c r="H3031" i="677"/>
  <c r="J3142" i="677"/>
  <c r="H3142" i="677"/>
  <c r="K3142" i="677" s="1"/>
  <c r="H2584" i="677"/>
  <c r="K2584" i="677" s="1"/>
  <c r="J2651" i="677"/>
  <c r="H2651" i="677"/>
  <c r="J2666" i="677"/>
  <c r="H2666" i="677"/>
  <c r="J2706" i="677"/>
  <c r="H2706" i="677"/>
  <c r="J2711" i="677"/>
  <c r="H2711" i="677"/>
  <c r="J2750" i="677"/>
  <c r="H2750" i="677"/>
  <c r="J2782" i="677"/>
  <c r="K2782" i="677" s="1"/>
  <c r="J2803" i="677"/>
  <c r="H2803" i="677"/>
  <c r="J2844" i="677"/>
  <c r="H2844" i="677"/>
  <c r="J2880" i="677"/>
  <c r="H2880" i="677"/>
  <c r="H2910" i="677"/>
  <c r="K2910" i="677" s="1"/>
  <c r="J2947" i="677"/>
  <c r="H2947" i="677"/>
  <c r="J2994" i="677"/>
  <c r="H2994" i="677"/>
  <c r="J3023" i="677"/>
  <c r="H3023" i="677"/>
  <c r="H3038" i="677"/>
  <c r="J3038" i="677"/>
  <c r="H3064" i="677"/>
  <c r="J3064" i="677"/>
  <c r="H3088" i="677"/>
  <c r="J3088" i="677"/>
  <c r="H3145" i="677"/>
  <c r="J3145" i="677"/>
  <c r="J3159" i="677"/>
  <c r="H3159" i="677"/>
  <c r="J2588" i="677"/>
  <c r="K2588" i="677" s="1"/>
  <c r="K2600" i="677"/>
  <c r="K2612" i="677"/>
  <c r="J2623" i="677"/>
  <c r="K2623" i="677" s="1"/>
  <c r="K2656" i="677"/>
  <c r="J2676" i="677"/>
  <c r="H2676" i="677"/>
  <c r="J2681" i="677"/>
  <c r="H2681" i="677"/>
  <c r="J2691" i="677"/>
  <c r="K2691" i="677" s="1"/>
  <c r="H2702" i="677"/>
  <c r="K2702" i="677" s="1"/>
  <c r="K2707" i="677"/>
  <c r="H2712" i="677"/>
  <c r="K2712" i="677" s="1"/>
  <c r="H2743" i="677"/>
  <c r="K2743" i="677" s="1"/>
  <c r="J2766" i="677"/>
  <c r="H2766" i="677"/>
  <c r="J2777" i="677"/>
  <c r="K2777" i="677" s="1"/>
  <c r="H2798" i="677"/>
  <c r="K2798" i="677" s="1"/>
  <c r="J2813" i="677"/>
  <c r="H2813" i="677"/>
  <c r="J2818" i="677"/>
  <c r="H2818" i="677"/>
  <c r="K2834" i="677"/>
  <c r="H2839" i="677"/>
  <c r="K2839" i="677" s="1"/>
  <c r="J2854" i="677"/>
  <c r="H2854" i="677"/>
  <c r="J2859" i="677"/>
  <c r="H2859" i="677"/>
  <c r="K2870" i="677"/>
  <c r="H2875" i="677"/>
  <c r="K2875" i="677" s="1"/>
  <c r="J2905" i="677"/>
  <c r="K2905" i="677" s="1"/>
  <c r="H2915" i="677"/>
  <c r="K2915" i="677" s="1"/>
  <c r="J2930" i="677"/>
  <c r="H2930" i="677"/>
  <c r="J3006" i="677"/>
  <c r="H3006" i="677"/>
  <c r="J3039" i="677"/>
  <c r="H3039" i="677"/>
  <c r="J3089" i="677"/>
  <c r="H3089" i="677"/>
  <c r="H3094" i="677"/>
  <c r="J3094" i="677"/>
  <c r="J3119" i="677"/>
  <c r="H3119" i="677"/>
  <c r="J3146" i="677"/>
  <c r="H3146" i="677"/>
  <c r="H3152" i="677"/>
  <c r="J3152" i="677"/>
  <c r="J3160" i="677"/>
  <c r="H3160" i="677"/>
  <c r="J2604" i="677"/>
  <c r="H2604" i="677"/>
  <c r="K2608" i="677"/>
  <c r="J2627" i="677"/>
  <c r="H2627" i="677"/>
  <c r="J2642" i="677"/>
  <c r="H2642" i="677"/>
  <c r="K2667" i="677"/>
  <c r="J2686" i="677"/>
  <c r="H2686" i="677"/>
  <c r="J2717" i="677"/>
  <c r="H2717" i="677"/>
  <c r="J2751" i="677"/>
  <c r="H2751" i="677"/>
  <c r="J2761" i="677"/>
  <c r="H2761" i="677"/>
  <c r="J2767" i="677"/>
  <c r="H2767" i="677"/>
  <c r="K2804" i="677"/>
  <c r="J2814" i="677"/>
  <c r="H2814" i="677"/>
  <c r="J2819" i="677"/>
  <c r="H2819" i="677"/>
  <c r="K2819" i="677" s="1"/>
  <c r="K2845" i="677"/>
  <c r="J2855" i="677"/>
  <c r="H2855" i="677"/>
  <c r="J2860" i="677"/>
  <c r="H2860" i="677"/>
  <c r="H2881" i="677"/>
  <c r="K2881" i="677" s="1"/>
  <c r="H3082" i="677"/>
  <c r="J3082" i="677"/>
  <c r="J3315" i="677"/>
  <c r="H3315" i="677"/>
  <c r="J3328" i="677"/>
  <c r="H3328" i="677"/>
  <c r="K3328" i="677" s="1"/>
  <c r="H3364" i="677"/>
  <c r="J3364" i="677"/>
  <c r="H2452" i="677"/>
  <c r="K2452" i="677" s="1"/>
  <c r="H2464" i="677"/>
  <c r="K2464" i="677" s="1"/>
  <c r="H2476" i="677"/>
  <c r="K2476" i="677" s="1"/>
  <c r="H2481" i="677"/>
  <c r="K2481" i="677" s="1"/>
  <c r="H2493" i="677"/>
  <c r="K2493" i="677" s="1"/>
  <c r="H2505" i="677"/>
  <c r="K2505" i="677" s="1"/>
  <c r="H2522" i="677"/>
  <c r="K2522" i="677" s="1"/>
  <c r="H2534" i="677"/>
  <c r="K2534" i="677" s="1"/>
  <c r="H2546" i="677"/>
  <c r="K2546" i="677" s="1"/>
  <c r="H2558" i="677"/>
  <c r="K2558" i="677" s="1"/>
  <c r="K2632" i="677"/>
  <c r="J2652" i="677"/>
  <c r="H2652" i="677"/>
  <c r="J2657" i="677"/>
  <c r="H2657" i="677"/>
  <c r="J2677" i="677"/>
  <c r="K2677" i="677" s="1"/>
  <c r="H2687" i="677"/>
  <c r="K2687" i="677" s="1"/>
  <c r="K2727" i="677"/>
  <c r="H2744" i="677"/>
  <c r="K2744" i="677" s="1"/>
  <c r="J2762" i="677"/>
  <c r="H2762" i="677"/>
  <c r="K2788" i="677"/>
  <c r="K2793" i="677"/>
  <c r="J2799" i="677"/>
  <c r="K2799" i="677" s="1"/>
  <c r="H2809" i="677"/>
  <c r="K2809" i="677" s="1"/>
  <c r="H2850" i="677"/>
  <c r="K2850" i="677" s="1"/>
  <c r="H2886" i="677"/>
  <c r="K2886" i="677" s="1"/>
  <c r="J2895" i="677"/>
  <c r="H2895" i="677"/>
  <c r="J2900" i="677"/>
  <c r="H2900" i="677"/>
  <c r="K2911" i="677"/>
  <c r="H2916" i="677"/>
  <c r="K2916" i="677" s="1"/>
  <c r="J2926" i="677"/>
  <c r="H2926" i="677"/>
  <c r="H2942" i="677"/>
  <c r="K2942" i="677" s="1"/>
  <c r="H2956" i="677"/>
  <c r="J2956" i="677"/>
  <c r="K2961" i="677"/>
  <c r="J3018" i="677"/>
  <c r="H3018" i="677"/>
  <c r="J3077" i="677"/>
  <c r="H3077" i="677"/>
  <c r="J3139" i="677"/>
  <c r="H3139" i="677"/>
  <c r="K2653" i="677"/>
  <c r="J2692" i="677"/>
  <c r="H2692" i="677"/>
  <c r="J2708" i="677"/>
  <c r="H2708" i="677"/>
  <c r="J2815" i="677"/>
  <c r="H2815" i="677"/>
  <c r="J2856" i="677"/>
  <c r="H2856" i="677"/>
  <c r="J2896" i="677"/>
  <c r="H2896" i="677"/>
  <c r="J2901" i="677"/>
  <c r="H2901" i="677"/>
  <c r="K2901" i="677" s="1"/>
  <c r="J3078" i="677"/>
  <c r="H3078" i="677"/>
  <c r="J3127" i="677"/>
  <c r="H3127" i="677"/>
  <c r="H2601" i="677"/>
  <c r="K2601" i="677" s="1"/>
  <c r="H2613" i="677"/>
  <c r="K2613" i="677" s="1"/>
  <c r="J2628" i="677"/>
  <c r="H2628" i="677"/>
  <c r="J2633" i="677"/>
  <c r="H2633" i="677"/>
  <c r="J2653" i="677"/>
  <c r="J2663" i="677"/>
  <c r="H2663" i="677"/>
  <c r="J2678" i="677"/>
  <c r="H2678" i="677"/>
  <c r="J2683" i="677"/>
  <c r="H2683" i="677"/>
  <c r="K2697" i="677"/>
  <c r="J2718" i="677"/>
  <c r="H2718" i="677"/>
  <c r="J2728" i="677"/>
  <c r="H2728" i="677"/>
  <c r="J2763" i="677"/>
  <c r="H2763" i="677"/>
  <c r="J2773" i="677"/>
  <c r="H2773" i="677"/>
  <c r="J2789" i="677"/>
  <c r="H2789" i="677"/>
  <c r="J2794" i="677"/>
  <c r="H2794" i="677"/>
  <c r="J2825" i="677"/>
  <c r="H2825" i="677"/>
  <c r="J2830" i="677"/>
  <c r="H2830" i="677"/>
  <c r="J2835" i="677"/>
  <c r="H2835" i="677"/>
  <c r="J2866" i="677"/>
  <c r="H2866" i="677"/>
  <c r="J2871" i="677"/>
  <c r="H2871" i="677"/>
  <c r="H2891" i="677"/>
  <c r="K2891" i="677" s="1"/>
  <c r="J2917" i="677"/>
  <c r="K2917" i="677" s="1"/>
  <c r="K2949" i="677"/>
  <c r="K2594" i="677"/>
  <c r="H2617" i="677"/>
  <c r="K2617" i="677" s="1"/>
  <c r="H2634" i="677"/>
  <c r="K2634" i="677" s="1"/>
  <c r="K2668" i="677"/>
  <c r="H2714" i="677"/>
  <c r="K2714" i="677" s="1"/>
  <c r="K2719" i="677"/>
  <c r="J2723" i="677"/>
  <c r="H2723" i="677"/>
  <c r="J2729" i="677"/>
  <c r="H2729" i="677"/>
  <c r="H2758" i="677"/>
  <c r="K2758" i="677" s="1"/>
  <c r="J2774" i="677"/>
  <c r="H2774" i="677"/>
  <c r="J2784" i="677"/>
  <c r="H2784" i="677"/>
  <c r="J2795" i="677"/>
  <c r="H2795" i="677"/>
  <c r="K2795" i="677" s="1"/>
  <c r="J2826" i="677"/>
  <c r="H2826" i="677"/>
  <c r="J2831" i="677"/>
  <c r="H2831" i="677"/>
  <c r="J2836" i="677"/>
  <c r="H2836" i="677"/>
  <c r="J2867" i="677"/>
  <c r="H2867" i="677"/>
  <c r="J2872" i="677"/>
  <c r="H2872" i="677"/>
  <c r="J2897" i="677"/>
  <c r="H2897" i="677"/>
  <c r="K2897" i="677" s="1"/>
  <c r="H2921" i="677"/>
  <c r="K2921" i="677" s="1"/>
  <c r="H2953" i="677"/>
  <c r="K2953" i="677" s="1"/>
  <c r="H2962" i="677"/>
  <c r="K2962" i="677" s="1"/>
  <c r="J2967" i="677"/>
  <c r="H2967" i="677"/>
  <c r="J2990" i="677"/>
  <c r="H2990" i="677"/>
  <c r="J3048" i="677"/>
  <c r="H3048" i="677"/>
  <c r="K3072" i="677"/>
  <c r="J3090" i="677"/>
  <c r="H3090" i="677"/>
  <c r="K3090" i="677" s="1"/>
  <c r="J3105" i="677"/>
  <c r="K3105" i="677" s="1"/>
  <c r="K3116" i="677"/>
  <c r="H3122" i="677"/>
  <c r="K3122" i="677" s="1"/>
  <c r="J3128" i="677"/>
  <c r="K3128" i="677" s="1"/>
  <c r="J3134" i="677"/>
  <c r="K3134" i="677" s="1"/>
  <c r="J3147" i="677"/>
  <c r="H3147" i="677"/>
  <c r="H3200" i="677"/>
  <c r="J3200" i="677"/>
  <c r="J3216" i="677"/>
  <c r="H3216" i="677"/>
  <c r="H3326" i="677"/>
  <c r="J3326" i="677"/>
  <c r="K3378" i="677"/>
  <c r="J2943" i="677"/>
  <c r="H2943" i="677"/>
  <c r="H3027" i="677"/>
  <c r="J3027" i="677"/>
  <c r="J3040" i="677"/>
  <c r="H3040" i="677"/>
  <c r="K3040" i="677" s="1"/>
  <c r="H3099" i="677"/>
  <c r="J3099" i="677"/>
  <c r="H3140" i="677"/>
  <c r="J3140" i="677"/>
  <c r="J3148" i="677"/>
  <c r="H3148" i="677"/>
  <c r="J3308" i="677"/>
  <c r="H3308" i="677"/>
  <c r="H2722" i="677"/>
  <c r="K2722" i="677" s="1"/>
  <c r="H2734" i="677"/>
  <c r="K2734" i="677" s="1"/>
  <c r="H2746" i="677"/>
  <c r="K2746" i="677" s="1"/>
  <c r="H2760" i="677"/>
  <c r="K2760" i="677" s="1"/>
  <c r="H2772" i="677"/>
  <c r="K2772" i="677" s="1"/>
  <c r="H2783" i="677"/>
  <c r="K2783" i="677" s="1"/>
  <c r="H2800" i="677"/>
  <c r="K2800" i="677" s="1"/>
  <c r="H2812" i="677"/>
  <c r="K2812" i="677" s="1"/>
  <c r="H2824" i="677"/>
  <c r="K2824" i="677" s="1"/>
  <c r="H2829" i="677"/>
  <c r="K2829" i="677" s="1"/>
  <c r="H2841" i="677"/>
  <c r="K2841" i="677" s="1"/>
  <c r="H2853" i="677"/>
  <c r="K2853" i="677" s="1"/>
  <c r="H2865" i="677"/>
  <c r="K2865" i="677" s="1"/>
  <c r="H2877" i="677"/>
  <c r="K2877" i="677" s="1"/>
  <c r="H2889" i="677"/>
  <c r="K2889" i="677" s="1"/>
  <c r="H2894" i="677"/>
  <c r="K2894" i="677" s="1"/>
  <c r="H2906" i="677"/>
  <c r="K2906" i="677" s="1"/>
  <c r="H2918" i="677"/>
  <c r="K2918" i="677" s="1"/>
  <c r="H2925" i="677"/>
  <c r="K2925" i="677" s="1"/>
  <c r="K2933" i="677"/>
  <c r="K2948" i="677"/>
  <c r="J2958" i="677"/>
  <c r="H2958" i="677"/>
  <c r="K2958" i="677" s="1"/>
  <c r="H2986" i="677"/>
  <c r="J2986" i="677"/>
  <c r="K3000" i="677"/>
  <c r="K3009" i="677"/>
  <c r="J3019" i="677"/>
  <c r="H3019" i="677"/>
  <c r="K3019" i="677" s="1"/>
  <c r="H3044" i="677"/>
  <c r="J3044" i="677"/>
  <c r="J3073" i="677"/>
  <c r="H3073" i="677"/>
  <c r="K3073" i="677" s="1"/>
  <c r="J3084" i="677"/>
  <c r="H3084" i="677"/>
  <c r="J3106" i="677"/>
  <c r="H3106" i="677"/>
  <c r="K3106" i="677" s="1"/>
  <c r="H3111" i="677"/>
  <c r="J3111" i="677"/>
  <c r="K3117" i="677"/>
  <c r="J3135" i="677"/>
  <c r="H3135" i="677"/>
  <c r="J3154" i="677"/>
  <c r="H3154" i="677"/>
  <c r="H2954" i="677"/>
  <c r="K2954" i="677" s="1"/>
  <c r="H2963" i="677"/>
  <c r="J2963" i="677"/>
  <c r="J2968" i="677"/>
  <c r="K2968" i="677" s="1"/>
  <c r="K2977" i="677"/>
  <c r="K2981" i="677"/>
  <c r="J2991" i="677"/>
  <c r="K2991" i="677" s="1"/>
  <c r="K3024" i="677"/>
  <c r="J3036" i="677"/>
  <c r="H3036" i="677"/>
  <c r="J3049" i="677"/>
  <c r="K3049" i="677" s="1"/>
  <c r="J3085" i="677"/>
  <c r="H3085" i="677"/>
  <c r="K3085" i="677" s="1"/>
  <c r="J3107" i="677"/>
  <c r="H3107" i="677"/>
  <c r="J3118" i="677"/>
  <c r="H3118" i="677"/>
  <c r="K3118" i="677" s="1"/>
  <c r="H3123" i="677"/>
  <c r="J3123" i="677"/>
  <c r="K3129" i="677"/>
  <c r="J3136" i="677"/>
  <c r="H3136" i="677"/>
  <c r="J3155" i="677"/>
  <c r="H3155" i="677"/>
  <c r="J3167" i="677"/>
  <c r="H3167" i="677"/>
  <c r="J2935" i="677"/>
  <c r="H2935" i="677"/>
  <c r="J2955" i="677"/>
  <c r="H2955" i="677"/>
  <c r="J2964" i="677"/>
  <c r="H2964" i="677"/>
  <c r="J3011" i="677"/>
  <c r="H3011" i="677"/>
  <c r="J3020" i="677"/>
  <c r="K3020" i="677" s="1"/>
  <c r="J3065" i="677"/>
  <c r="H3065" i="677"/>
  <c r="K3065" i="677" s="1"/>
  <c r="J3086" i="677"/>
  <c r="H3086" i="677"/>
  <c r="J3101" i="677"/>
  <c r="H3101" i="677"/>
  <c r="K3101" i="677" s="1"/>
  <c r="J3131" i="677"/>
  <c r="H3131" i="677"/>
  <c r="K3131" i="677" s="1"/>
  <c r="J3143" i="677"/>
  <c r="H3143" i="677"/>
  <c r="K3143" i="677" s="1"/>
  <c r="H3173" i="677"/>
  <c r="J3173" i="677"/>
  <c r="H2635" i="677"/>
  <c r="K2635" i="677" s="1"/>
  <c r="H2647" i="677"/>
  <c r="K2647" i="677" s="1"/>
  <c r="H2659" i="677"/>
  <c r="K2659" i="677" s="1"/>
  <c r="H2671" i="677"/>
  <c r="K2671" i="677" s="1"/>
  <c r="H2688" i="677"/>
  <c r="K2688" i="677" s="1"/>
  <c r="H2701" i="677"/>
  <c r="K2701" i="677" s="1"/>
  <c r="H2713" i="677"/>
  <c r="K2713" i="677" s="1"/>
  <c r="H2730" i="677"/>
  <c r="K2730" i="677" s="1"/>
  <c r="J2940" i="677"/>
  <c r="H2940" i="677"/>
  <c r="K2940" i="677" s="1"/>
  <c r="H2950" i="677"/>
  <c r="K2950" i="677" s="1"/>
  <c r="K2960" i="677"/>
  <c r="J2969" i="677"/>
  <c r="H2978" i="677"/>
  <c r="K2978" i="677" s="1"/>
  <c r="J2992" i="677"/>
  <c r="K2992" i="677" s="1"/>
  <c r="H3002" i="677"/>
  <c r="K3002" i="677" s="1"/>
  <c r="K3029" i="677"/>
  <c r="J3037" i="677"/>
  <c r="K3037" i="677" s="1"/>
  <c r="J3050" i="677"/>
  <c r="K3050" i="677" s="1"/>
  <c r="J3075" i="677"/>
  <c r="K3075" i="677" s="1"/>
  <c r="J3102" i="677"/>
  <c r="H3102" i="677"/>
  <c r="K3102" i="677" s="1"/>
  <c r="J3113" i="677"/>
  <c r="H3113" i="677"/>
  <c r="H2922" i="677"/>
  <c r="J2922" i="677"/>
  <c r="J2931" i="677"/>
  <c r="H2931" i="677"/>
  <c r="K2969" i="677"/>
  <c r="J3007" i="677"/>
  <c r="H3007" i="677"/>
  <c r="J3066" i="677"/>
  <c r="H3066" i="677"/>
  <c r="H3070" i="677"/>
  <c r="K3070" i="677" s="1"/>
  <c r="J3070" i="677"/>
  <c r="J3114" i="677"/>
  <c r="H3114" i="677"/>
  <c r="J3125" i="677"/>
  <c r="H3125" i="677"/>
  <c r="J3163" i="677"/>
  <c r="H3163" i="677"/>
  <c r="J3242" i="677"/>
  <c r="H3242" i="677"/>
  <c r="J3275" i="677"/>
  <c r="H3275" i="677"/>
  <c r="J3345" i="677"/>
  <c r="H3345" i="677"/>
  <c r="K2945" i="677"/>
  <c r="J2970" i="677"/>
  <c r="H2970" i="677"/>
  <c r="K2970" i="677" s="1"/>
  <c r="J2979" i="677"/>
  <c r="H2979" i="677"/>
  <c r="K2979" i="677" s="1"/>
  <c r="J2993" i="677"/>
  <c r="H2993" i="677"/>
  <c r="K2993" i="677" s="1"/>
  <c r="K2997" i="677"/>
  <c r="K3012" i="677"/>
  <c r="J3051" i="677"/>
  <c r="H3051" i="677"/>
  <c r="J3103" i="677"/>
  <c r="H3103" i="677"/>
  <c r="J3126" i="677"/>
  <c r="H3126" i="677"/>
  <c r="K3157" i="677"/>
  <c r="H3169" i="677"/>
  <c r="J3169" i="677"/>
  <c r="J3185" i="677"/>
  <c r="H3185" i="677"/>
  <c r="J3292" i="677"/>
  <c r="H3292" i="677"/>
  <c r="J3298" i="677"/>
  <c r="H3298" i="677"/>
  <c r="H2951" i="677"/>
  <c r="J2951" i="677"/>
  <c r="H3003" i="677"/>
  <c r="J3003" i="677"/>
  <c r="K3017" i="677"/>
  <c r="K3021" i="677"/>
  <c r="H3030" i="677"/>
  <c r="K3030" i="677" s="1"/>
  <c r="J3062" i="677"/>
  <c r="H3062" i="677"/>
  <c r="K3067" i="677"/>
  <c r="K3076" i="677"/>
  <c r="J3115" i="677"/>
  <c r="H3115" i="677"/>
  <c r="J3151" i="677"/>
  <c r="H3151" i="677"/>
  <c r="J3158" i="677"/>
  <c r="H3158" i="677"/>
  <c r="H3164" i="677"/>
  <c r="J3164" i="677"/>
  <c r="J3170" i="677"/>
  <c r="H3170" i="677"/>
  <c r="J3271" i="677"/>
  <c r="H3271" i="677"/>
  <c r="J3230" i="677"/>
  <c r="H3230" i="677"/>
  <c r="J3254" i="677"/>
  <c r="H3254" i="677"/>
  <c r="J3283" i="677"/>
  <c r="H3283" i="677"/>
  <c r="J3307" i="677"/>
  <c r="H3307" i="677"/>
  <c r="J3334" i="677"/>
  <c r="H3334" i="677"/>
  <c r="J3638" i="677"/>
  <c r="H3638" i="677"/>
  <c r="K3638" i="677" s="1"/>
  <c r="J3196" i="677"/>
  <c r="H3196" i="677"/>
  <c r="J3204" i="677"/>
  <c r="H3204" i="677"/>
  <c r="K3204" i="677" s="1"/>
  <c r="J3259" i="677"/>
  <c r="H3259" i="677"/>
  <c r="J3321" i="677"/>
  <c r="H3321" i="677"/>
  <c r="J3369" i="677"/>
  <c r="H3369" i="677"/>
  <c r="J3499" i="677"/>
  <c r="H3499" i="677"/>
  <c r="J3678" i="677"/>
  <c r="H3678" i="677"/>
  <c r="K3183" i="677"/>
  <c r="J3225" i="677"/>
  <c r="H3225" i="677"/>
  <c r="J3243" i="677"/>
  <c r="K3243" i="677" s="1"/>
  <c r="J3247" i="677"/>
  <c r="H3247" i="677"/>
  <c r="J3280" i="677"/>
  <c r="H3280" i="677"/>
  <c r="K3313" i="677"/>
  <c r="H3357" i="677"/>
  <c r="K3357" i="677" s="1"/>
  <c r="J3365" i="677"/>
  <c r="K3365" i="677" s="1"/>
  <c r="H3439" i="677"/>
  <c r="J3439" i="677"/>
  <c r="J3542" i="677"/>
  <c r="H3542" i="677"/>
  <c r="H2923" i="677"/>
  <c r="K2923" i="677" s="1"/>
  <c r="H2976" i="677"/>
  <c r="K2976" i="677" s="1"/>
  <c r="H2987" i="677"/>
  <c r="K2987" i="677" s="1"/>
  <c r="H3004" i="677"/>
  <c r="K3004" i="677" s="1"/>
  <c r="H3016" i="677"/>
  <c r="K3016" i="677" s="1"/>
  <c r="H3028" i="677"/>
  <c r="K3028" i="677" s="1"/>
  <c r="H3045" i="677"/>
  <c r="K3045" i="677" s="1"/>
  <c r="H3057" i="677"/>
  <c r="K3057" i="677" s="1"/>
  <c r="H3071" i="677"/>
  <c r="K3071" i="677" s="1"/>
  <c r="H3083" i="677"/>
  <c r="K3083" i="677" s="1"/>
  <c r="H3095" i="677"/>
  <c r="K3095" i="677" s="1"/>
  <c r="H3100" i="677"/>
  <c r="K3100" i="677" s="1"/>
  <c r="H3112" i="677"/>
  <c r="K3112" i="677" s="1"/>
  <c r="H3124" i="677"/>
  <c r="K3124" i="677" s="1"/>
  <c r="H3141" i="677"/>
  <c r="K3141" i="677" s="1"/>
  <c r="H3153" i="677"/>
  <c r="K3153" i="677" s="1"/>
  <c r="H3165" i="677"/>
  <c r="K3165" i="677" s="1"/>
  <c r="H3197" i="677"/>
  <c r="K3197" i="677" s="1"/>
  <c r="J3213" i="677"/>
  <c r="H3213" i="677"/>
  <c r="H3248" i="677"/>
  <c r="K3248" i="677" s="1"/>
  <c r="J3268" i="677"/>
  <c r="H3268" i="677"/>
  <c r="J3309" i="677"/>
  <c r="H3309" i="677"/>
  <c r="H3322" i="677"/>
  <c r="K3322" i="677" s="1"/>
  <c r="K3379" i="677"/>
  <c r="H3462" i="677"/>
  <c r="J3462" i="677"/>
  <c r="J3528" i="677"/>
  <c r="H3528" i="677"/>
  <c r="J3532" i="677"/>
  <c r="H3532" i="677"/>
  <c r="J3184" i="677"/>
  <c r="K3184" i="677" s="1"/>
  <c r="J3201" i="677"/>
  <c r="H3201" i="677"/>
  <c r="J3256" i="677"/>
  <c r="H3256" i="677"/>
  <c r="K3314" i="677"/>
  <c r="K3336" i="677"/>
  <c r="J3353" i="677"/>
  <c r="K3353" i="677" s="1"/>
  <c r="J3361" i="677"/>
  <c r="H3361" i="677"/>
  <c r="J3375" i="677"/>
  <c r="H3375" i="677"/>
  <c r="H3380" i="677"/>
  <c r="J3380" i="677"/>
  <c r="J3430" i="677"/>
  <c r="H3430" i="677"/>
  <c r="K3436" i="677"/>
  <c r="J3583" i="677"/>
  <c r="H3583" i="677"/>
  <c r="K3214" i="677"/>
  <c r="J3244" i="677"/>
  <c r="H3244" i="677"/>
  <c r="J3362" i="677"/>
  <c r="H3362" i="677"/>
  <c r="J3366" i="677"/>
  <c r="H3366" i="677"/>
  <c r="H3409" i="677"/>
  <c r="J3409" i="677"/>
  <c r="H3486" i="677"/>
  <c r="J3486" i="677"/>
  <c r="J3607" i="677"/>
  <c r="H3607" i="677"/>
  <c r="J3612" i="677"/>
  <c r="H3612" i="677"/>
  <c r="H3144" i="677"/>
  <c r="K3144" i="677" s="1"/>
  <c r="H3156" i="677"/>
  <c r="K3156" i="677" s="1"/>
  <c r="H3168" i="677"/>
  <c r="K3168" i="677" s="1"/>
  <c r="J3181" i="677"/>
  <c r="K3181" i="677" s="1"/>
  <c r="H3202" i="677"/>
  <c r="K3202" i="677" s="1"/>
  <c r="H3222" i="677"/>
  <c r="K3222" i="677" s="1"/>
  <c r="H3257" i="677"/>
  <c r="K3257" i="677" s="1"/>
  <c r="H3277" i="677"/>
  <c r="K3277" i="677" s="1"/>
  <c r="J3294" i="677"/>
  <c r="K3294" i="677" s="1"/>
  <c r="J3341" i="677"/>
  <c r="K3341" i="677" s="1"/>
  <c r="J3349" i="677"/>
  <c r="H3349" i="677"/>
  <c r="K3414" i="677"/>
  <c r="J3559" i="677"/>
  <c r="H3559" i="677"/>
  <c r="H3190" i="677"/>
  <c r="K3190" i="677" s="1"/>
  <c r="J3198" i="677"/>
  <c r="K3198" i="677" s="1"/>
  <c r="K3229" i="677"/>
  <c r="H3233" i="677"/>
  <c r="K3233" i="677" s="1"/>
  <c r="K3245" i="677"/>
  <c r="K3249" i="677"/>
  <c r="H3265" i="677"/>
  <c r="K3265" i="677" s="1"/>
  <c r="K3282" i="677"/>
  <c r="H3286" i="677"/>
  <c r="K3286" i="677" s="1"/>
  <c r="J3323" i="677"/>
  <c r="K3323" i="677" s="1"/>
  <c r="J3332" i="677"/>
  <c r="H3332" i="677"/>
  <c r="J3350" i="677"/>
  <c r="H3350" i="677"/>
  <c r="J3354" i="677"/>
  <c r="H3354" i="677"/>
  <c r="J3560" i="677"/>
  <c r="H3560" i="677"/>
  <c r="J3194" i="677"/>
  <c r="H3194" i="677"/>
  <c r="J3237" i="677"/>
  <c r="H3237" i="677"/>
  <c r="J3290" i="677"/>
  <c r="H3290" i="677"/>
  <c r="J3333" i="677"/>
  <c r="H3333" i="677"/>
  <c r="J3337" i="677"/>
  <c r="H3337" i="677"/>
  <c r="J3363" i="677"/>
  <c r="H3363" i="677"/>
  <c r="J3432" i="677"/>
  <c r="H3432" i="677"/>
  <c r="H3450" i="677"/>
  <c r="J3450" i="677"/>
  <c r="H3186" i="677"/>
  <c r="K3186" i="677" s="1"/>
  <c r="H3207" i="677"/>
  <c r="K3207" i="677" s="1"/>
  <c r="J3215" i="677"/>
  <c r="K3215" i="677" s="1"/>
  <c r="J3223" i="677"/>
  <c r="H3223" i="677"/>
  <c r="H3241" i="677"/>
  <c r="K3241" i="677" s="1"/>
  <c r="H3262" i="677"/>
  <c r="K3262" i="677" s="1"/>
  <c r="J3270" i="677"/>
  <c r="K3270" i="677" s="1"/>
  <c r="J3278" i="677"/>
  <c r="H3278" i="677"/>
  <c r="K3278" i="677" s="1"/>
  <c r="J3291" i="677"/>
  <c r="H3291" i="677"/>
  <c r="J3295" i="677"/>
  <c r="H3295" i="677"/>
  <c r="H3303" i="677"/>
  <c r="K3303" i="677" s="1"/>
  <c r="J3311" i="677"/>
  <c r="K3311" i="677" s="1"/>
  <c r="J3319" i="677"/>
  <c r="H3319" i="677"/>
  <c r="J3342" i="677"/>
  <c r="H3342" i="677"/>
  <c r="K3342" i="677" s="1"/>
  <c r="K3355" i="677"/>
  <c r="J3387" i="677"/>
  <c r="H3387" i="677"/>
  <c r="H3392" i="677"/>
  <c r="J3392" i="677"/>
  <c r="H3422" i="677"/>
  <c r="J3422" i="677"/>
  <c r="J3595" i="677"/>
  <c r="H3595" i="677"/>
  <c r="J3643" i="677"/>
  <c r="H3643" i="677"/>
  <c r="J3648" i="677"/>
  <c r="H3648" i="677"/>
  <c r="K3175" i="677"/>
  <c r="H3182" i="677"/>
  <c r="K3182" i="677" s="1"/>
  <c r="H3191" i="677"/>
  <c r="K3191" i="677" s="1"/>
  <c r="J3195" i="677"/>
  <c r="K3195" i="677" s="1"/>
  <c r="J3203" i="677"/>
  <c r="K3203" i="677" s="1"/>
  <c r="J3211" i="677"/>
  <c r="H3211" i="677"/>
  <c r="H3234" i="677"/>
  <c r="K3234" i="677" s="1"/>
  <c r="J3238" i="677"/>
  <c r="K3238" i="677" s="1"/>
  <c r="K3246" i="677"/>
  <c r="J3258" i="677"/>
  <c r="K3258" i="677" s="1"/>
  <c r="J3266" i="677"/>
  <c r="H3266" i="677"/>
  <c r="K3266" i="677" s="1"/>
  <c r="H3287" i="677"/>
  <c r="K3287" i="677" s="1"/>
  <c r="J3296" i="677"/>
  <c r="K3296" i="677" s="1"/>
  <c r="J3320" i="677"/>
  <c r="H3320" i="677"/>
  <c r="J3325" i="677"/>
  <c r="H3325" i="677"/>
  <c r="K3338" i="677"/>
  <c r="J3343" i="677"/>
  <c r="K3343" i="677" s="1"/>
  <c r="J3351" i="677"/>
  <c r="H3351" i="677"/>
  <c r="K3351" i="677" s="1"/>
  <c r="H3393" i="677"/>
  <c r="K3393" i="677" s="1"/>
  <c r="K3402" i="677"/>
  <c r="J3416" i="677"/>
  <c r="H3416" i="677"/>
  <c r="H3423" i="677"/>
  <c r="K3423" i="677" s="1"/>
  <c r="H3474" i="677"/>
  <c r="J3474" i="677"/>
  <c r="J3512" i="677"/>
  <c r="H3512" i="677"/>
  <c r="J3516" i="677"/>
  <c r="H3516" i="677"/>
  <c r="J3555" i="677"/>
  <c r="H3555" i="677"/>
  <c r="J3440" i="677"/>
  <c r="H3440" i="677"/>
  <c r="J3451" i="677"/>
  <c r="H3451" i="677"/>
  <c r="J3463" i="677"/>
  <c r="H3463" i="677"/>
  <c r="J3475" i="677"/>
  <c r="H3475" i="677"/>
  <c r="J3487" i="677"/>
  <c r="H3487" i="677"/>
  <c r="J3503" i="677"/>
  <c r="H3503" i="677"/>
  <c r="H3515" i="677"/>
  <c r="J3515" i="677"/>
  <c r="J3533" i="677"/>
  <c r="H3533" i="677"/>
  <c r="H3581" i="677"/>
  <c r="J3581" i="677"/>
  <c r="J3644" i="677"/>
  <c r="H3644" i="677"/>
  <c r="J3661" i="677"/>
  <c r="H3661" i="677"/>
  <c r="J3679" i="677"/>
  <c r="H3679" i="677"/>
  <c r="J3785" i="677"/>
  <c r="H3785" i="677"/>
  <c r="J3907" i="677"/>
  <c r="H3907" i="677"/>
  <c r="J3500" i="677"/>
  <c r="H3500" i="677"/>
  <c r="J3529" i="677"/>
  <c r="H3529" i="677"/>
  <c r="H3543" i="677"/>
  <c r="K3543" i="677" s="1"/>
  <c r="J3582" i="677"/>
  <c r="H3582" i="677"/>
  <c r="K3623" i="677"/>
  <c r="H3628" i="677"/>
  <c r="J3628" i="677"/>
  <c r="K3683" i="677"/>
  <c r="K3701" i="677"/>
  <c r="H3841" i="677"/>
  <c r="J3841" i="677"/>
  <c r="H3872" i="677"/>
  <c r="K3872" i="677" s="1"/>
  <c r="J3872" i="677"/>
  <c r="K3370" i="677"/>
  <c r="K3376" i="677"/>
  <c r="K3382" i="677"/>
  <c r="K3388" i="677"/>
  <c r="K3394" i="677"/>
  <c r="K3411" i="677"/>
  <c r="K3417" i="677"/>
  <c r="K3424" i="677"/>
  <c r="J3452" i="677"/>
  <c r="H3452" i="677"/>
  <c r="J3464" i="677"/>
  <c r="H3464" i="677"/>
  <c r="J3476" i="677"/>
  <c r="H3476" i="677"/>
  <c r="J3488" i="677"/>
  <c r="H3488" i="677"/>
  <c r="J3504" i="677"/>
  <c r="H3504" i="677"/>
  <c r="J3520" i="677"/>
  <c r="H3520" i="677"/>
  <c r="J3534" i="677"/>
  <c r="H3534" i="677"/>
  <c r="J3548" i="677"/>
  <c r="H3548" i="677"/>
  <c r="K3556" i="677"/>
  <c r="J3591" i="677"/>
  <c r="H3591" i="677"/>
  <c r="J3596" i="677"/>
  <c r="H3596" i="677"/>
  <c r="K3596" i="677" s="1"/>
  <c r="K3609" i="677"/>
  <c r="H3613" i="677"/>
  <c r="J3613" i="677"/>
  <c r="J3629" i="677"/>
  <c r="H3629" i="677"/>
  <c r="K3645" i="677"/>
  <c r="K3662" i="677"/>
  <c r="J3666" i="677"/>
  <c r="H3666" i="677"/>
  <c r="J3697" i="677"/>
  <c r="H3697" i="677"/>
  <c r="H3715" i="677"/>
  <c r="J3715" i="677"/>
  <c r="J3726" i="677"/>
  <c r="H3726" i="677"/>
  <c r="H3736" i="677"/>
  <c r="J3736" i="677"/>
  <c r="H3908" i="677"/>
  <c r="K3908" i="677" s="1"/>
  <c r="J3908" i="677"/>
  <c r="J3931" i="677"/>
  <c r="H3931" i="677"/>
  <c r="J3434" i="677"/>
  <c r="H3434" i="677"/>
  <c r="J3505" i="677"/>
  <c r="H3505" i="677"/>
  <c r="J3517" i="677"/>
  <c r="H3517" i="677"/>
  <c r="H3569" i="677"/>
  <c r="J3569" i="677"/>
  <c r="J3619" i="677"/>
  <c r="H3619" i="677"/>
  <c r="J3667" i="677"/>
  <c r="H3667" i="677"/>
  <c r="J3702" i="677"/>
  <c r="H3702" i="677"/>
  <c r="J3925" i="677"/>
  <c r="H3925" i="677"/>
  <c r="H3431" i="677"/>
  <c r="K3431" i="677" s="1"/>
  <c r="J3456" i="677"/>
  <c r="H3456" i="677"/>
  <c r="J3468" i="677"/>
  <c r="H3468" i="677"/>
  <c r="J3480" i="677"/>
  <c r="H3480" i="677"/>
  <c r="J3492" i="677"/>
  <c r="H3492" i="677"/>
  <c r="K3501" i="677"/>
  <c r="J3521" i="677"/>
  <c r="H3521" i="677"/>
  <c r="K3530" i="677"/>
  <c r="J3535" i="677"/>
  <c r="H3535" i="677"/>
  <c r="J3570" i="677"/>
  <c r="H3570" i="677"/>
  <c r="J3620" i="677"/>
  <c r="H3620" i="677"/>
  <c r="H3624" i="677"/>
  <c r="K3624" i="677" s="1"/>
  <c r="H3650" i="677"/>
  <c r="K3650" i="677" s="1"/>
  <c r="K3671" i="677"/>
  <c r="J3703" i="677"/>
  <c r="H3703" i="677"/>
  <c r="H3727" i="677"/>
  <c r="J3727" i="677"/>
  <c r="H3748" i="677"/>
  <c r="J3748" i="677"/>
  <c r="H3781" i="677"/>
  <c r="J3781" i="677"/>
  <c r="H3831" i="677"/>
  <c r="J3831" i="677"/>
  <c r="H3843" i="677"/>
  <c r="J3843" i="677"/>
  <c r="J3920" i="677"/>
  <c r="H3920" i="677"/>
  <c r="J3428" i="677"/>
  <c r="H3428" i="677"/>
  <c r="J3457" i="677"/>
  <c r="H3457" i="677"/>
  <c r="J3469" i="677"/>
  <c r="H3469" i="677"/>
  <c r="J3481" i="677"/>
  <c r="H3481" i="677"/>
  <c r="J3493" i="677"/>
  <c r="H3493" i="677"/>
  <c r="J3522" i="677"/>
  <c r="H3522" i="677"/>
  <c r="J3536" i="677"/>
  <c r="H3536" i="677"/>
  <c r="J3571" i="677"/>
  <c r="H3571" i="677"/>
  <c r="J3579" i="677"/>
  <c r="H3579" i="677"/>
  <c r="J3584" i="677"/>
  <c r="H3584" i="677"/>
  <c r="J3605" i="677"/>
  <c r="H3605" i="677"/>
  <c r="H3640" i="677"/>
  <c r="J3640" i="677"/>
  <c r="J3654" i="677"/>
  <c r="H3654" i="677"/>
  <c r="H3791" i="677"/>
  <c r="J3791" i="677"/>
  <c r="H3853" i="677"/>
  <c r="J3853" i="677"/>
  <c r="J3368" i="677"/>
  <c r="K3368" i="677" s="1"/>
  <c r="H3371" i="677"/>
  <c r="K3371" i="677" s="1"/>
  <c r="J3374" i="677"/>
  <c r="H3374" i="677"/>
  <c r="H3377" i="677"/>
  <c r="K3377" i="677" s="1"/>
  <c r="H3383" i="677"/>
  <c r="K3383" i="677" s="1"/>
  <c r="J3386" i="677"/>
  <c r="H3386" i="677"/>
  <c r="H3389" i="677"/>
  <c r="K3389" i="677" s="1"/>
  <c r="H3400" i="677"/>
  <c r="K3400" i="677" s="1"/>
  <c r="H3406" i="677"/>
  <c r="K3406" i="677" s="1"/>
  <c r="H3412" i="677"/>
  <c r="K3412" i="677" s="1"/>
  <c r="J3415" i="677"/>
  <c r="H3415" i="677"/>
  <c r="H3418" i="677"/>
  <c r="K3418" i="677" s="1"/>
  <c r="H3425" i="677"/>
  <c r="K3425" i="677" s="1"/>
  <c r="H3442" i="677"/>
  <c r="K3442" i="677" s="1"/>
  <c r="H3445" i="677"/>
  <c r="J3445" i="677"/>
  <c r="K3518" i="677"/>
  <c r="H3557" i="677"/>
  <c r="J3557" i="677"/>
  <c r="K3621" i="677"/>
  <c r="J3641" i="677"/>
  <c r="H3641" i="677"/>
  <c r="J3655" i="677"/>
  <c r="H3655" i="677"/>
  <c r="K3663" i="677"/>
  <c r="K3672" i="677"/>
  <c r="J3685" i="677"/>
  <c r="H3685" i="677"/>
  <c r="K3685" i="677" s="1"/>
  <c r="K3722" i="677"/>
  <c r="J3749" i="677"/>
  <c r="H3749" i="677"/>
  <c r="K3787" i="677"/>
  <c r="K3832" i="677"/>
  <c r="H3884" i="677"/>
  <c r="J3884" i="677"/>
  <c r="H3894" i="677"/>
  <c r="J3894" i="677"/>
  <c r="J3446" i="677"/>
  <c r="H3446" i="677"/>
  <c r="J3510" i="677"/>
  <c r="H3510" i="677"/>
  <c r="J3537" i="677"/>
  <c r="H3537" i="677"/>
  <c r="J3545" i="677"/>
  <c r="H3545" i="677"/>
  <c r="J3558" i="677"/>
  <c r="H3558" i="677"/>
  <c r="J3631" i="677"/>
  <c r="H3631" i="677"/>
  <c r="J3690" i="677"/>
  <c r="H3690" i="677"/>
  <c r="H3775" i="677"/>
  <c r="J3775" i="677"/>
  <c r="H3916" i="677"/>
  <c r="J3916" i="677"/>
  <c r="J3937" i="677"/>
  <c r="H3937" i="677"/>
  <c r="K3502" i="677"/>
  <c r="H3507" i="677"/>
  <c r="K3507" i="677" s="1"/>
  <c r="J3546" i="677"/>
  <c r="H3546" i="677"/>
  <c r="J3567" i="677"/>
  <c r="H3567" i="677"/>
  <c r="J3572" i="677"/>
  <c r="H3572" i="677"/>
  <c r="K3580" i="677"/>
  <c r="H3626" i="677"/>
  <c r="K3626" i="677" s="1"/>
  <c r="J3632" i="677"/>
  <c r="H3632" i="677"/>
  <c r="H3636" i="677"/>
  <c r="K3636" i="677" s="1"/>
  <c r="H3656" i="677"/>
  <c r="K3656" i="677" s="1"/>
  <c r="K3677" i="677"/>
  <c r="K3686" i="677"/>
  <c r="J3691" i="677"/>
  <c r="H3691" i="677"/>
  <c r="J3718" i="677"/>
  <c r="H3718" i="677"/>
  <c r="J3912" i="677"/>
  <c r="H3912" i="677"/>
  <c r="H3593" i="677"/>
  <c r="J3593" i="677"/>
  <c r="H3616" i="677"/>
  <c r="J3616" i="677"/>
  <c r="J3673" i="677"/>
  <c r="H3673" i="677"/>
  <c r="J3740" i="677"/>
  <c r="H3740" i="677"/>
  <c r="H3765" i="677"/>
  <c r="K3765" i="677" s="1"/>
  <c r="J3765" i="677"/>
  <c r="J3866" i="677"/>
  <c r="H3866" i="677"/>
  <c r="H3896" i="677"/>
  <c r="J3896" i="677"/>
  <c r="H3967" i="677"/>
  <c r="J3967" i="677"/>
  <c r="H3459" i="677"/>
  <c r="K3459" i="677" s="1"/>
  <c r="H3471" i="677"/>
  <c r="K3471" i="677" s="1"/>
  <c r="H3483" i="677"/>
  <c r="K3483" i="677" s="1"/>
  <c r="H3495" i="677"/>
  <c r="K3495" i="677" s="1"/>
  <c r="H3498" i="677"/>
  <c r="J3498" i="677"/>
  <c r="K3519" i="677"/>
  <c r="H3524" i="677"/>
  <c r="K3524" i="677" s="1"/>
  <c r="H3527" i="677"/>
  <c r="J3527" i="677"/>
  <c r="J3538" i="677"/>
  <c r="H3538" i="677"/>
  <c r="J3594" i="677"/>
  <c r="H3594" i="677"/>
  <c r="J3617" i="677"/>
  <c r="H3617" i="677"/>
  <c r="K3633" i="677"/>
  <c r="J3709" i="677"/>
  <c r="H3709" i="677"/>
  <c r="J3825" i="677"/>
  <c r="H3825" i="677"/>
  <c r="K3622" i="677"/>
  <c r="K3634" i="677"/>
  <c r="K3646" i="677"/>
  <c r="J3724" i="677"/>
  <c r="K3724" i="677" s="1"/>
  <c r="K3792" i="677"/>
  <c r="K3804" i="677"/>
  <c r="J3813" i="677"/>
  <c r="H3813" i="677"/>
  <c r="H3829" i="677"/>
  <c r="J3829" i="677"/>
  <c r="J3834" i="677"/>
  <c r="K3834" i="677" s="1"/>
  <c r="K3858" i="677"/>
  <c r="J3875" i="677"/>
  <c r="H3875" i="677"/>
  <c r="J3983" i="677"/>
  <c r="H3983" i="677"/>
  <c r="H4003" i="677"/>
  <c r="J4003" i="677"/>
  <c r="H4200" i="677"/>
  <c r="J4200" i="677"/>
  <c r="H4212" i="677"/>
  <c r="J4212" i="677"/>
  <c r="K3544" i="677"/>
  <c r="J3625" i="677"/>
  <c r="H3625" i="677"/>
  <c r="J3637" i="677"/>
  <c r="H3637" i="677"/>
  <c r="J3649" i="677"/>
  <c r="H3649" i="677"/>
  <c r="H3738" i="677"/>
  <c r="J3738" i="677"/>
  <c r="J3758" i="677"/>
  <c r="H3758" i="677"/>
  <c r="J3797" i="677"/>
  <c r="H3797" i="677"/>
  <c r="K3822" i="677"/>
  <c r="J3876" i="677"/>
  <c r="H3876" i="677"/>
  <c r="H4070" i="677"/>
  <c r="J4070" i="677"/>
  <c r="H4084" i="677"/>
  <c r="J4084" i="677"/>
  <c r="J3754" i="677"/>
  <c r="H3754" i="677"/>
  <c r="J3769" i="677"/>
  <c r="K3769" i="677" s="1"/>
  <c r="J3776" i="677"/>
  <c r="H3776" i="677"/>
  <c r="K3814" i="677"/>
  <c r="J3818" i="677"/>
  <c r="H3818" i="677"/>
  <c r="J3830" i="677"/>
  <c r="H3830" i="677"/>
  <c r="J3871" i="677"/>
  <c r="H3871" i="677"/>
  <c r="K3897" i="677"/>
  <c r="J3928" i="677"/>
  <c r="H3928" i="677"/>
  <c r="K3933" i="677"/>
  <c r="J3947" i="677"/>
  <c r="H3947" i="677"/>
  <c r="J4044" i="677"/>
  <c r="H4044" i="677"/>
  <c r="J4137" i="677"/>
  <c r="H4137" i="677"/>
  <c r="H3750" i="677"/>
  <c r="J3750" i="677"/>
  <c r="H3789" i="677"/>
  <c r="J3789" i="677"/>
  <c r="H3793" i="677"/>
  <c r="J3793" i="677"/>
  <c r="J3835" i="677"/>
  <c r="H3835" i="677"/>
  <c r="K3835" i="677" s="1"/>
  <c r="J3842" i="677"/>
  <c r="H3842" i="677"/>
  <c r="J3854" i="677"/>
  <c r="H3854" i="677"/>
  <c r="J3864" i="677"/>
  <c r="H3864" i="677"/>
  <c r="J3902" i="677"/>
  <c r="H3902" i="677"/>
  <c r="K3902" i="677" s="1"/>
  <c r="J3929" i="677"/>
  <c r="H3929" i="677"/>
  <c r="J3943" i="677"/>
  <c r="H3943" i="677"/>
  <c r="J4038" i="677"/>
  <c r="H4038" i="677"/>
  <c r="H3716" i="677"/>
  <c r="K3716" i="677" s="1"/>
  <c r="H3725" i="677"/>
  <c r="K3725" i="677" s="1"/>
  <c r="H3728" i="677"/>
  <c r="K3728" i="677" s="1"/>
  <c r="J3755" i="677"/>
  <c r="K3755" i="677" s="1"/>
  <c r="H3766" i="677"/>
  <c r="K3766" i="677" s="1"/>
  <c r="H3770" i="677"/>
  <c r="K3770" i="677" s="1"/>
  <c r="H3794" i="677"/>
  <c r="K3794" i="677" s="1"/>
  <c r="J3801" i="677"/>
  <c r="K3801" i="677" s="1"/>
  <c r="J3805" i="677"/>
  <c r="K3805" i="677" s="1"/>
  <c r="H3836" i="677"/>
  <c r="K3836" i="677" s="1"/>
  <c r="H3839" i="677"/>
  <c r="K3839" i="677" s="1"/>
  <c r="J3868" i="677"/>
  <c r="K3868" i="677" s="1"/>
  <c r="H3885" i="677"/>
  <c r="K3885" i="677" s="1"/>
  <c r="H3910" i="677"/>
  <c r="K3910" i="677" s="1"/>
  <c r="J3910" i="677"/>
  <c r="J3918" i="677"/>
  <c r="K3918" i="677" s="1"/>
  <c r="H3978" i="677"/>
  <c r="J3978" i="677"/>
  <c r="K3602" i="677"/>
  <c r="J3608" i="677"/>
  <c r="H3608" i="677"/>
  <c r="J3719" i="677"/>
  <c r="H3719" i="677"/>
  <c r="J3732" i="677"/>
  <c r="H3732" i="677"/>
  <c r="J3751" i="677"/>
  <c r="K3751" i="677" s="1"/>
  <c r="H3777" i="677"/>
  <c r="J3777" i="677"/>
  <c r="J3790" i="677"/>
  <c r="H3790" i="677"/>
  <c r="H3824" i="677"/>
  <c r="K3824" i="677" s="1"/>
  <c r="J3847" i="677"/>
  <c r="H3847" i="677"/>
  <c r="H3851" i="677"/>
  <c r="K3851" i="677" s="1"/>
  <c r="H3855" i="677"/>
  <c r="J3855" i="677"/>
  <c r="H3890" i="677"/>
  <c r="K3890" i="677" s="1"/>
  <c r="H3911" i="677"/>
  <c r="K3911" i="677" s="1"/>
  <c r="J3939" i="677"/>
  <c r="K3939" i="677" s="1"/>
  <c r="J3944" i="677"/>
  <c r="H3979" i="677"/>
  <c r="J3979" i="677"/>
  <c r="J4095" i="677"/>
  <c r="H4095" i="677"/>
  <c r="K3763" i="677"/>
  <c r="J3919" i="677"/>
  <c r="H3919" i="677"/>
  <c r="K3944" i="677"/>
  <c r="K3687" i="677"/>
  <c r="K3699" i="677"/>
  <c r="K3711" i="677"/>
  <c r="J3744" i="677"/>
  <c r="H3744" i="677"/>
  <c r="J3802" i="677"/>
  <c r="H3802" i="677"/>
  <c r="K3856" i="677"/>
  <c r="K3873" i="677"/>
  <c r="J4007" i="677"/>
  <c r="H4007" i="677"/>
  <c r="J4060" i="677"/>
  <c r="H4060" i="677"/>
  <c r="K3795" i="677"/>
  <c r="K3816" i="677"/>
  <c r="J3895" i="677"/>
  <c r="H3895" i="677"/>
  <c r="H3950" i="677"/>
  <c r="K3950" i="677" s="1"/>
  <c r="J3950" i="677"/>
  <c r="H3549" i="677"/>
  <c r="K3549" i="677" s="1"/>
  <c r="H3561" i="677"/>
  <c r="K3561" i="677" s="1"/>
  <c r="H3573" i="677"/>
  <c r="K3573" i="677" s="1"/>
  <c r="H3585" i="677"/>
  <c r="K3585" i="677" s="1"/>
  <c r="H3597" i="677"/>
  <c r="K3597" i="677" s="1"/>
  <c r="H3664" i="677"/>
  <c r="K3664" i="677" s="1"/>
  <c r="H3676" i="677"/>
  <c r="K3676" i="677" s="1"/>
  <c r="H3688" i="677"/>
  <c r="K3688" i="677" s="1"/>
  <c r="H3700" i="677"/>
  <c r="K3700" i="677" s="1"/>
  <c r="H3712" i="677"/>
  <c r="K3712" i="677" s="1"/>
  <c r="H3737" i="677"/>
  <c r="K3737" i="677" s="1"/>
  <c r="H3745" i="677"/>
  <c r="K3745" i="677" s="1"/>
  <c r="H3768" i="677"/>
  <c r="K3768" i="677" s="1"/>
  <c r="H3803" i="677"/>
  <c r="J3803" i="677"/>
  <c r="K3807" i="677"/>
  <c r="H3817" i="677"/>
  <c r="K3817" i="677" s="1"/>
  <c r="H3882" i="677"/>
  <c r="J3882" i="677"/>
  <c r="J3887" i="677"/>
  <c r="H3887" i="677"/>
  <c r="J3900" i="677"/>
  <c r="H3900" i="677"/>
  <c r="J3552" i="677"/>
  <c r="H3552" i="677"/>
  <c r="J3564" i="677"/>
  <c r="H3564" i="677"/>
  <c r="J3576" i="677"/>
  <c r="H3576" i="677"/>
  <c r="J3588" i="677"/>
  <c r="H3588" i="677"/>
  <c r="J3600" i="677"/>
  <c r="H3600" i="677"/>
  <c r="K3734" i="677"/>
  <c r="H3742" i="677"/>
  <c r="K3742" i="677" s="1"/>
  <c r="K3753" i="677"/>
  <c r="H3808" i="677"/>
  <c r="K3808" i="677" s="1"/>
  <c r="J3845" i="677"/>
  <c r="K3845" i="677" s="1"/>
  <c r="K3857" i="677"/>
  <c r="J3862" i="677"/>
  <c r="K3862" i="677" s="1"/>
  <c r="J3883" i="677"/>
  <c r="H3883" i="677"/>
  <c r="J3888" i="677"/>
  <c r="H3888" i="677"/>
  <c r="J3904" i="677"/>
  <c r="K3904" i="677" s="1"/>
  <c r="K3767" i="677"/>
  <c r="J3833" i="677"/>
  <c r="K3833" i="677" s="1"/>
  <c r="K3870" i="677"/>
  <c r="K3874" i="677"/>
  <c r="K3935" i="677"/>
  <c r="J3941" i="677"/>
  <c r="H3941" i="677"/>
  <c r="H4055" i="677"/>
  <c r="J4055" i="677"/>
  <c r="J4111" i="677"/>
  <c r="H4111" i="677"/>
  <c r="K3815" i="677"/>
  <c r="K3844" i="677"/>
  <c r="H3914" i="677"/>
  <c r="K3914" i="677" s="1"/>
  <c r="K3927" i="677"/>
  <c r="H3951" i="677"/>
  <c r="K3951" i="677" s="1"/>
  <c r="H4098" i="677"/>
  <c r="J4098" i="677"/>
  <c r="J4105" i="677"/>
  <c r="H4105" i="677"/>
  <c r="J3764" i="677"/>
  <c r="H3764" i="677"/>
  <c r="K3783" i="677"/>
  <c r="J3823" i="677"/>
  <c r="H3823" i="677"/>
  <c r="K3823" i="677" s="1"/>
  <c r="J3859" i="677"/>
  <c r="H3859" i="677"/>
  <c r="K3898" i="677"/>
  <c r="K3922" i="677"/>
  <c r="H4002" i="677"/>
  <c r="J4002" i="677"/>
  <c r="J4049" i="677"/>
  <c r="H4049" i="677"/>
  <c r="H3974" i="677"/>
  <c r="K3974" i="677" s="1"/>
  <c r="J3984" i="677"/>
  <c r="K3984" i="677" s="1"/>
  <c r="H3998" i="677"/>
  <c r="K3998" i="677" s="1"/>
  <c r="J4008" i="677"/>
  <c r="K4008" i="677" s="1"/>
  <c r="J4023" i="677"/>
  <c r="H4023" i="677"/>
  <c r="J4028" i="677"/>
  <c r="H4028" i="677"/>
  <c r="J4039" i="677"/>
  <c r="H4039" i="677"/>
  <c r="K4045" i="677"/>
  <c r="H4050" i="677"/>
  <c r="K4050" i="677" s="1"/>
  <c r="J4071" i="677"/>
  <c r="K4071" i="677" s="1"/>
  <c r="J4082" i="677"/>
  <c r="K4082" i="677" s="1"/>
  <c r="J4106" i="677"/>
  <c r="H4106" i="677"/>
  <c r="K4106" i="677" s="1"/>
  <c r="K4112" i="677"/>
  <c r="H4131" i="677"/>
  <c r="K4131" i="677" s="1"/>
  <c r="J4138" i="677"/>
  <c r="H4138" i="677"/>
  <c r="H4188" i="677"/>
  <c r="J4188" i="677"/>
  <c r="J4056" i="677"/>
  <c r="H4056" i="677"/>
  <c r="J4061" i="677"/>
  <c r="H4061" i="677"/>
  <c r="H3970" i="677"/>
  <c r="K3970" i="677" s="1"/>
  <c r="J3975" i="677"/>
  <c r="H3975" i="677"/>
  <c r="H3994" i="677"/>
  <c r="K3994" i="677" s="1"/>
  <c r="J3999" i="677"/>
  <c r="H3999" i="677"/>
  <c r="K3999" i="677" s="1"/>
  <c r="K4034" i="677"/>
  <c r="J4040" i="677"/>
  <c r="H4040" i="677"/>
  <c r="J4051" i="677"/>
  <c r="H4051" i="677"/>
  <c r="J4066" i="677"/>
  <c r="H4066" i="677"/>
  <c r="H4072" i="677"/>
  <c r="K4072" i="677" s="1"/>
  <c r="J4072" i="677"/>
  <c r="J4077" i="677"/>
  <c r="H4077" i="677"/>
  <c r="J4107" i="677"/>
  <c r="H4107" i="677"/>
  <c r="H4122" i="677"/>
  <c r="J4122" i="677"/>
  <c r="J4127" i="677"/>
  <c r="H4127" i="677"/>
  <c r="J4132" i="677"/>
  <c r="H4132" i="677"/>
  <c r="J4149" i="677"/>
  <c r="H4149" i="677"/>
  <c r="H3924" i="677"/>
  <c r="K3924" i="677" s="1"/>
  <c r="H3936" i="677"/>
  <c r="K3936" i="677" s="1"/>
  <c r="J3980" i="677"/>
  <c r="H3980" i="677"/>
  <c r="J4004" i="677"/>
  <c r="H4004" i="677"/>
  <c r="J4024" i="677"/>
  <c r="K4024" i="677" s="1"/>
  <c r="J4029" i="677"/>
  <c r="K4029" i="677" s="1"/>
  <c r="H4067" i="677"/>
  <c r="K4067" i="677" s="1"/>
  <c r="K4083" i="677"/>
  <c r="K4096" i="677"/>
  <c r="H4102" i="677"/>
  <c r="K4102" i="677" s="1"/>
  <c r="J4118" i="677"/>
  <c r="H4118" i="677"/>
  <c r="J4144" i="677"/>
  <c r="H4144" i="677"/>
  <c r="K3946" i="677"/>
  <c r="H3957" i="677"/>
  <c r="K3957" i="677" s="1"/>
  <c r="J3966" i="677"/>
  <c r="K3966" i="677" s="1"/>
  <c r="H3971" i="677"/>
  <c r="K3971" i="677" s="1"/>
  <c r="J3976" i="677"/>
  <c r="H3976" i="677"/>
  <c r="K3981" i="677"/>
  <c r="J3990" i="677"/>
  <c r="K3990" i="677" s="1"/>
  <c r="H3995" i="677"/>
  <c r="K3995" i="677" s="1"/>
  <c r="J4000" i="677"/>
  <c r="H4000" i="677"/>
  <c r="K4005" i="677"/>
  <c r="J4014" i="677"/>
  <c r="K4014" i="677" s="1"/>
  <c r="J4019" i="677"/>
  <c r="H4019" i="677"/>
  <c r="H4035" i="677"/>
  <c r="K4035" i="677" s="1"/>
  <c r="J4052" i="677"/>
  <c r="H4052" i="677"/>
  <c r="J4063" i="677"/>
  <c r="H4063" i="677"/>
  <c r="J4073" i="677"/>
  <c r="H4073" i="677"/>
  <c r="J4078" i="677"/>
  <c r="H4078" i="677"/>
  <c r="J4089" i="677"/>
  <c r="H4089" i="677"/>
  <c r="J4097" i="677"/>
  <c r="K4097" i="677" s="1"/>
  <c r="K4113" i="677"/>
  <c r="J4123" i="677"/>
  <c r="H4123" i="677"/>
  <c r="J4150" i="677"/>
  <c r="H4150" i="677"/>
  <c r="H4155" i="677"/>
  <c r="J4155" i="677"/>
  <c r="H4283" i="677"/>
  <c r="J4283" i="677"/>
  <c r="J4068" i="677"/>
  <c r="H4068" i="677"/>
  <c r="J4119" i="677"/>
  <c r="H4119" i="677"/>
  <c r="K4119" i="677" s="1"/>
  <c r="J4145" i="677"/>
  <c r="H4145" i="677"/>
  <c r="H4166" i="677"/>
  <c r="J4166" i="677"/>
  <c r="J3958" i="677"/>
  <c r="H3958" i="677"/>
  <c r="H3962" i="677"/>
  <c r="K3962" i="677" s="1"/>
  <c r="H3986" i="677"/>
  <c r="K3986" i="677" s="1"/>
  <c r="H3991" i="677"/>
  <c r="K3991" i="677" s="1"/>
  <c r="J3991" i="677"/>
  <c r="H4010" i="677"/>
  <c r="K4010" i="677" s="1"/>
  <c r="K4025" i="677"/>
  <c r="K4030" i="677"/>
  <c r="K4041" i="677"/>
  <c r="H4047" i="677"/>
  <c r="K4047" i="677" s="1"/>
  <c r="K4058" i="677"/>
  <c r="J4064" i="677"/>
  <c r="H4064" i="677"/>
  <c r="J4085" i="677"/>
  <c r="H4085" i="677"/>
  <c r="K4085" i="677" s="1"/>
  <c r="J4090" i="677"/>
  <c r="H4090" i="677"/>
  <c r="J4103" i="677"/>
  <c r="H4103" i="677"/>
  <c r="K4103" i="677" s="1"/>
  <c r="K4108" i="677"/>
  <c r="H4114" i="677"/>
  <c r="K4114" i="677" s="1"/>
  <c r="K4129" i="677"/>
  <c r="J4134" i="677"/>
  <c r="H4134" i="677"/>
  <c r="H4252" i="677"/>
  <c r="J4252" i="677"/>
  <c r="K3977" i="677"/>
  <c r="K4001" i="677"/>
  <c r="H4026" i="677"/>
  <c r="J4026" i="677"/>
  <c r="H4031" i="677"/>
  <c r="K4031" i="677" s="1"/>
  <c r="J4031" i="677"/>
  <c r="J4036" i="677"/>
  <c r="H4036" i="677"/>
  <c r="J4069" i="677"/>
  <c r="H4069" i="677"/>
  <c r="J4080" i="677"/>
  <c r="H4080" i="677"/>
  <c r="H4240" i="677"/>
  <c r="K4240" i="677" s="1"/>
  <c r="J4240" i="677"/>
  <c r="H3954" i="677"/>
  <c r="K3954" i="677" s="1"/>
  <c r="J3959" i="677"/>
  <c r="H3959" i="677"/>
  <c r="J3963" i="677"/>
  <c r="H3963" i="677"/>
  <c r="H3982" i="677"/>
  <c r="K3982" i="677" s="1"/>
  <c r="J3987" i="677"/>
  <c r="H3987" i="677"/>
  <c r="H4006" i="677"/>
  <c r="K4006" i="677" s="1"/>
  <c r="J4011" i="677"/>
  <c r="H4011" i="677"/>
  <c r="H4021" i="677"/>
  <c r="K4021" i="677" s="1"/>
  <c r="K4042" i="677"/>
  <c r="K4053" i="677"/>
  <c r="H4059" i="677"/>
  <c r="K4059" i="677" s="1"/>
  <c r="J4099" i="677"/>
  <c r="H4099" i="677"/>
  <c r="K4109" i="677"/>
  <c r="J4120" i="677"/>
  <c r="H4162" i="677"/>
  <c r="K4162" i="677" s="1"/>
  <c r="J4174" i="677"/>
  <c r="H4174" i="677"/>
  <c r="J3968" i="677"/>
  <c r="H3968" i="677"/>
  <c r="J3992" i="677"/>
  <c r="H3992" i="677"/>
  <c r="K3992" i="677" s="1"/>
  <c r="J4032" i="677"/>
  <c r="H4032" i="677"/>
  <c r="J4037" i="677"/>
  <c r="H4037" i="677"/>
  <c r="H4043" i="677"/>
  <c r="K4043" i="677" s="1"/>
  <c r="J4043" i="677"/>
  <c r="J4048" i="677"/>
  <c r="H4048" i="677"/>
  <c r="K4048" i="677" s="1"/>
  <c r="J4081" i="677"/>
  <c r="H4081" i="677"/>
  <c r="J4094" i="677"/>
  <c r="H4094" i="677"/>
  <c r="K4094" i="677" s="1"/>
  <c r="H4110" i="677"/>
  <c r="J4110" i="677"/>
  <c r="J4115" i="677"/>
  <c r="H4115" i="677"/>
  <c r="K4120" i="677"/>
  <c r="J3955" i="677"/>
  <c r="K3955" i="677" s="1"/>
  <c r="J3964" i="677"/>
  <c r="H3964" i="677"/>
  <c r="K3964" i="677" s="1"/>
  <c r="K3969" i="677"/>
  <c r="J3988" i="677"/>
  <c r="H3988" i="677"/>
  <c r="K3993" i="677"/>
  <c r="J4012" i="677"/>
  <c r="H4012" i="677"/>
  <c r="J4022" i="677"/>
  <c r="H4022" i="677"/>
  <c r="K4033" i="677"/>
  <c r="K4054" i="677"/>
  <c r="K4130" i="677"/>
  <c r="J4163" i="677"/>
  <c r="H4163" i="677"/>
  <c r="K4169" i="677"/>
  <c r="J4160" i="677"/>
  <c r="K4160" i="677" s="1"/>
  <c r="J4172" i="677"/>
  <c r="K4172" i="677" s="1"/>
  <c r="K4175" i="677"/>
  <c r="J4178" i="677"/>
  <c r="K4178" i="677" s="1"/>
  <c r="H4192" i="677"/>
  <c r="K4192" i="677" s="1"/>
  <c r="H4204" i="677"/>
  <c r="K4204" i="677" s="1"/>
  <c r="H4216" i="677"/>
  <c r="K4216" i="677" s="1"/>
  <c r="J4225" i="677"/>
  <c r="K4225" i="677" s="1"/>
  <c r="J4238" i="677"/>
  <c r="K4238" i="677" s="1"/>
  <c r="K4294" i="677"/>
  <c r="J4321" i="677"/>
  <c r="H4321" i="677"/>
  <c r="J4185" i="677"/>
  <c r="H4185" i="677"/>
  <c r="J4248" i="677"/>
  <c r="H4248" i="677"/>
  <c r="K4264" i="677"/>
  <c r="J4279" i="677"/>
  <c r="H4279" i="677"/>
  <c r="J4284" i="677"/>
  <c r="H4284" i="677"/>
  <c r="J4300" i="677"/>
  <c r="H4300" i="677"/>
  <c r="K4331" i="677"/>
  <c r="K4361" i="677"/>
  <c r="H4307" i="677"/>
  <c r="J4307" i="677"/>
  <c r="J4135" i="677"/>
  <c r="K4135" i="677" s="1"/>
  <c r="H4143" i="677"/>
  <c r="K4143" i="677" s="1"/>
  <c r="H4148" i="677"/>
  <c r="K4148" i="677" s="1"/>
  <c r="H4167" i="677"/>
  <c r="K4167" i="677" s="1"/>
  <c r="H4170" i="677"/>
  <c r="K4170" i="677" s="1"/>
  <c r="J4173" i="677"/>
  <c r="H4173" i="677"/>
  <c r="H4179" i="677"/>
  <c r="K4179" i="677" s="1"/>
  <c r="H4189" i="677"/>
  <c r="K4189" i="677" s="1"/>
  <c r="J4197" i="677"/>
  <c r="H4197" i="677"/>
  <c r="J4209" i="677"/>
  <c r="H4209" i="677"/>
  <c r="H4226" i="677"/>
  <c r="K4226" i="677" s="1"/>
  <c r="J4249" i="677"/>
  <c r="H4249" i="677"/>
  <c r="J4253" i="677"/>
  <c r="H4253" i="677"/>
  <c r="J4280" i="677"/>
  <c r="H4280" i="677"/>
  <c r="K4285" i="677"/>
  <c r="H4295" i="677"/>
  <c r="J4295" i="677"/>
  <c r="H4373" i="677"/>
  <c r="J4373" i="677"/>
  <c r="H4156" i="677"/>
  <c r="K4156" i="677" s="1"/>
  <c r="J4161" i="677"/>
  <c r="K4161" i="677" s="1"/>
  <c r="J4176" i="677"/>
  <c r="K4176" i="677" s="1"/>
  <c r="H4186" i="677"/>
  <c r="K4186" i="677" s="1"/>
  <c r="J4323" i="677"/>
  <c r="H4323" i="677"/>
  <c r="H4343" i="677"/>
  <c r="J4343" i="677"/>
  <c r="H4368" i="677"/>
  <c r="J4368" i="677"/>
  <c r="H3956" i="677"/>
  <c r="K3956" i="677" s="1"/>
  <c r="H3961" i="677"/>
  <c r="K3961" i="677" s="1"/>
  <c r="H3973" i="677"/>
  <c r="K3973" i="677" s="1"/>
  <c r="H3985" i="677"/>
  <c r="K3985" i="677" s="1"/>
  <c r="H3997" i="677"/>
  <c r="K3997" i="677" s="1"/>
  <c r="H4009" i="677"/>
  <c r="K4009" i="677" s="1"/>
  <c r="H4020" i="677"/>
  <c r="K4020" i="677" s="1"/>
  <c r="H4104" i="677"/>
  <c r="K4104" i="677" s="1"/>
  <c r="H4116" i="677"/>
  <c r="K4116" i="677" s="1"/>
  <c r="H4133" i="677"/>
  <c r="K4133" i="677" s="1"/>
  <c r="H4151" i="677"/>
  <c r="K4151" i="677" s="1"/>
  <c r="J4222" i="677"/>
  <c r="K4222" i="677" s="1"/>
  <c r="K4254" i="677"/>
  <c r="K4286" i="677"/>
  <c r="J4291" i="677"/>
  <c r="H4291" i="677"/>
  <c r="J4296" i="677"/>
  <c r="H4296" i="677"/>
  <c r="J4302" i="677"/>
  <c r="H4302" i="677"/>
  <c r="K4313" i="677"/>
  <c r="J4338" i="677"/>
  <c r="H4338" i="677"/>
  <c r="H4183" i="677"/>
  <c r="K4183" i="677" s="1"/>
  <c r="J4190" i="677"/>
  <c r="K4190" i="677" s="1"/>
  <c r="H4194" i="677"/>
  <c r="K4194" i="677" s="1"/>
  <c r="J4202" i="677"/>
  <c r="K4202" i="677" s="1"/>
  <c r="H4206" i="677"/>
  <c r="K4206" i="677" s="1"/>
  <c r="J4214" i="677"/>
  <c r="H4218" i="677"/>
  <c r="K4218" i="677" s="1"/>
  <c r="J4236" i="677"/>
  <c r="H4236" i="677"/>
  <c r="H4261" i="677"/>
  <c r="K4261" i="677" s="1"/>
  <c r="J4276" i="677"/>
  <c r="H4276" i="677"/>
  <c r="J4281" i="677"/>
  <c r="K4281" i="677" s="1"/>
  <c r="J4297" i="677"/>
  <c r="K4297" i="677" s="1"/>
  <c r="J4309" i="677"/>
  <c r="H4309" i="677"/>
  <c r="H4318" i="677"/>
  <c r="J4318" i="677"/>
  <c r="J4339" i="677"/>
  <c r="H4339" i="677"/>
  <c r="J4345" i="677"/>
  <c r="H4345" i="677"/>
  <c r="K4214" i="677"/>
  <c r="H4223" i="677"/>
  <c r="J4223" i="677"/>
  <c r="H4266" i="677"/>
  <c r="J4266" i="677"/>
  <c r="J4292" i="677"/>
  <c r="H4292" i="677"/>
  <c r="H4168" i="677"/>
  <c r="K4168" i="677" s="1"/>
  <c r="H4177" i="677"/>
  <c r="K4177" i="677" s="1"/>
  <c r="H4180" i="677"/>
  <c r="K4180" i="677" s="1"/>
  <c r="J4237" i="677"/>
  <c r="H4237" i="677"/>
  <c r="J4241" i="677"/>
  <c r="H4241" i="677"/>
  <c r="J4262" i="677"/>
  <c r="H4262" i="677"/>
  <c r="J4304" i="677"/>
  <c r="H4304" i="677"/>
  <c r="J4310" i="677"/>
  <c r="H4310" i="677"/>
  <c r="J4187" i="677"/>
  <c r="K4187" i="677" s="1"/>
  <c r="H4191" i="677"/>
  <c r="K4191" i="677" s="1"/>
  <c r="H4195" i="677"/>
  <c r="K4195" i="677" s="1"/>
  <c r="K4199" i="677"/>
  <c r="H4203" i="677"/>
  <c r="K4203" i="677" s="1"/>
  <c r="H4207" i="677"/>
  <c r="K4207" i="677" s="1"/>
  <c r="K4211" i="677"/>
  <c r="H4215" i="677"/>
  <c r="K4215" i="677" s="1"/>
  <c r="J4233" i="677"/>
  <c r="K4233" i="677" s="1"/>
  <c r="J4242" i="677"/>
  <c r="K4242" i="677" s="1"/>
  <c r="K4251" i="677"/>
  <c r="H4256" i="677"/>
  <c r="K4256" i="677" s="1"/>
  <c r="J4267" i="677"/>
  <c r="H4267" i="677"/>
  <c r="J4272" i="677"/>
  <c r="H4272" i="677"/>
  <c r="K4272" i="677" s="1"/>
  <c r="K4298" i="677"/>
  <c r="J4263" i="677"/>
  <c r="H4263" i="677"/>
  <c r="J4288" i="677"/>
  <c r="H4288" i="677"/>
  <c r="J4305" i="677"/>
  <c r="H4305" i="677"/>
  <c r="H4142" i="677"/>
  <c r="K4142" i="677" s="1"/>
  <c r="J4147" i="677"/>
  <c r="K4147" i="677" s="1"/>
  <c r="K4224" i="677"/>
  <c r="H4247" i="677"/>
  <c r="K4247" i="677" s="1"/>
  <c r="J4257" i="677"/>
  <c r="K4257" i="677" s="1"/>
  <c r="K4268" i="677"/>
  <c r="K4273" i="677"/>
  <c r="H4278" i="677"/>
  <c r="K4278" i="677" s="1"/>
  <c r="K4293" i="677"/>
  <c r="H4299" i="677"/>
  <c r="K4299" i="677" s="1"/>
  <c r="K4306" i="677"/>
  <c r="H4335" i="677"/>
  <c r="J4335" i="677"/>
  <c r="J4329" i="677"/>
  <c r="K4329" i="677" s="1"/>
  <c r="J4332" i="677"/>
  <c r="K4332" i="677" s="1"/>
  <c r="K4341" i="677"/>
  <c r="H4375" i="677"/>
  <c r="K4375" i="677" s="1"/>
  <c r="J4389" i="677"/>
  <c r="H4389" i="677"/>
  <c r="H4411" i="677"/>
  <c r="K4411" i="677" s="1"/>
  <c r="J4421" i="677"/>
  <c r="K4421" i="677" s="1"/>
  <c r="J4443" i="677"/>
  <c r="H4443" i="677"/>
  <c r="H4447" i="677"/>
  <c r="J4447" i="677"/>
  <c r="H4525" i="677"/>
  <c r="K4525" i="677" s="1"/>
  <c r="K4591" i="677"/>
  <c r="J4349" i="677"/>
  <c r="H4349" i="677"/>
  <c r="K4349" i="677" s="1"/>
  <c r="K4358" i="677"/>
  <c r="H4484" i="677"/>
  <c r="K4484" i="677" s="1"/>
  <c r="J4514" i="677"/>
  <c r="H4514" i="677"/>
  <c r="J4519" i="677"/>
  <c r="H4519" i="677"/>
  <c r="J4530" i="677"/>
  <c r="H4530" i="677"/>
  <c r="K4557" i="677"/>
  <c r="K4606" i="677"/>
  <c r="K4353" i="677"/>
  <c r="J4362" i="677"/>
  <c r="H4362" i="677"/>
  <c r="J4384" i="677"/>
  <c r="H4384" i="677"/>
  <c r="J4417" i="677"/>
  <c r="H4417" i="677"/>
  <c r="J4422" i="677"/>
  <c r="H4422" i="677"/>
  <c r="J4448" i="677"/>
  <c r="H4448" i="677"/>
  <c r="J4453" i="677"/>
  <c r="H4453" i="677"/>
  <c r="J4492" i="677"/>
  <c r="H4492" i="677"/>
  <c r="J4497" i="677"/>
  <c r="H4497" i="677"/>
  <c r="H4303" i="677"/>
  <c r="K4303" i="677" s="1"/>
  <c r="H4316" i="677"/>
  <c r="K4316" i="677" s="1"/>
  <c r="J4327" i="677"/>
  <c r="K4327" i="677" s="1"/>
  <c r="H4330" i="677"/>
  <c r="K4330" i="677" s="1"/>
  <c r="K4333" i="677"/>
  <c r="J4342" i="677"/>
  <c r="K4342" i="677" s="1"/>
  <c r="H4350" i="677"/>
  <c r="K4350" i="677" s="1"/>
  <c r="J4366" i="677"/>
  <c r="K4366" i="677" s="1"/>
  <c r="J4385" i="677"/>
  <c r="K4385" i="677" s="1"/>
  <c r="J4395" i="677"/>
  <c r="K4395" i="677" s="1"/>
  <c r="J4401" i="677"/>
  <c r="H4401" i="677"/>
  <c r="K4412" i="677"/>
  <c r="H4423" i="677"/>
  <c r="K4423" i="677" s="1"/>
  <c r="H4444" i="677"/>
  <c r="K4444" i="677" s="1"/>
  <c r="H4449" i="677"/>
  <c r="K4449" i="677" s="1"/>
  <c r="J4460" i="677"/>
  <c r="K4460" i="677" s="1"/>
  <c r="J4506" i="677"/>
  <c r="H4506" i="677"/>
  <c r="K4521" i="677"/>
  <c r="J4526" i="677"/>
  <c r="H4526" i="677"/>
  <c r="J4537" i="677"/>
  <c r="H4537" i="677"/>
  <c r="J4381" i="677"/>
  <c r="H4381" i="677"/>
  <c r="J4391" i="677"/>
  <c r="H4391" i="677"/>
  <c r="J4437" i="677"/>
  <c r="H4437" i="677"/>
  <c r="H4441" i="677"/>
  <c r="K4441" i="677" s="1"/>
  <c r="J4479" i="677"/>
  <c r="H4479" i="677"/>
  <c r="H4301" i="677"/>
  <c r="K4301" i="677" s="1"/>
  <c r="H4359" i="677"/>
  <c r="K4359" i="677" s="1"/>
  <c r="J4367" i="677"/>
  <c r="H4367" i="677"/>
  <c r="J4386" i="677"/>
  <c r="H4386" i="677"/>
  <c r="J4392" i="677"/>
  <c r="H4392" i="677"/>
  <c r="J4396" i="677"/>
  <c r="H4396" i="677"/>
  <c r="J4438" i="677"/>
  <c r="H4438" i="677"/>
  <c r="J4461" i="677"/>
  <c r="H4461" i="677"/>
  <c r="J4465" i="677"/>
  <c r="H4465" i="677"/>
  <c r="J4470" i="677"/>
  <c r="H4470" i="677"/>
  <c r="J4516" i="677"/>
  <c r="H4516" i="677"/>
  <c r="K4516" i="677" s="1"/>
  <c r="J4569" i="677"/>
  <c r="J4598" i="677" s="1"/>
  <c r="J22" i="677" s="1"/>
  <c r="H4569" i="677"/>
  <c r="J4623" i="677"/>
  <c r="J23" i="677" s="1"/>
  <c r="K23" i="677" s="1"/>
  <c r="J4347" i="677"/>
  <c r="K4347" i="677" s="1"/>
  <c r="J4351" i="677"/>
  <c r="H4351" i="677"/>
  <c r="J4354" i="677"/>
  <c r="H4354" i="677"/>
  <c r="H4387" i="677"/>
  <c r="K4387" i="677" s="1"/>
  <c r="J4397" i="677"/>
  <c r="J4407" i="677"/>
  <c r="K4407" i="677" s="1"/>
  <c r="J4413" i="677"/>
  <c r="H4413" i="677"/>
  <c r="K4424" i="677"/>
  <c r="K4445" i="677"/>
  <c r="J4450" i="677"/>
  <c r="H4450" i="677"/>
  <c r="J4462" i="677"/>
  <c r="K4462" i="677" s="1"/>
  <c r="J4466" i="677"/>
  <c r="K4466" i="677" s="1"/>
  <c r="J4471" i="677"/>
  <c r="K4471" i="677" s="1"/>
  <c r="J4475" i="677"/>
  <c r="K4475" i="677" s="1"/>
  <c r="J4480" i="677"/>
  <c r="K4480" i="677" s="1"/>
  <c r="J4489" i="677"/>
  <c r="K4489" i="677" s="1"/>
  <c r="J4494" i="677"/>
  <c r="H4494" i="677"/>
  <c r="J4501" i="677"/>
  <c r="H4501" i="677"/>
  <c r="J4511" i="677"/>
  <c r="K4511" i="677" s="1"/>
  <c r="K4549" i="677"/>
  <c r="J4364" i="677"/>
  <c r="H4364" i="677"/>
  <c r="J4377" i="677"/>
  <c r="H4377" i="677"/>
  <c r="K4397" i="677"/>
  <c r="J4403" i="677"/>
  <c r="H4403" i="677"/>
  <c r="J4451" i="677"/>
  <c r="H4451" i="677"/>
  <c r="J4454" i="677"/>
  <c r="H4454" i="677"/>
  <c r="J4522" i="677"/>
  <c r="H4522" i="677"/>
  <c r="J4355" i="677"/>
  <c r="K4355" i="677" s="1"/>
  <c r="H4378" i="677"/>
  <c r="K4378" i="677" s="1"/>
  <c r="J4393" i="677"/>
  <c r="H4393" i="677"/>
  <c r="J4398" i="677"/>
  <c r="H4398" i="677"/>
  <c r="J4404" i="677"/>
  <c r="H4404" i="677"/>
  <c r="J4408" i="677"/>
  <c r="H4408" i="677"/>
  <c r="J4439" i="677"/>
  <c r="H4439" i="677"/>
  <c r="J4455" i="677"/>
  <c r="H4455" i="677"/>
  <c r="J4481" i="677"/>
  <c r="H4481" i="677"/>
  <c r="K4481" i="677" s="1"/>
  <c r="J4517" i="677"/>
  <c r="H4517" i="677"/>
  <c r="J4533" i="677"/>
  <c r="K4533" i="677" s="1"/>
  <c r="J4369" i="677"/>
  <c r="H4369" i="677"/>
  <c r="K4388" i="677"/>
  <c r="H4399" i="677"/>
  <c r="K4399" i="677" s="1"/>
  <c r="J4409" i="677"/>
  <c r="J4419" i="677"/>
  <c r="K4419" i="677" s="1"/>
  <c r="J4425" i="677"/>
  <c r="H4425" i="677"/>
  <c r="J4446" i="677"/>
  <c r="H4446" i="677"/>
  <c r="J4482" i="677"/>
  <c r="K4482" i="677" s="1"/>
  <c r="J4495" i="677"/>
  <c r="H4495" i="677"/>
  <c r="H4502" i="677"/>
  <c r="K4502" i="677" s="1"/>
  <c r="J4512" i="677"/>
  <c r="H4512" i="677"/>
  <c r="J4528" i="677"/>
  <c r="H4528" i="677"/>
  <c r="K4595" i="677"/>
  <c r="J4344" i="677"/>
  <c r="H4344" i="677"/>
  <c r="K4370" i="677"/>
  <c r="K4409" i="677"/>
  <c r="J4415" i="677"/>
  <c r="H4415" i="677"/>
  <c r="K4415" i="677" s="1"/>
  <c r="J4435" i="677"/>
  <c r="H4435" i="677"/>
  <c r="J4452" i="677"/>
  <c r="H4452" i="677"/>
  <c r="K4452" i="677" s="1"/>
  <c r="J4463" i="677"/>
  <c r="H4463" i="677"/>
  <c r="K4463" i="677" s="1"/>
  <c r="J4468" i="677"/>
  <c r="H4468" i="677"/>
  <c r="J4490" i="677"/>
  <c r="H4490" i="677"/>
  <c r="J4503" i="677"/>
  <c r="H4503" i="677"/>
  <c r="J4508" i="677"/>
  <c r="H4508" i="677"/>
  <c r="J4534" i="677"/>
  <c r="H4534" i="677"/>
  <c r="J4315" i="677"/>
  <c r="K4315" i="677" s="1"/>
  <c r="J4326" i="677"/>
  <c r="K4326" i="677" s="1"/>
  <c r="J4357" i="677"/>
  <c r="H4357" i="677"/>
  <c r="K4357" i="677" s="1"/>
  <c r="J4374" i="677"/>
  <c r="H4374" i="677"/>
  <c r="J4379" i="677"/>
  <c r="H4379" i="677"/>
  <c r="K4383" i="677"/>
  <c r="J4405" i="677"/>
  <c r="H4405" i="677"/>
  <c r="J4410" i="677"/>
  <c r="H4410" i="677"/>
  <c r="K4410" i="677" s="1"/>
  <c r="J4416" i="677"/>
  <c r="H4416" i="677"/>
  <c r="J4420" i="677"/>
  <c r="H4420" i="677"/>
  <c r="J4436" i="677"/>
  <c r="H4436" i="677"/>
  <c r="J4456" i="677"/>
  <c r="H4456" i="677"/>
  <c r="J4487" i="677"/>
  <c r="H4487" i="677"/>
  <c r="H4491" i="677"/>
  <c r="K4491" i="677" s="1"/>
  <c r="J4504" i="677"/>
  <c r="K4504" i="677" s="1"/>
  <c r="J4509" i="677"/>
  <c r="H4509" i="677"/>
  <c r="J4524" i="677"/>
  <c r="H4524" i="677"/>
  <c r="J4535" i="677"/>
  <c r="K4535" i="677" s="1"/>
  <c r="K4572" i="677"/>
  <c r="H4474" i="677"/>
  <c r="K4474" i="677" s="1"/>
  <c r="H4485" i="677"/>
  <c r="K4485" i="677" s="1"/>
  <c r="H4496" i="677"/>
  <c r="K4496" i="677" s="1"/>
  <c r="H4507" i="677"/>
  <c r="K4507" i="677" s="1"/>
  <c r="H4518" i="677"/>
  <c r="K4518" i="677" s="1"/>
  <c r="K4600" i="677"/>
  <c r="K4623" i="677" s="1"/>
  <c r="H4472" i="677"/>
  <c r="K4472" i="677" s="1"/>
  <c r="H4476" i="677"/>
  <c r="K4476" i="677" s="1"/>
  <c r="H4483" i="677"/>
  <c r="K4483" i="677" s="1"/>
  <c r="H4505" i="677"/>
  <c r="K4505" i="677" s="1"/>
  <c r="H4536" i="677"/>
  <c r="K4536" i="677" s="1"/>
  <c r="H4581" i="677"/>
  <c r="K4581" i="677" s="1"/>
  <c r="H4589" i="677"/>
  <c r="K4589" i="677" s="1"/>
  <c r="H4493" i="677"/>
  <c r="K4493" i="677" s="1"/>
  <c r="H4515" i="677"/>
  <c r="K4515" i="677" s="1"/>
  <c r="H4529" i="677"/>
  <c r="K4529" i="677" s="1"/>
  <c r="H4548" i="677"/>
  <c r="K4548" i="677" s="1"/>
  <c r="H4571" i="677"/>
  <c r="K4571" i="677" s="1"/>
  <c r="H4590" i="677"/>
  <c r="K4590" i="677" s="1"/>
  <c r="H4527" i="677"/>
  <c r="K4527" i="677" s="1"/>
  <c r="H4587" i="677"/>
  <c r="K4587" i="677" s="1"/>
  <c r="H34" i="676"/>
  <c r="K40" i="676"/>
  <c r="K75" i="676" s="1"/>
  <c r="K13" i="676" s="1"/>
  <c r="K34" i="676" s="1"/>
  <c r="F31" i="268" s="1"/>
  <c r="K80" i="676"/>
  <c r="K129" i="676" s="1"/>
  <c r="K4517" i="677" l="1"/>
  <c r="K4377" i="677"/>
  <c r="K4526" i="677"/>
  <c r="K4492" i="677"/>
  <c r="K4389" i="677"/>
  <c r="K4267" i="677"/>
  <c r="K4304" i="677"/>
  <c r="K4073" i="677"/>
  <c r="K4040" i="677"/>
  <c r="K4105" i="677"/>
  <c r="K3576" i="677"/>
  <c r="K3558" i="677"/>
  <c r="K3415" i="677"/>
  <c r="K3366" i="677"/>
  <c r="K3201" i="677"/>
  <c r="K3462" i="677"/>
  <c r="K2872" i="677"/>
  <c r="K2784" i="677"/>
  <c r="K3078" i="677"/>
  <c r="K2692" i="677"/>
  <c r="K2627" i="677"/>
  <c r="K2676" i="677"/>
  <c r="K3038" i="677"/>
  <c r="K2880" i="677"/>
  <c r="K2803" i="677"/>
  <c r="K2740" i="677"/>
  <c r="K2698" i="677"/>
  <c r="K2438" i="677"/>
  <c r="K2467" i="677"/>
  <c r="K2517" i="677"/>
  <c r="K2486" i="677"/>
  <c r="K2852" i="677"/>
  <c r="K2209" i="677"/>
  <c r="K2271" i="677"/>
  <c r="K967" i="677"/>
  <c r="K758" i="677"/>
  <c r="K713" i="677"/>
  <c r="K1193" i="677"/>
  <c r="K224" i="677"/>
  <c r="K596" i="677"/>
  <c r="K141" i="677"/>
  <c r="K124" i="677"/>
  <c r="K3849" i="677"/>
  <c r="K4087" i="677"/>
  <c r="K4324" i="677"/>
  <c r="K3932" i="677"/>
  <c r="K4062" i="677"/>
  <c r="K3953" i="677"/>
  <c r="K3352" i="677"/>
  <c r="K3837" i="677"/>
  <c r="K3689" i="677"/>
  <c r="K3881" i="677"/>
  <c r="K3696" i="677"/>
  <c r="K2629" i="677"/>
  <c r="K3525" i="677"/>
  <c r="K3041" i="677"/>
  <c r="K2540" i="677"/>
  <c r="K3470" i="677"/>
  <c r="K2988" i="677"/>
  <c r="K1330" i="677"/>
  <c r="K4459" i="677"/>
  <c r="K3709" i="677"/>
  <c r="K292" i="677"/>
  <c r="K368" i="677"/>
  <c r="K185" i="677"/>
  <c r="K354" i="677"/>
  <c r="K258" i="677"/>
  <c r="K440" i="677"/>
  <c r="K4101" i="677"/>
  <c r="K3210" i="677"/>
  <c r="K1224" i="677"/>
  <c r="K4566" i="677"/>
  <c r="K3380" i="677"/>
  <c r="K3094" i="677"/>
  <c r="K3145" i="677"/>
  <c r="K3064" i="677"/>
  <c r="K2674" i="677"/>
  <c r="K2975" i="677"/>
  <c r="K2313" i="677"/>
  <c r="K2360" i="677"/>
  <c r="K2359" i="677"/>
  <c r="K1053" i="677"/>
  <c r="K3221" i="677"/>
  <c r="K3171" i="677"/>
  <c r="K4487" i="677"/>
  <c r="K4436" i="677"/>
  <c r="K4447" i="677"/>
  <c r="K4098" i="677"/>
  <c r="K3593" i="677"/>
  <c r="K3140" i="677"/>
  <c r="K418" i="677"/>
  <c r="K335" i="677"/>
  <c r="K278" i="677"/>
  <c r="K490" i="677"/>
  <c r="K421" i="677"/>
  <c r="K244" i="677"/>
  <c r="K189" i="677"/>
  <c r="K329" i="677"/>
  <c r="K239" i="677"/>
  <c r="K389" i="677"/>
  <c r="K304" i="677"/>
  <c r="K460" i="677"/>
  <c r="K285" i="677"/>
  <c r="K74" i="677"/>
  <c r="K3806" i="677"/>
  <c r="K3869" i="677"/>
  <c r="K3704" i="677"/>
  <c r="K3630" i="677"/>
  <c r="K3540" i="677"/>
  <c r="K3669" i="677"/>
  <c r="K3867" i="677"/>
  <c r="K3771" i="677"/>
  <c r="K3079" i="677"/>
  <c r="K2458" i="677"/>
  <c r="K2377" i="677"/>
  <c r="K2480" i="677"/>
  <c r="K3047" i="677"/>
  <c r="K3132" i="677"/>
  <c r="K2849" i="677"/>
  <c r="K2771" i="677"/>
  <c r="K2435" i="677"/>
  <c r="K1721" i="677"/>
  <c r="K2444" i="677"/>
  <c r="K2180" i="677"/>
  <c r="K2188" i="677"/>
  <c r="K1267" i="677"/>
  <c r="K4018" i="677"/>
  <c r="K3778" i="677"/>
  <c r="K3367" i="677"/>
  <c r="K2904" i="677"/>
  <c r="K3899" i="677"/>
  <c r="K3212" i="677"/>
  <c r="K4369" i="677"/>
  <c r="K4403" i="677"/>
  <c r="K256" i="677"/>
  <c r="K66" i="677"/>
  <c r="K164" i="677"/>
  <c r="K150" i="677"/>
  <c r="K115" i="677"/>
  <c r="K3945" i="677"/>
  <c r="K3915" i="677"/>
  <c r="K3759" i="677"/>
  <c r="K4153" i="677"/>
  <c r="K4227" i="677"/>
  <c r="K3865" i="677"/>
  <c r="K4371" i="677"/>
  <c r="K4046" i="677"/>
  <c r="K4158" i="677"/>
  <c r="K3743" i="677"/>
  <c r="K4334" i="677"/>
  <c r="K3651" i="677"/>
  <c r="K3381" i="677"/>
  <c r="K3176" i="677"/>
  <c r="K3592" i="677"/>
  <c r="K3563" i="677"/>
  <c r="K3494" i="677"/>
  <c r="K3723" i="677"/>
  <c r="K3404" i="677"/>
  <c r="K3193" i="677"/>
  <c r="K3720" i="677"/>
  <c r="K3068" i="677"/>
  <c r="K2509" i="677"/>
  <c r="K2716" i="677"/>
  <c r="K2966" i="677"/>
  <c r="K2395" i="677"/>
  <c r="K2689" i="677"/>
  <c r="K1327" i="677"/>
  <c r="K4405" i="677"/>
  <c r="K4479" i="677"/>
  <c r="K4514" i="677"/>
  <c r="K4309" i="677"/>
  <c r="K4174" i="677"/>
  <c r="K4039" i="677"/>
  <c r="K3793" i="677"/>
  <c r="K3560" i="677"/>
  <c r="K3164" i="677"/>
  <c r="K3163" i="677"/>
  <c r="K3066" i="677"/>
  <c r="K2717" i="677"/>
  <c r="K3160" i="677"/>
  <c r="K3039" i="677"/>
  <c r="K2854" i="677"/>
  <c r="K2999" i="677"/>
  <c r="K2669" i="677"/>
  <c r="K2998" i="677"/>
  <c r="K2848" i="677"/>
  <c r="K2586" i="677"/>
  <c r="K2500" i="677"/>
  <c r="K2649" i="677"/>
  <c r="K2749" i="677"/>
  <c r="K2857" i="677"/>
  <c r="K2352" i="677"/>
  <c r="K2233" i="677"/>
  <c r="K2432" i="677"/>
  <c r="K2295" i="677"/>
  <c r="K2143" i="677"/>
  <c r="K2353" i="677"/>
  <c r="K2240" i="677"/>
  <c r="K2175" i="677"/>
  <c r="K2241" i="677"/>
  <c r="K2065" i="677"/>
  <c r="K2067" i="677"/>
  <c r="K1324" i="677"/>
  <c r="K1517" i="677"/>
  <c r="K1276" i="677"/>
  <c r="K1562" i="677"/>
  <c r="K1348" i="677"/>
  <c r="K1125" i="677"/>
  <c r="K988" i="677"/>
  <c r="K1156" i="677"/>
  <c r="K969" i="677"/>
  <c r="K975" i="677"/>
  <c r="K875" i="677"/>
  <c r="K1003" i="677"/>
  <c r="K1204" i="677"/>
  <c r="K386" i="677"/>
  <c r="K543" i="677"/>
  <c r="K589" i="677"/>
  <c r="K484" i="677"/>
  <c r="K548" i="677"/>
  <c r="K448" i="677"/>
  <c r="K356" i="677"/>
  <c r="K539" i="677"/>
  <c r="K379" i="677"/>
  <c r="K420" i="677"/>
  <c r="K359" i="677"/>
  <c r="K3747" i="677"/>
  <c r="K4076" i="677"/>
  <c r="K4337" i="677"/>
  <c r="K3263" i="677"/>
  <c r="K3441" i="677"/>
  <c r="K2368" i="677"/>
  <c r="K2183" i="677"/>
  <c r="K1959" i="677"/>
  <c r="K1196" i="677"/>
  <c r="K128" i="677"/>
  <c r="K77" i="677"/>
  <c r="K157" i="677"/>
  <c r="K1055" i="677"/>
  <c r="K160" i="677"/>
  <c r="K148" i="677"/>
  <c r="K133" i="677"/>
  <c r="K187" i="677"/>
  <c r="K362" i="677"/>
  <c r="K330" i="677"/>
  <c r="K547" i="677"/>
  <c r="K945" i="677"/>
  <c r="K625" i="677"/>
  <c r="K98" i="677"/>
  <c r="K446" i="677"/>
  <c r="K3681" i="677"/>
  <c r="K3642" i="677"/>
  <c r="K3863" i="677"/>
  <c r="K3042" i="677"/>
  <c r="K4508" i="677"/>
  <c r="K4425" i="677"/>
  <c r="K4470" i="677"/>
  <c r="K4461" i="677"/>
  <c r="K4391" i="677"/>
  <c r="K4237" i="677"/>
  <c r="K4252" i="677"/>
  <c r="K4145" i="677"/>
  <c r="K4127" i="677"/>
  <c r="K4051" i="677"/>
  <c r="K3764" i="677"/>
  <c r="K1737" i="677"/>
  <c r="K137" i="677"/>
  <c r="K308" i="677"/>
  <c r="K91" i="677"/>
  <c r="K3917" i="677"/>
  <c r="K3682" i="677"/>
  <c r="K3531" i="677"/>
  <c r="K3209" i="677"/>
  <c r="K2521" i="677"/>
  <c r="K3005" i="677"/>
  <c r="K2354" i="677"/>
  <c r="K3121" i="677"/>
  <c r="K2351" i="677"/>
  <c r="K3316" i="677"/>
  <c r="K2609" i="677"/>
  <c r="K2326" i="677"/>
  <c r="K3949" i="677"/>
  <c r="K4141" i="677"/>
  <c r="K3761" i="677"/>
  <c r="K1174" i="677"/>
  <c r="K345" i="677"/>
  <c r="K4335" i="677"/>
  <c r="K4263" i="677"/>
  <c r="K4373" i="677"/>
  <c r="K4012" i="677"/>
  <c r="K4032" i="677"/>
  <c r="K3882" i="677"/>
  <c r="K3803" i="677"/>
  <c r="K3732" i="677"/>
  <c r="K3750" i="677"/>
  <c r="K4084" i="677"/>
  <c r="K4003" i="677"/>
  <c r="K3594" i="677"/>
  <c r="K3673" i="677"/>
  <c r="K3546" i="677"/>
  <c r="K3937" i="677"/>
  <c r="K3545" i="677"/>
  <c r="K3605" i="677"/>
  <c r="K3579" i="677"/>
  <c r="K3493" i="677"/>
  <c r="K3469" i="677"/>
  <c r="K3290" i="677"/>
  <c r="K3486" i="677"/>
  <c r="K3298" i="677"/>
  <c r="K3242" i="677"/>
  <c r="K3007" i="677"/>
  <c r="K3173" i="677"/>
  <c r="K3011" i="677"/>
  <c r="K3136" i="677"/>
  <c r="K3036" i="677"/>
  <c r="K3135" i="677"/>
  <c r="K3044" i="677"/>
  <c r="K3148" i="677"/>
  <c r="K3216" i="677"/>
  <c r="K3119" i="677"/>
  <c r="K2813" i="677"/>
  <c r="K2706" i="677"/>
  <c r="K2868" i="677"/>
  <c r="K2529" i="677"/>
  <c r="K2832" i="677"/>
  <c r="K3010" i="677"/>
  <c r="K2801" i="677"/>
  <c r="K2704" i="677"/>
  <c r="K2537" i="677"/>
  <c r="K2527" i="677"/>
  <c r="K2741" i="677"/>
  <c r="K2541" i="677"/>
  <c r="K2512" i="677"/>
  <c r="K2490" i="677"/>
  <c r="K2551" i="677"/>
  <c r="K3220" i="677"/>
  <c r="K2934" i="677"/>
  <c r="K3906" i="677"/>
  <c r="K2270" i="677"/>
  <c r="K2348" i="677"/>
  <c r="K2312" i="677"/>
  <c r="K2229" i="677"/>
  <c r="K2299" i="677"/>
  <c r="K2610" i="677"/>
  <c r="K2166" i="677"/>
  <c r="K2425" i="677"/>
  <c r="K2282" i="677"/>
  <c r="K2060" i="677"/>
  <c r="K2164" i="677"/>
  <c r="K1412" i="677"/>
  <c r="K1046" i="677"/>
  <c r="K870" i="677"/>
  <c r="K648" i="677"/>
  <c r="K599" i="677"/>
  <c r="K568" i="677"/>
  <c r="K424" i="677"/>
  <c r="K400" i="677"/>
  <c r="K336" i="677"/>
  <c r="K510" i="677"/>
  <c r="K405" i="677"/>
  <c r="K549" i="677"/>
  <c r="K637" i="677"/>
  <c r="K272" i="677"/>
  <c r="K580" i="677"/>
  <c r="K409" i="677"/>
  <c r="K276" i="677"/>
  <c r="K243" i="677"/>
  <c r="K577" i="677"/>
  <c r="K537" i="677"/>
  <c r="K353" i="677"/>
  <c r="K322" i="677"/>
  <c r="K257" i="677"/>
  <c r="K670" i="677"/>
  <c r="K439" i="677"/>
  <c r="K388" i="677"/>
  <c r="K81" i="677"/>
  <c r="K143" i="677"/>
  <c r="K112" i="677"/>
  <c r="K153" i="677"/>
  <c r="K85" i="677"/>
  <c r="K123" i="677"/>
  <c r="K51" i="677"/>
  <c r="K48" i="677"/>
  <c r="K67" i="677"/>
  <c r="K47" i="677"/>
  <c r="K4246" i="677"/>
  <c r="K4124" i="677"/>
  <c r="K3889" i="677"/>
  <c r="K4171" i="677"/>
  <c r="K4152" i="677"/>
  <c r="K3879" i="677"/>
  <c r="K3838" i="677"/>
  <c r="K4486" i="677"/>
  <c r="K4523" i="677"/>
  <c r="K4074" i="677"/>
  <c r="K3721" i="677"/>
  <c r="K4346" i="677"/>
  <c r="K3276" i="677"/>
  <c r="K3455" i="677"/>
  <c r="K3372" i="677"/>
  <c r="K3331" i="677"/>
  <c r="K3877" i="677"/>
  <c r="K3692" i="677"/>
  <c r="K3590" i="677"/>
  <c r="K3110" i="677"/>
  <c r="K3653" i="677"/>
  <c r="K2941" i="677"/>
  <c r="K2552" i="677"/>
  <c r="K3449" i="677"/>
  <c r="K3478" i="677"/>
  <c r="K3097" i="677"/>
  <c r="K2685" i="677"/>
  <c r="K2817" i="677"/>
  <c r="K2838" i="677"/>
  <c r="K2511" i="677"/>
  <c r="K2919" i="677"/>
  <c r="K2624" i="677"/>
  <c r="K2526" i="677"/>
  <c r="K1230" i="677"/>
  <c r="K1148" i="677"/>
  <c r="K2201" i="677"/>
  <c r="K2052" i="677"/>
  <c r="K1533" i="677"/>
  <c r="K1139" i="677"/>
  <c r="K2189" i="677"/>
  <c r="K1300" i="677"/>
  <c r="K1250" i="677"/>
  <c r="K3384" i="677"/>
  <c r="K3240" i="677"/>
  <c r="K4126" i="677"/>
  <c r="K3568" i="677"/>
  <c r="K3772" i="677"/>
  <c r="K3746" i="677"/>
  <c r="K3788" i="677"/>
  <c r="K3757" i="677"/>
  <c r="K3429" i="677"/>
  <c r="K1707" i="677"/>
  <c r="K1289" i="677"/>
  <c r="K4524" i="677"/>
  <c r="K4420" i="677"/>
  <c r="K4501" i="677"/>
  <c r="K4279" i="677"/>
  <c r="K4089" i="677"/>
  <c r="K4061" i="677"/>
  <c r="K4111" i="677"/>
  <c r="K3888" i="677"/>
  <c r="K3754" i="677"/>
  <c r="K3510" i="677"/>
  <c r="K3386" i="677"/>
  <c r="K3654" i="677"/>
  <c r="K3536" i="677"/>
  <c r="K3428" i="677"/>
  <c r="K3430" i="677"/>
  <c r="K3309" i="677"/>
  <c r="K786" i="677"/>
  <c r="K4509" i="677"/>
  <c r="K4416" i="677"/>
  <c r="K4468" i="677"/>
  <c r="K4344" i="677"/>
  <c r="K4446" i="677"/>
  <c r="K4494" i="677"/>
  <c r="K4413" i="677"/>
  <c r="K4266" i="677"/>
  <c r="K4209" i="677"/>
  <c r="K4022" i="677"/>
  <c r="K4115" i="677"/>
  <c r="K4037" i="677"/>
  <c r="K4078" i="677"/>
  <c r="K3883" i="677"/>
  <c r="K4060" i="677"/>
  <c r="K3854" i="677"/>
  <c r="K3740" i="677"/>
  <c r="K3691" i="677"/>
  <c r="K3567" i="677"/>
  <c r="K3522" i="677"/>
  <c r="K3920" i="677"/>
  <c r="K3703" i="677"/>
  <c r="K3521" i="677"/>
  <c r="K3925" i="677"/>
  <c r="K3613" i="677"/>
  <c r="K3416" i="677"/>
  <c r="K3125" i="677"/>
  <c r="K3167" i="677"/>
  <c r="K2963" i="677"/>
  <c r="K2751" i="677"/>
  <c r="K2725" i="677"/>
  <c r="K2539" i="677"/>
  <c r="K2908" i="677"/>
  <c r="K2461" i="677"/>
  <c r="K2323" i="677"/>
  <c r="K1171" i="677"/>
  <c r="K1426" i="677"/>
  <c r="K3715" i="677"/>
  <c r="K3628" i="677"/>
  <c r="K3515" i="677"/>
  <c r="K4455" i="677"/>
  <c r="K4392" i="677"/>
  <c r="K4448" i="677"/>
  <c r="K4276" i="677"/>
  <c r="K4338" i="677"/>
  <c r="K4295" i="677"/>
  <c r="K4307" i="677"/>
  <c r="K4185" i="677"/>
  <c r="K4000" i="677"/>
  <c r="K4144" i="677"/>
  <c r="K3980" i="677"/>
  <c r="K3855" i="677"/>
  <c r="K4070" i="677"/>
  <c r="K3637" i="677"/>
  <c r="K3538" i="677"/>
  <c r="K3612" i="677"/>
  <c r="K3196" i="677"/>
  <c r="K3230" i="677"/>
  <c r="K3115" i="677"/>
  <c r="K2951" i="677"/>
  <c r="K3103" i="677"/>
  <c r="K4354" i="677"/>
  <c r="K4422" i="677"/>
  <c r="K4343" i="677"/>
  <c r="K3988" i="677"/>
  <c r="K4118" i="677"/>
  <c r="K4077" i="677"/>
  <c r="K3552" i="677"/>
  <c r="K3847" i="677"/>
  <c r="K3608" i="677"/>
  <c r="K3625" i="677"/>
  <c r="K3831" i="677"/>
  <c r="K3620" i="677"/>
  <c r="K3480" i="677"/>
  <c r="K3667" i="677"/>
  <c r="K3931" i="677"/>
  <c r="K3666" i="677"/>
  <c r="K3476" i="677"/>
  <c r="K3661" i="677"/>
  <c r="K3487" i="677"/>
  <c r="K3516" i="677"/>
  <c r="K3643" i="677"/>
  <c r="K1095" i="677"/>
  <c r="K998" i="677"/>
  <c r="K882" i="677"/>
  <c r="K936" i="677"/>
  <c r="K4465" i="677"/>
  <c r="K4519" i="677"/>
  <c r="K4236" i="677"/>
  <c r="K4302" i="677"/>
  <c r="K4323" i="677"/>
  <c r="K4173" i="677"/>
  <c r="K4300" i="677"/>
  <c r="K4321" i="677"/>
  <c r="K4068" i="677"/>
  <c r="K4123" i="677"/>
  <c r="K4052" i="677"/>
  <c r="K4023" i="677"/>
  <c r="K3859" i="677"/>
  <c r="K3825" i="677"/>
  <c r="K2429" i="677"/>
  <c r="K2286" i="677"/>
  <c r="K4379" i="677"/>
  <c r="K4503" i="677"/>
  <c r="K4351" i="677"/>
  <c r="K4417" i="677"/>
  <c r="K4443" i="677"/>
  <c r="K4305" i="677"/>
  <c r="K4339" i="677"/>
  <c r="K4011" i="677"/>
  <c r="K3900" i="677"/>
  <c r="K3776" i="677"/>
  <c r="K3797" i="677"/>
  <c r="K3170" i="677"/>
  <c r="K3062" i="677"/>
  <c r="K2718" i="677"/>
  <c r="K2628" i="677"/>
  <c r="K2856" i="677"/>
  <c r="K2775" i="677"/>
  <c r="K4404" i="677"/>
  <c r="K4454" i="677"/>
  <c r="K4537" i="677"/>
  <c r="K4401" i="677"/>
  <c r="K4497" i="677"/>
  <c r="K4384" i="677"/>
  <c r="K4292" i="677"/>
  <c r="K4249" i="677"/>
  <c r="K4132" i="677"/>
  <c r="K4066" i="677"/>
  <c r="K3600" i="677"/>
  <c r="K3887" i="677"/>
  <c r="K3979" i="677"/>
  <c r="K3978" i="677"/>
  <c r="K3916" i="677"/>
  <c r="K3557" i="677"/>
  <c r="K3791" i="677"/>
  <c r="K3748" i="677"/>
  <c r="K3535" i="677"/>
  <c r="K3456" i="677"/>
  <c r="K3629" i="677"/>
  <c r="K3534" i="677"/>
  <c r="K3452" i="677"/>
  <c r="K3500" i="677"/>
  <c r="K3463" i="677"/>
  <c r="K3350" i="677"/>
  <c r="K3321" i="677"/>
  <c r="K2836" i="677"/>
  <c r="K2341" i="677"/>
  <c r="K3325" i="677"/>
  <c r="K3211" i="677"/>
  <c r="K3354" i="677"/>
  <c r="K3583" i="677"/>
  <c r="K3334" i="677"/>
  <c r="K3292" i="677"/>
  <c r="K3051" i="677"/>
  <c r="K3345" i="677"/>
  <c r="K2826" i="677"/>
  <c r="K3127" i="677"/>
  <c r="K2708" i="677"/>
  <c r="K2844" i="677"/>
  <c r="K3074" i="677"/>
  <c r="K2507" i="677"/>
  <c r="K2640" i="677"/>
  <c r="K2358" i="677"/>
  <c r="K2371" i="677"/>
  <c r="K2266" i="677"/>
  <c r="K2349" i="677"/>
  <c r="K2174" i="677"/>
  <c r="K1754" i="677"/>
  <c r="K1987" i="677"/>
  <c r="K1310" i="677"/>
  <c r="K1548" i="677"/>
  <c r="K1387" i="677"/>
  <c r="K1484" i="677"/>
  <c r="K1286" i="677"/>
  <c r="K1523" i="677"/>
  <c r="K1302" i="677"/>
  <c r="K974" i="677"/>
  <c r="K726" i="677"/>
  <c r="K341" i="677"/>
  <c r="K645" i="677"/>
  <c r="K586" i="677"/>
  <c r="K441" i="677"/>
  <c r="K289" i="677"/>
  <c r="K88" i="677"/>
  <c r="K162" i="677"/>
  <c r="K4376" i="677"/>
  <c r="K4498" i="677"/>
  <c r="K3913" i="677"/>
  <c r="K3539" i="677"/>
  <c r="K3419" i="677"/>
  <c r="K3635" i="677"/>
  <c r="K3318" i="677"/>
  <c r="K3850" i="677"/>
  <c r="K3080" i="677"/>
  <c r="K3399" i="677"/>
  <c r="K2690" i="677"/>
  <c r="K2382" i="677"/>
  <c r="K3092" i="677"/>
  <c r="K2230" i="677"/>
  <c r="K1575" i="677"/>
  <c r="K1167" i="677"/>
  <c r="K216" i="677"/>
  <c r="K4229" i="677"/>
  <c r="K4488" i="677"/>
  <c r="K4086" i="677"/>
  <c r="K3120" i="677"/>
  <c r="K86" i="677"/>
  <c r="K483" i="677"/>
  <c r="K165" i="677"/>
  <c r="K470" i="677"/>
  <c r="K378" i="677"/>
  <c r="K3056" i="677"/>
  <c r="J1569" i="677"/>
  <c r="J15" i="677" s="1"/>
  <c r="K1058" i="677"/>
  <c r="K771" i="677"/>
  <c r="K640" i="677"/>
  <c r="K283" i="677"/>
  <c r="K3773" i="677"/>
  <c r="K3657" i="677"/>
  <c r="K3443" i="677"/>
  <c r="K2428" i="677"/>
  <c r="K2597" i="677"/>
  <c r="K3138" i="677"/>
  <c r="K2342" i="677"/>
  <c r="K2267" i="677"/>
  <c r="K2463" i="677"/>
  <c r="K1005" i="677"/>
  <c r="K346" i="677"/>
  <c r="K458" i="677"/>
  <c r="K720" i="677"/>
  <c r="K1738" i="677"/>
  <c r="K4196" i="677"/>
  <c r="K4382" i="677"/>
  <c r="K3852" i="677"/>
  <c r="K2965" i="677"/>
  <c r="K2456" i="677"/>
  <c r="K2936" i="677"/>
  <c r="K2787" i="677"/>
  <c r="K2468" i="677"/>
  <c r="K1326" i="677"/>
  <c r="K1982" i="677"/>
  <c r="K1424" i="677"/>
  <c r="K3387" i="677"/>
  <c r="K3237" i="677"/>
  <c r="K3283" i="677"/>
  <c r="K3158" i="677"/>
  <c r="K3099" i="677"/>
  <c r="K3048" i="677"/>
  <c r="K2830" i="677"/>
  <c r="K3139" i="677"/>
  <c r="K2762" i="677"/>
  <c r="K3006" i="677"/>
  <c r="K3159" i="677"/>
  <c r="K2994" i="677"/>
  <c r="K2750" i="677"/>
  <c r="K2645" i="677"/>
  <c r="K2473" i="677"/>
  <c r="K2843" i="677"/>
  <c r="K1709" i="677"/>
  <c r="J2121" i="677"/>
  <c r="K2121" i="677" s="1"/>
  <c r="J1600" i="677"/>
  <c r="J16" i="677" s="1"/>
  <c r="K592" i="677"/>
  <c r="K1016" i="677"/>
  <c r="K262" i="677"/>
  <c r="K209" i="677"/>
  <c r="K4260" i="677"/>
  <c r="K3577" i="677"/>
  <c r="K3385" i="677"/>
  <c r="K3610" i="677"/>
  <c r="K3713" i="677"/>
  <c r="K3410" i="677"/>
  <c r="K2475" i="677"/>
  <c r="K3599" i="677"/>
  <c r="K2585" i="677"/>
  <c r="K3360" i="677"/>
  <c r="K2583" i="677"/>
  <c r="K2920" i="677"/>
  <c r="K2391" i="677"/>
  <c r="K2222" i="677"/>
  <c r="K562" i="677"/>
  <c r="K82" i="677"/>
  <c r="K712" i="677"/>
  <c r="K2489" i="677"/>
  <c r="E2122" i="677"/>
  <c r="K1753" i="677"/>
  <c r="K1756" i="677"/>
  <c r="K502" i="677"/>
  <c r="K573" i="677"/>
  <c r="K563" i="677"/>
  <c r="K4282" i="677"/>
  <c r="J34" i="676"/>
  <c r="K89" i="677"/>
  <c r="K326" i="677"/>
  <c r="K746" i="677"/>
  <c r="K3894" i="677"/>
  <c r="K3655" i="677"/>
  <c r="K3492" i="677"/>
  <c r="K3702" i="677"/>
  <c r="K3434" i="677"/>
  <c r="K3697" i="677"/>
  <c r="K3488" i="677"/>
  <c r="K3679" i="677"/>
  <c r="K3503" i="677"/>
  <c r="K3555" i="677"/>
  <c r="K3432" i="677"/>
  <c r="K3375" i="677"/>
  <c r="K3532" i="677"/>
  <c r="K3254" i="677"/>
  <c r="K3151" i="677"/>
  <c r="K3003" i="677"/>
  <c r="K2935" i="677"/>
  <c r="K3147" i="677"/>
  <c r="K2990" i="677"/>
  <c r="K2825" i="677"/>
  <c r="K3077" i="677"/>
  <c r="K2900" i="677"/>
  <c r="K2909" i="677"/>
  <c r="K2879" i="677"/>
  <c r="K2807" i="677"/>
  <c r="K2520" i="677"/>
  <c r="K2449" i="677"/>
  <c r="K2396" i="677"/>
  <c r="K2492" i="677"/>
  <c r="K2421" i="677"/>
  <c r="K2300" i="677"/>
  <c r="K2393" i="677"/>
  <c r="K2190" i="677"/>
  <c r="K2451" i="677"/>
  <c r="K2374" i="677"/>
  <c r="K2413" i="677"/>
  <c r="K2225" i="677"/>
  <c r="K2214" i="677"/>
  <c r="K1719" i="677"/>
  <c r="K1217" i="677"/>
  <c r="K1540" i="677"/>
  <c r="K1356" i="677"/>
  <c r="K1221" i="677"/>
  <c r="K1531" i="677"/>
  <c r="K1437" i="677"/>
  <c r="K1361" i="677"/>
  <c r="K1534" i="677"/>
  <c r="K1349" i="677"/>
  <c r="K1413" i="677"/>
  <c r="K1198" i="677"/>
  <c r="K1480" i="677"/>
  <c r="K2417" i="677"/>
  <c r="K1172" i="677"/>
  <c r="K956" i="677"/>
  <c r="K947" i="677"/>
  <c r="K1029" i="677"/>
  <c r="K890" i="677"/>
  <c r="K457" i="677"/>
  <c r="K290" i="677"/>
  <c r="K551" i="677"/>
  <c r="K178" i="677"/>
  <c r="K97" i="677"/>
  <c r="K4352" i="677"/>
  <c r="K3786" i="677"/>
  <c r="K3921" i="677"/>
  <c r="K3762" i="677"/>
  <c r="K4363" i="677"/>
  <c r="K4157" i="677"/>
  <c r="K3706" i="677"/>
  <c r="K3615" i="677"/>
  <c r="K3251" i="677"/>
  <c r="K3219" i="677"/>
  <c r="K3137" i="677"/>
  <c r="K3401" i="677"/>
  <c r="K3878" i="677"/>
  <c r="K3261" i="677"/>
  <c r="K3356" i="677"/>
  <c r="K3674" i="677"/>
  <c r="K2768" i="677"/>
  <c r="K2399" i="677"/>
  <c r="K3305" i="677"/>
  <c r="K3359" i="677"/>
  <c r="K2636" i="677"/>
  <c r="K2386" i="677"/>
  <c r="K2589" i="677"/>
  <c r="K1725" i="677"/>
  <c r="K1482" i="677"/>
  <c r="K2402" i="677"/>
  <c r="K293" i="677"/>
  <c r="K953" i="677"/>
  <c r="K186" i="677"/>
  <c r="K477" i="677"/>
  <c r="K68" i="677"/>
  <c r="K367" i="677"/>
  <c r="K1347" i="677"/>
  <c r="K1271" i="677"/>
  <c r="K1252" i="677"/>
  <c r="K950" i="677"/>
  <c r="K807" i="677"/>
  <c r="K753" i="677"/>
  <c r="K1395" i="677"/>
  <c r="K996" i="677"/>
  <c r="K1062" i="677"/>
  <c r="K183" i="677"/>
  <c r="K159" i="677"/>
  <c r="K94" i="677"/>
  <c r="K58" i="677"/>
  <c r="K175" i="677"/>
  <c r="K173" i="677"/>
  <c r="K4234" i="677"/>
  <c r="K3827" i="677"/>
  <c r="K3989" i="677"/>
  <c r="K3684" i="677"/>
  <c r="K3611" i="677"/>
  <c r="K3208" i="677"/>
  <c r="K3289" i="677"/>
  <c r="K2757" i="677"/>
  <c r="K3405" i="677"/>
  <c r="K2837" i="677"/>
  <c r="K2339" i="677"/>
  <c r="K230" i="677"/>
  <c r="K318" i="677"/>
  <c r="K435" i="677"/>
  <c r="K59" i="677"/>
  <c r="K769" i="677"/>
  <c r="K352" i="677"/>
  <c r="K2431" i="677"/>
  <c r="K932" i="677"/>
  <c r="K478" i="677"/>
  <c r="K1045" i="677"/>
  <c r="K532" i="677"/>
  <c r="K45" i="677"/>
  <c r="K4418" i="677"/>
  <c r="K3828" i="677"/>
  <c r="K3461" i="677"/>
  <c r="K3264" i="677"/>
  <c r="K2301" i="677"/>
  <c r="J866" i="677"/>
  <c r="H866" i="677"/>
  <c r="K3912" i="677"/>
  <c r="K3223" i="677"/>
  <c r="K3337" i="677"/>
  <c r="K3280" i="677"/>
  <c r="K3369" i="677"/>
  <c r="K2723" i="677"/>
  <c r="K2871" i="677"/>
  <c r="K2789" i="677"/>
  <c r="K2683" i="677"/>
  <c r="K2657" i="677"/>
  <c r="K2860" i="677"/>
  <c r="K2761" i="677"/>
  <c r="K2524" i="677"/>
  <c r="K2802" i="677"/>
  <c r="K2553" i="677"/>
  <c r="K2543" i="677"/>
  <c r="K2525" i="677"/>
  <c r="K2488" i="677"/>
  <c r="K2736" i="677"/>
  <c r="K2387" i="677"/>
  <c r="K2238" i="677"/>
  <c r="K2265" i="677"/>
  <c r="K3052" i="677"/>
  <c r="K2310" i="677"/>
  <c r="K2375" i="677"/>
  <c r="K2253" i="677"/>
  <c r="K2171" i="677"/>
  <c r="K2252" i="677"/>
  <c r="K2487" i="677"/>
  <c r="K2334" i="677"/>
  <c r="K2200" i="677"/>
  <c r="K2245" i="677"/>
  <c r="K2401" i="677"/>
  <c r="K1214" i="677"/>
  <c r="K914" i="677"/>
  <c r="K973" i="677"/>
  <c r="K959" i="677"/>
  <c r="K277" i="677"/>
  <c r="K380" i="677"/>
  <c r="K222" i="677"/>
  <c r="K546" i="677"/>
  <c r="K453" i="677"/>
  <c r="K373" i="677"/>
  <c r="K733" i="677"/>
  <c r="K488" i="677"/>
  <c r="K106" i="677"/>
  <c r="K4088" i="677"/>
  <c r="K4340" i="677"/>
  <c r="K3774" i="677"/>
  <c r="K4232" i="677"/>
  <c r="K3800" i="677"/>
  <c r="K3489" i="677"/>
  <c r="K3735" i="677"/>
  <c r="K3491" i="677"/>
  <c r="K3660" i="677"/>
  <c r="K3433" i="677"/>
  <c r="E2138" i="677"/>
  <c r="J2137" i="677"/>
  <c r="K2137" i="677" s="1"/>
  <c r="K3218" i="677"/>
  <c r="K3297" i="677"/>
  <c r="K2745" i="677"/>
  <c r="K2646" i="677"/>
  <c r="K3285" i="677"/>
  <c r="K1726" i="677"/>
  <c r="K3437" i="677"/>
  <c r="K2658" i="677"/>
  <c r="K2738" i="677"/>
  <c r="K2268" i="677"/>
  <c r="K1288" i="677"/>
  <c r="K2246" i="677"/>
  <c r="K198" i="677"/>
  <c r="K394" i="677"/>
  <c r="K631" i="677"/>
  <c r="K4374" i="677"/>
  <c r="K4490" i="677"/>
  <c r="K4495" i="677"/>
  <c r="K4408" i="677"/>
  <c r="K4522" i="677"/>
  <c r="K4396" i="677"/>
  <c r="K4310" i="677"/>
  <c r="K4080" i="677"/>
  <c r="K4188" i="677"/>
  <c r="K4002" i="677"/>
  <c r="K3941" i="677"/>
  <c r="K4007" i="677"/>
  <c r="K4038" i="677"/>
  <c r="K3871" i="677"/>
  <c r="K3738" i="677"/>
  <c r="K3813" i="677"/>
  <c r="K3498" i="677"/>
  <c r="K3537" i="677"/>
  <c r="K3749" i="677"/>
  <c r="K3781" i="677"/>
  <c r="K3570" i="677"/>
  <c r="K3468" i="677"/>
  <c r="K3619" i="677"/>
  <c r="K3548" i="677"/>
  <c r="K3464" i="677"/>
  <c r="K3529" i="677"/>
  <c r="K3644" i="677"/>
  <c r="K3475" i="677"/>
  <c r="K3512" i="677"/>
  <c r="K3319" i="677"/>
  <c r="K3363" i="677"/>
  <c r="K3349" i="677"/>
  <c r="K3362" i="677"/>
  <c r="K3542" i="677"/>
  <c r="K3225" i="677"/>
  <c r="K3307" i="677"/>
  <c r="K2922" i="677"/>
  <c r="K3155" i="677"/>
  <c r="K3154" i="677"/>
  <c r="K2943" i="677"/>
  <c r="K2967" i="677"/>
  <c r="K2729" i="677"/>
  <c r="K2794" i="677"/>
  <c r="K3018" i="677"/>
  <c r="K2895" i="677"/>
  <c r="K3082" i="677"/>
  <c r="K3146" i="677"/>
  <c r="K2930" i="677"/>
  <c r="K2818" i="677"/>
  <c r="K2947" i="677"/>
  <c r="K2711" i="677"/>
  <c r="K2724" i="677"/>
  <c r="K2737" i="677"/>
  <c r="K2548" i="677"/>
  <c r="K2884" i="677"/>
  <c r="K2621" i="677"/>
  <c r="K2514" i="677"/>
  <c r="K2491" i="677"/>
  <c r="K2888" i="677"/>
  <c r="K2495" i="677"/>
  <c r="K2786" i="677"/>
  <c r="K2619" i="677"/>
  <c r="K2450" i="677"/>
  <c r="K2720" i="677"/>
  <c r="K2502" i="677"/>
  <c r="K2389" i="677"/>
  <c r="K2405" i="677"/>
  <c r="K2296" i="677"/>
  <c r="K2305" i="677"/>
  <c r="K2113" i="677"/>
  <c r="K2581" i="677"/>
  <c r="K2283" i="677"/>
  <c r="K2423" i="677"/>
  <c r="K2208" i="677"/>
  <c r="K2144" i="677"/>
  <c r="J2122" i="677"/>
  <c r="H2122" i="677"/>
  <c r="K2244" i="677"/>
  <c r="K1708" i="677"/>
  <c r="K2224" i="677"/>
  <c r="K1514" i="677"/>
  <c r="K1256" i="677"/>
  <c r="K1357" i="677"/>
  <c r="K1463" i="677"/>
  <c r="K1483" i="677"/>
  <c r="K1285" i="677"/>
  <c r="K1207" i="677"/>
  <c r="K2408" i="677"/>
  <c r="K1316" i="677"/>
  <c r="K1176" i="677"/>
  <c r="K1396" i="677"/>
  <c r="H1163" i="677"/>
  <c r="J1163" i="677"/>
  <c r="E1165" i="677"/>
  <c r="K1314" i="677"/>
  <c r="K910" i="677"/>
  <c r="K1272" i="677"/>
  <c r="K955" i="677"/>
  <c r="K811" i="677"/>
  <c r="K968" i="677"/>
  <c r="K805" i="677"/>
  <c r="K783" i="677"/>
  <c r="J678" i="677"/>
  <c r="E680" i="677"/>
  <c r="H678" i="677"/>
  <c r="K929" i="677"/>
  <c r="K1134" i="677"/>
  <c r="K912" i="677"/>
  <c r="K1228" i="677"/>
  <c r="K1325" i="677"/>
  <c r="K846" i="677"/>
  <c r="K658" i="677"/>
  <c r="K569" i="677"/>
  <c r="K361" i="677"/>
  <c r="K190" i="677"/>
  <c r="K729" i="677"/>
  <c r="K210" i="677"/>
  <c r="K447" i="677"/>
  <c r="J397" i="677"/>
  <c r="H397" i="677"/>
  <c r="K316" i="677"/>
  <c r="K564" i="677"/>
  <c r="K309" i="677"/>
  <c r="J104" i="677"/>
  <c r="H104" i="677"/>
  <c r="K104" i="677" s="1"/>
  <c r="K321" i="677"/>
  <c r="K139" i="677"/>
  <c r="K132" i="677"/>
  <c r="K179" i="677"/>
  <c r="K146" i="677"/>
  <c r="K4437" i="677"/>
  <c r="K4506" i="677"/>
  <c r="K4453" i="677"/>
  <c r="K4362" i="677"/>
  <c r="K4288" i="677"/>
  <c r="K4345" i="677"/>
  <c r="K4197" i="677"/>
  <c r="K3987" i="677"/>
  <c r="K4064" i="677"/>
  <c r="K3958" i="677"/>
  <c r="K3976" i="677"/>
  <c r="K4149" i="677"/>
  <c r="K3975" i="677"/>
  <c r="K4138" i="677"/>
  <c r="K4028" i="677"/>
  <c r="K3564" i="677"/>
  <c r="K3919" i="677"/>
  <c r="K3719" i="677"/>
  <c r="K3842" i="677"/>
  <c r="K3649" i="677"/>
  <c r="K3617" i="677"/>
  <c r="K3718" i="677"/>
  <c r="K3572" i="677"/>
  <c r="K3571" i="677"/>
  <c r="K3457" i="677"/>
  <c r="K3595" i="677"/>
  <c r="K3194" i="677"/>
  <c r="K3268" i="677"/>
  <c r="K3259" i="677"/>
  <c r="K3185" i="677"/>
  <c r="K3275" i="677"/>
  <c r="K3113" i="677"/>
  <c r="K2831" i="677"/>
  <c r="K2815" i="677"/>
  <c r="K2767" i="677"/>
  <c r="K2642" i="677"/>
  <c r="K2681" i="677"/>
  <c r="K3031" i="677"/>
  <c r="K2982" i="677"/>
  <c r="K2971" i="677"/>
  <c r="K2519" i="677"/>
  <c r="K2878" i="677"/>
  <c r="K2531" i="677"/>
  <c r="K2892" i="677"/>
  <c r="K2249" i="677"/>
  <c r="K2406" i="677"/>
  <c r="K2279" i="677"/>
  <c r="K2394" i="677"/>
  <c r="K2098" i="677"/>
  <c r="K2346" i="677"/>
  <c r="K2186" i="677"/>
  <c r="K2381" i="677"/>
  <c r="K2257" i="677"/>
  <c r="K2361" i="677"/>
  <c r="K2293" i="677"/>
  <c r="K2538" i="677"/>
  <c r="K2379" i="677"/>
  <c r="K2204" i="677"/>
  <c r="K2280" i="677"/>
  <c r="K2705" i="677"/>
  <c r="K2161" i="677"/>
  <c r="K2256" i="677"/>
  <c r="S1767" i="677"/>
  <c r="J1767" i="677"/>
  <c r="H1767" i="677"/>
  <c r="E1792" i="677"/>
  <c r="K1498" i="677"/>
  <c r="K1378" i="677"/>
  <c r="K1273" i="677"/>
  <c r="J1781" i="677"/>
  <c r="H1781" i="677"/>
  <c r="E1806" i="677"/>
  <c r="S1781" i="677"/>
  <c r="K1485" i="677"/>
  <c r="K1377" i="677"/>
  <c r="K1264" i="677"/>
  <c r="J1044" i="677"/>
  <c r="H1044" i="677"/>
  <c r="K1431" i="677"/>
  <c r="K1467" i="677"/>
  <c r="K2412" i="677"/>
  <c r="K1197" i="677"/>
  <c r="K1205" i="677"/>
  <c r="K1037" i="677"/>
  <c r="K1054" i="677"/>
  <c r="K785" i="677"/>
  <c r="K1141" i="677"/>
  <c r="K1065" i="677"/>
  <c r="K1128" i="677"/>
  <c r="K902" i="677"/>
  <c r="K1030" i="677"/>
  <c r="K1028" i="677"/>
  <c r="K1002" i="677"/>
  <c r="K989" i="677"/>
  <c r="K528" i="677"/>
  <c r="K417" i="677"/>
  <c r="K288" i="677"/>
  <c r="K647" i="677"/>
  <c r="K472" i="677"/>
  <c r="K507" i="677"/>
  <c r="K506" i="677"/>
  <c r="K469" i="677"/>
  <c r="K578" i="677"/>
  <c r="K461" i="677"/>
  <c r="K138" i="677"/>
  <c r="K177" i="677"/>
  <c r="K55" i="677"/>
  <c r="K4248" i="677"/>
  <c r="K4069" i="677"/>
  <c r="K4134" i="677"/>
  <c r="K3943" i="677"/>
  <c r="K4137" i="677"/>
  <c r="K3830" i="677"/>
  <c r="K3983" i="677"/>
  <c r="E2095" i="677"/>
  <c r="J2094" i="677"/>
  <c r="H2094" i="677"/>
  <c r="J1220" i="677"/>
  <c r="H1220" i="677"/>
  <c r="E1222" i="677"/>
  <c r="E1776" i="677"/>
  <c r="M1765" i="677" s="1"/>
  <c r="J1750" i="677"/>
  <c r="S1750" i="677"/>
  <c r="H1750" i="677"/>
  <c r="M1735" i="677"/>
  <c r="K1572" i="677"/>
  <c r="K1600" i="677" s="1"/>
  <c r="H1600" i="677"/>
  <c r="H16" i="677" s="1"/>
  <c r="K16" i="677" s="1"/>
  <c r="J925" i="677"/>
  <c r="H925" i="677"/>
  <c r="J623" i="677"/>
  <c r="H623" i="677"/>
  <c r="J202" i="677"/>
  <c r="H202" i="677"/>
  <c r="K3775" i="677"/>
  <c r="K3569" i="677"/>
  <c r="K3736" i="677"/>
  <c r="K3841" i="677"/>
  <c r="K3581" i="677"/>
  <c r="K3474" i="677"/>
  <c r="K3439" i="677"/>
  <c r="K3088" i="677"/>
  <c r="K1362" i="677"/>
  <c r="K1265" i="677"/>
  <c r="K1755" i="677"/>
  <c r="K1458" i="677"/>
  <c r="K1371" i="677"/>
  <c r="K1392" i="677"/>
  <c r="J1782" i="677"/>
  <c r="H1782" i="677"/>
  <c r="E1807" i="677"/>
  <c r="S1782" i="677"/>
  <c r="K1563" i="677"/>
  <c r="K1391" i="677"/>
  <c r="K1169" i="677"/>
  <c r="K1448" i="677"/>
  <c r="K1157" i="677"/>
  <c r="K1778" i="677"/>
  <c r="K1341" i="677"/>
  <c r="K1185" i="677"/>
  <c r="K994" i="677"/>
  <c r="K976" i="677"/>
  <c r="K780" i="677"/>
  <c r="K1136" i="677"/>
  <c r="K692" i="677"/>
  <c r="K931" i="677"/>
  <c r="K668" i="677"/>
  <c r="K1052" i="677"/>
  <c r="K731" i="677"/>
  <c r="K1051" i="677"/>
  <c r="K896" i="677"/>
  <c r="K687" i="677"/>
  <c r="K1017" i="677"/>
  <c r="K520" i="677"/>
  <c r="K284" i="677"/>
  <c r="K527" i="677"/>
  <c r="K412" i="677"/>
  <c r="K639" i="677"/>
  <c r="K479" i="677"/>
  <c r="K590" i="677"/>
  <c r="K444" i="677"/>
  <c r="K626" i="677"/>
  <c r="K508" i="677"/>
  <c r="K340" i="677"/>
  <c r="K491" i="677"/>
  <c r="K608" i="677"/>
  <c r="K594" i="677"/>
  <c r="K454" i="677"/>
  <c r="K372" i="677"/>
  <c r="K170" i="677"/>
  <c r="K116" i="677"/>
  <c r="K4398" i="677"/>
  <c r="K4364" i="677"/>
  <c r="K4386" i="677"/>
  <c r="K4262" i="677"/>
  <c r="K4296" i="677"/>
  <c r="K4280" i="677"/>
  <c r="K4099" i="677"/>
  <c r="K3963" i="677"/>
  <c r="K4036" i="677"/>
  <c r="K4166" i="677"/>
  <c r="K4283" i="677"/>
  <c r="K4019" i="677"/>
  <c r="K3802" i="677"/>
  <c r="K4095" i="677"/>
  <c r="K3929" i="677"/>
  <c r="K4044" i="677"/>
  <c r="K3818" i="677"/>
  <c r="K3876" i="677"/>
  <c r="K3875" i="677"/>
  <c r="K3690" i="677"/>
  <c r="K3446" i="677"/>
  <c r="K3445" i="677"/>
  <c r="K3727" i="677"/>
  <c r="K3517" i="677"/>
  <c r="K3726" i="677"/>
  <c r="K3520" i="677"/>
  <c r="K3907" i="677"/>
  <c r="K3533" i="677"/>
  <c r="K3451" i="677"/>
  <c r="K3320" i="677"/>
  <c r="K3422" i="677"/>
  <c r="K3295" i="677"/>
  <c r="K3333" i="677"/>
  <c r="K3607" i="677"/>
  <c r="K3244" i="677"/>
  <c r="K3361" i="677"/>
  <c r="K3528" i="677"/>
  <c r="K3213" i="677"/>
  <c r="K3678" i="677"/>
  <c r="K3169" i="677"/>
  <c r="K2964" i="677"/>
  <c r="K3326" i="677"/>
  <c r="K2866" i="677"/>
  <c r="K2773" i="677"/>
  <c r="K2678" i="677"/>
  <c r="K2956" i="677"/>
  <c r="K2652" i="677"/>
  <c r="K2855" i="677"/>
  <c r="K2666" i="677"/>
  <c r="K2912" i="677"/>
  <c r="K2693" i="677"/>
  <c r="K2549" i="677"/>
  <c r="K2616" i="677"/>
  <c r="K2842" i="677"/>
  <c r="K2576" i="677"/>
  <c r="K2471" i="677"/>
  <c r="K2695" i="677"/>
  <c r="K2508" i="677"/>
  <c r="K2565" i="677"/>
  <c r="K2440" i="677"/>
  <c r="K2479" i="677"/>
  <c r="K2483" i="677"/>
  <c r="K2213" i="677"/>
  <c r="K2383" i="677"/>
  <c r="K2191" i="677"/>
  <c r="K2380" i="677"/>
  <c r="K2226" i="677"/>
  <c r="K2333" i="677"/>
  <c r="K2462" i="677"/>
  <c r="J2145" i="677"/>
  <c r="H2145" i="677"/>
  <c r="S1780" i="677"/>
  <c r="E1805" i="677"/>
  <c r="J1780" i="677"/>
  <c r="H1780" i="677"/>
  <c r="K2343" i="677"/>
  <c r="K2092" i="677"/>
  <c r="K2400" i="677"/>
  <c r="K1446" i="677"/>
  <c r="K1428" i="677"/>
  <c r="K1293" i="677"/>
  <c r="K1442" i="677"/>
  <c r="K2002" i="677"/>
  <c r="K1374" i="677"/>
  <c r="K1244" i="677"/>
  <c r="J1803" i="677"/>
  <c r="H1803" i="677"/>
  <c r="E1828" i="677"/>
  <c r="S1803" i="677"/>
  <c r="K1270" i="677"/>
  <c r="J986" i="677"/>
  <c r="H986" i="677"/>
  <c r="K750" i="677"/>
  <c r="K987" i="677"/>
  <c r="J863" i="677"/>
  <c r="H863" i="677"/>
  <c r="E865" i="677"/>
  <c r="K1096" i="677"/>
  <c r="K938" i="677"/>
  <c r="J269" i="677"/>
  <c r="H269" i="677"/>
  <c r="K269" i="677" s="1"/>
  <c r="K171" i="677"/>
  <c r="J136" i="677"/>
  <c r="H136" i="677"/>
  <c r="H4598" i="677"/>
  <c r="H22" i="677" s="1"/>
  <c r="K22" i="677" s="1"/>
  <c r="E2116" i="677"/>
  <c r="J2115" i="677"/>
  <c r="H2115" i="677"/>
  <c r="K1736" i="677"/>
  <c r="E1108" i="677"/>
  <c r="J1106" i="677"/>
  <c r="H1106" i="677"/>
  <c r="J1109" i="677"/>
  <c r="H1109" i="677"/>
  <c r="J983" i="677"/>
  <c r="E985" i="677"/>
  <c r="H983" i="677"/>
  <c r="J740" i="677"/>
  <c r="H740" i="677"/>
  <c r="K1133" i="677"/>
  <c r="K911" i="677"/>
  <c r="K519" i="677"/>
  <c r="J365" i="677"/>
  <c r="H365" i="677"/>
  <c r="K295" i="677"/>
  <c r="K303" i="677"/>
  <c r="K52" i="677"/>
  <c r="K4534" i="677"/>
  <c r="K4528" i="677"/>
  <c r="K4393" i="677"/>
  <c r="K4450" i="677"/>
  <c r="K4367" i="677"/>
  <c r="K4381" i="677"/>
  <c r="K4530" i="677"/>
  <c r="K4241" i="677"/>
  <c r="K4318" i="677"/>
  <c r="K4291" i="677"/>
  <c r="K4253" i="677"/>
  <c r="K4110" i="677"/>
  <c r="K3959" i="677"/>
  <c r="K4004" i="677"/>
  <c r="K3895" i="677"/>
  <c r="K3744" i="677"/>
  <c r="K3790" i="677"/>
  <c r="K3947" i="677"/>
  <c r="K3967" i="677"/>
  <c r="K3631" i="677"/>
  <c r="K3374" i="677"/>
  <c r="K3640" i="677"/>
  <c r="K3505" i="677"/>
  <c r="K3504" i="677"/>
  <c r="K3785" i="677"/>
  <c r="K3440" i="677"/>
  <c r="K3392" i="677"/>
  <c r="K3291" i="677"/>
  <c r="K3499" i="677"/>
  <c r="K3126" i="677"/>
  <c r="K2955" i="677"/>
  <c r="K3123" i="677"/>
  <c r="K3111" i="677"/>
  <c r="K2835" i="677"/>
  <c r="K2763" i="677"/>
  <c r="K2663" i="677"/>
  <c r="K2926" i="677"/>
  <c r="K3364" i="677"/>
  <c r="K2604" i="677"/>
  <c r="K3089" i="677"/>
  <c r="K2859" i="677"/>
  <c r="K2766" i="677"/>
  <c r="K2651" i="677"/>
  <c r="K2907" i="677"/>
  <c r="K2654" i="677"/>
  <c r="K2443" i="677"/>
  <c r="K2592" i="677"/>
  <c r="K2806" i="677"/>
  <c r="K2568" i="677"/>
  <c r="K2447" i="677"/>
  <c r="K2811" i="677"/>
  <c r="K2567" i="677"/>
  <c r="K2466" i="677"/>
  <c r="K2561" i="677"/>
  <c r="K3250" i="677"/>
  <c r="K2630" i="677"/>
  <c r="K3255" i="677"/>
  <c r="K2791" i="677"/>
  <c r="K2560" i="677"/>
  <c r="K2459" i="677"/>
  <c r="K2474" i="677"/>
  <c r="K2322" i="677"/>
  <c r="K2883" i="677"/>
  <c r="K2357" i="677"/>
  <c r="K2187" i="677"/>
  <c r="K2228" i="677"/>
  <c r="K2496" i="677"/>
  <c r="K2336" i="677"/>
  <c r="K2345" i="677"/>
  <c r="K2457" i="677"/>
  <c r="K2329" i="677"/>
  <c r="K2216" i="677"/>
  <c r="K2199" i="677"/>
  <c r="K2441" i="677"/>
  <c r="K1949" i="677"/>
  <c r="K2847" i="677"/>
  <c r="K2340" i="677"/>
  <c r="K1358" i="677"/>
  <c r="E1791" i="677"/>
  <c r="J1766" i="677"/>
  <c r="S1766" i="677"/>
  <c r="H1766" i="677"/>
  <c r="K1421" i="677"/>
  <c r="K1260" i="677"/>
  <c r="K1529" i="677"/>
  <c r="K1376" i="677"/>
  <c r="K1564" i="677"/>
  <c r="K1408" i="677"/>
  <c r="K1158" i="677"/>
  <c r="K1315" i="677"/>
  <c r="K1411" i="677"/>
  <c r="K1257" i="677"/>
  <c r="K1209" i="677"/>
  <c r="K977" i="677"/>
  <c r="H739" i="677"/>
  <c r="J739" i="677"/>
  <c r="K1074" i="677"/>
  <c r="K849" i="677"/>
  <c r="K747" i="677"/>
  <c r="K1313" i="677"/>
  <c r="K1024" i="677"/>
  <c r="K930" i="677"/>
  <c r="K742" i="677"/>
  <c r="J1166" i="677"/>
  <c r="H1166" i="677"/>
  <c r="K1011" i="677"/>
  <c r="K1115" i="677"/>
  <c r="K1088" i="677"/>
  <c r="K252" i="677"/>
  <c r="K600" i="677"/>
  <c r="K251" i="677"/>
  <c r="K423" i="677"/>
  <c r="J561" i="677"/>
  <c r="H561" i="677"/>
  <c r="K561" i="677" s="1"/>
  <c r="K391" i="677"/>
  <c r="K684" i="677"/>
  <c r="K324" i="677"/>
  <c r="K205" i="677"/>
  <c r="K530" i="677"/>
  <c r="K291" i="677"/>
  <c r="K633" i="677"/>
  <c r="K348" i="677"/>
  <c r="K217" i="677"/>
  <c r="K197" i="677"/>
  <c r="K434" i="677"/>
  <c r="J301" i="677"/>
  <c r="H301" i="677"/>
  <c r="K121" i="677"/>
  <c r="K84" i="677"/>
  <c r="K54" i="677"/>
  <c r="J2100" i="677"/>
  <c r="H2100" i="677"/>
  <c r="J464" i="677"/>
  <c r="H464" i="677"/>
  <c r="J333" i="677"/>
  <c r="H333" i="677"/>
  <c r="K4155" i="677"/>
  <c r="K4122" i="677"/>
  <c r="K3527" i="677"/>
  <c r="K3896" i="677"/>
  <c r="K3616" i="677"/>
  <c r="K3843" i="677"/>
  <c r="K3200" i="677"/>
  <c r="K3023" i="677"/>
  <c r="K2785" i="677"/>
  <c r="K2639" i="677"/>
  <c r="K3032" i="677"/>
  <c r="K2563" i="677"/>
  <c r="K2442" i="677"/>
  <c r="K2437" i="677"/>
  <c r="K2532" i="677"/>
  <c r="K3130" i="677"/>
  <c r="K2754" i="677"/>
  <c r="K2503" i="677"/>
  <c r="K3312" i="677"/>
  <c r="K2641" i="677"/>
  <c r="K2454" i="677"/>
  <c r="K2469" i="677"/>
  <c r="K2307" i="677"/>
  <c r="K2655" i="677"/>
  <c r="K2446" i="677"/>
  <c r="K2321" i="677"/>
  <c r="K2513" i="677"/>
  <c r="K2221" i="677"/>
  <c r="K2091" i="677"/>
  <c r="K2309" i="677"/>
  <c r="K2325" i="677"/>
  <c r="K2485" i="677"/>
  <c r="K2317" i="677"/>
  <c r="K2074" i="677"/>
  <c r="K2261" i="677"/>
  <c r="S1768" i="677"/>
  <c r="H1768" i="677"/>
  <c r="J1768" i="677"/>
  <c r="E1793" i="677"/>
  <c r="K2370" i="677"/>
  <c r="K2328" i="677"/>
  <c r="K1329" i="677"/>
  <c r="K1229" i="677"/>
  <c r="K1507" i="677"/>
  <c r="K1297" i="677"/>
  <c r="K1528" i="677"/>
  <c r="K1154" i="677"/>
  <c r="J560" i="677"/>
  <c r="H560" i="677"/>
  <c r="K327" i="677"/>
  <c r="K471" i="677"/>
  <c r="J501" i="677"/>
  <c r="H501" i="677"/>
  <c r="K64" i="677"/>
  <c r="K127" i="677"/>
  <c r="K4456" i="677"/>
  <c r="H4538" i="677"/>
  <c r="H21" i="677" s="1"/>
  <c r="K4435" i="677"/>
  <c r="K4512" i="677"/>
  <c r="K4439" i="677"/>
  <c r="K4451" i="677"/>
  <c r="K4569" i="677"/>
  <c r="K4598" i="677" s="1"/>
  <c r="K4438" i="677"/>
  <c r="K4223" i="677"/>
  <c r="K4284" i="677"/>
  <c r="K4163" i="677"/>
  <c r="K4081" i="677"/>
  <c r="K3968" i="677"/>
  <c r="K4026" i="677"/>
  <c r="K4090" i="677"/>
  <c r="K4150" i="677"/>
  <c r="K4063" i="677"/>
  <c r="K4107" i="677"/>
  <c r="K4056" i="677"/>
  <c r="K4049" i="677"/>
  <c r="K3588" i="677"/>
  <c r="K3777" i="677"/>
  <c r="K3864" i="677"/>
  <c r="K3789" i="677"/>
  <c r="K3928" i="677"/>
  <c r="K3758" i="677"/>
  <c r="K4212" i="677"/>
  <c r="K3866" i="677"/>
  <c r="K3632" i="677"/>
  <c r="K3884" i="677"/>
  <c r="K3641" i="677"/>
  <c r="K3584" i="677"/>
  <c r="K3481" i="677"/>
  <c r="K3591" i="677"/>
  <c r="K3582" i="677"/>
  <c r="K3648" i="677"/>
  <c r="K3450" i="677"/>
  <c r="K3332" i="677"/>
  <c r="K3559" i="677"/>
  <c r="K3409" i="677"/>
  <c r="K3256" i="677"/>
  <c r="K3247" i="677"/>
  <c r="K3271" i="677"/>
  <c r="K3114" i="677"/>
  <c r="K2931" i="677"/>
  <c r="K3086" i="677"/>
  <c r="K3107" i="677"/>
  <c r="K3084" i="677"/>
  <c r="K2986" i="677"/>
  <c r="K3308" i="677"/>
  <c r="K2867" i="677"/>
  <c r="K2774" i="677"/>
  <c r="K2728" i="677"/>
  <c r="K2633" i="677"/>
  <c r="K2896" i="677"/>
  <c r="K3315" i="677"/>
  <c r="K2814" i="677"/>
  <c r="K2686" i="677"/>
  <c r="K2675" i="677"/>
  <c r="K2478" i="677"/>
  <c r="K2544" i="677"/>
  <c r="K2735" i="677"/>
  <c r="K2536" i="677"/>
  <c r="K2556" i="677"/>
  <c r="K2946" i="677"/>
  <c r="K2555" i="677"/>
  <c r="K2316" i="677"/>
  <c r="K2197" i="677"/>
  <c r="K2404" i="677"/>
  <c r="K2237" i="677"/>
  <c r="K2304" i="677"/>
  <c r="K2418" i="677"/>
  <c r="K2262" i="677"/>
  <c r="K2220" i="677"/>
  <c r="K2178" i="677"/>
  <c r="K1964" i="677"/>
  <c r="K2324" i="677"/>
  <c r="H1996" i="677"/>
  <c r="J1996" i="677"/>
  <c r="J2086" i="677" s="1"/>
  <c r="J18" i="677" s="1"/>
  <c r="K1550" i="677"/>
  <c r="K2203" i="677"/>
  <c r="K1438" i="677"/>
  <c r="K1323" i="677"/>
  <c r="K1508" i="677"/>
  <c r="K1420" i="677"/>
  <c r="K1331" i="677"/>
  <c r="K1468" i="677"/>
  <c r="K1556" i="677"/>
  <c r="K1342" i="677"/>
  <c r="K1194" i="677"/>
  <c r="K1466" i="677"/>
  <c r="E1802" i="677"/>
  <c r="J1777" i="677"/>
  <c r="H1777" i="677"/>
  <c r="S1777" i="677"/>
  <c r="K1340" i="677"/>
  <c r="K1093" i="677"/>
  <c r="K766" i="677"/>
  <c r="K933" i="677"/>
  <c r="K1137" i="677"/>
  <c r="K853" i="677"/>
  <c r="K832" i="677"/>
  <c r="K1155" i="677"/>
  <c r="K664" i="677"/>
  <c r="K979" i="677"/>
  <c r="K1149" i="677"/>
  <c r="J922" i="677"/>
  <c r="H922" i="677"/>
  <c r="E924" i="677"/>
  <c r="J432" i="677"/>
  <c r="H432" i="677"/>
  <c r="K1089" i="677"/>
  <c r="E622" i="677"/>
  <c r="J620" i="677"/>
  <c r="H620" i="677"/>
  <c r="K393" i="677"/>
  <c r="K558" i="677"/>
  <c r="K466" i="677"/>
  <c r="K320" i="677"/>
  <c r="K485" i="677"/>
  <c r="K385" i="677"/>
  <c r="K542" i="677"/>
  <c r="K325" i="677"/>
  <c r="K245" i="677"/>
  <c r="K515" i="677"/>
  <c r="K522" i="677"/>
  <c r="K130" i="677"/>
  <c r="J72" i="677"/>
  <c r="H72" i="677"/>
  <c r="K43" i="677"/>
  <c r="K61" i="677"/>
  <c r="J4538" i="677"/>
  <c r="J21" i="677" s="1"/>
  <c r="J500" i="677"/>
  <c r="H500" i="677"/>
  <c r="K4368" i="677"/>
  <c r="K4055" i="677"/>
  <c r="K4200" i="677"/>
  <c r="K3829" i="677"/>
  <c r="K3853" i="677"/>
  <c r="K3027" i="677"/>
  <c r="K3152" i="677"/>
  <c r="K3015" i="677"/>
  <c r="K2644" i="677"/>
  <c r="K2816" i="677"/>
  <c r="K2484" i="677"/>
  <c r="K2939" i="677"/>
  <c r="K2753" i="677"/>
  <c r="K2455" i="677"/>
  <c r="K2179" i="677"/>
  <c r="S1779" i="677"/>
  <c r="H1779" i="677"/>
  <c r="E1804" i="677"/>
  <c r="J1779" i="677"/>
  <c r="K2291" i="677"/>
  <c r="K1944" i="677"/>
  <c r="K1291" i="677"/>
  <c r="K2302" i="677"/>
  <c r="K1497" i="677"/>
  <c r="K1393" i="677"/>
  <c r="K1287" i="677"/>
  <c r="K1441" i="677"/>
  <c r="K1516" i="677"/>
  <c r="H1569" i="677"/>
  <c r="H15" i="677" s="1"/>
  <c r="K15" i="677" s="1"/>
  <c r="J1279" i="677"/>
  <c r="H1279" i="677"/>
  <c r="E1281" i="677"/>
  <c r="K1087" i="677"/>
  <c r="K993" i="677"/>
  <c r="K894" i="677"/>
  <c r="K1075" i="677"/>
  <c r="J681" i="677"/>
  <c r="H681" i="677"/>
  <c r="J797" i="677"/>
  <c r="H797" i="677"/>
  <c r="E799" i="677"/>
  <c r="K1079" i="677"/>
  <c r="K1339" i="677"/>
  <c r="K960" i="677"/>
  <c r="K1071" i="677"/>
  <c r="K1269" i="677"/>
  <c r="K377" i="677"/>
  <c r="K451" i="677"/>
  <c r="K313" i="677"/>
  <c r="K591" i="677"/>
  <c r="K195" i="677"/>
  <c r="K533" i="677"/>
  <c r="K404" i="677"/>
  <c r="K297" i="677"/>
  <c r="K566" i="677"/>
  <c r="J236" i="677"/>
  <c r="H236" i="677"/>
  <c r="K482" i="677"/>
  <c r="K585" i="677"/>
  <c r="K475" i="677"/>
  <c r="K315" i="677"/>
  <c r="K632" i="677"/>
  <c r="K347" i="677"/>
  <c r="K156" i="677"/>
  <c r="K228" i="677"/>
  <c r="J40" i="677"/>
  <c r="H40" i="677"/>
  <c r="K1766" i="677" l="1"/>
  <c r="K739" i="677"/>
  <c r="K1109" i="677"/>
  <c r="K1750" i="677"/>
  <c r="K365" i="677"/>
  <c r="K1106" i="677"/>
  <c r="K1996" i="677"/>
  <c r="K1803" i="677"/>
  <c r="K866" i="677"/>
  <c r="K2115" i="677"/>
  <c r="K863" i="677"/>
  <c r="K1163" i="677"/>
  <c r="J2138" i="677"/>
  <c r="E2139" i="677"/>
  <c r="H2138" i="677"/>
  <c r="K333" i="677"/>
  <c r="K1569" i="677"/>
  <c r="K740" i="677"/>
  <c r="K2145" i="677"/>
  <c r="K21" i="677"/>
  <c r="K1767" i="677"/>
  <c r="J1281" i="677"/>
  <c r="H1281" i="677"/>
  <c r="H494" i="677"/>
  <c r="H13" i="677" s="1"/>
  <c r="K40" i="677"/>
  <c r="K1279" i="677"/>
  <c r="K1777" i="677"/>
  <c r="K2100" i="677"/>
  <c r="J985" i="677"/>
  <c r="H985" i="677"/>
  <c r="K925" i="677"/>
  <c r="K2094" i="677"/>
  <c r="H924" i="677"/>
  <c r="J924" i="677"/>
  <c r="S1805" i="677"/>
  <c r="E1830" i="677"/>
  <c r="H1805" i="677"/>
  <c r="J1805" i="677"/>
  <c r="J494" i="677"/>
  <c r="J13" i="677" s="1"/>
  <c r="K72" i="677"/>
  <c r="K136" i="677"/>
  <c r="K986" i="677"/>
  <c r="E1832" i="677"/>
  <c r="S1807" i="677"/>
  <c r="J1807" i="677"/>
  <c r="H1807" i="677"/>
  <c r="J2095" i="677"/>
  <c r="H2095" i="677"/>
  <c r="K797" i="677"/>
  <c r="K1779" i="677"/>
  <c r="K620" i="677"/>
  <c r="K501" i="677"/>
  <c r="K1166" i="677"/>
  <c r="K1782" i="677"/>
  <c r="K1044" i="677"/>
  <c r="J1792" i="677"/>
  <c r="H1792" i="677"/>
  <c r="E1817" i="677"/>
  <c r="S1792" i="677"/>
  <c r="K2122" i="677"/>
  <c r="J799" i="677"/>
  <c r="H799" i="677"/>
  <c r="K681" i="677"/>
  <c r="H622" i="677"/>
  <c r="K622" i="677" s="1"/>
  <c r="J622" i="677"/>
  <c r="J1793" i="677"/>
  <c r="H1793" i="677"/>
  <c r="K1793" i="677" s="1"/>
  <c r="E1818" i="677"/>
  <c r="S1793" i="677"/>
  <c r="K301" i="677"/>
  <c r="S1791" i="677"/>
  <c r="H1791" i="677"/>
  <c r="E1816" i="677"/>
  <c r="J1791" i="677"/>
  <c r="S1828" i="677"/>
  <c r="E1853" i="677"/>
  <c r="J1828" i="677"/>
  <c r="H1828" i="677"/>
  <c r="J1108" i="677"/>
  <c r="H1108" i="677"/>
  <c r="J1804" i="677"/>
  <c r="H1804" i="677"/>
  <c r="S1804" i="677"/>
  <c r="E1829" i="677"/>
  <c r="S1802" i="677"/>
  <c r="J1802" i="677"/>
  <c r="E1827" i="677"/>
  <c r="H1802" i="677"/>
  <c r="K432" i="677"/>
  <c r="K560" i="677"/>
  <c r="K1768" i="677"/>
  <c r="K1780" i="677"/>
  <c r="K397" i="677"/>
  <c r="K500" i="677"/>
  <c r="J865" i="677"/>
  <c r="J1334" i="677" s="1"/>
  <c r="J14" i="677" s="1"/>
  <c r="H865" i="677"/>
  <c r="K202" i="677"/>
  <c r="E1801" i="677"/>
  <c r="M1790" i="677" s="1"/>
  <c r="J1776" i="677"/>
  <c r="S1776" i="677"/>
  <c r="H1776" i="677"/>
  <c r="J1222" i="677"/>
  <c r="H1222" i="677"/>
  <c r="S1806" i="677"/>
  <c r="E1831" i="677"/>
  <c r="H1806" i="677"/>
  <c r="J1806" i="677"/>
  <c r="J1165" i="677"/>
  <c r="H1165" i="677"/>
  <c r="K236" i="677"/>
  <c r="K2086" i="677"/>
  <c r="K922" i="677"/>
  <c r="K4538" i="677"/>
  <c r="K464" i="677"/>
  <c r="K623" i="677"/>
  <c r="K1220" i="677"/>
  <c r="K1781" i="677"/>
  <c r="K678" i="677"/>
  <c r="H2086" i="677"/>
  <c r="H18" i="677" s="1"/>
  <c r="K18" i="677" s="1"/>
  <c r="K983" i="677"/>
  <c r="E2117" i="677"/>
  <c r="J2116" i="677"/>
  <c r="H2116" i="677"/>
  <c r="J680" i="677"/>
  <c r="H680" i="677"/>
  <c r="K1792" i="677" l="1"/>
  <c r="K2138" i="677"/>
  <c r="H1334" i="677"/>
  <c r="H14" i="677" s="1"/>
  <c r="K14" i="677" s="1"/>
  <c r="K1828" i="677"/>
  <c r="E2140" i="677"/>
  <c r="J2139" i="677"/>
  <c r="H2139" i="677"/>
  <c r="K2139" i="677" s="1"/>
  <c r="K1805" i="677"/>
  <c r="K1222" i="677"/>
  <c r="K1776" i="677"/>
  <c r="K1806" i="677"/>
  <c r="E1858" i="677"/>
  <c r="J1832" i="677"/>
  <c r="S1832" i="677"/>
  <c r="H1832" i="677"/>
  <c r="K1832" i="677" s="1"/>
  <c r="K1165" i="677"/>
  <c r="S1801" i="677"/>
  <c r="H1801" i="677"/>
  <c r="J1801" i="677"/>
  <c r="E1826" i="677"/>
  <c r="S1827" i="677"/>
  <c r="E1852" i="677"/>
  <c r="H1827" i="677"/>
  <c r="J1827" i="677"/>
  <c r="K985" i="677"/>
  <c r="K865" i="677"/>
  <c r="S1816" i="677"/>
  <c r="E1841" i="677"/>
  <c r="H1816" i="677"/>
  <c r="J1816" i="677"/>
  <c r="K799" i="677"/>
  <c r="K1791" i="677"/>
  <c r="E1855" i="677"/>
  <c r="H1829" i="677"/>
  <c r="S1829" i="677"/>
  <c r="J1829" i="677"/>
  <c r="E1857" i="677"/>
  <c r="H1831" i="677"/>
  <c r="S1831" i="677"/>
  <c r="J1831" i="677"/>
  <c r="K680" i="677"/>
  <c r="K1804" i="677"/>
  <c r="K2095" i="677"/>
  <c r="K494" i="677"/>
  <c r="H1830" i="677"/>
  <c r="J1830" i="677"/>
  <c r="S1830" i="677"/>
  <c r="E1856" i="677"/>
  <c r="K13" i="677"/>
  <c r="K2116" i="677"/>
  <c r="K1108" i="677"/>
  <c r="S1817" i="677"/>
  <c r="E1842" i="677"/>
  <c r="J1817" i="677"/>
  <c r="H1817" i="677"/>
  <c r="K1807" i="677"/>
  <c r="K1281" i="677"/>
  <c r="E1843" i="677"/>
  <c r="H1818" i="677"/>
  <c r="J1818" i="677"/>
  <c r="S1818" i="677"/>
  <c r="H2117" i="677"/>
  <c r="J2117" i="677"/>
  <c r="K924" i="677"/>
  <c r="K1802" i="677"/>
  <c r="E1879" i="677"/>
  <c r="H1853" i="677"/>
  <c r="S1853" i="677"/>
  <c r="J1853" i="677"/>
  <c r="K1334" i="677" l="1"/>
  <c r="K1817" i="677"/>
  <c r="H2140" i="677"/>
  <c r="J2140" i="677"/>
  <c r="J4428" i="677" s="1"/>
  <c r="J19" i="677" s="1"/>
  <c r="S1826" i="677"/>
  <c r="J1826" i="677"/>
  <c r="H1826" i="677"/>
  <c r="K1826" i="677" s="1"/>
  <c r="E1851" i="677"/>
  <c r="M1840" i="677" s="1"/>
  <c r="K1801" i="677"/>
  <c r="S1858" i="677"/>
  <c r="H1858" i="677"/>
  <c r="J1858" i="677"/>
  <c r="E1883" i="677"/>
  <c r="K1831" i="677"/>
  <c r="K1816" i="677"/>
  <c r="K2117" i="677"/>
  <c r="H4428" i="677"/>
  <c r="H19" i="677" s="1"/>
  <c r="K1818" i="677"/>
  <c r="E1881" i="677"/>
  <c r="J1856" i="677"/>
  <c r="S1856" i="677"/>
  <c r="H1856" i="677"/>
  <c r="S1857" i="677"/>
  <c r="E1882" i="677"/>
  <c r="J1857" i="677"/>
  <c r="H1857" i="677"/>
  <c r="H1841" i="677"/>
  <c r="J1841" i="677"/>
  <c r="S1841" i="677"/>
  <c r="E1867" i="677"/>
  <c r="S1879" i="677"/>
  <c r="E1904" i="677"/>
  <c r="J1879" i="677"/>
  <c r="H1879" i="677"/>
  <c r="M1815" i="677"/>
  <c r="E1869" i="677"/>
  <c r="J1843" i="677"/>
  <c r="S1843" i="677"/>
  <c r="H1843" i="677"/>
  <c r="E1880" i="677"/>
  <c r="J1855" i="677"/>
  <c r="S1855" i="677"/>
  <c r="H1855" i="677"/>
  <c r="K1853" i="677"/>
  <c r="K1830" i="677"/>
  <c r="K1829" i="677"/>
  <c r="K1827" i="677"/>
  <c r="E1868" i="677"/>
  <c r="H1842" i="677"/>
  <c r="S1842" i="677"/>
  <c r="J1842" i="677"/>
  <c r="H1852" i="677"/>
  <c r="J1852" i="677"/>
  <c r="S1852" i="677"/>
  <c r="E1878" i="677"/>
  <c r="G1620" i="365"/>
  <c r="H1620" i="365" s="1"/>
  <c r="J1620" i="365"/>
  <c r="K1843" i="677" l="1"/>
  <c r="K1855" i="677"/>
  <c r="K1879" i="677"/>
  <c r="K1856" i="677"/>
  <c r="K19" i="677"/>
  <c r="K4428" i="677"/>
  <c r="K2140" i="677"/>
  <c r="K1852" i="677"/>
  <c r="K1857" i="677"/>
  <c r="S1880" i="677"/>
  <c r="H1880" i="677"/>
  <c r="J1880" i="677"/>
  <c r="E1905" i="677"/>
  <c r="K1841" i="677"/>
  <c r="S1883" i="677"/>
  <c r="J1883" i="677"/>
  <c r="H1883" i="677"/>
  <c r="E1909" i="677"/>
  <c r="J1882" i="677"/>
  <c r="H1882" i="677"/>
  <c r="K1882" i="677" s="1"/>
  <c r="E1907" i="677"/>
  <c r="S1882" i="677"/>
  <c r="K1858" i="677"/>
  <c r="S1869" i="677"/>
  <c r="H1869" i="677"/>
  <c r="E1894" i="677"/>
  <c r="J1869" i="677"/>
  <c r="J1904" i="677"/>
  <c r="H1904" i="677"/>
  <c r="S1904" i="677"/>
  <c r="E1903" i="677"/>
  <c r="J1878" i="677"/>
  <c r="S1878" i="677"/>
  <c r="H1878" i="677"/>
  <c r="K1842" i="677"/>
  <c r="S1868" i="677"/>
  <c r="E1893" i="677"/>
  <c r="J1868" i="677"/>
  <c r="H1868" i="677"/>
  <c r="M1866" i="677"/>
  <c r="E1892" i="677"/>
  <c r="J1867" i="677"/>
  <c r="S1867" i="677"/>
  <c r="H1867" i="677"/>
  <c r="K1867" i="677" s="1"/>
  <c r="S1881" i="677"/>
  <c r="E1906" i="677"/>
  <c r="J1881" i="677"/>
  <c r="H1881" i="677"/>
  <c r="E1877" i="677"/>
  <c r="H1851" i="677"/>
  <c r="S1851" i="677"/>
  <c r="J1851" i="677"/>
  <c r="K1620" i="365"/>
  <c r="K1868" i="677" l="1"/>
  <c r="K1904" i="677"/>
  <c r="K1883" i="677"/>
  <c r="S1903" i="677"/>
  <c r="J1903" i="677"/>
  <c r="H1903" i="677"/>
  <c r="K1903" i="677" s="1"/>
  <c r="S1909" i="677"/>
  <c r="J1909" i="677"/>
  <c r="H1909" i="677"/>
  <c r="E1902" i="677"/>
  <c r="J1877" i="677"/>
  <c r="H1877" i="677"/>
  <c r="K1877" i="677" s="1"/>
  <c r="S1877" i="677"/>
  <c r="K1869" i="677"/>
  <c r="S1907" i="677"/>
  <c r="J1907" i="677"/>
  <c r="H1907" i="677"/>
  <c r="S1894" i="677"/>
  <c r="J1894" i="677"/>
  <c r="H1894" i="677"/>
  <c r="K1894" i="677" s="1"/>
  <c r="J1893" i="677"/>
  <c r="H1893" i="677"/>
  <c r="S1893" i="677"/>
  <c r="K1880" i="677"/>
  <c r="S1892" i="677"/>
  <c r="J1892" i="677"/>
  <c r="H1892" i="677"/>
  <c r="K1892" i="677" s="1"/>
  <c r="K1851" i="677"/>
  <c r="S1905" i="677"/>
  <c r="J1905" i="677"/>
  <c r="H1905" i="677"/>
  <c r="K1905" i="677" s="1"/>
  <c r="K1881" i="677"/>
  <c r="S1906" i="677"/>
  <c r="J1906" i="677"/>
  <c r="H1906" i="677"/>
  <c r="K1878" i="677"/>
  <c r="G1627" i="365"/>
  <c r="E1627" i="365"/>
  <c r="J1627" i="365" s="1"/>
  <c r="J1626" i="365"/>
  <c r="G1626" i="365"/>
  <c r="H1626" i="365" s="1"/>
  <c r="K1626" i="365" s="1"/>
  <c r="J1625" i="365"/>
  <c r="G1625" i="365"/>
  <c r="H1625" i="365" s="1"/>
  <c r="J1624" i="365"/>
  <c r="G1624" i="365"/>
  <c r="H1624" i="365" s="1"/>
  <c r="K1624" i="365" s="1"/>
  <c r="J1623" i="365"/>
  <c r="G1623" i="365"/>
  <c r="H1623" i="365" s="1"/>
  <c r="J1622" i="365"/>
  <c r="G1622" i="365"/>
  <c r="H1622" i="365" s="1"/>
  <c r="J1621" i="365"/>
  <c r="G1621" i="365"/>
  <c r="H1621" i="365" s="1"/>
  <c r="J1619" i="365"/>
  <c r="G1619" i="365"/>
  <c r="H1619" i="365" s="1"/>
  <c r="K1619" i="365" s="1"/>
  <c r="J1618" i="365"/>
  <c r="G1618" i="365"/>
  <c r="H1618" i="365" s="1"/>
  <c r="J1617" i="365"/>
  <c r="H1617" i="365"/>
  <c r="K1617" i="365" s="1"/>
  <c r="G1616" i="365"/>
  <c r="E1616" i="365"/>
  <c r="J1616" i="365" s="1"/>
  <c r="J1615" i="365"/>
  <c r="H1615" i="365"/>
  <c r="E1614" i="365"/>
  <c r="J1614" i="365" s="1"/>
  <c r="J1613" i="365"/>
  <c r="K1613" i="365" s="1"/>
  <c r="H1613" i="365"/>
  <c r="J1612" i="365"/>
  <c r="H1612" i="365"/>
  <c r="K1623" i="365" l="1"/>
  <c r="K1907" i="677"/>
  <c r="K1906" i="677"/>
  <c r="K1621" i="365"/>
  <c r="K1893" i="677"/>
  <c r="S1902" i="677"/>
  <c r="H1902" i="677"/>
  <c r="J1902" i="677"/>
  <c r="J1940" i="677"/>
  <c r="J17" i="677" s="1"/>
  <c r="J37" i="677" s="1"/>
  <c r="J14" i="279" s="1"/>
  <c r="K1909" i="677"/>
  <c r="H1940" i="677"/>
  <c r="M1891" i="677"/>
  <c r="K1618" i="365"/>
  <c r="K1625" i="365"/>
  <c r="K1622" i="365"/>
  <c r="K1612" i="365"/>
  <c r="K1615" i="365"/>
  <c r="H1616" i="365"/>
  <c r="K1616" i="365" s="1"/>
  <c r="H1614" i="365"/>
  <c r="K1614" i="365" s="1"/>
  <c r="H1627" i="365"/>
  <c r="K1627" i="365" s="1"/>
  <c r="Q1940" i="677" l="1"/>
  <c r="H17" i="677"/>
  <c r="K1902" i="677"/>
  <c r="K1940" i="677" s="1"/>
  <c r="J39" i="365"/>
  <c r="J40" i="365"/>
  <c r="J42" i="365"/>
  <c r="J44" i="365"/>
  <c r="J45" i="365"/>
  <c r="J46" i="365"/>
  <c r="J47" i="365"/>
  <c r="J48" i="365"/>
  <c r="J49" i="365"/>
  <c r="J50" i="365"/>
  <c r="J51" i="365"/>
  <c r="J52" i="365"/>
  <c r="H39" i="365"/>
  <c r="H40" i="365"/>
  <c r="H42" i="365"/>
  <c r="H44" i="365"/>
  <c r="J62" i="365"/>
  <c r="J63" i="365"/>
  <c r="J65" i="365"/>
  <c r="J67" i="365"/>
  <c r="J68" i="365"/>
  <c r="J69" i="365"/>
  <c r="J70" i="365"/>
  <c r="J71" i="365"/>
  <c r="J72" i="365"/>
  <c r="J73" i="365"/>
  <c r="J74" i="365"/>
  <c r="J75" i="365"/>
  <c r="H62" i="365"/>
  <c r="H63" i="365"/>
  <c r="H65" i="365"/>
  <c r="H67" i="365"/>
  <c r="J87" i="365"/>
  <c r="J88" i="365"/>
  <c r="J90" i="365"/>
  <c r="J92" i="365"/>
  <c r="J93" i="365"/>
  <c r="J94" i="365"/>
  <c r="J95" i="365"/>
  <c r="J96" i="365"/>
  <c r="J97" i="365"/>
  <c r="J98" i="365"/>
  <c r="J99" i="365"/>
  <c r="J100" i="365"/>
  <c r="H87" i="365"/>
  <c r="H88" i="365"/>
  <c r="H90" i="365"/>
  <c r="H92" i="365"/>
  <c r="J114" i="365"/>
  <c r="J115" i="365"/>
  <c r="J117" i="365"/>
  <c r="J119" i="365"/>
  <c r="J120" i="365"/>
  <c r="J121" i="365"/>
  <c r="J122" i="365"/>
  <c r="J123" i="365"/>
  <c r="J124" i="365"/>
  <c r="J125" i="365"/>
  <c r="J126" i="365"/>
  <c r="J127" i="365"/>
  <c r="H114" i="365"/>
  <c r="H115" i="365"/>
  <c r="H117" i="365"/>
  <c r="H119" i="365"/>
  <c r="J129" i="365"/>
  <c r="H129" i="365"/>
  <c r="J137" i="365"/>
  <c r="J138" i="365"/>
  <c r="J140" i="365"/>
  <c r="J142" i="365"/>
  <c r="J143" i="365"/>
  <c r="J144" i="365"/>
  <c r="J145" i="365"/>
  <c r="J146" i="365"/>
  <c r="J147" i="365"/>
  <c r="J148" i="365"/>
  <c r="J149" i="365"/>
  <c r="J150" i="365"/>
  <c r="H137" i="365"/>
  <c r="H138" i="365"/>
  <c r="H140" i="365"/>
  <c r="H142" i="365"/>
  <c r="J162" i="365"/>
  <c r="J163" i="365"/>
  <c r="J165" i="365"/>
  <c r="J167" i="365"/>
  <c r="J168" i="365"/>
  <c r="J169" i="365"/>
  <c r="J170" i="365"/>
  <c r="J171" i="365"/>
  <c r="J172" i="365"/>
  <c r="J173" i="365"/>
  <c r="J174" i="365"/>
  <c r="J175" i="365"/>
  <c r="H162" i="365"/>
  <c r="H163" i="365"/>
  <c r="H165" i="365"/>
  <c r="H167" i="365"/>
  <c r="J187" i="365"/>
  <c r="J188" i="365"/>
  <c r="J190" i="365"/>
  <c r="J192" i="365"/>
  <c r="J193" i="365"/>
  <c r="J194" i="365"/>
  <c r="J195" i="365"/>
  <c r="J196" i="365"/>
  <c r="J197" i="365"/>
  <c r="J198" i="365"/>
  <c r="J199" i="365"/>
  <c r="J200" i="365"/>
  <c r="H187" i="365"/>
  <c r="H188" i="365"/>
  <c r="H190" i="365"/>
  <c r="H192" i="365"/>
  <c r="J212" i="365"/>
  <c r="J213" i="365"/>
  <c r="J215" i="365"/>
  <c r="J217" i="365"/>
  <c r="J218" i="365"/>
  <c r="J219" i="365"/>
  <c r="J220" i="365"/>
  <c r="J221" i="365"/>
  <c r="J222" i="365"/>
  <c r="J223" i="365"/>
  <c r="J224" i="365"/>
  <c r="J225" i="365"/>
  <c r="H212" i="365"/>
  <c r="H213" i="365"/>
  <c r="H215" i="365"/>
  <c r="H217" i="365"/>
  <c r="G1601" i="365"/>
  <c r="E1601" i="365"/>
  <c r="J1601" i="365" s="1"/>
  <c r="J1600" i="365"/>
  <c r="G1600" i="365"/>
  <c r="H1600" i="365" s="1"/>
  <c r="J1599" i="365"/>
  <c r="G1599" i="365"/>
  <c r="H1599" i="365" s="1"/>
  <c r="J1598" i="365"/>
  <c r="G1598" i="365"/>
  <c r="H1598" i="365" s="1"/>
  <c r="J1597" i="365"/>
  <c r="G1597" i="365"/>
  <c r="H1597" i="365" s="1"/>
  <c r="J1596" i="365"/>
  <c r="G1596" i="365"/>
  <c r="H1596" i="365" s="1"/>
  <c r="J1595" i="365"/>
  <c r="G1595" i="365"/>
  <c r="H1595" i="365" s="1"/>
  <c r="J1594" i="365"/>
  <c r="G1594" i="365"/>
  <c r="H1594" i="365" s="1"/>
  <c r="J1593" i="365"/>
  <c r="G1593" i="365"/>
  <c r="H1593" i="365" s="1"/>
  <c r="J1592" i="365"/>
  <c r="H1592" i="365"/>
  <c r="G1591" i="365"/>
  <c r="E1591" i="365"/>
  <c r="J1591" i="365" s="1"/>
  <c r="J1590" i="365"/>
  <c r="H1590" i="365"/>
  <c r="E1589" i="365"/>
  <c r="J1589" i="365" s="1"/>
  <c r="J1588" i="365"/>
  <c r="H1588" i="365"/>
  <c r="J1587" i="365"/>
  <c r="H1587" i="365"/>
  <c r="K1593" i="365" l="1"/>
  <c r="K17" i="677"/>
  <c r="K37" i="677" s="1"/>
  <c r="H37" i="677"/>
  <c r="K1588" i="365"/>
  <c r="K1595" i="365"/>
  <c r="K1597" i="365"/>
  <c r="K1599" i="365"/>
  <c r="K1590" i="365"/>
  <c r="K1592" i="365"/>
  <c r="K1596" i="365"/>
  <c r="K1598" i="365"/>
  <c r="K1600" i="365"/>
  <c r="K1587" i="365"/>
  <c r="K1594" i="365"/>
  <c r="H1591" i="365"/>
  <c r="K1591" i="365" s="1"/>
  <c r="H1589" i="365"/>
  <c r="K1589" i="365" s="1"/>
  <c r="H1601" i="365"/>
  <c r="K1601" i="365" s="1"/>
  <c r="Q37" i="677" l="1"/>
  <c r="H14" i="279"/>
  <c r="F149" i="266"/>
  <c r="J151" i="266"/>
  <c r="F19" i="266"/>
  <c r="H1387" i="365" l="1"/>
  <c r="J887" i="365"/>
  <c r="H762" i="365"/>
  <c r="J515" i="365"/>
  <c r="J1564" i="365"/>
  <c r="J1566" i="365"/>
  <c r="J1568" i="365"/>
  <c r="J1569" i="365"/>
  <c r="J1570" i="365"/>
  <c r="J1571" i="365"/>
  <c r="J1572" i="365"/>
  <c r="J1573" i="365"/>
  <c r="J1574" i="365"/>
  <c r="J1575" i="365"/>
  <c r="J1576" i="365"/>
  <c r="J1563" i="365"/>
  <c r="H1564" i="365"/>
  <c r="H1566" i="365"/>
  <c r="H1568" i="365"/>
  <c r="H1563" i="365"/>
  <c r="J1539" i="365"/>
  <c r="J1540" i="365"/>
  <c r="J1541" i="365"/>
  <c r="J1542" i="365"/>
  <c r="J1543" i="365"/>
  <c r="J1544" i="365"/>
  <c r="J1545" i="365"/>
  <c r="J1546" i="365"/>
  <c r="J1547" i="365"/>
  <c r="J1548" i="365"/>
  <c r="J1549" i="365"/>
  <c r="J1550" i="365"/>
  <c r="J1551" i="365"/>
  <c r="J1538" i="365"/>
  <c r="H1539" i="365"/>
  <c r="H1540" i="365"/>
  <c r="H1541" i="365"/>
  <c r="H1542" i="365"/>
  <c r="H1543" i="365"/>
  <c r="H1544" i="365"/>
  <c r="H1545" i="365"/>
  <c r="H1546" i="365"/>
  <c r="H1547" i="365"/>
  <c r="H1548" i="365"/>
  <c r="H1549" i="365"/>
  <c r="H1550" i="365"/>
  <c r="H1551" i="365"/>
  <c r="H1538" i="365"/>
  <c r="J1513" i="365"/>
  <c r="J1515" i="365"/>
  <c r="J1517" i="365"/>
  <c r="J1518" i="365"/>
  <c r="J1519" i="365"/>
  <c r="J1520" i="365"/>
  <c r="J1521" i="365"/>
  <c r="J1522" i="365"/>
  <c r="J1523" i="365"/>
  <c r="J1524" i="365"/>
  <c r="J1525" i="365"/>
  <c r="H1513" i="365"/>
  <c r="H1515" i="365"/>
  <c r="H1517" i="365"/>
  <c r="J1512" i="365"/>
  <c r="H1512" i="365"/>
  <c r="J1490" i="365"/>
  <c r="J1492" i="365"/>
  <c r="J1494" i="365"/>
  <c r="J1495" i="365"/>
  <c r="J1496" i="365"/>
  <c r="J1497" i="365"/>
  <c r="J1498" i="365"/>
  <c r="J1499" i="365"/>
  <c r="J1500" i="365"/>
  <c r="J1501" i="365"/>
  <c r="J1502" i="365"/>
  <c r="J1489" i="365"/>
  <c r="H1490" i="365"/>
  <c r="H1492" i="365"/>
  <c r="H1494" i="365"/>
  <c r="H1489" i="365"/>
  <c r="J1463" i="365"/>
  <c r="J1467" i="365"/>
  <c r="J1468" i="365"/>
  <c r="J1469" i="365"/>
  <c r="J1470" i="365"/>
  <c r="J1471" i="365"/>
  <c r="J1472" i="365"/>
  <c r="J1473" i="365"/>
  <c r="J1474" i="365"/>
  <c r="J1475" i="365"/>
  <c r="H1463" i="365"/>
  <c r="H1467" i="365"/>
  <c r="J1438" i="365"/>
  <c r="J1440" i="365"/>
  <c r="J1442" i="365"/>
  <c r="J1443" i="365"/>
  <c r="J1444" i="365"/>
  <c r="J1445" i="365"/>
  <c r="J1446" i="365"/>
  <c r="J1447" i="365"/>
  <c r="J1448" i="365"/>
  <c r="J1449" i="365"/>
  <c r="J1450" i="365"/>
  <c r="H1438" i="365"/>
  <c r="H1440" i="365"/>
  <c r="H1442" i="365"/>
  <c r="J1437" i="365"/>
  <c r="H1437" i="365"/>
  <c r="J1413" i="365"/>
  <c r="J1415" i="365"/>
  <c r="J1417" i="365"/>
  <c r="J1418" i="365"/>
  <c r="J1419" i="365"/>
  <c r="J1420" i="365"/>
  <c r="J1421" i="365"/>
  <c r="J1422" i="365"/>
  <c r="J1423" i="365"/>
  <c r="J1424" i="365"/>
  <c r="J1425" i="365"/>
  <c r="H1413" i="365"/>
  <c r="H1415" i="365"/>
  <c r="H1417" i="365"/>
  <c r="J1412" i="365"/>
  <c r="H1412" i="365"/>
  <c r="J1388" i="365"/>
  <c r="J1390" i="365"/>
  <c r="J1392" i="365"/>
  <c r="J1393" i="365"/>
  <c r="J1394" i="365"/>
  <c r="J1395" i="365"/>
  <c r="J1396" i="365"/>
  <c r="J1397" i="365"/>
  <c r="J1398" i="365"/>
  <c r="J1399" i="365"/>
  <c r="J1400" i="365"/>
  <c r="H1388" i="365"/>
  <c r="H1390" i="365"/>
  <c r="H1392" i="365"/>
  <c r="J1387" i="365"/>
  <c r="J1365" i="365"/>
  <c r="J1367" i="365"/>
  <c r="J1369" i="365"/>
  <c r="J1370" i="365"/>
  <c r="J1371" i="365"/>
  <c r="J1372" i="365"/>
  <c r="J1373" i="365"/>
  <c r="J1374" i="365"/>
  <c r="J1375" i="365"/>
  <c r="J1376" i="365"/>
  <c r="J1377" i="365"/>
  <c r="H1365" i="365"/>
  <c r="H1367" i="365"/>
  <c r="H1369" i="365"/>
  <c r="J1364" i="365"/>
  <c r="H1364" i="365"/>
  <c r="J1338" i="365"/>
  <c r="J1340" i="365"/>
  <c r="J1342" i="365"/>
  <c r="J1343" i="365"/>
  <c r="J1344" i="365"/>
  <c r="J1345" i="365"/>
  <c r="J1346" i="365"/>
  <c r="J1347" i="365"/>
  <c r="J1348" i="365"/>
  <c r="J1349" i="365"/>
  <c r="J1350" i="365"/>
  <c r="J1337" i="365"/>
  <c r="H1338" i="365"/>
  <c r="H1340" i="365"/>
  <c r="H1342" i="365"/>
  <c r="H1337" i="365"/>
  <c r="J1313" i="365"/>
  <c r="J1315" i="365"/>
  <c r="J1317" i="365"/>
  <c r="J1318" i="365"/>
  <c r="J1319" i="365"/>
  <c r="J1320" i="365"/>
  <c r="J1321" i="365"/>
  <c r="J1322" i="365"/>
  <c r="J1323" i="365"/>
  <c r="J1324" i="365"/>
  <c r="J1325" i="365"/>
  <c r="J1312" i="365"/>
  <c r="H1313" i="365"/>
  <c r="H1315" i="365"/>
  <c r="H1317" i="365"/>
  <c r="H1312" i="365"/>
  <c r="J1288" i="365"/>
  <c r="J1290" i="365"/>
  <c r="J1292" i="365"/>
  <c r="J1293" i="365"/>
  <c r="J1294" i="365"/>
  <c r="J1295" i="365"/>
  <c r="J1296" i="365"/>
  <c r="J1297" i="365"/>
  <c r="J1298" i="365"/>
  <c r="J1299" i="365"/>
  <c r="J1300" i="365"/>
  <c r="J1287" i="365"/>
  <c r="H1288" i="365"/>
  <c r="H1290" i="365"/>
  <c r="H1292" i="365"/>
  <c r="H1287" i="365"/>
  <c r="J1263" i="365"/>
  <c r="J1265" i="365"/>
  <c r="J1267" i="365"/>
  <c r="J1268" i="365"/>
  <c r="J1269" i="365"/>
  <c r="J1270" i="365"/>
  <c r="J1271" i="365"/>
  <c r="J1272" i="365"/>
  <c r="J1273" i="365"/>
  <c r="J1274" i="365"/>
  <c r="J1275" i="365"/>
  <c r="J1262" i="365"/>
  <c r="H1263" i="365"/>
  <c r="H1265" i="365"/>
  <c r="H1267" i="365"/>
  <c r="H1262" i="365"/>
  <c r="J1240" i="365"/>
  <c r="J1242" i="365"/>
  <c r="J1244" i="365"/>
  <c r="J1245" i="365"/>
  <c r="J1246" i="365"/>
  <c r="J1247" i="365"/>
  <c r="J1248" i="365"/>
  <c r="J1249" i="365"/>
  <c r="J1250" i="365"/>
  <c r="J1251" i="365"/>
  <c r="J1252" i="365"/>
  <c r="J1254" i="365"/>
  <c r="J1239" i="365"/>
  <c r="H1240" i="365"/>
  <c r="H1242" i="365"/>
  <c r="H1244" i="365"/>
  <c r="H1254" i="365"/>
  <c r="H1239" i="365"/>
  <c r="J1213" i="365"/>
  <c r="J1215" i="365"/>
  <c r="J1217" i="365"/>
  <c r="J1218" i="365"/>
  <c r="J1219" i="365"/>
  <c r="J1220" i="365"/>
  <c r="J1221" i="365"/>
  <c r="J1222" i="365"/>
  <c r="J1223" i="365"/>
  <c r="J1224" i="365"/>
  <c r="J1225" i="365"/>
  <c r="J1212" i="365"/>
  <c r="H1213" i="365"/>
  <c r="H1215" i="365"/>
  <c r="H1217" i="365"/>
  <c r="H1212" i="365"/>
  <c r="J1188" i="365"/>
  <c r="J1190" i="365"/>
  <c r="J1192" i="365"/>
  <c r="J1193" i="365"/>
  <c r="J1194" i="365"/>
  <c r="J1195" i="365"/>
  <c r="J1196" i="365"/>
  <c r="J1197" i="365"/>
  <c r="J1198" i="365"/>
  <c r="J1199" i="365"/>
  <c r="J1200" i="365"/>
  <c r="J1187" i="365"/>
  <c r="H1188" i="365"/>
  <c r="H1190" i="365"/>
  <c r="H1192" i="365"/>
  <c r="H1187" i="365"/>
  <c r="J1163" i="365"/>
  <c r="J1165" i="365"/>
  <c r="J1167" i="365"/>
  <c r="J1168" i="365"/>
  <c r="J1169" i="365"/>
  <c r="J1170" i="365"/>
  <c r="J1171" i="365"/>
  <c r="J1172" i="365"/>
  <c r="J1173" i="365"/>
  <c r="J1174" i="365"/>
  <c r="J1175" i="365"/>
  <c r="J1162" i="365"/>
  <c r="H1163" i="365"/>
  <c r="H1165" i="365"/>
  <c r="H1167" i="365"/>
  <c r="H1162" i="365"/>
  <c r="J1138" i="365"/>
  <c r="J1140" i="365"/>
  <c r="J1142" i="365"/>
  <c r="J1143" i="365"/>
  <c r="J1144" i="365"/>
  <c r="J1145" i="365"/>
  <c r="J1146" i="365"/>
  <c r="J1147" i="365"/>
  <c r="J1148" i="365"/>
  <c r="J1149" i="365"/>
  <c r="J1150" i="365"/>
  <c r="J1137" i="365"/>
  <c r="H1138" i="365"/>
  <c r="H1140" i="365"/>
  <c r="H1142" i="365"/>
  <c r="H1137" i="365"/>
  <c r="J1115" i="365"/>
  <c r="J1117" i="365"/>
  <c r="J1119" i="365"/>
  <c r="J1120" i="365"/>
  <c r="J1121" i="365"/>
  <c r="J1122" i="365"/>
  <c r="J1123" i="365"/>
  <c r="J1124" i="365"/>
  <c r="J1125" i="365"/>
  <c r="J1126" i="365"/>
  <c r="J1127" i="365"/>
  <c r="J1129" i="365"/>
  <c r="J1114" i="365"/>
  <c r="H1115" i="365"/>
  <c r="H1117" i="365"/>
  <c r="H1119" i="365"/>
  <c r="H1129" i="365"/>
  <c r="H1114" i="365"/>
  <c r="J1088" i="365"/>
  <c r="J1090" i="365"/>
  <c r="J1092" i="365"/>
  <c r="J1093" i="365"/>
  <c r="J1094" i="365"/>
  <c r="J1095" i="365"/>
  <c r="J1096" i="365"/>
  <c r="J1097" i="365"/>
  <c r="J1098" i="365"/>
  <c r="J1099" i="365"/>
  <c r="J1100" i="365"/>
  <c r="J1087" i="365"/>
  <c r="H1088" i="365"/>
  <c r="H1090" i="365"/>
  <c r="H1092" i="365"/>
  <c r="H1087" i="365"/>
  <c r="J1063" i="365"/>
  <c r="J1065" i="365"/>
  <c r="J1067" i="365"/>
  <c r="J1068" i="365"/>
  <c r="J1069" i="365"/>
  <c r="J1070" i="365"/>
  <c r="J1071" i="365"/>
  <c r="J1072" i="365"/>
  <c r="J1073" i="365"/>
  <c r="J1074" i="365"/>
  <c r="J1075" i="365"/>
  <c r="J1062" i="365"/>
  <c r="H1063" i="365"/>
  <c r="H1065" i="365"/>
  <c r="H1067" i="365"/>
  <c r="H1062" i="365"/>
  <c r="J1038" i="365"/>
  <c r="J1040" i="365"/>
  <c r="J1042" i="365"/>
  <c r="J1043" i="365"/>
  <c r="J1044" i="365"/>
  <c r="J1045" i="365"/>
  <c r="J1046" i="365"/>
  <c r="J1047" i="365"/>
  <c r="J1048" i="365"/>
  <c r="J1049" i="365"/>
  <c r="J1050" i="365"/>
  <c r="H1038" i="365"/>
  <c r="H1040" i="365"/>
  <c r="H1042" i="365"/>
  <c r="J1037" i="365"/>
  <c r="H1037" i="365"/>
  <c r="J1013" i="365"/>
  <c r="J1015" i="365"/>
  <c r="J1017" i="365"/>
  <c r="J1018" i="365"/>
  <c r="J1019" i="365"/>
  <c r="J1020" i="365"/>
  <c r="J1021" i="365"/>
  <c r="J1022" i="365"/>
  <c r="J1023" i="365"/>
  <c r="J1024" i="365"/>
  <c r="J1025" i="365"/>
  <c r="J1012" i="365"/>
  <c r="H1013" i="365"/>
  <c r="H1015" i="365"/>
  <c r="H1017" i="365"/>
  <c r="H1012" i="365"/>
  <c r="J990" i="365"/>
  <c r="J992" i="365"/>
  <c r="J994" i="365"/>
  <c r="J995" i="365"/>
  <c r="J996" i="365"/>
  <c r="J997" i="365"/>
  <c r="J998" i="365"/>
  <c r="J999" i="365"/>
  <c r="J1000" i="365"/>
  <c r="J1001" i="365"/>
  <c r="J1002" i="365"/>
  <c r="J1004" i="365"/>
  <c r="H990" i="365"/>
  <c r="H992" i="365"/>
  <c r="H994" i="365"/>
  <c r="H1004" i="365"/>
  <c r="J989" i="365"/>
  <c r="H989" i="365"/>
  <c r="J963" i="365"/>
  <c r="J965" i="365"/>
  <c r="J967" i="365"/>
  <c r="J968" i="365"/>
  <c r="J969" i="365"/>
  <c r="J970" i="365"/>
  <c r="J971" i="365"/>
  <c r="J972" i="365"/>
  <c r="J973" i="365"/>
  <c r="J974" i="365"/>
  <c r="J975" i="365"/>
  <c r="J962" i="365"/>
  <c r="H963" i="365"/>
  <c r="H965" i="365"/>
  <c r="H967" i="365"/>
  <c r="H962" i="365"/>
  <c r="J938" i="365"/>
  <c r="J940" i="365"/>
  <c r="J942" i="365"/>
  <c r="J943" i="365"/>
  <c r="J944" i="365"/>
  <c r="J945" i="365"/>
  <c r="J946" i="365"/>
  <c r="J947" i="365"/>
  <c r="J948" i="365"/>
  <c r="J949" i="365"/>
  <c r="J950" i="365"/>
  <c r="J937" i="365"/>
  <c r="H938" i="365"/>
  <c r="H940" i="365"/>
  <c r="H942" i="365"/>
  <c r="H937" i="365"/>
  <c r="J913" i="365"/>
  <c r="J915" i="365"/>
  <c r="J917" i="365"/>
  <c r="J918" i="365"/>
  <c r="J919" i="365"/>
  <c r="J920" i="365"/>
  <c r="J921" i="365"/>
  <c r="J922" i="365"/>
  <c r="J923" i="365"/>
  <c r="J924" i="365"/>
  <c r="J925" i="365"/>
  <c r="H913" i="365"/>
  <c r="H915" i="365"/>
  <c r="H917" i="365"/>
  <c r="J912" i="365"/>
  <c r="H912" i="365"/>
  <c r="J888" i="365"/>
  <c r="J890" i="365"/>
  <c r="J892" i="365"/>
  <c r="J893" i="365"/>
  <c r="J894" i="365"/>
  <c r="J895" i="365"/>
  <c r="J896" i="365"/>
  <c r="J897" i="365"/>
  <c r="J898" i="365"/>
  <c r="J899" i="365"/>
  <c r="J900" i="365"/>
  <c r="H888" i="365"/>
  <c r="H890" i="365"/>
  <c r="H892" i="365"/>
  <c r="J865" i="365"/>
  <c r="J867" i="365"/>
  <c r="J869" i="365"/>
  <c r="J870" i="365"/>
  <c r="J871" i="365"/>
  <c r="J872" i="365"/>
  <c r="J873" i="365"/>
  <c r="J874" i="365"/>
  <c r="J875" i="365"/>
  <c r="J876" i="365"/>
  <c r="J877" i="365"/>
  <c r="J879" i="365"/>
  <c r="H865" i="365"/>
  <c r="H867" i="365"/>
  <c r="H869" i="365"/>
  <c r="H879" i="365"/>
  <c r="J864" i="365"/>
  <c r="H864" i="365"/>
  <c r="J838" i="365"/>
  <c r="J840" i="365"/>
  <c r="J842" i="365"/>
  <c r="J843" i="365"/>
  <c r="J844" i="365"/>
  <c r="J845" i="365"/>
  <c r="J846" i="365"/>
  <c r="J847" i="365"/>
  <c r="J848" i="365"/>
  <c r="J849" i="365"/>
  <c r="J850" i="365"/>
  <c r="H838" i="365"/>
  <c r="H840" i="365"/>
  <c r="H842" i="365"/>
  <c r="J837" i="365"/>
  <c r="H837" i="365"/>
  <c r="J813" i="365"/>
  <c r="J815" i="365"/>
  <c r="J817" i="365"/>
  <c r="J818" i="365"/>
  <c r="J819" i="365"/>
  <c r="J820" i="365"/>
  <c r="J821" i="365"/>
  <c r="J822" i="365"/>
  <c r="J823" i="365"/>
  <c r="J824" i="365"/>
  <c r="J825" i="365"/>
  <c r="H813" i="365"/>
  <c r="H815" i="365"/>
  <c r="H817" i="365"/>
  <c r="J812" i="365"/>
  <c r="H812" i="365"/>
  <c r="J788" i="365"/>
  <c r="J790" i="365"/>
  <c r="J792" i="365"/>
  <c r="J793" i="365"/>
  <c r="J794" i="365"/>
  <c r="J795" i="365"/>
  <c r="J796" i="365"/>
  <c r="J797" i="365"/>
  <c r="J798" i="365"/>
  <c r="J799" i="365"/>
  <c r="J800" i="365"/>
  <c r="J787" i="365"/>
  <c r="H788" i="365"/>
  <c r="H790" i="365"/>
  <c r="H792" i="365"/>
  <c r="H787" i="365"/>
  <c r="J763" i="365"/>
  <c r="J765" i="365"/>
  <c r="J767" i="365"/>
  <c r="J768" i="365"/>
  <c r="J769" i="365"/>
  <c r="J770" i="365"/>
  <c r="J771" i="365"/>
  <c r="J772" i="365"/>
  <c r="J773" i="365"/>
  <c r="J774" i="365"/>
  <c r="J775" i="365"/>
  <c r="H763" i="365"/>
  <c r="H765" i="365"/>
  <c r="H767" i="365"/>
  <c r="J742" i="365"/>
  <c r="J745" i="365"/>
  <c r="J746" i="365"/>
  <c r="J747" i="365"/>
  <c r="J748" i="365"/>
  <c r="J749" i="365"/>
  <c r="J750" i="365"/>
  <c r="J751" i="365"/>
  <c r="J752" i="365"/>
  <c r="J754" i="365"/>
  <c r="H742" i="365"/>
  <c r="H754" i="365"/>
  <c r="J739" i="365"/>
  <c r="H739" i="365"/>
  <c r="J715" i="365"/>
  <c r="J718" i="365"/>
  <c r="J719" i="365"/>
  <c r="J720" i="365"/>
  <c r="J721" i="365"/>
  <c r="J722" i="365"/>
  <c r="J723" i="365"/>
  <c r="J724" i="365"/>
  <c r="J725" i="365"/>
  <c r="H715" i="365"/>
  <c r="J712" i="365"/>
  <c r="H712" i="365"/>
  <c r="J690" i="365"/>
  <c r="J693" i="365"/>
  <c r="J694" i="365"/>
  <c r="J695" i="365"/>
  <c r="J696" i="365"/>
  <c r="J697" i="365"/>
  <c r="J698" i="365"/>
  <c r="J699" i="365"/>
  <c r="J700" i="365"/>
  <c r="H690" i="365"/>
  <c r="J687" i="365"/>
  <c r="H687" i="365"/>
  <c r="J663" i="365"/>
  <c r="J665" i="365"/>
  <c r="J667" i="365"/>
  <c r="J668" i="365"/>
  <c r="J669" i="365"/>
  <c r="J670" i="365"/>
  <c r="J671" i="365"/>
  <c r="J672" i="365"/>
  <c r="J673" i="365"/>
  <c r="J674" i="365"/>
  <c r="J675" i="365"/>
  <c r="H663" i="365"/>
  <c r="H665" i="365"/>
  <c r="H667" i="365"/>
  <c r="J662" i="365"/>
  <c r="H662" i="365"/>
  <c r="J638" i="365"/>
  <c r="J640" i="365"/>
  <c r="J642" i="365"/>
  <c r="J643" i="365"/>
  <c r="J644" i="365"/>
  <c r="J645" i="365"/>
  <c r="J646" i="365"/>
  <c r="J647" i="365"/>
  <c r="J648" i="365"/>
  <c r="J649" i="365"/>
  <c r="J650" i="365"/>
  <c r="H638" i="365"/>
  <c r="H640" i="365"/>
  <c r="H642" i="365"/>
  <c r="J637" i="365"/>
  <c r="H637" i="365"/>
  <c r="J615" i="365"/>
  <c r="J617" i="365"/>
  <c r="J619" i="365"/>
  <c r="J620" i="365"/>
  <c r="J621" i="365"/>
  <c r="J622" i="365"/>
  <c r="J623" i="365"/>
  <c r="J624" i="365"/>
  <c r="J625" i="365"/>
  <c r="J626" i="365"/>
  <c r="J627" i="365"/>
  <c r="J629" i="365"/>
  <c r="H615" i="365"/>
  <c r="H617" i="365"/>
  <c r="H619" i="365"/>
  <c r="H629" i="365"/>
  <c r="J614" i="365"/>
  <c r="H614" i="365"/>
  <c r="J590" i="365"/>
  <c r="J593" i="365"/>
  <c r="J594" i="365"/>
  <c r="J595" i="365"/>
  <c r="J596" i="365"/>
  <c r="J597" i="365"/>
  <c r="J598" i="365"/>
  <c r="J599" i="365"/>
  <c r="J600" i="365"/>
  <c r="H590" i="365"/>
  <c r="J587" i="365"/>
  <c r="H587" i="365"/>
  <c r="J563" i="365"/>
  <c r="J565" i="365"/>
  <c r="J567" i="365"/>
  <c r="J568" i="365"/>
  <c r="J569" i="365"/>
  <c r="J570" i="365"/>
  <c r="J571" i="365"/>
  <c r="J572" i="365"/>
  <c r="J573" i="365"/>
  <c r="J574" i="365"/>
  <c r="J575" i="365"/>
  <c r="H563" i="365"/>
  <c r="H565" i="365"/>
  <c r="H567" i="365"/>
  <c r="J562" i="365"/>
  <c r="H562" i="365"/>
  <c r="J540" i="365"/>
  <c r="J543" i="365"/>
  <c r="J544" i="365"/>
  <c r="J545" i="365"/>
  <c r="J546" i="365"/>
  <c r="J547" i="365"/>
  <c r="J548" i="365"/>
  <c r="J549" i="365"/>
  <c r="J550" i="365"/>
  <c r="J537" i="365"/>
  <c r="H540" i="365"/>
  <c r="H537" i="365"/>
  <c r="J518" i="365"/>
  <c r="J519" i="365"/>
  <c r="J520" i="365"/>
  <c r="J521" i="365"/>
  <c r="J522" i="365"/>
  <c r="J523" i="365"/>
  <c r="J524" i="365"/>
  <c r="J525" i="365"/>
  <c r="J512" i="365"/>
  <c r="H515" i="365"/>
  <c r="H512" i="365"/>
  <c r="J492" i="365"/>
  <c r="J495" i="365"/>
  <c r="J496" i="365"/>
  <c r="J497" i="365"/>
  <c r="J498" i="365"/>
  <c r="J499" i="365"/>
  <c r="J500" i="365"/>
  <c r="J501" i="365"/>
  <c r="J502" i="365"/>
  <c r="J504" i="365"/>
  <c r="J489" i="365"/>
  <c r="H492" i="365"/>
  <c r="H504" i="365"/>
  <c r="H489" i="365"/>
  <c r="J465" i="365"/>
  <c r="J468" i="365"/>
  <c r="J469" i="365"/>
  <c r="J470" i="365"/>
  <c r="J471" i="365"/>
  <c r="J472" i="365"/>
  <c r="J473" i="365"/>
  <c r="J474" i="365"/>
  <c r="J475" i="365"/>
  <c r="J462" i="365"/>
  <c r="H465" i="365"/>
  <c r="H462" i="365"/>
  <c r="J440" i="365"/>
  <c r="J443" i="365"/>
  <c r="J444" i="365"/>
  <c r="J445" i="365"/>
  <c r="J446" i="365"/>
  <c r="J447" i="365"/>
  <c r="J448" i="365"/>
  <c r="J449" i="365"/>
  <c r="J450" i="365"/>
  <c r="J437" i="365"/>
  <c r="H440" i="365"/>
  <c r="H437" i="365"/>
  <c r="J415" i="365"/>
  <c r="J418" i="365"/>
  <c r="J419" i="365"/>
  <c r="J420" i="365"/>
  <c r="J421" i="365"/>
  <c r="J422" i="365"/>
  <c r="J423" i="365"/>
  <c r="J424" i="365"/>
  <c r="J425" i="365"/>
  <c r="H415" i="365"/>
  <c r="J412" i="365"/>
  <c r="H412" i="365"/>
  <c r="J400" i="365"/>
  <c r="J399" i="365"/>
  <c r="J398" i="365"/>
  <c r="J397" i="365"/>
  <c r="J396" i="365"/>
  <c r="J395" i="365"/>
  <c r="J394" i="365"/>
  <c r="J393" i="365"/>
  <c r="J390" i="365"/>
  <c r="H390" i="365"/>
  <c r="J387" i="365"/>
  <c r="H387" i="365"/>
  <c r="J367" i="365"/>
  <c r="J370" i="365"/>
  <c r="J371" i="365"/>
  <c r="J372" i="365"/>
  <c r="J373" i="365"/>
  <c r="J374" i="365"/>
  <c r="J375" i="365"/>
  <c r="J376" i="365"/>
  <c r="J377" i="365"/>
  <c r="J379" i="365"/>
  <c r="H367" i="365"/>
  <c r="H379" i="365"/>
  <c r="J364" i="365"/>
  <c r="H364" i="365"/>
  <c r="J340" i="365"/>
  <c r="J343" i="365"/>
  <c r="J344" i="365"/>
  <c r="J345" i="365"/>
  <c r="J346" i="365"/>
  <c r="J347" i="365"/>
  <c r="J348" i="365"/>
  <c r="J349" i="365"/>
  <c r="J350" i="365"/>
  <c r="H340" i="365"/>
  <c r="J337" i="365"/>
  <c r="H337" i="365"/>
  <c r="J315" i="365"/>
  <c r="J318" i="365"/>
  <c r="J319" i="365"/>
  <c r="J320" i="365"/>
  <c r="J321" i="365"/>
  <c r="J322" i="365"/>
  <c r="J323" i="365"/>
  <c r="J324" i="365"/>
  <c r="J325" i="365"/>
  <c r="H315" i="365"/>
  <c r="J312" i="365"/>
  <c r="H312" i="365"/>
  <c r="J290" i="365"/>
  <c r="J292" i="365"/>
  <c r="J293" i="365"/>
  <c r="J294" i="365"/>
  <c r="J295" i="365"/>
  <c r="J296" i="365"/>
  <c r="J297" i="365"/>
  <c r="J298" i="365"/>
  <c r="J299" i="365"/>
  <c r="J300" i="365"/>
  <c r="H290" i="365"/>
  <c r="H292" i="365"/>
  <c r="J287" i="365"/>
  <c r="H287" i="365"/>
  <c r="J265" i="365"/>
  <c r="J268" i="365"/>
  <c r="J269" i="365"/>
  <c r="J270" i="365"/>
  <c r="J271" i="365"/>
  <c r="J272" i="365"/>
  <c r="J273" i="365"/>
  <c r="J274" i="365"/>
  <c r="J275" i="365"/>
  <c r="H265" i="365"/>
  <c r="J262" i="365"/>
  <c r="H262" i="365"/>
  <c r="J242" i="365"/>
  <c r="J244" i="365"/>
  <c r="J245" i="365"/>
  <c r="J246" i="365"/>
  <c r="J247" i="365"/>
  <c r="J248" i="365"/>
  <c r="J249" i="365"/>
  <c r="J250" i="365"/>
  <c r="J251" i="365"/>
  <c r="J252" i="365"/>
  <c r="J254" i="365"/>
  <c r="J239" i="365"/>
  <c r="H254" i="365"/>
  <c r="H239" i="365"/>
  <c r="J1560" i="365" l="1"/>
  <c r="H887" i="365"/>
  <c r="J762" i="365"/>
  <c r="H1560" i="365"/>
  <c r="G1570" i="365"/>
  <c r="H1570" i="365" s="1"/>
  <c r="G1571" i="365"/>
  <c r="H1571" i="365" s="1"/>
  <c r="G1572" i="365"/>
  <c r="H1572" i="365" s="1"/>
  <c r="G1573" i="365"/>
  <c r="H1573" i="365" s="1"/>
  <c r="G1574" i="365"/>
  <c r="H1574" i="365" s="1"/>
  <c r="G1575" i="365"/>
  <c r="H1575" i="365" s="1"/>
  <c r="G1576" i="365"/>
  <c r="H1576" i="365" s="1"/>
  <c r="G1577" i="365"/>
  <c r="G1569" i="365"/>
  <c r="H1569" i="365" s="1"/>
  <c r="G1567" i="365"/>
  <c r="G1519" i="365"/>
  <c r="H1519" i="365" s="1"/>
  <c r="G1520" i="365"/>
  <c r="H1520" i="365" s="1"/>
  <c r="G1521" i="365"/>
  <c r="H1521" i="365" s="1"/>
  <c r="G1522" i="365"/>
  <c r="H1522" i="365" s="1"/>
  <c r="G1523" i="365"/>
  <c r="H1523" i="365" s="1"/>
  <c r="G1524" i="365"/>
  <c r="H1524" i="365" s="1"/>
  <c r="G1525" i="365"/>
  <c r="H1525" i="365" s="1"/>
  <c r="G1526" i="365"/>
  <c r="G1518" i="365"/>
  <c r="H1518" i="365" s="1"/>
  <c r="G1516" i="365"/>
  <c r="G1496" i="365"/>
  <c r="H1496" i="365" s="1"/>
  <c r="G1497" i="365"/>
  <c r="H1497" i="365" s="1"/>
  <c r="G1498" i="365"/>
  <c r="H1498" i="365" s="1"/>
  <c r="G1499" i="365"/>
  <c r="H1499" i="365" s="1"/>
  <c r="G1500" i="365"/>
  <c r="H1500" i="365" s="1"/>
  <c r="G1501" i="365"/>
  <c r="H1501" i="365" s="1"/>
  <c r="G1502" i="365"/>
  <c r="H1502" i="365" s="1"/>
  <c r="G1503" i="365"/>
  <c r="G1495" i="365"/>
  <c r="H1495" i="365" s="1"/>
  <c r="G1493" i="365"/>
  <c r="G1469" i="365"/>
  <c r="H1469" i="365" s="1"/>
  <c r="G1470" i="365"/>
  <c r="H1470" i="365" s="1"/>
  <c r="G1471" i="365"/>
  <c r="H1471" i="365" s="1"/>
  <c r="G1472" i="365"/>
  <c r="H1472" i="365" s="1"/>
  <c r="G1473" i="365"/>
  <c r="H1473" i="365" s="1"/>
  <c r="G1474" i="365"/>
  <c r="H1474" i="365" s="1"/>
  <c r="G1475" i="365"/>
  <c r="H1475" i="365" s="1"/>
  <c r="G1476" i="365"/>
  <c r="G1468" i="365"/>
  <c r="H1468" i="365" s="1"/>
  <c r="G1466" i="365"/>
  <c r="G1444" i="365"/>
  <c r="H1444" i="365" s="1"/>
  <c r="G1445" i="365"/>
  <c r="H1445" i="365" s="1"/>
  <c r="G1446" i="365"/>
  <c r="H1446" i="365" s="1"/>
  <c r="G1447" i="365"/>
  <c r="H1447" i="365" s="1"/>
  <c r="G1448" i="365"/>
  <c r="H1448" i="365" s="1"/>
  <c r="G1449" i="365"/>
  <c r="H1449" i="365" s="1"/>
  <c r="G1450" i="365"/>
  <c r="H1450" i="365" s="1"/>
  <c r="G1451" i="365"/>
  <c r="G1443" i="365"/>
  <c r="H1443" i="365" s="1"/>
  <c r="G1441" i="365"/>
  <c r="G1419" i="365"/>
  <c r="H1419" i="365" s="1"/>
  <c r="G1420" i="365"/>
  <c r="H1420" i="365" s="1"/>
  <c r="G1421" i="365"/>
  <c r="H1421" i="365" s="1"/>
  <c r="G1422" i="365"/>
  <c r="H1422" i="365" s="1"/>
  <c r="G1423" i="365"/>
  <c r="H1423" i="365" s="1"/>
  <c r="G1424" i="365"/>
  <c r="H1424" i="365" s="1"/>
  <c r="G1425" i="365"/>
  <c r="H1425" i="365" s="1"/>
  <c r="G1426" i="365"/>
  <c r="G1418" i="365"/>
  <c r="H1418" i="365" s="1"/>
  <c r="G1416" i="365"/>
  <c r="G1394" i="365"/>
  <c r="H1394" i="365" s="1"/>
  <c r="G1395" i="365"/>
  <c r="H1395" i="365" s="1"/>
  <c r="G1396" i="365"/>
  <c r="H1396" i="365" s="1"/>
  <c r="G1397" i="365"/>
  <c r="H1397" i="365" s="1"/>
  <c r="G1398" i="365"/>
  <c r="H1398" i="365" s="1"/>
  <c r="G1399" i="365"/>
  <c r="H1399" i="365" s="1"/>
  <c r="G1400" i="365"/>
  <c r="H1400" i="365" s="1"/>
  <c r="G1401" i="365"/>
  <c r="G1393" i="365"/>
  <c r="H1393" i="365" s="1"/>
  <c r="G1391" i="365"/>
  <c r="G1371" i="365"/>
  <c r="H1371" i="365" s="1"/>
  <c r="G1372" i="365"/>
  <c r="H1372" i="365" s="1"/>
  <c r="G1373" i="365"/>
  <c r="H1373" i="365" s="1"/>
  <c r="G1374" i="365"/>
  <c r="H1374" i="365" s="1"/>
  <c r="G1375" i="365"/>
  <c r="H1375" i="365" s="1"/>
  <c r="G1376" i="365"/>
  <c r="H1376" i="365" s="1"/>
  <c r="G1377" i="365"/>
  <c r="H1377" i="365" s="1"/>
  <c r="G1378" i="365"/>
  <c r="G1370" i="365"/>
  <c r="H1370" i="365" s="1"/>
  <c r="G1368" i="365"/>
  <c r="G1344" i="365"/>
  <c r="H1344" i="365" s="1"/>
  <c r="G1345" i="365"/>
  <c r="H1345" i="365" s="1"/>
  <c r="G1346" i="365"/>
  <c r="H1346" i="365" s="1"/>
  <c r="G1347" i="365"/>
  <c r="H1347" i="365" s="1"/>
  <c r="G1348" i="365"/>
  <c r="H1348" i="365" s="1"/>
  <c r="G1349" i="365"/>
  <c r="H1349" i="365" s="1"/>
  <c r="G1350" i="365"/>
  <c r="H1350" i="365" s="1"/>
  <c r="G1351" i="365"/>
  <c r="G1343" i="365"/>
  <c r="H1343" i="365" s="1"/>
  <c r="G1341" i="365"/>
  <c r="G1319" i="365"/>
  <c r="H1319" i="365" s="1"/>
  <c r="G1320" i="365"/>
  <c r="H1320" i="365" s="1"/>
  <c r="G1321" i="365"/>
  <c r="H1321" i="365" s="1"/>
  <c r="G1322" i="365"/>
  <c r="H1322" i="365" s="1"/>
  <c r="G1323" i="365"/>
  <c r="H1323" i="365" s="1"/>
  <c r="G1324" i="365"/>
  <c r="H1324" i="365" s="1"/>
  <c r="G1325" i="365"/>
  <c r="H1325" i="365" s="1"/>
  <c r="G1326" i="365"/>
  <c r="G1318" i="365"/>
  <c r="H1318" i="365" s="1"/>
  <c r="G1316" i="365"/>
  <c r="G1294" i="365"/>
  <c r="H1294" i="365" s="1"/>
  <c r="G1295" i="365"/>
  <c r="H1295" i="365" s="1"/>
  <c r="G1296" i="365"/>
  <c r="H1296" i="365" s="1"/>
  <c r="G1297" i="365"/>
  <c r="H1297" i="365" s="1"/>
  <c r="G1298" i="365"/>
  <c r="H1298" i="365" s="1"/>
  <c r="G1299" i="365"/>
  <c r="H1299" i="365" s="1"/>
  <c r="G1300" i="365"/>
  <c r="H1300" i="365" s="1"/>
  <c r="G1301" i="365"/>
  <c r="G1293" i="365"/>
  <c r="H1293" i="365" s="1"/>
  <c r="G1291" i="365"/>
  <c r="G1269" i="365"/>
  <c r="H1269" i="365" s="1"/>
  <c r="G1270" i="365"/>
  <c r="H1270" i="365" s="1"/>
  <c r="G1271" i="365"/>
  <c r="H1271" i="365" s="1"/>
  <c r="G1272" i="365"/>
  <c r="H1272" i="365" s="1"/>
  <c r="G1273" i="365"/>
  <c r="H1273" i="365" s="1"/>
  <c r="G1274" i="365"/>
  <c r="H1274" i="365" s="1"/>
  <c r="G1275" i="365"/>
  <c r="H1275" i="365" s="1"/>
  <c r="G1276" i="365"/>
  <c r="G1268" i="365"/>
  <c r="H1268" i="365" s="1"/>
  <c r="G1266" i="365"/>
  <c r="G1246" i="365"/>
  <c r="H1246" i="365" s="1"/>
  <c r="G1247" i="365"/>
  <c r="H1247" i="365" s="1"/>
  <c r="G1248" i="365"/>
  <c r="H1248" i="365" s="1"/>
  <c r="G1249" i="365"/>
  <c r="H1249" i="365" s="1"/>
  <c r="G1250" i="365"/>
  <c r="H1250" i="365" s="1"/>
  <c r="G1251" i="365"/>
  <c r="H1251" i="365" s="1"/>
  <c r="G1252" i="365"/>
  <c r="H1252" i="365" s="1"/>
  <c r="G1253" i="365"/>
  <c r="G1245" i="365"/>
  <c r="H1245" i="365" s="1"/>
  <c r="G1243" i="365"/>
  <c r="G1219" i="365"/>
  <c r="H1219" i="365" s="1"/>
  <c r="G1220" i="365"/>
  <c r="H1220" i="365" s="1"/>
  <c r="G1221" i="365"/>
  <c r="H1221" i="365" s="1"/>
  <c r="G1222" i="365"/>
  <c r="H1222" i="365" s="1"/>
  <c r="G1223" i="365"/>
  <c r="H1223" i="365" s="1"/>
  <c r="G1224" i="365"/>
  <c r="H1224" i="365" s="1"/>
  <c r="G1225" i="365"/>
  <c r="H1225" i="365" s="1"/>
  <c r="G1226" i="365"/>
  <c r="G1218" i="365"/>
  <c r="H1218" i="365" s="1"/>
  <c r="G1216" i="365"/>
  <c r="G1194" i="365"/>
  <c r="H1194" i="365" s="1"/>
  <c r="G1195" i="365"/>
  <c r="H1195" i="365" s="1"/>
  <c r="G1196" i="365"/>
  <c r="H1196" i="365" s="1"/>
  <c r="G1197" i="365"/>
  <c r="H1197" i="365" s="1"/>
  <c r="G1198" i="365"/>
  <c r="H1198" i="365" s="1"/>
  <c r="G1199" i="365"/>
  <c r="H1199" i="365" s="1"/>
  <c r="G1200" i="365"/>
  <c r="H1200" i="365" s="1"/>
  <c r="G1201" i="365"/>
  <c r="G1193" i="365"/>
  <c r="H1193" i="365" s="1"/>
  <c r="G1191" i="365"/>
  <c r="G1169" i="365"/>
  <c r="H1169" i="365" s="1"/>
  <c r="G1170" i="365"/>
  <c r="H1170" i="365" s="1"/>
  <c r="G1171" i="365"/>
  <c r="H1171" i="365" s="1"/>
  <c r="G1172" i="365"/>
  <c r="H1172" i="365" s="1"/>
  <c r="G1173" i="365"/>
  <c r="H1173" i="365" s="1"/>
  <c r="G1174" i="365"/>
  <c r="H1174" i="365" s="1"/>
  <c r="G1175" i="365"/>
  <c r="H1175" i="365" s="1"/>
  <c r="G1176" i="365"/>
  <c r="G1168" i="365"/>
  <c r="H1168" i="365" s="1"/>
  <c r="G1166" i="365"/>
  <c r="G1144" i="365"/>
  <c r="H1144" i="365" s="1"/>
  <c r="G1145" i="365"/>
  <c r="H1145" i="365" s="1"/>
  <c r="G1146" i="365"/>
  <c r="H1146" i="365" s="1"/>
  <c r="G1147" i="365"/>
  <c r="H1147" i="365" s="1"/>
  <c r="G1148" i="365"/>
  <c r="H1148" i="365" s="1"/>
  <c r="G1149" i="365"/>
  <c r="H1149" i="365" s="1"/>
  <c r="G1150" i="365"/>
  <c r="H1150" i="365" s="1"/>
  <c r="G1151" i="365"/>
  <c r="G1143" i="365"/>
  <c r="H1143" i="365" s="1"/>
  <c r="G1141" i="365"/>
  <c r="G1121" i="365"/>
  <c r="H1121" i="365" s="1"/>
  <c r="G1122" i="365"/>
  <c r="H1122" i="365" s="1"/>
  <c r="G1123" i="365"/>
  <c r="H1123" i="365" s="1"/>
  <c r="G1124" i="365"/>
  <c r="H1124" i="365" s="1"/>
  <c r="G1125" i="365"/>
  <c r="H1125" i="365" s="1"/>
  <c r="G1126" i="365"/>
  <c r="H1126" i="365" s="1"/>
  <c r="G1127" i="365"/>
  <c r="H1127" i="365" s="1"/>
  <c r="G1128" i="365"/>
  <c r="G1120" i="365"/>
  <c r="H1120" i="365" s="1"/>
  <c r="G1118" i="365"/>
  <c r="G1094" i="365"/>
  <c r="H1094" i="365" s="1"/>
  <c r="G1095" i="365"/>
  <c r="H1095" i="365" s="1"/>
  <c r="G1096" i="365"/>
  <c r="H1096" i="365" s="1"/>
  <c r="G1097" i="365"/>
  <c r="H1097" i="365" s="1"/>
  <c r="G1098" i="365"/>
  <c r="H1098" i="365" s="1"/>
  <c r="G1099" i="365"/>
  <c r="H1099" i="365" s="1"/>
  <c r="G1100" i="365"/>
  <c r="H1100" i="365" s="1"/>
  <c r="G1101" i="365"/>
  <c r="G1093" i="365"/>
  <c r="H1093" i="365" s="1"/>
  <c r="G1091" i="365"/>
  <c r="G1069" i="365"/>
  <c r="H1069" i="365" s="1"/>
  <c r="G1070" i="365"/>
  <c r="H1070" i="365" s="1"/>
  <c r="G1071" i="365"/>
  <c r="H1071" i="365" s="1"/>
  <c r="G1072" i="365"/>
  <c r="H1072" i="365" s="1"/>
  <c r="G1073" i="365"/>
  <c r="H1073" i="365" s="1"/>
  <c r="G1074" i="365"/>
  <c r="H1074" i="365" s="1"/>
  <c r="G1075" i="365"/>
  <c r="H1075" i="365" s="1"/>
  <c r="G1076" i="365"/>
  <c r="G1068" i="365"/>
  <c r="H1068" i="365" s="1"/>
  <c r="G1066" i="365"/>
  <c r="G1044" i="365"/>
  <c r="H1044" i="365" s="1"/>
  <c r="G1045" i="365"/>
  <c r="H1045" i="365" s="1"/>
  <c r="G1046" i="365"/>
  <c r="H1046" i="365" s="1"/>
  <c r="G1047" i="365"/>
  <c r="H1047" i="365" s="1"/>
  <c r="G1048" i="365"/>
  <c r="H1048" i="365" s="1"/>
  <c r="G1049" i="365"/>
  <c r="H1049" i="365" s="1"/>
  <c r="G1050" i="365"/>
  <c r="H1050" i="365" s="1"/>
  <c r="G1051" i="365"/>
  <c r="G1043" i="365"/>
  <c r="H1043" i="365" s="1"/>
  <c r="G1041" i="365"/>
  <c r="G1019" i="365"/>
  <c r="H1019" i="365" s="1"/>
  <c r="G1020" i="365"/>
  <c r="H1020" i="365" s="1"/>
  <c r="G1021" i="365"/>
  <c r="H1021" i="365" s="1"/>
  <c r="G1022" i="365"/>
  <c r="H1022" i="365" s="1"/>
  <c r="G1023" i="365"/>
  <c r="H1023" i="365" s="1"/>
  <c r="G1024" i="365"/>
  <c r="H1024" i="365" s="1"/>
  <c r="G1025" i="365"/>
  <c r="H1025" i="365" s="1"/>
  <c r="G1026" i="365"/>
  <c r="G1018" i="365"/>
  <c r="H1018" i="365" s="1"/>
  <c r="G1016" i="365"/>
  <c r="G996" i="365"/>
  <c r="H996" i="365" s="1"/>
  <c r="G997" i="365"/>
  <c r="H997" i="365" s="1"/>
  <c r="G998" i="365"/>
  <c r="H998" i="365" s="1"/>
  <c r="G999" i="365"/>
  <c r="H999" i="365" s="1"/>
  <c r="G1000" i="365"/>
  <c r="H1000" i="365" s="1"/>
  <c r="G1001" i="365"/>
  <c r="H1001" i="365" s="1"/>
  <c r="G1002" i="365"/>
  <c r="H1002" i="365" s="1"/>
  <c r="G1003" i="365"/>
  <c r="G995" i="365"/>
  <c r="H995" i="365" s="1"/>
  <c r="G993" i="365"/>
  <c r="G969" i="365"/>
  <c r="H969" i="365" s="1"/>
  <c r="G970" i="365"/>
  <c r="H970" i="365" s="1"/>
  <c r="G971" i="365"/>
  <c r="H971" i="365" s="1"/>
  <c r="G972" i="365"/>
  <c r="H972" i="365" s="1"/>
  <c r="G973" i="365"/>
  <c r="H973" i="365" s="1"/>
  <c r="G974" i="365"/>
  <c r="H974" i="365" s="1"/>
  <c r="G975" i="365"/>
  <c r="H975" i="365" s="1"/>
  <c r="G976" i="365"/>
  <c r="G968" i="365"/>
  <c r="H968" i="365" s="1"/>
  <c r="G966" i="365"/>
  <c r="G944" i="365"/>
  <c r="H944" i="365" s="1"/>
  <c r="G945" i="365"/>
  <c r="H945" i="365" s="1"/>
  <c r="G946" i="365"/>
  <c r="H946" i="365" s="1"/>
  <c r="G947" i="365"/>
  <c r="H947" i="365" s="1"/>
  <c r="G948" i="365"/>
  <c r="H948" i="365" s="1"/>
  <c r="G949" i="365"/>
  <c r="H949" i="365" s="1"/>
  <c r="G950" i="365"/>
  <c r="H950" i="365" s="1"/>
  <c r="G951" i="365"/>
  <c r="G943" i="365"/>
  <c r="H943" i="365" s="1"/>
  <c r="G941" i="365"/>
  <c r="G919" i="365"/>
  <c r="H919" i="365" s="1"/>
  <c r="G920" i="365"/>
  <c r="H920" i="365" s="1"/>
  <c r="G921" i="365"/>
  <c r="H921" i="365" s="1"/>
  <c r="G922" i="365"/>
  <c r="H922" i="365" s="1"/>
  <c r="G923" i="365"/>
  <c r="H923" i="365" s="1"/>
  <c r="G924" i="365"/>
  <c r="H924" i="365" s="1"/>
  <c r="G925" i="365"/>
  <c r="H925" i="365" s="1"/>
  <c r="G926" i="365"/>
  <c r="G918" i="365"/>
  <c r="H918" i="365" s="1"/>
  <c r="G916" i="365"/>
  <c r="G894" i="365"/>
  <c r="H894" i="365" s="1"/>
  <c r="G895" i="365"/>
  <c r="H895" i="365" s="1"/>
  <c r="G896" i="365"/>
  <c r="H896" i="365" s="1"/>
  <c r="G897" i="365"/>
  <c r="H897" i="365" s="1"/>
  <c r="G898" i="365"/>
  <c r="H898" i="365" s="1"/>
  <c r="G899" i="365"/>
  <c r="H899" i="365" s="1"/>
  <c r="G900" i="365"/>
  <c r="H900" i="365" s="1"/>
  <c r="G901" i="365"/>
  <c r="G893" i="365"/>
  <c r="H893" i="365" s="1"/>
  <c r="G891" i="365"/>
  <c r="G871" i="365"/>
  <c r="H871" i="365" s="1"/>
  <c r="G872" i="365"/>
  <c r="H872" i="365" s="1"/>
  <c r="G873" i="365"/>
  <c r="H873" i="365" s="1"/>
  <c r="G874" i="365"/>
  <c r="H874" i="365" s="1"/>
  <c r="G875" i="365"/>
  <c r="H875" i="365" s="1"/>
  <c r="G876" i="365"/>
  <c r="H876" i="365" s="1"/>
  <c r="G877" i="365"/>
  <c r="H877" i="365" s="1"/>
  <c r="G878" i="365"/>
  <c r="G870" i="365"/>
  <c r="H870" i="365" s="1"/>
  <c r="G868" i="365"/>
  <c r="G844" i="365"/>
  <c r="H844" i="365" s="1"/>
  <c r="G845" i="365"/>
  <c r="H845" i="365" s="1"/>
  <c r="G846" i="365"/>
  <c r="H846" i="365" s="1"/>
  <c r="G847" i="365"/>
  <c r="H847" i="365" s="1"/>
  <c r="G848" i="365"/>
  <c r="H848" i="365" s="1"/>
  <c r="G849" i="365"/>
  <c r="H849" i="365" s="1"/>
  <c r="G850" i="365"/>
  <c r="H850" i="365" s="1"/>
  <c r="G851" i="365"/>
  <c r="G843" i="365"/>
  <c r="H843" i="365" s="1"/>
  <c r="G841" i="365"/>
  <c r="G819" i="365"/>
  <c r="H819" i="365" s="1"/>
  <c r="G820" i="365"/>
  <c r="H820" i="365" s="1"/>
  <c r="G821" i="365"/>
  <c r="H821" i="365" s="1"/>
  <c r="G822" i="365"/>
  <c r="H822" i="365" s="1"/>
  <c r="G823" i="365"/>
  <c r="H823" i="365" s="1"/>
  <c r="G824" i="365"/>
  <c r="H824" i="365" s="1"/>
  <c r="G825" i="365"/>
  <c r="H825" i="365" s="1"/>
  <c r="G826" i="365"/>
  <c r="G818" i="365"/>
  <c r="H818" i="365" s="1"/>
  <c r="G816" i="365"/>
  <c r="G794" i="365"/>
  <c r="H794" i="365" s="1"/>
  <c r="G795" i="365"/>
  <c r="H795" i="365" s="1"/>
  <c r="G796" i="365"/>
  <c r="H796" i="365" s="1"/>
  <c r="G797" i="365"/>
  <c r="H797" i="365" s="1"/>
  <c r="G798" i="365"/>
  <c r="H798" i="365" s="1"/>
  <c r="G799" i="365"/>
  <c r="H799" i="365" s="1"/>
  <c r="G800" i="365"/>
  <c r="H800" i="365" s="1"/>
  <c r="G801" i="365"/>
  <c r="G793" i="365"/>
  <c r="H793" i="365" s="1"/>
  <c r="G791" i="365"/>
  <c r="G769" i="365"/>
  <c r="H769" i="365" s="1"/>
  <c r="G770" i="365"/>
  <c r="H770" i="365" s="1"/>
  <c r="G771" i="365"/>
  <c r="H771" i="365" s="1"/>
  <c r="G772" i="365"/>
  <c r="H772" i="365" s="1"/>
  <c r="G773" i="365"/>
  <c r="H773" i="365" s="1"/>
  <c r="G774" i="365"/>
  <c r="H774" i="365" s="1"/>
  <c r="G775" i="365"/>
  <c r="H775" i="365" s="1"/>
  <c r="G776" i="365"/>
  <c r="G768" i="365"/>
  <c r="H768" i="365" s="1"/>
  <c r="G766" i="365"/>
  <c r="G746" i="365"/>
  <c r="H746" i="365" s="1"/>
  <c r="G747" i="365"/>
  <c r="H747" i="365" s="1"/>
  <c r="G748" i="365"/>
  <c r="H748" i="365" s="1"/>
  <c r="G749" i="365"/>
  <c r="H749" i="365" s="1"/>
  <c r="G750" i="365"/>
  <c r="H750" i="365" s="1"/>
  <c r="G751" i="365"/>
  <c r="H751" i="365" s="1"/>
  <c r="G752" i="365"/>
  <c r="H752" i="365" s="1"/>
  <c r="G753" i="365"/>
  <c r="G745" i="365"/>
  <c r="H745" i="365" s="1"/>
  <c r="G743" i="365"/>
  <c r="G719" i="365"/>
  <c r="H719" i="365" s="1"/>
  <c r="G720" i="365"/>
  <c r="H720" i="365" s="1"/>
  <c r="G721" i="365"/>
  <c r="H721" i="365" s="1"/>
  <c r="G722" i="365"/>
  <c r="H722" i="365" s="1"/>
  <c r="G723" i="365"/>
  <c r="H723" i="365" s="1"/>
  <c r="G724" i="365"/>
  <c r="H724" i="365" s="1"/>
  <c r="G725" i="365"/>
  <c r="H725" i="365" s="1"/>
  <c r="G726" i="365"/>
  <c r="G718" i="365"/>
  <c r="H718" i="365" s="1"/>
  <c r="G716" i="365"/>
  <c r="G694" i="365"/>
  <c r="H694" i="365" s="1"/>
  <c r="G695" i="365"/>
  <c r="H695" i="365" s="1"/>
  <c r="G696" i="365"/>
  <c r="H696" i="365" s="1"/>
  <c r="G697" i="365"/>
  <c r="H697" i="365" s="1"/>
  <c r="G698" i="365"/>
  <c r="H698" i="365" s="1"/>
  <c r="G699" i="365"/>
  <c r="H699" i="365" s="1"/>
  <c r="G700" i="365"/>
  <c r="H700" i="365" s="1"/>
  <c r="G701" i="365"/>
  <c r="G693" i="365"/>
  <c r="H693" i="365" s="1"/>
  <c r="G691" i="365"/>
  <c r="G669" i="365"/>
  <c r="H669" i="365" s="1"/>
  <c r="G670" i="365"/>
  <c r="H670" i="365" s="1"/>
  <c r="G671" i="365"/>
  <c r="H671" i="365" s="1"/>
  <c r="G672" i="365"/>
  <c r="H672" i="365" s="1"/>
  <c r="G673" i="365"/>
  <c r="H673" i="365" s="1"/>
  <c r="G674" i="365"/>
  <c r="H674" i="365" s="1"/>
  <c r="G675" i="365"/>
  <c r="H675" i="365" s="1"/>
  <c r="G676" i="365"/>
  <c r="G668" i="365"/>
  <c r="H668" i="365" s="1"/>
  <c r="G666" i="365"/>
  <c r="G644" i="365"/>
  <c r="H644" i="365" s="1"/>
  <c r="G645" i="365"/>
  <c r="H645" i="365" s="1"/>
  <c r="G646" i="365"/>
  <c r="H646" i="365" s="1"/>
  <c r="G647" i="365"/>
  <c r="H647" i="365" s="1"/>
  <c r="G648" i="365"/>
  <c r="H648" i="365" s="1"/>
  <c r="G649" i="365"/>
  <c r="H649" i="365" s="1"/>
  <c r="G650" i="365"/>
  <c r="H650" i="365" s="1"/>
  <c r="G651" i="365"/>
  <c r="G643" i="365"/>
  <c r="H643" i="365" s="1"/>
  <c r="G641" i="365"/>
  <c r="G621" i="365"/>
  <c r="H621" i="365" s="1"/>
  <c r="G622" i="365"/>
  <c r="H622" i="365" s="1"/>
  <c r="G623" i="365"/>
  <c r="H623" i="365" s="1"/>
  <c r="G624" i="365"/>
  <c r="H624" i="365" s="1"/>
  <c r="G625" i="365"/>
  <c r="H625" i="365" s="1"/>
  <c r="G626" i="365"/>
  <c r="H626" i="365" s="1"/>
  <c r="G627" i="365"/>
  <c r="H627" i="365" s="1"/>
  <c r="G628" i="365"/>
  <c r="G620" i="365"/>
  <c r="H620" i="365" s="1"/>
  <c r="G618" i="365"/>
  <c r="G594" i="365"/>
  <c r="H594" i="365" s="1"/>
  <c r="G595" i="365"/>
  <c r="H595" i="365" s="1"/>
  <c r="G596" i="365"/>
  <c r="H596" i="365" s="1"/>
  <c r="G597" i="365"/>
  <c r="H597" i="365" s="1"/>
  <c r="G598" i="365"/>
  <c r="H598" i="365" s="1"/>
  <c r="G599" i="365"/>
  <c r="H599" i="365" s="1"/>
  <c r="G600" i="365"/>
  <c r="H600" i="365" s="1"/>
  <c r="G601" i="365"/>
  <c r="G593" i="365"/>
  <c r="H593" i="365" s="1"/>
  <c r="G591" i="365"/>
  <c r="G569" i="365"/>
  <c r="H569" i="365" s="1"/>
  <c r="G570" i="365"/>
  <c r="H570" i="365" s="1"/>
  <c r="G571" i="365"/>
  <c r="H571" i="365" s="1"/>
  <c r="G572" i="365"/>
  <c r="H572" i="365" s="1"/>
  <c r="G573" i="365"/>
  <c r="H573" i="365" s="1"/>
  <c r="G574" i="365"/>
  <c r="H574" i="365" s="1"/>
  <c r="G575" i="365"/>
  <c r="H575" i="365" s="1"/>
  <c r="G576" i="365"/>
  <c r="G568" i="365"/>
  <c r="H568" i="365" s="1"/>
  <c r="G566" i="365"/>
  <c r="G544" i="365"/>
  <c r="H544" i="365" s="1"/>
  <c r="G545" i="365"/>
  <c r="H545" i="365" s="1"/>
  <c r="G546" i="365"/>
  <c r="H546" i="365" s="1"/>
  <c r="G547" i="365"/>
  <c r="H547" i="365" s="1"/>
  <c r="G548" i="365"/>
  <c r="H548" i="365" s="1"/>
  <c r="G549" i="365"/>
  <c r="H549" i="365" s="1"/>
  <c r="G550" i="365"/>
  <c r="H550" i="365" s="1"/>
  <c r="G551" i="365"/>
  <c r="G543" i="365"/>
  <c r="H543" i="365" s="1"/>
  <c r="G541" i="365"/>
  <c r="G519" i="365"/>
  <c r="H519" i="365" s="1"/>
  <c r="G520" i="365"/>
  <c r="H520" i="365" s="1"/>
  <c r="G521" i="365"/>
  <c r="H521" i="365" s="1"/>
  <c r="G522" i="365"/>
  <c r="H522" i="365" s="1"/>
  <c r="G523" i="365"/>
  <c r="H523" i="365" s="1"/>
  <c r="G524" i="365"/>
  <c r="H524" i="365" s="1"/>
  <c r="G525" i="365"/>
  <c r="H525" i="365" s="1"/>
  <c r="G526" i="365"/>
  <c r="G518" i="365"/>
  <c r="H518" i="365" s="1"/>
  <c r="G516" i="365"/>
  <c r="G496" i="365"/>
  <c r="H496" i="365" s="1"/>
  <c r="G497" i="365"/>
  <c r="H497" i="365" s="1"/>
  <c r="G498" i="365"/>
  <c r="H498" i="365" s="1"/>
  <c r="G499" i="365"/>
  <c r="H499" i="365" s="1"/>
  <c r="G500" i="365"/>
  <c r="H500" i="365" s="1"/>
  <c r="G501" i="365"/>
  <c r="H501" i="365" s="1"/>
  <c r="G502" i="365"/>
  <c r="H502" i="365" s="1"/>
  <c r="G503" i="365"/>
  <c r="G495" i="365"/>
  <c r="H495" i="365" s="1"/>
  <c r="G493" i="365"/>
  <c r="G469" i="365"/>
  <c r="H469" i="365" s="1"/>
  <c r="G470" i="365"/>
  <c r="H470" i="365" s="1"/>
  <c r="G471" i="365"/>
  <c r="H471" i="365" s="1"/>
  <c r="G472" i="365"/>
  <c r="H472" i="365" s="1"/>
  <c r="G473" i="365"/>
  <c r="H473" i="365" s="1"/>
  <c r="G474" i="365"/>
  <c r="H474" i="365" s="1"/>
  <c r="G475" i="365"/>
  <c r="H475" i="365" s="1"/>
  <c r="G476" i="365"/>
  <c r="G468" i="365"/>
  <c r="H468" i="365" s="1"/>
  <c r="G466" i="365"/>
  <c r="G444" i="365"/>
  <c r="H444" i="365" s="1"/>
  <c r="G445" i="365"/>
  <c r="H445" i="365" s="1"/>
  <c r="G446" i="365"/>
  <c r="H446" i="365" s="1"/>
  <c r="G447" i="365"/>
  <c r="H447" i="365" s="1"/>
  <c r="G448" i="365"/>
  <c r="H448" i="365" s="1"/>
  <c r="G449" i="365"/>
  <c r="H449" i="365" s="1"/>
  <c r="G450" i="365"/>
  <c r="H450" i="365" s="1"/>
  <c r="G451" i="365"/>
  <c r="G443" i="365"/>
  <c r="H443" i="365" s="1"/>
  <c r="G441" i="365"/>
  <c r="G419" i="365"/>
  <c r="H419" i="365" s="1"/>
  <c r="G420" i="365"/>
  <c r="H420" i="365" s="1"/>
  <c r="G421" i="365"/>
  <c r="H421" i="365" s="1"/>
  <c r="G422" i="365"/>
  <c r="H422" i="365" s="1"/>
  <c r="G423" i="365"/>
  <c r="H423" i="365" s="1"/>
  <c r="G424" i="365"/>
  <c r="H424" i="365" s="1"/>
  <c r="G425" i="365"/>
  <c r="H425" i="365" s="1"/>
  <c r="G426" i="365"/>
  <c r="G418" i="365"/>
  <c r="H418" i="365" s="1"/>
  <c r="G416" i="365"/>
  <c r="G401" i="365"/>
  <c r="G394" i="365"/>
  <c r="H394" i="365" s="1"/>
  <c r="G395" i="365"/>
  <c r="H395" i="365" s="1"/>
  <c r="G396" i="365"/>
  <c r="H396" i="365" s="1"/>
  <c r="G397" i="365"/>
  <c r="H397" i="365" s="1"/>
  <c r="G398" i="365"/>
  <c r="H398" i="365" s="1"/>
  <c r="G399" i="365"/>
  <c r="H399" i="365" s="1"/>
  <c r="G400" i="365"/>
  <c r="H400" i="365" s="1"/>
  <c r="G393" i="365"/>
  <c r="H393" i="365" s="1"/>
  <c r="G391" i="365"/>
  <c r="G371" i="365"/>
  <c r="H371" i="365" s="1"/>
  <c r="G372" i="365"/>
  <c r="H372" i="365" s="1"/>
  <c r="G373" i="365"/>
  <c r="H373" i="365" s="1"/>
  <c r="G374" i="365"/>
  <c r="H374" i="365" s="1"/>
  <c r="G375" i="365"/>
  <c r="H375" i="365" s="1"/>
  <c r="G376" i="365"/>
  <c r="H376" i="365" s="1"/>
  <c r="G377" i="365"/>
  <c r="H377" i="365" s="1"/>
  <c r="G378" i="365"/>
  <c r="G370" i="365"/>
  <c r="H370" i="365" s="1"/>
  <c r="G368" i="365"/>
  <c r="G344" i="365"/>
  <c r="H344" i="365" s="1"/>
  <c r="G345" i="365"/>
  <c r="H345" i="365" s="1"/>
  <c r="G346" i="365"/>
  <c r="H346" i="365" s="1"/>
  <c r="G347" i="365"/>
  <c r="H347" i="365" s="1"/>
  <c r="G348" i="365"/>
  <c r="H348" i="365" s="1"/>
  <c r="G349" i="365"/>
  <c r="H349" i="365" s="1"/>
  <c r="G350" i="365"/>
  <c r="H350" i="365" s="1"/>
  <c r="G351" i="365"/>
  <c r="G343" i="365"/>
  <c r="H343" i="365" s="1"/>
  <c r="G341" i="365"/>
  <c r="G319" i="365"/>
  <c r="H319" i="365" s="1"/>
  <c r="G320" i="365"/>
  <c r="H320" i="365" s="1"/>
  <c r="G321" i="365"/>
  <c r="H321" i="365" s="1"/>
  <c r="G322" i="365"/>
  <c r="H322" i="365" s="1"/>
  <c r="G323" i="365"/>
  <c r="H323" i="365" s="1"/>
  <c r="G324" i="365"/>
  <c r="H324" i="365" s="1"/>
  <c r="G325" i="365"/>
  <c r="H325" i="365" s="1"/>
  <c r="G326" i="365"/>
  <c r="G318" i="365"/>
  <c r="H318" i="365" s="1"/>
  <c r="G316" i="365"/>
  <c r="G294" i="365"/>
  <c r="H294" i="365" s="1"/>
  <c r="G295" i="365"/>
  <c r="H295" i="365" s="1"/>
  <c r="G296" i="365"/>
  <c r="H296" i="365" s="1"/>
  <c r="G297" i="365"/>
  <c r="H297" i="365" s="1"/>
  <c r="G298" i="365"/>
  <c r="H298" i="365" s="1"/>
  <c r="G299" i="365"/>
  <c r="H299" i="365" s="1"/>
  <c r="G300" i="365"/>
  <c r="H300" i="365" s="1"/>
  <c r="G301" i="365"/>
  <c r="G293" i="365"/>
  <c r="H293" i="365" s="1"/>
  <c r="G291" i="365"/>
  <c r="G269" i="365"/>
  <c r="H269" i="365" s="1"/>
  <c r="G270" i="365"/>
  <c r="H270" i="365" s="1"/>
  <c r="G271" i="365"/>
  <c r="H271" i="365" s="1"/>
  <c r="G272" i="365"/>
  <c r="H272" i="365" s="1"/>
  <c r="G273" i="365"/>
  <c r="H273" i="365" s="1"/>
  <c r="G274" i="365"/>
  <c r="H274" i="365" s="1"/>
  <c r="G275" i="365"/>
  <c r="H275" i="365" s="1"/>
  <c r="G276" i="365"/>
  <c r="G268" i="365"/>
  <c r="H268" i="365" s="1"/>
  <c r="G266" i="365"/>
  <c r="G246" i="365"/>
  <c r="H246" i="365" s="1"/>
  <c r="G247" i="365"/>
  <c r="H247" i="365" s="1"/>
  <c r="G248" i="365"/>
  <c r="H248" i="365" s="1"/>
  <c r="G249" i="365"/>
  <c r="H249" i="365" s="1"/>
  <c r="G250" i="365"/>
  <c r="H250" i="365" s="1"/>
  <c r="G251" i="365"/>
  <c r="H251" i="365" s="1"/>
  <c r="G252" i="365"/>
  <c r="H252" i="365" s="1"/>
  <c r="G253" i="365"/>
  <c r="G245" i="365"/>
  <c r="H245" i="365" s="1"/>
  <c r="G243" i="365"/>
  <c r="G219" i="365"/>
  <c r="H219" i="365" s="1"/>
  <c r="G220" i="365"/>
  <c r="H220" i="365" s="1"/>
  <c r="G221" i="365"/>
  <c r="H221" i="365" s="1"/>
  <c r="G222" i="365"/>
  <c r="H222" i="365" s="1"/>
  <c r="G223" i="365"/>
  <c r="H223" i="365" s="1"/>
  <c r="G224" i="365"/>
  <c r="H224" i="365" s="1"/>
  <c r="G225" i="365"/>
  <c r="H225" i="365" s="1"/>
  <c r="G226" i="365"/>
  <c r="G218" i="365"/>
  <c r="H218" i="365" s="1"/>
  <c r="G216" i="365"/>
  <c r="G194" i="365"/>
  <c r="H194" i="365" s="1"/>
  <c r="G195" i="365"/>
  <c r="H195" i="365" s="1"/>
  <c r="G196" i="365"/>
  <c r="H196" i="365" s="1"/>
  <c r="G197" i="365"/>
  <c r="H197" i="365" s="1"/>
  <c r="G198" i="365"/>
  <c r="H198" i="365" s="1"/>
  <c r="G199" i="365"/>
  <c r="H199" i="365" s="1"/>
  <c r="G200" i="365"/>
  <c r="H200" i="365" s="1"/>
  <c r="G201" i="365"/>
  <c r="G193" i="365"/>
  <c r="H193" i="365" s="1"/>
  <c r="G191" i="365"/>
  <c r="G169" i="365"/>
  <c r="H169" i="365" s="1"/>
  <c r="G170" i="365"/>
  <c r="H170" i="365" s="1"/>
  <c r="G171" i="365"/>
  <c r="H171" i="365" s="1"/>
  <c r="G172" i="365"/>
  <c r="H172" i="365" s="1"/>
  <c r="G173" i="365"/>
  <c r="H173" i="365" s="1"/>
  <c r="G174" i="365"/>
  <c r="H174" i="365" s="1"/>
  <c r="G175" i="365"/>
  <c r="H175" i="365" s="1"/>
  <c r="G176" i="365"/>
  <c r="G168" i="365"/>
  <c r="H168" i="365" s="1"/>
  <c r="G166" i="365"/>
  <c r="G144" i="365"/>
  <c r="H144" i="365" s="1"/>
  <c r="G145" i="365"/>
  <c r="H145" i="365" s="1"/>
  <c r="G146" i="365"/>
  <c r="H146" i="365" s="1"/>
  <c r="G147" i="365"/>
  <c r="H147" i="365" s="1"/>
  <c r="G148" i="365"/>
  <c r="H148" i="365" s="1"/>
  <c r="G149" i="365"/>
  <c r="H149" i="365" s="1"/>
  <c r="G150" i="365"/>
  <c r="H150" i="365" s="1"/>
  <c r="G151" i="365"/>
  <c r="G143" i="365"/>
  <c r="H143" i="365" s="1"/>
  <c r="G141" i="365"/>
  <c r="G121" i="365"/>
  <c r="H121" i="365" s="1"/>
  <c r="G122" i="365"/>
  <c r="H122" i="365" s="1"/>
  <c r="G123" i="365"/>
  <c r="H123" i="365" s="1"/>
  <c r="G124" i="365"/>
  <c r="H124" i="365" s="1"/>
  <c r="G125" i="365"/>
  <c r="H125" i="365" s="1"/>
  <c r="G126" i="365"/>
  <c r="H126" i="365" s="1"/>
  <c r="G127" i="365"/>
  <c r="H127" i="365" s="1"/>
  <c r="G128" i="365"/>
  <c r="G120" i="365"/>
  <c r="H120" i="365" s="1"/>
  <c r="G118" i="365"/>
  <c r="G94" i="365"/>
  <c r="H94" i="365" s="1"/>
  <c r="G95" i="365"/>
  <c r="H95" i="365" s="1"/>
  <c r="G96" i="365"/>
  <c r="H96" i="365" s="1"/>
  <c r="G97" i="365"/>
  <c r="H97" i="365" s="1"/>
  <c r="G98" i="365"/>
  <c r="H98" i="365" s="1"/>
  <c r="G99" i="365"/>
  <c r="H99" i="365" s="1"/>
  <c r="G100" i="365"/>
  <c r="H100" i="365" s="1"/>
  <c r="G101" i="365"/>
  <c r="G93" i="365"/>
  <c r="H93" i="365" s="1"/>
  <c r="G91" i="365"/>
  <c r="G69" i="365"/>
  <c r="H69" i="365" s="1"/>
  <c r="G70" i="365"/>
  <c r="H70" i="365" s="1"/>
  <c r="G71" i="365"/>
  <c r="H71" i="365" s="1"/>
  <c r="G72" i="365"/>
  <c r="H72" i="365" s="1"/>
  <c r="G73" i="365"/>
  <c r="H73" i="365" s="1"/>
  <c r="G74" i="365"/>
  <c r="H74" i="365" s="1"/>
  <c r="G75" i="365"/>
  <c r="H75" i="365" s="1"/>
  <c r="G76" i="365"/>
  <c r="G68" i="365"/>
  <c r="H68" i="365" s="1"/>
  <c r="G66" i="365"/>
  <c r="G46" i="365"/>
  <c r="H46" i="365" s="1"/>
  <c r="G47" i="365"/>
  <c r="H47" i="365" s="1"/>
  <c r="G48" i="365"/>
  <c r="H48" i="365" s="1"/>
  <c r="G49" i="365"/>
  <c r="H49" i="365" s="1"/>
  <c r="G50" i="365"/>
  <c r="H50" i="365" s="1"/>
  <c r="G51" i="365"/>
  <c r="H51" i="365" s="1"/>
  <c r="G52" i="365"/>
  <c r="H52" i="365" s="1"/>
  <c r="G53" i="365"/>
  <c r="G45" i="365"/>
  <c r="H45" i="365" s="1"/>
  <c r="G43" i="365"/>
  <c r="B1635" i="365" l="1"/>
  <c r="E1577" i="365"/>
  <c r="K1576" i="365"/>
  <c r="K1575" i="365"/>
  <c r="K1573" i="365"/>
  <c r="K1572" i="365"/>
  <c r="K1571" i="365"/>
  <c r="K1569" i="365"/>
  <c r="K1568" i="365"/>
  <c r="E1567" i="365"/>
  <c r="K1566" i="365"/>
  <c r="E1565" i="365"/>
  <c r="K1564" i="365"/>
  <c r="B1560" i="365"/>
  <c r="K1549" i="365"/>
  <c r="K1548" i="365"/>
  <c r="K1547" i="365"/>
  <c r="K1546" i="365"/>
  <c r="K1545" i="365"/>
  <c r="K1544" i="365"/>
  <c r="K1543" i="365"/>
  <c r="K1541" i="365"/>
  <c r="K1540" i="365"/>
  <c r="K1538" i="365"/>
  <c r="B1535" i="365"/>
  <c r="E1526" i="365"/>
  <c r="K1523" i="365"/>
  <c r="K1522" i="365"/>
  <c r="K1520" i="365"/>
  <c r="K1517" i="365"/>
  <c r="E1516" i="365"/>
  <c r="K1515" i="365"/>
  <c r="E1514" i="365"/>
  <c r="K1513" i="365"/>
  <c r="E1503" i="365"/>
  <c r="K1501" i="365"/>
  <c r="K1498" i="365"/>
  <c r="K1495" i="365"/>
  <c r="K1494" i="365"/>
  <c r="E1493" i="365"/>
  <c r="K1492" i="365"/>
  <c r="E1491" i="365"/>
  <c r="K1490" i="365"/>
  <c r="B1485" i="365"/>
  <c r="E1476" i="365"/>
  <c r="K1475" i="365"/>
  <c r="K1474" i="365"/>
  <c r="K1473" i="365"/>
  <c r="K1471" i="365"/>
  <c r="K1470" i="365"/>
  <c r="K1467" i="365"/>
  <c r="E1465" i="365"/>
  <c r="K1463" i="365"/>
  <c r="E1462" i="365"/>
  <c r="E1451" i="365"/>
  <c r="K1447" i="365"/>
  <c r="K1446" i="365"/>
  <c r="K1442" i="365"/>
  <c r="E1441" i="365"/>
  <c r="K1440" i="365"/>
  <c r="E1439" i="365"/>
  <c r="K1438" i="365"/>
  <c r="E1426" i="365"/>
  <c r="K1424" i="365"/>
  <c r="K1423" i="365"/>
  <c r="K1420" i="365"/>
  <c r="K1418" i="365"/>
  <c r="K1417" i="365"/>
  <c r="E1416" i="365"/>
  <c r="K1415" i="365"/>
  <c r="E1414" i="365"/>
  <c r="K1413" i="365"/>
  <c r="K1412" i="365"/>
  <c r="E1401" i="365"/>
  <c r="K1399" i="365"/>
  <c r="K1395" i="365"/>
  <c r="K1393" i="365"/>
  <c r="K1392" i="365"/>
  <c r="E1391" i="365"/>
  <c r="K1390" i="365"/>
  <c r="E1389" i="365"/>
  <c r="K1388" i="365"/>
  <c r="K1387" i="365"/>
  <c r="E1378" i="365"/>
  <c r="K1375" i="365"/>
  <c r="K1374" i="365"/>
  <c r="K1373" i="365"/>
  <c r="K1372" i="365"/>
  <c r="K1369" i="365"/>
  <c r="E1368" i="365"/>
  <c r="K1367" i="365"/>
  <c r="E1366" i="365"/>
  <c r="K1365" i="365"/>
  <c r="K1364" i="365"/>
  <c r="B1360" i="365"/>
  <c r="E1351" i="365"/>
  <c r="K1350" i="365"/>
  <c r="K1348" i="365"/>
  <c r="K1347" i="365"/>
  <c r="K1346" i="365"/>
  <c r="K1345" i="365"/>
  <c r="K1344" i="365"/>
  <c r="K1343" i="365"/>
  <c r="K1342" i="365"/>
  <c r="E1341" i="365"/>
  <c r="K1340" i="365"/>
  <c r="E1339" i="365"/>
  <c r="K1338" i="365"/>
  <c r="E1326" i="365"/>
  <c r="K1325" i="365"/>
  <c r="K1324" i="365"/>
  <c r="K1323" i="365"/>
  <c r="K1322" i="365"/>
  <c r="K1321" i="365"/>
  <c r="K1320" i="365"/>
  <c r="K1319" i="365"/>
  <c r="K1318" i="365"/>
  <c r="K1317" i="365"/>
  <c r="E1316" i="365"/>
  <c r="K1315" i="365"/>
  <c r="E1314" i="365"/>
  <c r="K1313" i="365"/>
  <c r="K1312" i="365"/>
  <c r="E1301" i="365"/>
  <c r="K1300" i="365"/>
  <c r="K1299" i="365"/>
  <c r="K1298" i="365"/>
  <c r="K1297" i="365"/>
  <c r="K1296" i="365"/>
  <c r="K1295" i="365"/>
  <c r="K1294" i="365"/>
  <c r="K1293" i="365"/>
  <c r="K1292" i="365"/>
  <c r="E1291" i="365"/>
  <c r="K1290" i="365"/>
  <c r="E1289" i="365"/>
  <c r="K1288" i="365"/>
  <c r="K1287" i="365"/>
  <c r="E1276" i="365"/>
  <c r="K1275" i="365"/>
  <c r="K1274" i="365"/>
  <c r="K1273" i="365"/>
  <c r="K1272" i="365"/>
  <c r="K1271" i="365"/>
  <c r="K1270" i="365"/>
  <c r="K1269" i="365"/>
  <c r="K1268" i="365"/>
  <c r="K1267" i="365"/>
  <c r="E1266" i="365"/>
  <c r="K1265" i="365"/>
  <c r="E1264" i="365"/>
  <c r="K1263" i="365"/>
  <c r="E1253" i="365"/>
  <c r="K1251" i="365"/>
  <c r="K1250" i="365"/>
  <c r="K1248" i="365"/>
  <c r="K1246" i="365"/>
  <c r="K1245" i="365"/>
  <c r="K1244" i="365"/>
  <c r="E1243" i="365"/>
  <c r="K1242" i="365"/>
  <c r="E1241" i="365"/>
  <c r="K1240" i="365"/>
  <c r="K1239" i="365"/>
  <c r="B1235" i="365"/>
  <c r="E1226" i="365"/>
  <c r="K1225" i="365"/>
  <c r="K1224" i="365"/>
  <c r="K1223" i="365"/>
  <c r="K1222" i="365"/>
  <c r="K1221" i="365"/>
  <c r="K1220" i="365"/>
  <c r="K1219" i="365"/>
  <c r="K1218" i="365"/>
  <c r="K1217" i="365"/>
  <c r="E1216" i="365"/>
  <c r="K1215" i="365"/>
  <c r="E1214" i="365"/>
  <c r="K1213" i="365"/>
  <c r="K1212" i="365"/>
  <c r="E1201" i="365"/>
  <c r="K1199" i="365"/>
  <c r="K1197" i="365"/>
  <c r="K1195" i="365"/>
  <c r="K1194" i="365"/>
  <c r="K1193" i="365"/>
  <c r="K1192" i="365"/>
  <c r="E1191" i="365"/>
  <c r="K1190" i="365"/>
  <c r="E1189" i="365"/>
  <c r="K1188" i="365"/>
  <c r="E1176" i="365"/>
  <c r="K1175" i="365"/>
  <c r="K1174" i="365"/>
  <c r="K1173" i="365"/>
  <c r="K1171" i="365"/>
  <c r="K1169" i="365"/>
  <c r="K1167" i="365"/>
  <c r="E1166" i="365"/>
  <c r="K1165" i="365"/>
  <c r="E1164" i="365"/>
  <c r="K1163" i="365"/>
  <c r="K1162" i="365"/>
  <c r="E1151" i="365"/>
  <c r="K1150" i="365"/>
  <c r="K1149" i="365"/>
  <c r="K1148" i="365"/>
  <c r="K1147" i="365"/>
  <c r="K1145" i="365"/>
  <c r="K1144" i="365"/>
  <c r="K1143" i="365"/>
  <c r="K1142" i="365"/>
  <c r="E1141" i="365"/>
  <c r="K1140" i="365"/>
  <c r="E1139" i="365"/>
  <c r="K1138" i="365"/>
  <c r="K1137" i="365"/>
  <c r="K1129" i="365"/>
  <c r="E1128" i="365"/>
  <c r="K1126" i="365"/>
  <c r="K1125" i="365"/>
  <c r="K1124" i="365"/>
  <c r="K1119" i="365"/>
  <c r="E1118" i="365"/>
  <c r="K1117" i="365"/>
  <c r="E1116" i="365"/>
  <c r="K1115" i="365"/>
  <c r="K1114" i="365"/>
  <c r="B1110" i="365"/>
  <c r="E1101" i="365"/>
  <c r="K1096" i="365"/>
  <c r="K1095" i="365"/>
  <c r="K1092" i="365"/>
  <c r="E1091" i="365"/>
  <c r="K1090" i="365"/>
  <c r="E1089" i="365"/>
  <c r="K1088" i="365"/>
  <c r="E1076" i="365"/>
  <c r="K1074" i="365"/>
  <c r="K1068" i="365"/>
  <c r="K1067" i="365"/>
  <c r="E1066" i="365"/>
  <c r="K1065" i="365"/>
  <c r="E1064" i="365"/>
  <c r="K1063" i="365"/>
  <c r="K1062" i="365"/>
  <c r="E1051" i="365"/>
  <c r="K1050" i="365"/>
  <c r="K1047" i="365"/>
  <c r="K1044" i="365"/>
  <c r="K1042" i="365"/>
  <c r="E1041" i="365"/>
  <c r="K1040" i="365"/>
  <c r="E1039" i="365"/>
  <c r="K1038" i="365"/>
  <c r="K1037" i="365"/>
  <c r="E1026" i="365"/>
  <c r="K1022" i="365"/>
  <c r="K1017" i="365"/>
  <c r="E1016" i="365"/>
  <c r="K1015" i="365"/>
  <c r="E1014" i="365"/>
  <c r="K1013" i="365"/>
  <c r="K1004" i="365"/>
  <c r="E1003" i="365"/>
  <c r="K1002" i="365"/>
  <c r="K997" i="365"/>
  <c r="K994" i="365"/>
  <c r="E993" i="365"/>
  <c r="K992" i="365"/>
  <c r="E991" i="365"/>
  <c r="K990" i="365"/>
  <c r="B985" i="365"/>
  <c r="E976" i="365"/>
  <c r="K975" i="365"/>
  <c r="K973" i="365"/>
  <c r="K971" i="365"/>
  <c r="K969" i="365"/>
  <c r="K967" i="365"/>
  <c r="E966" i="365"/>
  <c r="K965" i="365"/>
  <c r="E964" i="365"/>
  <c r="K963" i="365"/>
  <c r="E951" i="365"/>
  <c r="K949" i="365"/>
  <c r="K948" i="365"/>
  <c r="K947" i="365"/>
  <c r="K945" i="365"/>
  <c r="K944" i="365"/>
  <c r="K943" i="365"/>
  <c r="K942" i="365"/>
  <c r="E941" i="365"/>
  <c r="K940" i="365"/>
  <c r="E939" i="365"/>
  <c r="K938" i="365"/>
  <c r="E926" i="365"/>
  <c r="K925" i="365"/>
  <c r="K924" i="365"/>
  <c r="K923" i="365"/>
  <c r="K922" i="365"/>
  <c r="K921" i="365"/>
  <c r="K919" i="365"/>
  <c r="K918" i="365"/>
  <c r="K917" i="365"/>
  <c r="E916" i="365"/>
  <c r="K915" i="365"/>
  <c r="E914" i="365"/>
  <c r="K913" i="365"/>
  <c r="E901" i="365"/>
  <c r="K899" i="365"/>
  <c r="K898" i="365"/>
  <c r="K897" i="365"/>
  <c r="K895" i="365"/>
  <c r="K893" i="365"/>
  <c r="K892" i="365"/>
  <c r="E891" i="365"/>
  <c r="K890" i="365"/>
  <c r="E889" i="365"/>
  <c r="K888" i="365"/>
  <c r="E878" i="365"/>
  <c r="K877" i="365"/>
  <c r="K876" i="365"/>
  <c r="K874" i="365"/>
  <c r="K873" i="365"/>
  <c r="K872" i="365"/>
  <c r="K870" i="365"/>
  <c r="K869" i="365"/>
  <c r="E868" i="365"/>
  <c r="K867" i="365"/>
  <c r="E866" i="365"/>
  <c r="K865" i="365"/>
  <c r="B860" i="365"/>
  <c r="E851" i="365"/>
  <c r="K850" i="365"/>
  <c r="K848" i="365"/>
  <c r="K847" i="365"/>
  <c r="K846" i="365"/>
  <c r="K845" i="365"/>
  <c r="K842" i="365"/>
  <c r="E841" i="365"/>
  <c r="K840" i="365"/>
  <c r="E839" i="365"/>
  <c r="K838" i="365"/>
  <c r="K837" i="365"/>
  <c r="E826" i="365"/>
  <c r="K825" i="365"/>
  <c r="K824" i="365"/>
  <c r="K822" i="365"/>
  <c r="K821" i="365"/>
  <c r="K819" i="365"/>
  <c r="K818" i="365"/>
  <c r="K817" i="365"/>
  <c r="E816" i="365"/>
  <c r="K815" i="365"/>
  <c r="E814" i="365"/>
  <c r="K813" i="365"/>
  <c r="K812" i="365"/>
  <c r="E801" i="365"/>
  <c r="K799" i="365"/>
  <c r="K798" i="365"/>
  <c r="K796" i="365"/>
  <c r="K795" i="365"/>
  <c r="K793" i="365"/>
  <c r="K792" i="365"/>
  <c r="E791" i="365"/>
  <c r="K790" i="365"/>
  <c r="E789" i="365"/>
  <c r="K788" i="365"/>
  <c r="K787" i="365"/>
  <c r="E776" i="365"/>
  <c r="K775" i="365"/>
  <c r="K773" i="365"/>
  <c r="K772" i="365"/>
  <c r="K771" i="365"/>
  <c r="K770" i="365"/>
  <c r="K768" i="365"/>
  <c r="K767" i="365"/>
  <c r="E766" i="365"/>
  <c r="K765" i="365"/>
  <c r="E764" i="365"/>
  <c r="K763" i="365"/>
  <c r="K762" i="365"/>
  <c r="E753" i="365"/>
  <c r="K752" i="365"/>
  <c r="K750" i="365"/>
  <c r="K749" i="365"/>
  <c r="K747" i="365"/>
  <c r="K746" i="365"/>
  <c r="K745" i="365"/>
  <c r="E743" i="365"/>
  <c r="K742" i="365"/>
  <c r="E741" i="365"/>
  <c r="K739" i="365"/>
  <c r="B735" i="365"/>
  <c r="E726" i="365"/>
  <c r="K725" i="365"/>
  <c r="K719" i="365"/>
  <c r="K718" i="365"/>
  <c r="E716" i="365"/>
  <c r="K715" i="365"/>
  <c r="E714" i="365"/>
  <c r="E701" i="365"/>
  <c r="K697" i="365"/>
  <c r="E691" i="365"/>
  <c r="K690" i="365"/>
  <c r="E689" i="365"/>
  <c r="K687" i="365"/>
  <c r="E676" i="365"/>
  <c r="K674" i="365"/>
  <c r="K673" i="365"/>
  <c r="K670" i="365"/>
  <c r="K668" i="365"/>
  <c r="K667" i="365"/>
  <c r="E666" i="365"/>
  <c r="K665" i="365"/>
  <c r="E664" i="365"/>
  <c r="K663" i="365"/>
  <c r="K662" i="365"/>
  <c r="E651" i="365"/>
  <c r="K646" i="365"/>
  <c r="K642" i="365"/>
  <c r="E641" i="365"/>
  <c r="K640" i="365"/>
  <c r="E639" i="365"/>
  <c r="K638" i="365"/>
  <c r="K629" i="365"/>
  <c r="E628" i="365"/>
  <c r="K626" i="365"/>
  <c r="K625" i="365"/>
  <c r="K622" i="365"/>
  <c r="K620" i="365"/>
  <c r="K619" i="365"/>
  <c r="E618" i="365"/>
  <c r="K617" i="365"/>
  <c r="E616" i="365"/>
  <c r="K615" i="365"/>
  <c r="B610" i="365"/>
  <c r="E601" i="365"/>
  <c r="K600" i="365"/>
  <c r="K598" i="365"/>
  <c r="K597" i="365"/>
  <c r="K596" i="365"/>
  <c r="K594" i="365"/>
  <c r="E591" i="365"/>
  <c r="K590" i="365"/>
  <c r="E589" i="365"/>
  <c r="E576" i="365"/>
  <c r="K575" i="365"/>
  <c r="K574" i="365"/>
  <c r="K572" i="365"/>
  <c r="K571" i="365"/>
  <c r="K570" i="365"/>
  <c r="K569" i="365"/>
  <c r="K568" i="365"/>
  <c r="K567" i="365"/>
  <c r="E566" i="365"/>
  <c r="K565" i="365"/>
  <c r="E564" i="365"/>
  <c r="K563" i="365"/>
  <c r="E551" i="365"/>
  <c r="K550" i="365"/>
  <c r="K548" i="365"/>
  <c r="K546" i="365"/>
  <c r="K544" i="365"/>
  <c r="E541" i="365"/>
  <c r="K540" i="365"/>
  <c r="E539" i="365"/>
  <c r="K537" i="365"/>
  <c r="E526" i="365"/>
  <c r="K524" i="365"/>
  <c r="K523" i="365"/>
  <c r="K522" i="365"/>
  <c r="K520" i="365"/>
  <c r="K519" i="365"/>
  <c r="K518" i="365"/>
  <c r="E516" i="365"/>
  <c r="K515" i="365"/>
  <c r="E514" i="365"/>
  <c r="K504" i="365"/>
  <c r="E503" i="365"/>
  <c r="K498" i="365"/>
  <c r="K496" i="365"/>
  <c r="K495" i="365"/>
  <c r="E493" i="365"/>
  <c r="K492" i="365"/>
  <c r="E491" i="365"/>
  <c r="B485" i="365"/>
  <c r="E476" i="365"/>
  <c r="K475" i="365"/>
  <c r="K473" i="365"/>
  <c r="K472" i="365"/>
  <c r="K469" i="365"/>
  <c r="K468" i="365"/>
  <c r="E466" i="365"/>
  <c r="K465" i="365"/>
  <c r="E464" i="365"/>
  <c r="E451" i="365"/>
  <c r="K450" i="365"/>
  <c r="K447" i="365"/>
  <c r="K446" i="365"/>
  <c r="K445" i="365"/>
  <c r="K443" i="365"/>
  <c r="E441" i="365"/>
  <c r="K440" i="365"/>
  <c r="E439" i="365"/>
  <c r="E426" i="365"/>
  <c r="K425" i="365"/>
  <c r="K424" i="365"/>
  <c r="K423" i="365"/>
  <c r="K421" i="365"/>
  <c r="K420" i="365"/>
  <c r="E416" i="365"/>
  <c r="K415" i="365"/>
  <c r="E414" i="365"/>
  <c r="K412" i="365"/>
  <c r="E401" i="365"/>
  <c r="K398" i="365"/>
  <c r="K395" i="365"/>
  <c r="K394" i="365"/>
  <c r="E391" i="365"/>
  <c r="K390" i="365"/>
  <c r="E389" i="365"/>
  <c r="K387" i="365"/>
  <c r="E378" i="365"/>
  <c r="K374" i="365"/>
  <c r="K371" i="365"/>
  <c r="K370" i="365"/>
  <c r="E368" i="365"/>
  <c r="K367" i="365"/>
  <c r="E366" i="365"/>
  <c r="B360" i="365"/>
  <c r="E351" i="365"/>
  <c r="K349" i="365"/>
  <c r="K348" i="365"/>
  <c r="K347" i="365"/>
  <c r="K346" i="365"/>
  <c r="K344" i="365"/>
  <c r="K343" i="365"/>
  <c r="E341" i="365"/>
  <c r="K340" i="365"/>
  <c r="E339" i="365"/>
  <c r="E326" i="365"/>
  <c r="K323" i="365"/>
  <c r="K322" i="365"/>
  <c r="K321" i="365"/>
  <c r="K320" i="365"/>
  <c r="E316" i="365"/>
  <c r="K315" i="365"/>
  <c r="E314" i="365"/>
  <c r="K312" i="365"/>
  <c r="E301" i="365"/>
  <c r="K300" i="365"/>
  <c r="K297" i="365"/>
  <c r="K296" i="365"/>
  <c r="K295" i="365"/>
  <c r="K294" i="365"/>
  <c r="K292" i="365"/>
  <c r="E291" i="365"/>
  <c r="K290" i="365"/>
  <c r="E289" i="365"/>
  <c r="E276" i="365"/>
  <c r="K275" i="365"/>
  <c r="K274" i="365"/>
  <c r="K272" i="365"/>
  <c r="K269" i="365"/>
  <c r="K268" i="365"/>
  <c r="E266" i="365"/>
  <c r="K265" i="365"/>
  <c r="E264" i="365"/>
  <c r="K262" i="365"/>
  <c r="K254" i="365"/>
  <c r="E253" i="365"/>
  <c r="K252" i="365"/>
  <c r="K251" i="365"/>
  <c r="K250" i="365"/>
  <c r="K249" i="365"/>
  <c r="K247" i="365"/>
  <c r="K246" i="365"/>
  <c r="K245" i="365"/>
  <c r="K244" i="365"/>
  <c r="E243" i="365"/>
  <c r="K242" i="365"/>
  <c r="E241" i="365"/>
  <c r="K239" i="365"/>
  <c r="B235" i="365"/>
  <c r="E226" i="365"/>
  <c r="K217" i="365"/>
  <c r="E216" i="365"/>
  <c r="K215" i="365"/>
  <c r="E214" i="365"/>
  <c r="K213" i="365"/>
  <c r="E201" i="365"/>
  <c r="K192" i="365"/>
  <c r="E191" i="365"/>
  <c r="K190" i="365"/>
  <c r="E189" i="365"/>
  <c r="K188" i="365"/>
  <c r="E176" i="365"/>
  <c r="K167" i="365"/>
  <c r="E166" i="365"/>
  <c r="K165" i="365"/>
  <c r="E164" i="365"/>
  <c r="K163" i="365"/>
  <c r="E151" i="365"/>
  <c r="K142" i="365"/>
  <c r="E141" i="365"/>
  <c r="K140" i="365"/>
  <c r="K138" i="365"/>
  <c r="H131" i="365"/>
  <c r="E128" i="365"/>
  <c r="K119" i="365"/>
  <c r="E118" i="365"/>
  <c r="K117" i="365"/>
  <c r="E116" i="365"/>
  <c r="K115" i="365"/>
  <c r="B110" i="365"/>
  <c r="E101" i="365"/>
  <c r="K92" i="365"/>
  <c r="E91" i="365"/>
  <c r="K90" i="365"/>
  <c r="E89" i="365"/>
  <c r="K88" i="365"/>
  <c r="E76" i="365"/>
  <c r="K67" i="365"/>
  <c r="E66" i="365"/>
  <c r="K65" i="365"/>
  <c r="E64" i="365"/>
  <c r="K63" i="365"/>
  <c r="E53" i="365"/>
  <c r="K44" i="365"/>
  <c r="E43" i="365"/>
  <c r="K42" i="365"/>
  <c r="O41" i="365"/>
  <c r="J63" i="266" s="1"/>
  <c r="J64" i="266" s="1"/>
  <c r="E41" i="365"/>
  <c r="K40" i="365"/>
  <c r="B35" i="365"/>
  <c r="B27" i="365"/>
  <c r="A27" i="365"/>
  <c r="B26" i="365"/>
  <c r="A26" i="365"/>
  <c r="B25" i="365"/>
  <c r="A25" i="365"/>
  <c r="B24" i="365"/>
  <c r="A24" i="365"/>
  <c r="B23" i="365"/>
  <c r="A23" i="365"/>
  <c r="B22" i="365"/>
  <c r="A22" i="365"/>
  <c r="B21" i="365"/>
  <c r="A21" i="365"/>
  <c r="B20" i="365"/>
  <c r="A20" i="365"/>
  <c r="B19" i="365"/>
  <c r="A19" i="365"/>
  <c r="B18" i="365"/>
  <c r="A18" i="365"/>
  <c r="B17" i="365"/>
  <c r="A17" i="365"/>
  <c r="B16" i="365"/>
  <c r="A16" i="365"/>
  <c r="B15" i="365"/>
  <c r="A15" i="365"/>
  <c r="B14" i="365"/>
  <c r="A14" i="365"/>
  <c r="B13" i="365"/>
  <c r="A13" i="365"/>
  <c r="H128" i="365" l="1"/>
  <c r="J128" i="365"/>
  <c r="J191" i="365"/>
  <c r="H191" i="365"/>
  <c r="K191" i="365" s="1"/>
  <c r="H118" i="365"/>
  <c r="J118" i="365"/>
  <c r="J151" i="365"/>
  <c r="H151" i="365"/>
  <c r="K151" i="365" s="1"/>
  <c r="J166" i="365"/>
  <c r="H166" i="365"/>
  <c r="H189" i="365"/>
  <c r="J189" i="365"/>
  <c r="J201" i="365"/>
  <c r="H201" i="365"/>
  <c r="H216" i="365"/>
  <c r="J216" i="365"/>
  <c r="J164" i="365"/>
  <c r="H164" i="365"/>
  <c r="H226" i="365"/>
  <c r="J226" i="365"/>
  <c r="K226" i="365" s="1"/>
  <c r="H43" i="365"/>
  <c r="J43" i="365"/>
  <c r="H64" i="365"/>
  <c r="J64" i="365"/>
  <c r="H76" i="365"/>
  <c r="J76" i="365"/>
  <c r="H91" i="365"/>
  <c r="J91" i="365"/>
  <c r="H141" i="365"/>
  <c r="J141" i="365"/>
  <c r="J214" i="365"/>
  <c r="H214" i="365"/>
  <c r="K214" i="365" s="1"/>
  <c r="J41" i="365"/>
  <c r="H41" i="365"/>
  <c r="H116" i="365"/>
  <c r="J116" i="365"/>
  <c r="H176" i="365"/>
  <c r="J176" i="365"/>
  <c r="H53" i="365"/>
  <c r="J53" i="365"/>
  <c r="J66" i="365"/>
  <c r="H66" i="365"/>
  <c r="H89" i="365"/>
  <c r="J89" i="365"/>
  <c r="K89" i="365" s="1"/>
  <c r="H101" i="365"/>
  <c r="J101" i="365"/>
  <c r="K187" i="365"/>
  <c r="K162" i="365"/>
  <c r="K212" i="365"/>
  <c r="K68" i="365"/>
  <c r="K143" i="365"/>
  <c r="K149" i="365"/>
  <c r="K124" i="365"/>
  <c r="K146" i="365"/>
  <c r="K222" i="365"/>
  <c r="K200" i="365"/>
  <c r="K145" i="365"/>
  <c r="K98" i="365"/>
  <c r="K100" i="365"/>
  <c r="K197" i="365"/>
  <c r="K148" i="365"/>
  <c r="K48" i="365"/>
  <c r="K95" i="365"/>
  <c r="K168" i="365"/>
  <c r="K218" i="365"/>
  <c r="K219" i="365"/>
  <c r="K221" i="365"/>
  <c r="K122" i="365"/>
  <c r="K49" i="365"/>
  <c r="J666" i="365"/>
  <c r="H666" i="365"/>
  <c r="J426" i="365"/>
  <c r="H426" i="365"/>
  <c r="K39" i="365"/>
  <c r="K69" i="365"/>
  <c r="K93" i="365"/>
  <c r="K125" i="365"/>
  <c r="J301" i="365"/>
  <c r="H301" i="365"/>
  <c r="J401" i="365"/>
  <c r="H401" i="365"/>
  <c r="H439" i="365"/>
  <c r="J439" i="365"/>
  <c r="H466" i="365"/>
  <c r="J466" i="365"/>
  <c r="J576" i="365"/>
  <c r="H576" i="365"/>
  <c r="J839" i="365"/>
  <c r="H839" i="365"/>
  <c r="J939" i="365"/>
  <c r="H939" i="365"/>
  <c r="H964" i="365"/>
  <c r="J964" i="365"/>
  <c r="J1051" i="365"/>
  <c r="H1051" i="365"/>
  <c r="J1166" i="365"/>
  <c r="H1166" i="365"/>
  <c r="J1276" i="365"/>
  <c r="H1276" i="365"/>
  <c r="J1565" i="365"/>
  <c r="H1565" i="365"/>
  <c r="J826" i="365"/>
  <c r="H826" i="365"/>
  <c r="J339" i="365"/>
  <c r="H339" i="365"/>
  <c r="H551" i="365"/>
  <c r="J551" i="365"/>
  <c r="J1089" i="365"/>
  <c r="H1089" i="365"/>
  <c r="K47" i="365"/>
  <c r="K147" i="365"/>
  <c r="K220" i="365"/>
  <c r="J341" i="365"/>
  <c r="H341" i="365"/>
  <c r="J564" i="365"/>
  <c r="H564" i="365"/>
  <c r="J589" i="365"/>
  <c r="H589" i="365"/>
  <c r="H791" i="365"/>
  <c r="J791" i="365"/>
  <c r="J816" i="365"/>
  <c r="H816" i="365"/>
  <c r="J916" i="365"/>
  <c r="H916" i="365"/>
  <c r="J1026" i="365"/>
  <c r="H1026" i="365"/>
  <c r="J1091" i="365"/>
  <c r="H1091" i="365"/>
  <c r="J1476" i="365"/>
  <c r="H1476" i="365"/>
  <c r="J1189" i="365"/>
  <c r="H1189" i="365"/>
  <c r="H326" i="365"/>
  <c r="J326" i="365"/>
  <c r="J789" i="365"/>
  <c r="H789" i="365"/>
  <c r="J1216" i="365"/>
  <c r="H1216" i="365"/>
  <c r="K94" i="365"/>
  <c r="J276" i="365"/>
  <c r="H276" i="365"/>
  <c r="J314" i="365"/>
  <c r="H314" i="365"/>
  <c r="J414" i="365"/>
  <c r="H414" i="365"/>
  <c r="H441" i="365"/>
  <c r="J441" i="365"/>
  <c r="H526" i="365"/>
  <c r="J526" i="365"/>
  <c r="J716" i="365"/>
  <c r="H716" i="365"/>
  <c r="J841" i="365"/>
  <c r="H841" i="365"/>
  <c r="J941" i="365"/>
  <c r="H941" i="365"/>
  <c r="J966" i="365"/>
  <c r="H966" i="365"/>
  <c r="J1451" i="365"/>
  <c r="H1451" i="365"/>
  <c r="J1514" i="365"/>
  <c r="H1514" i="365"/>
  <c r="J1567" i="365"/>
  <c r="H1567" i="365"/>
  <c r="J289" i="365"/>
  <c r="H289" i="365"/>
  <c r="J566" i="365"/>
  <c r="H566" i="365"/>
  <c r="J591" i="365"/>
  <c r="H591" i="365"/>
  <c r="J676" i="365"/>
  <c r="H676" i="365"/>
  <c r="J1064" i="365"/>
  <c r="H1064" i="365"/>
  <c r="J1289" i="365"/>
  <c r="H1289" i="365"/>
  <c r="J1301" i="365"/>
  <c r="H1301" i="365"/>
  <c r="H1462" i="365"/>
  <c r="J1462" i="365"/>
  <c r="J601" i="365"/>
  <c r="H601" i="365"/>
  <c r="J651" i="365"/>
  <c r="H651" i="365"/>
  <c r="J1039" i="365"/>
  <c r="H1039" i="365"/>
  <c r="J1516" i="365"/>
  <c r="H1516" i="365"/>
  <c r="J416" i="365"/>
  <c r="H416" i="365"/>
  <c r="J689" i="365"/>
  <c r="H689" i="365"/>
  <c r="J1066" i="365"/>
  <c r="H1066" i="365"/>
  <c r="J1101" i="365"/>
  <c r="H1101" i="365"/>
  <c r="J1291" i="365"/>
  <c r="H1291" i="365"/>
  <c r="J1401" i="365"/>
  <c r="H1401" i="365"/>
  <c r="J1426" i="365"/>
  <c r="H1426" i="365"/>
  <c r="E1466" i="365"/>
  <c r="J1465" i="365"/>
  <c r="H1465" i="365"/>
  <c r="J1491" i="365"/>
  <c r="H1491" i="365"/>
  <c r="J291" i="365"/>
  <c r="H291" i="365"/>
  <c r="K198" i="365"/>
  <c r="H541" i="365"/>
  <c r="J541" i="365"/>
  <c r="J726" i="365"/>
  <c r="H726" i="365"/>
  <c r="J1201" i="365"/>
  <c r="H1201" i="365"/>
  <c r="H1314" i="365"/>
  <c r="J1314" i="365"/>
  <c r="H1326" i="365"/>
  <c r="J1326" i="365"/>
  <c r="J539" i="365"/>
  <c r="H539" i="365"/>
  <c r="K150" i="365"/>
  <c r="K223" i="365"/>
  <c r="J476" i="365"/>
  <c r="H476" i="365"/>
  <c r="J664" i="365"/>
  <c r="H664" i="365"/>
  <c r="J691" i="365"/>
  <c r="H691" i="365"/>
  <c r="J1041" i="365"/>
  <c r="H1041" i="365"/>
  <c r="J1151" i="365"/>
  <c r="H1151" i="365"/>
  <c r="J1176" i="365"/>
  <c r="H1176" i="365"/>
  <c r="J1351" i="365"/>
  <c r="H1351" i="365"/>
  <c r="J1439" i="365"/>
  <c r="H1439" i="365"/>
  <c r="J1493" i="365"/>
  <c r="H1493" i="365"/>
  <c r="J316" i="365"/>
  <c r="H316" i="365"/>
  <c r="K73" i="365"/>
  <c r="K97" i="365"/>
  <c r="K175" i="365"/>
  <c r="J351" i="365"/>
  <c r="H351" i="365"/>
  <c r="H776" i="365"/>
  <c r="J776" i="365"/>
  <c r="J801" i="365"/>
  <c r="H801" i="365"/>
  <c r="H976" i="365"/>
  <c r="J976" i="365"/>
  <c r="J1316" i="365"/>
  <c r="H1316" i="365"/>
  <c r="J1339" i="365"/>
  <c r="H1339" i="365"/>
  <c r="J1414" i="365"/>
  <c r="H1414" i="365"/>
  <c r="J851" i="365"/>
  <c r="H851" i="365"/>
  <c r="J901" i="365"/>
  <c r="H901" i="365"/>
  <c r="J1214" i="365"/>
  <c r="H1214" i="365"/>
  <c r="J1226" i="365"/>
  <c r="H1226" i="365"/>
  <c r="J1441" i="365"/>
  <c r="H1441" i="365"/>
  <c r="J464" i="365"/>
  <c r="H464" i="365"/>
  <c r="J701" i="365"/>
  <c r="H701" i="365"/>
  <c r="H926" i="365"/>
  <c r="J926" i="365"/>
  <c r="J951" i="365"/>
  <c r="H951" i="365"/>
  <c r="J1164" i="365"/>
  <c r="H1164" i="365"/>
  <c r="J1341" i="365"/>
  <c r="H1341" i="365"/>
  <c r="J1577" i="365"/>
  <c r="H1577" i="365"/>
  <c r="J451" i="365"/>
  <c r="H451" i="365"/>
  <c r="J1076" i="365"/>
  <c r="H1076" i="365"/>
  <c r="H714" i="365"/>
  <c r="J714" i="365"/>
  <c r="J814" i="365"/>
  <c r="H814" i="365"/>
  <c r="H914" i="365"/>
  <c r="J914" i="365"/>
  <c r="H1191" i="365"/>
  <c r="J1191" i="365"/>
  <c r="H1416" i="365"/>
  <c r="J1416" i="365"/>
  <c r="H1503" i="365"/>
  <c r="J1503" i="365"/>
  <c r="H1378" i="365"/>
  <c r="J1378" i="365"/>
  <c r="J1253" i="365"/>
  <c r="H1253" i="365"/>
  <c r="J1128" i="365"/>
  <c r="H1128" i="365"/>
  <c r="J1003" i="365"/>
  <c r="H1003" i="365"/>
  <c r="H878" i="365"/>
  <c r="J878" i="365"/>
  <c r="J753" i="365"/>
  <c r="H753" i="365"/>
  <c r="H503" i="365"/>
  <c r="J503" i="365"/>
  <c r="H378" i="365"/>
  <c r="J378" i="365"/>
  <c r="J253" i="365"/>
  <c r="H253" i="365"/>
  <c r="J628" i="365"/>
  <c r="H628" i="365"/>
  <c r="J1526" i="365"/>
  <c r="H1526" i="365"/>
  <c r="F63" i="266"/>
  <c r="J65" i="266"/>
  <c r="B65" i="266" s="1"/>
  <c r="J1389" i="365"/>
  <c r="H1389" i="365"/>
  <c r="J1391" i="365"/>
  <c r="H1391" i="365"/>
  <c r="J1368" i="365"/>
  <c r="H1368" i="365"/>
  <c r="J1366" i="365"/>
  <c r="H1366" i="365"/>
  <c r="J1266" i="365"/>
  <c r="H1266" i="365"/>
  <c r="J1264" i="365"/>
  <c r="H1264" i="365"/>
  <c r="J1243" i="365"/>
  <c r="H1243" i="365"/>
  <c r="H1241" i="365"/>
  <c r="J1241" i="365"/>
  <c r="J1139" i="365"/>
  <c r="H1139" i="365"/>
  <c r="J1141" i="365"/>
  <c r="H1141" i="365"/>
  <c r="H1116" i="365"/>
  <c r="J1116" i="365"/>
  <c r="H1118" i="365"/>
  <c r="J1118" i="365"/>
  <c r="J1014" i="365"/>
  <c r="H1014" i="365"/>
  <c r="J1016" i="365"/>
  <c r="H1016" i="365"/>
  <c r="J991" i="365"/>
  <c r="H991" i="365"/>
  <c r="J993" i="365"/>
  <c r="H993" i="365"/>
  <c r="J889" i="365"/>
  <c r="H889" i="365"/>
  <c r="H891" i="365"/>
  <c r="J891" i="365"/>
  <c r="J866" i="365"/>
  <c r="H866" i="365"/>
  <c r="J868" i="365"/>
  <c r="H868" i="365"/>
  <c r="J766" i="365"/>
  <c r="H766" i="365"/>
  <c r="J764" i="365"/>
  <c r="H764" i="365"/>
  <c r="J741" i="365"/>
  <c r="H741" i="365"/>
  <c r="H743" i="365"/>
  <c r="J743" i="365"/>
  <c r="J639" i="365"/>
  <c r="H639" i="365"/>
  <c r="J641" i="365"/>
  <c r="H641" i="365"/>
  <c r="H616" i="365"/>
  <c r="J616" i="365"/>
  <c r="H618" i="365"/>
  <c r="J618" i="365"/>
  <c r="J516" i="365"/>
  <c r="H516" i="365"/>
  <c r="J514" i="365"/>
  <c r="H514" i="365"/>
  <c r="J491" i="365"/>
  <c r="H491" i="365"/>
  <c r="J493" i="365"/>
  <c r="H493" i="365"/>
  <c r="J391" i="365"/>
  <c r="H391" i="365"/>
  <c r="J389" i="365"/>
  <c r="H389" i="365"/>
  <c r="H266" i="365"/>
  <c r="J266" i="365"/>
  <c r="J264" i="365"/>
  <c r="H264" i="365"/>
  <c r="J366" i="365"/>
  <c r="H366" i="365"/>
  <c r="J368" i="365"/>
  <c r="H368" i="365"/>
  <c r="J241" i="365"/>
  <c r="H241" i="365"/>
  <c r="J243" i="365"/>
  <c r="H243" i="365"/>
  <c r="K114" i="365"/>
  <c r="K1542" i="365"/>
  <c r="K1539" i="365"/>
  <c r="K1550" i="365"/>
  <c r="K1551" i="365"/>
  <c r="K1574" i="365"/>
  <c r="K1570" i="365"/>
  <c r="K1469" i="365"/>
  <c r="K1472" i="365"/>
  <c r="K1468" i="365"/>
  <c r="K1252" i="365"/>
  <c r="K1249" i="365"/>
  <c r="K1120" i="365"/>
  <c r="K1099" i="365"/>
  <c r="K1093" i="365"/>
  <c r="K1073" i="365"/>
  <c r="K1071" i="365"/>
  <c r="K1049" i="365"/>
  <c r="K1019" i="365"/>
  <c r="K972" i="365"/>
  <c r="K894" i="365"/>
  <c r="K871" i="365"/>
  <c r="K875" i="365"/>
  <c r="K800" i="365"/>
  <c r="K599" i="365"/>
  <c r="K573" i="365"/>
  <c r="K545" i="365"/>
  <c r="K521" i="365"/>
  <c r="K500" i="365"/>
  <c r="K474" i="365"/>
  <c r="K470" i="365"/>
  <c r="K448" i="365"/>
  <c r="K444" i="365"/>
  <c r="K422" i="365"/>
  <c r="K418" i="365"/>
  <c r="K375" i="365"/>
  <c r="K350" i="365"/>
  <c r="K324" i="365"/>
  <c r="K318" i="365"/>
  <c r="K298" i="365"/>
  <c r="K270" i="365"/>
  <c r="K224" i="365"/>
  <c r="K194" i="365"/>
  <c r="K172" i="365"/>
  <c r="K120" i="365"/>
  <c r="K72" i="365"/>
  <c r="K52" i="365"/>
  <c r="K74" i="365"/>
  <c r="K75" i="365"/>
  <c r="K121" i="365"/>
  <c r="K126" i="365"/>
  <c r="E139" i="365"/>
  <c r="K173" i="365"/>
  <c r="K195" i="365"/>
  <c r="K293" i="365"/>
  <c r="K319" i="365"/>
  <c r="K345" i="365"/>
  <c r="K501" i="365"/>
  <c r="K593" i="365"/>
  <c r="K844" i="365"/>
  <c r="K849" i="365"/>
  <c r="K900" i="365"/>
  <c r="K920" i="365"/>
  <c r="K974" i="365"/>
  <c r="K1012" i="365"/>
  <c r="K1020" i="365"/>
  <c r="K1123" i="365"/>
  <c r="K1196" i="365"/>
  <c r="K1262" i="365"/>
  <c r="K1371" i="365"/>
  <c r="K1377" i="365"/>
  <c r="K1422" i="365"/>
  <c r="K1445" i="365"/>
  <c r="K400" i="365"/>
  <c r="K45" i="365"/>
  <c r="K50" i="365"/>
  <c r="K70" i="365"/>
  <c r="K127" i="365"/>
  <c r="K174" i="365"/>
  <c r="K196" i="365"/>
  <c r="K271" i="365"/>
  <c r="K287" i="365"/>
  <c r="K396" i="365"/>
  <c r="K419" i="365"/>
  <c r="K462" i="365"/>
  <c r="K502" i="365"/>
  <c r="K525" i="365"/>
  <c r="K721" i="365"/>
  <c r="K896" i="365"/>
  <c r="K950" i="365"/>
  <c r="K970" i="365"/>
  <c r="K51" i="365"/>
  <c r="K71" i="365"/>
  <c r="K99" i="365"/>
  <c r="K169" i="365"/>
  <c r="K225" i="365"/>
  <c r="K248" i="365"/>
  <c r="K299" i="365"/>
  <c r="K325" i="365"/>
  <c r="K376" i="365"/>
  <c r="K397" i="365"/>
  <c r="K637" i="365"/>
  <c r="K645" i="365"/>
  <c r="K693" i="365"/>
  <c r="K699" i="365"/>
  <c r="K751" i="365"/>
  <c r="K794" i="365"/>
  <c r="K823" i="365"/>
  <c r="K879" i="365"/>
  <c r="K912" i="365"/>
  <c r="K946" i="365"/>
  <c r="K1000" i="365"/>
  <c r="K1170" i="365"/>
  <c r="K1502" i="365"/>
  <c r="K1518" i="365"/>
  <c r="K1524" i="365"/>
  <c r="K46" i="365"/>
  <c r="K87" i="365"/>
  <c r="K123" i="365"/>
  <c r="K129" i="365"/>
  <c r="K170" i="365"/>
  <c r="K595" i="365"/>
  <c r="K887" i="365"/>
  <c r="K1045" i="365"/>
  <c r="K1069" i="365"/>
  <c r="K1075" i="365"/>
  <c r="K1097" i="365"/>
  <c r="K1198" i="365"/>
  <c r="K1247" i="365"/>
  <c r="K1349" i="365"/>
  <c r="E1464" i="365"/>
  <c r="K1497" i="365"/>
  <c r="K1519" i="365"/>
  <c r="K1525" i="365"/>
  <c r="K372" i="365"/>
  <c r="K377" i="365"/>
  <c r="K393" i="365"/>
  <c r="K547" i="365"/>
  <c r="K937" i="365"/>
  <c r="K1419" i="365"/>
  <c r="K1425" i="365"/>
  <c r="K1448" i="365"/>
  <c r="K1512" i="365"/>
  <c r="K549" i="365"/>
  <c r="K171" i="365"/>
  <c r="K176" i="365"/>
  <c r="K193" i="365"/>
  <c r="K996" i="365"/>
  <c r="K1023" i="365"/>
  <c r="K379" i="365"/>
  <c r="K399" i="365"/>
  <c r="K449" i="365"/>
  <c r="K471" i="365"/>
  <c r="K543" i="365"/>
  <c r="K724" i="365"/>
  <c r="K754" i="365"/>
  <c r="K1087" i="365"/>
  <c r="K1121" i="365"/>
  <c r="K1172" i="365"/>
  <c r="K1187" i="365"/>
  <c r="K1443" i="365"/>
  <c r="K1449" i="365"/>
  <c r="J26" i="365"/>
  <c r="K62" i="365"/>
  <c r="K96" i="365"/>
  <c r="K137" i="365"/>
  <c r="K144" i="365"/>
  <c r="K199" i="365"/>
  <c r="K337" i="365"/>
  <c r="K437" i="365"/>
  <c r="K648" i="365"/>
  <c r="K696" i="365"/>
  <c r="K712" i="365"/>
  <c r="K748" i="365"/>
  <c r="K769" i="365"/>
  <c r="K774" i="365"/>
  <c r="K797" i="365"/>
  <c r="K820" i="365"/>
  <c r="K968" i="365"/>
  <c r="K1127" i="365"/>
  <c r="K1146" i="365"/>
  <c r="K1337" i="365"/>
  <c r="K1499" i="365"/>
  <c r="K1521" i="365"/>
  <c r="K843" i="365"/>
  <c r="K1048" i="365"/>
  <c r="K1100" i="365"/>
  <c r="K1122" i="365"/>
  <c r="K1168" i="365"/>
  <c r="K1200" i="365"/>
  <c r="K1254" i="365"/>
  <c r="K1370" i="365"/>
  <c r="K1397" i="365"/>
  <c r="K1421" i="365"/>
  <c r="K1437" i="365"/>
  <c r="K1450" i="365"/>
  <c r="H26" i="365"/>
  <c r="K497" i="365"/>
  <c r="K499" i="365"/>
  <c r="K373" i="365"/>
  <c r="K128" i="365"/>
  <c r="K1394" i="365"/>
  <c r="K1396" i="365"/>
  <c r="K1398" i="365"/>
  <c r="K273" i="365"/>
  <c r="K364" i="365"/>
  <c r="K624" i="365"/>
  <c r="K644" i="365"/>
  <c r="K650" i="365"/>
  <c r="K672" i="365"/>
  <c r="K695" i="365"/>
  <c r="K723" i="365"/>
  <c r="K864" i="365"/>
  <c r="K1043" i="365"/>
  <c r="K1400" i="365"/>
  <c r="K201" i="365"/>
  <c r="K989" i="365"/>
  <c r="K1496" i="365"/>
  <c r="K101" i="365"/>
  <c r="K489" i="365"/>
  <c r="K998" i="365"/>
  <c r="K1018" i="365"/>
  <c r="K1024" i="365"/>
  <c r="K1376" i="365"/>
  <c r="K562" i="365"/>
  <c r="K621" i="365"/>
  <c r="K627" i="365"/>
  <c r="K647" i="365"/>
  <c r="K669" i="365"/>
  <c r="K675" i="365"/>
  <c r="K698" i="365"/>
  <c r="K720" i="365"/>
  <c r="K962" i="365"/>
  <c r="K1046" i="365"/>
  <c r="K614" i="365"/>
  <c r="K999" i="365"/>
  <c r="K1025" i="365"/>
  <c r="K1070" i="365"/>
  <c r="K1098" i="365"/>
  <c r="K1444" i="365"/>
  <c r="K623" i="365"/>
  <c r="K643" i="365"/>
  <c r="K649" i="365"/>
  <c r="K671" i="365"/>
  <c r="K694" i="365"/>
  <c r="K700" i="365"/>
  <c r="K722" i="365"/>
  <c r="K1500" i="365"/>
  <c r="K512" i="365"/>
  <c r="K587" i="365"/>
  <c r="K995" i="365"/>
  <c r="K1001" i="365"/>
  <c r="K1021" i="365"/>
  <c r="K1072" i="365"/>
  <c r="K1094" i="365"/>
  <c r="K1563" i="365"/>
  <c r="K1489" i="365"/>
  <c r="K141" i="365" l="1"/>
  <c r="K43" i="365"/>
  <c r="K118" i="365"/>
  <c r="K91" i="365"/>
  <c r="K66" i="365"/>
  <c r="K53" i="365"/>
  <c r="K216" i="365"/>
  <c r="K166" i="365"/>
  <c r="K64" i="365"/>
  <c r="K189" i="365"/>
  <c r="K164" i="365"/>
  <c r="K76" i="365"/>
  <c r="H139" i="365"/>
  <c r="J139" i="365"/>
  <c r="K1064" i="365"/>
  <c r="K814" i="365"/>
  <c r="K1216" i="365"/>
  <c r="K866" i="365"/>
  <c r="K689" i="365"/>
  <c r="K1476" i="365"/>
  <c r="K589" i="365"/>
  <c r="K1439" i="365"/>
  <c r="K601" i="365"/>
  <c r="K416" i="365"/>
  <c r="K289" i="365"/>
  <c r="K276" i="365"/>
  <c r="K339" i="365"/>
  <c r="K514" i="365"/>
  <c r="K1264" i="365"/>
  <c r="K539" i="365"/>
  <c r="K1289" i="365"/>
  <c r="K1567" i="365"/>
  <c r="K826" i="365"/>
  <c r="K939" i="365"/>
  <c r="K964" i="365"/>
  <c r="K1462" i="365"/>
  <c r="K1176" i="365"/>
  <c r="K1014" i="365"/>
  <c r="K1101" i="365"/>
  <c r="K566" i="365"/>
  <c r="K941" i="365"/>
  <c r="K1243" i="365"/>
  <c r="K591" i="365"/>
  <c r="K966" i="365"/>
  <c r="K1089" i="365"/>
  <c r="K1051" i="365"/>
  <c r="K1389" i="365"/>
  <c r="K666" i="365"/>
  <c r="K439" i="365"/>
  <c r="K716" i="365"/>
  <c r="K341" i="365"/>
  <c r="K951" i="365"/>
  <c r="K914" i="365"/>
  <c r="K1241" i="365"/>
  <c r="K1164" i="365"/>
  <c r="K316" i="365"/>
  <c r="K1041" i="365"/>
  <c r="K291" i="365"/>
  <c r="K1039" i="365"/>
  <c r="K1314" i="365"/>
  <c r="K1491" i="365"/>
  <c r="K441" i="365"/>
  <c r="K326" i="365"/>
  <c r="K1189" i="365"/>
  <c r="K1066" i="365"/>
  <c r="K816" i="365"/>
  <c r="K1191" i="365"/>
  <c r="K464" i="365"/>
  <c r="K1091" i="365"/>
  <c r="K564" i="365"/>
  <c r="K1514" i="365"/>
  <c r="J1635" i="365"/>
  <c r="J27" i="365" s="1"/>
  <c r="K839" i="365"/>
  <c r="K976" i="365"/>
  <c r="K576" i="365"/>
  <c r="K1151" i="365"/>
  <c r="K1026" i="365"/>
  <c r="K551" i="365"/>
  <c r="K351" i="365"/>
  <c r="K1401" i="365"/>
  <c r="K1141" i="365"/>
  <c r="K1577" i="365"/>
  <c r="K541" i="365"/>
  <c r="K1426" i="365"/>
  <c r="K766" i="365"/>
  <c r="K503" i="365"/>
  <c r="K1378" i="365"/>
  <c r="K1493" i="365"/>
  <c r="K651" i="365"/>
  <c r="K676" i="365"/>
  <c r="K1326" i="365"/>
  <c r="K1291" i="365"/>
  <c r="K526" i="365"/>
  <c r="K916" i="365"/>
  <c r="K741" i="365"/>
  <c r="K1526" i="365"/>
  <c r="K1416" i="365"/>
  <c r="K851" i="365"/>
  <c r="J110" i="365"/>
  <c r="J13" i="365" s="1"/>
  <c r="K368" i="365"/>
  <c r="K493" i="365"/>
  <c r="K868" i="365"/>
  <c r="K1016" i="365"/>
  <c r="K264" i="365"/>
  <c r="K926" i="365"/>
  <c r="K391" i="365"/>
  <c r="K991" i="365"/>
  <c r="K1368" i="365"/>
  <c r="K253" i="365"/>
  <c r="K1128" i="365"/>
  <c r="K1341" i="365"/>
  <c r="K1339" i="365"/>
  <c r="K1503" i="365"/>
  <c r="K1565" i="365"/>
  <c r="K301" i="365"/>
  <c r="K1118" i="365"/>
  <c r="K1076" i="365"/>
  <c r="K401" i="365"/>
  <c r="K1451" i="365"/>
  <c r="K901" i="365"/>
  <c r="K664" i="365"/>
  <c r="K414" i="365"/>
  <c r="K889" i="365"/>
  <c r="J1535" i="365"/>
  <c r="J25" i="365" s="1"/>
  <c r="K451" i="365"/>
  <c r="K701" i="365"/>
  <c r="K776" i="365"/>
  <c r="K1351" i="365"/>
  <c r="K476" i="365"/>
  <c r="K314" i="365"/>
  <c r="K243" i="365"/>
  <c r="K764" i="365"/>
  <c r="K993" i="365"/>
  <c r="K1414" i="365"/>
  <c r="K1201" i="365"/>
  <c r="K726" i="365"/>
  <c r="K1253" i="365"/>
  <c r="K878" i="365"/>
  <c r="K628" i="365"/>
  <c r="K1301" i="365"/>
  <c r="H110" i="365"/>
  <c r="H13" i="365" s="1"/>
  <c r="K1276" i="365"/>
  <c r="K1391" i="365"/>
  <c r="H360" i="365"/>
  <c r="H15" i="365" s="1"/>
  <c r="J360" i="365"/>
  <c r="J15" i="365" s="1"/>
  <c r="K1441" i="365"/>
  <c r="K1560" i="365"/>
  <c r="J985" i="365"/>
  <c r="J20" i="365" s="1"/>
  <c r="K714" i="365"/>
  <c r="K753" i="365"/>
  <c r="K691" i="365"/>
  <c r="H1635" i="365"/>
  <c r="H27" i="365" s="1"/>
  <c r="K516" i="365"/>
  <c r="H1535" i="365"/>
  <c r="H25" i="365" s="1"/>
  <c r="K1465" i="365"/>
  <c r="H1466" i="365"/>
  <c r="J1466" i="365"/>
  <c r="K389" i="365"/>
  <c r="K618" i="365"/>
  <c r="K1003" i="365"/>
  <c r="K466" i="365"/>
  <c r="K426" i="365"/>
  <c r="J1464" i="365"/>
  <c r="H1464" i="365"/>
  <c r="J1360" i="365"/>
  <c r="J23" i="365" s="1"/>
  <c r="K378" i="365"/>
  <c r="K1516" i="365"/>
  <c r="K1366" i="365"/>
  <c r="H985" i="365"/>
  <c r="H20" i="365" s="1"/>
  <c r="K743" i="365"/>
  <c r="K116" i="365"/>
  <c r="K1266" i="365"/>
  <c r="H1360" i="365"/>
  <c r="H23" i="365" s="1"/>
  <c r="K1139" i="365"/>
  <c r="J1235" i="365"/>
  <c r="J22" i="365" s="1"/>
  <c r="H1235" i="365"/>
  <c r="H22" i="365" s="1"/>
  <c r="K1116" i="365"/>
  <c r="H1110" i="365"/>
  <c r="H21" i="365" s="1"/>
  <c r="J1110" i="365"/>
  <c r="J21" i="365" s="1"/>
  <c r="K891" i="365"/>
  <c r="J860" i="365"/>
  <c r="J19" i="365" s="1"/>
  <c r="H860" i="365"/>
  <c r="H19" i="365" s="1"/>
  <c r="K641" i="365"/>
  <c r="J735" i="365"/>
  <c r="J18" i="365" s="1"/>
  <c r="K639" i="365"/>
  <c r="H735" i="365"/>
  <c r="H18" i="365" s="1"/>
  <c r="K616" i="365"/>
  <c r="H610" i="365"/>
  <c r="H17" i="365" s="1"/>
  <c r="K491" i="365"/>
  <c r="J610" i="365"/>
  <c r="J17" i="365" s="1"/>
  <c r="H485" i="365"/>
  <c r="H16" i="365" s="1"/>
  <c r="J485" i="365"/>
  <c r="J16" i="365" s="1"/>
  <c r="K266" i="365"/>
  <c r="K366" i="365"/>
  <c r="K241" i="365"/>
  <c r="K26" i="365"/>
  <c r="K791" i="365"/>
  <c r="K1226" i="365"/>
  <c r="H235" i="365"/>
  <c r="H14" i="365" s="1"/>
  <c r="J235" i="365"/>
  <c r="J14" i="365" s="1"/>
  <c r="K841" i="365"/>
  <c r="K1316" i="365"/>
  <c r="K41" i="365"/>
  <c r="K1166" i="365"/>
  <c r="K801" i="365"/>
  <c r="K789" i="365"/>
  <c r="K1214" i="365"/>
  <c r="K110" i="365" l="1"/>
  <c r="K27" i="365"/>
  <c r="K25" i="365"/>
  <c r="K1535" i="365"/>
  <c r="K1635" i="365"/>
  <c r="K610" i="365"/>
  <c r="K1110" i="365"/>
  <c r="K1466" i="365"/>
  <c r="J1485" i="365"/>
  <c r="J24" i="365" s="1"/>
  <c r="J35" i="365" s="1"/>
  <c r="J13" i="279" s="1"/>
  <c r="J31" i="279" s="1"/>
  <c r="K985" i="365"/>
  <c r="K860" i="365"/>
  <c r="K735" i="365"/>
  <c r="H1485" i="365"/>
  <c r="H24" i="365" s="1"/>
  <c r="H35" i="365" s="1"/>
  <c r="H13" i="279" s="1"/>
  <c r="K1235" i="365"/>
  <c r="K1360" i="365"/>
  <c r="K15" i="365"/>
  <c r="K22" i="365"/>
  <c r="K21" i="365"/>
  <c r="K23" i="365"/>
  <c r="K360" i="365"/>
  <c r="K485" i="365"/>
  <c r="K1464" i="365"/>
  <c r="K20" i="365"/>
  <c r="K16" i="365"/>
  <c r="K18" i="365"/>
  <c r="K17" i="365"/>
  <c r="K19" i="365"/>
  <c r="K139" i="365"/>
  <c r="K235" i="365" s="1"/>
  <c r="K14" i="365"/>
  <c r="K13" i="365"/>
  <c r="K1485" i="365" l="1"/>
  <c r="K24" i="365"/>
  <c r="K35" i="365" s="1"/>
  <c r="N23" i="268" l="1"/>
  <c r="G26" i="268" l="1"/>
  <c r="B26" i="268"/>
  <c r="K20" i="279"/>
  <c r="F26" i="268" s="1"/>
  <c r="H26" i="268" l="1"/>
  <c r="G20" i="265"/>
  <c r="G19" i="265"/>
  <c r="G18" i="265"/>
  <c r="G17" i="265"/>
  <c r="B20" i="265"/>
  <c r="B19" i="265"/>
  <c r="B18" i="265"/>
  <c r="B17" i="265"/>
  <c r="H28" i="268" l="1"/>
  <c r="F25" i="267" s="1"/>
  <c r="G25" i="268" l="1"/>
  <c r="G24" i="268"/>
  <c r="G23" i="268"/>
  <c r="G22" i="268"/>
  <c r="G21" i="268"/>
  <c r="G20" i="268"/>
  <c r="B25" i="268"/>
  <c r="B24" i="268"/>
  <c r="B23" i="268"/>
  <c r="B22" i="268"/>
  <c r="B21" i="268"/>
  <c r="B20" i="268"/>
  <c r="B19" i="268"/>
  <c r="G31" i="268"/>
  <c r="H31" i="268" s="1"/>
  <c r="O22" i="268" s="1"/>
  <c r="P22" i="268" s="1"/>
  <c r="K16" i="279" l="1"/>
  <c r="K15" i="279"/>
  <c r="F22" i="268" l="1"/>
  <c r="H22" i="268" s="1"/>
  <c r="F21" i="268"/>
  <c r="H21" i="268" s="1"/>
  <c r="G19" i="268"/>
  <c r="F28" i="267" l="1"/>
  <c r="F163" i="266" l="1"/>
  <c r="F107" i="266"/>
  <c r="F121" i="266" s="1"/>
  <c r="F77" i="266"/>
  <c r="F33" i="266"/>
  <c r="F164" i="266" l="1"/>
  <c r="F165" i="266" s="1"/>
  <c r="G16" i="265" s="1"/>
  <c r="F122" i="266"/>
  <c r="F123" i="266" s="1"/>
  <c r="G15" i="265" s="1"/>
  <c r="F34" i="266"/>
  <c r="F35" i="266" s="1"/>
  <c r="G13" i="265" s="1"/>
  <c r="F78" i="266"/>
  <c r="F79" i="266" s="1"/>
  <c r="G14" i="265" s="1"/>
  <c r="G35" i="265" l="1"/>
  <c r="F33" i="267" s="1"/>
  <c r="K13" i="279" l="1"/>
  <c r="F19" i="268" s="1"/>
  <c r="H19" i="268" s="1"/>
  <c r="O19" i="268" s="1"/>
  <c r="P19" i="268" s="1"/>
  <c r="K14" i="279"/>
  <c r="F20" i="268" l="1"/>
  <c r="H20" i="268" s="1"/>
  <c r="O20" i="268" s="1"/>
  <c r="P20" i="268" l="1"/>
  <c r="K19" i="279"/>
  <c r="F25" i="268" l="1"/>
  <c r="H25" i="268" s="1"/>
  <c r="K18" i="279"/>
  <c r="F24" i="268" l="1"/>
  <c r="H24" i="268" s="1"/>
  <c r="H31" i="279" l="1"/>
  <c r="K17" i="279" l="1"/>
  <c r="K31" i="279" l="1"/>
  <c r="F23" i="268"/>
  <c r="C9" i="269" l="1"/>
  <c r="M11" i="269" s="1"/>
  <c r="M12" i="269" s="1"/>
  <c r="H23" i="268"/>
  <c r="O21" i="268" l="1"/>
  <c r="H39" i="268"/>
  <c r="F44" i="268" s="1"/>
  <c r="F16" i="267"/>
  <c r="F36" i="267" s="1"/>
  <c r="D37" i="267" s="1"/>
  <c r="P14" i="269"/>
  <c r="P15" i="269" s="1"/>
  <c r="P11" i="269"/>
  <c r="P12" i="269" s="1"/>
  <c r="P10" i="269"/>
  <c r="R12" i="269"/>
  <c r="P21" i="268" l="1"/>
  <c r="P23" i="268" s="1"/>
  <c r="O23" i="268"/>
  <c r="R11" i="269"/>
</calcChain>
</file>

<file path=xl/sharedStrings.xml><?xml version="1.0" encoding="utf-8"?>
<sst xmlns="http://schemas.openxmlformats.org/spreadsheetml/2006/main" count="35348" uniqueCount="3013">
  <si>
    <t>แบบแสดงรายการ ปริมาณงาน และราคา</t>
  </si>
  <si>
    <t>แบบ ปร. 4</t>
  </si>
  <si>
    <t xml:space="preserve">กลุ่มงาน/งาน  : </t>
  </si>
  <si>
    <t xml:space="preserve">สถานที่ก่อสร้าง  : </t>
  </si>
  <si>
    <t xml:space="preserve"> แบบเลขที่</t>
  </si>
  <si>
    <t>เมื่อวันที่</t>
  </si>
  <si>
    <t>เดือน</t>
  </si>
  <si>
    <t xml:space="preserve">หน่วย : บาท </t>
  </si>
  <si>
    <t>ลำดับที่</t>
  </si>
  <si>
    <t>รายการ</t>
  </si>
  <si>
    <t>จำนวน</t>
  </si>
  <si>
    <t>หน่วย</t>
  </si>
  <si>
    <t>ค่าวัสดุ</t>
  </si>
  <si>
    <t>ค่าแรงงาน</t>
  </si>
  <si>
    <t>รวมค่าวัสดุ</t>
  </si>
  <si>
    <t>หมายเหตุ</t>
  </si>
  <si>
    <t xml:space="preserve"> ราคาหน่วยละ</t>
  </si>
  <si>
    <t>จำนวนเงิน</t>
  </si>
  <si>
    <t>และค่าแรงงาน</t>
  </si>
  <si>
    <t>งาน</t>
  </si>
  <si>
    <t>หน่วยงานเจ้าของโครงการ/งานก่อสร้าง :    บริษัท ธนารักษ์พัฒนาสินทรัพย์ จำกัด</t>
  </si>
  <si>
    <t>ศูนย์ราชการเฉลิมพระเกียรติ  ถนนแจ้งวัฒนะ  กรุงเทพมหานคร</t>
  </si>
  <si>
    <t>ชื่อโครงการ / งานก่อสร้าง  :    โครงการพัฒนาพื้นที่ส่วนขยายศูนย์ราชการเฉลิมพระเกียรติ ๘๐ พรรษา ๕ ธันวาคม ๒๕๕๐ พื้นที่โซน C</t>
  </si>
  <si>
    <t>พ.ศ.</t>
  </si>
  <si>
    <t>7.</t>
  </si>
  <si>
    <t>งานระบบปรับอากาศ และระบายอากาศ</t>
  </si>
  <si>
    <t>6.</t>
  </si>
  <si>
    <t>5.</t>
  </si>
  <si>
    <t>4.</t>
  </si>
  <si>
    <t>งานระบบไฟฟ้าและสื่อสาร</t>
  </si>
  <si>
    <t>3.</t>
  </si>
  <si>
    <t xml:space="preserve">คำนวณราคากลางโดย  :  </t>
  </si>
  <si>
    <t>=</t>
  </si>
  <si>
    <t>ชื่อโครงการ / งานก่อสร้าง  :    โครงการพัฒนาพื้นที่ส่วนขยาย ศูนย์ราชการเฉลิมพระเกียรติ ๘๐ พรรษา ๕ ธันวาคม ๒๕๕๐  พื้นที่โซน C</t>
  </si>
  <si>
    <t>ตร.ม.</t>
  </si>
  <si>
    <t>2.</t>
  </si>
  <si>
    <t>งานสถาปัตยกรรม</t>
  </si>
  <si>
    <t>งานเบ็ดเตล็ดและอื่นๆ</t>
  </si>
  <si>
    <t>1.</t>
  </si>
  <si>
    <t>งานโครงสร้าง</t>
  </si>
  <si>
    <t>แบบ ปร. 4 (พ)</t>
  </si>
  <si>
    <t xml:space="preserve">เมื่อวันที่  </t>
  </si>
  <si>
    <t>ค่าใช้จ่ายรวม</t>
  </si>
  <si>
    <t>(ค่าก่อสร้าง)</t>
  </si>
  <si>
    <t>ค่าใช้จ่ายพิเศษตามข้อกำหนด</t>
  </si>
  <si>
    <t>งานเช่า Tower Crane และ Passenger Hoist</t>
  </si>
  <si>
    <t>งานเช่า Concrete Pump</t>
  </si>
  <si>
    <t>งานผ้าใบกันฝุ่น</t>
  </si>
  <si>
    <t>งานสำนักงานสนามของผู้ว่าจ้าง และผู้ควบคุมงาน</t>
  </si>
  <si>
    <t>รวมค่าใช้จ่ายพิเศษตามข้อกำหนด</t>
  </si>
  <si>
    <t>แบบแสดงการคำนวณและเหตุผลความจำเป็น
สำหรับค่าใช้จ่ายพิเศษตามข้อกำหนดฯ</t>
  </si>
  <si>
    <t xml:space="preserve">สำหรับค่าใช้จ่ายพิเศษตามข้อกำหนดฯ </t>
  </si>
  <si>
    <r>
      <t xml:space="preserve">ชื่อโครงการ / งานก่อสร้าง  :    </t>
    </r>
    <r>
      <rPr>
        <i/>
        <sz val="14"/>
        <color theme="1"/>
        <rFont val="TH Sarabun New"/>
        <family val="2"/>
      </rPr>
      <t>โครงการพัฒนาพื้นที่ส่วนขยาย ศูนย์ราชการเฉลิมพระเกียรติ ๘๐ พรรษา ๕ ธันวาคม ๒๕๕๐  พื้นที่โซน C</t>
    </r>
  </si>
  <si>
    <t>สถานที่ก่อสร้าง</t>
  </si>
  <si>
    <t>ศูนย์ราชการเฉลิมพระเกียรติ ถนนแจ้งวัฒนะ กรุงเทพมหานคร</t>
  </si>
  <si>
    <t>แบบเลขที่</t>
  </si>
  <si>
    <t>1. เหตุผลและความจำเป็นที่ต้องมีค่าใช้จ่ายพิเศษตามข้อกำหนดฯ รายการนี้  :</t>
  </si>
  <si>
    <t>เนื่องจากเป็นการก่อสร้างอาคารสูง ประมาณ 45 เมตร จึงมีความจำเป็นที่จะต้องใช้ Tower Crane สำหรับการก่อสร้าง</t>
  </si>
  <si>
    <t>2. รายละเอียดการคำนวณ</t>
  </si>
  <si>
    <t>หน่วย  :  บาท</t>
  </si>
  <si>
    <t>รายการค่าใช้จ่าย</t>
  </si>
  <si>
    <t xml:space="preserve">ค่าเช่า Tower Crane </t>
  </si>
  <si>
    <t xml:space="preserve">   เช่า Tower Crane Boom 60 เมตร 2 ตัว</t>
  </si>
  <si>
    <t xml:space="preserve">   ค่าติดตั้ง 120,000 บาทต่อตัว  เป็นเงิน = 120,000x2 = 240,000 บาท</t>
  </si>
  <si>
    <t xml:space="preserve">   ค่าJack Up ความสูง  40,000 บาทต่อตัว  เป็นเงิน = 40,000x2 = 80,000 บาท</t>
  </si>
  <si>
    <t xml:space="preserve">   ค่าJack Down และรื้อถอน  120,000 บาทต่อตัว  เป็นเงิน = 120,000x2 = 240,000 บาท</t>
  </si>
  <si>
    <t xml:space="preserve">   ค่าขนส่งไป - กลับ 110,000 บาทต่อตัว เป็นเงิน = 110,000x2 = 220,000 บาท</t>
  </si>
  <si>
    <t>ค่าเช่า Passenger Hoist Twin Cage</t>
  </si>
  <si>
    <t xml:space="preserve">   ค่าติดตั้ง และ Jack Up ความสูง 80,000 บาท ต่อตัว = 80,000 x 1 = 80,000 บาท</t>
  </si>
  <si>
    <t xml:space="preserve">   ค่ารื้อถอน  80,000 บาทต่อตัว  เป็นเงิน = 80,000x1 = 80,000 บาท</t>
  </si>
  <si>
    <t xml:space="preserve">   ค่าขนส่งไป - กลับ 30,000 บาทต่อตัว เป็นเงิน = 30,000x1 = 30,000 บาท</t>
  </si>
  <si>
    <t>รวมค่าใช้จ่าย</t>
  </si>
  <si>
    <t>ค่าภาษีมูลค่าเพิ่ม</t>
  </si>
  <si>
    <t>ค่าใช้จ่ายรวมภาษีมูลค่าเพิ่ม</t>
  </si>
  <si>
    <t>เนื่องจากเป็นการก่อสร้างอาคารสูง ประมาณ 45 เมตร จึงมีความจำเป็นที่จะต้องใช้ Concrete Pump สำหรับการเทคอนกรีตพื้น</t>
  </si>
  <si>
    <t>ค่าเช่ารถ Concrete Pump สำหรับเทคอนกรีตพื้น</t>
  </si>
  <si>
    <t xml:space="preserve">ค่าเช่ารถ Concrete Pump 100 บาทต่อคอนกรีต 1 ลูกบาศก์เมตร </t>
  </si>
  <si>
    <t>เพื่อป้องกันฝุ่นละอองจากการก่อสร้าง ไปสร้างความรบกวนให้กับพื้นที่ข้างเคียง และบุคคลสัญจรบริเวณนั้น</t>
  </si>
  <si>
    <t xml:space="preserve">ค่าผ้าใบกันฝุ่น </t>
  </si>
  <si>
    <t>โครงเหล็กยึดผ้าใบ (คิดค่าวัสดุ 50%)  44 บาทต่อตรางเมตร</t>
  </si>
  <si>
    <t>ค่าติดตั้ง และค่ารื้อถอน โครงเหล็กยึดผ้าใบ 8 บาท ต่อตารางเมตร</t>
  </si>
  <si>
    <t>ผ้าใบกันฝุ่นโดยรอบอาคาร 28 บาทต่อตารางเมตร</t>
  </si>
  <si>
    <t>รวมเป็น 44+8+28 = 80 บาทต่อตารางเมตร</t>
  </si>
  <si>
    <t>พื้นที่ผ้าใบกันฝุ่น ประมาณ 13,607 ตารางเมตร</t>
  </si>
  <si>
    <t>เพื่อใช้ประโยชน์เป็นพื้นที่สำนักงาน สำหรับผู้ว่าจ้างและผู้ควบคุมงาน โครงการนี้</t>
  </si>
  <si>
    <t>ค่าเช่าตู้ Container สำนักงานสนามของผู้ว่าจ้าง และผู้ควบคุมงาน รวม 7 ตู้</t>
  </si>
  <si>
    <t>ขนาด 3.00x12.00x2.50 เมตร พร้อมเครื่องปรับอากาศ 12,000 บาทต่อตู้ต่อเดือน</t>
  </si>
  <si>
    <t>ค่าขนส่ง ไป - กลับ โดยรถเทรลเลอร์ = 8,000 บาท ต่อเที่ยว ต่อ ตู้</t>
  </si>
  <si>
    <t>เป็นเงิน = 2x8,000x7 = 112,000 บาท</t>
  </si>
  <si>
    <t>ค่าเครนยกตู้หน้างาน 2 เที่ยว เที่ยวละ 10,000 บาท</t>
  </si>
  <si>
    <t>เป็นเงิน = 10,000x2 = 20,000 บาท</t>
  </si>
  <si>
    <t xml:space="preserve">แบบ  ปร.6    </t>
  </si>
  <si>
    <t>แผ่นที่  1/1</t>
  </si>
  <si>
    <t>สรุปผลการประมาณราคาค่าก่อสร้าง</t>
  </si>
  <si>
    <t xml:space="preserve">ชื่อโครงการ/งานก่อสร้าง    </t>
  </si>
  <si>
    <t>โครงการพัฒนาพื้นที่ส่วนขยาย ศูนย์ราชการเฉลิมพระเกียรติ ๘๐ พรรษา ๕ ธันวาคม ๒๕๕๐  พื้นที่โซน C</t>
  </si>
  <si>
    <t>หน่วยงานเจ้าของโครงการ/งานก่อสร้าง      บริษัท ธนารักษ์พัฒนาสินทรัพย์ จำกัด</t>
  </si>
  <si>
    <t>แบบ ปร.4 และ ปร.5 ที่แนบ    มีจำนวน                         ชุด</t>
  </si>
  <si>
    <t xml:space="preserve">คำนวณราคากลางโดย :  </t>
  </si>
  <si>
    <t xml:space="preserve">เมื่อวันที่       เดือน      พ.ศ.   </t>
  </si>
  <si>
    <t>ค่าก่อสร้าง</t>
  </si>
  <si>
    <t>ส่วนที่  1.</t>
  </si>
  <si>
    <t>ค่างานต้นทุนประกอบด้วย</t>
  </si>
  <si>
    <t>1)</t>
  </si>
  <si>
    <t xml:space="preserve">กลุ่มงานที่ 1. </t>
  </si>
  <si>
    <t xml:space="preserve">-  </t>
  </si>
  <si>
    <t>2)</t>
  </si>
  <si>
    <t xml:space="preserve">กลุ่มงานที่  2. </t>
  </si>
  <si>
    <t xml:space="preserve"> งานตกแต่งภายในอาคาร</t>
  </si>
  <si>
    <t xml:space="preserve"> งานครุภัณฑ์จัดจ้างหรือสั่งทำ</t>
  </si>
  <si>
    <t>3)</t>
  </si>
  <si>
    <t>กลุ่มงานที่  3.</t>
  </si>
  <si>
    <t xml:space="preserve"> งานภูมิทัศน์</t>
  </si>
  <si>
    <t xml:space="preserve"> งานผังบริเวณและสิ่งก่อสร้างประกอบอื่นๆ</t>
  </si>
  <si>
    <t>ส่วนที่  2.</t>
  </si>
  <si>
    <t>งานครุภัณฑ์จัดซื้อหรือสั่งซื้อ</t>
  </si>
  <si>
    <t xml:space="preserve"> งานครุภัณฑ์-ม่านพรางแสง</t>
  </si>
  <si>
    <t xml:space="preserve"> งานครุภัณฑ์-โสตทัศนูปกรณ์</t>
  </si>
  <si>
    <t>ส่วนที่  3.</t>
  </si>
  <si>
    <t>รวมค่าก่อสร้างทั้งโครงการ/งานก่อสร้าง</t>
  </si>
  <si>
    <t>สรุป</t>
  </si>
  <si>
    <t>ราคากลาง</t>
  </si>
  <si>
    <t>ตัวอักษร</t>
  </si>
  <si>
    <t>แบบ  ปร.5    (ก)</t>
  </si>
  <si>
    <t>แบบสรุปค่าก่อสร้าง</t>
  </si>
  <si>
    <t xml:space="preserve">กลุ่มงานที่  1.  </t>
  </si>
  <si>
    <t xml:space="preserve">งานโครงสร้าง,   สถาปัตยกรรม,   ระบบไฟฟ้าและสื่อสาร,   ระบบปรับอากาศและระบายอากาศ, </t>
  </si>
  <si>
    <t>ระบบสุขาภิบาลและป้องกันอัคคีภัย,    ระบบลิฟต์และบันไดเลื่อน</t>
  </si>
  <si>
    <t xml:space="preserve">กลุ่มงานที่  2.  </t>
  </si>
  <si>
    <t>งานตกแต่งภายใน,  งานครุภัณฑ์จัดจ้างหรือสั่งทำ</t>
  </si>
  <si>
    <t xml:space="preserve">กลุ่มงานที่  3.  </t>
  </si>
  <si>
    <t>งานภูมิทัศน์,  งานผังบริเวณและสิ่งก่อสร้างประกอบอื่นๆ</t>
  </si>
  <si>
    <t xml:space="preserve">ชื่อโครงการ/งานก่อสร้าง                  </t>
  </si>
  <si>
    <t>แบบ ปร.4  ที่แนบ    มีจำนวน</t>
  </si>
  <si>
    <t>หน้า</t>
  </si>
  <si>
    <t xml:space="preserve">เมื่อวันที่   เดือน   พ.ศ. </t>
  </si>
  <si>
    <t>หน่วย :  บาท</t>
  </si>
  <si>
    <t>ค่างานต้นทุน</t>
  </si>
  <si>
    <t>Factor -  F</t>
  </si>
  <si>
    <t>กลุ่มงานที่  1</t>
  </si>
  <si>
    <t>กลุ่มงานที่  2</t>
  </si>
  <si>
    <t>งานตกแต่งภายในอาคาร</t>
  </si>
  <si>
    <t>งานครุภัณฑ์จัดจ้างหรือสั่งทำ</t>
  </si>
  <si>
    <t>กลุ่มงานที่  3</t>
  </si>
  <si>
    <t>งานภูมิทัศน์</t>
  </si>
  <si>
    <t>เงื่อนไขการใช้ตาราง Factor  -  F</t>
  </si>
  <si>
    <t xml:space="preserve">เงินล่วงหน้าจ่าย                  </t>
  </si>
  <si>
    <t>%</t>
  </si>
  <si>
    <t>เงินประกันผลงานหัก</t>
  </si>
  <si>
    <t>ดอกเบี้ยเงินกู้</t>
  </si>
  <si>
    <t xml:space="preserve">ภาษีมูลค่าเพิ่ม           </t>
  </si>
  <si>
    <t>รวมราคางานก่อสร้างอาคาร</t>
  </si>
  <si>
    <t>สูตรคำนวณ ค่า Factor F</t>
  </si>
  <si>
    <t>เงินล่วงหน้าจ่าย</t>
  </si>
  <si>
    <t>ค่าประกันผลงาน หัก</t>
  </si>
  <si>
    <t>ค่าภาษีมูลค่าเพิ่ม (VAT)</t>
  </si>
  <si>
    <t>A = ค่าวัสดุและแรงงานต้นทุน</t>
  </si>
  <si>
    <t>บาท</t>
  </si>
  <si>
    <t>ค่าวัสดุและแรงงานต้นทุน &gt; 500,000,000 บาท</t>
  </si>
  <si>
    <t>a =</t>
  </si>
  <si>
    <t>b =</t>
  </si>
  <si>
    <t xml:space="preserve">d = </t>
  </si>
  <si>
    <t xml:space="preserve">c = </t>
  </si>
  <si>
    <t xml:space="preserve">e = </t>
  </si>
  <si>
    <t>factor F =</t>
  </si>
  <si>
    <t>ปัดเลข</t>
  </si>
  <si>
    <t xml:space="preserve">Factor F </t>
  </si>
  <si>
    <t xml:space="preserve"> งานอาคารด้านทิศตะวันตก</t>
  </si>
  <si>
    <t>กลุ่มงานที่ 1</t>
  </si>
  <si>
    <t>รวมราคางานอาคารด้านทิศตะวันตก</t>
  </si>
  <si>
    <t>ขนาดเนื้อที่อาคาร         จำนวน</t>
  </si>
  <si>
    <t>เฉลี่ย</t>
  </si>
  <si>
    <t>บาท/ตร.ม.</t>
  </si>
  <si>
    <t>อาคารด้านทิศตะวันตก</t>
  </si>
  <si>
    <t>ตัว</t>
  </si>
  <si>
    <t>กลุ่มงานที่ 1 / หมวดงานสถาปัตยกรรม</t>
  </si>
  <si>
    <t>คำนวณราคากลางโดย  :</t>
  </si>
  <si>
    <t>รวม</t>
  </si>
  <si>
    <t>ปริมาณ</t>
  </si>
  <si>
    <t>งานไฟฟ้าแสงสว่าง</t>
  </si>
  <si>
    <t>งานพื้นและวัสดุตกแต่งผิวพื้น</t>
  </si>
  <si>
    <t>2.1.1</t>
  </si>
  <si>
    <t>งานพื้นและวัสดุตกแต่งผิวพื้น ชั้นที่ B2</t>
  </si>
  <si>
    <t>งานปูนทรายปรับระดับ</t>
  </si>
  <si>
    <t>F.1</t>
  </si>
  <si>
    <t>ปูหินขัดสำเร็จรูป ขนาด 60x60 ซม.</t>
  </si>
  <si>
    <t>F.2</t>
  </si>
  <si>
    <t xml:space="preserve">พื้นกระเบื้อเซรามิคชนิดผิวไม่ลื่นขนาด 12"x12" </t>
  </si>
  <si>
    <t>F.3</t>
  </si>
  <si>
    <t xml:space="preserve">พื้นกระเบื้อเซรามิคผิวมันขนาด 12"x12" </t>
  </si>
  <si>
    <t>F.4</t>
  </si>
  <si>
    <t>พื้นกระเบื้อง PORCELAIN ชนิดผิวไม่ลื่น ขนาด 60x60 ซม.</t>
  </si>
  <si>
    <t>F.5</t>
  </si>
  <si>
    <t>พื้นกระเบื้อง PORCELAIN ชนิดผิวไม่ลื่น (กันซึม) ขนาด 60x60 ซม.</t>
  </si>
  <si>
    <t>F.6</t>
  </si>
  <si>
    <t>พื้นทำสี EPOXY</t>
  </si>
  <si>
    <t>F.7</t>
  </si>
  <si>
    <t>พื้น คสล. ติดตั้งระบบ PADIANT FLOOR COOLING ผิวด้านบนเทปูนทรายปรับระดับ</t>
  </si>
  <si>
    <t xml:space="preserve">ปูแผ่นหินขัดสำเร็จรูป ขนาด 60x60 ซม. </t>
  </si>
  <si>
    <t xml:space="preserve">F.8 </t>
  </si>
  <si>
    <t>พื้น คสล. ปูหินแกรตนิต ผิวมัน ขนาด 60x120. หนา 2 ซม.</t>
  </si>
  <si>
    <t>F.9</t>
  </si>
  <si>
    <t>ผิวปูทรายขัดมันเรียบ</t>
  </si>
  <si>
    <t>F.10</t>
  </si>
  <si>
    <t>พื้น คสล. ทาสี THERMO PLASTIC</t>
  </si>
  <si>
    <t>F.11</t>
  </si>
  <si>
    <t xml:space="preserve">พื้น คสล. ผิวหินล้างเบอร์4 </t>
  </si>
  <si>
    <t>F.12</t>
  </si>
  <si>
    <t>พื้น คสล. ทำระบบกันซึม  ประเภทใช้สำหรับถังน้ำ ถังบำบัด</t>
  </si>
  <si>
    <t>F.13</t>
  </si>
  <si>
    <t>พื้น คสล. ทำระบบกันซึม  ประเภทใช้สำหรับหลังคาดาดฟ้าและทำผิวปูนทราย</t>
  </si>
  <si>
    <t>F.14</t>
  </si>
  <si>
    <t>พื้น คสล. ผิวขัดมันทำระบบ FLOOR HARDENER</t>
  </si>
  <si>
    <t>F.15</t>
  </si>
  <si>
    <t>พื้น คสล. ทำผิวปูทรายขัดหยาบ เตรียมปูหินแกรนิตตามแบบ</t>
  </si>
  <si>
    <t>F.16</t>
  </si>
  <si>
    <t>พื้น คสล. ทำผิวปูทรายขัดเรียบ เตรียมปูพรมตามแบบ</t>
  </si>
  <si>
    <t>F.17</t>
  </si>
  <si>
    <t>พื้น คสล. ทำผิวปูทรายขัดเรียบ เตรียมปูแผ่นไวนิลตามแบบ</t>
  </si>
  <si>
    <t>F.18</t>
  </si>
  <si>
    <t>พื้น คสล. ทำผิวปูทรายขัดหยาบ เตรียมปูกระเบื้องตามแบบ</t>
  </si>
  <si>
    <t>F.19</t>
  </si>
  <si>
    <t>พื้น คสล. ทำผิวหินขัดกับที่ คัดเม็ดเบอร์ 3 และทำสีตามผู้ออกแบบ</t>
  </si>
  <si>
    <t>งานบัวเชิงผนัง</t>
  </si>
  <si>
    <t>B1</t>
  </si>
  <si>
    <t>บัวเชิงผนัง Aluminium สูง 10 ซม.</t>
  </si>
  <si>
    <t>ม.</t>
  </si>
  <si>
    <t>B2</t>
  </si>
  <si>
    <t>บัวเชิงผนัง ทาสี Epoxy สูง 10 ซม.</t>
  </si>
  <si>
    <t>2.1.2</t>
  </si>
  <si>
    <t>งานพื้นและวัสดุตกแต่งผิวพื้น ชั้นที่ B1</t>
  </si>
  <si>
    <t>งานปูทรายปรับระดับ</t>
  </si>
  <si>
    <t>2.1.3</t>
  </si>
  <si>
    <t>งานพื้นและวัสดุตกแต่งผิวพื้น ชั้นที่ 1</t>
  </si>
  <si>
    <t>2.1.4</t>
  </si>
  <si>
    <t>งานพื้นและวัสดุตกแต่งผิวพื้น ชั้นที่ 2</t>
  </si>
  <si>
    <t>2.1.5</t>
  </si>
  <si>
    <t>งานพื้นและวัสดุตกแต่งผิวพื้น ชั้นที่ 3</t>
  </si>
  <si>
    <t>F.21</t>
  </si>
  <si>
    <t>2.1.6</t>
  </si>
  <si>
    <t>งานพื้นและวัสดุตกแต่งผิวพื้น ชั้นที่ 4</t>
  </si>
  <si>
    <t>2.1.7</t>
  </si>
  <si>
    <t>งานพื้นและวัสดุตกแต่งผิวพื้น ชั้นที่ 5</t>
  </si>
  <si>
    <t>2.1.8</t>
  </si>
  <si>
    <t>งานพื้นและวัสดุตกแต่งผิวพื้น ชั้นที่ 6</t>
  </si>
  <si>
    <t>งานพื้นและวัสดุตกแต่งผิวพื้น ชั้นที่ 7</t>
  </si>
  <si>
    <t>2.1.10</t>
  </si>
  <si>
    <t>งานพื้นและวัสดุตกแต่งผิวพื้น ชั้นที่ 8</t>
  </si>
  <si>
    <t>2.1.11</t>
  </si>
  <si>
    <t>งานพื้นและวัสดุตกแต่งผิวพื้น ชั้นที่ 9</t>
  </si>
  <si>
    <t>2.1.12</t>
  </si>
  <si>
    <t>งานพื้นและวัสดุตกแต่งผิวพื้น ชั้นที่ 10</t>
  </si>
  <si>
    <t>2.1.13</t>
  </si>
  <si>
    <t>งานพื้นและวัสดุตกแต่งผิวพื้น ชั้นที่ 11</t>
  </si>
  <si>
    <t>2.1.14</t>
  </si>
  <si>
    <t>งานพื้นและวัสดุตกแต่งผิวพื้น ชั้นดาดฟ้า</t>
  </si>
  <si>
    <t>งานผนังและวัสดุตกแต่งผิวผนัง</t>
  </si>
  <si>
    <t>2.2.1</t>
  </si>
  <si>
    <t>งานผนังและวัสดุตกแต่งผิวผนัง ชั้นที่ B2</t>
  </si>
  <si>
    <t>งานก่อผนังคอนกรีตบลอคเบา  P1, P2, P2A, P3, P11, P12, P15, P21, P25</t>
  </si>
  <si>
    <t>งานก่อผนังคอนกรีตบลอคเบา หนา 19 ซม.  P14</t>
  </si>
  <si>
    <t>งานเสาเอ็น-คานเอ็น หนา 10 ซม.  P1, P2, P2A, P3, P11, P12, P15, P21, P25</t>
  </si>
  <si>
    <t>งานเสาเอ็น-คานเอ็น หนา 20 ซม.  P14</t>
  </si>
  <si>
    <t>งานฉาบปูนปรับระดับ</t>
  </si>
  <si>
    <t>P.1</t>
  </si>
  <si>
    <t>คอนกรีตบลอคเบา หรือ คสล. ฉาบเรียบ</t>
  </si>
  <si>
    <t>ทาสี ACRYLIC 100% ใช้สำหรับภายนอก</t>
  </si>
  <si>
    <t>P.2</t>
  </si>
  <si>
    <t>คอนกรีตบลอคเบา หรือ คสล. ฉาบเรียบ รอตกแต่งผิวตามแบบ INTERIOR</t>
  </si>
  <si>
    <t>P.2A</t>
  </si>
  <si>
    <t>ทาสีACRYLIC 100% สำหรับภายใน</t>
  </si>
  <si>
    <t xml:space="preserve">P.3 </t>
  </si>
  <si>
    <t xml:space="preserve">คอนกรีตบลอค หรือ คสล. ฉาบขัดมัน </t>
  </si>
  <si>
    <t>สี ACRYLIC 100% ใช้สำหรับภายนอก</t>
  </si>
  <si>
    <t>P.4</t>
  </si>
  <si>
    <t>ผนัง คสล. สำเร็จรูป  ผิวเรียบ</t>
  </si>
  <si>
    <t>P.5</t>
  </si>
  <si>
    <t>ผนังยิปซั่มบอร์ดชนิดความหนาแน่นสูง (HD) ความหนาไม่น้อยกว่า 15 มม. 1 ชั้น</t>
  </si>
  <si>
    <t xml:space="preserve"> ติดตั้ง 2 ด้าน โครงโลหะชุบสังกะสี </t>
  </si>
  <si>
    <t>P.6</t>
  </si>
  <si>
    <t xml:space="preserve">ผนังยิปซั่มบอร์ดชนิดความหนาแน่นสูง (HD) ความหนาไม่น้อยกว่า 15 มม. 1 ชั้น </t>
  </si>
  <si>
    <t xml:space="preserve">ติดตั้ง 1 ด้าน โครงโลหะชุบสังกะสี </t>
  </si>
  <si>
    <t>P.6A</t>
  </si>
  <si>
    <t>ทาสี ACRYLIC สำหรับภายใน</t>
  </si>
  <si>
    <t>P.7</t>
  </si>
  <si>
    <t>ติดตั้ง 2 ด้านภายในกรุฉนวนกันเสียงหนา 2" ติดตั้ง 1 ด้าน โครงโลหะชุบสังกะสี</t>
  </si>
  <si>
    <t>P.8</t>
  </si>
  <si>
    <r>
      <t xml:space="preserve"> ติดตั้ง 2 ด้านภายใน</t>
    </r>
    <r>
      <rPr>
        <b/>
        <sz val="14"/>
        <rFont val="Cordia New"/>
        <family val="2"/>
      </rPr>
      <t>กรุฉนวนกันเสียงหนา 2"และติดตั้งตาข่ายทองแดง SHIELD</t>
    </r>
  </si>
  <si>
    <t xml:space="preserve"> กันคลื่นวิทยุ โครงโลหะชุบสังกะสี </t>
  </si>
  <si>
    <t>P.9</t>
  </si>
  <si>
    <r>
      <t xml:space="preserve">ติดตั้ง 2 ด้าน </t>
    </r>
    <r>
      <rPr>
        <b/>
        <sz val="14"/>
        <rFont val="Cordia New"/>
        <family val="2"/>
      </rPr>
      <t>ทนไฟไม่น้อยกว่า 2ชม.</t>
    </r>
    <r>
      <rPr>
        <sz val="14"/>
        <rFont val="Cordia New"/>
        <family val="2"/>
      </rPr>
      <t xml:space="preserve"> โครงโลหะชุบสังกะสี </t>
    </r>
  </si>
  <si>
    <t>P.10</t>
  </si>
  <si>
    <t xml:space="preserve"> ติดตั้ง 1 ด้าน โครงโลหะชุบสังกะสี </t>
  </si>
  <si>
    <t>ภายในบุ PU FOAM หนา 2"</t>
  </si>
  <si>
    <t>P.11</t>
  </si>
  <si>
    <t>ผนังคอนกรีตบลอคเบา หรือ คสล. ฉาบเรียบทาสี EPOXY</t>
  </si>
  <si>
    <t>P.12</t>
  </si>
  <si>
    <t>ผนังคอนกรีตบลอคเบา หรือ คสล. ปูกระเบื้องเซรามิค ขนาด 30x30 ซม.</t>
  </si>
  <si>
    <t>P.13</t>
  </si>
  <si>
    <t>ผนังคอนกรีตบลอคเบา หรือ คสล. ปูกระเบื้องพอร์ชเลน ขนาด 60x60 ซม.</t>
  </si>
  <si>
    <t>P.14</t>
  </si>
  <si>
    <t xml:space="preserve">ผนังคอนกรีตบลอคเบาความหนา 20 ซม. หรือ คสล. ฉาบเรียบ </t>
  </si>
  <si>
    <t>ทาสีอะคริลิคสำหรับภายใน</t>
  </si>
  <si>
    <t>P.15</t>
  </si>
  <si>
    <t xml:space="preserve">ผนังคอนกรีตบลอคเบา หรือ คสล. ปูกระเบื้องพอร์ชเลน ขนาด 60x60 ซม. </t>
  </si>
  <si>
    <t>จัดทำ PATTERN แนวเซาะร่อง ติดคิ้วสแตนตามแบบ</t>
  </si>
  <si>
    <t>P.16</t>
  </si>
  <si>
    <t>ผนัง คสล. ผิวหินล้างเบอร์ 4 คัดหินสี ตีเส้นแบ่งแนวทุกระยะ 1.20 ม.</t>
  </si>
  <si>
    <t>P.17</t>
  </si>
  <si>
    <t xml:space="preserve">ผนังกรุงแผ่น ALUMINIUM COMPOSITE CLADDING ชนิดกันไฟ หนา 4 มม. </t>
  </si>
  <si>
    <t>โครงโลหะชุบกัลวาไนท์</t>
  </si>
  <si>
    <t>P.18</t>
  </si>
  <si>
    <t>ผนังกรุงแผ่น METAL SHEET เคลือบสี ติดตั้งบนโครงโลหะชุบสังกะสี</t>
  </si>
  <si>
    <t>P.19</t>
  </si>
  <si>
    <t>ผนังกรุแผ่นเกล็ดเหล็ก เคลือบสี ติดตั้งบนโครงโลหะชุบสังกะสี</t>
  </si>
  <si>
    <t>P.20</t>
  </si>
  <si>
    <t>ผนังเกล็ดระบายอากาศติดตาย พ่นสี POWDER COAT ติดตั้งบนโครงโลหะชุบสังกะสี</t>
  </si>
  <si>
    <t>P.21</t>
  </si>
  <si>
    <t>คอนกรีตบลอคเบา หรือ คสล. ฉาบเรียบไม่ทาสี หรือรอตกแต่งภายใน</t>
  </si>
  <si>
    <t>P.22</t>
  </si>
  <si>
    <t>ผนังกรุแผ่น SOLID ALUMINIUM ผิวพ่นสี PVDF หรือตามระบุในแบบความหนา</t>
  </si>
  <si>
    <t>ไม่น้อยกว่า 2 มม.  โครงโลหะชุบกัลวาไนท์</t>
  </si>
  <si>
    <t>P.23</t>
  </si>
  <si>
    <t>ผนังกรุแผ่นALUMINIUM HONEYCOMB CLADDING หนา 4 มม.โครงโลหะชุบกัลวาไนท์</t>
  </si>
  <si>
    <t>P.24</t>
  </si>
  <si>
    <t>ผนังทาสี ACRYLIC ภายใน</t>
  </si>
  <si>
    <t>P.25</t>
  </si>
  <si>
    <t>ผนังคอนกรีตบลอคเบา หรือ คสล. ผิวกรุหินแกรตนิต ผิวมัน</t>
  </si>
  <si>
    <t>P.26</t>
  </si>
  <si>
    <t xml:space="preserve">ผนังยิปซั่มบอร์ดกันไฟ กันได้ 3 ชม. ขึ้นไป โครงเคร่าเหล็กชุบสังกะสี </t>
  </si>
  <si>
    <t>รายละเอียดชนิดแผ่นความหนารวมอยู่ในรายการประกอบแบบ</t>
  </si>
  <si>
    <t>2.2.2</t>
  </si>
  <si>
    <t>งานผนังและวัสดุตกแต่งผิวผนัง ชั้นที่ B1</t>
  </si>
  <si>
    <t>2.2.3</t>
  </si>
  <si>
    <t>งานผนังและวัสดุตกแต่งผิวผนัง ชั้นที่ 1</t>
  </si>
  <si>
    <t>2.2.4</t>
  </si>
  <si>
    <t>งานผนังและวัสดุตกแต่งผิวผนัง ชั้นที่ 2</t>
  </si>
  <si>
    <t>2.2.5</t>
  </si>
  <si>
    <t>งานผนังและวัสดุตกแต่งผิวผนัง ชั้นที่ 3</t>
  </si>
  <si>
    <t>2.2.6</t>
  </si>
  <si>
    <t>งานผนังและวัสดุตกแต่งผิวผนัง ชั้นที่ 4</t>
  </si>
  <si>
    <t>2.2.7</t>
  </si>
  <si>
    <t>งานผนังและวัสดุตกแต่งผิวผนัง ชั้นที่ 5</t>
  </si>
  <si>
    <t>2.2.8</t>
  </si>
  <si>
    <t>งานผนังและวัสดุตกแต่งผิวผนัง ชั้นที่ 6</t>
  </si>
  <si>
    <t>2.2.9</t>
  </si>
  <si>
    <t>งานผนังและวัสดุตกแต่งผิวผนัง ชั้นที่ 7</t>
  </si>
  <si>
    <t>2.2.10</t>
  </si>
  <si>
    <t>งานผนังและวัสดุตกแต่งผิวผนัง ชั้นที่ 8</t>
  </si>
  <si>
    <t>2.2.11</t>
  </si>
  <si>
    <t>งานผนังและวัสดุตกแต่งผิวผนัง ชั้นที่ 9</t>
  </si>
  <si>
    <t>2.2.12</t>
  </si>
  <si>
    <t>งานผนังและวัสดุตกแต่งผิวผนัง ชั้นที่ 10</t>
  </si>
  <si>
    <t>2.2.13</t>
  </si>
  <si>
    <t>งานผนังและวัสดุตกแต่งผิวผนัง ชั้นที่ 11</t>
  </si>
  <si>
    <t>2.2.14</t>
  </si>
  <si>
    <t>งานผนังและวัสดุตกแต่งผิวผนัง ชั้นดาดฟ้า</t>
  </si>
  <si>
    <t>งานฝ้าเพดาน</t>
  </si>
  <si>
    <t>2.3.1</t>
  </si>
  <si>
    <t>งานฝ้าเพดาน ชั้นที่ B2</t>
  </si>
  <si>
    <t xml:space="preserve"> - หลืบฝ้าเพดาน ซ่อนไฟ LED+Return Air.</t>
  </si>
  <si>
    <t>เมตร</t>
  </si>
  <si>
    <t xml:space="preserve"> - ช่องเปิดสำเร็จรูป ขนาด 60x60 ซม.</t>
  </si>
  <si>
    <t>ชุด</t>
  </si>
  <si>
    <t>C.1</t>
  </si>
  <si>
    <t>ฝ้ายิปซั่มบอร์ดหนา 9มม.ชนิดขอบลาดฉาบเรียบทาสีพลาสติดสำหรับเพดานโครงโลหะชุบ</t>
  </si>
  <si>
    <t>ทาสีพลาสติกสำหรับงานฝ้าเพดาน</t>
  </si>
  <si>
    <t>C.2</t>
  </si>
  <si>
    <t>ฝ้ายิปซั่มบอร์ด หนา 9 มม. กันความชื้นขอบลาด ฉาบเรียบ ทาสีอคริลิคสำหรับเพดาน</t>
  </si>
  <si>
    <t>ทาสีอคริลิคสำหรับเพดาน</t>
  </si>
  <si>
    <t>C.3</t>
  </si>
  <si>
    <t xml:space="preserve">ฝ้าเพดาน ACOUSTIC ชนิดขอบบังใบวางบนโครงคร่าว T-BAR </t>
  </si>
  <si>
    <t>C.4</t>
  </si>
  <si>
    <t>ฝ้าเพดาน คสล. เปลือยผิว หรือเตรียมตกแต่งตามแบบ</t>
  </si>
  <si>
    <t>C.5</t>
  </si>
  <si>
    <t>ฝ้าเพดาน คสล. ผิวแต่งเรียบ ไม่ทาสี</t>
  </si>
  <si>
    <t>C.6</t>
  </si>
  <si>
    <t>ฝ้าเพดาน คสล. ฉาบผิวเรียบ ทาสีอะคริลิคสำหรับภายใน</t>
  </si>
  <si>
    <t>C.7</t>
  </si>
  <si>
    <t>ฝ้าอลูมิเนียมรูปแบบสี่เหลี่ยมทำผิวเจาะรูป (PERFORATED)  โครงเคร่าชุบสังกะสี</t>
  </si>
  <si>
    <t>C.8</t>
  </si>
  <si>
    <t>ฝ้าแผ่น ALUMNIUM COMPOSITE ชนิดกันไฟ ความหนา 4 มม.</t>
  </si>
  <si>
    <t>2.3.2</t>
  </si>
  <si>
    <t>งานฝ้าเพดาน ชั้นที่ B1</t>
  </si>
  <si>
    <t>2.3.3</t>
  </si>
  <si>
    <t>งานฝ้าเพดาน ชั้นที่ 1</t>
  </si>
  <si>
    <t>เพดาน คสล. ผิวแต่งเรียบ ไม่ทาสี</t>
  </si>
  <si>
    <t>เพดาน คสล. ฉาบผิวเรียบ ทาสรอรีลิคสำหรับภายใน</t>
  </si>
  <si>
    <t>2.3.4</t>
  </si>
  <si>
    <t>งานฝ้าเพดาน ชั้นที่ 2</t>
  </si>
  <si>
    <t>2.3.5</t>
  </si>
  <si>
    <t>งานฝ้าเพดาน ชั้นที่ 3</t>
  </si>
  <si>
    <t>2.3.6</t>
  </si>
  <si>
    <t>งานฝ้าเพดาน ชั้นที่ 4</t>
  </si>
  <si>
    <t>2.3.7</t>
  </si>
  <si>
    <t>งานฝ้าเพดาน ชั้นที่ 5</t>
  </si>
  <si>
    <t>2.3.8</t>
  </si>
  <si>
    <t>งานฝ้าเพดาน ชั้นที่ 6</t>
  </si>
  <si>
    <t>2.3.9</t>
  </si>
  <si>
    <t>งานฝ้าเพดาน ชั้นที่ 7</t>
  </si>
  <si>
    <t>2.3.10</t>
  </si>
  <si>
    <t>งานฝ้าเพดาน ชั้นที่ 8</t>
  </si>
  <si>
    <t>2.3.11</t>
  </si>
  <si>
    <t>งานฝ้าเพดาน ชั้นที่ 9</t>
  </si>
  <si>
    <t>2.3.12</t>
  </si>
  <si>
    <t>งานฝ้าเพดาน ชั้นที่ 10</t>
  </si>
  <si>
    <t>2.3.13</t>
  </si>
  <si>
    <t>งานฝ้าเพดาน ชั้นที่ 11</t>
  </si>
  <si>
    <t>งานฝ้าเพดาน ชั้นดาดฟ้า</t>
  </si>
  <si>
    <t>2.4.1</t>
  </si>
  <si>
    <t>แผ่นหลังคาโลหะเคลือบสีรีดลอน ติดตั้งระบบ Standing Seam (BMT 0.50 mm.)</t>
  </si>
  <si>
    <t>งานครอบ Flashing โลหะเคลือบสี</t>
  </si>
  <si>
    <t>งาน Flashing แผ่นอลูมิเนียม</t>
  </si>
  <si>
    <t>2.4.2</t>
  </si>
  <si>
    <t>งานประตู-หน้าต่าง</t>
  </si>
  <si>
    <t>2.5.1</t>
  </si>
  <si>
    <t>งานประตู-หน้าต่าง ชั้นใต้ดิน B2</t>
  </si>
  <si>
    <t>NDA1</t>
  </si>
  <si>
    <t>NDA2</t>
  </si>
  <si>
    <t>NDF1</t>
  </si>
  <si>
    <t>NDF2</t>
  </si>
  <si>
    <t>NDS1</t>
  </si>
  <si>
    <t>NDS2</t>
  </si>
  <si>
    <t>NDS5</t>
  </si>
  <si>
    <t>NDS8</t>
  </si>
  <si>
    <t>RSD1</t>
  </si>
  <si>
    <t>2.5.2</t>
  </si>
  <si>
    <t>งานประตู-หน้าต่าง ชั้นใต้ดิน B1</t>
  </si>
  <si>
    <t>NDS4</t>
  </si>
  <si>
    <t>2.5.3</t>
  </si>
  <si>
    <t>งานประตู-หน้าต่าง ชั้นที่ 1</t>
  </si>
  <si>
    <t>NDA4</t>
  </si>
  <si>
    <t>NDS6</t>
  </si>
  <si>
    <t>2.5.4</t>
  </si>
  <si>
    <t>งานประตู-หน้าต่าง ชั้นที่ 2</t>
  </si>
  <si>
    <t>NDA3</t>
  </si>
  <si>
    <t>2.5.5</t>
  </si>
  <si>
    <t>งานประตู-หน้าต่าง ชั้นที่ 3</t>
  </si>
  <si>
    <t>NDA8</t>
  </si>
  <si>
    <t>ND1</t>
  </si>
  <si>
    <t>ND2</t>
  </si>
  <si>
    <t>ND3</t>
  </si>
  <si>
    <t>ND4</t>
  </si>
  <si>
    <t>ND6</t>
  </si>
  <si>
    <t>ND7</t>
  </si>
  <si>
    <t>NW2</t>
  </si>
  <si>
    <t>2.5.6</t>
  </si>
  <si>
    <t>งานประตู-หน้าต่าง ชั้นที่ 4</t>
  </si>
  <si>
    <t>2.5.7</t>
  </si>
  <si>
    <t>งานประตู-หน้าต่าง ชั้นที่ 5</t>
  </si>
  <si>
    <t>2.5.8</t>
  </si>
  <si>
    <t>งานประตู-หน้าต่าง ชั้นที่ 6</t>
  </si>
  <si>
    <t>2.5.9</t>
  </si>
  <si>
    <t>งานประตู-หน้าต่าง ชั้นที่ 7</t>
  </si>
  <si>
    <t>NW3</t>
  </si>
  <si>
    <t>NW6</t>
  </si>
  <si>
    <t>NW7</t>
  </si>
  <si>
    <t>2.5.10</t>
  </si>
  <si>
    <t>งานประตู-หน้าต่าง ชั้นที่ 8</t>
  </si>
  <si>
    <t>2.5.11</t>
  </si>
  <si>
    <t>งานประตู-หน้าต่าง ชั้นที่ 9</t>
  </si>
  <si>
    <t>2.5.12</t>
  </si>
  <si>
    <t>งานประตู-หน้าต่าง ชั้นที่ 10</t>
  </si>
  <si>
    <t>2.5.13</t>
  </si>
  <si>
    <t>งานประตู-หน้าต่าง ชั้นที่ 11</t>
  </si>
  <si>
    <t>NW7a</t>
  </si>
  <si>
    <t>2.5.14</t>
  </si>
  <si>
    <t>งานประตู-หน้าต่าง ชั้นดาดฟ้า</t>
  </si>
  <si>
    <t>งานผนังตกแต่งภายนอก</t>
  </si>
  <si>
    <t xml:space="preserve"> -</t>
  </si>
  <si>
    <t>รวมราคารายการที่ 2.5</t>
  </si>
  <si>
    <t>งานสุขภัณฑ์พร้อมอุปกรณ์ (สี.....)</t>
  </si>
  <si>
    <t>2.6.1</t>
  </si>
  <si>
    <t>งานสุขภัณฑ์พร้อมอุปกรณ์ ชั้นที่ B1</t>
  </si>
  <si>
    <t xml:space="preserve">อ่างล้างหน้าแบบแขวน </t>
  </si>
  <si>
    <t>ก๊อกเดี่ยว</t>
  </si>
  <si>
    <t xml:space="preserve">สะดืออ่างล้างหน้า </t>
  </si>
  <si>
    <t>ท่อน้ำทิ้ง</t>
  </si>
  <si>
    <t xml:space="preserve">สายน้ำดี </t>
  </si>
  <si>
    <t>สต๊อปวาล์ว     (สำหรับสายน้ำดีอ่างล้างหน้า)</t>
  </si>
  <si>
    <t xml:space="preserve">โถสุขภัณฑ์แบบฟลัชวาล์ว </t>
  </si>
  <si>
    <t xml:space="preserve">ชุดฟลัชวาล์วโถสุขภัณฑ์ </t>
  </si>
  <si>
    <t xml:space="preserve">สายฉีดชำระ </t>
  </si>
  <si>
    <t>สต๊อปวาล์ว   (สำหรับสายฉีดชำระ)</t>
  </si>
  <si>
    <t>-</t>
  </si>
  <si>
    <t>ตะแกรงดักกลิ่นขนาด 10 x15 ซม.</t>
  </si>
  <si>
    <t xml:space="preserve">ก๊อกเดี่ยวติดผนัง </t>
  </si>
  <si>
    <t>กระจกเงาหนา 6 มม. เจียรขอบลบมุม ขนาด 1.20 x 0.90 ม.</t>
  </si>
  <si>
    <t xml:space="preserve">บนแผ่นไฟเบอร์ซีเมนต์บอร์ด หนา 6 มม </t>
  </si>
  <si>
    <t xml:space="preserve">ก๊อกเดี่ยว </t>
  </si>
  <si>
    <t xml:space="preserve">ท่อน้ำทิ้ง </t>
  </si>
  <si>
    <t>สต๊อปวาล์ว   (สำหรับสายน้ำดีอ่างล้างหน้า)</t>
  </si>
  <si>
    <t>โถสุขภัณฑ์แบบฟลัชวาล์ว</t>
  </si>
  <si>
    <t>สต๊อปวาล์ว (สำหรับสายฉีดชำระ)</t>
  </si>
  <si>
    <t>2.6.2</t>
  </si>
  <si>
    <t>งานสุขภัณฑ์พร้อมอุปกรณ์ ชั้นที่ 1</t>
  </si>
  <si>
    <t>สะดืออ่างล้างหน้า</t>
  </si>
  <si>
    <t xml:space="preserve">อ่างล้างหน้าชนิดฝังใต้เคาน์เตอร์ </t>
  </si>
  <si>
    <t xml:space="preserve">ก๊อกเดี่ยวอัตโนมัติ อ่างล้างหน้า </t>
  </si>
  <si>
    <t>สต๊อปวาล์ว    (สำหรับสายน้ำดีอ่างล้างหน้า)</t>
  </si>
  <si>
    <t xml:space="preserve">ชุดฟลัชวาล์วโถส้วม </t>
  </si>
  <si>
    <t xml:space="preserve">ฝานั่งพร้อมที่ฉีดชำระ(แบบไม่ใช้ไฟฟ้า) </t>
  </si>
  <si>
    <t>สต๊อปวาล์ว  (สำหรับฝาฉีดชำระ)</t>
  </si>
  <si>
    <t xml:space="preserve">โถปัสสาวะชายพร้อมอุปกรณ์ </t>
  </si>
  <si>
    <t>ชุดฟลัชวาล์ว</t>
  </si>
  <si>
    <t>แผงกันสายตา โถปัสสาวะ</t>
  </si>
  <si>
    <t>ชุดราวจับทรงตัว โถปัสสาวะชาย</t>
  </si>
  <si>
    <t>ที่ใส่กระดาษชำระเช็ดมือ ขนาดจัมโบ้โรล</t>
  </si>
  <si>
    <t>ผนังห้องน้ำสำเร็จรูป แผ่น MFF ความหนา 30 mm. พร้อมอุปกรณ์ครบชุด</t>
  </si>
  <si>
    <t>ถังขยะ CUSTOM MADE</t>
  </si>
  <si>
    <t>กระจกเงาหนา 6 มม. กรอบ S/S HAIRLINE ตัว ''L'' กว้าง 20 มม. สูง 1.20 ม.</t>
  </si>
  <si>
    <t>บนแผ่นไฟเบอร์ซีเมนต์บอร์ด หนา 6 มม โครงคร่าวเหล็กกล่อง ขนาด 1"x 1" สูง 1.20 ม.</t>
  </si>
  <si>
    <t>เคาน์เตอร์ คสล. กรุหินแกรนิตสีดำ หนา 20 มม. (ภายในประเทศ) กว้าง 0.60 ม.</t>
  </si>
  <si>
    <t>บัวกันเปื้อน หินแกรนิตสีดำ หนา 20 มม. (ภายในประเทศ) สูง 0.20 ม.</t>
  </si>
  <si>
    <t>TOP หินแกรนิตสีดำ หนา 20 มม. (ภายในประเทศ) หลังโถปัสสาวะ กว้าง 0.15 ม.</t>
  </si>
  <si>
    <t>กระจกเงาแต่งตัว หนา 6 มม. กรอบ S/S HAIRLINE ตัว ''L'' กว้าง 20 มม.</t>
  </si>
  <si>
    <t>บนแผ่นไฟเบอร์ซีเมนต์บอร์ด หนา 6 มม โครงคร่าวเหล็กกล่อง ขนาด 1"x 1" สูง 1.80 x 0.90 ม.</t>
  </si>
  <si>
    <t>กระจกเงาเคาน์เตอร์แต่งตัว หนา 6 มม. เจียรขอบลบมุม สูง 1.20 ม.</t>
  </si>
  <si>
    <t>เคาน์เตอร์แต่งตัว คสล. กรุหินแกรนิตสีดำ หนา 20 มม. (ภายในประเทศ) กว้าง 0.30 ม.</t>
  </si>
  <si>
    <t>ป้ายสัญลักษณ์ห้องน้ำ</t>
  </si>
  <si>
    <t>หลืบฝ้าเพดาน ซ่อนไฟ LED+Return Air.</t>
  </si>
  <si>
    <t>TOP หินแกรนิตสีดำ หนา 20 มม. (ภายในประเทศ) หลังโถสุขภัณฑ์ กว้าง 0.15 ม.</t>
  </si>
  <si>
    <t>อ่างล้างหน้า ชนิดแขวนผนัง</t>
  </si>
  <si>
    <t xml:space="preserve">โถสุขภัณฑ์ แบบสองชิ้น 3/4.5 ลิตร </t>
  </si>
  <si>
    <t>สต๊อปวาล์ว  (สำหรับสายฉีดชำระ)</t>
  </si>
  <si>
    <t xml:space="preserve">ราวทรงตัว ขนาด 800x800 มม. </t>
  </si>
  <si>
    <t xml:space="preserve">ราวทรงตัว L-  SHAPE ขนาด 400x600 มม. </t>
  </si>
  <si>
    <t>กระจกเงา หนา 6 มม.  ขอบสแตนเลส ผิว HAIRLINE  ขนาดสูง 1.20 x กว้าง 0.90 ม.</t>
  </si>
  <si>
    <t>ชุดถาดรองเปลียนผ้าอ้อมเด็ก</t>
  </si>
  <si>
    <t>ชุดเก้าอี้เด็กแบบติดผนัง</t>
  </si>
  <si>
    <t>2.6.3</t>
  </si>
  <si>
    <t>งานสุขภัณฑ์พร้อมอุปกรณ์ ชั้นที่ 2</t>
  </si>
  <si>
    <t>2.6.4</t>
  </si>
  <si>
    <t>งานสุขภัณฑ์พร้อมอุปกรณ์ ชั้นที่ 3</t>
  </si>
  <si>
    <t>งานสุขภัณฑ์พร้อมอุปกรณ์ ชั้นที่ 4</t>
  </si>
  <si>
    <t>งานสุขภัณฑ์พร้อมอุปกรณ์ ชั้นที่ 5</t>
  </si>
  <si>
    <t>งานสุขภัณฑ์พร้อมอุปกรณ์ ชั้นที่ 6</t>
  </si>
  <si>
    <t>งานสุขภัณฑ์พร้อมอุปกรณ์ ชั้นที่ 7</t>
  </si>
  <si>
    <t>งานสุขภัณฑ์พร้อมอุปกรณ์ ชั้นที่ 8</t>
  </si>
  <si>
    <t>งานสุขภัณฑ์พร้อมอุปกรณ์ ชั้นที่ 9</t>
  </si>
  <si>
    <t>งานสุขภัณฑ์พร้อมอุปกรณ์ ชั้นที่ 10</t>
  </si>
  <si>
    <t>งานสุขภัณฑ์พร้อมอุปกรณ์ ชั้น 11</t>
  </si>
  <si>
    <t>งานทาสี</t>
  </si>
  <si>
    <t>รวมในงานผนัง</t>
  </si>
  <si>
    <t>รวมราคารายการที่ 2.7</t>
  </si>
  <si>
    <t>งานบันไดและตกแต่งผิวบันได</t>
  </si>
  <si>
    <t xml:space="preserve">ลูกตั้ง ,ลูกนอน ทำผิวขัดมันเรียบ </t>
  </si>
  <si>
    <t>ตรม.</t>
  </si>
  <si>
    <t>ท้องพื้นและด้านข้าง บันไดคอนกรีต แต่งผิวเรียบ ทาสีอะครีลิค ชนิดทาภายใน</t>
  </si>
  <si>
    <t>เสาราวบันไดเหล็กกลม ขนาด Ø 1" หนา 1.50 มม. ทาสีน้ำมัน</t>
  </si>
  <si>
    <t xml:space="preserve">งานบันไดและตกแต่งผิวบันได ST.01 </t>
  </si>
  <si>
    <t>จมูกบันได อลูมิเนียม สำเร็จรูป ขนาด กว้าง 5 ซม.</t>
  </si>
  <si>
    <t>ชานพักบันได F-19 พื้น คสล. ทำผิวหินขัดกับที่ คัดเม็ดเบอร์ 3 และทำสีตามผู้ออกแบบ</t>
  </si>
  <si>
    <t>คอนกรีตบล็อคเบา หรือ คสล. ฉาบเรียบทาสี ACRYLIC 100% ใช้สำหรับภายใน</t>
  </si>
  <si>
    <t>งานบันไดและตกแต่งผิวบันได ST.01a</t>
  </si>
  <si>
    <t>งานบันไดและตกแต่งผิวบันได ST.02</t>
  </si>
  <si>
    <t>งานบันไดและตกแต่งผิวบันได ST.02a</t>
  </si>
  <si>
    <t>งานบันไดและตกแต่งผิวบันได ST.03</t>
  </si>
  <si>
    <t>ราวบันไดเหล็กกลม ขนาด Ø 1 1/2'' หนา 1.5 มม. ทาสีน้ำมัน</t>
  </si>
  <si>
    <t>ชานพักบันได F-9 ผิวปูนทรายขัดมันเรียบ</t>
  </si>
  <si>
    <t>งานบันไดและตกแต่งผิวบันได ST.03a</t>
  </si>
  <si>
    <t>งานบันไดและตกแต่งผิวบันได ST.03b</t>
  </si>
  <si>
    <t>งานบันไดและตกแต่งผิวบันได ST.03c</t>
  </si>
  <si>
    <t>งานบันไดและตกแต่งผิวบันได ST.04</t>
  </si>
  <si>
    <t>รวมราคารายการที่ 2.8</t>
  </si>
  <si>
    <t>2.9.1</t>
  </si>
  <si>
    <t>2.9.2</t>
  </si>
  <si>
    <t>2.9.3</t>
  </si>
  <si>
    <t>2.9.4</t>
  </si>
  <si>
    <t>งาน Wheel stop</t>
  </si>
  <si>
    <t>2.9.5</t>
  </si>
  <si>
    <t>2.9.6</t>
  </si>
  <si>
    <t>2.9.7</t>
  </si>
  <si>
    <t>ลูกศรทางวิ่ง</t>
  </si>
  <si>
    <t>2.9.8</t>
  </si>
  <si>
    <t>2.9.9</t>
  </si>
  <si>
    <t>2.9.10</t>
  </si>
  <si>
    <t>รวมราคารายการที่ 2.9</t>
  </si>
  <si>
    <t xml:space="preserve">Surface mounted LED uplight with aluminum body, glare shiled and </t>
  </si>
  <si>
    <t>Integrated LED driver. IP65.</t>
  </si>
  <si>
    <t xml:space="preserve"> LED driver. IP65.</t>
  </si>
  <si>
    <t>รวมราคารายการที่ 2.10</t>
  </si>
  <si>
    <t>8.</t>
  </si>
  <si>
    <t>เนื่องจากโครงการมีนโยบายเป็นอาคารเขียว จึงต้องมีมาตรการต่างๆควบคุมเพื่อให้ผ่านมาตรฐานอาคารเขียว</t>
  </si>
  <si>
    <t>มาตรฐานอาคารเขียว</t>
  </si>
  <si>
    <t>เนื่องจากโครงการอยู่ภายในพื้นที่ของทางราชการ จึงต้องมีมาตรการลดผบกระทบสิ่งแวดล้อม เพื่อไม่ให้กระทบกระเทือนต่อผู้ใช้สถานที่อื่นๆ</t>
  </si>
  <si>
    <t>มาตรการลดผลกระทบสิ่งแวดล้อม</t>
  </si>
  <si>
    <t>เนื่องจากโครงการมีนโยบายไม่ให้คนงานพักในสถานที่ก่อสร้าง</t>
  </si>
  <si>
    <t>ค่าใช้จ่ายมาตรการไม่อนุญาตให้คนงานพักในสถานที่ก่อสร้าง</t>
  </si>
  <si>
    <t>เนื่องจากมีการสร้างอยู่บนพื้นที่ที่มางานก่อสร้างเดิมอยู่แล้วจึงจำเป็นต้องมีมาตรการป้องกันทรัพย์สินอาคารเดิม</t>
  </si>
  <si>
    <t>การป้องกันทรัพย์สินอาคารเดิม</t>
  </si>
  <si>
    <t>งานระบบประกอบอาคาร</t>
  </si>
  <si>
    <t>ราคารวมในหมวดงานผนังและวัสดุผิวผนัง</t>
  </si>
  <si>
    <t>F.20</t>
  </si>
  <si>
    <t>พื้น คสล. ทำผิวปูทรายขัดเรียบ ทำผิว SELF LEVELING ปูกระเบื้องลายไม้</t>
  </si>
  <si>
    <t>พื้นแผ่นซีเมนต์บอร์ด หนา 20 มม.</t>
  </si>
  <si>
    <t>F.22</t>
  </si>
  <si>
    <t>พื้น คสล. ทำผิวปูทรายขัดเรียบ ปูกระเบื้องไวนิล ขนาด 30x30 ซม.</t>
  </si>
  <si>
    <t>F.23</t>
  </si>
  <si>
    <t>พื้น คสล. ทำผิวปูทราย ปูแผ่นหินแกรนิตสีเทา ผิวพ่นน้ำ ขนาด 60x60 ซม.</t>
  </si>
  <si>
    <t>C.9</t>
  </si>
  <si>
    <t>ฝ้ายิปซั่มบอร์ดเคลือบสีสำเร็จจากโรงงาน ชนิดทนความชื้น ขนาด 60x60 ซม. หนา 9 มม. วางบนโลหะ T-BAR</t>
  </si>
  <si>
    <t>งานส่วนประกอบ และวัสดุมุงหลังคา</t>
  </si>
  <si>
    <t>หลังคาเหนือช่องโล่ง-ชั้นดาดฟ้า</t>
  </si>
  <si>
    <t>งานฉนวนกันความร้อน ความหนาแน่น 30-32 K หนา 6 " หุ้มฟอยล์รอบ (ติดตั้งด้วยตาข่ายเคลือบสี)</t>
  </si>
  <si>
    <t>งานรางน้ำสแตนเลส พับขึ้นรูป</t>
  </si>
  <si>
    <t>งาน CATWALK</t>
  </si>
  <si>
    <t>หลังคาตกแต่ง-1</t>
  </si>
  <si>
    <t>งานหุ้ม ตกแต่ง แผ่นอลูมิเนียมโซลิคชีท P.22</t>
  </si>
  <si>
    <t>งานฐานเสา คสล.รับเสาตกแต่งหุ้ม P.22</t>
  </si>
  <si>
    <t>2.4.3</t>
  </si>
  <si>
    <t>หลังคาตกแต่ง-2 และ 3</t>
  </si>
  <si>
    <t>งานฐานเสา คสล.รับเสาตกแต่งหุ้ม P.22 ขนาด 0.70x0.80 ม.</t>
  </si>
  <si>
    <t>งานฐานเสา คสล.รับเสาตกแต่งหุ้ม P.22 ขนาด 0.50x1.00 ม.</t>
  </si>
  <si>
    <t>2.4.4</t>
  </si>
  <si>
    <t>หลังคาตกแต่ง-4</t>
  </si>
  <si>
    <t>WDA.1</t>
  </si>
  <si>
    <t>WDA.2</t>
  </si>
  <si>
    <t>WDF.1</t>
  </si>
  <si>
    <t>WDF.2</t>
  </si>
  <si>
    <t>WDS.1</t>
  </si>
  <si>
    <t>WDS.2</t>
  </si>
  <si>
    <t>WDS.5</t>
  </si>
  <si>
    <t>WDS.7</t>
  </si>
  <si>
    <t>WDS.4</t>
  </si>
  <si>
    <t>WDS.11</t>
  </si>
  <si>
    <t>WDA.3</t>
  </si>
  <si>
    <t>WDA.4</t>
  </si>
  <si>
    <t>WDA.5</t>
  </si>
  <si>
    <t>WDA.6</t>
  </si>
  <si>
    <t>WDA.7</t>
  </si>
  <si>
    <t>WDF.4</t>
  </si>
  <si>
    <t>WDF.5</t>
  </si>
  <si>
    <t>WDS.6</t>
  </si>
  <si>
    <t>WRSD1</t>
  </si>
  <si>
    <t>WD.1</t>
  </si>
  <si>
    <t>WD.2</t>
  </si>
  <si>
    <t>WD.3</t>
  </si>
  <si>
    <t>WD.4</t>
  </si>
  <si>
    <t>WD.6</t>
  </si>
  <si>
    <t>WD.8</t>
  </si>
  <si>
    <t>WD.9</t>
  </si>
  <si>
    <t>แก้ออก 1 บานเป็น WDA.7</t>
  </si>
  <si>
    <t>WDS.8</t>
  </si>
  <si>
    <t>WD.7</t>
  </si>
  <si>
    <t>WW.1</t>
  </si>
  <si>
    <t>WW.6</t>
  </si>
  <si>
    <t>WW.7</t>
  </si>
  <si>
    <t>WDA.8</t>
  </si>
  <si>
    <t>WD.0</t>
  </si>
  <si>
    <t>ช่องโล่ง</t>
  </si>
  <si>
    <t>WD.5</t>
  </si>
  <si>
    <t>เพิ่ม 1 ชุด 19/01/64</t>
  </si>
  <si>
    <t>WW.2</t>
  </si>
  <si>
    <t>WW.3</t>
  </si>
  <si>
    <t>WW.4</t>
  </si>
  <si>
    <t>WW.5</t>
  </si>
  <si>
    <t>WW.6a</t>
  </si>
  <si>
    <t>WW.7a</t>
  </si>
  <si>
    <t>WDS.9</t>
  </si>
  <si>
    <t>WDS.10</t>
  </si>
  <si>
    <t>WWA.28</t>
  </si>
  <si>
    <t>WWA.28.1</t>
  </si>
  <si>
    <t>WWA.31</t>
  </si>
  <si>
    <t>WWA.32</t>
  </si>
  <si>
    <t>WWA.33</t>
  </si>
  <si>
    <t>WWA.34</t>
  </si>
  <si>
    <t>WWA.35</t>
  </si>
  <si>
    <t>WWA.36</t>
  </si>
  <si>
    <t>WWA.36.1</t>
  </si>
  <si>
    <t xml:space="preserve">งาน FACADE รูปด้านเปลือกอาคารด้านทิศใต้ (รูปด้าน-1)  </t>
  </si>
  <si>
    <t xml:space="preserve"> ชั้นที่ 1-2</t>
  </si>
  <si>
    <t>ชุดผนังกระจก Curtain wall ( WWA-14+ WWA-5+ WWA-6+ WWA-6.1+ WWA-7+ WWA-7.1+ WWA-8)</t>
  </si>
  <si>
    <t>ชุดโครงเหล็กยึดท้องพื้น คสล. รับชุดผนังกระจก</t>
  </si>
  <si>
    <t>ฉนวนใยหิน ความหนาแน่น 30K หนา 4"</t>
  </si>
  <si>
    <t xml:space="preserve">ผนัง P-6 ยิปซั่มบอร์ด หนา 15 มม. </t>
  </si>
  <si>
    <t>ชุดหน้าต่างบานเลื่อน  Sliding  window</t>
  </si>
  <si>
    <t>ชุดมู่ลี่ปรับแสงในชุดหน้าต่าง  Sliding  window - ชั้นที่ 1</t>
  </si>
  <si>
    <t>ชุดมู่ลี่ปรับแสงในชุดหน้าต่าง  Sliding  window - ชั้นที่ 2</t>
  </si>
  <si>
    <t>ชุดประตูทางเข้า-ออก WWA-29</t>
  </si>
  <si>
    <t>ชุดประตูทางเข้า-ออก WWA-30</t>
  </si>
  <si>
    <t>ชุดผนัง Aluminium Solid Sheet P-22  (GCC-D-W-AR-12-0028)</t>
  </si>
  <si>
    <t>เสาตกแต่งภายนอก 3</t>
  </si>
  <si>
    <t>เสาตกแต่งภายนอก 4</t>
  </si>
  <si>
    <t xml:space="preserve"> ชั้นที่ 3-11</t>
  </si>
  <si>
    <t>ชุดผนังกระจก Curtain wall : WWA</t>
  </si>
  <si>
    <t>( WWA-1 -1.1 -1.2 -1.3 -1.4 + WWA-2 -2.1 -2.2 -2.3 -2.4 + WWA-3 + WWA-4 + WWA-9 -9.1 -9.2)</t>
  </si>
  <si>
    <t>ชุดมู่ลี่ปรับแสงในชุดหน้าต่าง  Sliding  window</t>
  </si>
  <si>
    <t xml:space="preserve">ชุดผนัง Aluminium Solid Sheet P-22 </t>
  </si>
  <si>
    <t xml:space="preserve">ผนังก่อคอนกรีตบลอคเบา พร้อมเสา-คานเอ็น </t>
  </si>
  <si>
    <t>ฉนวนใยหิน ความหนาแน่น 30K หนา 1"</t>
  </si>
  <si>
    <t>ชุดตกแต่ง Fin no. 1-2-3-4-5  (GCC-D-W-AR-12-0025 to 0026)</t>
  </si>
  <si>
    <t>Fin no.1 &amp; no.2 และกรอบผนัง P22 เชื่อมต่อ Fin.1-Fin.2</t>
  </si>
  <si>
    <t>งานผนัง คสล. หนา 0.15 ม. สูง 0.50 ม. รับโครงเหล็กรูปพรรณ</t>
  </si>
  <si>
    <t>งานโครงเหล็กรูปพรรณ H 200x100 mm. (18.2 kg/m.)</t>
  </si>
  <si>
    <t>Fin no.3 แนวนอนในกรอบ Fin.1-Fin.2</t>
  </si>
  <si>
    <t>Fin no.4 แนวตั้งในกรอบ Fin.1-Fin.2</t>
  </si>
  <si>
    <t>งานฐานรับ Fin no. 4</t>
  </si>
  <si>
    <t>Fin no.5 แนวนอนนอกกรอบ Fin.1-Fin.2</t>
  </si>
  <si>
    <t>ชุดครีบ FIN Aluminium Extrusion  ชั้นที่ 11-ชั้นใต้หลังคาตกแต่ง</t>
  </si>
  <si>
    <t>( ชุด P 22 ด้านบนคิดในงานหลังคาตกแต่ง 2-3)</t>
  </si>
  <si>
    <t xml:space="preserve">งาน FACADE รูปด้านเปลือกอาคารด้านทิศตะวันตก (รูปด้าน-2)  </t>
  </si>
  <si>
    <t>ชุดผนังกระจก Curtain wall ( WWA-14+ WWA-15+ WWA-16+ WWA-17+ WWA-18)</t>
  </si>
  <si>
    <t>ชุดผนัง Aluminium Solid Sheet P-22 ( WWA-14, WWA-16)</t>
  </si>
  <si>
    <t>ชุดผนังกระจก Curtain wall  WWA-10</t>
  </si>
  <si>
    <t>ชุดผนังกระจก Curtain wall  WWA-11</t>
  </si>
  <si>
    <t>ชุดผนังกระจก Curtain wall  WWA-12</t>
  </si>
  <si>
    <t>ชุดผนังกระจก Curtain wall  WWA-13</t>
  </si>
  <si>
    <t>ชุดโครงเหล็ก รับชุดผนังกระจกบานเลื่อนภายใน (บน-ล่าง)</t>
  </si>
  <si>
    <t>กรอบซุ้ม ยิปซั่มบอร์ด หนา 15 มม. ระหว่างชุดบานเลื่อนกับ ชุด WWA</t>
  </si>
  <si>
    <t>ผนัง P-2 ก่อคอนกรีตบลอคเบา ฉาบเรียบ รอตกแต่ง</t>
  </si>
  <si>
    <t>ชุดผนัง P-22 แผ่นอลูมิเนียมโซลิดชีท หนา 2 มม. รูปตัดขยาย WS07-WS08 (GCC-D-W-AR-12-0005 to 06)</t>
  </si>
  <si>
    <t>( ชุด P 22 ด้านบนคิดในงานหลังคาตกแต่ง 1)</t>
  </si>
  <si>
    <t>ผนัง P-2A ก่อคอนกรีตบลอคเบา ฉาบเรียบ ทาสี Acrylic 100% -ภายใน</t>
  </si>
  <si>
    <t>ชุดครีบตกแต่ง 1  (GCC-D-W-AR-12-0016 to 0020) Fin no. 8-9  (GCC-D-W-AR-12-0026)</t>
  </si>
  <si>
    <t>ชุดครีบตกแต่ง -1  (Aluminium Solid Sheet P-22 ) ขนาด 0.30x0.80 ม. รวมโครงเหล็กภายใน</t>
  </si>
  <si>
    <t>ครีบตกแต่ง - P-22  ขนาด 0.30x0.80 ม. แนวตั้ง</t>
  </si>
  <si>
    <t>ครีบตกแต่ง - P-22  ขนาด 0.30x0.80 ม. แนวนอน</t>
  </si>
  <si>
    <t>เสาครีบตกแต่ง - P-22  ขนาด 0.30x0.80 ม. ชั้นดาดฟ้า</t>
  </si>
  <si>
    <t>ฐานรับครีบตกแต่ง - P-22  ขนาด 0.30x0.80 ม. แนวตั้ง  (GCC-D-W-AR-12-0020)</t>
  </si>
  <si>
    <t>ฐานเสา คสล. รับครีบตกแต่ง - P-22  ชั้นดาดฟ้า  (GCC-D-W-AR-12-0020)</t>
  </si>
  <si>
    <t>ชุดตกแต่ง Fin no. 8-9  (GCC-D-W-AR-12-0026)</t>
  </si>
  <si>
    <t>Fin no.8 แนวนอน ยึดเข้าขอบพื้น</t>
  </si>
  <si>
    <t>Fin no.9 แนวนอน ลอย</t>
  </si>
  <si>
    <t xml:space="preserve">งาน FACADE รูปด้านเปลือกอาคารด้านทิศเหนือ (รูปด้าน 3) </t>
  </si>
  <si>
    <t xml:space="preserve"> ชั้นที่ 1</t>
  </si>
  <si>
    <t>ชุดผนังกระจก Curtain wall ( WWA-19+ WWA-19.1+ WWA-19.2+ WWA-21)</t>
  </si>
  <si>
    <t>ชุดประตูทางเข้า-ออก WWA-20</t>
  </si>
  <si>
    <t xml:space="preserve"> ชั้นที่ 2</t>
  </si>
  <si>
    <t>ชุดผนังกระจก Curtain wall ( WWA-22+ WWA-22.1+ WWA-22.2)</t>
  </si>
  <si>
    <t xml:space="preserve">ผนัง P-22 แผ่นอลูมิเนียมโซลิดชีท หนา 2 มม. </t>
  </si>
  <si>
    <t>ชุดผนังกระจก Curtain wall ( WWA-23+ WWA-23.1+ WWA-23.2)</t>
  </si>
  <si>
    <t>ชุดผนังกระจก Curtain wall ( WWA-24+ WWA-25)</t>
  </si>
  <si>
    <t>ชุดครีบตกแต่ง   (GCC-D-W-AR-12-0004) Fin no. 6-7  (GCC-D-W-AR-12-0026)</t>
  </si>
  <si>
    <t>ชุดครีบตกแต่ง -1  (Aluminium Solid Sheet P-22 ) ขนาด 0.20x0.80 ม. รวมโครงเหล็กภายใน</t>
  </si>
  <si>
    <t>ครีบตกแต่ง - P-22  ขนาด 0.20x0.80 ม. แนวตั้ง-แนวนอน ระดับพื้นดาดฟ้า</t>
  </si>
  <si>
    <t>ฐานเสา คสล. รับครีบตกแต่ง - P-22  ชั้นดาดฟ้า  (GCC-D-W-AR-12-0004)</t>
  </si>
  <si>
    <t>ชุดตกแต่ง Fin no. 6-7  (GCC-D-W-AR-12-0026)</t>
  </si>
  <si>
    <t>Fin no.6 แนวนอน ยึดเข้าขอบพื้น</t>
  </si>
  <si>
    <t>Fin no.7 แนวตั้ง</t>
  </si>
  <si>
    <t>ฐานรับ Fin no.7 แนวตั้ง  - P-22  ขนาด 0.40x1.00 ม. (GCC-D-W-AR-12-0026)</t>
  </si>
  <si>
    <t xml:space="preserve">งาน FACADE รูปด้านเปลือกอาคารด้านทิศตะวันออก (รูปด้าน 4) </t>
  </si>
  <si>
    <t>ชุดผนังกระจก Curtain wall ( WWA-26)</t>
  </si>
  <si>
    <t xml:space="preserve"> ชั้นที่ 2 &amp; ชั้นที่ 11</t>
  </si>
  <si>
    <t>ชุดผนังกระจก Curtain wall ( WWA-27)</t>
  </si>
  <si>
    <t xml:space="preserve"> ชั้นที่ 3-10</t>
  </si>
  <si>
    <t>ชุดผนังกระจก Curtain wall ( WWA-27.1)</t>
  </si>
  <si>
    <t>ชุดกล่องผนัง-P-22  Aluminium Solid Sheet (GL. BJ &amp; BB)</t>
  </si>
  <si>
    <t>ชุดครีบตกแต่ง Fin-7  (GCC-D-W-AR-12-0003) Fin no. 10  (GCC-D-W-AR-12-0026)</t>
  </si>
  <si>
    <t>ชุดครีบตกแต่ง (Aluminium Solid Sheet P-22 ) ขนาด 0.20x0.80 ม. รวมโครงเหล็กภายใน</t>
  </si>
  <si>
    <t>ครีบตกแต่ง Fin no.7 - P-22  ขนาด 0.20x0.80 ม. แนวตั้ง ชั้นที่1-หลังคาตกแต่ง</t>
  </si>
  <si>
    <t>ฐานรับครีบตกแต่ง - P-22  ขนาด 0.40x1.00 ม. แนวตั้ง  (GCC-D-W-AR-12-0026)</t>
  </si>
  <si>
    <t>( ชุด P 22 ด้านบนคิดในงานหลังคาตกแต่ง 4)</t>
  </si>
  <si>
    <t>ชุดตกแต่ง Fin no. 10  (GCC-D-W-AR-12-0026)</t>
  </si>
  <si>
    <t>Fin no.10 แนวนอน ยึดเข้าขอบพื้น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</si>
  <si>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</si>
  <si>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</si>
  <si>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</si>
  <si>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</si>
  <si>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</si>
  <si>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</si>
  <si>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</si>
  <si>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</si>
  <si>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2.7.9</t>
  </si>
  <si>
    <t>2.7.10</t>
  </si>
  <si>
    <t>2.7.11</t>
  </si>
  <si>
    <t>2.7.12</t>
  </si>
  <si>
    <r>
      <t>ท้องพื้น</t>
    </r>
    <r>
      <rPr>
        <sz val="14"/>
        <rFont val="TH SarabunPSK"/>
        <family val="2"/>
      </rPr>
      <t>และด้านข้าง</t>
    </r>
    <r>
      <rPr>
        <sz val="14"/>
        <rFont val="TH SarabunPSK"/>
        <family val="2"/>
        <charset val="222"/>
      </rPr>
      <t xml:space="preserve"> บันไดคอนกรีต แต่งผิวเรียบ ทาสีอะครีลิค ชนิดทาภายใน</t>
    </r>
  </si>
  <si>
    <t>รวมราวกันตกก่อ</t>
  </si>
  <si>
    <t>ราวจับสแตนเลสยึดติดกับผนัง ขนาด Ø 1 1/2'' หนา 1.50 มม. ผิว HAIRLINE</t>
  </si>
  <si>
    <t>งานก่อผนังคอนกรีตบลอคเบา   P2A (ราวบันได)</t>
  </si>
  <si>
    <t>งานทางลาด</t>
  </si>
  <si>
    <t>RAMP WR.01</t>
  </si>
  <si>
    <t>RAMP WR.02</t>
  </si>
  <si>
    <t>RAMP WR.02a</t>
  </si>
  <si>
    <t>RAMP WR.03</t>
  </si>
  <si>
    <t>RAMP WR.03a</t>
  </si>
  <si>
    <t>2.10.</t>
  </si>
  <si>
    <t>2.10.1</t>
  </si>
  <si>
    <t>งาน Grating รางระบายน้ำ</t>
  </si>
  <si>
    <t>2.10.2</t>
  </si>
  <si>
    <t>SUMP</t>
  </si>
  <si>
    <t>2.10.3</t>
  </si>
  <si>
    <t>2.10.4</t>
  </si>
  <si>
    <t>งานทาสีเหล็กหุ้มเสากันชน</t>
  </si>
  <si>
    <t>2.10.5</t>
  </si>
  <si>
    <t>งานทาสีจราจร และลูกศรทางวิ่ง F.10</t>
  </si>
  <si>
    <t>เส้นจราจร-เส้นแบ่งช่องจอด</t>
  </si>
  <si>
    <t>สัญลักษณ์ที่จอดรถคนพิการ</t>
  </si>
  <si>
    <t>2.10.6</t>
  </si>
  <si>
    <t>งานหลังคา CANOPY 1 -รูปด้าน 1 (GCC-D-W-AR-12-0007 to 09 )</t>
  </si>
  <si>
    <t xml:space="preserve"> - ส่วนขอบปลายหลังคาตกแต่ง กรุด้วย แผ่น Aluminium Solid Sheet 2 mm. P.22</t>
  </si>
  <si>
    <t xml:space="preserve"> - งานเสาตกแต่งภายนอก 1 (กลม สูง 10.65 ม.) ผิวกรุ P.22 </t>
  </si>
  <si>
    <t xml:space="preserve"> - งานเสาตกแต่งภายนอก 1 (กลม สูง 6.65 ม.) ผิวกรุ P.22</t>
  </si>
  <si>
    <t xml:space="preserve"> - ส่วนตกแต่งฝ้าเพดาน กรุด้วย  C.8 แผ่น Aluminium Composite 4 mm. </t>
  </si>
  <si>
    <t xml:space="preserve"> - งานรางน้ำ คสล. กว้าง 0.30 ม.  ทำผิวขัดมันผสมน้ำยากันซึม </t>
  </si>
  <si>
    <t>2.10.7</t>
  </si>
  <si>
    <t>งานหลังคา CANOPY 2 -รูปด้าน 3 (GCC-D-W-AR-12-0010 to 12 )</t>
  </si>
  <si>
    <t xml:space="preserve"> - งานเสาตกแต่งภายนอก 2 (กลม สูง 7.05 ม.) ผิวกรุ P.22</t>
  </si>
  <si>
    <t>2.10.8</t>
  </si>
  <si>
    <t>งานหลังคา CANOPY 3 -รูปด้าน 2 (GCC-D-W-AR-12-0010 to 15 )</t>
  </si>
  <si>
    <t xml:space="preserve"> - งานเสาตกแต่งภายนอก 1 (กลม สูง 7.05 ม.) ผิวกรุ P.22</t>
  </si>
  <si>
    <t>งานราวกันตกภายนอก (GCC-D-W-AR-12-0028 to 33 )</t>
  </si>
  <si>
    <t>2.10.9</t>
  </si>
  <si>
    <t>งานราวกันตกภายนอก 1 และ 2 (รูปด้าน 1 และ รูปด้าน 4)</t>
  </si>
  <si>
    <t>2.10.10</t>
  </si>
  <si>
    <t xml:space="preserve"> - ท่อสแตนเลส 4"x4" ระบายน้ำล้น</t>
  </si>
  <si>
    <t>2.10.11</t>
  </si>
  <si>
    <t>งานราวกันตกภายนอก 3 และ 4 (รูปด้าน 3)</t>
  </si>
  <si>
    <t>2.10.12</t>
  </si>
  <si>
    <t>งานราวกันตกภายนอก 5 และ 6 (รูปด้าน 2)</t>
  </si>
  <si>
    <t>2.10.13</t>
  </si>
  <si>
    <t>ชุดบันไดลิง สแตนเลส</t>
  </si>
  <si>
    <t xml:space="preserve"> - บันไดลิง W1, W3, W4 (ขนาดเท่ากัน)</t>
  </si>
  <si>
    <t>บานประตูสแตนเลส ฝาถังเก็นน้ำ</t>
  </si>
  <si>
    <t xml:space="preserve"> - บันไดลิง W2</t>
  </si>
  <si>
    <t>งานตกแต่งท้องบันไดเลื่อน (GCC-D-W-AR-9-0016 to 17 )</t>
  </si>
  <si>
    <t>2.10.14</t>
  </si>
  <si>
    <t>ผิวตกแต่งหุ้มท้องบันไดเลื่อน W-ESC1</t>
  </si>
  <si>
    <t>2.10.15</t>
  </si>
  <si>
    <t>ผิวตกแต่งหุ้มท้องบันไดเลื่อน W-ESC2</t>
  </si>
  <si>
    <t>งานราวกันตก (GCC-D-W-AR-15-0002)</t>
  </si>
  <si>
    <t>2.10.16</t>
  </si>
  <si>
    <t>งานราวกันตก 1</t>
  </si>
  <si>
    <t>2.10.17</t>
  </si>
  <si>
    <t>งานราวกันตก 2 (หน้าอาคาร W.)</t>
  </si>
  <si>
    <t>2.10.18</t>
  </si>
  <si>
    <t>งานราวกันตก 3 (ที่จอดรถ)</t>
  </si>
  <si>
    <t>2.10.19</t>
  </si>
  <si>
    <t>งานราวกันตก 4 กั้นที่จอดรถหน่วยงาน</t>
  </si>
  <si>
    <t>2.10.20</t>
  </si>
  <si>
    <t>งานขอบผนัง-กระจก Smoke Barrier</t>
  </si>
  <si>
    <t>2.10.21</t>
  </si>
  <si>
    <t>งานพรมดักฝุ่น</t>
  </si>
  <si>
    <t>งานซุ้มหน้าลิฟต์  (GCC-D-W-AR-15-0006)</t>
  </si>
  <si>
    <t>2.10.22</t>
  </si>
  <si>
    <t>งานซุ้มประตูหน้า ลิฟต์ 1</t>
  </si>
  <si>
    <t>2.10.23</t>
  </si>
  <si>
    <t>งานซุ้มประตูหน้า ลิฟต์ 2 กว้าง 1.10 ม.</t>
  </si>
  <si>
    <t>2.10.24</t>
  </si>
  <si>
    <t>งานซุ้มประตูหน้า ลิฟต์ 2 กว้าง 1.40 ม.</t>
  </si>
  <si>
    <t>งานผิวพื้นต่างสัมผัส (GCC-D-W-AR-15-0011)</t>
  </si>
  <si>
    <t>2.10.25</t>
  </si>
  <si>
    <t>ผิวพื้นต่างสัมผัส ประเภทแผ่นยาง</t>
  </si>
  <si>
    <t>2.10.26</t>
  </si>
  <si>
    <t>ผิวพื้นต่างสัมผัส ประเภท Stainless steel-1</t>
  </si>
  <si>
    <t>2.10.27</t>
  </si>
  <si>
    <t>EXPANSION JOINT ( Floor to Floor )</t>
  </si>
  <si>
    <t>งานโครงเหล็กรับงานป้ายอาคาร (ไม่รวมงานป้าย)</t>
  </si>
  <si>
    <t>2.10.28</t>
  </si>
  <si>
    <t>โครงเหล็กรับป้าย ตัวอักษร "ศาลปกครองสูงสุด"</t>
  </si>
  <si>
    <t>2.10.29</t>
  </si>
  <si>
    <t>โครงเหล็กรับป้าย สัญลักษณ์ "ศาลปกครองสูงสุด"</t>
  </si>
  <si>
    <t>Surface LED floodlight with aluminum body and integrated body. IP65.</t>
  </si>
  <si>
    <t xml:space="preserve">Surface mounted LED linear floodlight with aluminum body and remote </t>
  </si>
  <si>
    <t xml:space="preserve">Ceiling recessed LED downlight with aluminum body, clear glass cover and remote </t>
  </si>
  <si>
    <t>LED driver. IP44.</t>
  </si>
  <si>
    <t>Power supply</t>
  </si>
  <si>
    <t>DMX</t>
  </si>
  <si>
    <t>RGBW LED node with DMX controller. IP65.</t>
  </si>
  <si>
    <t>กลุ่มงานที่ 1 / หมวดงานวิศวกรรมโครงสร้าง</t>
  </si>
  <si>
    <t xml:space="preserve">งานโครงสร้าง คสล. ชั้นที่ 1 </t>
  </si>
  <si>
    <t>1.1.1</t>
  </si>
  <si>
    <t>งานโครงสร้างเสา</t>
  </si>
  <si>
    <t>- งานคอนกรีตโครงสร้าง 350 ksc.(Cylinder)</t>
  </si>
  <si>
    <t>ลบ.ม.</t>
  </si>
  <si>
    <t>- งานไม้แบบ</t>
  </si>
  <si>
    <t>แบบหล่อ (ค่าวัสดุ)</t>
  </si>
  <si>
    <t>แบบหล่อ (ค่าแรง)</t>
  </si>
  <si>
    <t xml:space="preserve">   - ตะปูประกอบแบบ</t>
  </si>
  <si>
    <t>กก.</t>
  </si>
  <si>
    <t>- งานเหล็กเสริมคอนกรีต</t>
  </si>
  <si>
    <t xml:space="preserve">   - SR24-RB 6 mm.</t>
  </si>
  <si>
    <t xml:space="preserve">   - SR24-RB 9 mm.</t>
  </si>
  <si>
    <t xml:space="preserve">   - SD40-DB 12mm.</t>
  </si>
  <si>
    <t xml:space="preserve">   - SD40-DB 16mm.</t>
  </si>
  <si>
    <t xml:space="preserve">   - SD40-DB 20mm.</t>
  </si>
  <si>
    <t xml:space="preserve">   - SD40-DB 25mm.</t>
  </si>
  <si>
    <t xml:space="preserve">   - SD40-DB 28mm.</t>
  </si>
  <si>
    <t xml:space="preserve">   - SD50-DB 32mm.</t>
  </si>
  <si>
    <t xml:space="preserve">   - ลวดผูกเหล็ก</t>
  </si>
  <si>
    <t>- อื่นๆ(ถ้ามี)</t>
  </si>
  <si>
    <t>1.1.2</t>
  </si>
  <si>
    <t>1.1.3</t>
  </si>
  <si>
    <t>งานบันได ชั้น 1</t>
  </si>
  <si>
    <t>งานโครงสร้าง คสล. ชั้นที่ 2</t>
  </si>
  <si>
    <t>1.2.1</t>
  </si>
  <si>
    <t>งานพื้นชั้น 2</t>
  </si>
  <si>
    <t xml:space="preserve">- ระบบพื้น Post-Tension </t>
  </si>
  <si>
    <t>1.2.2</t>
  </si>
  <si>
    <t>งานคานชั้น 2</t>
  </si>
  <si>
    <t>1.2.3</t>
  </si>
  <si>
    <t>งานเสาชั้น 2</t>
  </si>
  <si>
    <t>1.2.4</t>
  </si>
  <si>
    <t>1.2.5</t>
  </si>
  <si>
    <t>งานบันได ชั้น 2</t>
  </si>
  <si>
    <t>งานโครงสร้าง คสล. ชั้นที่ 3</t>
  </si>
  <si>
    <t>1.3.1</t>
  </si>
  <si>
    <t>งานพื้นชั้น 3</t>
  </si>
  <si>
    <t>1.3.2</t>
  </si>
  <si>
    <t>งานคานชั้น 3</t>
  </si>
  <si>
    <t>1.3.3</t>
  </si>
  <si>
    <t>งานเสาชั้น 3</t>
  </si>
  <si>
    <t>1.3.4</t>
  </si>
  <si>
    <t>1.3.5</t>
  </si>
  <si>
    <t>งานบันได ชั้น 3</t>
  </si>
  <si>
    <t>งานโครงสร้าง คสล. ชั้นที่ 4</t>
  </si>
  <si>
    <t>1.4.1</t>
  </si>
  <si>
    <t>งานพื้นชั้น 4</t>
  </si>
  <si>
    <t>1.4.2</t>
  </si>
  <si>
    <t>งานคานชั้น 4</t>
  </si>
  <si>
    <t>1.4.3</t>
  </si>
  <si>
    <t>งานเสาชั้น 4</t>
  </si>
  <si>
    <t>1.4.4</t>
  </si>
  <si>
    <t>1.4.5</t>
  </si>
  <si>
    <t>งานบันได ชั้น 4</t>
  </si>
  <si>
    <t>งานโครงสร้าง คสล. ชั้นที่ 5</t>
  </si>
  <si>
    <t>1.5.1</t>
  </si>
  <si>
    <t>งานพื้นชั้น 5</t>
  </si>
  <si>
    <t>1.5.2</t>
  </si>
  <si>
    <t>งานคานชั้น 5</t>
  </si>
  <si>
    <t>1.5.3</t>
  </si>
  <si>
    <t>งานเสาชั้น 5</t>
  </si>
  <si>
    <t>1.5.4</t>
  </si>
  <si>
    <t>1.5.5</t>
  </si>
  <si>
    <t>งานบันได ชั้น 5</t>
  </si>
  <si>
    <t>งานโครงสร้าง คสล. ชั้นที่ 6</t>
  </si>
  <si>
    <t>1.6.1</t>
  </si>
  <si>
    <t>งานพื้นชั้น 6</t>
  </si>
  <si>
    <t>1.6.2</t>
  </si>
  <si>
    <t>งานคานชั้น 6</t>
  </si>
  <si>
    <t>1.6.3</t>
  </si>
  <si>
    <t>งานเสาชั้น 6</t>
  </si>
  <si>
    <t>1.6.4</t>
  </si>
  <si>
    <t>1.6.5</t>
  </si>
  <si>
    <t>งานบันได ชั้น 6</t>
  </si>
  <si>
    <t>งานโครงสร้าง คสล. ชั้นที่ 7</t>
  </si>
  <si>
    <t>1.7.1</t>
  </si>
  <si>
    <t>งานพื้นชั้น 7</t>
  </si>
  <si>
    <t>1.7.2</t>
  </si>
  <si>
    <t>งานคานชั้น 7</t>
  </si>
  <si>
    <t>1.7.3</t>
  </si>
  <si>
    <t>งานเสาชั้น 7</t>
  </si>
  <si>
    <t>1.7.4</t>
  </si>
  <si>
    <t>1.7.5</t>
  </si>
  <si>
    <t>งานบันได ชั้น 7</t>
  </si>
  <si>
    <t>งานโครงสร้าง คสล. ชั้นที่ 8</t>
  </si>
  <si>
    <t>1.8.1</t>
  </si>
  <si>
    <t>งานพื้นชั้น 8</t>
  </si>
  <si>
    <t>1.8.2</t>
  </si>
  <si>
    <t>งานคานชั้น 8</t>
  </si>
  <si>
    <t>1.8.3</t>
  </si>
  <si>
    <t>งานเสาชั้น 8</t>
  </si>
  <si>
    <t>1.8.4</t>
  </si>
  <si>
    <t>1.8.5</t>
  </si>
  <si>
    <t>งานบันได ชั้น 8</t>
  </si>
  <si>
    <t>1.9</t>
  </si>
  <si>
    <t>งานโครงสร้าง คสล. ชั้นที่ 9</t>
  </si>
  <si>
    <t>1.9.1</t>
  </si>
  <si>
    <t>งานพื้นชั้น 9</t>
  </si>
  <si>
    <t>1.9.2</t>
  </si>
  <si>
    <t>งานคานชั้น 9</t>
  </si>
  <si>
    <t>1.9.3</t>
  </si>
  <si>
    <t>งานเสาชั้น 9</t>
  </si>
  <si>
    <t>1.9.4</t>
  </si>
  <si>
    <t>1.9.5</t>
  </si>
  <si>
    <t>งานบันได ชั้น 9</t>
  </si>
  <si>
    <t>1.10</t>
  </si>
  <si>
    <t>งานโครงสร้าง คสล. ชั้นที่ 10</t>
  </si>
  <si>
    <t>1.10.1</t>
  </si>
  <si>
    <t>งานพื้นชั้น 10</t>
  </si>
  <si>
    <t>1.10.2</t>
  </si>
  <si>
    <t>งานคานชั้น 10</t>
  </si>
  <si>
    <t>1.10.3</t>
  </si>
  <si>
    <t>งานเสาชั้น 10</t>
  </si>
  <si>
    <t>1.10.4</t>
  </si>
  <si>
    <t>1.10.5</t>
  </si>
  <si>
    <t>งานบันได ชั้น 10</t>
  </si>
  <si>
    <t>1.11</t>
  </si>
  <si>
    <t>งานโครงสร้าง คสล. ชั้นที่ 11</t>
  </si>
  <si>
    <t>1.11.1</t>
  </si>
  <si>
    <t>งานพื้นชั้น 11</t>
  </si>
  <si>
    <t>1.11.2</t>
  </si>
  <si>
    <t>งานคานชั้น 11</t>
  </si>
  <si>
    <t>1.11.3</t>
  </si>
  <si>
    <t>งานเสาชั้น 11</t>
  </si>
  <si>
    <t>1.11.4</t>
  </si>
  <si>
    <t>1.11.5</t>
  </si>
  <si>
    <t>งานบันได ชั้น 11</t>
  </si>
  <si>
    <t>1.12</t>
  </si>
  <si>
    <t>งานโครงสร้าง คสล. ชั้นหลังคา</t>
  </si>
  <si>
    <t>1.12.1</t>
  </si>
  <si>
    <t>งานพื้นชั้นหลังคา</t>
  </si>
  <si>
    <t>- งานคอนกรีตโครงสร้าง 350 ksc.(Cylinder) ผสมกันซึม</t>
  </si>
  <si>
    <t>1.12.2</t>
  </si>
  <si>
    <t>งานคานชั้นหลังคา</t>
  </si>
  <si>
    <t>1.12.3</t>
  </si>
  <si>
    <t>งานเสาชั้นหลังคา</t>
  </si>
  <si>
    <t>1.12.4</t>
  </si>
  <si>
    <t>งานผนังรางน้ำ และผนังถังเก็บน้ำ ชั้นดาดฟ้า</t>
  </si>
  <si>
    <t>1.13</t>
  </si>
  <si>
    <t>งานโครงสร้าง คสล. ชั้นคลุมหลังคา</t>
  </si>
  <si>
    <t>1.13.1</t>
  </si>
  <si>
    <t>งานพื้นชั้นคลุมหลังคา</t>
  </si>
  <si>
    <t>1.13.2</t>
  </si>
  <si>
    <t>งานคานชั้นคลุมหลังคา</t>
  </si>
  <si>
    <t>1.14</t>
  </si>
  <si>
    <t>งานโครงสร้างเหล็กรูปพรรณ (รวมค่าเชื่อมประกอบและการยกติดตั้ง)</t>
  </si>
  <si>
    <t xml:space="preserve">   - งานโครงหลังคาเหล็ก คลุมช่องเปิด</t>
  </si>
  <si>
    <r>
      <rPr>
        <sz val="14"/>
        <color theme="1"/>
        <rFont val="AIGDT"/>
        <charset val="2"/>
      </rPr>
      <t>o</t>
    </r>
    <r>
      <rPr>
        <sz val="14"/>
        <color theme="1"/>
        <rFont val="TH Sarabun New"/>
        <family val="2"/>
      </rPr>
      <t xml:space="preserve"> 75x75x3.2mm</t>
    </r>
  </si>
  <si>
    <r>
      <rPr>
        <sz val="14"/>
        <color theme="1"/>
        <rFont val="AIGDT"/>
        <charset val="2"/>
      </rPr>
      <t>o</t>
    </r>
    <r>
      <rPr>
        <sz val="14"/>
        <color theme="1"/>
        <rFont val="TH Sarabun New"/>
        <family val="2"/>
      </rPr>
      <t xml:space="preserve"> 100x100x4.5mm</t>
    </r>
  </si>
  <si>
    <t>H 250x250x72.4 kg/m</t>
  </si>
  <si>
    <t>H 100x100x17.2 kg/m</t>
  </si>
  <si>
    <t>H 300x150x36.7 kg/m</t>
  </si>
  <si>
    <t>C 125x50x20x3.2mm</t>
  </si>
  <si>
    <t>C 200x75x20x3.2mm</t>
  </si>
  <si>
    <t>L 50x50x5mm.</t>
  </si>
  <si>
    <t>L 100x100x7mm</t>
  </si>
  <si>
    <t>Bolt 10 mm.</t>
  </si>
  <si>
    <t>J Bolt 16 mm.</t>
  </si>
  <si>
    <t>1.15</t>
  </si>
  <si>
    <t>1.15.1</t>
  </si>
  <si>
    <t>งานกระบะต้นไม้</t>
  </si>
  <si>
    <t>งานระบบสุขาภิบาล</t>
  </si>
  <si>
    <t>งานระบบดับเพลิงและป้องกันอัคคีภัย</t>
  </si>
  <si>
    <t>งานระบบโทรทัศน์วงจรปิด</t>
  </si>
  <si>
    <t>งานระบบลิฟต์และบันไดเลื่อน (Lift &amp; Escalator System)</t>
  </si>
  <si>
    <t>งานผนังลิฟต์และบันได ชั้น 1</t>
  </si>
  <si>
    <t>งานผนังลิฟต์และบันได ชั้น 2</t>
  </si>
  <si>
    <t>งานผนังลิฟต์และบันได ชั้น 3</t>
  </si>
  <si>
    <t>งานผนังลิฟต์และบันได ชั้น 4</t>
  </si>
  <si>
    <t>งานผนังลิฟต์และบันได ชั้น 5</t>
  </si>
  <si>
    <t>งานผนังลิฟต์และบันได ชั้น 6</t>
  </si>
  <si>
    <t>งานผนังลิฟต์และบันได ชั้น 7</t>
  </si>
  <si>
    <t>งานผนังลิฟต์และบันได ชั้น 8</t>
  </si>
  <si>
    <t>งานผนังลิฟต์และบันได ชั้น 9</t>
  </si>
  <si>
    <t>งานผนังลิฟต์และบันได ชั้น 10</t>
  </si>
  <si>
    <t>งานผนังลิฟต์และบันได ชั้น 11</t>
  </si>
  <si>
    <t>งานผนังลิฟต์ ผนังบันได</t>
  </si>
  <si>
    <t xml:space="preserve">   - SD40-DB 10mm.</t>
  </si>
  <si>
    <t>Steel Plate 12 mm. Thickness</t>
  </si>
  <si>
    <t>Steel Plate 16 mm. Thickness</t>
  </si>
  <si>
    <t>Steel Plate 20 mm. Thickness</t>
  </si>
  <si>
    <t>ผนังทาสีACRYLIC 100% สำหรับภายใน</t>
  </si>
  <si>
    <t>งานทาสีโครงสร้างโครงเหล็กรับหลังคา</t>
  </si>
  <si>
    <t>INT</t>
  </si>
  <si>
    <t>WW.8</t>
  </si>
  <si>
    <t>WW.9</t>
  </si>
  <si>
    <t>WDF.3</t>
  </si>
  <si>
    <t>เพิ่มเติม 20/01/2021</t>
  </si>
  <si>
    <t>เพิ่มเติม 22/01/2021</t>
  </si>
  <si>
    <t>เพิ่มเติม 22/01/2022</t>
  </si>
  <si>
    <t>WWA.28.2</t>
  </si>
  <si>
    <t>เพิ่มเติม 22/01/2023</t>
  </si>
  <si>
    <t>WWA.28.3</t>
  </si>
  <si>
    <t>เพิ่มเติม 22/01/2024</t>
  </si>
  <si>
    <t>WWA.28.4</t>
  </si>
  <si>
    <t>เพิ่มเติม 22/01/2025</t>
  </si>
  <si>
    <t>WWA.28.5</t>
  </si>
  <si>
    <t>เพิ่มเติม 22/01/2026</t>
  </si>
  <si>
    <t>WWA.28.6</t>
  </si>
  <si>
    <t>เพิ่มเติม 22/01/2027</t>
  </si>
  <si>
    <t>WWA.28.7</t>
  </si>
  <si>
    <t>เพิ่มเติม 22/01/2028</t>
  </si>
  <si>
    <t xml:space="preserve">   ค่าเช่า 120,000 บาท/เดือน/ตัว เป็นเงิน 120,000 x 18 x 2 = 4,320,000 บาท</t>
  </si>
  <si>
    <t xml:space="preserve">   ค่าเช่า 80,000 บาท/เดือน/ตัว เป็นเงิน 80,000 x 18 x 1 = 1,440,000 บาท</t>
  </si>
  <si>
    <t>เป็นเงิน = 12,000x7x18 = 1,512,000 บาท</t>
  </si>
  <si>
    <t>1 เหมา</t>
  </si>
  <si>
    <t>สัญญาก่อสร้างอาคารทิศตะวันตก (ส่วนงานโครงสร้าง งานสถาปัตยกรรม และงานระบบหลัก)</t>
  </si>
  <si>
    <t>ห้องน้ำ</t>
  </si>
  <si>
    <t xml:space="preserve">ห้องเก็บอุปกรณ์ </t>
  </si>
  <si>
    <t xml:space="preserve">ห้องน้ำ </t>
  </si>
  <si>
    <t>ห้องน้ำชาย WT-01</t>
  </si>
  <si>
    <t>ห้องน้ำหญิง WT-01</t>
  </si>
  <si>
    <t>ห้องน้ำผู้พิการ WT-01</t>
  </si>
  <si>
    <t>ห้องน้ำชาย WT-02</t>
  </si>
  <si>
    <t>กระจกเงาแต่งตัว หนา 6 มม. กรอบ S/S HAIRLINE กว้าง 20 มม.</t>
  </si>
  <si>
    <t>ห้องน้ำหญิง WT-02</t>
  </si>
  <si>
    <t>ห้องน้ำผู้พิการ WT-02</t>
  </si>
  <si>
    <t>รวมราคารายการที่ 2.6</t>
  </si>
  <si>
    <t xml:space="preserve">LIGMAN - NORDSTROM 4 NOD-50032-N-40-DMXRDM Surface mounted LED RGBW uplight with </t>
  </si>
  <si>
    <t>aluminum body and integrated LED driver. IP65.</t>
  </si>
  <si>
    <t>DMX Surface mounted LED RGBW uplight with aluminum body and integrated LED driver. IP65.</t>
  </si>
  <si>
    <t>PHILIPS - UniDot G2 9LED RGBNW OSC DMX RGBW LED node with DMX controller. IP65.</t>
  </si>
  <si>
    <t>Computer + Mornitor + Control  RGBW LED node with DMX controller. IP65.</t>
  </si>
  <si>
    <t xml:space="preserve">OSRAM - Archishape MINI Surface mounted LED linear floodlight with aluminum body and </t>
  </si>
  <si>
    <t xml:space="preserve">remote LED driver. IP65. </t>
  </si>
  <si>
    <t>Surface mounted LED linear floodlight with aluminum body and remote LED driver. IP65.</t>
  </si>
  <si>
    <t xml:space="preserve">ILLUSPACE - 1LDRR013-IP  Ceiling recessed LED downlight with aluminum body and remote </t>
  </si>
  <si>
    <t>LED driver. IP54.</t>
  </si>
  <si>
    <t>2.10.30</t>
  </si>
  <si>
    <t>Joint Cover 1(รอยต่อหลังคา)</t>
  </si>
  <si>
    <t>ห้องเก็บอุปกรณ์  WT-03</t>
  </si>
  <si>
    <t>กลุ่มงานที่ 1 / หมวดงานระบบไฟฟ้า และสื่อสาร</t>
  </si>
  <si>
    <t>งานระบบไฟฟ้าและสื่อสาร (Main Equipment)</t>
  </si>
  <si>
    <t>Main Incoming &amp; HV Routing</t>
  </si>
  <si>
    <t>3.1.1</t>
  </si>
  <si>
    <t>สายไฟฟ้าแรงสูง (HV Cable)</t>
  </si>
  <si>
    <t>3.1.1.1</t>
  </si>
  <si>
    <t>สายไฟฟ้าแรงสูงชนิด 25KV Cu XLPE Cable</t>
  </si>
  <si>
    <r>
      <t xml:space="preserve">   - 50   มม</t>
    </r>
    <r>
      <rPr>
        <sz val="14"/>
        <rFont val="Times New Roman"/>
        <family val="1"/>
        <charset val="222"/>
      </rPr>
      <t>²</t>
    </r>
  </si>
  <si>
    <r>
      <t xml:space="preserve">   - 70   มม</t>
    </r>
    <r>
      <rPr>
        <sz val="14"/>
        <rFont val="Times New Roman"/>
        <family val="1"/>
        <charset val="222"/>
      </rPr>
      <t>²</t>
    </r>
  </si>
  <si>
    <r>
      <t xml:space="preserve">   - 120   มม</t>
    </r>
    <r>
      <rPr>
        <sz val="14"/>
        <rFont val="Times New Roman"/>
        <family val="1"/>
        <charset val="222"/>
      </rPr>
      <t>²</t>
    </r>
  </si>
  <si>
    <t xml:space="preserve">  -  Accessories</t>
  </si>
  <si>
    <t>ls</t>
  </si>
  <si>
    <t>3.1.4</t>
  </si>
  <si>
    <t>RSC Conduit</t>
  </si>
  <si>
    <t xml:space="preserve">   -   125  มม. Ø</t>
  </si>
  <si>
    <t xml:space="preserve">   -  Fitting, Hanger &amp; support</t>
  </si>
  <si>
    <t>3.1.5</t>
  </si>
  <si>
    <t>ท่อร้อยสายไฟฟ้าชนิด IMC (IMC Conduit)</t>
  </si>
  <si>
    <t xml:space="preserve">   -   100  มม. Ø</t>
  </si>
  <si>
    <t>3.1.6</t>
  </si>
  <si>
    <t>HV Cable Terminator (Indoor)</t>
  </si>
  <si>
    <r>
      <t xml:space="preserve">   -  50   มม</t>
    </r>
    <r>
      <rPr>
        <sz val="14"/>
        <rFont val="Times New Roman"/>
        <family val="1"/>
        <charset val="222"/>
      </rPr>
      <t>²</t>
    </r>
  </si>
  <si>
    <r>
      <t xml:space="preserve">   -  70   มม</t>
    </r>
    <r>
      <rPr>
        <sz val="14"/>
        <rFont val="Times New Roman"/>
        <family val="1"/>
        <charset val="222"/>
      </rPr>
      <t>²</t>
    </r>
  </si>
  <si>
    <r>
      <t xml:space="preserve">   - 240   มม</t>
    </r>
    <r>
      <rPr>
        <sz val="14"/>
        <rFont val="Times New Roman"/>
        <family val="1"/>
        <charset val="222"/>
      </rPr>
      <t>²</t>
    </r>
  </si>
  <si>
    <t>อื่นๆ ถ้ามี (ให้ระบุรายละเอียด)</t>
  </si>
  <si>
    <t xml:space="preserve">   - </t>
  </si>
  <si>
    <t>3.2</t>
  </si>
  <si>
    <t>สวิทช์เกียร์แรงสูง (HV Switchgear)</t>
  </si>
  <si>
    <t>3.2.1</t>
  </si>
  <si>
    <t xml:space="preserve">W-HV1 (2-In LB., 2-Out CB) </t>
  </si>
  <si>
    <t>3.2.2</t>
  </si>
  <si>
    <t xml:space="preserve">W-HV2 (2-In LB., 2-Out CB) </t>
  </si>
  <si>
    <t>3.2.3</t>
  </si>
  <si>
    <t xml:space="preserve">Concrete Foundation </t>
  </si>
  <si>
    <t>หม้อแปลงไฟฟ้า (Transformer)</t>
  </si>
  <si>
    <t>3.3.1</t>
  </si>
  <si>
    <t>Dry Type 24 kV//400/230</t>
  </si>
  <si>
    <t xml:space="preserve">   -   W-TR1 2,000 KVA w/ Enclosure &amp; Acc.</t>
  </si>
  <si>
    <t xml:space="preserve">   -   W-TR2 2,000 KVA w/ Enclosure &amp; Acc.</t>
  </si>
  <si>
    <t xml:space="preserve">   -   W-TRC1 2,000 KVA w/ Enclosure &amp; Acc.</t>
  </si>
  <si>
    <t>3.3.3</t>
  </si>
  <si>
    <t>แผงเมนไฟฟ้าปกติ (Main Distribution Board)</t>
  </si>
  <si>
    <t>3.4.1</t>
  </si>
  <si>
    <t>W-MDB1 (สำนักงานศาลปกครองสูงสุด)</t>
  </si>
  <si>
    <t>3.4.1.1</t>
  </si>
  <si>
    <t>CB, IC ≥ 50 kA</t>
  </si>
  <si>
    <t xml:space="preserve">   - MCCB 3P, 100A. </t>
  </si>
  <si>
    <t xml:space="preserve">   - ACB 3P, 2000A. </t>
  </si>
  <si>
    <t xml:space="preserve">   - ACB 4P, 3200A. </t>
  </si>
  <si>
    <t>3.4.1.2</t>
  </si>
  <si>
    <t>อุปกรณ์เครื่องวัด (Metering)</t>
  </si>
  <si>
    <t xml:space="preserve">   - CT  3200/5A</t>
  </si>
  <si>
    <t xml:space="preserve">   - Pilot Lamp</t>
  </si>
  <si>
    <t xml:space="preserve">   - ฟิวส์ควบคุม (Control Fuse)</t>
  </si>
  <si>
    <t xml:space="preserve">   - HRC Fuse</t>
  </si>
  <si>
    <t>3.4.1.3</t>
  </si>
  <si>
    <t>Digital Meter (For Main)</t>
  </si>
  <si>
    <t>Lightning &amp; Surge Arrester (Class I+II) (B+C)</t>
  </si>
  <si>
    <t>ตู้ไฟฟ้าและอุปกรณ์ประกอบ (Cubicle w/ Busbar &amp; Acc.)</t>
  </si>
  <si>
    <t xml:space="preserve">   - 100 A Contactor</t>
  </si>
  <si>
    <t xml:space="preserve">   - 100A Fuse</t>
  </si>
  <si>
    <t xml:space="preserve">   - Reactor 6 %</t>
  </si>
  <si>
    <t xml:space="preserve">   - KVAR Controller 12 Steps</t>
  </si>
  <si>
    <t xml:space="preserve">   - ตู้ไฟฟ้าและอุปกรณ์ประกอบ (Cubicle w/ Busbar &amp; Acc.)</t>
  </si>
  <si>
    <t xml:space="preserve">   - Concrete Foundation </t>
  </si>
  <si>
    <t>3.4.2</t>
  </si>
  <si>
    <t>W-MDB2 (สำนักงานศาลปกครองสูงสุด)</t>
  </si>
  <si>
    <t xml:space="preserve">   - ACB 3P, 800A. </t>
  </si>
  <si>
    <t xml:space="preserve">   - ACB 4P, 800A. </t>
  </si>
  <si>
    <t xml:space="preserve">   - ACB 3P, 1000A. </t>
  </si>
  <si>
    <t>Lightning &amp; Surge Arrester (Class I+II,B+C)</t>
  </si>
  <si>
    <t>3.4.3</t>
  </si>
  <si>
    <t>W-MDBC1 (ส่วนกลาง CORE W1, W2)</t>
  </si>
  <si>
    <t xml:space="preserve">   - MCCB 3P, 250A. </t>
  </si>
  <si>
    <t xml:space="preserve">   - ACB 3P, 1250A. </t>
  </si>
  <si>
    <t xml:space="preserve">   - ACB 3P, 3200A. </t>
  </si>
  <si>
    <t>Digital Meter</t>
  </si>
  <si>
    <t>Connection Busbar</t>
  </si>
  <si>
    <t xml:space="preserve">   - Busbar Connection Form Busduct To CB 800A</t>
  </si>
  <si>
    <t xml:space="preserve">   - Busbar Connection Form Busduct To CB 1000A</t>
  </si>
  <si>
    <t xml:space="preserve">   - Busbar Connection Form Busduct To CB 1250A</t>
  </si>
  <si>
    <t xml:space="preserve">   - Busbar Connection Form Busduct To CB 1600A</t>
  </si>
  <si>
    <t xml:space="preserve">   - Busbar Connection Form Busduct To CB 2000A</t>
  </si>
  <si>
    <t xml:space="preserve">   - Busbar Connection Form Busduct To CB 2500A</t>
  </si>
  <si>
    <t xml:space="preserve">   - Busbar Connection Form Busduct To CB 3200A</t>
  </si>
  <si>
    <t xml:space="preserve">   - Copper Busbar And Accessries</t>
  </si>
  <si>
    <t xml:space="preserve">   - Flexible Busbar</t>
  </si>
  <si>
    <t>แผงเมนไฟฟ้าฉุกเฉิน (Essential Main Distribution Board)</t>
  </si>
  <si>
    <t>3.5.1</t>
  </si>
  <si>
    <t>W-EMDB1 (สำนักงานศาลปกครองสูงสุด)</t>
  </si>
  <si>
    <t>3.5.1.1</t>
  </si>
  <si>
    <t xml:space="preserve">   - MCCB 3P, 50A. </t>
  </si>
  <si>
    <t xml:space="preserve">   - MCCB 3P, 125A. </t>
  </si>
  <si>
    <t xml:space="preserve">   - MCCB 3P, 160A. </t>
  </si>
  <si>
    <t xml:space="preserve">   - MCCB 3P, 200A. </t>
  </si>
  <si>
    <t xml:space="preserve">   - MCCB 3P, 400A. </t>
  </si>
  <si>
    <t xml:space="preserve">   - MCCB 3P, 500A. </t>
  </si>
  <si>
    <t xml:space="preserve">   - ATS 4P, 800A. </t>
  </si>
  <si>
    <t>3.5.1.2</t>
  </si>
  <si>
    <t xml:space="preserve">   - CT  800/5A</t>
  </si>
  <si>
    <t>3.5.1.3</t>
  </si>
  <si>
    <t>3.5.1.4</t>
  </si>
  <si>
    <t>Surge Arrester (Class II,C)</t>
  </si>
  <si>
    <t>3.5.1.7</t>
  </si>
  <si>
    <t>3.5.2</t>
  </si>
  <si>
    <t>W-EMDBC1(ส่วนกลาง CORE W1, W2)</t>
  </si>
  <si>
    <t>3.5.2.1</t>
  </si>
  <si>
    <t xml:space="preserve">   - ATS 4P, 1250A. </t>
  </si>
  <si>
    <t>3.5.2.2</t>
  </si>
  <si>
    <t xml:space="preserve">   - CT  1250/5A</t>
  </si>
  <si>
    <t>3.5.2.3</t>
  </si>
  <si>
    <t>3.5.2.4</t>
  </si>
  <si>
    <t>3.5.2.7</t>
  </si>
  <si>
    <t>Distribution Board</t>
  </si>
  <si>
    <t>3.6.1</t>
  </si>
  <si>
    <t>W1-1D1</t>
  </si>
  <si>
    <t>3.6.1.1</t>
  </si>
  <si>
    <t>CB, IC ≥ 25 kA</t>
  </si>
  <si>
    <t xml:space="preserve">   - MCCB 3P, 16A.</t>
  </si>
  <si>
    <t xml:space="preserve">   - MCCB 3P, 20A.</t>
  </si>
  <si>
    <t xml:space="preserve">   - MCCB 3P, 32A.</t>
  </si>
  <si>
    <t xml:space="preserve">   - MCCB 3P, 40A.</t>
  </si>
  <si>
    <t xml:space="preserve">   - MCCB 3P, 50A.</t>
  </si>
  <si>
    <t xml:space="preserve">   - MCCB 3P, 63A.</t>
  </si>
  <si>
    <t xml:space="preserve">   - MCCB 3P, 100A.</t>
  </si>
  <si>
    <t xml:space="preserve">   - MCCB 3P, 125A.</t>
  </si>
  <si>
    <t xml:space="preserve">   - MCCB 3P, 150A.</t>
  </si>
  <si>
    <t xml:space="preserve">   - MCCB 3P, 200A.</t>
  </si>
  <si>
    <t xml:space="preserve">   - MCCB 3P, 320A.</t>
  </si>
  <si>
    <t>3.6.1.2</t>
  </si>
  <si>
    <t xml:space="preserve">   - CT  200/5A</t>
  </si>
  <si>
    <t xml:space="preserve">   -  Digital Meter</t>
  </si>
  <si>
    <t>3.6.1.3</t>
  </si>
  <si>
    <t xml:space="preserve">ตู้ไฟฟ้าและอุปกรณ์ประกอบ (Cubicle w/ Busbar &amp; Acc.) </t>
  </si>
  <si>
    <t>W1-2D1</t>
  </si>
  <si>
    <t xml:space="preserve">   - CT  320/5A</t>
  </si>
  <si>
    <t>3.6.2</t>
  </si>
  <si>
    <t>W1-3D1</t>
  </si>
  <si>
    <t>3.6.2.1</t>
  </si>
  <si>
    <t>3.6.2.2</t>
  </si>
  <si>
    <t>3.6.2.3</t>
  </si>
  <si>
    <t>3.6.3</t>
  </si>
  <si>
    <t>W1-4D1</t>
  </si>
  <si>
    <t>W1-5D1</t>
  </si>
  <si>
    <t>W1-6D1</t>
  </si>
  <si>
    <t>W1-7D1</t>
  </si>
  <si>
    <t>W1-8D1</t>
  </si>
  <si>
    <t>W1-9D1</t>
  </si>
  <si>
    <t>W1-10D1</t>
  </si>
  <si>
    <t>W1-11D1</t>
  </si>
  <si>
    <t>W2-1D1</t>
  </si>
  <si>
    <t>W2-2D1</t>
  </si>
  <si>
    <t>W2-3D1</t>
  </si>
  <si>
    <t>W2-4D1</t>
  </si>
  <si>
    <t>W2-5D1</t>
  </si>
  <si>
    <t>W2-6D1</t>
  </si>
  <si>
    <t>W2-7D1</t>
  </si>
  <si>
    <t>W2-8D1</t>
  </si>
  <si>
    <t>W2-9D1</t>
  </si>
  <si>
    <t>W2-10D1</t>
  </si>
  <si>
    <t>W2-11D1</t>
  </si>
  <si>
    <t>Essential Distribution Board</t>
  </si>
  <si>
    <t>3.7.1</t>
  </si>
  <si>
    <t>W1-B1EDC1</t>
  </si>
  <si>
    <t xml:space="preserve">   - MCCB 3P, 80A.</t>
  </si>
  <si>
    <t xml:space="preserve">   - MCCB 3P, 160A.</t>
  </si>
  <si>
    <t xml:space="preserve">   - MCCB 3P, 175A.</t>
  </si>
  <si>
    <t xml:space="preserve">   - MCCB 3P, 225A.</t>
  </si>
  <si>
    <t xml:space="preserve">   - MCCB 3P, 250A.</t>
  </si>
  <si>
    <t xml:space="preserve">   - MCCB 3P, 400A.</t>
  </si>
  <si>
    <t xml:space="preserve">   - MCCB 3P, 500A.</t>
  </si>
  <si>
    <t>W1-B1EDC2</t>
  </si>
  <si>
    <t xml:space="preserve">   - CT  500/5A</t>
  </si>
  <si>
    <t>W1-1ED1</t>
  </si>
  <si>
    <t xml:space="preserve">   - CT  100/5A</t>
  </si>
  <si>
    <t>3.7.2</t>
  </si>
  <si>
    <t>W1-3ED1</t>
  </si>
  <si>
    <t>3.7.3</t>
  </si>
  <si>
    <t>W1-6ED1</t>
  </si>
  <si>
    <t>3.7.4</t>
  </si>
  <si>
    <t>W1-9ED1</t>
  </si>
  <si>
    <t xml:space="preserve">   - CT  160/5A</t>
  </si>
  <si>
    <t>W1-REDC1</t>
  </si>
  <si>
    <t xml:space="preserve">   - CT  400/5A</t>
  </si>
  <si>
    <t>W1-REDC2</t>
  </si>
  <si>
    <t>W2-B1EDC1</t>
  </si>
  <si>
    <t>W2-B1EDC2</t>
  </si>
  <si>
    <t>3.7.5</t>
  </si>
  <si>
    <t>W2-1ED1</t>
  </si>
  <si>
    <t>3.7.6</t>
  </si>
  <si>
    <t>W2-3ED1</t>
  </si>
  <si>
    <t>3.7.7</t>
  </si>
  <si>
    <t>W2-6ED1</t>
  </si>
  <si>
    <t>3.7.8</t>
  </si>
  <si>
    <t>W2-9ED1</t>
  </si>
  <si>
    <t>W2-REDC1</t>
  </si>
  <si>
    <t>W2-REDC2</t>
  </si>
  <si>
    <t>3.8</t>
  </si>
  <si>
    <t>Busduct</t>
  </si>
  <si>
    <t>3.8.1</t>
  </si>
  <si>
    <t>Al Busduct, Feeder</t>
  </si>
  <si>
    <t xml:space="preserve">   -  800A</t>
  </si>
  <si>
    <t xml:space="preserve">   - 1000A</t>
  </si>
  <si>
    <t xml:space="preserve">   - 1250A</t>
  </si>
  <si>
    <t xml:space="preserve">   - 2500A</t>
  </si>
  <si>
    <t xml:space="preserve">   - 3200A</t>
  </si>
  <si>
    <t>3.8.2</t>
  </si>
  <si>
    <t>Al Busduct, Plug-In</t>
  </si>
  <si>
    <t>3.8.3</t>
  </si>
  <si>
    <t>Plug-In Unit</t>
  </si>
  <si>
    <r>
      <t xml:space="preserve">   - w/ 3P CB  100A,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</si>
  <si>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150A,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</si>
  <si>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200A,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</si>
  <si>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250A,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</si>
  <si>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320A,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</si>
  <si>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400A,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</si>
  <si>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t>3.8.4</t>
  </si>
  <si>
    <t>Hangers ,Supports &amp; Accessories</t>
  </si>
  <si>
    <t>3.9</t>
  </si>
  <si>
    <t>สายไฟฟ้า (Cable &amp; Wire)</t>
  </si>
  <si>
    <t>3.9.1</t>
  </si>
  <si>
    <t>สายป้อน Main Feeder</t>
  </si>
  <si>
    <t>สายไฟฟ้าชนิด IEC 01 (Main Feeder)</t>
  </si>
  <si>
    <t xml:space="preserve">   -    4   มม²</t>
  </si>
  <si>
    <t xml:space="preserve">   -    6   มม²</t>
  </si>
  <si>
    <t xml:space="preserve">   -  10   มม²</t>
  </si>
  <si>
    <t xml:space="preserve">   -  16   มม²</t>
  </si>
  <si>
    <t xml:space="preserve">   -  25   มม²</t>
  </si>
  <si>
    <t xml:space="preserve">   -  35   มม²</t>
  </si>
  <si>
    <t xml:space="preserve">   -  50   มม²</t>
  </si>
  <si>
    <t xml:space="preserve">   -  70   มม²</t>
  </si>
  <si>
    <t xml:space="preserve">   -  95   มม²</t>
  </si>
  <si>
    <t xml:space="preserve">   - 120   มม²</t>
  </si>
  <si>
    <t xml:space="preserve">   - 150   มม²</t>
  </si>
  <si>
    <t xml:space="preserve">   - 185   มม²</t>
  </si>
  <si>
    <t xml:space="preserve">   - 240   มม²</t>
  </si>
  <si>
    <t xml:space="preserve">   - 300   มม²</t>
  </si>
  <si>
    <t>สาย Low Smoke Cable (LSHF Cable)</t>
  </si>
  <si>
    <t>สายไฟฟ้าทนไฟ (Fire Resistant Cable)</t>
  </si>
  <si>
    <t>3.10</t>
  </si>
  <si>
    <t>รางเดินสายไฟฟ้า (Raceway)</t>
  </si>
  <si>
    <t>3.10.1</t>
  </si>
  <si>
    <t>ท่อ Main Feeder</t>
  </si>
  <si>
    <t xml:space="preserve">ท่อร้อยสายไฟฟ้าชนิด IMC (IMC Conduit) </t>
  </si>
  <si>
    <t xml:space="preserve">   -   25  มม. Ø</t>
  </si>
  <si>
    <t xml:space="preserve">   -   32  มม. Ø</t>
  </si>
  <si>
    <t xml:space="preserve">   -   40  มม. Ø</t>
  </si>
  <si>
    <t xml:space="preserve">   -   50  มม. Ø</t>
  </si>
  <si>
    <t xml:space="preserve">   -   65  มม. Ø</t>
  </si>
  <si>
    <t xml:space="preserve">   -   80  มม. Ø</t>
  </si>
  <si>
    <t>กล่องเดินสายไฟฟ้า (Wireway)</t>
  </si>
  <si>
    <t xml:space="preserve">   -  100 มม. x 100 มม.</t>
  </si>
  <si>
    <t xml:space="preserve">   -  300 มม. x 100 มม.</t>
  </si>
  <si>
    <t>Flexible Conduit Water Proof</t>
  </si>
  <si>
    <t>Two Wire Remote System</t>
  </si>
  <si>
    <t>3.11.1</t>
  </si>
  <si>
    <t>3.11.2</t>
  </si>
  <si>
    <t xml:space="preserve">   -   15  มม. Ø</t>
  </si>
  <si>
    <t>ระบบป้องกันฟ้าผ่าและระบบต่อลงดิน (Lightning Protection &amp; Grounding System)</t>
  </si>
  <si>
    <t>3.12.1</t>
  </si>
  <si>
    <t>Ground Rod</t>
  </si>
  <si>
    <t>3.12.2</t>
  </si>
  <si>
    <t>สายไฟฟ้าชนิด IEC 01</t>
  </si>
  <si>
    <r>
      <t xml:space="preserve">   -  95   มม</t>
    </r>
    <r>
      <rPr>
        <sz val="14"/>
        <rFont val="Times New Roman"/>
        <family val="1"/>
        <charset val="222"/>
      </rPr>
      <t>²</t>
    </r>
  </si>
  <si>
    <t>3.12.3</t>
  </si>
  <si>
    <t>Bare Copper Wire</t>
  </si>
  <si>
    <t>3.11.4</t>
  </si>
  <si>
    <t xml:space="preserve"> Galvanized Steel Tape 25 x 3 มม</t>
  </si>
  <si>
    <t>3.11.5</t>
  </si>
  <si>
    <t xml:space="preserve"> Copper Clad Steel 10 มม. Ø</t>
  </si>
  <si>
    <t>3.11.6</t>
  </si>
  <si>
    <t xml:space="preserve"> Galvanized Steel 10 มม. Ø</t>
  </si>
  <si>
    <t>Test Box</t>
  </si>
  <si>
    <t>Ground Bar</t>
  </si>
  <si>
    <t>Earth Pad</t>
  </si>
  <si>
    <t>Exothermic Weld</t>
  </si>
  <si>
    <t xml:space="preserve">   -   </t>
  </si>
  <si>
    <t>3.13</t>
  </si>
  <si>
    <t>ระบบสัญญาณแจ้งเหตุเพลิงไหม้ (Fire Alarm System)</t>
  </si>
  <si>
    <t>3.13.1</t>
  </si>
  <si>
    <t xml:space="preserve">Sub Fire Alarm Control Panel &amp; Power Supply Unit (W1-W2-SFCP1) </t>
  </si>
  <si>
    <t>3.13.2</t>
  </si>
  <si>
    <t>Graphic Annunciator</t>
  </si>
  <si>
    <t>3.13.3</t>
  </si>
  <si>
    <t>Amplifier</t>
  </si>
  <si>
    <t>3.13.4</t>
  </si>
  <si>
    <t>Console Desk</t>
  </si>
  <si>
    <t>3.13.5</t>
  </si>
  <si>
    <t xml:space="preserve">Testing &amp; Commissioning </t>
  </si>
  <si>
    <t>3.13.6</t>
  </si>
  <si>
    <t xml:space="preserve">   -  50 มม. x 100 มม.</t>
  </si>
  <si>
    <t xml:space="preserve">   -  Fitting Hanger &amp; support</t>
  </si>
  <si>
    <t>3.14</t>
  </si>
  <si>
    <t>ระบบสื่อสารข้อมูลคอมพิวเตอร์ (Data Net Work System)</t>
  </si>
  <si>
    <t>3.14.1</t>
  </si>
  <si>
    <t>Fiber Optic Rack (W1)</t>
  </si>
  <si>
    <t xml:space="preserve"> - Rack 19", 12 U</t>
  </si>
  <si>
    <t xml:space="preserve">  - Fiber Optic Patch Panel 24 Port</t>
  </si>
  <si>
    <t>3.14.2</t>
  </si>
  <si>
    <t>Fiber Optic Rack (W2)</t>
  </si>
  <si>
    <t>3.14.3</t>
  </si>
  <si>
    <t>Department Rack (W1-6DR1)</t>
  </si>
  <si>
    <t>3.14.4</t>
  </si>
  <si>
    <t>สายส่งข้อมูล (Cable &amp; Wire)</t>
  </si>
  <si>
    <t>Fiber Optic Cable</t>
  </si>
  <si>
    <t xml:space="preserve">  - 12 Core SINGLEMODE (OS2)</t>
  </si>
  <si>
    <t xml:space="preserve">  - 6 Core Multimode (OM3) </t>
  </si>
  <si>
    <t>3.14.5</t>
  </si>
  <si>
    <t xml:space="preserve">   -  200 มม. x 100 มม.</t>
  </si>
  <si>
    <t>3.14.6</t>
  </si>
  <si>
    <t>3.15</t>
  </si>
  <si>
    <t>ระบบเสียงและประกาศเรียก (Public Address System)</t>
  </si>
  <si>
    <t>3.15.1</t>
  </si>
  <si>
    <t xml:space="preserve">   - IEC53 4C-1.5 มม²</t>
  </si>
  <si>
    <t>3.15.2</t>
  </si>
  <si>
    <t>3.15.3</t>
  </si>
  <si>
    <t>3.15.4</t>
  </si>
  <si>
    <t>3.16</t>
  </si>
  <si>
    <t>ระบบควบคุมอาคารอัตโนมัติ (Building AutomationSystem (BMS)</t>
  </si>
  <si>
    <t>3.16.1</t>
  </si>
  <si>
    <t>3.16.2</t>
  </si>
  <si>
    <t>3.16.3</t>
  </si>
  <si>
    <t>3.16.4</t>
  </si>
  <si>
    <t xml:space="preserve">  - 12 Core Multimode </t>
  </si>
  <si>
    <t>3.16.5</t>
  </si>
  <si>
    <t>3.17</t>
  </si>
  <si>
    <t>ระบบควบคุมประตูอัตโนมัติ (Access Control System)</t>
  </si>
  <si>
    <t>3.17.1</t>
  </si>
  <si>
    <t>3.17.2</t>
  </si>
  <si>
    <t>3.17.3</t>
  </si>
  <si>
    <t>3.18</t>
  </si>
  <si>
    <t>ระบบป้องกันไฟและควันลาม (Fire Barrier System)</t>
  </si>
  <si>
    <t>งานระบบไฟฟ้าและสื่อสาร ชั้น B2</t>
  </si>
  <si>
    <t>3.1</t>
  </si>
  <si>
    <t>แผงสวิทช์ย่อยและเซอร์กิต เบรคเกอร์ (Panelboard &amp; CB)</t>
  </si>
  <si>
    <r>
      <t xml:space="preserve">Main CB, Panelboard (3 </t>
    </r>
    <r>
      <rPr>
        <b/>
        <sz val="9"/>
        <rFont val="Calibri"/>
        <family val="2"/>
      </rPr>
      <t>Ø</t>
    </r>
    <r>
      <rPr>
        <b/>
        <sz val="14"/>
        <rFont val="BrowalliaUPC"/>
        <family val="2"/>
        <charset val="222"/>
      </rPr>
      <t>, 4 Wires)</t>
    </r>
  </si>
  <si>
    <t>W1-B2EPC1, 100A 30 CCT.</t>
  </si>
  <si>
    <t xml:space="preserve">   -    MCCB 3P, 80A Main</t>
  </si>
  <si>
    <t xml:space="preserve">   -    MCCB 1P, 16A</t>
  </si>
  <si>
    <t xml:space="preserve">   -    MCCB 1P, 20A</t>
  </si>
  <si>
    <t xml:space="preserve">   -    MCCB 1P, 32A</t>
  </si>
  <si>
    <t xml:space="preserve">   -    MCCB 3P, 16A</t>
  </si>
  <si>
    <t xml:space="preserve">   -    MCCB 3P, 20A</t>
  </si>
  <si>
    <t xml:space="preserve">   -    MCCB 3P, 32A</t>
  </si>
  <si>
    <t xml:space="preserve">   -    RCBO 30mA, 1P, 16A</t>
  </si>
  <si>
    <t xml:space="preserve">   -    RCBO 30mA, 1P, 20A</t>
  </si>
  <si>
    <t>W1-B2EP11, 100A 18 CCT.</t>
  </si>
  <si>
    <t xml:space="preserve">   -    MCCB 3P, 40A Main</t>
  </si>
  <si>
    <t>W2-B2EPC1, 100A 30 CCT.</t>
  </si>
  <si>
    <t>W2-B2EP11, 100A 18 CCT.</t>
  </si>
  <si>
    <t xml:space="preserve">   -    2.5   มม²</t>
  </si>
  <si>
    <t xml:space="preserve">   -   Accessories</t>
  </si>
  <si>
    <t>3.3</t>
  </si>
  <si>
    <t xml:space="preserve">ท่อร้อยสายไฟฟ้าชนิด EMT (EMT Conduit) </t>
  </si>
  <si>
    <t>3.3.2</t>
  </si>
  <si>
    <t xml:space="preserve">   -   20  มม. Ø</t>
  </si>
  <si>
    <t>ท่ออ่อน (Flexible Conduit)</t>
  </si>
  <si>
    <t>3.4</t>
  </si>
  <si>
    <t>สวิทช์และเต้ารับ (Switch &amp; Outlet)</t>
  </si>
  <si>
    <t xml:space="preserve">   - 15A 250V, Single Pole Switch</t>
  </si>
  <si>
    <t xml:space="preserve">   - 15A 250V, 2-Way Switch</t>
  </si>
  <si>
    <t xml:space="preserve">   - 15A 250V, Single Pole Switch w/ Lamp</t>
  </si>
  <si>
    <t xml:space="preserve">   - 15A 250V, Single Outlet</t>
  </si>
  <si>
    <t xml:space="preserve">   - 15A 250V, Duplex Outlet</t>
  </si>
  <si>
    <t xml:space="preserve">   - Floor Outlet, Duplex</t>
  </si>
  <si>
    <t xml:space="preserve">   - 15A 250V, Duplex Outlet ( WP )</t>
  </si>
  <si>
    <t xml:space="preserve">   - สวิทช์หรี่ไฟ (Dimmer Switch)</t>
  </si>
  <si>
    <t>Junction Box</t>
  </si>
  <si>
    <t>3.5</t>
  </si>
  <si>
    <t>Linghting Control No.</t>
  </si>
  <si>
    <t xml:space="preserve">   - W1-B2LCP1</t>
  </si>
  <si>
    <t xml:space="preserve">   - W2-B2LCP1</t>
  </si>
  <si>
    <t>3.6</t>
  </si>
  <si>
    <t>โคมไฟฟ้า (Luminaire)</t>
  </si>
  <si>
    <t xml:space="preserve">   - A1</t>
  </si>
  <si>
    <t xml:space="preserve">   - A2</t>
  </si>
  <si>
    <t xml:space="preserve">   - A1A</t>
  </si>
  <si>
    <t xml:space="preserve">   - A2A</t>
  </si>
  <si>
    <t xml:space="preserve">   - C2WP</t>
  </si>
  <si>
    <t xml:space="preserve">   - D2AL</t>
  </si>
  <si>
    <t xml:space="preserve">   - HB</t>
  </si>
  <si>
    <t xml:space="preserve">   - L-01</t>
  </si>
  <si>
    <t xml:space="preserve">   - L-02</t>
  </si>
  <si>
    <t xml:space="preserve">   - L-03</t>
  </si>
  <si>
    <t xml:space="preserve">   - L-04</t>
  </si>
  <si>
    <t xml:space="preserve">   - L-06</t>
  </si>
  <si>
    <t xml:space="preserve">   - L-09</t>
  </si>
  <si>
    <t xml:space="preserve">   - L-10</t>
  </si>
  <si>
    <t xml:space="preserve">   - L-11</t>
  </si>
  <si>
    <t xml:space="preserve">   - L-12</t>
  </si>
  <si>
    <t xml:space="preserve">   - L-13</t>
  </si>
  <si>
    <t xml:space="preserve">   - L-14</t>
  </si>
  <si>
    <t xml:space="preserve">   - L-15</t>
  </si>
  <si>
    <t xml:space="preserve">   - Exit &amp; Fire Exit Sign</t>
  </si>
  <si>
    <t xml:space="preserve">   - Emergency Battery Light </t>
  </si>
  <si>
    <t xml:space="preserve">   - Remote Lamp</t>
  </si>
  <si>
    <t xml:space="preserve">   - Central Battery</t>
  </si>
  <si>
    <t>3.7</t>
  </si>
  <si>
    <t xml:space="preserve"> Remote Graphic Annunciator</t>
  </si>
  <si>
    <t xml:space="preserve">Monitor Module For Manual  </t>
  </si>
  <si>
    <t>Monitor Module For Key Switch Zone</t>
  </si>
  <si>
    <t>Monitor Module For SV</t>
  </si>
  <si>
    <t>Monitor Module For Flow Switch</t>
  </si>
  <si>
    <t>Monitor Module For Pressure Switch</t>
  </si>
  <si>
    <t>Control Module For Speaker</t>
  </si>
  <si>
    <t>Control Module For Strobe Light</t>
  </si>
  <si>
    <t>3.7.9</t>
  </si>
  <si>
    <t>Control Module For Alarm Zone</t>
  </si>
  <si>
    <t>3.7.10</t>
  </si>
  <si>
    <t>Control Module For Lift</t>
  </si>
  <si>
    <t>3.7.11</t>
  </si>
  <si>
    <t>Control Module For Telephone</t>
  </si>
  <si>
    <t>3.7.12</t>
  </si>
  <si>
    <t>Control Module For Other</t>
  </si>
  <si>
    <t>3.7.13</t>
  </si>
  <si>
    <t>Isolator Module</t>
  </si>
  <si>
    <t>3.7.14</t>
  </si>
  <si>
    <t>Addressable  Smoke Detector</t>
  </si>
  <si>
    <t>3.7.15</t>
  </si>
  <si>
    <t>Manual Station w/ Key Switch</t>
  </si>
  <si>
    <t>3.7.16</t>
  </si>
  <si>
    <t>Fireman Telephone Outlet</t>
  </si>
  <si>
    <t>3.7.17</t>
  </si>
  <si>
    <t>Fire Alarm Speaker</t>
  </si>
  <si>
    <t>3.7.18</t>
  </si>
  <si>
    <t>Fire Alarm Speaker w/ Strobe Light</t>
  </si>
  <si>
    <t xml:space="preserve"> </t>
  </si>
  <si>
    <t>3.7.19</t>
  </si>
  <si>
    <t>Remote Terminal Unit</t>
  </si>
  <si>
    <t>3.7.20</t>
  </si>
  <si>
    <r>
      <t xml:space="preserve">   - FR 2C-2.5 มม</t>
    </r>
    <r>
      <rPr>
        <sz val="14"/>
        <rFont val="Times New Roman"/>
        <family val="1"/>
        <charset val="222"/>
      </rPr>
      <t>²</t>
    </r>
    <r>
      <rPr>
        <sz val="14"/>
        <rFont val="BrowalliaUPC"/>
        <family val="2"/>
        <charset val="222"/>
      </rPr>
      <t xml:space="preserve"> </t>
    </r>
  </si>
  <si>
    <t xml:space="preserve">   -  Twisted Pairs With Shield 16 AWG FR.</t>
  </si>
  <si>
    <t xml:space="preserve">   -  Accessoreis</t>
  </si>
  <si>
    <t>ท่อร้อยสายไฟฟ้าชนิด EMT (EMT Conduit)</t>
  </si>
  <si>
    <t>3.7.22</t>
  </si>
  <si>
    <t>3.7.23</t>
  </si>
  <si>
    <t>ลำโพงติดฝ้า (Ceiling Loudspeaker)</t>
  </si>
  <si>
    <t>Horn Soudspeaker</t>
  </si>
  <si>
    <t>ปุ่มปรับเสียง (Volume Control)</t>
  </si>
  <si>
    <t>ขั้วต่อสาย (Sound Terminal Box)</t>
  </si>
  <si>
    <t>3.8.5</t>
  </si>
  <si>
    <t xml:space="preserve">   - IEC53 2C-1.5 มม²</t>
  </si>
  <si>
    <t xml:space="preserve">   - IEC53 3C-1.5 มม²</t>
  </si>
  <si>
    <t>3.8.6</t>
  </si>
  <si>
    <t>3.8.7</t>
  </si>
  <si>
    <t>3.8.8</t>
  </si>
  <si>
    <t>Control Equipment</t>
  </si>
  <si>
    <t xml:space="preserve">   - Access Controls Controller (2 Reader)</t>
  </si>
  <si>
    <t xml:space="preserve">   - Card Reader </t>
  </si>
  <si>
    <t>Inclded</t>
  </si>
  <si>
    <t xml:space="preserve">   - Electric Magnetic Door Lock</t>
  </si>
  <si>
    <t xml:space="preserve">   - Emergency Manual Break Glass</t>
  </si>
  <si>
    <t xml:space="preserve">   - Exit Push Button</t>
  </si>
  <si>
    <t xml:space="preserve">   - Access Buzzer</t>
  </si>
  <si>
    <t>3.9.2</t>
  </si>
  <si>
    <t xml:space="preserve">   - UTP Cat. 6 A  4 Pairs</t>
  </si>
  <si>
    <t>3.9.3</t>
  </si>
  <si>
    <t>ระบบบริหารจัดการอาคาร (Building Management System : BMS)</t>
  </si>
  <si>
    <t>Remote Processing Unit (DDC)</t>
  </si>
  <si>
    <t xml:space="preserve">   - W1C-B2RPUA1 WITH MARSHALLING BOX</t>
  </si>
  <si>
    <t xml:space="preserve">   - W2C-B2RPUA1 WITH MARSHALLING BOX</t>
  </si>
  <si>
    <t xml:space="preserve">   - W1-B2RPUS1 WITH MARSHALLING BOX</t>
  </si>
  <si>
    <t xml:space="preserve">   - W2-B2RPUS1 WITH MARSHALLING BOX</t>
  </si>
  <si>
    <t>3.10.2</t>
  </si>
  <si>
    <t>Terminal Box (TB)</t>
  </si>
  <si>
    <t xml:space="preserve">   - W1C-B2TBA1</t>
  </si>
  <si>
    <t xml:space="preserve">   - W2C-B2TBA1</t>
  </si>
  <si>
    <t xml:space="preserve">   - W1-B2TBS1</t>
  </si>
  <si>
    <t xml:space="preserve">   - W1-B2TBS2</t>
  </si>
  <si>
    <t xml:space="preserve">   - W1-B2TBS3</t>
  </si>
  <si>
    <t xml:space="preserve">   - W2-B2TBS1</t>
  </si>
  <si>
    <t xml:space="preserve">   - W2-B2TBS2</t>
  </si>
  <si>
    <t xml:space="preserve">   - W2-B2TBS3</t>
  </si>
  <si>
    <t>3.10.3</t>
  </si>
  <si>
    <t xml:space="preserve">   - CVV 12C-1.0 มม²</t>
  </si>
  <si>
    <t xml:space="preserve">   - CVVS 12C-1.0 มม²</t>
  </si>
  <si>
    <t>3.10.5</t>
  </si>
  <si>
    <t>3.11</t>
  </si>
  <si>
    <t>ระบบแจ้งเหตุฉุกเฉิน (Panic Alarm System)</t>
  </si>
  <si>
    <t>IP AUDIO INTERCOM</t>
  </si>
  <si>
    <t xml:space="preserve">   -   Switch</t>
  </si>
  <si>
    <t xml:space="preserve">   -   UTP Patch Panel 24 Port</t>
  </si>
  <si>
    <t xml:space="preserve">   -   UTP Patch Cord</t>
  </si>
  <si>
    <t xml:space="preserve">   -   IP AUDIO INTERCOM CONTROLLER</t>
  </si>
  <si>
    <t>3.11.3</t>
  </si>
  <si>
    <t>UTP Cable</t>
  </si>
  <si>
    <t xml:space="preserve">   - UTP Cat. 6A 4 Pairs</t>
  </si>
  <si>
    <t>งานระบบไฟฟ้าและสื่อสาร ชั้น B1</t>
  </si>
  <si>
    <t>W1-B1EP11, 100A 18 CCT.</t>
  </si>
  <si>
    <t>W2-B1EP11, 100A 18 CCT.</t>
  </si>
  <si>
    <t xml:space="preserve">   - W1-B1LCP1</t>
  </si>
  <si>
    <t xml:space="preserve">   - W2-B1LCP1</t>
  </si>
  <si>
    <t>3.7.24</t>
  </si>
  <si>
    <t xml:space="preserve">  - UTP Cat. 6A 4 Pairs </t>
  </si>
  <si>
    <t xml:space="preserve">   - W1C-B1RPUA1 WITH MARSHALLING BOX</t>
  </si>
  <si>
    <t xml:space="preserve">   - W2C-B1RPUA1 WITH MARSHALLING BOX</t>
  </si>
  <si>
    <t>งานระบบไฟฟ้าและสื่อสาร ชั้น 1</t>
  </si>
  <si>
    <t>W1-1EPC1, 100A 24 CCT.</t>
  </si>
  <si>
    <t xml:space="preserve">   -    MCCB 3P, 50A Main</t>
  </si>
  <si>
    <t>W2-1EPC1, 100A 24 CCT.</t>
  </si>
  <si>
    <t>W2-1EPC2, 100A 12 CCT.</t>
  </si>
  <si>
    <t xml:space="preserve">   -    MCCB 3P, 32A Main</t>
  </si>
  <si>
    <t>W1-1UPC1, 100A 18 CCT.</t>
  </si>
  <si>
    <t>W2-1UPC1, 100A 18 CCT.</t>
  </si>
  <si>
    <t xml:space="preserve">สายไฟฟ้าชนิด IEC 01 </t>
  </si>
  <si>
    <t>CB Box</t>
  </si>
  <si>
    <t xml:space="preserve">   -    3P, 16A WP</t>
  </si>
  <si>
    <t xml:space="preserve">   -    3P, 20A WP</t>
  </si>
  <si>
    <t xml:space="preserve">   -    3P, 32A WP</t>
  </si>
  <si>
    <t xml:space="preserve">   - Accessories</t>
  </si>
  <si>
    <t>Control Module For Door Holder</t>
  </si>
  <si>
    <t>Magnetic Door Holder</t>
  </si>
  <si>
    <t xml:space="preserve">   - W2-1RPUA1 WITH MARSHALLING BOX</t>
  </si>
  <si>
    <t xml:space="preserve">   - W2-1RPUE1 WITH MARSHALLING BOX</t>
  </si>
  <si>
    <t xml:space="preserve">   - W2-1TBA1</t>
  </si>
  <si>
    <t xml:space="preserve">   - W2-1TBE1</t>
  </si>
  <si>
    <t xml:space="preserve">   - W2-1TBE2</t>
  </si>
  <si>
    <t>3.9.5</t>
  </si>
  <si>
    <t>Emergency Pull Cord</t>
  </si>
  <si>
    <t>Lamp with Buzzer</t>
  </si>
  <si>
    <t>TIEV Cable</t>
  </si>
  <si>
    <t xml:space="preserve">   - TIEV 4C 0.65 sq.mm.</t>
  </si>
  <si>
    <t>3.10.4</t>
  </si>
  <si>
    <t>งานระบบไฟฟ้าและสื่อสาร ชั้น 2</t>
  </si>
  <si>
    <t>3.1.2</t>
  </si>
  <si>
    <t>3.2.1.1</t>
  </si>
  <si>
    <t>3.2.1.2</t>
  </si>
  <si>
    <t>3.2.1.3</t>
  </si>
  <si>
    <t>3.5.3</t>
  </si>
  <si>
    <t>3.5.4</t>
  </si>
  <si>
    <t>งานระบบไฟฟ้าและสื่อสาร ชั้น 3</t>
  </si>
  <si>
    <t>Monitor Module For Beam</t>
  </si>
  <si>
    <t>งานระบบไฟฟ้าและสื่อสาร ชั้น 4</t>
  </si>
  <si>
    <t xml:space="preserve">   - W1C-4RPUA1 WITH MARSHALLING BOX</t>
  </si>
  <si>
    <t xml:space="preserve">   - W2C-4RPUA1 WITH MARSHALLING BOX</t>
  </si>
  <si>
    <t xml:space="preserve">   - W1-4TBA1</t>
  </si>
  <si>
    <t xml:space="preserve">   - W2-4TBA1</t>
  </si>
  <si>
    <t xml:space="preserve">   - W2-4TBA2</t>
  </si>
  <si>
    <t>3.9.4</t>
  </si>
  <si>
    <t>3.9.6</t>
  </si>
  <si>
    <t>งานระบบไฟฟ้าและสื่อสาร ชั้น 5</t>
  </si>
  <si>
    <t>งานระบบไฟฟ้าและสื่อสาร ชั้น 6</t>
  </si>
  <si>
    <t>งานระบบไฟฟ้าและสื่อสาร ชั้น 7</t>
  </si>
  <si>
    <t>Junction Box (WP)</t>
  </si>
  <si>
    <t>Beam Smoke Detector (Receiver)</t>
  </si>
  <si>
    <t>Beam Smoke Detector(Transmitter)</t>
  </si>
  <si>
    <t>งานระบบไฟฟ้าและสื่อสาร ชั้น 8</t>
  </si>
  <si>
    <t>งานระบบไฟฟ้าและสื่อสาร ชั้น 9</t>
  </si>
  <si>
    <t>งานระบบไฟฟ้าและสื่อสาร ชั้น 10</t>
  </si>
  <si>
    <t>งานระบบไฟฟ้าและสื่อสาร ชั้น 11</t>
  </si>
  <si>
    <t xml:space="preserve">   - W1-11RPUA1 WITH MARSHALLING BOX</t>
  </si>
  <si>
    <t xml:space="preserve">   - W2-11RPUA1 WITH MARSHALLING BOX</t>
  </si>
  <si>
    <t xml:space="preserve">   - W1-11TBA1</t>
  </si>
  <si>
    <t xml:space="preserve">   - W2-11TBA1</t>
  </si>
  <si>
    <t>งานระบบไฟฟ้าและสื่อสาร ชั้น ดาดฟ้า</t>
  </si>
  <si>
    <t>W1-RPLC1, 100A 36 CCT.</t>
  </si>
  <si>
    <t>W2-RPLC1, 100A 36 CCT.</t>
  </si>
  <si>
    <t>W1-REPC1, 100A 24 CCT.</t>
  </si>
  <si>
    <t>W2-REPC1, 100A 24 CCT.</t>
  </si>
  <si>
    <t xml:space="preserve">   -    10   มม²</t>
  </si>
  <si>
    <t xml:space="preserve">Branch Circuit </t>
  </si>
  <si>
    <t xml:space="preserve">   - Power Outlet</t>
  </si>
  <si>
    <t xml:space="preserve">   - W1-RLCP1</t>
  </si>
  <si>
    <t xml:space="preserve">   - W2-RLCP1</t>
  </si>
  <si>
    <t xml:space="preserve">   - W1C-RRPUA1 WITH MARSHALLING BOX</t>
  </si>
  <si>
    <t xml:space="preserve">   - W2C-RRPUA1 WITH MARSHALLING BOX</t>
  </si>
  <si>
    <t xml:space="preserve">   - W1-RRPUS1 WITH MARSHALLING BOX</t>
  </si>
  <si>
    <t xml:space="preserve">   - W2-RRPUS1 WITH MARSHALLING BOX</t>
  </si>
  <si>
    <t xml:space="preserve">   - W1C-RTBA1</t>
  </si>
  <si>
    <t xml:space="preserve">   - W1C-RTBA2</t>
  </si>
  <si>
    <t xml:space="preserve">   - W1C-RTBA3</t>
  </si>
  <si>
    <t xml:space="preserve">   - W1-RTBS1</t>
  </si>
  <si>
    <t xml:space="preserve">   - W2C-RTBA1</t>
  </si>
  <si>
    <t xml:space="preserve">   - W2C-RTBA2</t>
  </si>
  <si>
    <t xml:space="preserve">   - W2-RTBS1</t>
  </si>
  <si>
    <t>กลุ่มงานที่ 1 / หมวดงานระบบโทรทัศน์วงจรปิด</t>
  </si>
  <si>
    <t>ระบบโทรทัศน์วงจรปิด (Closed Circuit TV System)</t>
  </si>
  <si>
    <t>ระบบโทรทัศน์วงจรปิด (Closed Circuit TV System) Main Equipment</t>
  </si>
  <si>
    <t>รวมราคาระบบโทรทัศน์วงจรปิด (Closed Circuit TV System) Main Equipment</t>
  </si>
  <si>
    <t>4.1.2</t>
  </si>
  <si>
    <t>4.1.3</t>
  </si>
  <si>
    <t>รวมราคารายการที่ 4.1</t>
  </si>
  <si>
    <t>ระบบโทรทัศน์วงจรปิด (Closed Circuit TV System) ชั้น B2</t>
  </si>
  <si>
    <t>รวมราคาระบบโทรทัศน์วงจรปิด (Closed Circuit TV System) ชั้น B2</t>
  </si>
  <si>
    <t>4.1.1</t>
  </si>
  <si>
    <t>IP CCTV Camera Fixed Type</t>
  </si>
  <si>
    <t>IP CCTV Camera With Dome Housing</t>
  </si>
  <si>
    <t xml:space="preserve">IP CCTV Camera Pan,Tilt,Zoom With Dome Housing </t>
  </si>
  <si>
    <t>4.1.4</t>
  </si>
  <si>
    <t xml:space="preserve">   -   Access Switch</t>
  </si>
  <si>
    <t>Included</t>
  </si>
  <si>
    <t xml:space="preserve">   -   Power Supply</t>
  </si>
  <si>
    <t xml:space="preserve">   - UTP Cat. 6A Pairs</t>
  </si>
  <si>
    <t>4.1.7</t>
  </si>
  <si>
    <t>ระบบโทรทัศน์วงจรปิด (Closed Circuit TV System) ชั้น B1</t>
  </si>
  <si>
    <t>รวมราคาระบบโทรทัศน์วงจรปิด (Closed Circuit TV System) ชั้น B1</t>
  </si>
  <si>
    <t>ระบบโทรทัศน์วงจรปิด (Closed Circuit TV System) ชั้น 1</t>
  </si>
  <si>
    <t>รวมราคาระบบโทรทัศน์วงจรปิด (Closed Circuit TV System) ชั้น 1</t>
  </si>
  <si>
    <t>4..1.5</t>
  </si>
  <si>
    <t>ระบบโทรทัศน์วงจรปิด (Closed Circuit TV System) ชั้น 2</t>
  </si>
  <si>
    <t>รวมราคาระบบโทรทัศน์วงจรปิด (Closed Circuit TV System) ชั้น 2</t>
  </si>
  <si>
    <t>4..1.4</t>
  </si>
  <si>
    <t>ระบบโทรทัศน์วงจรปิด (Closed Circuit TV System) ชั้น 3</t>
  </si>
  <si>
    <t>รวมราคาระบบโทรทัศน์วงจรปิด (Closed Circuit TV System) ชั้น 3</t>
  </si>
  <si>
    <t>ระบบโทรทัศน์วงจรปิด (Closed Circuit TV System) ชั้น 4</t>
  </si>
  <si>
    <t>รวมราคาระบบโทรทัศน์วงจรปิด (Closed Circuit TV System) ชั้น 4</t>
  </si>
  <si>
    <t>ระบบโทรทัศน์วงจรปิด (Closed Circuit TV System) ชั้น 5</t>
  </si>
  <si>
    <t>ระบบโทรทัศน์วงจรปิด (Closed Circuit TV System) ชั้น 6</t>
  </si>
  <si>
    <t>ระบบโทรทัศน์วงจรปิด (Closed Circuit TV System) ชั้น 7</t>
  </si>
  <si>
    <t>รวมราคาระบบโทรทัศน์วงจรปิด (Closed Circuit TV System) ชั้น 7</t>
  </si>
  <si>
    <t>ระบบโทรทัศน์วงจรปิด (Closed Circuit TV System) ชั้น 8</t>
  </si>
  <si>
    <t>ระบบโทรทัศน์วงจรปิด (Closed Circuit TV System) ชั้น 9</t>
  </si>
  <si>
    <t>ระบบโทรทัศน์วงจรปิด (Closed Circuit TV System) ชั้น 10</t>
  </si>
  <si>
    <t>ระบบโทรทัศน์วงจรปิด (Closed Circuit TV System) ชั้น 11</t>
  </si>
  <si>
    <t>ระบบโทรทัศน์วงจรปิด (Closed Circuit TV System) ชั้น ดาดฟ้า</t>
  </si>
  <si>
    <t>กลุ่มงานที่ 1 / หมวดงานงานระบบสุขาภิบาล</t>
  </si>
  <si>
    <t>งานระบบสุขาภิบาล (Main Equipment)</t>
  </si>
  <si>
    <t>5.1</t>
  </si>
  <si>
    <t>ระบบน้ำประปา (Cold Water Supply System)</t>
  </si>
  <si>
    <t>5.1.1</t>
  </si>
  <si>
    <t xml:space="preserve">ท่อเหล็กอาบสังกะสี (ERW Galvanized Steel Pipes, ASTM A-53 Grade A Schedule 40 w/ PE Lining) </t>
  </si>
  <si>
    <t>ท่อ Main Riser</t>
  </si>
  <si>
    <r>
      <t xml:space="preserve">   -   65  มม. </t>
    </r>
    <r>
      <rPr>
        <sz val="9"/>
        <rFont val="Symbol"/>
        <family val="1"/>
        <charset val="2"/>
      </rPr>
      <t>ฦ</t>
    </r>
  </si>
  <si>
    <r>
      <t xml:space="preserve">   -   80  มม. </t>
    </r>
    <r>
      <rPr>
        <sz val="9"/>
        <rFont val="Symbol"/>
        <family val="1"/>
        <charset val="2"/>
      </rPr>
      <t>ฦ</t>
    </r>
  </si>
  <si>
    <r>
      <t xml:space="preserve">   -  100  มม. </t>
    </r>
    <r>
      <rPr>
        <sz val="9"/>
        <rFont val="Symbol"/>
        <family val="1"/>
        <charset val="2"/>
      </rPr>
      <t>ฦ</t>
    </r>
  </si>
  <si>
    <r>
      <t xml:space="preserve">   -  150  มม. </t>
    </r>
    <r>
      <rPr>
        <sz val="9"/>
        <rFont val="Symbol"/>
        <family val="1"/>
        <charset val="2"/>
      </rPr>
      <t>ฦ</t>
    </r>
  </si>
  <si>
    <t xml:space="preserve">   -  Fitting</t>
  </si>
  <si>
    <t xml:space="preserve">   -  Hanger &amp; Support</t>
  </si>
  <si>
    <t xml:space="preserve">   -  ค่าทดสอบ, ทำความสะอาดและทาสีท่อ</t>
  </si>
  <si>
    <t>5.1.2</t>
  </si>
  <si>
    <t xml:space="preserve">Butterfly Valve 150 PSI  WOG </t>
  </si>
  <si>
    <t>5.2.5</t>
  </si>
  <si>
    <t xml:space="preserve">Gate Valve 150 PSI  WOG </t>
  </si>
  <si>
    <r>
      <t xml:space="preserve">   -  80  มม. </t>
    </r>
    <r>
      <rPr>
        <sz val="9"/>
        <rFont val="Symbol"/>
        <family val="1"/>
        <charset val="2"/>
      </rPr>
      <t>ฦ</t>
    </r>
  </si>
  <si>
    <t>5.1.3</t>
  </si>
  <si>
    <t xml:space="preserve">Check Valve 150 PSI  WOG </t>
  </si>
  <si>
    <t>5.1.4</t>
  </si>
  <si>
    <t>Automatic Air Vent</t>
  </si>
  <si>
    <r>
      <t xml:space="preserve">   -   20  มม. </t>
    </r>
    <r>
      <rPr>
        <sz val="9"/>
        <rFont val="Symbol"/>
        <family val="1"/>
        <charset val="2"/>
      </rPr>
      <t>ฦ</t>
    </r>
  </si>
  <si>
    <t>5.1.5</t>
  </si>
  <si>
    <t>Dirt Pocket</t>
  </si>
  <si>
    <r>
      <t xml:space="preserve">   -   25  มม. </t>
    </r>
    <r>
      <rPr>
        <sz val="9"/>
        <rFont val="Symbol"/>
        <family val="1"/>
        <charset val="2"/>
      </rPr>
      <t>ฦ</t>
    </r>
  </si>
  <si>
    <t>5.1.6</t>
  </si>
  <si>
    <t>Pressure Reducing Valve 150 PSI WOG</t>
  </si>
  <si>
    <t>5.1.7</t>
  </si>
  <si>
    <t>Non-Modulating Flote Valve 150 PSI WOG</t>
  </si>
  <si>
    <r>
      <t xml:space="preserve">   -   100  มม. </t>
    </r>
    <r>
      <rPr>
        <sz val="9"/>
        <rFont val="Symbol"/>
        <family val="1"/>
        <charset val="2"/>
      </rPr>
      <t>ฦ</t>
    </r>
  </si>
  <si>
    <t>5.1.8</t>
  </si>
  <si>
    <t>Pressure Gauge</t>
  </si>
  <si>
    <t>5.1.9</t>
  </si>
  <si>
    <t>Anti-Vortex Plate</t>
  </si>
  <si>
    <t>5.2</t>
  </si>
  <si>
    <t xml:space="preserve">ระบบระบายน้ำโสโครก น้ำทิ้ง ระบายอากาศ และ ท่อน้ำทิ้งจากห้องครัว </t>
  </si>
  <si>
    <t>5.2.1</t>
  </si>
  <si>
    <t>เครื่องสูบน้ำเสีย (Sewage Water pump)</t>
  </si>
  <si>
    <t xml:space="preserve">   - W1-B2SWP-01, 02 (Flowrate 45 cu.m./hr @ 25 m.H2o TDH)</t>
  </si>
  <si>
    <t xml:space="preserve">   - W2-B2SWP-01, 02 (Flowrate 45 cu.m./hr @ 25 m.H2o TDH)</t>
  </si>
  <si>
    <t xml:space="preserve">   - W1-B2KWP-01, 02 (Flowrate 15 cu.m./hr @ 25 m.H2o TDH)</t>
  </si>
  <si>
    <t xml:space="preserve">   - W2-B2KWP-01, 02 (Flowrate 45 cu.m./hr @ 25 m.H2o TDH)</t>
  </si>
  <si>
    <t>5.2.2</t>
  </si>
  <si>
    <t>ท่อ HDPE ชั้น PN 10 (HDPE Pipe PN 10) มอก. (ท่อสูบน้ำเสีย)</t>
  </si>
  <si>
    <t xml:space="preserve">   -  150  มม. Ø</t>
  </si>
  <si>
    <t xml:space="preserve">   -  200  มม. Ø</t>
  </si>
  <si>
    <t xml:space="preserve">   -  ค่าทดสอบ, ทำความสะอาด</t>
  </si>
  <si>
    <t>5.2.3</t>
  </si>
  <si>
    <t>ท่อ PP Class B (Main Riser)</t>
  </si>
  <si>
    <t xml:space="preserve">   -  100  มม. Ø</t>
  </si>
  <si>
    <t>5.2.4</t>
  </si>
  <si>
    <t>ท่อพีวีซีชั้น 8.5 (PVC Pipe Class 8.5) ท่อระบายอากาศ (Riser)</t>
  </si>
  <si>
    <t>Gate Valve 150 PSI  WOG (For Sewage Water Pump)</t>
  </si>
  <si>
    <t>5.2.6</t>
  </si>
  <si>
    <t>Check Valve, Swing Type  150 PSI WOG (For Sewage Water Pump)</t>
  </si>
  <si>
    <t>5.2.7</t>
  </si>
  <si>
    <t>Cast Iron Manhole Cover, Light Duty Type (ชนิดกันกลิ่น)</t>
  </si>
  <si>
    <r>
      <t xml:space="preserve">   -  1000  มม. </t>
    </r>
    <r>
      <rPr>
        <sz val="9"/>
        <rFont val="Symbol"/>
        <family val="1"/>
        <charset val="2"/>
      </rPr>
      <t>ฦ</t>
    </r>
  </si>
  <si>
    <t>ระบบระบายน้ำฝนและระบายน้ำในอาคาร (Storm Drain &amp; Building Drain System)</t>
  </si>
  <si>
    <t>5.3.1</t>
  </si>
  <si>
    <t>เครื่องสูบระบายน้ำ (Drainage Pump)</t>
  </si>
  <si>
    <t xml:space="preserve">   - W1-B2DWP-01, 02 (Flowrate 30 cu.m./hr @ 15 m.H2o TDH)</t>
  </si>
  <si>
    <t xml:space="preserve">   - W2-B2DWP-01, 02 (Flowrate 30 cu.m./hr @ 15 m.H2o TDH)</t>
  </si>
  <si>
    <t xml:space="preserve">   - W1-B2DWP-03, 04 (Flowrate 30 cu.m./hr @ 15 m.H2o TDH)</t>
  </si>
  <si>
    <t xml:space="preserve">   - W2-B2DWP-03, 04 (Flowrate 30 cu.m./hr @ 15 m.H2o TDH)</t>
  </si>
  <si>
    <t>5.3.2</t>
  </si>
  <si>
    <t>ท่อ HDPE ชั้น PN 10 (HDPE Pipe PN 10) มอก. (ท่อระบายน้ำจากเครื่องสูบระบายน้ำ)</t>
  </si>
  <si>
    <t>5.3.3</t>
  </si>
  <si>
    <t>ท่อเหล็กอาบสังกะสีชั้น B  (Galvanized Steel Pipe Class B) มอก.277-2532</t>
  </si>
  <si>
    <t>5.3.4</t>
  </si>
  <si>
    <t>ช่องสำหรับทำความสะอาดท่อ (Cleanout)</t>
  </si>
  <si>
    <t>5.3.5</t>
  </si>
  <si>
    <t>Flexible Pipe Connector (Non-Pressure)</t>
  </si>
  <si>
    <t>5.3.6</t>
  </si>
  <si>
    <t>Gate Valve 150 PSI  WOG (For Drainage Water Pump)</t>
  </si>
  <si>
    <t>5.3.7</t>
  </si>
  <si>
    <t>Check Valve, Swing Type  150 PSI WOG (For Drainage Water Pump)</t>
  </si>
  <si>
    <t>5.3.8</t>
  </si>
  <si>
    <t>Flexible Pipe Connector (For Drainage Water Pump)</t>
  </si>
  <si>
    <t>5.4</t>
  </si>
  <si>
    <t>ระบบรดน้ำต้นไม้ (Irrigation Pump)</t>
  </si>
  <si>
    <t>5.4.1</t>
  </si>
  <si>
    <t>ท่อเหล็กอาบสังกะสี (ERW Galvanized Steel Pipes, ASTM A-53 Grade A Schedule 40 w/ PE Lining)(Main Riser)</t>
  </si>
  <si>
    <r>
      <t xml:space="preserve">   -   150  มม. </t>
    </r>
    <r>
      <rPr>
        <sz val="9"/>
        <rFont val="Symbol"/>
        <family val="1"/>
        <charset val="2"/>
      </rPr>
      <t>ฦ</t>
    </r>
  </si>
  <si>
    <t>5.4.2</t>
  </si>
  <si>
    <t>5.4.3</t>
  </si>
  <si>
    <t>5.4.4</t>
  </si>
  <si>
    <t>5.4.5</t>
  </si>
  <si>
    <t>5.4.6</t>
  </si>
  <si>
    <t>5.5</t>
  </si>
  <si>
    <t>ระบบไฟฟ้าและควบคุม (Electrical &amp; Control System) สำหรับระบบสุขาภิบาล</t>
  </si>
  <si>
    <t>5.5.1</t>
  </si>
  <si>
    <t>Panel Board Wiring &amp; Conduit</t>
  </si>
  <si>
    <t xml:space="preserve">   - W1-B2ESP1</t>
  </si>
  <si>
    <t xml:space="preserve">   - W1-B2ESP2</t>
  </si>
  <si>
    <t xml:space="preserve">   - W1-B2ESP3</t>
  </si>
  <si>
    <t xml:space="preserve">   - W2-B2ESP1</t>
  </si>
  <si>
    <t xml:space="preserve">   - W2-B2ESP2</t>
  </si>
  <si>
    <t xml:space="preserve">   - W2-B2ESP3</t>
  </si>
  <si>
    <t>5.5.2</t>
  </si>
  <si>
    <t xml:space="preserve">Low Smoke Cable (LSHF Cable) </t>
  </si>
  <si>
    <t xml:space="preserve">   -    2.5 มม²</t>
  </si>
  <si>
    <t>5.5.3</t>
  </si>
  <si>
    <t>5.6</t>
  </si>
  <si>
    <t>หมวดงานเชื่อมต่อกับระบบ BAS (ระบบสุขาภิบาล)</t>
  </si>
  <si>
    <t>5.6.1</t>
  </si>
  <si>
    <t>Sensor</t>
  </si>
  <si>
    <t xml:space="preserve">   -   Level Switch</t>
  </si>
  <si>
    <t xml:space="preserve">   -   Flow Sensor Controller</t>
  </si>
  <si>
    <t>งานระบบสุขาภิบาล ชั้น B2</t>
  </si>
  <si>
    <t>ท่อพีพีอาร์ (SDR11 PN 10) ท่อ Branch</t>
  </si>
  <si>
    <r>
      <t xml:space="preserve">   -   32  มม. </t>
    </r>
    <r>
      <rPr>
        <sz val="9"/>
        <rFont val="Symbol"/>
        <family val="1"/>
        <charset val="2"/>
      </rPr>
      <t>ฦ</t>
    </r>
  </si>
  <si>
    <t xml:space="preserve">Ball Valve 150 PSI  WOG </t>
  </si>
  <si>
    <r>
      <t xml:space="preserve">   -   15  มม. </t>
    </r>
    <r>
      <rPr>
        <sz val="9"/>
        <rFont val="Symbol"/>
        <family val="1"/>
        <charset val="2"/>
      </rPr>
      <t>ฦ</t>
    </r>
  </si>
  <si>
    <t>ก๊อกสนาม (Hose Bibb)</t>
  </si>
  <si>
    <t>ท่อ PP  Class B (PP Pipe Class B)</t>
  </si>
  <si>
    <t>งานระบบสุขาภิบาล ชั้น B1</t>
  </si>
  <si>
    <r>
      <t xml:space="preserve">   -   50  มม. </t>
    </r>
    <r>
      <rPr>
        <sz val="9"/>
        <rFont val="Symbol"/>
        <family val="1"/>
        <charset val="2"/>
      </rPr>
      <t>ฦ</t>
    </r>
  </si>
  <si>
    <t>Water Hammer Arrester</t>
  </si>
  <si>
    <t xml:space="preserve">   -   1- 11 FU</t>
  </si>
  <si>
    <t>Digital Water Meter</t>
  </si>
  <si>
    <t>ท่อพีวีซีชั้น 8.5 (PVC Pipe Class 8.5) ท่อระบายอากาศ (Brance)</t>
  </si>
  <si>
    <t>ช่องระบายน้ำจากพื้น (Floor Drain)</t>
  </si>
  <si>
    <t>ช่องระบายน้ำฝน (Roof Drain)</t>
  </si>
  <si>
    <t xml:space="preserve">   -  80  มม. Ø</t>
  </si>
  <si>
    <t>งานระบบสุขาภิบาล ชั้น 1</t>
  </si>
  <si>
    <r>
      <t xml:space="preserve">   -   40  มม. </t>
    </r>
    <r>
      <rPr>
        <sz val="9"/>
        <rFont val="Symbol"/>
        <family val="1"/>
        <charset val="2"/>
      </rPr>
      <t>ฦ</t>
    </r>
  </si>
  <si>
    <t xml:space="preserve">   -  12- 32 FU</t>
  </si>
  <si>
    <t xml:space="preserve">   - 114-154 FU</t>
  </si>
  <si>
    <t>ท่อ PP  Class B (PP Pipe Class B) (ท่อ Branch)</t>
  </si>
  <si>
    <t>ท่อพีวีซีชั้น 8.5 (PVC Pipe Class 8.5) ท่อระบายอากาศ (Branch)</t>
  </si>
  <si>
    <t>ท่อ HDPE ชั้น PN 10 (HDPE Pipe PN 10) มอก. (ท่อระบายน้ำออกนอกอาคาร)</t>
  </si>
  <si>
    <t>ระบบรดน้ำต้นไม้ (Irrigation)</t>
  </si>
  <si>
    <t>งานระบบสุขาภิบาล ชั้น 2</t>
  </si>
  <si>
    <t>งานระบบสุขาภิบาล ชั้น 3</t>
  </si>
  <si>
    <t>งานระบบสุขาภิบาล ชั้น 4</t>
  </si>
  <si>
    <t xml:space="preserve">   -  50  มม. Ø</t>
  </si>
  <si>
    <t>งานระบบสุขาภิบาล ชั้น 5</t>
  </si>
  <si>
    <t>งานระบบสุขาภิบาล ชั้น 6</t>
  </si>
  <si>
    <t>งานระบบสุขาภิบาล ชั้น 7</t>
  </si>
  <si>
    <t>งานระบบสุขาภิบาล ชั้น 8</t>
  </si>
  <si>
    <t>งานระบบสุขาภิบาล ชั้น 9</t>
  </si>
  <si>
    <t>งานระบบสุขาภิบาล ชั้น 10</t>
  </si>
  <si>
    <t>งานระบบสุขาภิบาล ชั้น 11</t>
  </si>
  <si>
    <t>งานระบบสุขาภิบาล ชั้นดาดฟ้า และชั้นหลังคา</t>
  </si>
  <si>
    <t>ท่อ HDPE ชั้น PN 10 (HDPE Pipe PN 10) มอก.</t>
  </si>
  <si>
    <t xml:space="preserve">   -  65  มม. Ø</t>
  </si>
  <si>
    <t>Flexible Pipe Connector</t>
  </si>
  <si>
    <t>กลุ่มงานที่ 1 / หมวดงานระบบดับเพลิงและป้องกันอัคคีภัย</t>
  </si>
  <si>
    <t>งานระบบดับเพลิงและป้องกันอัคคีภัย (Main Equipment)</t>
  </si>
  <si>
    <t>งานท่อน้ำ (Piping Work)</t>
  </si>
  <si>
    <t>6.1.1</t>
  </si>
  <si>
    <t>ท่อเหล็กดำ Sch.40 A53, GR.A มีตะเข็บ (ท่อ Main Riser)</t>
  </si>
  <si>
    <t xml:space="preserve">   -  15  มม. Ø</t>
  </si>
  <si>
    <t xml:space="preserve">   -  20  มม. Ø</t>
  </si>
  <si>
    <t xml:space="preserve">   -  25  มม. Ø</t>
  </si>
  <si>
    <t xml:space="preserve">   -  250  มม. Ø</t>
  </si>
  <si>
    <t xml:space="preserve">   -  ทาสีท่อดับเพลิง</t>
  </si>
  <si>
    <t>6.1.2</t>
  </si>
  <si>
    <t>ท่อเหล็กอาบสังกะสีชั้น B (Galvanized Steel Pipe Class B) มอก.277-2532</t>
  </si>
  <si>
    <t>วาล์วและอุปกรณ์ (Valve &amp; Pipe Accessories)</t>
  </si>
  <si>
    <t>6.2.1</t>
  </si>
  <si>
    <t>Wet Pipe Alarm Valve w/ Accessories</t>
  </si>
  <si>
    <t>6.2.2</t>
  </si>
  <si>
    <t>Strainer  175 PSI</t>
  </si>
  <si>
    <t>6.2.3</t>
  </si>
  <si>
    <t xml:space="preserve">Automatic Air Vent </t>
  </si>
  <si>
    <t>6.2.4</t>
  </si>
  <si>
    <t>Teloscopic Expansion Joint</t>
  </si>
  <si>
    <t>6.2.5</t>
  </si>
  <si>
    <t>Dirt Pocket With Flang</t>
  </si>
  <si>
    <t>6.2.6</t>
  </si>
  <si>
    <t>Pressure Relief Valve</t>
  </si>
  <si>
    <t>6.2.7</t>
  </si>
  <si>
    <t>Butterfly Valve  250 PSI</t>
  </si>
  <si>
    <t xml:space="preserve">   -   150  มม. Ø</t>
  </si>
  <si>
    <t>6.2.8</t>
  </si>
  <si>
    <t>Gate Valve  250 PSI</t>
  </si>
  <si>
    <t>6.2.9</t>
  </si>
  <si>
    <t>Expansion Joint</t>
  </si>
  <si>
    <t xml:space="preserve">   -   200  มม. Ø</t>
  </si>
  <si>
    <t>6.2.10</t>
  </si>
  <si>
    <t>Fire Department Connector</t>
  </si>
  <si>
    <t xml:space="preserve">   -  ø65 x ø65 x ø150</t>
  </si>
  <si>
    <t>6.2.11</t>
  </si>
  <si>
    <t>Fire Hydrant</t>
  </si>
  <si>
    <t xml:space="preserve">   -  </t>
  </si>
  <si>
    <t>6.3</t>
  </si>
  <si>
    <t>งานระบบดับเพลิงและป้องกันอัคคีภัย ชั้น B2</t>
  </si>
  <si>
    <t>6.1</t>
  </si>
  <si>
    <t>ท่อเหล็กดำ Sch.40 A53, GR.A มีตะเข็บ (ท่อ Branch)</t>
  </si>
  <si>
    <r>
      <t xml:space="preserve">   -   25  มม. </t>
    </r>
    <r>
      <rPr>
        <sz val="10"/>
        <rFont val="Arial"/>
        <family val="2"/>
      </rPr>
      <t>Ø</t>
    </r>
  </si>
  <si>
    <t>Ball Valve 150 PSI</t>
  </si>
  <si>
    <t>Butterfly Valve  175 PSI</t>
  </si>
  <si>
    <t>Gate Valve  175 PSI</t>
  </si>
  <si>
    <t>Sight Glass</t>
  </si>
  <si>
    <t>Wafer Check Valve</t>
  </si>
  <si>
    <t>ระบบหัวกระจายน้ำดับเพลิง (Sprinkler System)</t>
  </si>
  <si>
    <t>6.3.1</t>
  </si>
  <si>
    <r>
      <t xml:space="preserve">Pendent (Recessed Type)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</si>
  <si>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6.3.2</t>
  </si>
  <si>
    <r>
      <t xml:space="preserve">Pendent (Recessed Type) 13.5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</si>
  <si>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6.3.3</t>
  </si>
  <si>
    <r>
      <t xml:space="preserve">Up-Right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165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</si>
  <si>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6.3.4</t>
  </si>
  <si>
    <r>
      <t xml:space="preserve">Sidewall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</si>
  <si>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6.3.5</t>
  </si>
  <si>
    <t>Storage Sprinkler K= 25.2</t>
  </si>
  <si>
    <t>Sprinkler Head Spare Set</t>
  </si>
  <si>
    <r>
      <t xml:space="preserve">   -  Pendent (Recessed Type)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</si>
  <si>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r>
      <t xml:space="preserve">   -  Up-Right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165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</si>
  <si>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ตู้ดับเพลิงและถังดับเพลิงชนิดมือถือ (Fire Hose Cabinet &amp; Portable Fire Extinguisher)</t>
  </si>
  <si>
    <t>6.4.1</t>
  </si>
  <si>
    <t>Fire Hose Cabinet</t>
  </si>
  <si>
    <t xml:space="preserve">   - Recess Type Cabinet</t>
  </si>
  <si>
    <t xml:space="preserve">   - Dry Chemical Portable Fire Extinguisher  @ 4.5 kg.</t>
  </si>
  <si>
    <t xml:space="preserve">   - 25 mm Ø x 30 m  Automatic Hose &amp; Reel</t>
  </si>
  <si>
    <t xml:space="preserve">   - 65 mm Ø  Angle Hose Valve</t>
  </si>
  <si>
    <t xml:space="preserve">   - 65 mm Ø  Coupling Adaptor w/Cap &amp; Chain</t>
  </si>
  <si>
    <t xml:space="preserve">   - 25 mm Ø  Ball Valve</t>
  </si>
  <si>
    <t>6.4.2</t>
  </si>
  <si>
    <t>FHC-2 (Occupant's Use &amp; Parking Lot Use)</t>
  </si>
  <si>
    <t xml:space="preserve">   - Stand Type Cabinet</t>
  </si>
  <si>
    <t>6.4.3</t>
  </si>
  <si>
    <t>Fire Extinguisher Cabinet</t>
  </si>
  <si>
    <t xml:space="preserve">   - CO2 Portable Fire Extinguisher  @ 4.5 kg.</t>
  </si>
  <si>
    <t xml:space="preserve">   - Dry Chemical Portable Fire Extinguisher @ 4.5 kg.</t>
  </si>
  <si>
    <t xml:space="preserve">   - Wet Chemical Portable Fire Extinguisher</t>
  </si>
  <si>
    <t>ระบบไฟฟ้าและควบคุม (Electrical &amp; Control System) สำหรับระบบป้องกันอัคคีภัย</t>
  </si>
  <si>
    <t>6.5.1</t>
  </si>
  <si>
    <t>Supervisory Switch</t>
  </si>
  <si>
    <t>6.5.2</t>
  </si>
  <si>
    <t>Flow Switch</t>
  </si>
  <si>
    <t>6.5.3</t>
  </si>
  <si>
    <t>Pressure Switch</t>
  </si>
  <si>
    <t>6.5.4</t>
  </si>
  <si>
    <t>6.5.5</t>
  </si>
  <si>
    <t xml:space="preserve">   -    50 มม²</t>
  </si>
  <si>
    <t xml:space="preserve">   -    150 มม²</t>
  </si>
  <si>
    <t>6.5.6</t>
  </si>
  <si>
    <t>6.5.7</t>
  </si>
  <si>
    <t xml:space="preserve">   -  Fitting Hanger &amp; Support</t>
  </si>
  <si>
    <t>Included SAN อาคารทิศเหนือ (Main)</t>
  </si>
  <si>
    <t>งานระบบดับเพลิงและป้องกันอัคคีภัย ชั้น B1</t>
  </si>
  <si>
    <t>งานระบบดับเพลิงและป้องกันอัคคีภัย ชั้น 1</t>
  </si>
  <si>
    <r>
      <t xml:space="preserve">Standard Sidewall 13.5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</si>
  <si>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r>
      <t xml:space="preserve">   -  Standard Sidewall 13.5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</si>
  <si>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6.5</t>
  </si>
  <si>
    <t>Clean Agent (Novec 1230) Fire Suppression System</t>
  </si>
  <si>
    <t xml:space="preserve">Room Service </t>
  </si>
  <si>
    <t>W2-1MDB1 (MDB ศาลปกครอง)</t>
  </si>
  <si>
    <t>W2-1MDB2 (MDB ZONE W)</t>
  </si>
  <si>
    <t>Engineering And Commissioning</t>
  </si>
  <si>
    <t>6.6</t>
  </si>
  <si>
    <t>6.6.1</t>
  </si>
  <si>
    <t>6.6.2</t>
  </si>
  <si>
    <t>6.6.3</t>
  </si>
  <si>
    <t>6.7</t>
  </si>
  <si>
    <t>งานระบบดับเพลิงและป้องกันอัคคีภัย ชั้น 2</t>
  </si>
  <si>
    <t>Sprinkler Test Station</t>
  </si>
  <si>
    <t>งานระบบดับเพลิงและป้องกันอัคคีภัย ชั้น 3</t>
  </si>
  <si>
    <t>งานระบบดับเพลิงและป้องกันอัคคีภัย ชั้น 4</t>
  </si>
  <si>
    <t>งานระบบดับเพลิงและป้องกันอัคคีภัย ชั้น 5</t>
  </si>
  <si>
    <t>งานระบบดับเพลิงและป้องกันอัคคีภัย ชั้น 6</t>
  </si>
  <si>
    <t>งานระบบดับเพลิงและป้องกันอัคคีภัย ชั้น 7</t>
  </si>
  <si>
    <t>งานระบบดับเพลิงและป้องกันอัคคีภัย ชั้น 8</t>
  </si>
  <si>
    <t>งานระบบดับเพลิงและป้องกันอัคคีภัย ชั้น 9</t>
  </si>
  <si>
    <t>vv</t>
  </si>
  <si>
    <t>งานระบบดับเพลิงและป้องกันอัคคีภัย ชั้น 10</t>
  </si>
  <si>
    <t>งานระบบดับเพลิงและป้องกันอัคคีภัย ชั้น 11</t>
  </si>
  <si>
    <t>งานระบบดับเพลิงและป้องกันอัคคีภัย ชั้น ดาดฟ้า</t>
  </si>
  <si>
    <t>กลุ่มงานที่ 1 / หมวดงานระบบปรับอากาศ และระบายอากาศ</t>
  </si>
  <si>
    <t>งานระบบปรับอากาศ และระบายอากาศ (Main Equipment)</t>
  </si>
  <si>
    <t>อุปกรณ์ควบคุมอัตโนมัติ (Automatic Control Equipment)</t>
  </si>
  <si>
    <t>7.1.1</t>
  </si>
  <si>
    <t>Water Differential Pressure Transmitter (DPT)</t>
  </si>
  <si>
    <t>7.1.2</t>
  </si>
  <si>
    <t>Thermometer</t>
  </si>
  <si>
    <t>7.1.3</t>
  </si>
  <si>
    <t xml:space="preserve">BTU Meter </t>
  </si>
  <si>
    <t>7.2</t>
  </si>
  <si>
    <t>พัดลมระบายอากาศ (Ventilating Fan)</t>
  </si>
  <si>
    <t>7.2.1</t>
  </si>
  <si>
    <t xml:space="preserve">พัดลมชนิด Propeller Fan </t>
  </si>
  <si>
    <t xml:space="preserve">  -  W1C-B2EAF-01, (125 L/s)</t>
  </si>
  <si>
    <t xml:space="preserve">  -  W1C-B2EAF-02, (125 L/s)</t>
  </si>
  <si>
    <t xml:space="preserve">  -  W1C-B2EAF-03, (50 L/s)</t>
  </si>
  <si>
    <t xml:space="preserve">  -  W1C-B2EAF-04, (630 L/s)</t>
  </si>
  <si>
    <t xml:space="preserve">  -  W1C-B2EAF-05, (150 L/s)</t>
  </si>
  <si>
    <t xml:space="preserve">  -  W2C-B2EAF-01, (125 L/s)</t>
  </si>
  <si>
    <t xml:space="preserve">  -  W2C-B2EAF-02, (125 L/s)</t>
  </si>
  <si>
    <t xml:space="preserve">  -  W2C-B2EAF-03, (50 L/s)</t>
  </si>
  <si>
    <t xml:space="preserve">  -  W2C-B2EAF-04, (630 L/s)</t>
  </si>
  <si>
    <t xml:space="preserve">  -  W2C-B2EAF-05, (150 L/s)</t>
  </si>
  <si>
    <t xml:space="preserve">  -  W1C-B1EAF-01, (125 L/s)</t>
  </si>
  <si>
    <t xml:space="preserve">  -  W1C-B1EAF-02, (125 L/s)</t>
  </si>
  <si>
    <t xml:space="preserve">  -  W1C-B1EAF-03, (50 L/s)</t>
  </si>
  <si>
    <t xml:space="preserve">  -  W1C-B1EAF-05, (150 L/s)</t>
  </si>
  <si>
    <t xml:space="preserve">  -  W1-B1EAF-01, (50 L/s)</t>
  </si>
  <si>
    <t xml:space="preserve">  -  W2C-B1EAF-01, (125 L/s)</t>
  </si>
  <si>
    <t xml:space="preserve">  -  W2C-B1EAF-02, (125 L/s)</t>
  </si>
  <si>
    <t xml:space="preserve">  -  W2C-B1EAF-03, (50 L/s)</t>
  </si>
  <si>
    <t xml:space="preserve">  -  W2C-B1EAF-05, (150 L/s)</t>
  </si>
  <si>
    <t xml:space="preserve">  -  W2-B1EAF-01, (50 L/s)</t>
  </si>
  <si>
    <t xml:space="preserve">  -  W1C-1EAF-01, (125 L/s)</t>
  </si>
  <si>
    <t xml:space="preserve">  -  W2C-1EAF-01, (125 L/s)</t>
  </si>
  <si>
    <t xml:space="preserve">  -  W1C-2EAF-01, (125 L/s)</t>
  </si>
  <si>
    <t xml:space="preserve">  -  W2C-2EAF-01, (150 L/s)</t>
  </si>
  <si>
    <t xml:space="preserve">  -  W1C-3EAF-01, (125 L/s)</t>
  </si>
  <si>
    <t xml:space="preserve">  -  W2C-3EAF-01, (125 L/s)</t>
  </si>
  <si>
    <t xml:space="preserve">  -  W1C-4EAF-01, (125 L/s)</t>
  </si>
  <si>
    <t xml:space="preserve">  -  W2C-4EAF-01, (125 L/s)</t>
  </si>
  <si>
    <t xml:space="preserve">  -  W1C-5EAF-01, (125 L/s)</t>
  </si>
  <si>
    <t xml:space="preserve">  -  W2C-5EAF-01, (125 L/s)</t>
  </si>
  <si>
    <t xml:space="preserve">  -  W1C-6EAF-01, (125 L/s)</t>
  </si>
  <si>
    <t xml:space="preserve">  -  W2C-6EAF-01, (125 L/s)</t>
  </si>
  <si>
    <t xml:space="preserve">  -  W1C-7EAF-01, (125 L/s)</t>
  </si>
  <si>
    <t xml:space="preserve">  -  W2C-7EAF-01, (125 L/s)</t>
  </si>
  <si>
    <t xml:space="preserve">  -  W1C-8EAF-01, (125 L/s)</t>
  </si>
  <si>
    <t xml:space="preserve">  -  W2C-8EAF-01, (125 L/s)</t>
  </si>
  <si>
    <t xml:space="preserve">  -  W1C-9EAF-01, (125 L/s)</t>
  </si>
  <si>
    <t xml:space="preserve">  -  W2C-9EAF-01, (125 L/s)</t>
  </si>
  <si>
    <t xml:space="preserve">  -  W1C-10EAF-01, (125 L/s)</t>
  </si>
  <si>
    <t xml:space="preserve">  -  W2C-10EAF-01, (125 L/s)</t>
  </si>
  <si>
    <t xml:space="preserve">  -  W1C-11EAF-01, (125 L/s)</t>
  </si>
  <si>
    <t xml:space="preserve">  -  W2C-11EAF-01, (125 L/s)</t>
  </si>
  <si>
    <t>7.2.2</t>
  </si>
  <si>
    <t xml:space="preserve">พัดลมชนิด Ceiling Fan </t>
  </si>
  <si>
    <t xml:space="preserve">  -  W1C-B1EAF-04, (50 L/s)</t>
  </si>
  <si>
    <t xml:space="preserve">  -  W2C-B1EAF-04, (50 L/s)</t>
  </si>
  <si>
    <t>7.2.3</t>
  </si>
  <si>
    <t>อุปกรณ์ลดแรงสั่นสะเทือน (Vibration Isolator)</t>
  </si>
  <si>
    <t>งานท่อ (Piping Work)</t>
  </si>
  <si>
    <t>7.3.1</t>
  </si>
  <si>
    <t>Chilled Water Pipe ท่อเหล็กดำ Sch.40 GR, A มีตะเข็บ</t>
  </si>
  <si>
    <t>7.3.1.1</t>
  </si>
  <si>
    <r>
      <t xml:space="preserve">   </t>
    </r>
    <r>
      <rPr>
        <b/>
        <i/>
        <u/>
        <sz val="16"/>
        <rFont val="CordiaUPC"/>
        <family val="2"/>
      </rPr>
      <t>ท่อ Main Riser</t>
    </r>
  </si>
  <si>
    <t>7.3.2</t>
  </si>
  <si>
    <t>Condensate Drain Pipe (Main Riser)</t>
  </si>
  <si>
    <t>7.3.2.1</t>
  </si>
  <si>
    <t>ท่อพีวีซีชั้น 8.5 (PVC Pipe Class 8.5)</t>
  </si>
  <si>
    <r>
      <t xml:space="preserve">   -   50  มม. </t>
    </r>
    <r>
      <rPr>
        <sz val="10"/>
        <rFont val="Arial"/>
        <family val="2"/>
      </rPr>
      <t>Ø</t>
    </r>
  </si>
  <si>
    <t>7.4</t>
  </si>
  <si>
    <t>ฉนวนหุ้มท่อ (Pipe Insulation)</t>
  </si>
  <si>
    <t>7.4.1</t>
  </si>
  <si>
    <t>19-mm Closed Cell Foam (Drain Pipe)</t>
  </si>
  <si>
    <t>7.4.2</t>
  </si>
  <si>
    <t>40-mm Closed Cell Foam (Chilled Water Pipe)</t>
  </si>
  <si>
    <t xml:space="preserve">   -   250  มม. Ø</t>
  </si>
  <si>
    <t>7.4.3</t>
  </si>
  <si>
    <t>Pre-Insulated</t>
  </si>
  <si>
    <t>วาล์วและอุปกรณ์ประกอบ  (Valve &amp; Pipe Accessories)</t>
  </si>
  <si>
    <t>7.5.1</t>
  </si>
  <si>
    <t>Gate Valve  150 PSI WOG</t>
  </si>
  <si>
    <t>7.5.2</t>
  </si>
  <si>
    <t>Butterfly Valve  150 PSI WOG</t>
  </si>
  <si>
    <t>7.5.3</t>
  </si>
  <si>
    <t>Strainer  150 PSI WOG</t>
  </si>
  <si>
    <t>7.5.4</t>
  </si>
  <si>
    <t>Flexible Pipe Connector  1,034 kPa WOG</t>
  </si>
  <si>
    <t>7.5.5</t>
  </si>
  <si>
    <t>7.5.6</t>
  </si>
  <si>
    <t>7.5.7</t>
  </si>
  <si>
    <t>7.6</t>
  </si>
  <si>
    <t>ระบบท่อลม (Duct Work)</t>
  </si>
  <si>
    <t>7.6.1</t>
  </si>
  <si>
    <t>สังกะสีแผ่นเรียบ (Galvanized Steel Sheet) Supply &amp; Return Air Duct</t>
  </si>
  <si>
    <t xml:space="preserve">   - สังกะสีเบอร์ 26 GA</t>
  </si>
  <si>
    <t>ม.²</t>
  </si>
  <si>
    <t xml:space="preserve">   - สังกะสีเบอร์ 24 GA</t>
  </si>
  <si>
    <t xml:space="preserve">   - สังกะสีเบอร์ 22 GA</t>
  </si>
  <si>
    <t xml:space="preserve">   - สังกะสีเบอร์ 20 GA</t>
  </si>
  <si>
    <t xml:space="preserve">   - สังกะสีเบอร์ 18 GA</t>
  </si>
  <si>
    <t>ฉนวนหุ้มท่อลม (Duct Insulation)</t>
  </si>
  <si>
    <t>7.7.1</t>
  </si>
  <si>
    <t xml:space="preserve">ฉนวน Fiberglass </t>
  </si>
  <si>
    <t xml:space="preserve">   - 25-mm 32 kg/m³ Fiberglass</t>
  </si>
  <si>
    <t xml:space="preserve">   - 25-mm 48 kg/m³ Fiberglass</t>
  </si>
  <si>
    <t xml:space="preserve">   - 75-mm 32 kg/m³ Fiberglass (High Temp.)</t>
  </si>
  <si>
    <t>7.7.2</t>
  </si>
  <si>
    <t>Duct Tape &amp; Adhesive (Neobond Fire Retardant)</t>
  </si>
  <si>
    <t>7.8</t>
  </si>
  <si>
    <t>หน้ากากลม (Air Diffuser, Grille &amp; Register)</t>
  </si>
  <si>
    <t>7.8.1</t>
  </si>
  <si>
    <t>Exhaust Air Grille</t>
  </si>
  <si>
    <t xml:space="preserve">   - 200x200 มม.</t>
  </si>
  <si>
    <t>7.8.2</t>
  </si>
  <si>
    <t>Transfer Air Grille</t>
  </si>
  <si>
    <t xml:space="preserve">   - 350x350 มม.</t>
  </si>
  <si>
    <t>7.8.3</t>
  </si>
  <si>
    <t>Pressurized  Air Register</t>
  </si>
  <si>
    <t xml:space="preserve">   - 1250x800 มม.</t>
  </si>
  <si>
    <t xml:space="preserve">   - 1450x800 มม.</t>
  </si>
  <si>
    <t xml:space="preserve">   - 1450x1400 มม.</t>
  </si>
  <si>
    <t>7.8.4</t>
  </si>
  <si>
    <t>Counter Weight Relief Damper</t>
  </si>
  <si>
    <t xml:space="preserve">   - 400x400 มม.</t>
  </si>
  <si>
    <t xml:space="preserve">   - 900x400 มม.</t>
  </si>
  <si>
    <t>7.9</t>
  </si>
  <si>
    <t>หมวดงานเชื่อมต่อกับระบบ BAS</t>
  </si>
  <si>
    <t>7.9.1</t>
  </si>
  <si>
    <t>Workstation</t>
  </si>
  <si>
    <t>7.9.2</t>
  </si>
  <si>
    <t>Controller</t>
  </si>
  <si>
    <t>7.9.3</t>
  </si>
  <si>
    <t xml:space="preserve">   -   Diff. Pressure Switch</t>
  </si>
  <si>
    <t xml:space="preserve">   -   Room Temp. Sensor</t>
  </si>
  <si>
    <t xml:space="preserve">   -   Pres. Independent</t>
  </si>
  <si>
    <t xml:space="preserve">   -   Duct Temp. Sensor</t>
  </si>
  <si>
    <t xml:space="preserve">   -   Air Flow Switch</t>
  </si>
  <si>
    <t xml:space="preserve">   -   Room Humidity Sensor</t>
  </si>
  <si>
    <t xml:space="preserve">   -   Duct Pressure Transmitter</t>
  </si>
  <si>
    <t>สายควบคุมสัญญาณ (Control Cable)</t>
  </si>
  <si>
    <t xml:space="preserve">  -  CVVS  12C- 1 มม²</t>
  </si>
  <si>
    <t xml:space="preserve">  -  CVV  12C - 1 มม²</t>
  </si>
  <si>
    <t xml:space="preserve">  -  Fiber Optic Cable 4 Core Multimode</t>
  </si>
  <si>
    <t xml:space="preserve">  -  RS485 Cable</t>
  </si>
  <si>
    <t xml:space="preserve">   - Accessreis</t>
  </si>
  <si>
    <t xml:space="preserve">   -  Fitting, Hanger &amp; Support</t>
  </si>
  <si>
    <t xml:space="preserve">   -  100 mm x  100 mm</t>
  </si>
  <si>
    <t>7.10</t>
  </si>
  <si>
    <t>งานระบบปรับอากาศ และระบายอากาศ ชั้น B2</t>
  </si>
  <si>
    <t>เครื่องส่งลมเย็นขนาดเล็ก (Fan Coil Unit)</t>
  </si>
  <si>
    <t>Unit No.</t>
  </si>
  <si>
    <t>Ceiling Mounted Concealed Type</t>
  </si>
  <si>
    <t xml:space="preserve">  -  W1C-B2F-01, (3.5 kW,190 L/s)</t>
  </si>
  <si>
    <t xml:space="preserve">  -  W2C-B2F-01, (3.5 kW,190 L/s)</t>
  </si>
  <si>
    <t>Network Thermostat</t>
  </si>
  <si>
    <t>Automatic Control Valve</t>
  </si>
  <si>
    <t>7.2.1.1</t>
  </si>
  <si>
    <t>Pressure Independent Control Valve On-Off Type</t>
  </si>
  <si>
    <t>CO Sensor</t>
  </si>
  <si>
    <t>Temp. Sensor</t>
  </si>
  <si>
    <t>พัดลมชนิด Centrifugal, Belt Drive</t>
  </si>
  <si>
    <t xml:space="preserve">  -  W1-B2MAF-01, (14,700 / 24,500 L/s)</t>
  </si>
  <si>
    <t xml:space="preserve">  -  W1-B2EAF-01, (14,700 / 24,450 L/s)</t>
  </si>
  <si>
    <t xml:space="preserve">  -  W1-B2EAF-02, (14,700 / 24,450 L/s)</t>
  </si>
  <si>
    <t xml:space="preserve">  -  W1-B2EAF-03, (14,700 / 24,450 L/s)</t>
  </si>
  <si>
    <t xml:space="preserve">   - W1C-B2EAF-04 (630 L/s)</t>
  </si>
  <si>
    <t xml:space="preserve">  -  W2-B2MAF-01, (14,700 / 24,500 L/s)</t>
  </si>
  <si>
    <t xml:space="preserve">  -  W2-B2EAF-01, (14,700 / 24,450 L/s)</t>
  </si>
  <si>
    <t xml:space="preserve">   - W2C-B2EAF-04 (630 L/s)</t>
  </si>
  <si>
    <t>พัดลมชนิด Jet Fan</t>
  </si>
  <si>
    <t xml:space="preserve">  -  W1-B2JEF-01 To 06, (1550 L/s)</t>
  </si>
  <si>
    <t xml:space="preserve">  -  W2-B2JEF-01 To 18, (1550 L/s)</t>
  </si>
  <si>
    <t>7.3.3</t>
  </si>
  <si>
    <t>พัดลมชนิด Properler Fan</t>
  </si>
  <si>
    <t xml:space="preserve">   - W1C-B2EAF-01 (125 L/s)</t>
  </si>
  <si>
    <t xml:space="preserve">   - W1C-B2EAF-02 (125 L/s)</t>
  </si>
  <si>
    <t xml:space="preserve">   - W1C-B2EAF-03 (50 L/s)</t>
  </si>
  <si>
    <t xml:space="preserve">   - W1C-B2EAF-05 (150 L/s)</t>
  </si>
  <si>
    <t xml:space="preserve">   - W2C-B2EAF-01 (125 L/s)</t>
  </si>
  <si>
    <t xml:space="preserve">   - W2C-B2EAF-02 (125 L/s)</t>
  </si>
  <si>
    <t xml:space="preserve">   - W2C-B2EAF-03 (50 L/s)</t>
  </si>
  <si>
    <t xml:space="preserve">   - W2C-B2EAF-05 (150 L/s)</t>
  </si>
  <si>
    <t>7.3.4</t>
  </si>
  <si>
    <t>7.4.1.1</t>
  </si>
  <si>
    <r>
      <t xml:space="preserve">   </t>
    </r>
    <r>
      <rPr>
        <b/>
        <i/>
        <u/>
        <sz val="16"/>
        <rFont val="CordiaUPC"/>
        <family val="2"/>
      </rPr>
      <t>ท่อ Branch</t>
    </r>
  </si>
  <si>
    <r>
      <t xml:space="preserve">   -   20  มม. </t>
    </r>
    <r>
      <rPr>
        <sz val="10"/>
        <rFont val="Arial"/>
        <family val="2"/>
      </rPr>
      <t>Ø</t>
    </r>
  </si>
  <si>
    <t>25-mm Closed Cell Foam (Chilled Water Pipe)</t>
  </si>
  <si>
    <t>7.6.2</t>
  </si>
  <si>
    <t>สังกะสีแผ่นเรียบ (Galvanized Steel Sheet) Exhaust Air Duct</t>
  </si>
  <si>
    <t>Air Louver</t>
  </si>
  <si>
    <t xml:space="preserve">  -  1900x500 มม.</t>
  </si>
  <si>
    <t xml:space="preserve">  -  2100x500 มม.</t>
  </si>
  <si>
    <t xml:space="preserve">   - 150x150 มม.</t>
  </si>
  <si>
    <t xml:space="preserve">   - 300x250 มม.</t>
  </si>
  <si>
    <t>ระบบไฟฟ้าและควบคุม (Electrical &amp; Control System)</t>
  </si>
  <si>
    <t>Panel Board No.</t>
  </si>
  <si>
    <t xml:space="preserve">   - W1C-B2EAP1</t>
  </si>
  <si>
    <t xml:space="preserve">  -  W2C-B2EAP1</t>
  </si>
  <si>
    <t xml:space="preserve">  -  W2C-B2EAP2</t>
  </si>
  <si>
    <t>Variable Speed Controller</t>
  </si>
  <si>
    <t xml:space="preserve">   - 22 kW</t>
  </si>
  <si>
    <t>Included Panel Board No. W1C-B2EAP1, W2C-B2EAP1</t>
  </si>
  <si>
    <t>งานระบบปรับอากาศ และระบายอากาศ ชั้น B1</t>
  </si>
  <si>
    <t xml:space="preserve">  -  W1C-B1F-01, (3.5 kW,190 L/s)</t>
  </si>
  <si>
    <t xml:space="preserve">  -  W1C-B1F-02, (2.2 kW,150 L/s)</t>
  </si>
  <si>
    <t xml:space="preserve">  -  W1C-B1F-03, (3.5 kW,190 L/s)</t>
  </si>
  <si>
    <t xml:space="preserve">  -  W1-B1F-01, (5.15 kW,300 L/s)</t>
  </si>
  <si>
    <t xml:space="preserve">  -  W1-B1F-02, (5.15 kW,300 L/s)</t>
  </si>
  <si>
    <t xml:space="preserve">  -  W2C-B1F-01, (3.5 kW,190 L/s)</t>
  </si>
  <si>
    <t xml:space="preserve">  -  W2C-B1F-02, (2.2 kW,150 L/s)</t>
  </si>
  <si>
    <t xml:space="preserve">  -  W2C-B1F-03, (3.5 kW,190 L/s)</t>
  </si>
  <si>
    <t>Ceiling Exposed Type</t>
  </si>
  <si>
    <t xml:space="preserve">  -  W2-B1F-03 TO 06, (8.75 kW,825 L/s)</t>
  </si>
  <si>
    <t>Thermostat for FCU,On-Off Type</t>
  </si>
  <si>
    <t xml:space="preserve">   - Room Thermostat  w/ 3 Speed Switch</t>
  </si>
  <si>
    <t>7.1.4</t>
  </si>
  <si>
    <t>CO Senser</t>
  </si>
  <si>
    <t xml:space="preserve">  -  W1-B1MAF-01, (15,300 / 25,500 L/s)</t>
  </si>
  <si>
    <t xml:space="preserve">  -  W1-B1EAF-01, (10,900 / 18,200 L/s)</t>
  </si>
  <si>
    <t xml:space="preserve">  -  W1-B1EAF-02, (10,900 / 18,200 L/s)</t>
  </si>
  <si>
    <t xml:space="preserve">  -  W1-B1EAF-03, (10,900 / 18,200 L/s)</t>
  </si>
  <si>
    <t xml:space="preserve">  -  W2-B1MAF-01, (15,300 / 25,500 L/s)</t>
  </si>
  <si>
    <t xml:space="preserve">  -  W2-B1EAF-01, (10,900 / 18,200 L/s)</t>
  </si>
  <si>
    <t xml:space="preserve">  -  W2-B1EAF-02, (10,900 / 18,200 L/s)</t>
  </si>
  <si>
    <t xml:space="preserve">  -  W2-B1EAF-02, (1200 L/s)</t>
  </si>
  <si>
    <t xml:space="preserve">   - W1C-B1EAF-01 (125 L/s)</t>
  </si>
  <si>
    <t xml:space="preserve">   - W1C-B1EAF-02 (125 L/s)</t>
  </si>
  <si>
    <t xml:space="preserve">   - W1C-B1EAF-03 (50 L/s)</t>
  </si>
  <si>
    <t xml:space="preserve">   - W1C-B1EAF-05 (150 L/s)</t>
  </si>
  <si>
    <t xml:space="preserve">   - W2C-B1EAF-01 (125 L/s)</t>
  </si>
  <si>
    <t xml:space="preserve">   - W2C-B1EAF-02 (125 L/s)</t>
  </si>
  <si>
    <t xml:space="preserve">   - W2C-B1EAF-03 (50 L/s)</t>
  </si>
  <si>
    <t xml:space="preserve">   - W2C-B1EAF-04 (50 L/s)</t>
  </si>
  <si>
    <t xml:space="preserve">   - W2C-B1EAF-05 (150 L/s)</t>
  </si>
  <si>
    <t xml:space="preserve">   - W1-B1EAF-06 ( 700 L/s)</t>
  </si>
  <si>
    <t xml:space="preserve">   - W1-B1JEF-01 To 21 (1,550 L/s)</t>
  </si>
  <si>
    <t xml:space="preserve">   - W2-B1JEF-01 To 19 (1,550 L/s)</t>
  </si>
  <si>
    <t>พัดลมชนิด Ceilling Fan</t>
  </si>
  <si>
    <t xml:space="preserve">   - W1C-B1EAF-04 (50 L/s)</t>
  </si>
  <si>
    <t xml:space="preserve">   - W1-B1EAF-04 TO 05 (50 L/s)</t>
  </si>
  <si>
    <t>7.3.5</t>
  </si>
  <si>
    <r>
      <t xml:space="preserve">   </t>
    </r>
    <r>
      <rPr>
        <b/>
        <i/>
        <u/>
        <sz val="16"/>
        <rFont val="CordiaUPC"/>
        <family val="2"/>
      </rPr>
      <t>ท่อ Main แนวราบ</t>
    </r>
  </si>
  <si>
    <t xml:space="preserve">   -  400  มม. Ø</t>
  </si>
  <si>
    <t>7.6.3</t>
  </si>
  <si>
    <t>7.6.4</t>
  </si>
  <si>
    <t xml:space="preserve">  -  800x500 มม.</t>
  </si>
  <si>
    <t xml:space="preserve">  -  800x750 มม.</t>
  </si>
  <si>
    <t xml:space="preserve">  -  2000x400 มม.</t>
  </si>
  <si>
    <t xml:space="preserve">  -  2300x650 มม.</t>
  </si>
  <si>
    <t xml:space="preserve">   - 300x300 มม.</t>
  </si>
  <si>
    <t xml:space="preserve">   - 800x750 มม.</t>
  </si>
  <si>
    <t xml:space="preserve">   - 800x500 มม.</t>
  </si>
  <si>
    <t>W1C-B1EAP1</t>
  </si>
  <si>
    <t>W2C-B1EAP1</t>
  </si>
  <si>
    <t>W2C-B1EAP2</t>
  </si>
  <si>
    <t>W2C-B1AP1</t>
  </si>
  <si>
    <t xml:space="preserve">   - W1C-B1EAP1</t>
  </si>
  <si>
    <t xml:space="preserve">   - W2C-B1EAP1</t>
  </si>
  <si>
    <t xml:space="preserve">   - W2C-B1EAP2</t>
  </si>
  <si>
    <t xml:space="preserve">   - W2C-B1AP1</t>
  </si>
  <si>
    <t xml:space="preserve">   - 30 kW</t>
  </si>
  <si>
    <t>Included Panel Board No. W1C-B1EAP1, W2C-B1EAP1</t>
  </si>
  <si>
    <t>งานระบบปรับอากาศ และระบายอากาศ ชั้น 1</t>
  </si>
  <si>
    <t>7.1</t>
  </si>
  <si>
    <t>เครื่องส่งลมเย็นขนาดใหญ่ (Air Handling Unit)</t>
  </si>
  <si>
    <t xml:space="preserve">  -  W2-1A-01, (29.4 kW,1875 L/s)</t>
  </si>
  <si>
    <t xml:space="preserve">  -  W2-1A-02(ST.BY), (29.4 kW,1875 L/s)</t>
  </si>
  <si>
    <t xml:space="preserve">  -  W2-1A-03, (52.6 kW,3300 L/s)</t>
  </si>
  <si>
    <t xml:space="preserve">  -  W2-1A-04(ST.BY), (52.6 kW,3300 L/s)</t>
  </si>
  <si>
    <t>Thermostat for OAU, Proportional Type</t>
  </si>
  <si>
    <t xml:space="preserve">   - Space Thermostat</t>
  </si>
  <si>
    <t xml:space="preserve">  -  W2-1EAF-01, (320 L/s)</t>
  </si>
  <si>
    <t>ระบบกรองอากาศ (Air Filtration System)</t>
  </si>
  <si>
    <t>Pre-Filter</t>
  </si>
  <si>
    <t xml:space="preserve">   -Type PF-3</t>
  </si>
  <si>
    <t>Diff . Press . Switch</t>
  </si>
  <si>
    <t>Inclined Manometer</t>
  </si>
  <si>
    <t>7.4.4</t>
  </si>
  <si>
    <t>งานโครงเหล็ก</t>
  </si>
  <si>
    <t>7.5.1.1</t>
  </si>
  <si>
    <t xml:space="preserve">   -   35  มม. Ø</t>
  </si>
  <si>
    <t>25-mm Closed Cell Foam (Drain Pipe)</t>
  </si>
  <si>
    <t>32-mm Closed Cell Foam (Chilled Water Pipe)</t>
  </si>
  <si>
    <t>7.7.3</t>
  </si>
  <si>
    <t>สังกะสีแผ่นเรียบ (Galvanized Steel Sheet) Supply Air &amp; Return Air Duct</t>
  </si>
  <si>
    <t>7.10.1</t>
  </si>
  <si>
    <t>Return  Air Grille</t>
  </si>
  <si>
    <t xml:space="preserve">  -  850x400 มม.</t>
  </si>
  <si>
    <t xml:space="preserve">  -  1500x1400 มม.</t>
  </si>
  <si>
    <t>7.10.2</t>
  </si>
  <si>
    <t xml:space="preserve">  -  300x300 มม.</t>
  </si>
  <si>
    <t>7.10.3</t>
  </si>
  <si>
    <t>Supply Air Grille</t>
  </si>
  <si>
    <t xml:space="preserve">  -  450x400 มม.</t>
  </si>
  <si>
    <t xml:space="preserve">  -  600x550 มม.</t>
  </si>
  <si>
    <t>7.10.4</t>
  </si>
  <si>
    <t xml:space="preserve">  -  400x400 มม.</t>
  </si>
  <si>
    <t>7.10.5</t>
  </si>
  <si>
    <t>Fire Damper</t>
  </si>
  <si>
    <t>7.11</t>
  </si>
  <si>
    <t>7.11.1</t>
  </si>
  <si>
    <t>W1C-1EAP1</t>
  </si>
  <si>
    <t>W2C-1EAP1</t>
  </si>
  <si>
    <t xml:space="preserve">   - W2-1EAP1</t>
  </si>
  <si>
    <t xml:space="preserve">   - W2-1EAP2</t>
  </si>
  <si>
    <t>7.11.2</t>
  </si>
  <si>
    <t>7.11.3</t>
  </si>
  <si>
    <t>งานระบบปรับอากาศ และระบายอากาศ ชั้น 4</t>
  </si>
  <si>
    <t xml:space="preserve">  -  W1-4A-01, (33.8 kW,1850 L/s)</t>
  </si>
  <si>
    <t xml:space="preserve">  -  W1-4A-02, (33.8 kW,1850 L/s)</t>
  </si>
  <si>
    <t xml:space="preserve">  -  W2-4A-01, (20.45 kW,1500 L/s)</t>
  </si>
  <si>
    <t xml:space="preserve">  -  W2-4A-02, (33.8 kW,1850 L/s)</t>
  </si>
  <si>
    <t xml:space="preserve">  -  W2-4A-03, (24.87 kW,1400 L/s)</t>
  </si>
  <si>
    <t xml:space="preserve">  -  W2-4A-04, (24.87 kW,1400 L/s)</t>
  </si>
  <si>
    <t xml:space="preserve">  -  W2-4A-05, (24.87 kW,1400 L/s)</t>
  </si>
  <si>
    <t xml:space="preserve">  -  W2-4A-06, (33.8 kW,1850 L/s)</t>
  </si>
  <si>
    <t xml:space="preserve">  -  W2-4A-07, (20.45 kW,1500 L/s)</t>
  </si>
  <si>
    <t xml:space="preserve">  -  W2-4A-08, (33.8 kW,1850 L/s)</t>
  </si>
  <si>
    <t xml:space="preserve">  -  W2-4A-09, (33.8 kW,1850 L/s)</t>
  </si>
  <si>
    <t xml:space="preserve">  -  W2-4A-10, (38.8 kW,3000 L/s)</t>
  </si>
  <si>
    <t xml:space="preserve">  -  W2-4A-11(ST.BY.), (38.8 kW,3000 L/s)</t>
  </si>
  <si>
    <t xml:space="preserve">  -  W2-4A-12, (38.8 kW,3000 L/s)</t>
  </si>
  <si>
    <t xml:space="preserve">  -  W2-4A-13(ST.BY.), (38.8 kW,3000 L/s)</t>
  </si>
  <si>
    <t>7.3</t>
  </si>
  <si>
    <t>7.5</t>
  </si>
  <si>
    <t>7.7</t>
  </si>
  <si>
    <t xml:space="preserve">   - W2-4AP1</t>
  </si>
  <si>
    <t xml:space="preserve">   - W2-4AP2</t>
  </si>
  <si>
    <t xml:space="preserve">   - W2-4AP3</t>
  </si>
  <si>
    <t xml:space="preserve">   - W2C-4EAP1</t>
  </si>
  <si>
    <t xml:space="preserve">   - W2-4EAP2</t>
  </si>
  <si>
    <t xml:space="preserve">   - W2-4EAP3</t>
  </si>
  <si>
    <t xml:space="preserve">   - W2-4EAP4</t>
  </si>
  <si>
    <t xml:space="preserve">   - W1-4AP1</t>
  </si>
  <si>
    <t>งานระบบปรับอากาศ และระบายอากาศ ชั้น 11</t>
  </si>
  <si>
    <t xml:space="preserve">  -  W1A-11A-01, (59.1 kW,3600 L/s)</t>
  </si>
  <si>
    <t xml:space="preserve">  -  W2B-11A-01, (51.7 kW,2800 L/s)</t>
  </si>
  <si>
    <t xml:space="preserve">  -  W2B-11A-02, (51.7 kW,2800 L/s)</t>
  </si>
  <si>
    <t xml:space="preserve">   - W1-11AP1</t>
  </si>
  <si>
    <t xml:space="preserve">   - W2-11AP1</t>
  </si>
  <si>
    <t xml:space="preserve">   - W2-11AP2</t>
  </si>
  <si>
    <t>งานระบบปรับอากาศ และระบายอากาศ ชั้น ดาดฟ้า</t>
  </si>
  <si>
    <t>เครื่องส่งลมเย็นแบบ Pre-Cooled Outdoor Air unit</t>
  </si>
  <si>
    <t xml:space="preserve">  -  W1C-ROAU-01, (14000 L/s)</t>
  </si>
  <si>
    <t xml:space="preserve">  -  W1C-ROAU-02, (14000 L/s)</t>
  </si>
  <si>
    <t xml:space="preserve">  -  W2C-ROAU-01, (14000 L/s)</t>
  </si>
  <si>
    <t xml:space="preserve">  -  W2C-ROAU-02, (14000 L/s)</t>
  </si>
  <si>
    <t xml:space="preserve">   - Duct Immersion Type</t>
  </si>
  <si>
    <t>ฐานแท่นคอนกรีต (Concrete Foundation)</t>
  </si>
  <si>
    <t xml:space="preserve">  -  W1C-REAF-01, (2000 L/s)</t>
  </si>
  <si>
    <t xml:space="preserve">  -  W1C-REAF-02, (2500 L/s)</t>
  </si>
  <si>
    <t xml:space="preserve">  -  W1C-REAF-03, (935 L/s)</t>
  </si>
  <si>
    <t xml:space="preserve">  -  W1C-REAF-04, (2200 L/s)</t>
  </si>
  <si>
    <t xml:space="preserve">  -  W1C-REAF-05, (3100 L/s)</t>
  </si>
  <si>
    <t xml:space="preserve">  -  W1C-REAF-06, (3600 L/s)</t>
  </si>
  <si>
    <t xml:space="preserve">  -  W1C-REAF-07, (4700 L/s)</t>
  </si>
  <si>
    <t xml:space="preserve">  -  W2C-REAF-01, (1100 L/s)</t>
  </si>
  <si>
    <t xml:space="preserve">  -  W2C-REAF-02, (2600 L/s)</t>
  </si>
  <si>
    <t xml:space="preserve">  -  W2C-REAF-03, (935 L/s)</t>
  </si>
  <si>
    <t xml:space="preserve">  -  W2C-REAF-04, (2000 L/s)</t>
  </si>
  <si>
    <t xml:space="preserve">  -  W2C-REAF-05, (2700 L/s)</t>
  </si>
  <si>
    <t xml:space="preserve">  -  W2C-REAF-06, (2900 L/s)</t>
  </si>
  <si>
    <t xml:space="preserve">  -  W2C-REAF-07, (4700 L/s)</t>
  </si>
  <si>
    <t>พัดลมชนิด Axial, Direct Drive</t>
  </si>
  <si>
    <t xml:space="preserve">  -  W1C-RPAF-01, (8550 L/s)</t>
  </si>
  <si>
    <t xml:space="preserve">  -  W1C-RPAF-02, (8300 L/s)</t>
  </si>
  <si>
    <t xml:space="preserve">  -  W1C-RPAF-03, (11150 L/s)</t>
  </si>
  <si>
    <t xml:space="preserve">  -  W2C-RPAF-01, (8550 L/s)</t>
  </si>
  <si>
    <t xml:space="preserve">  -  W2C-RPAF-02, (8300 L/s)</t>
  </si>
  <si>
    <t xml:space="preserve">  -  W2C-RPAF-03, (11150 L/s)</t>
  </si>
  <si>
    <t xml:space="preserve">  -  W1-RSEF01, (37000 L/s)</t>
  </si>
  <si>
    <t xml:space="preserve">  -  W1-RSEF 02 (ST.BY), (37000 L/s)</t>
  </si>
  <si>
    <t xml:space="preserve">  -  W1C-REAF-08, (150 L/s)</t>
  </si>
  <si>
    <t xml:space="preserve">  -  W1C-REAF-09, (250 L/s)</t>
  </si>
  <si>
    <t xml:space="preserve">  -  W1C-REAF-10 To 18, (250 L/s)</t>
  </si>
  <si>
    <t xml:space="preserve">  -  W1C-REAF-19, (50 L/s)</t>
  </si>
  <si>
    <t xml:space="preserve">  -  W2C-REAF-08, (150 L/s)</t>
  </si>
  <si>
    <t xml:space="preserve">  -  W2C-REAF-09, (250 L/s)</t>
  </si>
  <si>
    <t xml:space="preserve">  -  W2C-REAF-10 To 18, (250 L/s)</t>
  </si>
  <si>
    <t xml:space="preserve">  -  W2C-REAF-18, (50 L/s)</t>
  </si>
  <si>
    <t xml:space="preserve">   -Type PF-2</t>
  </si>
  <si>
    <t>Medium Filter</t>
  </si>
  <si>
    <t xml:space="preserve">   -Type MF-4</t>
  </si>
  <si>
    <t>7.4.5</t>
  </si>
  <si>
    <t xml:space="preserve">   -  300  มม. Ø</t>
  </si>
  <si>
    <t>7.7.4</t>
  </si>
  <si>
    <t>7.7.5</t>
  </si>
  <si>
    <t>7.7.6</t>
  </si>
  <si>
    <t>7.7.7</t>
  </si>
  <si>
    <t>Pressure Snubber w/ Valve</t>
  </si>
  <si>
    <t>7.7.8</t>
  </si>
  <si>
    <t>แผ่นเหล็กดำ หนา 2.0 มม.</t>
  </si>
  <si>
    <t>Air Louver with Bird Screen</t>
  </si>
  <si>
    <t xml:space="preserve">  -  750x750 มม.</t>
  </si>
  <si>
    <t xml:space="preserve">  -  900x650 มม.</t>
  </si>
  <si>
    <t xml:space="preserve">  -  1000x1000 มม.</t>
  </si>
  <si>
    <t xml:space="preserve">  -  1000x1100 มม.</t>
  </si>
  <si>
    <t xml:space="preserve">  -  1000x1350 มม.</t>
  </si>
  <si>
    <t xml:space="preserve">  -  1000x1450 มม.</t>
  </si>
  <si>
    <t xml:space="preserve">  -  1000x1550 มม.</t>
  </si>
  <si>
    <t xml:space="preserve">  -  1100x1650 มม.</t>
  </si>
  <si>
    <t xml:space="preserve">  -  1200x2500 มม.</t>
  </si>
  <si>
    <t xml:space="preserve">  -  1750x1700 มม.</t>
  </si>
  <si>
    <t xml:space="preserve">  -  2200x550 มม.</t>
  </si>
  <si>
    <t xml:space="preserve">  -  2200x850 มม.</t>
  </si>
  <si>
    <t xml:space="preserve">  -  3000x1900 มม.</t>
  </si>
  <si>
    <t xml:space="preserve">  -  3300x1250 มม.</t>
  </si>
  <si>
    <t xml:space="preserve">  -  3500x2000 มม.</t>
  </si>
  <si>
    <t xml:space="preserve">  -  4000x2000 มม.</t>
  </si>
  <si>
    <t>Motorized Control Damper</t>
  </si>
  <si>
    <t xml:space="preserve">   - 1200x850 มม.</t>
  </si>
  <si>
    <t xml:space="preserve">   - 1000x1000 มม.</t>
  </si>
  <si>
    <t>Bird Screen</t>
  </si>
  <si>
    <t xml:space="preserve">   - 1200x800 มม.</t>
  </si>
  <si>
    <t xml:space="preserve">   - 800x800 มม.</t>
  </si>
  <si>
    <t>W1C-REAP1</t>
  </si>
  <si>
    <t>W1C-REAP2</t>
  </si>
  <si>
    <t>W1C-REAP3</t>
  </si>
  <si>
    <t>W1C-REAP4</t>
  </si>
  <si>
    <t>W1C-REAP5</t>
  </si>
  <si>
    <t>W1C-RAP1</t>
  </si>
  <si>
    <t>W1C-RAP2</t>
  </si>
  <si>
    <t>W1C-RAP3</t>
  </si>
  <si>
    <t>W1C-RAP4</t>
  </si>
  <si>
    <t>W2C-REAP1</t>
  </si>
  <si>
    <t>W2C-REAP2</t>
  </si>
  <si>
    <t>W2C-REAP3</t>
  </si>
  <si>
    <t>W2C-REAP4</t>
  </si>
  <si>
    <t>W2C-RAP1</t>
  </si>
  <si>
    <t>W2C-RAP2</t>
  </si>
  <si>
    <t>W2C-RAP3</t>
  </si>
  <si>
    <t>W2C-RAP4</t>
  </si>
  <si>
    <t xml:space="preserve">   - W1C-REAP1</t>
  </si>
  <si>
    <t xml:space="preserve">   - W1C-REAP2</t>
  </si>
  <si>
    <t xml:space="preserve">   - W1C-REAP3</t>
  </si>
  <si>
    <t xml:space="preserve">   - W1C-REAP4</t>
  </si>
  <si>
    <t xml:space="preserve">   - W1C-REAP5</t>
  </si>
  <si>
    <t xml:space="preserve">   - W1C-RAP1</t>
  </si>
  <si>
    <t xml:space="preserve">   - W1C-RAP2</t>
  </si>
  <si>
    <t xml:space="preserve">   - W1C-RAP3</t>
  </si>
  <si>
    <t xml:space="preserve">   - W1C-RAP4</t>
  </si>
  <si>
    <t xml:space="preserve">   - W2C-REAP1</t>
  </si>
  <si>
    <t xml:space="preserve">   - W2C-REAP2</t>
  </si>
  <si>
    <t xml:space="preserve">   - W2C-REAP3</t>
  </si>
  <si>
    <t xml:space="preserve">   - W2C-REAP4</t>
  </si>
  <si>
    <t xml:space="preserve">   - W2C-RAP1</t>
  </si>
  <si>
    <t xml:space="preserve">   - W2C-RAP2</t>
  </si>
  <si>
    <t xml:space="preserve">   - W2C-RAP3</t>
  </si>
  <si>
    <t xml:space="preserve">   - W2C-RAP4</t>
  </si>
  <si>
    <t>7.11.4</t>
  </si>
  <si>
    <t>7.12</t>
  </si>
  <si>
    <t xml:space="preserve">   - 45.0 kW</t>
  </si>
  <si>
    <t>Included Panel Board No. W1C-REAP1, W1C-REAP2, W2C-REAP1, W2C-REAP2</t>
  </si>
  <si>
    <t xml:space="preserve">   - 7.5 kW</t>
  </si>
  <si>
    <t>Included Panel Board No. W1C-REAP3, W1C-REAP4, W2C-REAP3, W2C-REAP4</t>
  </si>
  <si>
    <t>กลุ่มงานที่ 1 / หมวดงานระบบลิฟต์และบันไดเลื่อน</t>
  </si>
  <si>
    <t>ระบบลิฟต์และบันไดเลื่อน (Lift &amp; Escalator System)</t>
  </si>
  <si>
    <t>บันไดเลื่อน (Escalator)</t>
  </si>
  <si>
    <t>ลิฟต์โดยสาร (Passenger Lift)</t>
  </si>
  <si>
    <t>8.1.1</t>
  </si>
  <si>
    <t xml:space="preserve">   - W1-PL 1, 2 (Capacity 1,600 kgs., Speed 120 m/mim, Opened __13 Floor)__</t>
  </si>
  <si>
    <t xml:space="preserve">   - W1-PL 3, 4 (Capacity 1,600 kgs., Speed 120 m/mim, Opened __13 Floor)__</t>
  </si>
  <si>
    <t xml:space="preserve">   - W1-VL 1 (Capacity 1,000 kgs., Speed 120 m/mim, Opened __13 Floor)__</t>
  </si>
  <si>
    <t xml:space="preserve">   - W2-PL 1, 2 (Capacity 1,600 kgs., Speed 120 m/mim, Opened __13 Floor)__</t>
  </si>
  <si>
    <t xml:space="preserve">   - W2-PL 3, 4 (Capacity 1,600 kgs., Speed 120 m/mim, Opened __13 Floor)__</t>
  </si>
  <si>
    <t xml:space="preserve">   - W2-VL 1 (Capacity 1,000 kgs., Speed 120 m/mim, Opened __13 Floor)__</t>
  </si>
  <si>
    <t xml:space="preserve">   - W1-VL 2, 3  (Capacity 1,600 kgs., Speed 120 m/mim, Opened __12 Floor)__</t>
  </si>
  <si>
    <t xml:space="preserve">   - W1-VL 4  (Capacity 1,600 kgs., Speed 120 m/mim, Opened __11 Floor)__</t>
  </si>
  <si>
    <t xml:space="preserve">   - W2-VL 2, 3  (Capacity 1,600 kgs., Speed 120 m/mim, Opened __12 Floor)__</t>
  </si>
  <si>
    <t>ลิฟต์บริการ (Service &amp; Fireman Lift)</t>
  </si>
  <si>
    <t xml:space="preserve">   - W1-SF 1 (Capacity 1,600 kgs., Speed 60 m/mim, Opened __13 Floor)__</t>
  </si>
  <si>
    <t xml:space="preserve">   - W2-SF 1 (Capacity 1,600 kgs., Speed 60 m/mim, Opened __13 Floor)__</t>
  </si>
  <si>
    <t xml:space="preserve">   - W1-ESC1,W2-ESC1 (3.8 m. High)</t>
  </si>
  <si>
    <t xml:space="preserve">   - W1-ESC2,W2-ESC2 (4.05 m. High)</t>
  </si>
  <si>
    <t>Power supply Surface mounted LED RGBW uplight with aluminum body and integrated LED driver. IP65.</t>
  </si>
  <si>
    <t>Wiring, Installation &amp; Commissioning</t>
  </si>
  <si>
    <t>L/S</t>
  </si>
  <si>
    <t>กลุ่มงานที่ 3 / งานภูมิทัศน์,  งานผังบริเวณและสิ่งก่อสร้างประกอบอื่นๆ</t>
  </si>
  <si>
    <t xml:space="preserve">งานภูมิสถาปัตยกรรม HARDSCAPE </t>
  </si>
  <si>
    <t>งานภูมิสถาปัตยกรรม ชั้นสวนหลังคา</t>
  </si>
  <si>
    <t>งานระบบกันซึมชั้นหลังคา</t>
  </si>
  <si>
    <t>งานระบบกันซึมหลังคา (ดูราคาหมวดงานสถาปัตยกรรม)</t>
  </si>
  <si>
    <t>งานตกแต่งพื้นลานอเนกประสงค์ และทางเดิน</t>
  </si>
  <si>
    <t xml:space="preserve"> งานโครงสร้างพื้นลานอเนกประสงค์ และทางเดิน    (ดูราคาหมวดงานโครงสร้าง)</t>
  </si>
  <si>
    <t xml:space="preserve">  งานปูนทรายรองพื้น (ความหนา 3 ซม.)</t>
  </si>
  <si>
    <t xml:space="preserve">  งานปูกระเบื้องพอร์ซเลน ขนาด 0.20x0.20 ม. ความหนา 1 ซม. สีขาว (ค่า R ไม่น้อยกว่า 11)</t>
  </si>
  <si>
    <t>ค่าแรงจากกรมบัญชีกลางปี  60</t>
  </si>
  <si>
    <t xml:space="preserve">  งานปูกระเบื้องพอร์ซเลน ขนาด 0.20x0.30 ม. ความหนา 1 ซม. สีขาว (ค่า R ไม่น้อยกว่า 11)</t>
  </si>
  <si>
    <t xml:space="preserve">  งานปูกระเบื้องพอร์ซเลน ขนาด 0.20x0.20 ม. ความหนา 1 ซม. สีเทาอ่อน (ค่า R ไม่น้อยกว่า 11) </t>
  </si>
  <si>
    <t xml:space="preserve">  งานปูกระเบื้องพอร์ซเลน ขนาด 0.20x0.30 ม. ความหนา 1 ซม. สีเทาอ่อน (ค่า R ไม่น้อยกว่า 11) </t>
  </si>
  <si>
    <t xml:space="preserve">  งานปูกระเบื้องพอร์ซเลน ขนาด 0.30x0.60 ม. ความหนา 1 ซม. ความหนา 1 ซม. สีเทาเข้ม </t>
  </si>
  <si>
    <t xml:space="preserve">  (ค่า R ไม่น้อยกว่า 11)</t>
  </si>
  <si>
    <t xml:space="preserve">  งานตะแกรงระบายน้ำเหล็กชุบกัลวาไนซ์ เหล็กหนา 3 มม. ความกว้าง 500 มม. ความสูงบ่า 25 มม. </t>
  </si>
  <si>
    <t>รวมค่าแรง</t>
  </si>
  <si>
    <t xml:space="preserve">  ช่องรูระหว่างตะแกรง @30 มม.</t>
  </si>
  <si>
    <t xml:space="preserve">  โครงสร้างกระบะ คสล. (ดูหมวดงานโครงสร้าง)</t>
  </si>
  <si>
    <t xml:space="preserve">  งานระบบกันรากต้นไม้ กันซึม ประเภทเทอร์โมพลาสติก โพลีโอลิฟิน (TPO) ความหนาไม่น้อยกว่า 1.14 มม. </t>
  </si>
  <si>
    <t xml:space="preserve">  สำหรับภายในกระบะ</t>
  </si>
  <si>
    <t xml:space="preserve">  งานเก็บขอบกระบะ (ความสูง 0.15 ม.) พร้อม ALUMINIUM FLASHING + PU SEALANTE</t>
  </si>
  <si>
    <t xml:space="preserve">  สำหรับภายนอกกระบะ</t>
  </si>
  <si>
    <t xml:space="preserve">  แผ่นระบายน้ำกระบะปลูกต้นไม้ (Drainage Cell) ความหนาไม่น้อยกว่า 30 มม.</t>
  </si>
  <si>
    <t xml:space="preserve">  แผ่นใยสังเคราะห์ (Geotextile) ขนาด น้ำหนักตั้งแต่ 120 กรัม/ตารางเมตร</t>
  </si>
  <si>
    <t xml:space="preserve">  งานทำผิว คสล. ขัดเรียบ (เตรียมพื้นผิวสำหรับงานทำผิว) </t>
  </si>
  <si>
    <t xml:space="preserve">  งานทำผิวหินล้าง ผสมผลึกใส สีขาว</t>
  </si>
  <si>
    <t>1.1.4</t>
  </si>
  <si>
    <t>งานเก้าอี้คสล.</t>
  </si>
  <si>
    <t xml:space="preserve">  โครงสร้างเก้าอี้ คสล. (ดูหมวดงานโครงสร้าง)</t>
  </si>
  <si>
    <t xml:space="preserve">  งานทำผิว คสล. ขัดเรียบ พร้อมทาน้ำยากันซึม  (เตรียมพื้นผิวสำหรับงานทำผิว) </t>
  </si>
  <si>
    <t>1.1.5</t>
  </si>
  <si>
    <t>งาน STREET FURNITURE</t>
  </si>
  <si>
    <t xml:space="preserve">  งานราวจับและเสาสแตนเลส 304 ศก. 50 มม. ความหนา 1.5 มม. ขัดลายทำผิวซาติน  </t>
  </si>
  <si>
    <t xml:space="preserve">  พร้อมชุดติดตั้งยึดพื้น (ตามแบบ)</t>
  </si>
  <si>
    <t>1.1.6</t>
  </si>
  <si>
    <t>งาน CLEAN OUT (สำหรับทำความสะอาด)</t>
  </si>
  <si>
    <t xml:space="preserve">  งานกล่องระบายน้ำ (AQUA TANK) ขนาด 250x500 มม. </t>
  </si>
  <si>
    <t xml:space="preserve">  งานกล่องระบายน้ำ (AQUA TANK) ขนาด 500x500 มม. </t>
  </si>
  <si>
    <t xml:space="preserve">  งานช่องระบายน้ำด้านข้าง (SCUPPER DRAIN)</t>
  </si>
  <si>
    <t xml:space="preserve">  งาน STAINLESS STEEL GRATING สำหรับปืดทับ CLEANING OUT BOX เหล็ก หนา 3 มม. ช่องรู 2x4 ซม. </t>
  </si>
  <si>
    <t>งานระบบที่เกี่ยวข้องกับงานภูมิสถาปัตยกรรม</t>
  </si>
  <si>
    <t>งานระบบไฟฟ้าส่องสว่าง</t>
  </si>
  <si>
    <t>1.2.1.1</t>
  </si>
  <si>
    <t>งานระบบไฟฟ้าส่องสว่าง (ดูในหมวดงานระบบไฟฟ้า)</t>
  </si>
  <si>
    <t xml:space="preserve">ไฟโปรเจคเตอร์เสาสูงหลายหัว ความสูง 5.50 ม. หลอด 18 LED 175.8W แสง 4000K </t>
  </si>
  <si>
    <t>พร้อมงานระบบ SMART POLE</t>
  </si>
  <si>
    <t>งานตอม่อฐานเสาไฟสำเร็จรูป</t>
  </si>
  <si>
    <t>ไฟติดผนังแบบฝัง หลอด 3 COB 11W แสง 4000K</t>
  </si>
  <si>
    <t>ไฟฟลัดไลท์ ติดขอบอาคาร (T4) หลอด 2x24LED 54W แสง 4000K</t>
  </si>
  <si>
    <t>ไฟส่องขึ้นแบบฝังปักในดิน (ไฟส่องต้นไม้ใหญ่) หลอด 1 COB 15W แสง 4000K</t>
  </si>
  <si>
    <t>Remote box IP65</t>
  </si>
  <si>
    <t>LED NEON LIGHT 12W/meter อุณหภูมิสี 3000K IP68</t>
  </si>
  <si>
    <t>งานปลั๊กไฟสนาม (ชนิดกันน้ำ)</t>
  </si>
  <si>
    <t>งานระบบรดน้ำต้นไม้</t>
  </si>
  <si>
    <t>1.3.2.1</t>
  </si>
  <si>
    <t>งานระบบรดน้ำต้นไม้ รูปแบบสปริงเกลอร์</t>
  </si>
  <si>
    <t xml:space="preserve">  ท่อ HDPE PN. 6 Ø 63 mm.</t>
  </si>
  <si>
    <t xml:space="preserve">  ท่อ HDPE PN. 6 Ø 50 mm.</t>
  </si>
  <si>
    <t xml:space="preserve">  ท่อ HDPE PN. 6 Ø 32 mm.</t>
  </si>
  <si>
    <t xml:space="preserve">  อุปกรณ์ข้อต่อท่อ HDPE แบบสวมอัด</t>
  </si>
  <si>
    <t xml:space="preserve">  Mini spray R = 1 m. </t>
  </si>
  <si>
    <t>หัว</t>
  </si>
  <si>
    <t xml:space="preserve">  Pop - up Geardrive Rotary </t>
  </si>
  <si>
    <t xml:space="preserve">  Pop - up Sprinkler Spray   </t>
  </si>
  <si>
    <t xml:space="preserve">  ชุดยกหัวสปริงเกลอร์  Swingjoint </t>
  </si>
  <si>
    <t xml:space="preserve">  Solinoild Valve Ø 2" </t>
  </si>
  <si>
    <t xml:space="preserve">   Valve Box 10"</t>
  </si>
  <si>
    <t>ใบ</t>
  </si>
  <si>
    <t xml:space="preserve">  ตู้ควบคุมวาล์วไฟฟ้าขนาด 16 สถานี </t>
  </si>
  <si>
    <t xml:space="preserve">  ตัวตัดการทำงานเมื่อฝนตก(RAIN SENSOR)</t>
  </si>
  <si>
    <t xml:space="preserve">  เครื่องสูบน้ำขนาด 5.5 HP 380 V. </t>
  </si>
  <si>
    <t xml:space="preserve">  อุปกรณ์ประกอบปั้มทางดูดทางจ่าย</t>
  </si>
  <si>
    <t xml:space="preserve">  ตู้ไฟฟ้าควบคุมเครื่องสูบน้ำขนาด 5.5 HP 380 V. </t>
  </si>
  <si>
    <t xml:space="preserve">  เครื่องกรองเศษผง Ø 3" แบบDISC</t>
  </si>
  <si>
    <t xml:space="preserve">  สายไฟฟ้าควบคุมวาล์วไฟฟ้า ชนิด  18 AWG</t>
  </si>
  <si>
    <t xml:space="preserve">  ท่อร้อยสายไฟฟ้า Ø 25 mm. PN. 6 </t>
  </si>
  <si>
    <t xml:space="preserve">  อุปกรณ์เบ็ดเตล็ด,อุปกรณ์จับยึดท่อ,ก้านยกหัวสำหรับไม้พุ่มสูง</t>
  </si>
  <si>
    <t xml:space="preserve">  หัว Quick couplig valve  1/2 "</t>
  </si>
  <si>
    <t>จุด</t>
  </si>
  <si>
    <t xml:space="preserve">   - MCCB 3P, 630A. </t>
  </si>
  <si>
    <t>ราคากระทรวงพาณิชย์ พค. 2564</t>
  </si>
  <si>
    <t xml:space="preserve">   - LSHF (Low Smoke Cable) 2C-1.5 มม²</t>
  </si>
  <si>
    <t xml:space="preserve">   - LSHF (Low Smoke Cable) 3C-1.5 มม²</t>
  </si>
  <si>
    <t>งานกำแพงBasement</t>
  </si>
  <si>
    <t>1.15.2</t>
  </si>
  <si>
    <t>งานพื้นชั้น 1</t>
  </si>
  <si>
    <t>F.4A</t>
  </si>
  <si>
    <t>F.5A</t>
  </si>
  <si>
    <t>P.13A</t>
  </si>
  <si>
    <t>P.15A</t>
  </si>
  <si>
    <t>2.10.31</t>
  </si>
  <si>
    <t>6.2.12</t>
  </si>
  <si>
    <r>
      <t xml:space="preserve">   - IEC01 1.5 มม</t>
    </r>
    <r>
      <rPr>
        <sz val="14"/>
        <rFont val="Times New Roman"/>
        <family val="1"/>
        <charset val="222"/>
      </rPr>
      <t>²</t>
    </r>
    <r>
      <rPr>
        <sz val="14"/>
        <rFont val="BrowalliaUPC"/>
        <family val="2"/>
        <charset val="222"/>
      </rPr>
      <t xml:space="preserve"> </t>
    </r>
  </si>
  <si>
    <t>4.1.6</t>
  </si>
  <si>
    <t>4..1.3</t>
  </si>
  <si>
    <t xml:space="preserve">Included </t>
  </si>
  <si>
    <t>Fire Rated Duct</t>
  </si>
  <si>
    <r>
      <t xml:space="preserve">ลูกตั้ง ,ลูกนอน </t>
    </r>
    <r>
      <rPr>
        <sz val="14"/>
        <rFont val="TH SarabunPSK"/>
        <family val="2"/>
      </rPr>
      <t>ทำผิวหินขัดกับที่ คัดเม็ดเบอร์ 3 และทำสี</t>
    </r>
  </si>
  <si>
    <t xml:space="preserve">ราวบันไดสแตนเลส ขนาด Ø 1 1/2'' หนา 1.5 มม. </t>
  </si>
  <si>
    <t>เสาราวบันได สแตนเลสขนาด Ø 1" หนา 1.50 มม.</t>
  </si>
  <si>
    <r>
      <t>ลูกตั้ง ,ลูกนอน</t>
    </r>
    <r>
      <rPr>
        <sz val="14"/>
        <rFont val="TH SarabunPSK"/>
        <family val="2"/>
      </rPr>
      <t xml:space="preserve"> ทำผิวหินขัดกับที่ คัดเม็ดเบอร์ 3 และทำสี</t>
    </r>
  </si>
  <si>
    <t>ราวบันได สแตนเลส ขนาด Ø 1 1/2'' หนา 1.5 มม.</t>
  </si>
  <si>
    <t xml:space="preserve">เสาราวบันได สแตนเลสขนาด Ø 1" หนา 1.50 มม. </t>
  </si>
  <si>
    <t xml:space="preserve">ราวบันได สแตนเลส ขนาด Ø 1 1/2'' หนา 1.5 มม. </t>
  </si>
  <si>
    <t xml:space="preserve">เสาราวบันได  สแตนเลสขนาด Ø 1" หนา 1.50 มม. </t>
  </si>
  <si>
    <t>ราวบันได สแตนเลส ขนาด Ø 1 1/2'' หนา 1.5 มม. ทาสีน้ำมัน</t>
  </si>
  <si>
    <t>เสาราวบันได สแตนเลสขนาด Ø 1" หนา 1.50 มม. ทาสีน้ำมัน</t>
  </si>
  <si>
    <t>โซน</t>
  </si>
  <si>
    <t>ค่าแรงคิด 30% ของมูลค่าของ</t>
  </si>
  <si>
    <t>2.10.32</t>
  </si>
  <si>
    <t xml:space="preserve">  งาน วางท่อ(Sleeve) บริเวณส่วนกลาง</t>
  </si>
  <si>
    <t xml:space="preserve">   - 3P, 100A.</t>
  </si>
  <si>
    <t>W2-1EP12, 100A 24 CCT.</t>
  </si>
  <si>
    <r>
      <t xml:space="preserve">   -   200  มม. </t>
    </r>
    <r>
      <rPr>
        <sz val="9"/>
        <rFont val="Symbol"/>
        <family val="1"/>
        <charset val="2"/>
      </rPr>
      <t>ฦ</t>
    </r>
  </si>
  <si>
    <t>5.1.10</t>
  </si>
  <si>
    <t>5.4.7</t>
  </si>
  <si>
    <t>7.3.1.2</t>
  </si>
  <si>
    <t xml:space="preserve">   - 250x250 มม.</t>
  </si>
  <si>
    <t>Return Air Grille</t>
  </si>
  <si>
    <t xml:space="preserve">   - 350x250 มม.</t>
  </si>
  <si>
    <t>7.8.5</t>
  </si>
  <si>
    <t>7.8.6</t>
  </si>
  <si>
    <t xml:space="preserve">  -  W1C-1F-01, (2.2 kW,150 L/s)</t>
  </si>
  <si>
    <t xml:space="preserve">  -  W1C-1F-02(ST.BY), (2.2 kW,150 L/s)</t>
  </si>
  <si>
    <t xml:space="preserve">  -  W1C-2F-01, (2.2 kW,150 L/s)</t>
  </si>
  <si>
    <t xml:space="preserve">  -  W1C-2F-02(ST.BY), (2.2 kW,150 L/s)</t>
  </si>
  <si>
    <t xml:space="preserve">  -  W1C-3F-01, (2.2 kW,150 L/s)</t>
  </si>
  <si>
    <t xml:space="preserve">  -  W1C-3F-02(ST.BY), (2.2 kW,150 L/s)</t>
  </si>
  <si>
    <t xml:space="preserve">  -  W1C-4F-01, (2.2 kW,150 L/s)</t>
  </si>
  <si>
    <t xml:space="preserve">  -  W1C-4F-02(ST.BY), (2.2 kW,150 L/s)</t>
  </si>
  <si>
    <t xml:space="preserve">  -  W1C-5F-01, (2.2 kW,150 L/s)</t>
  </si>
  <si>
    <t xml:space="preserve">  -  W1C-5F-02(ST.BY), (2.2 kW,150 L/s)</t>
  </si>
  <si>
    <t xml:space="preserve">  -  W1C-6F-01, (2.2 kW,150 L/s)</t>
  </si>
  <si>
    <t xml:space="preserve">  -  W1C-6F-02(ST.BY), (2.2 kW,150 L/s)</t>
  </si>
  <si>
    <t xml:space="preserve">  -  W1C-7F-01, (2.2 kW,150 L/s)</t>
  </si>
  <si>
    <t xml:space="preserve">  -  W1C-7F-02(ST.BY), (2.2 kW,150 L/s)</t>
  </si>
  <si>
    <t xml:space="preserve">  -  W1C-8F-01, (2.2 kW,150 L/s)</t>
  </si>
  <si>
    <t xml:space="preserve">  -  W1C-8F-02(ST.BY), (2.2 kW,150 L/s)</t>
  </si>
  <si>
    <t xml:space="preserve">  -  W1C-9F-01, (2.2 kW,150 L/s)</t>
  </si>
  <si>
    <t xml:space="preserve">  -  W1C-9F-02(ST.BY), (2.2 kW,150 L/s)</t>
  </si>
  <si>
    <t xml:space="preserve">  -  W1C-10F-01, (2.2 kW,150 L/s)</t>
  </si>
  <si>
    <t xml:space="preserve">  -  W1C-10F-02(ST.BY), (2.2 kW,150 L/s)</t>
  </si>
  <si>
    <t xml:space="preserve">  -  W1C-11F-01, (2.2 kW,150 L/s)</t>
  </si>
  <si>
    <t xml:space="preserve">  -  W1C-11F-02(ST.BY), (2.2 kW,150 L/s)</t>
  </si>
  <si>
    <t xml:space="preserve">  -  W2C-1F-01, (2.2 kW,150 L/s)</t>
  </si>
  <si>
    <t xml:space="preserve">  -  W2C-1F-02(ST.BY), (2.2 kW,150 L/s)</t>
  </si>
  <si>
    <t xml:space="preserve">  -  W2C-2F-01, (2.2 kW,150 L/s)</t>
  </si>
  <si>
    <t xml:space="preserve">  -  W2C-2F-02(ST.BY), (2.2 kW,150 L/s)</t>
  </si>
  <si>
    <t xml:space="preserve">  -  W2C-3F-01, (2.2 kW,150 L/s)</t>
  </si>
  <si>
    <t xml:space="preserve">  -  W2C-3F-02(ST.BY), (2.2 kW,150 L/s)</t>
  </si>
  <si>
    <t xml:space="preserve">  -  W2C-4F-01, (2.2 kW,150 L/s)</t>
  </si>
  <si>
    <t xml:space="preserve">  -  W2C-4F-02(ST.BY), (2.2 kW,150 L/s)</t>
  </si>
  <si>
    <t xml:space="preserve">  -  W2C-5F-01, (2.2 kW,150 L/s)</t>
  </si>
  <si>
    <t xml:space="preserve">  -  W2C-5F-02(ST.BY), (2.2 kW,150 L/s)</t>
  </si>
  <si>
    <t xml:space="preserve">  -  W2C-6F-01, (2.2 kW,150 L/s)</t>
  </si>
  <si>
    <t xml:space="preserve">  -  W2C-6F-02(ST.BY), (2.2 kW,150 L/s)</t>
  </si>
  <si>
    <t xml:space="preserve">  -  W2C-7F-01, (2.2 kW,150 L/s)</t>
  </si>
  <si>
    <t xml:space="preserve">  -  W2C-7F-02(ST.BY), (2.2 kW,150 L/s)</t>
  </si>
  <si>
    <t xml:space="preserve">  -  W2C-8F-01, (2.2 kW,150 L/s)</t>
  </si>
  <si>
    <t xml:space="preserve">  -  W2C-8F-02(ST.BY), (2.2 kW,150 L/s)</t>
  </si>
  <si>
    <t xml:space="preserve">  -  W2C-9F-01, (2.2 kW,150 L/s)</t>
  </si>
  <si>
    <t xml:space="preserve">  -  W2C-9F-02(ST.BY), (2.2 kW,150 L/s)</t>
  </si>
  <si>
    <t xml:space="preserve">  -  W2C-10F-01, (2.2 kW,150 L/s)</t>
  </si>
  <si>
    <t xml:space="preserve">  -  W2C-10F-02(ST.BY), (2.2 kW,150 L/s)</t>
  </si>
  <si>
    <t xml:space="preserve">  -  W2C-11F-01, (2.2 kW,150 L/s)</t>
  </si>
  <si>
    <t xml:space="preserve">  -  W2C-11F-02(ST.BY), (2.2 kW,150 L/s)</t>
  </si>
  <si>
    <t xml:space="preserve">  -  W2-1EAF-01, (430 L/s)</t>
  </si>
  <si>
    <t xml:space="preserve">  -  W2-1EAF-01, (550 L/s)</t>
  </si>
  <si>
    <t>7.10.6</t>
  </si>
  <si>
    <t xml:space="preserve">   - 850x400 มม.</t>
  </si>
  <si>
    <t xml:space="preserve">   - 1500x1400 มม.</t>
  </si>
  <si>
    <t xml:space="preserve">   - 500x500 มม.</t>
  </si>
  <si>
    <t xml:space="preserve">   - 600x600 มม.</t>
  </si>
  <si>
    <t xml:space="preserve">  -  W2-1F-01, (3.5 kW,190 L/s)</t>
  </si>
  <si>
    <t xml:space="preserve">  -  W2-1F-02(ST.BY), (3.5 kW,190 L/s)</t>
  </si>
  <si>
    <t>Generator Control Panel</t>
  </si>
  <si>
    <t>Generator Control Pane</t>
  </si>
  <si>
    <t>GCP1</t>
  </si>
  <si>
    <r>
      <t xml:space="preserve">CB, IC </t>
    </r>
    <r>
      <rPr>
        <sz val="6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</si>
  <si>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t xml:space="preserve">   - MCCB 3P, 320A. </t>
  </si>
  <si>
    <t xml:space="preserve">   - ACB 3P, 1600A. </t>
  </si>
  <si>
    <t xml:space="preserve">   - CT  300/5A</t>
  </si>
  <si>
    <t xml:space="preserve">   - CT  1000/5A</t>
  </si>
  <si>
    <t xml:space="preserve">   - CT  1200/5A</t>
  </si>
  <si>
    <t xml:space="preserve">   - CT  1600/5A</t>
  </si>
  <si>
    <t xml:space="preserve">   - CT  3000/5A</t>
  </si>
  <si>
    <t>3.5.1.5</t>
  </si>
  <si>
    <t>3.5.1.6</t>
  </si>
  <si>
    <t>3.5.2.5</t>
  </si>
  <si>
    <t>3.5.2.6</t>
  </si>
  <si>
    <t>3.5.3.1</t>
  </si>
  <si>
    <t>3.5.3.2</t>
  </si>
  <si>
    <t>3.5.3.3</t>
  </si>
  <si>
    <t>3.5.3.5</t>
  </si>
  <si>
    <t>3.5.3.6</t>
  </si>
  <si>
    <t>3.5.3.7</t>
  </si>
  <si>
    <t>3.6.1.4</t>
  </si>
  <si>
    <t>3.6.1.7</t>
  </si>
  <si>
    <t>3.6.1.8</t>
  </si>
  <si>
    <t>3.6.2.4</t>
  </si>
  <si>
    <t>3.6.2.7</t>
  </si>
  <si>
    <t>3.6.2.8</t>
  </si>
  <si>
    <t>3.8.1.1</t>
  </si>
  <si>
    <t>3.8.1.2</t>
  </si>
  <si>
    <t>3.8.1.3</t>
  </si>
  <si>
    <t xml:space="preserve">   - 1600A</t>
  </si>
  <si>
    <t>ราคากระทรวงพาณิชย์ กย. 2564</t>
  </si>
  <si>
    <t>Central Control</t>
  </si>
  <si>
    <t xml:space="preserve">   - Main Control Unit</t>
  </si>
  <si>
    <t xml:space="preserve">   - Relay Control Terminal Unit</t>
  </si>
  <si>
    <t xml:space="preserve">   - Program Timer Unit</t>
  </si>
  <si>
    <t xml:space="preserve">   - Contact Input Terminal Unit</t>
  </si>
  <si>
    <t xml:space="preserve">   - Central Selector Switch</t>
  </si>
  <si>
    <t xml:space="preserve">   - Wireless Programming Unit</t>
  </si>
  <si>
    <t xml:space="preserve">   - Power Supply Unit</t>
  </si>
  <si>
    <t>Computer Workstation</t>
  </si>
  <si>
    <t>3.12.4</t>
  </si>
  <si>
    <t xml:space="preserve">  -  UTP Cable Cat6A</t>
  </si>
  <si>
    <t>3.12.5</t>
  </si>
  <si>
    <t>Printer (Ink Jet)</t>
  </si>
  <si>
    <t>3.15.5</t>
  </si>
  <si>
    <t>3.15.6</t>
  </si>
  <si>
    <t>Remote Paging Microphone</t>
  </si>
  <si>
    <t xml:space="preserve">   - LSHF (Low Smoke Cable) 4C-1.5 มม²</t>
  </si>
  <si>
    <t>Main BMS Rack (MBMR, Central Command Room อาคารทิศเหนือ)</t>
  </si>
  <si>
    <t xml:space="preserve">   -   Network Switch</t>
  </si>
  <si>
    <t xml:space="preserve">   -   Fiber Optic Patch Panel 24 Port</t>
  </si>
  <si>
    <t xml:space="preserve">   -   Fiber Optic Patch Cord</t>
  </si>
  <si>
    <t xml:space="preserve">   -   Rack 19 " 42 U</t>
  </si>
  <si>
    <t>Main Communication Rack (W-MCR)</t>
  </si>
  <si>
    <t>Interfacing Unit</t>
  </si>
  <si>
    <t xml:space="preserve">   -  For Fire Alarm System</t>
  </si>
  <si>
    <t xml:space="preserve">   -  For Digital Power Meter</t>
  </si>
  <si>
    <t xml:space="preserve">   -  For Lighting Control System</t>
  </si>
  <si>
    <t xml:space="preserve">   -  For Elevator and Escalator Sytem</t>
  </si>
  <si>
    <t>3.17.4</t>
  </si>
  <si>
    <t>Network Controlller</t>
  </si>
  <si>
    <t xml:space="preserve">   -  Network Controller</t>
  </si>
  <si>
    <t xml:space="preserve">   -  Modbus Gateway</t>
  </si>
  <si>
    <t>3.17.5</t>
  </si>
  <si>
    <t>3.17.6</t>
  </si>
  <si>
    <t>3.17.8</t>
  </si>
  <si>
    <t>3.17.9</t>
  </si>
  <si>
    <t>3.17.10</t>
  </si>
  <si>
    <t>Main Access Rack (MACR, Central Command Room อาคารทิศเหนือ)</t>
  </si>
  <si>
    <t>IP Audio Intercom Master Station</t>
  </si>
  <si>
    <t>Emergency Pull Cord Master Station</t>
  </si>
  <si>
    <t>Main Panic Alarm Rack (MPAR, Central Command Room อาคารทิศเหนือ)</t>
  </si>
  <si>
    <t>Floor Rack (W1-B2CMR1,W2-B2CMR1)</t>
  </si>
  <si>
    <t xml:space="preserve">   -   Rack 19 ", 15U</t>
  </si>
  <si>
    <t>Floor Rack (W1-B1CMR1,W2-B1CMR1)</t>
  </si>
  <si>
    <t>Floor Rack (W1-1CMR1,W2-1CMR1)</t>
  </si>
  <si>
    <t>Floor Rack (W2-1CMR1)</t>
  </si>
  <si>
    <t>Floor Rack (W1-4CMR1,W2-4CMR1)</t>
  </si>
  <si>
    <t>Floor Rack (W1-7CMR1,W2-7CMR1)</t>
  </si>
  <si>
    <t>Floor Rack (W1-10CMR1,W2-10CMR1)</t>
  </si>
  <si>
    <t>สายไฟฟ้าชนิด NYY, 750V 70 ◦C</t>
  </si>
  <si>
    <t xml:space="preserve">   -    1 Core,  2.5   มม²</t>
  </si>
  <si>
    <t xml:space="preserve">   -    1 Core,  4   มม²</t>
  </si>
  <si>
    <t xml:space="preserve">   -    1 Core,  6   มม²</t>
  </si>
  <si>
    <t>ท่อร้อยสายไฟฟ้าชนิด HDPE (HDPE Conduit)</t>
  </si>
  <si>
    <t xml:space="preserve">   -   63  มม. Ø</t>
  </si>
  <si>
    <t>Main CCTV Rack (MCCR, Central Command Room อาคารทิศเหนือ)</t>
  </si>
  <si>
    <t>4.1.5</t>
  </si>
  <si>
    <t>Pressure Independent Control Valve Proportional Type</t>
  </si>
  <si>
    <t>7.1.5</t>
  </si>
  <si>
    <t>Duct Smoke Detector ( Air Handling Unit)</t>
  </si>
  <si>
    <t>Globe Valve  1,034 kPa WOG</t>
  </si>
  <si>
    <t>Panel Board No. (Included VSD)</t>
  </si>
  <si>
    <t xml:space="preserve">   - W1C-2AP1</t>
  </si>
  <si>
    <t xml:space="preserve">   - W1C-2AP2</t>
  </si>
  <si>
    <t xml:space="preserve">   - W1C-2AP3</t>
  </si>
  <si>
    <t xml:space="preserve">   - W1C-3AP1</t>
  </si>
  <si>
    <t xml:space="preserve">   - W1C-3AP2</t>
  </si>
  <si>
    <t xml:space="preserve">   - W1C-3AP3</t>
  </si>
  <si>
    <t xml:space="preserve">   - W1C-5AP1</t>
  </si>
  <si>
    <t xml:space="preserve">   - W1C-5AP2</t>
  </si>
  <si>
    <t xml:space="preserve">   - W1C-5AP3</t>
  </si>
  <si>
    <t xml:space="preserve">   - W1C-6AP1</t>
  </si>
  <si>
    <t xml:space="preserve">   - W1C-6AP2</t>
  </si>
  <si>
    <t xml:space="preserve">   - W1C-6AP3</t>
  </si>
  <si>
    <t xml:space="preserve">   - W1C-7AP1</t>
  </si>
  <si>
    <t xml:space="preserve">   - W1C-7AP2</t>
  </si>
  <si>
    <t xml:space="preserve">   - W1C-7AP3</t>
  </si>
  <si>
    <t xml:space="preserve">   - W1C-8AP1</t>
  </si>
  <si>
    <t xml:space="preserve">   - W1C-8AP2</t>
  </si>
  <si>
    <t xml:space="preserve">   - W1C-8AP3</t>
  </si>
  <si>
    <t xml:space="preserve">   - W1C-9AP1</t>
  </si>
  <si>
    <t xml:space="preserve">   - W1C-9AP2</t>
  </si>
  <si>
    <t xml:space="preserve">   - W1C-9AP3</t>
  </si>
  <si>
    <t xml:space="preserve">   - W1C-10AP1</t>
  </si>
  <si>
    <t xml:space="preserve">   - W1C-10AP2</t>
  </si>
  <si>
    <t xml:space="preserve">   - W1C-10AP3</t>
  </si>
  <si>
    <t xml:space="preserve">   - W2C-2AP1</t>
  </si>
  <si>
    <t xml:space="preserve">   - W2C-2AP2</t>
  </si>
  <si>
    <t xml:space="preserve">   - W2C-2AP3</t>
  </si>
  <si>
    <t xml:space="preserve">   - W2C-3AP1</t>
  </si>
  <si>
    <t xml:space="preserve">   - W2C-3AP2</t>
  </si>
  <si>
    <t xml:space="preserve">   - W2C-5AP1</t>
  </si>
  <si>
    <t xml:space="preserve">   - W2C-5AP2</t>
  </si>
  <si>
    <t xml:space="preserve">   - W2C-5AP3</t>
  </si>
  <si>
    <t xml:space="preserve">   - W2C-6AP1</t>
  </si>
  <si>
    <t xml:space="preserve">   - W2C-6AP2</t>
  </si>
  <si>
    <t xml:space="preserve">   - W2C-6AP3</t>
  </si>
  <si>
    <t xml:space="preserve">   - W2C-7AP1</t>
  </si>
  <si>
    <t xml:space="preserve">   - W2C-7AP2</t>
  </si>
  <si>
    <t xml:space="preserve">   - W2C-7AP3</t>
  </si>
  <si>
    <t xml:space="preserve">   - W2C-8AP1</t>
  </si>
  <si>
    <t xml:space="preserve">   - W2C-8AP2</t>
  </si>
  <si>
    <t xml:space="preserve">   - W2C-8AP3</t>
  </si>
  <si>
    <t xml:space="preserve">   - W2C-9AP1</t>
  </si>
  <si>
    <t xml:space="preserve">   - W2C-9AP2</t>
  </si>
  <si>
    <t xml:space="preserve">   - W2C-9AP3</t>
  </si>
  <si>
    <t xml:space="preserve">   - W2C-10AP1</t>
  </si>
  <si>
    <t xml:space="preserve">   - W2C-10AP2</t>
  </si>
  <si>
    <t xml:space="preserve">   - W2C-10AP3</t>
  </si>
  <si>
    <t>รวมราคารายการที่ 7.9</t>
  </si>
  <si>
    <t>7.12.1</t>
  </si>
  <si>
    <t>7.12.2</t>
  </si>
  <si>
    <t>7.13</t>
  </si>
  <si>
    <t>7.13.1</t>
  </si>
  <si>
    <t>เครื่องส่งลมเย็นขนาดใหญ่( Double Skin) Unit No. (included filter)</t>
  </si>
  <si>
    <t xml:space="preserve">  -  W1C-2A-01 (127.9 kW, 8000 L/s)</t>
  </si>
  <si>
    <t xml:space="preserve">  -  W1C-2A-02 (127.9 kW, 8000 L/s)</t>
  </si>
  <si>
    <t xml:space="preserve">  -  W1C-2A-03 (127.9 kW, 8000 L/s)</t>
  </si>
  <si>
    <t xml:space="preserve">  -  W1C-3A-01 (127.9 kW, 8000 L/s)</t>
  </si>
  <si>
    <t xml:space="preserve">  -  W1C-3A-02 (127.9 kW, 8000 L/s)</t>
  </si>
  <si>
    <t xml:space="preserve">  -  W1C-3A-03 (127.9 kW, 8000 L/s)</t>
  </si>
  <si>
    <t xml:space="preserve">  -  W1C-5A-01 (127.9 kW, 8000 L/s)</t>
  </si>
  <si>
    <t xml:space="preserve">  -  W1C-5A-02 (127.9 kW, 8000 L/s)</t>
  </si>
  <si>
    <t xml:space="preserve">  -  W1C-5A-03 (127.9 kW, 8000 L/s)</t>
  </si>
  <si>
    <t xml:space="preserve">  -  W1C-6A-01 (127.9 kW, 8000 L/s)</t>
  </si>
  <si>
    <t xml:space="preserve">  -  W1C-6A-02 (127.9 kW, 8000 L/s)</t>
  </si>
  <si>
    <t xml:space="preserve">  -  W1C-6A-03 (127.9 kW, 8000 L/s)</t>
  </si>
  <si>
    <t xml:space="preserve">  -  W1C-7A-01 (127.9 kW, 8000 L/s)</t>
  </si>
  <si>
    <t xml:space="preserve">  -  W1C-7A-02 (127.9 kW, 8000 L/s)</t>
  </si>
  <si>
    <t xml:space="preserve">  -  W1C-7A-03 (127.9 kW, 8000 L/s)</t>
  </si>
  <si>
    <t xml:space="preserve">  -  W1C-8A-01 (127.9 kW, 8000 L/s)</t>
  </si>
  <si>
    <t xml:space="preserve">  -  W1C-8A-02 (127.9 kW, 8000 L/s)</t>
  </si>
  <si>
    <t xml:space="preserve">  -  W1C-8A-03 (127.9 kW, 8000 L/s)</t>
  </si>
  <si>
    <t xml:space="preserve">  -  W1C-9A-01 (127.9 kW, 8000 L/s)</t>
  </si>
  <si>
    <t xml:space="preserve">  -  W1C-9A-02 (127.9 kW, 8000 L/s)</t>
  </si>
  <si>
    <t xml:space="preserve">  -  W1C-9A-03 (127.9 kW, 8000 L/s)</t>
  </si>
  <si>
    <t xml:space="preserve">  -  W1C-10A-01 (127.9 kW, 8000 L/s)</t>
  </si>
  <si>
    <t xml:space="preserve">  -  W1C-10A-02 (127.9 kW, 8000 L/s)</t>
  </si>
  <si>
    <t xml:space="preserve">  -  W1C-10A-03 (127.9 kW, 8000 L/s)</t>
  </si>
  <si>
    <t xml:space="preserve">  -  W2C-2A-01 (127.9 kW, 8000 L/s)</t>
  </si>
  <si>
    <t xml:space="preserve">  -  W2C-2A-02 (127.9 kW, 8000 L/s)</t>
  </si>
  <si>
    <t xml:space="preserve">  -  W2C-2A-03 (127.9 kW, 8000 L/s)</t>
  </si>
  <si>
    <t xml:space="preserve">  -  W2C-3A-01 (127.9 kW, 8000 L/s)</t>
  </si>
  <si>
    <t xml:space="preserve">  -  W2C-3A-02 (127.9 kW, 8000 L/s)</t>
  </si>
  <si>
    <t xml:space="preserve">  -  W2C-5A-01 (127.9 kW, 8000 L/s)</t>
  </si>
  <si>
    <t xml:space="preserve">  -  W2C-5A-02 (127.9 kW, 8000 L/s)</t>
  </si>
  <si>
    <t xml:space="preserve">  -  W2C-5A-03 (127.9 kW, 8000 L/s)</t>
  </si>
  <si>
    <t xml:space="preserve">  -  W2C-6A-01 (127.9 kW, 8000 L/s)</t>
  </si>
  <si>
    <t xml:space="preserve">  -  W2C-6A-02 (127.9 kW, 8000 L/s)</t>
  </si>
  <si>
    <t xml:space="preserve">  -  W2C-6A-03 (127.9 kW, 8000 L/s)</t>
  </si>
  <si>
    <t xml:space="preserve">  -  W2C-7A-01 (127.9 kW, 8000 L/s)</t>
  </si>
  <si>
    <t xml:space="preserve">  -  W2C-7A-02 (127.9 kW, 8000 L/s)</t>
  </si>
  <si>
    <t xml:space="preserve">  -  W2C-7A-03 (127.9 kW, 8000 L/s)</t>
  </si>
  <si>
    <t xml:space="preserve">  -  W2C-8A-01 (127.9 kW, 8000 L/s)</t>
  </si>
  <si>
    <t xml:space="preserve">  -  W2C-8A-02 (127.9 kW, 8000 L/s)</t>
  </si>
  <si>
    <t xml:space="preserve">  -  W2C-8A-03 (127.9 kW, 8000 L/s)</t>
  </si>
  <si>
    <t xml:space="preserve">  -  W2C-9A-01 (127.9 kW, 8000 L/s)</t>
  </si>
  <si>
    <t xml:space="preserve">  -  W2C-9A-02 (127.9 kW, 8000 L/s)</t>
  </si>
  <si>
    <t xml:space="preserve">  -  W2C-9A-03 (127.9 kW, 8000 L/s)</t>
  </si>
  <si>
    <t xml:space="preserve">  -  W2C-10A-01 (127.9 kW, 8000 L/s)</t>
  </si>
  <si>
    <t xml:space="preserve">  -  W2C-10A-02 (127.9 kW, 8000 L/s)</t>
  </si>
  <si>
    <t xml:space="preserve">  -  W2C-10A-03 (127.9 kW, 8000 L/s)</t>
  </si>
  <si>
    <t>7.13.2</t>
  </si>
  <si>
    <t>7.13.3</t>
  </si>
  <si>
    <t>7.13.4</t>
  </si>
  <si>
    <t xml:space="preserve">   - 11 kW</t>
  </si>
  <si>
    <t xml:space="preserve">   - 15 kW</t>
  </si>
  <si>
    <t xml:space="preserve">   - 45 kW</t>
  </si>
  <si>
    <t>7.15.1</t>
  </si>
  <si>
    <t>7.15.2</t>
  </si>
  <si>
    <t>7.15.3</t>
  </si>
  <si>
    <t>7.15.4</t>
  </si>
  <si>
    <t>งานระบบปรับอากาศ และระบายอากาศ ชั้น 2</t>
  </si>
  <si>
    <t>งานระบบปรับอากาศ และระบายอากาศ ชั้น 3</t>
  </si>
  <si>
    <t>งานระบบปรับอากาศ และระบายอากาศ ชั้น 5</t>
  </si>
  <si>
    <t>งานระบบปรับอากาศ และระบายอากาศ ชั้น 6</t>
  </si>
  <si>
    <t>งานระบบปรับอากาศ และระบายอากาศ ชั้น 7</t>
  </si>
  <si>
    <t>งานระบบปรับอากาศ และระบายอากาศ ชั้น 8</t>
  </si>
  <si>
    <t>งานระบบปรับอากาศ และระบายอากาศ ชั้น 9</t>
  </si>
  <si>
    <t>งานระบบปรับอากาศ และระบายอากาศ ชั้น 10</t>
  </si>
  <si>
    <t xml:space="preserve">  -  W1C-4A-02 (127.9 kW, 8000 L/s)  (Double skin w/Filter)</t>
  </si>
  <si>
    <t xml:space="preserve">  -  W1C-4A-03 (127.9 kW, 8000 L/s)  (Double skin w/Filter)</t>
  </si>
  <si>
    <t xml:space="preserve">  -  W2C-4A-01 (127.9 kW, 8000 L/s)  (Double skin w/Filter)</t>
  </si>
  <si>
    <t xml:space="preserve">  -  W1C-4A-01 (127.9 kW, 8000 L/s)  (Double skin w/Filter)</t>
  </si>
  <si>
    <t xml:space="preserve">Unit No. </t>
  </si>
  <si>
    <t xml:space="preserve">  -  W2C-1A-02 (127.9 kW, 8000 L/s) (Double skin w/Filter)</t>
  </si>
  <si>
    <t xml:space="preserve">  -  W2C-1A-03 (127.9 kW, 8000 L/s) (Double skin w/Filter)</t>
  </si>
  <si>
    <t xml:space="preserve">  -  W2C-1A-01 (127.9 kW, 8000 L/s) (Double skin w/Filter)</t>
  </si>
  <si>
    <t xml:space="preserve">  -  W1C-1A-03 (127.9 kW, 8000 L/s) (Double skin w/Filter)</t>
  </si>
  <si>
    <t xml:space="preserve">  -  W1C-1A-02 (127.9 kW, 8000 L/s) (Double skin w/Filter)</t>
  </si>
  <si>
    <t xml:space="preserve">  -  W1C-1A-01 (127.9 kW, 8000 L/s) (Double skin w/Filter)</t>
  </si>
  <si>
    <t xml:space="preserve">  -  W1C-11A-01 (127.9 kW, 8000 L/s) (Double skin w/Filter)</t>
  </si>
  <si>
    <t xml:space="preserve">  -  W1C-11A-02 (127.9 kW, 8000 L/s) (Double skin w/Filter)</t>
  </si>
  <si>
    <t xml:space="preserve">  -  W1C-11A-03 (127.9 kW, 8000 L/s) (Double skin w/Filter)</t>
  </si>
  <si>
    <t xml:space="preserve">  -  W2C-11A-01 (127.9 kW, 8000 L/s) (Double skin w/Filter)</t>
  </si>
  <si>
    <t xml:space="preserve">  -  W2C-11A-02 (127.9 kW, 8000 L/s) (Double skin w/Filter)</t>
  </si>
  <si>
    <t xml:space="preserve">   - W1C-1AP1 (Included VSD)</t>
  </si>
  <si>
    <t xml:space="preserve">   - W1C-1AP2 (Included VSD)</t>
  </si>
  <si>
    <t xml:space="preserve">   - W1C-1AP3 (Included VSD)</t>
  </si>
  <si>
    <t xml:space="preserve">   - W2C-1AP1 (Included VSD)</t>
  </si>
  <si>
    <t xml:space="preserve">   - W2C-1AP2 (Included VSD)</t>
  </si>
  <si>
    <t xml:space="preserve">   - W2C-1AP3 (Included VSD)</t>
  </si>
  <si>
    <t xml:space="preserve">   - W1C-4AP1 (Included VSD)</t>
  </si>
  <si>
    <t xml:space="preserve">   - W1C-4AP2 (Included VSD)</t>
  </si>
  <si>
    <t xml:space="preserve">   - W1C-4AP3 (Included VSD)</t>
  </si>
  <si>
    <t xml:space="preserve">   - W2C-4AP1 (Included VSD)</t>
  </si>
  <si>
    <t xml:space="preserve">   - W1C-11AP1 (Included VSD)</t>
  </si>
  <si>
    <t xml:space="preserve">   - W1C-11AP2 (Included VSD)</t>
  </si>
  <si>
    <t xml:space="preserve">   - W1C-11AP3 (Included VSD)</t>
  </si>
  <si>
    <t xml:space="preserve">   - W2C-11AP1 (Included VSD)</t>
  </si>
  <si>
    <t xml:space="preserve">   - W2C-11AP2 (Included VSD)</t>
  </si>
  <si>
    <t>7.13.5</t>
  </si>
  <si>
    <t>7.13.6</t>
  </si>
  <si>
    <r>
      <t xml:space="preserve">   -   65  มม. </t>
    </r>
    <r>
      <rPr>
        <sz val="9"/>
        <rFont val="TH SarabunPSK"/>
        <family val="2"/>
      </rPr>
      <t>ฦ</t>
    </r>
  </si>
  <si>
    <t>7.5.8</t>
  </si>
  <si>
    <t>7.6.5</t>
  </si>
  <si>
    <t>7.6.6</t>
  </si>
  <si>
    <t>7.6.7</t>
  </si>
  <si>
    <t>7.6.8</t>
  </si>
  <si>
    <t>3.1.1.2</t>
  </si>
  <si>
    <t>3.1.1.3</t>
  </si>
  <si>
    <t>3.1.2.1</t>
  </si>
  <si>
    <t>3.1.2.2</t>
  </si>
  <si>
    <t>3.1.2.3</t>
  </si>
  <si>
    <r>
      <t xml:space="preserve">Main CB, Panelboard (3 </t>
    </r>
    <r>
      <rPr>
        <sz val="9"/>
        <rFont val="Calibri"/>
        <family val="2"/>
      </rPr>
      <t>Ø</t>
    </r>
    <r>
      <rPr>
        <sz val="14"/>
        <rFont val="BrowalliaUPC"/>
        <family val="2"/>
        <charset val="222"/>
      </rPr>
      <t>, 4 Wires)</t>
    </r>
  </si>
  <si>
    <t>xxxPB1, 100-225A 42 CCT.</t>
  </si>
  <si>
    <t xml:space="preserve">   -    MCCB 3P, 32A, Main</t>
  </si>
  <si>
    <t xml:space="preserve">   -    MCCB 1P, 15A</t>
  </si>
  <si>
    <t xml:space="preserve">   -    MCCB 2P, 20A</t>
  </si>
  <si>
    <t>สายวงจกย่อย (Branch Circuit)</t>
  </si>
  <si>
    <t>3.4.2.1</t>
  </si>
  <si>
    <t>3.4.2.2</t>
  </si>
  <si>
    <t>3.8.9</t>
  </si>
  <si>
    <t>3.8.10</t>
  </si>
  <si>
    <t>3.8.11</t>
  </si>
  <si>
    <t>3.8.12</t>
  </si>
  <si>
    <t>3.8.13</t>
  </si>
  <si>
    <t>3.8.14</t>
  </si>
  <si>
    <t>3.8.15</t>
  </si>
  <si>
    <t>3.8.16</t>
  </si>
  <si>
    <t>3.8.17</t>
  </si>
  <si>
    <t>3.8.18</t>
  </si>
  <si>
    <t>3.8.19</t>
  </si>
  <si>
    <t>3.8.20</t>
  </si>
  <si>
    <t>3.8.21</t>
  </si>
  <si>
    <t>3.8.22</t>
  </si>
  <si>
    <t>3.8.23</t>
  </si>
  <si>
    <t>3.8.24</t>
  </si>
  <si>
    <t>3.8.25</t>
  </si>
  <si>
    <t>3.12</t>
  </si>
  <si>
    <t>3.12.6</t>
  </si>
  <si>
    <t xml:space="preserve">   - W1-10RPUA1 WITH MARSHALLING BOX</t>
  </si>
  <si>
    <t xml:space="preserve">   - W2-10RPUA1 WITH MARSHALLING BOX</t>
  </si>
  <si>
    <t xml:space="preserve">   - W1-10TBA1</t>
  </si>
  <si>
    <t xml:space="preserve">   - W2-10TBA1</t>
  </si>
  <si>
    <t>3.2.2.1</t>
  </si>
  <si>
    <t>3.2.2.2</t>
  </si>
  <si>
    <t>3.2.2.3</t>
  </si>
  <si>
    <t xml:space="preserve">   - W1-9RPUA1 WITH MARSHALLING BOX</t>
  </si>
  <si>
    <t xml:space="preserve">   - W2-9RPUA1 WITH MARSHALLING BOX</t>
  </si>
  <si>
    <t xml:space="preserve">   - W1-9TBA1</t>
  </si>
  <si>
    <t xml:space="preserve">   - W2-9TBA1</t>
  </si>
  <si>
    <t xml:space="preserve">   - W1-8RPUA1 WITH MARSHALLING BOX</t>
  </si>
  <si>
    <t xml:space="preserve">   - W2-8RPUA1 WITH MARSHALLING BOX</t>
  </si>
  <si>
    <t xml:space="preserve">   - W1-8TBA1</t>
  </si>
  <si>
    <t xml:space="preserve">   - W2-8TBA1</t>
  </si>
  <si>
    <t>3.8.26</t>
  </si>
  <si>
    <t>3.8.27</t>
  </si>
  <si>
    <t xml:space="preserve">   - W1-7RPUA1 WITH MARSHALLING BOX</t>
  </si>
  <si>
    <t xml:space="preserve">   - W2-7RPUA1 WITH MARSHALLING BOX</t>
  </si>
  <si>
    <t xml:space="preserve">   - W1-7TBA1</t>
  </si>
  <si>
    <t xml:space="preserve">   - W2-7TBA1</t>
  </si>
  <si>
    <t xml:space="preserve">   - W1-6RPUA1 WITH MARSHALLING BOX</t>
  </si>
  <si>
    <t xml:space="preserve">   - W2-6RPUA1 WITH MARSHALLING BOX</t>
  </si>
  <si>
    <t xml:space="preserve">   - W1-6TBA1</t>
  </si>
  <si>
    <t xml:space="preserve">   - W2-6TBA1</t>
  </si>
  <si>
    <t xml:space="preserve">   - W1-5RPUA1 WITH MARSHALLING BOX</t>
  </si>
  <si>
    <t xml:space="preserve">   - W2-5RPUA1 WITH MARSHALLING BOX</t>
  </si>
  <si>
    <t xml:space="preserve">   - W1-5TBA1</t>
  </si>
  <si>
    <t xml:space="preserve">   - W2-5TBA1</t>
  </si>
  <si>
    <t xml:space="preserve">   - W1-3RPUA1 WITH MARSHALLING BOX</t>
  </si>
  <si>
    <t xml:space="preserve">   - W2-3RPUA1 WITH MARSHALLING BOX</t>
  </si>
  <si>
    <t xml:space="preserve">   - W1-3TBA1</t>
  </si>
  <si>
    <t xml:space="preserve">   - W2-3TBA1</t>
  </si>
  <si>
    <t>3.9.7</t>
  </si>
  <si>
    <t xml:space="preserve">   - W1-2RPUA1 WITH MARSHALLING BOX</t>
  </si>
  <si>
    <t xml:space="preserve">   - W2-2RPUA1 WITH MARSHALLING BOX</t>
  </si>
  <si>
    <t xml:space="preserve">   - W1-2TBA1</t>
  </si>
  <si>
    <t xml:space="preserve">   - W2-2TBA1</t>
  </si>
  <si>
    <t>3.1.2.4</t>
  </si>
  <si>
    <t xml:space="preserve">   - W1-1RPUA1 WITH MARSHALLING BOX</t>
  </si>
  <si>
    <t xml:space="preserve">   - W1-1TBA1</t>
  </si>
  <si>
    <t>3.9.1.1</t>
  </si>
  <si>
    <t>3.9.1.2</t>
  </si>
  <si>
    <t>3.9.1.3</t>
  </si>
  <si>
    <t>3.11.7</t>
  </si>
  <si>
    <t>3.11.8</t>
  </si>
  <si>
    <t>3.11.9</t>
  </si>
  <si>
    <t>3.11.10</t>
  </si>
  <si>
    <t>3.11.13</t>
  </si>
  <si>
    <t>3.12.7</t>
  </si>
  <si>
    <t>3.12.8</t>
  </si>
  <si>
    <t>3.12.9</t>
  </si>
  <si>
    <t>3.12.10</t>
  </si>
  <si>
    <t>3.13.4.1</t>
  </si>
  <si>
    <t>3.15.7</t>
  </si>
  <si>
    <t>3.15.8</t>
  </si>
  <si>
    <t>3.15.9</t>
  </si>
  <si>
    <t>3.15.10</t>
  </si>
  <si>
    <t>3.15.14</t>
  </si>
  <si>
    <t>3.16.6</t>
  </si>
  <si>
    <t>3.16.7</t>
  </si>
  <si>
    <t>3.16.8</t>
  </si>
  <si>
    <t>3.16.9</t>
  </si>
  <si>
    <t>3.17.11</t>
  </si>
  <si>
    <t>3.17.12</t>
  </si>
  <si>
    <t>3.2.3.1</t>
  </si>
  <si>
    <t>3.2.3.2</t>
  </si>
  <si>
    <t>3.2.3.3</t>
  </si>
  <si>
    <t>3.2.4</t>
  </si>
  <si>
    <t>3.2.4.1</t>
  </si>
  <si>
    <t>3.2.4.2</t>
  </si>
  <si>
    <t>3.2.4.3</t>
  </si>
  <si>
    <t>3.9.8</t>
  </si>
  <si>
    <t>3.9.9</t>
  </si>
  <si>
    <t>3.9.10</t>
  </si>
  <si>
    <t>3.9.11</t>
  </si>
  <si>
    <t>3.9.12</t>
  </si>
  <si>
    <t>3.9.13</t>
  </si>
  <si>
    <t>3.9.14</t>
  </si>
  <si>
    <t>3.9.15</t>
  </si>
  <si>
    <t>3.9.16</t>
  </si>
  <si>
    <t>3.9.17</t>
  </si>
  <si>
    <t>3.9.18</t>
  </si>
  <si>
    <t>3.9.19</t>
  </si>
  <si>
    <t>3.9.20</t>
  </si>
  <si>
    <t>3.9.21</t>
  </si>
  <si>
    <t>3.9.22</t>
  </si>
  <si>
    <t>3.9.23</t>
  </si>
  <si>
    <t>3.9.24</t>
  </si>
  <si>
    <t>Printer (Laser)</t>
  </si>
  <si>
    <t xml:space="preserve">   - CT  125/5A</t>
  </si>
  <si>
    <t xml:space="preserve">W-HVC1 (2-In LB., 1-Out CB) </t>
  </si>
  <si>
    <t>คาปาซิเตอร์ 1 (Capacitor bank1+2) 12 Steps x 60kVAR</t>
  </si>
  <si>
    <t xml:space="preserve">   - 60KVAR Capacitor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</si>
</sst>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(* #,##0.00_);_(* \(#,##0.00\);_(* &quot;-&quot;??_);_(@_)"/>
    <numFmt numFmtId="164" formatCode="_-* #,##0.00_-;\-* #,##0.00_-;_-* &quot;-&quot;??_-;_-@_-"/>
    <numFmt numFmtId="165" formatCode="_(* #,##0.0_);_(* \(#,##0.0\);_(* &quot;-&quot;??_);_(@_)"/>
    <numFmt numFmtId="166" formatCode="0."/>
    <numFmt numFmtId="167" formatCode="_(* #,##0_);_(* \(#,##0\);_(* &quot;-&quot;??_);_(@_)"/>
    <numFmt numFmtId="168" formatCode="dd\-mmm\-yy_)"/>
    <numFmt numFmtId="169" formatCode="0.000"/>
    <numFmt numFmtId="170" formatCode="_-* #,##0_-;\-* #,##0_-;_-* &quot;-&quot;??_-;_-@_-"/>
    <numFmt numFmtId="171" formatCode="_ * #,##0.00_ ;_ * \-#,##0.00_ ;_ * &quot;-&quot;??_ ;_ @_ "/>
    <numFmt numFmtId="172" formatCode="_ * #,##0_ ;_ * \-#,##0_ ;_ * &quot;-&quot;??_ ;_ @_ "/>
    <numFmt numFmtId="173" formatCode="0.0000"/>
    <numFmt numFmtId="174" formatCode="#,##0.00_ ;[Red]\-#,##0.00\ "/>
    <numFmt numFmtId="175" formatCode="_-* #,##0.0000_-;\-* #,##0.0000_-;_-* &quot;-&quot;??_-;_-@_-"/>
    <numFmt numFmtId="176" formatCode="0.0."/>
    <numFmt numFmtId="177" formatCode="0.00."/>
    <numFmt numFmtId="178" formatCode="#,##0_ ;[Red]\-#,##0\ "/>
    <numFmt numFmtId="179" formatCode="0.00000000"/>
    <numFmt numFmtId="180" formatCode="_-* #,##0.000000000000_-;\-* #,##0.000000000000_-;_-* &quot;-&quot;??_-;_-@_-"/>
    <numFmt numFmtId="181" formatCode="0.0"/>
    <numFmt numFmtId="182" formatCode="_(* #,##0.0_);_(* \(#,##0.0\);_(* &quot;-&quot;?_);_(@_)"/>
    <numFmt numFmtId="183" formatCode="#,##0.0_);\(#,##0.0\)"/>
    <numFmt numFmtId="184" formatCode="#,##0.0"/>
    <numFmt numFmtId="185" formatCode="#,##0.00000_);\(#,##0.00000\)"/>
  </numFmts>
  <fonts count="141">
    <font>
      <sz val="14"/>
      <name val="Cordia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Cordia New"/>
      <family val="2"/>
    </font>
    <font>
      <sz val="16"/>
      <color theme="1"/>
      <name val="Cordia New"/>
      <family val="2"/>
      <charset val="222"/>
    </font>
    <font>
      <sz val="16"/>
      <name val="TH SarabunPSK"/>
      <family val="2"/>
    </font>
    <font>
      <sz val="10"/>
      <name val="Arial"/>
      <family val="2"/>
    </font>
    <font>
      <sz val="16"/>
      <color theme="0"/>
      <name val="Cordia New"/>
      <family val="2"/>
      <charset val="222"/>
    </font>
    <font>
      <sz val="14"/>
      <name val="AngsanaUPC"/>
      <family val="1"/>
    </font>
    <font>
      <i/>
      <sz val="16"/>
      <color theme="1"/>
      <name val="Cordia New"/>
      <family val="2"/>
      <charset val="222"/>
    </font>
    <font>
      <sz val="14"/>
      <name val="TH SarabunPSK"/>
      <family val="2"/>
    </font>
    <font>
      <b/>
      <sz val="16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name val="AngsanaUPC"/>
      <family val="1"/>
      <charset val="222"/>
    </font>
    <font>
      <sz val="11"/>
      <color theme="1"/>
      <name val="Calibri"/>
      <family val="2"/>
      <charset val="134"/>
      <scheme val="minor"/>
    </font>
    <font>
      <i/>
      <sz val="16"/>
      <color theme="1"/>
      <name val="TH Sarabun New"/>
      <family val="2"/>
    </font>
    <font>
      <i/>
      <sz val="16"/>
      <name val="TH Sarabun New"/>
      <family val="2"/>
    </font>
    <font>
      <i/>
      <sz val="14"/>
      <name val="TH Sarabun New"/>
      <family val="2"/>
    </font>
    <font>
      <i/>
      <sz val="14"/>
      <color theme="1"/>
      <name val="TH Sarabun New"/>
      <family val="2"/>
    </font>
    <font>
      <sz val="16"/>
      <name val="TH Sarabun New"/>
      <family val="2"/>
    </font>
    <font>
      <b/>
      <i/>
      <sz val="16"/>
      <color theme="1"/>
      <name val="TH Sarabun New"/>
      <family val="2"/>
    </font>
    <font>
      <sz val="16"/>
      <color theme="1"/>
      <name val="TH Sarabun New"/>
      <family val="2"/>
    </font>
    <font>
      <b/>
      <sz val="14"/>
      <name val="TH Sarabun New"/>
      <family val="2"/>
    </font>
    <font>
      <sz val="16"/>
      <color theme="0"/>
      <name val="TH Sarabun New"/>
      <family val="2"/>
    </font>
    <font>
      <b/>
      <sz val="16"/>
      <name val="TH Sarabun New"/>
      <family val="2"/>
    </font>
    <font>
      <b/>
      <sz val="16"/>
      <color theme="1"/>
      <name val="TH Sarabun New"/>
      <family val="2"/>
    </font>
    <font>
      <sz val="14"/>
      <color theme="1"/>
      <name val="TH Sarabun New"/>
      <family val="2"/>
    </font>
    <font>
      <sz val="14"/>
      <color theme="0"/>
      <name val="TH Sarabun New"/>
      <family val="2"/>
    </font>
    <font>
      <sz val="14"/>
      <name val="TH Sarabun New"/>
      <family val="2"/>
    </font>
    <font>
      <sz val="14"/>
      <color rgb="FF000000"/>
      <name val="Cordia New"/>
      <family val="2"/>
    </font>
    <font>
      <b/>
      <i/>
      <sz val="16"/>
      <name val="TH Sarabun New"/>
      <family val="2"/>
    </font>
    <font>
      <b/>
      <i/>
      <sz val="14"/>
      <name val="TH Sarabun New"/>
      <family val="2"/>
    </font>
    <font>
      <b/>
      <i/>
      <sz val="18"/>
      <color rgb="FFFF0000"/>
      <name val="TH Sarabun New"/>
      <family val="2"/>
    </font>
    <font>
      <sz val="16"/>
      <color rgb="FFFF0000"/>
      <name val="TH Sarabun New"/>
      <family val="2"/>
    </font>
    <font>
      <b/>
      <sz val="14"/>
      <color rgb="FFFF0000"/>
      <name val="TH Sarabun New"/>
      <family val="2"/>
    </font>
    <font>
      <b/>
      <sz val="14"/>
      <color indexed="10"/>
      <name val="TH Sarabun New"/>
      <family val="2"/>
    </font>
    <font>
      <sz val="16"/>
      <name val="Cordia New"/>
      <family val="2"/>
    </font>
    <font>
      <i/>
      <sz val="15"/>
      <name val="TH Sarabun New"/>
      <family val="2"/>
    </font>
    <font>
      <b/>
      <i/>
      <sz val="15"/>
      <name val="TH Sarabun New"/>
      <family val="2"/>
    </font>
    <font>
      <sz val="15"/>
      <name val="Cordia New"/>
      <family val="2"/>
    </font>
    <font>
      <sz val="15"/>
      <name val="TH SarabunPSK"/>
      <family val="2"/>
    </font>
    <font>
      <b/>
      <i/>
      <sz val="15"/>
      <color rgb="FFC00000"/>
      <name val="TH Sarabun New"/>
      <family val="2"/>
    </font>
    <font>
      <b/>
      <i/>
      <sz val="15"/>
      <color rgb="FFFF0000"/>
      <name val="TH Sarabun New"/>
      <family val="2"/>
    </font>
    <font>
      <b/>
      <sz val="15"/>
      <name val="TH Sarabun New"/>
      <family val="2"/>
    </font>
    <font>
      <sz val="15"/>
      <name val="TH Sarabun New"/>
      <family val="2"/>
    </font>
    <font>
      <sz val="15"/>
      <color rgb="FFFF0000"/>
      <name val="TH Sarabun New"/>
      <family val="2"/>
    </font>
    <font>
      <i/>
      <sz val="16"/>
      <name val="TH SarabunPSK"/>
      <family val="2"/>
    </font>
    <font>
      <i/>
      <sz val="15"/>
      <name val="TH SarabunPSK"/>
      <family val="2"/>
    </font>
    <font>
      <i/>
      <sz val="15"/>
      <color rgb="FF0070C0"/>
      <name val="TH Sarabun New"/>
      <family val="2"/>
    </font>
    <font>
      <b/>
      <sz val="15"/>
      <name val="TH SarabunPSK"/>
      <family val="2"/>
    </font>
    <font>
      <b/>
      <sz val="15"/>
      <color rgb="FFFF0000"/>
      <name val="TH Sarabun New"/>
      <family val="2"/>
    </font>
    <font>
      <b/>
      <sz val="15"/>
      <color indexed="10"/>
      <name val="TH Sarabun New"/>
      <family val="2"/>
    </font>
    <font>
      <b/>
      <i/>
      <sz val="18"/>
      <name val="TH SarabunPSK"/>
      <family val="2"/>
    </font>
    <font>
      <sz val="18"/>
      <name val="TH SarabunPSK"/>
      <family val="2"/>
    </font>
    <font>
      <sz val="16"/>
      <color indexed="8"/>
      <name val="TH SarabunPSK"/>
      <family val="2"/>
    </font>
    <font>
      <sz val="11"/>
      <color indexed="8"/>
      <name val="Tahoma"/>
      <family val="2"/>
      <charset val="222"/>
    </font>
    <font>
      <u/>
      <sz val="18"/>
      <name val="TH SarabunPSK"/>
      <family val="2"/>
    </font>
    <font>
      <b/>
      <sz val="18"/>
      <name val="TH SarabunPSK"/>
      <family val="2"/>
    </font>
    <font>
      <sz val="18"/>
      <name val="Calibri"/>
      <family val="2"/>
    </font>
    <font>
      <sz val="15"/>
      <color theme="1"/>
      <name val="TH Sarabun New"/>
      <family val="2"/>
    </font>
    <font>
      <sz val="15"/>
      <color theme="0"/>
      <name val="TH Sarabun New"/>
      <family val="2"/>
    </font>
    <font>
      <sz val="15"/>
      <color theme="1"/>
      <name val="Cordia New"/>
      <family val="2"/>
      <charset val="222"/>
    </font>
    <font>
      <i/>
      <sz val="16"/>
      <color theme="0"/>
      <name val="TH Sarabun New"/>
      <family val="2"/>
    </font>
    <font>
      <i/>
      <sz val="16"/>
      <name val="Cordia New"/>
      <family val="2"/>
    </font>
    <font>
      <b/>
      <i/>
      <sz val="16"/>
      <name val="Cordia New"/>
      <family val="2"/>
    </font>
    <font>
      <i/>
      <sz val="16"/>
      <name val="Cordia New"/>
      <family val="2"/>
      <charset val="222"/>
    </font>
    <font>
      <sz val="11"/>
      <name val="Cordia New"/>
      <family val="2"/>
    </font>
    <font>
      <i/>
      <sz val="14"/>
      <name val="Cordia New"/>
      <family val="2"/>
      <charset val="222"/>
    </font>
    <font>
      <i/>
      <sz val="14"/>
      <name val="Cordia New"/>
      <family val="2"/>
    </font>
    <font>
      <b/>
      <sz val="14"/>
      <name val="Cordia New"/>
      <family val="2"/>
    </font>
    <font>
      <b/>
      <u/>
      <sz val="14"/>
      <name val="Cordia New"/>
      <family val="2"/>
    </font>
    <font>
      <sz val="16"/>
      <name val="Cordia New"/>
      <family val="2"/>
      <charset val="222"/>
    </font>
    <font>
      <b/>
      <sz val="16"/>
      <name val="Cordia New"/>
      <family val="2"/>
    </font>
    <font>
      <b/>
      <u/>
      <sz val="16"/>
      <name val="Cordia New"/>
      <family val="2"/>
    </font>
    <font>
      <sz val="14"/>
      <name val="Cordia New"/>
      <family val="2"/>
      <charset val="222"/>
    </font>
    <font>
      <sz val="14"/>
      <color rgb="FFFF0000"/>
      <name val="Cordia New"/>
      <family val="2"/>
    </font>
    <font>
      <sz val="11"/>
      <name val="Cordia New"/>
      <family val="2"/>
      <charset val="222"/>
    </font>
    <font>
      <sz val="10"/>
      <name val="Cordia New"/>
      <family val="2"/>
    </font>
    <font>
      <sz val="19"/>
      <name val="Cordia New"/>
      <family val="2"/>
    </font>
    <font>
      <sz val="14"/>
      <name val="TH SarabunPSK"/>
      <family val="2"/>
      <charset val="222"/>
    </font>
    <font>
      <sz val="12"/>
      <name val="Cordia New"/>
      <family val="2"/>
      <charset val="222"/>
    </font>
    <font>
      <b/>
      <sz val="14"/>
      <name val="TH SarabunPSK"/>
      <family val="2"/>
    </font>
    <font>
      <sz val="12"/>
      <name val="TH SarabunPSK"/>
      <family val="2"/>
      <charset val="222"/>
    </font>
    <font>
      <sz val="14"/>
      <color rgb="FFFF0000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name val="Cordia New"/>
      <family val="2"/>
      <charset val="222"/>
    </font>
    <font>
      <sz val="14"/>
      <color rgb="FFFF0000"/>
      <name val="TH SarabunPSK"/>
      <family val="2"/>
    </font>
    <font>
      <b/>
      <sz val="14"/>
      <color theme="1"/>
      <name val="TH Sarabun New"/>
      <family val="2"/>
    </font>
    <font>
      <i/>
      <sz val="14"/>
      <color theme="0"/>
      <name val="TH Sarabun New"/>
      <family val="2"/>
    </font>
    <font>
      <sz val="14"/>
      <color rgb="FFFF0000"/>
      <name val="TH Sarabun New"/>
      <family val="2"/>
    </font>
    <font>
      <sz val="14"/>
      <color theme="1"/>
      <name val="AIGDT"/>
      <charset val="2"/>
    </font>
    <font>
      <sz val="14"/>
      <color rgb="FFFF0000"/>
      <name val="Cordia New"/>
      <family val="2"/>
      <charset val="222"/>
    </font>
    <font>
      <i/>
      <sz val="16"/>
      <color rgb="FFC00000"/>
      <name val="TH Sarabun New"/>
      <family val="2"/>
    </font>
    <font>
      <i/>
      <sz val="14"/>
      <color rgb="FFC00000"/>
      <name val="TH Sarabun New"/>
      <family val="2"/>
    </font>
    <font>
      <b/>
      <sz val="14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6"/>
      <name val="TH SarabunPSK"/>
      <family val="2"/>
    </font>
    <font>
      <sz val="16"/>
      <color theme="1"/>
      <name val="TH SarabunPSK"/>
      <family val="2"/>
    </font>
    <font>
      <sz val="16"/>
      <color rgb="FFC00000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u/>
      <sz val="14"/>
      <name val="TH SarabunPSK"/>
      <family val="2"/>
    </font>
    <font>
      <b/>
      <u/>
      <sz val="14"/>
      <name val="TH SarabunPSK"/>
      <family val="2"/>
    </font>
    <font>
      <sz val="14"/>
      <color theme="1"/>
      <name val="TH SarabunPSK"/>
      <family val="2"/>
    </font>
    <font>
      <sz val="14"/>
      <color rgb="FFC00000"/>
      <name val="TH SarabunPSK"/>
      <family val="2"/>
    </font>
    <font>
      <sz val="14"/>
      <color theme="1"/>
      <name val="Cordia New"/>
      <family val="2"/>
      <charset val="222"/>
    </font>
    <font>
      <sz val="16"/>
      <color rgb="FFC00000"/>
      <name val="Cordia New"/>
      <family val="2"/>
      <charset val="222"/>
    </font>
    <font>
      <b/>
      <sz val="14"/>
      <color rgb="FFC00000"/>
      <name val="TH SarabunPSK"/>
      <family val="2"/>
    </font>
    <font>
      <sz val="14"/>
      <name val="Times New Roman"/>
      <family val="1"/>
      <charset val="222"/>
    </font>
    <font>
      <sz val="14"/>
      <color theme="0"/>
      <name val="TH SarabunPSK"/>
      <family val="2"/>
    </font>
    <font>
      <b/>
      <u/>
      <sz val="14"/>
      <color rgb="FFC00000"/>
      <name val="TH SarabunPSK"/>
      <family val="2"/>
    </font>
    <font>
      <b/>
      <i/>
      <u/>
      <sz val="14"/>
      <color rgb="FFC00000"/>
      <name val="TH SarabunPSK"/>
      <family val="2"/>
    </font>
    <font>
      <sz val="9"/>
      <name val="Calibri"/>
      <family val="2"/>
    </font>
    <font>
      <sz val="14"/>
      <name val="BrowalliaUPC"/>
      <family val="2"/>
      <charset val="222"/>
    </font>
    <font>
      <sz val="14"/>
      <color theme="0"/>
      <name val="Cordia New"/>
      <family val="2"/>
      <charset val="222"/>
    </font>
    <font>
      <sz val="14"/>
      <color rgb="FFC00000"/>
      <name val="Cordia New"/>
      <family val="2"/>
      <charset val="222"/>
    </font>
    <font>
      <sz val="16"/>
      <color theme="0"/>
      <name val="TH SarabunPSK"/>
      <family val="2"/>
    </font>
    <font>
      <b/>
      <sz val="9"/>
      <name val="Calibri"/>
      <family val="2"/>
    </font>
    <font>
      <b/>
      <sz val="14"/>
      <name val="BrowalliaUPC"/>
      <family val="2"/>
      <charset val="222"/>
    </font>
    <font>
      <sz val="14"/>
      <color rgb="FF0000FF"/>
      <name val="TH SarabunPSK"/>
      <family val="2"/>
    </font>
    <font>
      <i/>
      <sz val="13"/>
      <name val="TH Sarabun New"/>
      <family val="2"/>
    </font>
    <font>
      <sz val="9"/>
      <name val="Symbol"/>
      <family val="1"/>
      <charset val="2"/>
    </font>
    <font>
      <sz val="14"/>
      <name val="Symbol"/>
      <family val="1"/>
      <charset val="2"/>
    </font>
    <font>
      <sz val="14"/>
      <name val="Browallia New"/>
      <family val="2"/>
    </font>
    <font>
      <b/>
      <i/>
      <u/>
      <sz val="16"/>
      <name val="CordiaUPC"/>
      <family val="2"/>
    </font>
    <font>
      <b/>
      <i/>
      <u/>
      <sz val="14"/>
      <color rgb="FF0070C0"/>
      <name val="Browallia New"/>
      <family val="2"/>
    </font>
    <font>
      <b/>
      <sz val="14"/>
      <name val="Browallia New"/>
      <family val="2"/>
    </font>
    <font>
      <b/>
      <i/>
      <u/>
      <sz val="14"/>
      <color rgb="FF0070C0"/>
      <name val="TH SarabunPSK"/>
      <family val="2"/>
    </font>
    <font>
      <i/>
      <sz val="16"/>
      <color theme="0"/>
      <name val="TH SarabunPSK"/>
      <family val="2"/>
    </font>
    <font>
      <sz val="14"/>
      <color rgb="FF0070C0"/>
      <name val="TH SarabunPSK"/>
      <family val="2"/>
    </font>
    <font>
      <sz val="6"/>
      <name val="Calibri"/>
      <family val="2"/>
    </font>
    <font>
      <strike/>
      <sz val="14"/>
      <name val="TH SarabunPSK"/>
      <family val="2"/>
    </font>
    <font>
      <sz val="14"/>
      <color rgb="FF0070C0"/>
      <name val="TH Sarabun New"/>
      <family val="2"/>
    </font>
    <font>
      <sz val="9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000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0">
    <xf numFmtId="0" fontId="0" fillId="0" borderId="0"/>
    <xf numFmtId="164" fontId="1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9" fontId="13" fillId="0" borderId="0" applyFont="0" applyFill="0" applyBorder="0" applyAlignment="0" applyProtection="0"/>
    <xf numFmtId="0" fontId="13" fillId="0" borderId="0"/>
    <xf numFmtId="0" fontId="10" fillId="0" borderId="0"/>
    <xf numFmtId="164" fontId="19" fillId="0" borderId="0" applyFont="0" applyFill="0" applyBorder="0" applyAlignment="0" applyProtection="0"/>
    <xf numFmtId="0" fontId="20" fillId="0" borderId="0"/>
    <xf numFmtId="0" fontId="19" fillId="0" borderId="0"/>
    <xf numFmtId="0" fontId="21" fillId="0" borderId="0"/>
    <xf numFmtId="164" fontId="1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2" fillId="0" borderId="0"/>
    <xf numFmtId="164" fontId="9" fillId="0" borderId="0" applyFont="0" applyFill="0" applyBorder="0" applyAlignment="0" applyProtection="0"/>
    <xf numFmtId="0" fontId="9" fillId="0" borderId="0"/>
    <xf numFmtId="164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4" fontId="1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64" fontId="6" fillId="0" borderId="0" applyFont="0" applyFill="0" applyBorder="0" applyAlignment="0" applyProtection="0"/>
    <xf numFmtId="0" fontId="6" fillId="0" borderId="0"/>
    <xf numFmtId="0" fontId="13" fillId="0" borderId="0"/>
    <xf numFmtId="164" fontId="5" fillId="0" borderId="0" applyFont="0" applyFill="0" applyBorder="0" applyAlignment="0" applyProtection="0"/>
    <xf numFmtId="0" fontId="5" fillId="0" borderId="0"/>
    <xf numFmtId="164" fontId="4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0" fontId="2" fillId="0" borderId="0"/>
    <xf numFmtId="0" fontId="10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9" fillId="0" borderId="0" applyFont="0" applyFill="0" applyBorder="0" applyAlignment="0" applyProtection="0"/>
  </cellStyleXfs>
  <cellXfs count="2370">
    <xf numFmtId="0" fontId="0" fillId="0" borderId="0" xfId="0"/>
    <xf numFmtId="0" fontId="11" fillId="0" borderId="0" xfId="0" applyFont="1"/>
    <xf numFmtId="0" fontId="14" fillId="0" borderId="0" xfId="0" applyFont="1" applyAlignment="1">
      <alignment horizontal="center"/>
    </xf>
    <xf numFmtId="0" fontId="16" fillId="0" borderId="0" xfId="0" applyFont="1"/>
    <xf numFmtId="0" fontId="26" fillId="0" borderId="0" xfId="2" applyFont="1" applyAlignment="1">
      <alignment horizontal="center" vertical="center"/>
    </xf>
    <xf numFmtId="0" fontId="23" fillId="0" borderId="2" xfId="0" applyFont="1" applyBorder="1" applyAlignment="1">
      <alignment horizontal="left" vertical="top"/>
    </xf>
    <xf numFmtId="0" fontId="23" fillId="0" borderId="2" xfId="1" applyNumberFormat="1" applyFont="1" applyBorder="1" applyAlignment="1">
      <alignment horizontal="left" vertical="top"/>
    </xf>
    <xf numFmtId="0" fontId="27" fillId="0" borderId="0" xfId="1" applyNumberFormat="1" applyFont="1" applyAlignment="1">
      <alignment horizontal="center" vertical="center"/>
    </xf>
    <xf numFmtId="0" fontId="22" fillId="0" borderId="0" xfId="1" applyNumberFormat="1" applyFont="1" applyFill="1" applyAlignment="1">
      <alignment vertical="center"/>
    </xf>
    <xf numFmtId="0" fontId="22" fillId="0" borderId="0" xfId="1" applyNumberFormat="1" applyFont="1" applyAlignment="1">
      <alignment vertical="center"/>
    </xf>
    <xf numFmtId="0" fontId="22" fillId="0" borderId="0" xfId="1" applyNumberFormat="1" applyFont="1" applyFill="1" applyBorder="1" applyAlignment="1">
      <alignment horizontal="left" vertical="center"/>
    </xf>
    <xf numFmtId="49" fontId="22" fillId="0" borderId="1" xfId="1" applyNumberFormat="1" applyFont="1" applyFill="1" applyBorder="1" applyAlignment="1">
      <alignment vertical="top"/>
    </xf>
    <xf numFmtId="0" fontId="23" fillId="0" borderId="1" xfId="0" applyFont="1" applyBorder="1" applyAlignment="1">
      <alignment vertical="top"/>
    </xf>
    <xf numFmtId="0" fontId="22" fillId="0" borderId="1" xfId="1" applyNumberFormat="1" applyFont="1" applyFill="1" applyBorder="1" applyAlignment="1">
      <alignment vertical="top"/>
    </xf>
    <xf numFmtId="0" fontId="22" fillId="0" borderId="1" xfId="1" applyNumberFormat="1" applyFont="1" applyBorder="1" applyAlignment="1">
      <alignment vertical="top"/>
    </xf>
    <xf numFmtId="0" fontId="22" fillId="0" borderId="1" xfId="1" applyNumberFormat="1" applyFont="1" applyFill="1" applyBorder="1" applyAlignment="1">
      <alignment vertical="center"/>
    </xf>
    <xf numFmtId="49" fontId="22" fillId="0" borderId="2" xfId="1" applyNumberFormat="1" applyFont="1" applyFill="1" applyBorder="1" applyAlignment="1">
      <alignment vertical="top"/>
    </xf>
    <xf numFmtId="0" fontId="22" fillId="0" borderId="2" xfId="1" applyNumberFormat="1" applyFont="1" applyFill="1" applyBorder="1" applyAlignment="1">
      <alignment vertical="top"/>
    </xf>
    <xf numFmtId="0" fontId="22" fillId="0" borderId="1" xfId="1" applyNumberFormat="1" applyFont="1" applyFill="1" applyBorder="1" applyAlignment="1">
      <alignment horizontal="right" vertical="top"/>
    </xf>
    <xf numFmtId="0" fontId="22" fillId="0" borderId="1" xfId="1" applyNumberFormat="1" applyFont="1" applyFill="1" applyBorder="1" applyAlignment="1">
      <alignment horizontal="center" vertical="top"/>
    </xf>
    <xf numFmtId="0" fontId="22" fillId="0" borderId="2" xfId="1" applyNumberFormat="1" applyFont="1" applyFill="1" applyBorder="1" applyAlignment="1">
      <alignment vertical="center"/>
    </xf>
    <xf numFmtId="0" fontId="22" fillId="0" borderId="2" xfId="1" applyNumberFormat="1" applyFont="1" applyFill="1" applyBorder="1" applyAlignment="1">
      <alignment horizontal="left" vertical="top"/>
    </xf>
    <xf numFmtId="0" fontId="26" fillId="0" borderId="2" xfId="0" applyFont="1" applyBorder="1" applyAlignment="1">
      <alignment vertical="top"/>
    </xf>
    <xf numFmtId="0" fontId="26" fillId="0" borderId="2" xfId="0" quotePrefix="1" applyFont="1" applyBorder="1" applyAlignment="1">
      <alignment horizontal="center" vertical="top"/>
    </xf>
    <xf numFmtId="0" fontId="23" fillId="0" borderId="2" xfId="1" applyNumberFormat="1" applyFont="1" applyBorder="1" applyAlignment="1">
      <alignment horizontal="center"/>
    </xf>
    <xf numFmtId="0" fontId="23" fillId="0" borderId="2" xfId="1" applyNumberFormat="1" applyFont="1" applyBorder="1" applyAlignment="1">
      <alignment horizontal="center" vertical="top"/>
    </xf>
    <xf numFmtId="17" fontId="23" fillId="0" borderId="2" xfId="1" applyNumberFormat="1" applyFont="1" applyBorder="1" applyAlignment="1">
      <alignment vertical="top"/>
    </xf>
    <xf numFmtId="164" fontId="26" fillId="0" borderId="0" xfId="1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1" applyNumberFormat="1" applyFont="1" applyAlignment="1">
      <alignment vertical="center"/>
    </xf>
    <xf numFmtId="0" fontId="26" fillId="0" borderId="0" xfId="1" applyNumberFormat="1" applyFont="1" applyAlignment="1">
      <alignment horizontal="center" vertical="center"/>
    </xf>
    <xf numFmtId="164" fontId="25" fillId="0" borderId="24" xfId="1" applyFont="1" applyFill="1" applyBorder="1" applyAlignment="1">
      <alignment horizontal="center" vertical="center"/>
    </xf>
    <xf numFmtId="164" fontId="22" fillId="0" borderId="26" xfId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/>
    <xf numFmtId="0" fontId="22" fillId="0" borderId="1" xfId="0" applyFont="1" applyBorder="1" applyAlignment="1">
      <alignment horizontal="left" vertical="top"/>
    </xf>
    <xf numFmtId="0" fontId="22" fillId="0" borderId="1" xfId="0" applyFont="1" applyBorder="1" applyAlignment="1">
      <alignment vertical="top"/>
    </xf>
    <xf numFmtId="0" fontId="22" fillId="0" borderId="2" xfId="0" applyFont="1" applyBorder="1" applyAlignment="1">
      <alignment horizontal="left" vertical="top"/>
    </xf>
    <xf numFmtId="0" fontId="22" fillId="0" borderId="2" xfId="0" applyFont="1" applyBorder="1" applyAlignment="1">
      <alignment vertical="top"/>
    </xf>
    <xf numFmtId="0" fontId="22" fillId="0" borderId="1" xfId="0" applyFont="1" applyBorder="1" applyAlignment="1">
      <alignment vertical="center"/>
    </xf>
    <xf numFmtId="0" fontId="22" fillId="0" borderId="2" xfId="0" applyFont="1" applyBorder="1"/>
    <xf numFmtId="0" fontId="22" fillId="0" borderId="2" xfId="0" applyFont="1" applyBorder="1" applyAlignment="1">
      <alignment horizontal="right"/>
    </xf>
    <xf numFmtId="3" fontId="22" fillId="0" borderId="2" xfId="0" applyNumberFormat="1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8" fillId="0" borderId="0" xfId="0" applyFont="1"/>
    <xf numFmtId="0" fontId="28" fillId="0" borderId="20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165" fontId="28" fillId="0" borderId="1" xfId="3" applyNumberFormat="1" applyFont="1" applyFill="1" applyBorder="1" applyAlignment="1">
      <alignment horizontal="centerContinuous"/>
    </xf>
    <xf numFmtId="164" fontId="28" fillId="0" borderId="19" xfId="1" applyFont="1" applyFill="1" applyBorder="1" applyAlignment="1">
      <alignment horizontal="center" vertical="center"/>
    </xf>
    <xf numFmtId="164" fontId="28" fillId="0" borderId="1" xfId="1" applyFont="1" applyFill="1" applyBorder="1" applyAlignment="1">
      <alignment horizontal="center" vertical="center"/>
    </xf>
    <xf numFmtId="164" fontId="28" fillId="0" borderId="20" xfId="1" applyFont="1" applyFill="1" applyBorder="1" applyAlignment="1">
      <alignment horizontal="center" vertical="center"/>
    </xf>
    <xf numFmtId="164" fontId="30" fillId="0" borderId="20" xfId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left" vertical="center"/>
    </xf>
    <xf numFmtId="0" fontId="35" fillId="0" borderId="0" xfId="0" applyFont="1"/>
    <xf numFmtId="164" fontId="22" fillId="0" borderId="4" xfId="1" applyFont="1" applyFill="1" applyBorder="1" applyAlignment="1">
      <alignment horizontal="center" vertical="center"/>
    </xf>
    <xf numFmtId="164" fontId="22" fillId="0" borderId="22" xfId="1" applyFont="1" applyFill="1" applyBorder="1" applyAlignment="1">
      <alignment horizontal="center" vertical="center"/>
    </xf>
    <xf numFmtId="0" fontId="32" fillId="0" borderId="18" xfId="0" quotePrefix="1" applyFont="1" applyBorder="1" applyAlignment="1">
      <alignment horizontal="center" vertical="center" wrapText="1"/>
    </xf>
    <xf numFmtId="0" fontId="32" fillId="0" borderId="1" xfId="0" applyFont="1" applyBorder="1"/>
    <xf numFmtId="0" fontId="33" fillId="0" borderId="2" xfId="16" applyFont="1" applyBorder="1" applyAlignment="1">
      <alignment horizontal="left"/>
    </xf>
    <xf numFmtId="0" fontId="22" fillId="0" borderId="0" xfId="16" applyFont="1" applyAlignment="1">
      <alignment horizontal="left" vertical="center"/>
    </xf>
    <xf numFmtId="0" fontId="22" fillId="0" borderId="0" xfId="16" applyFont="1" applyAlignment="1">
      <alignment vertical="center"/>
    </xf>
    <xf numFmtId="0" fontId="27" fillId="0" borderId="0" xfId="21" applyNumberFormat="1" applyFont="1" applyAlignment="1">
      <alignment horizontal="center" vertical="center"/>
    </xf>
    <xf numFmtId="0" fontId="22" fillId="0" borderId="0" xfId="21" applyNumberFormat="1" applyFont="1" applyAlignment="1">
      <alignment vertical="center"/>
    </xf>
    <xf numFmtId="0" fontId="22" fillId="0" borderId="0" xfId="21" applyNumberFormat="1" applyFont="1" applyFill="1" applyBorder="1" applyAlignment="1">
      <alignment horizontal="left" vertical="center"/>
    </xf>
    <xf numFmtId="0" fontId="28" fillId="0" borderId="0" xfId="16" applyFont="1"/>
    <xf numFmtId="49" fontId="22" fillId="0" borderId="0" xfId="21" applyNumberFormat="1" applyFont="1" applyFill="1" applyBorder="1" applyAlignment="1">
      <alignment vertical="top"/>
    </xf>
    <xf numFmtId="0" fontId="22" fillId="0" borderId="0" xfId="16" applyFont="1" applyAlignment="1">
      <alignment horizontal="left" vertical="top"/>
    </xf>
    <xf numFmtId="0" fontId="22" fillId="0" borderId="0" xfId="16" applyFont="1" applyAlignment="1">
      <alignment vertical="top"/>
    </xf>
    <xf numFmtId="0" fontId="23" fillId="0" borderId="0" xfId="16" applyFont="1" applyAlignment="1">
      <alignment vertical="top"/>
    </xf>
    <xf numFmtId="0" fontId="22" fillId="0" borderId="0" xfId="21" applyNumberFormat="1" applyFont="1" applyFill="1" applyBorder="1" applyAlignment="1">
      <alignment vertical="top"/>
    </xf>
    <xf numFmtId="0" fontId="22" fillId="0" borderId="0" xfId="21" applyNumberFormat="1" applyFont="1" applyFill="1" applyBorder="1" applyAlignment="1">
      <alignment vertical="center"/>
    </xf>
    <xf numFmtId="49" fontId="22" fillId="0" borderId="1" xfId="21" applyNumberFormat="1" applyFont="1" applyFill="1" applyBorder="1" applyAlignment="1">
      <alignment vertical="top"/>
    </xf>
    <xf numFmtId="0" fontId="22" fillId="0" borderId="1" xfId="16" applyFont="1" applyBorder="1" applyAlignment="1">
      <alignment horizontal="left" vertical="top"/>
    </xf>
    <xf numFmtId="0" fontId="22" fillId="0" borderId="1" xfId="16" applyFont="1" applyBorder="1" applyAlignment="1">
      <alignment vertical="top"/>
    </xf>
    <xf numFmtId="0" fontId="22" fillId="0" borderId="1" xfId="16" applyFont="1" applyBorder="1" applyAlignment="1">
      <alignment vertical="center"/>
    </xf>
    <xf numFmtId="0" fontId="22" fillId="0" borderId="1" xfId="21" applyNumberFormat="1" applyFont="1" applyFill="1" applyBorder="1" applyAlignment="1">
      <alignment vertical="top"/>
    </xf>
    <xf numFmtId="0" fontId="22" fillId="0" borderId="1" xfId="16" applyFont="1" applyBorder="1" applyAlignment="1">
      <alignment horizontal="right"/>
    </xf>
    <xf numFmtId="49" fontId="22" fillId="0" borderId="2" xfId="21" applyNumberFormat="1" applyFont="1" applyFill="1" applyBorder="1" applyAlignment="1">
      <alignment vertical="top"/>
    </xf>
    <xf numFmtId="0" fontId="22" fillId="0" borderId="2" xfId="16" applyFont="1" applyBorder="1" applyAlignment="1">
      <alignment horizontal="left" vertical="top"/>
    </xf>
    <xf numFmtId="0" fontId="22" fillId="0" borderId="2" xfId="16" applyFont="1" applyBorder="1" applyAlignment="1">
      <alignment vertical="top"/>
    </xf>
    <xf numFmtId="0" fontId="22" fillId="0" borderId="2" xfId="21" applyNumberFormat="1" applyFont="1" applyFill="1" applyBorder="1" applyAlignment="1">
      <alignment vertical="top"/>
    </xf>
    <xf numFmtId="0" fontId="22" fillId="0" borderId="2" xfId="16" applyFont="1" applyBorder="1" applyAlignment="1">
      <alignment horizontal="right"/>
    </xf>
    <xf numFmtId="0" fontId="22" fillId="0" borderId="0" xfId="16" applyFont="1"/>
    <xf numFmtId="0" fontId="23" fillId="0" borderId="2" xfId="16" applyFont="1" applyBorder="1" applyAlignment="1">
      <alignment horizontal="left" vertical="top"/>
    </xf>
    <xf numFmtId="3" fontId="22" fillId="0" borderId="2" xfId="16" applyNumberFormat="1" applyFont="1" applyBorder="1" applyAlignment="1">
      <alignment vertical="center"/>
    </xf>
    <xf numFmtId="0" fontId="22" fillId="0" borderId="2" xfId="21" applyNumberFormat="1" applyFont="1" applyFill="1" applyBorder="1" applyAlignment="1">
      <alignment vertical="center"/>
    </xf>
    <xf numFmtId="0" fontId="23" fillId="0" borderId="2" xfId="21" applyNumberFormat="1" applyFont="1" applyBorder="1" applyAlignment="1">
      <alignment horizontal="left" vertical="top"/>
    </xf>
    <xf numFmtId="0" fontId="26" fillId="0" borderId="2" xfId="16" applyFont="1" applyBorder="1" applyAlignment="1">
      <alignment vertical="top"/>
    </xf>
    <xf numFmtId="0" fontId="26" fillId="0" borderId="2" xfId="16" quotePrefix="1" applyFont="1" applyBorder="1" applyAlignment="1">
      <alignment horizontal="center" vertical="top"/>
    </xf>
    <xf numFmtId="17" fontId="23" fillId="0" borderId="2" xfId="21" applyNumberFormat="1" applyFont="1" applyBorder="1" applyAlignment="1">
      <alignment vertical="top"/>
    </xf>
    <xf numFmtId="164" fontId="26" fillId="0" borderId="0" xfId="21" applyFont="1" applyAlignment="1">
      <alignment vertical="center"/>
    </xf>
    <xf numFmtId="0" fontId="26" fillId="0" borderId="0" xfId="16" applyFont="1" applyAlignment="1">
      <alignment vertical="center"/>
    </xf>
    <xf numFmtId="0" fontId="26" fillId="0" borderId="0" xfId="21" applyNumberFormat="1" applyFont="1" applyAlignment="1">
      <alignment vertical="center"/>
    </xf>
    <xf numFmtId="0" fontId="26" fillId="0" borderId="0" xfId="21" applyNumberFormat="1" applyFont="1" applyAlignment="1">
      <alignment horizontal="center" vertical="center"/>
    </xf>
    <xf numFmtId="164" fontId="22" fillId="0" borderId="4" xfId="21" applyFont="1" applyFill="1" applyBorder="1" applyAlignment="1">
      <alignment horizontal="center" vertical="center"/>
    </xf>
    <xf numFmtId="164" fontId="22" fillId="0" borderId="24" xfId="21" applyFont="1" applyFill="1" applyBorder="1" applyAlignment="1">
      <alignment horizontal="center" vertical="center"/>
    </xf>
    <xf numFmtId="0" fontId="32" fillId="0" borderId="18" xfId="16" quotePrefix="1" applyFont="1" applyBorder="1" applyAlignment="1">
      <alignment horizontal="center" vertical="center" wrapText="1"/>
    </xf>
    <xf numFmtId="0" fontId="32" fillId="0" borderId="1" xfId="16" applyFont="1" applyBorder="1"/>
    <xf numFmtId="0" fontId="32" fillId="0" borderId="1" xfId="16" applyFont="1" applyBorder="1" applyAlignment="1">
      <alignment horizontal="left" vertical="center"/>
    </xf>
    <xf numFmtId="0" fontId="28" fillId="0" borderId="20" xfId="16" applyFont="1" applyBorder="1" applyAlignment="1">
      <alignment horizontal="center" vertical="center"/>
    </xf>
    <xf numFmtId="0" fontId="28" fillId="0" borderId="18" xfId="16" applyFont="1" applyBorder="1" applyAlignment="1">
      <alignment horizontal="center" vertical="center"/>
    </xf>
    <xf numFmtId="164" fontId="28" fillId="0" borderId="1" xfId="21" applyFont="1" applyFill="1" applyBorder="1" applyAlignment="1">
      <alignment horizontal="center" vertical="center"/>
    </xf>
    <xf numFmtId="164" fontId="30" fillId="0" borderId="28" xfId="21" applyFont="1" applyFill="1" applyBorder="1" applyAlignment="1">
      <alignment horizontal="center" vertical="center"/>
    </xf>
    <xf numFmtId="0" fontId="32" fillId="0" borderId="10" xfId="16" quotePrefix="1" applyFont="1" applyBorder="1" applyAlignment="1">
      <alignment horizontal="center" vertical="center"/>
    </xf>
    <xf numFmtId="0" fontId="32" fillId="0" borderId="2" xfId="16" applyFont="1" applyBorder="1" applyAlignment="1">
      <alignment horizontal="left"/>
    </xf>
    <xf numFmtId="0" fontId="28" fillId="0" borderId="2" xfId="16" applyFont="1" applyBorder="1"/>
    <xf numFmtId="0" fontId="28" fillId="0" borderId="11" xfId="16" applyFont="1" applyBorder="1" applyAlignment="1">
      <alignment horizontal="center" vertical="center"/>
    </xf>
    <xf numFmtId="0" fontId="28" fillId="0" borderId="10" xfId="16" applyFont="1" applyBorder="1" applyAlignment="1">
      <alignment horizontal="center" vertical="center"/>
    </xf>
    <xf numFmtId="164" fontId="28" fillId="0" borderId="2" xfId="21" applyFont="1" applyFill="1" applyBorder="1" applyAlignment="1">
      <alignment horizontal="center" vertical="center"/>
    </xf>
    <xf numFmtId="164" fontId="30" fillId="0" borderId="10" xfId="21" applyFont="1" applyFill="1" applyBorder="1" applyAlignment="1">
      <alignment horizontal="left" vertical="center"/>
    </xf>
    <xf numFmtId="0" fontId="28" fillId="0" borderId="17" xfId="16" quotePrefix="1" applyFont="1" applyBorder="1" applyAlignment="1">
      <alignment horizontal="center" vertical="center"/>
    </xf>
    <xf numFmtId="0" fontId="33" fillId="0" borderId="3" xfId="16" applyFont="1" applyBorder="1" applyAlignment="1">
      <alignment horizontal="left" vertical="center"/>
    </xf>
    <xf numFmtId="0" fontId="28" fillId="0" borderId="3" xfId="16" applyFont="1" applyBorder="1"/>
    <xf numFmtId="0" fontId="28" fillId="0" borderId="30" xfId="16" applyFont="1" applyBorder="1" applyAlignment="1">
      <alignment horizontal="center" vertical="center"/>
    </xf>
    <xf numFmtId="172" fontId="33" fillId="0" borderId="10" xfId="22" applyNumberFormat="1" applyFont="1" applyFill="1" applyBorder="1" applyAlignment="1">
      <alignment horizontal="center" vertical="center"/>
    </xf>
    <xf numFmtId="0" fontId="33" fillId="0" borderId="10" xfId="16" applyFont="1" applyBorder="1" applyAlignment="1">
      <alignment horizontal="center" vertical="center"/>
    </xf>
    <xf numFmtId="164" fontId="28" fillId="0" borderId="3" xfId="21" applyFont="1" applyFill="1" applyBorder="1" applyAlignment="1">
      <alignment horizontal="center" vertical="center"/>
    </xf>
    <xf numFmtId="164" fontId="30" fillId="0" borderId="17" xfId="21" applyFont="1" applyFill="1" applyBorder="1" applyAlignment="1">
      <alignment horizontal="left" vertical="center"/>
    </xf>
    <xf numFmtId="172" fontId="33" fillId="0" borderId="17" xfId="22" applyNumberFormat="1" applyFont="1" applyFill="1" applyBorder="1" applyAlignment="1">
      <alignment horizontal="center" vertical="center"/>
    </xf>
    <xf numFmtId="164" fontId="34" fillId="0" borderId="10" xfId="21" applyFont="1" applyFill="1" applyBorder="1" applyAlignment="1">
      <alignment horizontal="left" vertical="center"/>
    </xf>
    <xf numFmtId="164" fontId="33" fillId="0" borderId="10" xfId="21" applyFont="1" applyFill="1" applyBorder="1" applyAlignment="1">
      <alignment horizontal="left" vertical="center"/>
    </xf>
    <xf numFmtId="0" fontId="28" fillId="0" borderId="10" xfId="16" quotePrefix="1" applyFont="1" applyBorder="1" applyAlignment="1">
      <alignment horizontal="center" vertical="center"/>
    </xf>
    <xf numFmtId="0" fontId="32" fillId="0" borderId="18" xfId="16" applyFont="1" applyBorder="1" applyAlignment="1">
      <alignment horizontal="center" vertical="center"/>
    </xf>
    <xf numFmtId="164" fontId="32" fillId="0" borderId="1" xfId="21" applyFont="1" applyFill="1" applyBorder="1" applyAlignment="1">
      <alignment horizontal="center" vertical="center"/>
    </xf>
    <xf numFmtId="164" fontId="30" fillId="0" borderId="18" xfId="21" applyFont="1" applyFill="1" applyBorder="1" applyAlignment="1">
      <alignment horizontal="left" vertical="center"/>
    </xf>
    <xf numFmtId="0" fontId="28" fillId="0" borderId="1" xfId="16" applyFont="1" applyBorder="1" applyAlignment="1">
      <alignment horizontal="left"/>
    </xf>
    <xf numFmtId="0" fontId="28" fillId="0" borderId="1" xfId="16" applyFont="1" applyBorder="1"/>
    <xf numFmtId="0" fontId="28" fillId="0" borderId="18" xfId="16" quotePrefix="1" applyFont="1" applyBorder="1" applyAlignment="1">
      <alignment horizontal="center" vertical="center"/>
    </xf>
    <xf numFmtId="0" fontId="28" fillId="0" borderId="36" xfId="16" quotePrefix="1" applyFont="1" applyBorder="1" applyAlignment="1">
      <alignment horizontal="center" vertical="center"/>
    </xf>
    <xf numFmtId="0" fontId="32" fillId="0" borderId="38" xfId="16" quotePrefix="1" applyFont="1" applyBorder="1" applyAlignment="1">
      <alignment horizontal="left"/>
    </xf>
    <xf numFmtId="0" fontId="28" fillId="0" borderId="38" xfId="16" applyFont="1" applyBorder="1"/>
    <xf numFmtId="0" fontId="28" fillId="0" borderId="39" xfId="16" applyFont="1" applyBorder="1" applyAlignment="1">
      <alignment horizontal="center" vertical="center"/>
    </xf>
    <xf numFmtId="0" fontId="28" fillId="0" borderId="36" xfId="16" applyFont="1" applyBorder="1" applyAlignment="1">
      <alignment horizontal="center" vertical="center"/>
    </xf>
    <xf numFmtId="164" fontId="28" fillId="0" borderId="38" xfId="21" applyFont="1" applyFill="1" applyBorder="1" applyAlignment="1">
      <alignment horizontal="center" vertical="center"/>
    </xf>
    <xf numFmtId="164" fontId="30" fillId="0" borderId="36" xfId="21" applyFont="1" applyFill="1" applyBorder="1" applyAlignment="1">
      <alignment horizontal="left" vertical="center"/>
    </xf>
    <xf numFmtId="164" fontId="28" fillId="2" borderId="21" xfId="4" applyFont="1" applyFill="1" applyBorder="1" applyAlignment="1">
      <alignment horizontal="center" vertical="center"/>
    </xf>
    <xf numFmtId="164" fontId="28" fillId="2" borderId="27" xfId="4" applyFont="1" applyFill="1" applyBorder="1" applyAlignment="1">
      <alignment horizontal="center" vertical="center"/>
    </xf>
    <xf numFmtId="164" fontId="28" fillId="2" borderId="9" xfId="4" applyFont="1" applyFill="1" applyBorder="1" applyAlignment="1">
      <alignment horizontal="center" vertical="center"/>
    </xf>
    <xf numFmtId="164" fontId="32" fillId="2" borderId="21" xfId="4" applyFont="1" applyFill="1" applyBorder="1" applyAlignment="1">
      <alignment horizontal="center" vertical="center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/>
    </xf>
    <xf numFmtId="0" fontId="37" fillId="0" borderId="0" xfId="20" applyFont="1" applyAlignment="1">
      <alignment vertical="center"/>
    </xf>
    <xf numFmtId="0" fontId="37" fillId="0" borderId="0" xfId="20" applyFont="1" applyAlignment="1">
      <alignment horizontal="center" vertical="center"/>
    </xf>
    <xf numFmtId="170" fontId="23" fillId="0" borderId="0" xfId="20" applyNumberFormat="1" applyFont="1" applyAlignment="1">
      <alignment horizontal="left" vertical="center"/>
    </xf>
    <xf numFmtId="0" fontId="26" fillId="0" borderId="0" xfId="20" applyFont="1" applyAlignment="1">
      <alignment vertical="center"/>
    </xf>
    <xf numFmtId="0" fontId="24" fillId="0" borderId="0" xfId="20" applyFont="1" applyAlignment="1">
      <alignment vertical="center"/>
    </xf>
    <xf numFmtId="0" fontId="24" fillId="0" borderId="0" xfId="20" applyFont="1" applyAlignment="1">
      <alignment horizontal="left" vertical="center"/>
    </xf>
    <xf numFmtId="49" fontId="22" fillId="0" borderId="0" xfId="21" applyNumberFormat="1" applyFont="1" applyBorder="1" applyAlignment="1">
      <alignment vertical="top"/>
    </xf>
    <xf numFmtId="0" fontId="24" fillId="0" borderId="0" xfId="20" applyFont="1" applyAlignment="1">
      <alignment horizontal="left" vertical="top"/>
    </xf>
    <xf numFmtId="0" fontId="38" fillId="0" borderId="0" xfId="20" applyFont="1" applyAlignment="1">
      <alignment vertical="center"/>
    </xf>
    <xf numFmtId="49" fontId="22" fillId="0" borderId="1" xfId="21" applyNumberFormat="1" applyFont="1" applyBorder="1" applyAlignment="1">
      <alignment vertical="top"/>
    </xf>
    <xf numFmtId="0" fontId="23" fillId="0" borderId="1" xfId="20" applyFont="1" applyBorder="1" applyAlignment="1">
      <alignment horizontal="center" vertical="center"/>
    </xf>
    <xf numFmtId="0" fontId="24" fillId="0" borderId="1" xfId="20" applyFont="1" applyBorder="1" applyAlignment="1">
      <alignment vertical="center"/>
    </xf>
    <xf numFmtId="0" fontId="23" fillId="0" borderId="1" xfId="20" applyFont="1" applyBorder="1" applyAlignment="1">
      <alignment vertical="center"/>
    </xf>
    <xf numFmtId="3" fontId="23" fillId="0" borderId="1" xfId="20" applyNumberFormat="1" applyFont="1" applyBorder="1" applyAlignment="1">
      <alignment vertical="center"/>
    </xf>
    <xf numFmtId="49" fontId="22" fillId="0" borderId="2" xfId="21" applyNumberFormat="1" applyFont="1" applyBorder="1" applyAlignment="1">
      <alignment vertical="top"/>
    </xf>
    <xf numFmtId="0" fontId="23" fillId="0" borderId="2" xfId="20" applyFont="1" applyBorder="1" applyAlignment="1">
      <alignment horizontal="center" vertical="center"/>
    </xf>
    <xf numFmtId="0" fontId="23" fillId="0" borderId="2" xfId="20" applyFont="1" applyBorder="1" applyAlignment="1">
      <alignment vertical="center"/>
    </xf>
    <xf numFmtId="3" fontId="23" fillId="0" borderId="2" xfId="20" applyNumberFormat="1" applyFont="1" applyBorder="1" applyAlignment="1">
      <alignment vertical="center"/>
    </xf>
    <xf numFmtId="3" fontId="39" fillId="0" borderId="1" xfId="20" applyNumberFormat="1" applyFont="1" applyBorder="1" applyAlignment="1">
      <alignment horizontal="right" vertical="center"/>
    </xf>
    <xf numFmtId="0" fontId="37" fillId="0" borderId="2" xfId="20" applyFont="1" applyBorder="1" applyAlignment="1">
      <alignment vertical="center"/>
    </xf>
    <xf numFmtId="3" fontId="23" fillId="0" borderId="0" xfId="20" applyNumberFormat="1" applyFont="1" applyAlignment="1">
      <alignment vertical="center"/>
    </xf>
    <xf numFmtId="0" fontId="23" fillId="0" borderId="0" xfId="20" applyFont="1" applyAlignment="1">
      <alignment vertical="center"/>
    </xf>
    <xf numFmtId="3" fontId="23" fillId="0" borderId="2" xfId="20" applyNumberFormat="1" applyFont="1" applyBorder="1" applyAlignment="1">
      <alignment horizontal="left" vertical="center"/>
    </xf>
    <xf numFmtId="0" fontId="23" fillId="0" borderId="2" xfId="21" applyNumberFormat="1" applyFont="1" applyBorder="1" applyAlignment="1">
      <alignment horizontal="right" vertical="top"/>
    </xf>
    <xf numFmtId="0" fontId="23" fillId="0" borderId="2" xfId="21" applyNumberFormat="1" applyFont="1" applyBorder="1" applyAlignment="1">
      <alignment vertical="top"/>
    </xf>
    <xf numFmtId="0" fontId="26" fillId="0" borderId="0" xfId="16" applyFont="1" applyAlignment="1">
      <alignment vertical="top"/>
    </xf>
    <xf numFmtId="0" fontId="23" fillId="0" borderId="2" xfId="21" applyNumberFormat="1" applyFont="1" applyBorder="1" applyAlignment="1">
      <alignment horizontal="center" vertical="top"/>
    </xf>
    <xf numFmtId="0" fontId="23" fillId="0" borderId="0" xfId="21" applyNumberFormat="1" applyFont="1" applyBorder="1" applyAlignment="1">
      <alignment horizontal="left" vertical="top"/>
    </xf>
    <xf numFmtId="0" fontId="26" fillId="0" borderId="0" xfId="16" quotePrefix="1" applyFont="1" applyAlignment="1">
      <alignment horizontal="center" vertical="top"/>
    </xf>
    <xf numFmtId="0" fontId="23" fillId="0" borderId="0" xfId="21" applyNumberFormat="1" applyFont="1" applyBorder="1" applyAlignment="1">
      <alignment horizontal="center" vertical="top"/>
    </xf>
    <xf numFmtId="0" fontId="23" fillId="0" borderId="0" xfId="21" applyNumberFormat="1" applyFont="1" applyBorder="1" applyAlignment="1">
      <alignment vertical="top"/>
    </xf>
    <xf numFmtId="3" fontId="24" fillId="0" borderId="3" xfId="20" applyNumberFormat="1" applyFont="1" applyBorder="1" applyAlignment="1">
      <alignment horizontal="right"/>
    </xf>
    <xf numFmtId="0" fontId="23" fillId="0" borderId="0" xfId="20" applyFont="1" applyAlignment="1">
      <alignment horizontal="center" vertical="center"/>
    </xf>
    <xf numFmtId="49" fontId="23" fillId="0" borderId="0" xfId="20" applyNumberFormat="1" applyFont="1" applyAlignment="1">
      <alignment vertical="center"/>
    </xf>
    <xf numFmtId="3" fontId="23" fillId="0" borderId="0" xfId="20" applyNumberFormat="1" applyFont="1" applyAlignment="1">
      <alignment horizontal="center" vertical="center"/>
    </xf>
    <xf numFmtId="0" fontId="26" fillId="0" borderId="10" xfId="20" applyFont="1" applyBorder="1" applyAlignment="1">
      <alignment horizontal="center" vertical="center"/>
    </xf>
    <xf numFmtId="164" fontId="26" fillId="0" borderId="10" xfId="21" applyFont="1" applyBorder="1" applyAlignment="1">
      <alignment vertical="center"/>
    </xf>
    <xf numFmtId="0" fontId="35" fillId="0" borderId="18" xfId="20" quotePrefix="1" applyFont="1" applyBorder="1" applyAlignment="1">
      <alignment horizontal="center" vertical="center"/>
    </xf>
    <xf numFmtId="164" fontId="35" fillId="0" borderId="10" xfId="21" applyFont="1" applyBorder="1" applyAlignment="1">
      <alignment vertical="center"/>
    </xf>
    <xf numFmtId="0" fontId="26" fillId="0" borderId="18" xfId="20" applyFont="1" applyBorder="1" applyAlignment="1">
      <alignment horizontal="center" vertical="center"/>
    </xf>
    <xf numFmtId="0" fontId="26" fillId="0" borderId="18" xfId="20" applyFont="1" applyBorder="1" applyAlignment="1">
      <alignment horizontal="right" vertical="center"/>
    </xf>
    <xf numFmtId="0" fontId="35" fillId="0" borderId="18" xfId="20" applyFont="1" applyBorder="1" applyAlignment="1">
      <alignment horizontal="center" vertical="center"/>
    </xf>
    <xf numFmtId="164" fontId="35" fillId="0" borderId="10" xfId="21" applyFont="1" applyBorder="1" applyAlignment="1">
      <alignment horizontal="center" vertical="center"/>
    </xf>
    <xf numFmtId="0" fontId="35" fillId="0" borderId="0" xfId="20" applyFont="1" applyAlignment="1">
      <alignment vertical="center"/>
    </xf>
    <xf numFmtId="164" fontId="35" fillId="0" borderId="0" xfId="1" applyFont="1" applyAlignment="1">
      <alignment vertical="center"/>
    </xf>
    <xf numFmtId="164" fontId="26" fillId="0" borderId="10" xfId="21" applyFont="1" applyBorder="1" applyAlignment="1">
      <alignment horizontal="center" vertical="center"/>
    </xf>
    <xf numFmtId="0" fontId="26" fillId="0" borderId="47" xfId="20" applyFont="1" applyBorder="1" applyAlignment="1">
      <alignment horizontal="center" vertical="center"/>
    </xf>
    <xf numFmtId="164" fontId="40" fillId="0" borderId="47" xfId="21" applyFont="1" applyBorder="1" applyAlignment="1">
      <alignment vertical="center"/>
    </xf>
    <xf numFmtId="0" fontId="31" fillId="0" borderId="0" xfId="20" applyFont="1" applyAlignment="1">
      <alignment horizontal="center" vertical="center"/>
    </xf>
    <xf numFmtId="0" fontId="31" fillId="0" borderId="51" xfId="20" applyFont="1" applyBorder="1" applyAlignment="1">
      <alignment vertical="center"/>
    </xf>
    <xf numFmtId="164" fontId="28" fillId="0" borderId="47" xfId="21" applyFont="1" applyBorder="1" applyAlignment="1">
      <alignment vertical="center"/>
    </xf>
    <xf numFmtId="0" fontId="31" fillId="0" borderId="0" xfId="20" applyFont="1" applyAlignment="1">
      <alignment vertical="center"/>
    </xf>
    <xf numFmtId="0" fontId="29" fillId="0" borderId="0" xfId="20" applyFont="1" applyAlignment="1">
      <alignment horizontal="center" vertical="center"/>
    </xf>
    <xf numFmtId="0" fontId="29" fillId="0" borderId="0" xfId="20" applyFont="1" applyAlignment="1">
      <alignment vertical="center"/>
    </xf>
    <xf numFmtId="0" fontId="41" fillId="0" borderId="0" xfId="20" applyFont="1" applyAlignment="1">
      <alignment horizontal="center" vertical="center"/>
    </xf>
    <xf numFmtId="9" fontId="35" fillId="0" borderId="0" xfId="23" applyFont="1" applyBorder="1" applyAlignment="1">
      <alignment horizontal="center" vertical="center"/>
    </xf>
    <xf numFmtId="173" fontId="29" fillId="0" borderId="0" xfId="20" applyNumberFormat="1" applyFont="1" applyAlignment="1">
      <alignment vertical="center"/>
    </xf>
    <xf numFmtId="164" fontId="29" fillId="0" borderId="0" xfId="21" applyFont="1" applyBorder="1" applyAlignment="1">
      <alignment vertical="center"/>
    </xf>
    <xf numFmtId="10" fontId="42" fillId="0" borderId="0" xfId="20" applyNumberFormat="1" applyFont="1" applyAlignment="1">
      <alignment vertical="center"/>
    </xf>
    <xf numFmtId="173" fontId="42" fillId="0" borderId="0" xfId="20" applyNumberFormat="1" applyFont="1" applyAlignment="1">
      <alignment vertical="center"/>
    </xf>
    <xf numFmtId="164" fontId="29" fillId="0" borderId="0" xfId="1" applyFont="1" applyBorder="1" applyAlignment="1">
      <alignment vertical="center"/>
    </xf>
    <xf numFmtId="43" fontId="26" fillId="0" borderId="0" xfId="20" applyNumberFormat="1" applyFont="1" applyAlignment="1">
      <alignment vertical="center"/>
    </xf>
    <xf numFmtId="0" fontId="31" fillId="0" borderId="0" xfId="20" applyFont="1" applyAlignment="1">
      <alignment horizontal="right" vertical="center"/>
    </xf>
    <xf numFmtId="164" fontId="28" fillId="0" borderId="0" xfId="21" applyFont="1" applyBorder="1" applyAlignment="1">
      <alignment vertical="center"/>
    </xf>
    <xf numFmtId="173" fontId="35" fillId="0" borderId="0" xfId="20" applyNumberFormat="1" applyFont="1" applyAlignment="1">
      <alignment horizontal="center" vertical="center"/>
    </xf>
    <xf numFmtId="0" fontId="26" fillId="0" borderId="0" xfId="20" applyFont="1" applyAlignment="1">
      <alignment horizontal="center" vertical="center"/>
    </xf>
    <xf numFmtId="0" fontId="38" fillId="0" borderId="0" xfId="0" applyFont="1"/>
    <xf numFmtId="0" fontId="38" fillId="0" borderId="0" xfId="0" applyFont="1" applyAlignment="1">
      <alignment horizontal="center"/>
    </xf>
    <xf numFmtId="170" fontId="23" fillId="0" borderId="0" xfId="0" applyNumberFormat="1" applyFont="1" applyAlignment="1">
      <alignment horizontal="center" vertical="top"/>
    </xf>
    <xf numFmtId="0" fontId="23" fillId="0" borderId="0" xfId="0" applyFont="1" applyAlignment="1">
      <alignment horizontal="center" vertical="top"/>
    </xf>
    <xf numFmtId="0" fontId="43" fillId="0" borderId="0" xfId="0" applyFont="1"/>
    <xf numFmtId="0" fontId="17" fillId="0" borderId="0" xfId="0" applyFont="1"/>
    <xf numFmtId="0" fontId="12" fillId="0" borderId="0" xfId="0" applyFont="1"/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center"/>
    </xf>
    <xf numFmtId="0" fontId="45" fillId="0" borderId="1" xfId="0" applyFont="1" applyBorder="1"/>
    <xf numFmtId="0" fontId="44" fillId="0" borderId="1" xfId="0" applyFont="1" applyBorder="1" applyAlignment="1">
      <alignment vertical="center"/>
    </xf>
    <xf numFmtId="3" fontId="44" fillId="0" borderId="1" xfId="0" applyNumberFormat="1" applyFont="1" applyBorder="1"/>
    <xf numFmtId="0" fontId="46" fillId="0" borderId="0" xfId="0" applyFont="1"/>
    <xf numFmtId="0" fontId="47" fillId="0" borderId="0" xfId="0" applyFont="1"/>
    <xf numFmtId="0" fontId="44" fillId="0" borderId="2" xfId="0" applyFont="1" applyBorder="1" applyAlignment="1">
      <alignment horizontal="left" vertical="center"/>
    </xf>
    <xf numFmtId="0" fontId="44" fillId="0" borderId="2" xfId="0" applyFont="1" applyBorder="1" applyAlignment="1">
      <alignment vertical="center"/>
    </xf>
    <xf numFmtId="0" fontId="48" fillId="0" borderId="1" xfId="0" applyFont="1" applyBorder="1" applyAlignment="1">
      <alignment vertical="center"/>
    </xf>
    <xf numFmtId="3" fontId="49" fillId="0" borderId="1" xfId="0" applyNumberFormat="1" applyFont="1" applyBorder="1" applyAlignment="1">
      <alignment horizontal="left" vertical="center"/>
    </xf>
    <xf numFmtId="0" fontId="44" fillId="0" borderId="2" xfId="0" applyFont="1" applyBorder="1" applyAlignment="1">
      <alignment horizontal="center" vertical="center"/>
    </xf>
    <xf numFmtId="0" fontId="44" fillId="0" borderId="2" xfId="1" applyNumberFormat="1" applyFont="1" applyFill="1" applyBorder="1" applyAlignment="1">
      <alignment vertical="center"/>
    </xf>
    <xf numFmtId="3" fontId="44" fillId="0" borderId="2" xfId="0" applyNumberFormat="1" applyFont="1" applyBorder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4" fillId="0" borderId="2" xfId="0" applyFont="1" applyBorder="1" applyAlignment="1">
      <alignment horizontal="center"/>
    </xf>
    <xf numFmtId="0" fontId="44" fillId="0" borderId="2" xfId="0" applyFont="1" applyBorder="1"/>
    <xf numFmtId="3" fontId="44" fillId="0" borderId="2" xfId="0" applyNumberFormat="1" applyFont="1" applyBorder="1" applyAlignment="1">
      <alignment horizontal="left" vertical="center"/>
    </xf>
    <xf numFmtId="3" fontId="44" fillId="0" borderId="2" xfId="0" applyNumberFormat="1" applyFont="1" applyBorder="1"/>
    <xf numFmtId="0" fontId="45" fillId="0" borderId="2" xfId="0" applyFont="1" applyBorder="1"/>
    <xf numFmtId="0" fontId="44" fillId="0" borderId="2" xfId="0" applyFont="1" applyBorder="1" applyAlignment="1">
      <alignment horizontal="left" vertical="top"/>
    </xf>
    <xf numFmtId="49" fontId="44" fillId="0" borderId="2" xfId="0" applyNumberFormat="1" applyFont="1" applyBorder="1"/>
    <xf numFmtId="0" fontId="44" fillId="0" borderId="2" xfId="0" applyFont="1" applyBorder="1" applyAlignment="1">
      <alignment vertical="top"/>
    </xf>
    <xf numFmtId="3" fontId="44" fillId="0" borderId="3" xfId="0" applyNumberFormat="1" applyFont="1" applyBorder="1"/>
    <xf numFmtId="0" fontId="23" fillId="0" borderId="2" xfId="0" applyFont="1" applyBorder="1" applyAlignment="1">
      <alignment horizontal="center"/>
    </xf>
    <xf numFmtId="49" fontId="23" fillId="0" borderId="2" xfId="0" applyNumberFormat="1" applyFont="1" applyBorder="1"/>
    <xf numFmtId="0" fontId="23" fillId="0" borderId="2" xfId="0" applyFont="1" applyBorder="1" applyAlignment="1">
      <alignment vertical="top"/>
    </xf>
    <xf numFmtId="3" fontId="23" fillId="0" borderId="2" xfId="0" applyNumberFormat="1" applyFont="1" applyBorder="1"/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vertical="center"/>
    </xf>
    <xf numFmtId="0" fontId="37" fillId="0" borderId="0" xfId="0" applyFont="1" applyAlignment="1">
      <alignment vertical="center"/>
    </xf>
    <xf numFmtId="3" fontId="23" fillId="0" borderId="0" xfId="0" applyNumberFormat="1" applyFont="1" applyAlignment="1">
      <alignment vertical="center"/>
    </xf>
    <xf numFmtId="0" fontId="50" fillId="0" borderId="13" xfId="0" applyFont="1" applyBorder="1" applyAlignment="1">
      <alignment horizontal="center" vertical="top"/>
    </xf>
    <xf numFmtId="0" fontId="50" fillId="0" borderId="20" xfId="0" applyFont="1" applyBorder="1" applyAlignment="1">
      <alignment horizontal="left" vertical="center"/>
    </xf>
    <xf numFmtId="3" fontId="51" fillId="0" borderId="18" xfId="0" applyNumberFormat="1" applyFont="1" applyBorder="1" applyAlignment="1">
      <alignment horizontal="center" vertical="center"/>
    </xf>
    <xf numFmtId="164" fontId="51" fillId="0" borderId="18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2" xfId="0" applyFont="1" applyBorder="1" applyAlignment="1">
      <alignment vertical="center"/>
    </xf>
    <xf numFmtId="0" fontId="50" fillId="0" borderId="11" xfId="0" applyFont="1" applyBorder="1" applyAlignment="1">
      <alignment vertical="center"/>
    </xf>
    <xf numFmtId="174" fontId="51" fillId="0" borderId="10" xfId="1" applyNumberFormat="1" applyFont="1" applyBorder="1" applyAlignment="1">
      <alignment horizontal="center" vertical="center"/>
    </xf>
    <xf numFmtId="164" fontId="51" fillId="0" borderId="10" xfId="0" applyNumberFormat="1" applyFont="1" applyBorder="1" applyAlignment="1">
      <alignment vertical="center"/>
    </xf>
    <xf numFmtId="0" fontId="51" fillId="0" borderId="18" xfId="0" applyFont="1" applyBorder="1" applyAlignment="1">
      <alignment horizontal="center" vertical="center"/>
    </xf>
    <xf numFmtId="0" fontId="51" fillId="0" borderId="1" xfId="0" quotePrefix="1" applyFont="1" applyBorder="1" applyAlignment="1">
      <alignment horizontal="right" vertical="center"/>
    </xf>
    <xf numFmtId="0" fontId="51" fillId="0" borderId="2" xfId="0" applyFont="1" applyBorder="1" applyAlignment="1">
      <alignment vertical="center"/>
    </xf>
    <xf numFmtId="0" fontId="50" fillId="0" borderId="1" xfId="0" applyFont="1" applyBorder="1" applyAlignment="1">
      <alignment vertical="center"/>
    </xf>
    <xf numFmtId="164" fontId="51" fillId="0" borderId="18" xfId="1" applyFont="1" applyBorder="1" applyAlignment="1">
      <alignment horizontal="center" vertical="center"/>
    </xf>
    <xf numFmtId="164" fontId="51" fillId="0" borderId="18" xfId="0" applyNumberFormat="1" applyFont="1" applyBorder="1" applyAlignment="1">
      <alignment vertical="center"/>
    </xf>
    <xf numFmtId="0" fontId="35" fillId="0" borderId="18" xfId="0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right" vertical="center"/>
    </xf>
    <xf numFmtId="0" fontId="26" fillId="0" borderId="2" xfId="0" applyFont="1" applyBorder="1" applyAlignment="1">
      <alignment vertical="center"/>
    </xf>
    <xf numFmtId="0" fontId="29" fillId="0" borderId="1" xfId="0" applyFont="1" applyBorder="1" applyAlignment="1">
      <alignment vertical="center"/>
    </xf>
    <xf numFmtId="164" fontId="26" fillId="0" borderId="18" xfId="1" applyFont="1" applyBorder="1" applyAlignment="1">
      <alignment horizontal="center" vertical="center"/>
    </xf>
    <xf numFmtId="164" fontId="26" fillId="0" borderId="18" xfId="0" applyNumberFormat="1" applyFont="1" applyBorder="1" applyAlignment="1">
      <alignment vertical="center"/>
    </xf>
    <xf numFmtId="0" fontId="35" fillId="0" borderId="36" xfId="0" applyFont="1" applyBorder="1" applyAlignment="1">
      <alignment horizontal="center" vertical="center"/>
    </xf>
    <xf numFmtId="0" fontId="26" fillId="0" borderId="37" xfId="0" quotePrefix="1" applyFont="1" applyBorder="1" applyAlignment="1">
      <alignment horizontal="right" vertical="center"/>
    </xf>
    <xf numFmtId="0" fontId="26" fillId="0" borderId="38" xfId="0" applyFont="1" applyBorder="1" applyAlignment="1">
      <alignment vertical="center"/>
    </xf>
    <xf numFmtId="0" fontId="29" fillId="0" borderId="38" xfId="0" applyFont="1" applyBorder="1" applyAlignment="1">
      <alignment vertical="center"/>
    </xf>
    <xf numFmtId="164" fontId="26" fillId="0" borderId="36" xfId="1" applyFont="1" applyBorder="1" applyAlignment="1">
      <alignment horizontal="center" vertical="center"/>
    </xf>
    <xf numFmtId="164" fontId="26" fillId="0" borderId="36" xfId="0" applyNumberFormat="1" applyFont="1" applyBorder="1" applyAlignment="1">
      <alignment vertical="center"/>
    </xf>
    <xf numFmtId="0" fontId="50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vertical="center"/>
    </xf>
    <xf numFmtId="0" fontId="51" fillId="0" borderId="20" xfId="0" applyFont="1" applyBorder="1" applyAlignment="1">
      <alignment vertical="center"/>
    </xf>
    <xf numFmtId="3" fontId="51" fillId="0" borderId="18" xfId="0" applyNumberFormat="1" applyFont="1" applyBorder="1" applyAlignment="1">
      <alignment vertical="center"/>
    </xf>
    <xf numFmtId="0" fontId="51" fillId="0" borderId="36" xfId="0" applyFont="1" applyBorder="1" applyAlignment="1">
      <alignment horizontal="center" vertical="center"/>
    </xf>
    <xf numFmtId="0" fontId="51" fillId="0" borderId="37" xfId="0" quotePrefix="1" applyFont="1" applyBorder="1" applyAlignment="1">
      <alignment horizontal="right" vertical="center"/>
    </xf>
    <xf numFmtId="0" fontId="51" fillId="0" borderId="38" xfId="0" applyFont="1" applyBorder="1" applyAlignment="1">
      <alignment vertical="center"/>
    </xf>
    <xf numFmtId="0" fontId="51" fillId="0" borderId="39" xfId="0" applyFont="1" applyBorder="1" applyAlignment="1">
      <alignment vertical="center"/>
    </xf>
    <xf numFmtId="164" fontId="51" fillId="0" borderId="36" xfId="1" applyFont="1" applyBorder="1" applyAlignment="1">
      <alignment horizontal="center" vertical="center"/>
    </xf>
    <xf numFmtId="3" fontId="51" fillId="0" borderId="36" xfId="0" applyNumberFormat="1" applyFont="1" applyBorder="1" applyAlignment="1">
      <alignment vertical="center"/>
    </xf>
    <xf numFmtId="0" fontId="50" fillId="0" borderId="32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4" fontId="51" fillId="0" borderId="10" xfId="1" applyFont="1" applyBorder="1" applyAlignment="1">
      <alignment horizontal="center" vertical="center"/>
    </xf>
    <xf numFmtId="3" fontId="52" fillId="0" borderId="18" xfId="0" applyNumberFormat="1" applyFont="1" applyBorder="1" applyAlignment="1">
      <alignment vertical="center"/>
    </xf>
    <xf numFmtId="0" fontId="51" fillId="0" borderId="17" xfId="0" applyFont="1" applyBorder="1" applyAlignment="1">
      <alignment horizontal="center" vertical="center"/>
    </xf>
    <xf numFmtId="0" fontId="51" fillId="0" borderId="3" xfId="0" quotePrefix="1" applyFont="1" applyBorder="1" applyAlignment="1">
      <alignment horizontal="right" vertical="center"/>
    </xf>
    <xf numFmtId="0" fontId="51" fillId="0" borderId="3" xfId="0" applyFont="1" applyBorder="1" applyAlignment="1">
      <alignment vertical="center"/>
    </xf>
    <xf numFmtId="0" fontId="51" fillId="0" borderId="30" xfId="0" applyFont="1" applyBorder="1" applyAlignment="1">
      <alignment vertical="center"/>
    </xf>
    <xf numFmtId="164" fontId="51" fillId="0" borderId="17" xfId="1" applyFont="1" applyBorder="1" applyAlignment="1">
      <alignment horizontal="center" vertical="center"/>
    </xf>
    <xf numFmtId="174" fontId="51" fillId="0" borderId="17" xfId="1" applyNumberFormat="1" applyFont="1" applyBorder="1" applyAlignment="1">
      <alignment horizontal="center" vertical="center"/>
    </xf>
    <xf numFmtId="0" fontId="50" fillId="0" borderId="28" xfId="0" applyFont="1" applyBorder="1" applyAlignment="1">
      <alignment horizontal="center" vertical="center"/>
    </xf>
    <xf numFmtId="0" fontId="50" fillId="0" borderId="34" xfId="0" applyFont="1" applyBorder="1" applyAlignment="1">
      <alignment horizontal="left" vertical="center"/>
    </xf>
    <xf numFmtId="164" fontId="51" fillId="0" borderId="28" xfId="1" applyFont="1" applyBorder="1" applyAlignment="1">
      <alignment horizontal="center" vertical="center"/>
    </xf>
    <xf numFmtId="164" fontId="50" fillId="0" borderId="28" xfId="0" quotePrefix="1" applyNumberFormat="1" applyFont="1" applyBorder="1" applyAlignment="1">
      <alignment vertical="center"/>
    </xf>
    <xf numFmtId="0" fontId="50" fillId="0" borderId="13" xfId="0" applyFont="1" applyBorder="1" applyAlignment="1">
      <alignment horizontal="center" vertical="center"/>
    </xf>
    <xf numFmtId="0" fontId="50" fillId="0" borderId="0" xfId="0" applyFont="1" applyAlignment="1">
      <alignment horizontal="left" vertical="center"/>
    </xf>
    <xf numFmtId="0" fontId="52" fillId="0" borderId="10" xfId="0" applyFont="1" applyBorder="1" applyAlignment="1">
      <alignment horizontal="center" vertical="center"/>
    </xf>
    <xf numFmtId="0" fontId="51" fillId="0" borderId="1" xfId="0" applyFont="1" applyBorder="1" applyAlignment="1">
      <alignment horizontal="left" vertical="center"/>
    </xf>
    <xf numFmtId="0" fontId="52" fillId="0" borderId="36" xfId="0" applyFont="1" applyBorder="1" applyAlignment="1">
      <alignment horizontal="center" vertical="center"/>
    </xf>
    <xf numFmtId="0" fontId="51" fillId="0" borderId="38" xfId="0" quotePrefix="1" applyFont="1" applyBorder="1" applyAlignment="1">
      <alignment horizontal="right" vertical="center"/>
    </xf>
    <xf numFmtId="0" fontId="51" fillId="0" borderId="38" xfId="0" applyFont="1" applyBorder="1" applyAlignment="1">
      <alignment horizontal="left" vertical="center"/>
    </xf>
    <xf numFmtId="174" fontId="51" fillId="0" borderId="36" xfId="1" applyNumberFormat="1" applyFont="1" applyBorder="1" applyAlignment="1">
      <alignment horizontal="center" vertical="center"/>
    </xf>
    <xf numFmtId="0" fontId="50" fillId="0" borderId="18" xfId="0" applyFont="1" applyBorder="1" applyAlignment="1">
      <alignment horizontal="center" vertical="center"/>
    </xf>
    <xf numFmtId="164" fontId="51" fillId="0" borderId="18" xfId="0" applyNumberFormat="1" applyFont="1" applyBorder="1" applyAlignment="1">
      <alignment horizontal="center"/>
    </xf>
    <xf numFmtId="0" fontId="50" fillId="0" borderId="36" xfId="0" applyFont="1" applyBorder="1" applyAlignment="1">
      <alignment horizontal="center" vertical="center"/>
    </xf>
    <xf numFmtId="0" fontId="50" fillId="0" borderId="14" xfId="0" applyFont="1" applyBorder="1" applyAlignment="1">
      <alignment horizontal="left" vertical="center"/>
    </xf>
    <xf numFmtId="164" fontId="51" fillId="0" borderId="13" xfId="1" applyFont="1" applyBorder="1" applyAlignment="1">
      <alignment horizontal="center" vertical="center"/>
    </xf>
    <xf numFmtId="164" fontId="50" fillId="0" borderId="13" xfId="0" applyNumberFormat="1" applyFont="1" applyBorder="1" applyAlignment="1">
      <alignment vertical="center"/>
    </xf>
    <xf numFmtId="0" fontId="51" fillId="0" borderId="8" xfId="0" applyFont="1" applyBorder="1" applyAlignment="1">
      <alignment horizontal="center" vertical="center"/>
    </xf>
    <xf numFmtId="0" fontId="45" fillId="0" borderId="27" xfId="0" applyFont="1" applyBorder="1"/>
    <xf numFmtId="0" fontId="50" fillId="0" borderId="9" xfId="0" applyFont="1" applyBorder="1" applyAlignment="1">
      <alignment horizontal="center"/>
    </xf>
    <xf numFmtId="164" fontId="51" fillId="0" borderId="21" xfId="1" applyFont="1" applyBorder="1" applyAlignment="1">
      <alignment horizontal="center" vertical="center"/>
    </xf>
    <xf numFmtId="164" fontId="51" fillId="0" borderId="21" xfId="0" applyNumberFormat="1" applyFont="1" applyBorder="1" applyAlignment="1">
      <alignment vertical="center"/>
    </xf>
    <xf numFmtId="0" fontId="45" fillId="0" borderId="13" xfId="0" applyFont="1" applyBorder="1" applyAlignment="1">
      <alignment horizontal="center" vertical="center"/>
    </xf>
    <xf numFmtId="0" fontId="51" fillId="0" borderId="23" xfId="0" applyFont="1" applyBorder="1" applyAlignment="1">
      <alignment horizontal="center" vertical="center"/>
    </xf>
    <xf numFmtId="0" fontId="51" fillId="0" borderId="24" xfId="0" applyFont="1" applyBorder="1" applyAlignment="1">
      <alignment vertical="center"/>
    </xf>
    <xf numFmtId="0" fontId="45" fillId="0" borderId="24" xfId="0" applyFont="1" applyBorder="1" applyAlignment="1">
      <alignment horizontal="center" vertical="center"/>
    </xf>
    <xf numFmtId="0" fontId="51" fillId="0" borderId="25" xfId="0" applyFont="1" applyBorder="1" applyAlignment="1">
      <alignment horizontal="center" vertical="center"/>
    </xf>
    <xf numFmtId="164" fontId="50" fillId="0" borderId="22" xfId="1" applyFont="1" applyBorder="1" applyAlignment="1">
      <alignment horizontal="center" vertical="center"/>
    </xf>
    <xf numFmtId="164" fontId="51" fillId="0" borderId="22" xfId="0" applyNumberFormat="1" applyFont="1" applyBorder="1" applyAlignment="1">
      <alignment vertical="center"/>
    </xf>
    <xf numFmtId="0" fontId="51" fillId="0" borderId="22" xfId="0" applyFont="1" applyBorder="1" applyAlignment="1">
      <alignment vertical="center"/>
    </xf>
    <xf numFmtId="0" fontId="45" fillId="0" borderId="23" xfId="0" applyFont="1" applyBorder="1"/>
    <xf numFmtId="0" fontId="45" fillId="0" borderId="24" xfId="0" applyFont="1" applyBorder="1"/>
    <xf numFmtId="3" fontId="51" fillId="0" borderId="25" xfId="0" applyNumberFormat="1" applyFont="1" applyBorder="1" applyAlignment="1">
      <alignment horizontal="left" vertical="center"/>
    </xf>
    <xf numFmtId="0" fontId="26" fillId="0" borderId="0" xfId="0" applyFont="1"/>
    <xf numFmtId="0" fontId="37" fillId="0" borderId="0" xfId="0" applyFont="1" applyAlignment="1">
      <alignment horizontal="center" vertical="center"/>
    </xf>
    <xf numFmtId="170" fontId="23" fillId="0" borderId="0" xfId="0" applyNumberFormat="1" applyFont="1" applyAlignment="1">
      <alignment horizontal="left" vertical="center"/>
    </xf>
    <xf numFmtId="170" fontId="37" fillId="0" borderId="0" xfId="0" applyNumberFormat="1" applyFont="1" applyAlignment="1">
      <alignment horizontal="center" vertical="center"/>
    </xf>
    <xf numFmtId="0" fontId="53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3" fontId="44" fillId="0" borderId="1" xfId="0" applyNumberFormat="1" applyFont="1" applyBorder="1" applyAlignment="1">
      <alignment vertical="center"/>
    </xf>
    <xf numFmtId="0" fontId="54" fillId="0" borderId="0" xfId="0" applyFont="1" applyAlignment="1">
      <alignment vertical="center"/>
    </xf>
    <xf numFmtId="0" fontId="45" fillId="0" borderId="2" xfId="0" applyFont="1" applyBorder="1" applyAlignment="1">
      <alignment vertical="center"/>
    </xf>
    <xf numFmtId="3" fontId="55" fillId="0" borderId="2" xfId="0" applyNumberFormat="1" applyFont="1" applyBorder="1"/>
    <xf numFmtId="3" fontId="55" fillId="0" borderId="2" xfId="0" applyNumberFormat="1" applyFont="1" applyBorder="1" applyAlignment="1">
      <alignment horizontal="right"/>
    </xf>
    <xf numFmtId="3" fontId="44" fillId="0" borderId="0" xfId="0" applyNumberFormat="1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2" xfId="1" applyNumberFormat="1" applyFont="1" applyBorder="1" applyAlignment="1">
      <alignment horizontal="left" vertical="top"/>
    </xf>
    <xf numFmtId="3" fontId="44" fillId="0" borderId="3" xfId="0" applyNumberFormat="1" applyFont="1" applyBorder="1" applyAlignment="1">
      <alignment horizontal="left" vertical="top"/>
    </xf>
    <xf numFmtId="0" fontId="44" fillId="0" borderId="0" xfId="0" applyFont="1" applyAlignment="1">
      <alignment horizontal="left" vertical="top"/>
    </xf>
    <xf numFmtId="0" fontId="37" fillId="0" borderId="2" xfId="0" applyFont="1" applyBorder="1"/>
    <xf numFmtId="0" fontId="23" fillId="0" borderId="2" xfId="0" applyFont="1" applyBorder="1" applyAlignment="1">
      <alignment vertical="center"/>
    </xf>
    <xf numFmtId="3" fontId="23" fillId="0" borderId="2" xfId="0" applyNumberFormat="1" applyFont="1" applyBorder="1" applyAlignment="1">
      <alignment vertical="center"/>
    </xf>
    <xf numFmtId="3" fontId="23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31" fillId="0" borderId="18" xfId="0" applyFont="1" applyBorder="1" applyAlignment="1">
      <alignment horizontal="center" vertical="center"/>
    </xf>
    <xf numFmtId="0" fontId="31" fillId="0" borderId="32" xfId="0" applyFont="1" applyBorder="1" applyAlignment="1">
      <alignment horizontal="left" vertical="center"/>
    </xf>
    <xf numFmtId="0" fontId="31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164" fontId="26" fillId="0" borderId="18" xfId="1" applyFont="1" applyBorder="1" applyAlignment="1">
      <alignment vertical="center"/>
    </xf>
    <xf numFmtId="173" fontId="26" fillId="0" borderId="20" xfId="0" applyNumberFormat="1" applyFont="1" applyBorder="1" applyAlignment="1">
      <alignment horizontal="center" vertical="center"/>
    </xf>
    <xf numFmtId="3" fontId="26" fillId="0" borderId="18" xfId="0" applyNumberFormat="1" applyFont="1" applyBorder="1" applyAlignment="1">
      <alignment vertical="center"/>
    </xf>
    <xf numFmtId="0" fontId="51" fillId="0" borderId="18" xfId="0" quotePrefix="1" applyFont="1" applyBorder="1" applyAlignment="1">
      <alignment horizontal="center" vertical="center"/>
    </xf>
    <xf numFmtId="0" fontId="51" fillId="0" borderId="1" xfId="1" applyNumberFormat="1" applyFont="1" applyBorder="1" applyAlignment="1">
      <alignment horizontal="left" vertical="center"/>
    </xf>
    <xf numFmtId="164" fontId="51" fillId="0" borderId="10" xfId="1" applyFont="1" applyBorder="1" applyAlignment="1">
      <alignment vertical="center"/>
    </xf>
    <xf numFmtId="173" fontId="51" fillId="0" borderId="11" xfId="0" applyNumberFormat="1" applyFont="1" applyBorder="1" applyAlignment="1">
      <alignment horizontal="center" vertical="center"/>
    </xf>
    <xf numFmtId="164" fontId="51" fillId="0" borderId="36" xfId="1" applyFont="1" applyBorder="1" applyAlignment="1">
      <alignment vertical="center"/>
    </xf>
    <xf numFmtId="173" fontId="51" fillId="0" borderId="39" xfId="0" applyNumberFormat="1" applyFont="1" applyBorder="1" applyAlignment="1">
      <alignment horizontal="center" vertical="center"/>
    </xf>
    <xf numFmtId="0" fontId="51" fillId="0" borderId="18" xfId="0" applyFont="1" applyBorder="1" applyAlignment="1">
      <alignment horizontal="right" vertical="center"/>
    </xf>
    <xf numFmtId="0" fontId="50" fillId="0" borderId="32" xfId="0" applyFont="1" applyBorder="1" applyAlignment="1">
      <alignment horizontal="left"/>
    </xf>
    <xf numFmtId="164" fontId="51" fillId="0" borderId="18" xfId="1" applyFont="1" applyBorder="1" applyAlignment="1">
      <alignment vertical="center"/>
    </xf>
    <xf numFmtId="173" fontId="51" fillId="0" borderId="20" xfId="0" applyNumberFormat="1" applyFont="1" applyBorder="1" applyAlignment="1">
      <alignment horizontal="center" vertical="center"/>
    </xf>
    <xf numFmtId="0" fontId="51" fillId="0" borderId="2" xfId="0" applyFont="1" applyBorder="1" applyAlignment="1">
      <alignment horizontal="left" vertical="center"/>
    </xf>
    <xf numFmtId="0" fontId="51" fillId="0" borderId="36" xfId="0" quotePrefix="1" applyFont="1" applyBorder="1" applyAlignment="1">
      <alignment horizontal="center" vertical="center"/>
    </xf>
    <xf numFmtId="164" fontId="52" fillId="0" borderId="38" xfId="1" applyFont="1" applyBorder="1" applyAlignment="1">
      <alignment horizontal="left" vertical="center"/>
    </xf>
    <xf numFmtId="0" fontId="52" fillId="0" borderId="38" xfId="0" applyFont="1" applyBorder="1" applyAlignment="1">
      <alignment vertical="center"/>
    </xf>
    <xf numFmtId="164" fontId="52" fillId="0" borderId="36" xfId="1" applyFont="1" applyBorder="1" applyAlignment="1">
      <alignment vertical="center"/>
    </xf>
    <xf numFmtId="173" fontId="52" fillId="0" borderId="39" xfId="0" applyNumberFormat="1" applyFont="1" applyBorder="1" applyAlignment="1">
      <alignment horizontal="center" vertical="center"/>
    </xf>
    <xf numFmtId="164" fontId="52" fillId="0" borderId="36" xfId="1" applyFont="1" applyBorder="1" applyAlignment="1">
      <alignment horizontal="center" vertical="center"/>
    </xf>
    <xf numFmtId="3" fontId="52" fillId="0" borderId="36" xfId="0" applyNumberFormat="1" applyFont="1" applyBorder="1" applyAlignment="1">
      <alignment vertical="center"/>
    </xf>
    <xf numFmtId="0" fontId="50" fillId="0" borderId="18" xfId="0" applyFont="1" applyBorder="1" applyAlignment="1">
      <alignment vertical="center"/>
    </xf>
    <xf numFmtId="173" fontId="50" fillId="0" borderId="20" xfId="0" applyNumberFormat="1" applyFont="1" applyBorder="1" applyAlignment="1">
      <alignment horizontal="center" vertical="center"/>
    </xf>
    <xf numFmtId="164" fontId="50" fillId="0" borderId="18" xfId="1" applyFont="1" applyBorder="1" applyAlignment="1">
      <alignment vertical="center"/>
    </xf>
    <xf numFmtId="3" fontId="50" fillId="0" borderId="18" xfId="0" quotePrefix="1" applyNumberFormat="1" applyFont="1" applyBorder="1" applyAlignment="1">
      <alignment vertical="center"/>
    </xf>
    <xf numFmtId="0" fontId="56" fillId="0" borderId="0" xfId="0" applyFont="1" applyAlignment="1">
      <alignment vertical="center"/>
    </xf>
    <xf numFmtId="0" fontId="50" fillId="0" borderId="10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9" fontId="51" fillId="0" borderId="3" xfId="26" applyFont="1" applyBorder="1" applyAlignment="1">
      <alignment horizontal="center" vertical="center"/>
    </xf>
    <xf numFmtId="0" fontId="50" fillId="0" borderId="3" xfId="0" applyFont="1" applyBorder="1" applyAlignment="1">
      <alignment vertical="center"/>
    </xf>
    <xf numFmtId="0" fontId="50" fillId="0" borderId="10" xfId="0" applyFont="1" applyBorder="1" applyAlignment="1">
      <alignment vertical="center"/>
    </xf>
    <xf numFmtId="173" fontId="50" fillId="0" borderId="11" xfId="0" applyNumberFormat="1" applyFont="1" applyBorder="1" applyAlignment="1">
      <alignment vertical="center"/>
    </xf>
    <xf numFmtId="0" fontId="57" fillId="0" borderId="2" xfId="0" applyFont="1" applyBorder="1" applyAlignment="1">
      <alignment horizontal="center" vertical="center"/>
    </xf>
    <xf numFmtId="3" fontId="50" fillId="0" borderId="18" xfId="0" applyNumberFormat="1" applyFont="1" applyBorder="1" applyAlignment="1">
      <alignment vertical="center"/>
    </xf>
    <xf numFmtId="173" fontId="50" fillId="0" borderId="20" xfId="0" applyNumberFormat="1" applyFont="1" applyBorder="1" applyAlignment="1">
      <alignment vertical="center"/>
    </xf>
    <xf numFmtId="0" fontId="50" fillId="0" borderId="36" xfId="0" applyFont="1" applyBorder="1" applyAlignment="1">
      <alignment vertical="center"/>
    </xf>
    <xf numFmtId="0" fontId="57" fillId="0" borderId="38" xfId="0" applyFont="1" applyBorder="1" applyAlignment="1">
      <alignment horizontal="center" vertical="center"/>
    </xf>
    <xf numFmtId="9" fontId="51" fillId="0" borderId="38" xfId="26" applyFont="1" applyBorder="1" applyAlignment="1">
      <alignment horizontal="center" vertical="center"/>
    </xf>
    <xf numFmtId="0" fontId="50" fillId="0" borderId="39" xfId="0" applyFont="1" applyBorder="1" applyAlignment="1">
      <alignment vertical="center"/>
    </xf>
    <xf numFmtId="10" fontId="58" fillId="0" borderId="36" xfId="0" applyNumberFormat="1" applyFont="1" applyBorder="1" applyAlignment="1">
      <alignment vertical="center"/>
    </xf>
    <xf numFmtId="173" fontId="58" fillId="0" borderId="39" xfId="0" applyNumberFormat="1" applyFont="1" applyBorder="1" applyAlignment="1">
      <alignment vertical="center"/>
    </xf>
    <xf numFmtId="164" fontId="50" fillId="0" borderId="36" xfId="1" applyFont="1" applyBorder="1" applyAlignment="1">
      <alignment vertical="center"/>
    </xf>
    <xf numFmtId="3" fontId="50" fillId="0" borderId="36" xfId="0" applyNumberFormat="1" applyFont="1" applyBorder="1" applyAlignment="1">
      <alignment vertical="center"/>
    </xf>
    <xf numFmtId="0" fontId="31" fillId="0" borderId="22" xfId="0" applyFont="1" applyBorder="1" applyAlignment="1">
      <alignment horizontal="center" vertical="center"/>
    </xf>
    <xf numFmtId="4" fontId="31" fillId="0" borderId="21" xfId="0" applyNumberFormat="1" applyFont="1" applyBorder="1" applyAlignment="1">
      <alignment vertical="center"/>
    </xf>
    <xf numFmtId="3" fontId="31" fillId="0" borderId="22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9" fillId="0" borderId="0" xfId="20" applyFont="1"/>
    <xf numFmtId="0" fontId="60" fillId="0" borderId="0" xfId="20" applyFont="1"/>
    <xf numFmtId="0" fontId="12" fillId="0" borderId="0" xfId="20" applyFont="1"/>
    <xf numFmtId="164" fontId="61" fillId="0" borderId="0" xfId="17" applyFont="1" applyFill="1" applyAlignment="1" applyProtection="1">
      <alignment horizontal="center"/>
      <protection locked="0"/>
    </xf>
    <xf numFmtId="0" fontId="61" fillId="0" borderId="0" xfId="27" applyFont="1" applyAlignment="1" applyProtection="1">
      <alignment horizontal="center"/>
      <protection locked="0"/>
    </xf>
    <xf numFmtId="164" fontId="61" fillId="0" borderId="0" xfId="17" applyFont="1" applyFill="1" applyBorder="1" applyAlignment="1" applyProtection="1">
      <alignment horizontal="center"/>
      <protection locked="0"/>
    </xf>
    <xf numFmtId="164" fontId="61" fillId="0" borderId="18" xfId="17" applyFont="1" applyFill="1" applyBorder="1" applyAlignment="1" applyProtection="1">
      <alignment horizontal="center"/>
      <protection locked="0"/>
    </xf>
    <xf numFmtId="164" fontId="61" fillId="0" borderId="10" xfId="17" applyFont="1" applyFill="1" applyBorder="1" applyAlignment="1" applyProtection="1">
      <alignment horizontal="center"/>
      <protection locked="0"/>
    </xf>
    <xf numFmtId="0" fontId="12" fillId="0" borderId="0" xfId="20" applyFont="1" applyAlignment="1">
      <alignment horizontal="right"/>
    </xf>
    <xf numFmtId="173" fontId="61" fillId="0" borderId="0" xfId="27" applyNumberFormat="1" applyFont="1" applyAlignment="1" applyProtection="1">
      <alignment horizontal="center"/>
      <protection locked="0"/>
    </xf>
    <xf numFmtId="164" fontId="60" fillId="0" borderId="0" xfId="20" applyNumberFormat="1" applyFont="1"/>
    <xf numFmtId="173" fontId="61" fillId="0" borderId="53" xfId="27" applyNumberFormat="1" applyFont="1" applyBorder="1" applyAlignment="1" applyProtection="1">
      <alignment horizontal="center"/>
      <protection locked="0"/>
    </xf>
    <xf numFmtId="0" fontId="61" fillId="0" borderId="0" xfId="27" applyFont="1" applyAlignment="1" applyProtection="1">
      <alignment horizontal="left"/>
      <protection locked="0"/>
    </xf>
    <xf numFmtId="173" fontId="61" fillId="0" borderId="54" xfId="27" applyNumberFormat="1" applyFont="1" applyBorder="1" applyAlignment="1" applyProtection="1">
      <alignment horizontal="center"/>
      <protection locked="0"/>
    </xf>
    <xf numFmtId="164" fontId="61" fillId="0" borderId="10" xfId="17" applyFont="1" applyFill="1" applyBorder="1" applyAlignment="1" applyProtection="1">
      <alignment horizontal="center" vertical="center"/>
      <protection locked="0"/>
    </xf>
    <xf numFmtId="164" fontId="61" fillId="0" borderId="0" xfId="17" applyFont="1" applyFill="1" applyBorder="1" applyAlignment="1" applyProtection="1">
      <alignment horizontal="center" vertical="center"/>
      <protection locked="0"/>
    </xf>
    <xf numFmtId="173" fontId="61" fillId="0" borderId="54" xfId="27" applyNumberFormat="1" applyFont="1" applyBorder="1" applyAlignment="1" applyProtection="1">
      <alignment horizontal="center" vertical="center"/>
      <protection locked="0"/>
    </xf>
    <xf numFmtId="173" fontId="61" fillId="0" borderId="0" xfId="27" applyNumberFormat="1" applyFont="1" applyAlignment="1" applyProtection="1">
      <alignment horizontal="center" vertical="center"/>
      <protection locked="0"/>
    </xf>
    <xf numFmtId="0" fontId="12" fillId="0" borderId="0" xfId="20" applyFont="1" applyAlignment="1">
      <alignment horizontal="left"/>
    </xf>
    <xf numFmtId="0" fontId="60" fillId="0" borderId="0" xfId="20" applyFont="1" applyAlignment="1">
      <alignment horizontal="center"/>
    </xf>
    <xf numFmtId="0" fontId="60" fillId="0" borderId="0" xfId="20" applyFont="1" applyAlignment="1">
      <alignment horizontal="left"/>
    </xf>
    <xf numFmtId="164" fontId="60" fillId="0" borderId="0" xfId="20" applyNumberFormat="1" applyFont="1" applyAlignment="1">
      <alignment horizontal="left"/>
    </xf>
    <xf numFmtId="0" fontId="63" fillId="0" borderId="0" xfId="20" applyFont="1"/>
    <xf numFmtId="0" fontId="60" fillId="0" borderId="0" xfId="20" applyFont="1" applyAlignment="1">
      <alignment horizontal="right"/>
    </xf>
    <xf numFmtId="0" fontId="59" fillId="0" borderId="5" xfId="20" applyFont="1" applyBorder="1"/>
    <xf numFmtId="0" fontId="59" fillId="0" borderId="6" xfId="20" applyFont="1" applyBorder="1"/>
    <xf numFmtId="0" fontId="59" fillId="0" borderId="7" xfId="20" applyFont="1" applyBorder="1"/>
    <xf numFmtId="0" fontId="64" fillId="0" borderId="23" xfId="20" applyFont="1" applyBorder="1"/>
    <xf numFmtId="0" fontId="64" fillId="0" borderId="24" xfId="20" applyFont="1" applyBorder="1"/>
    <xf numFmtId="0" fontId="64" fillId="0" borderId="25" xfId="20" applyFont="1" applyBorder="1"/>
    <xf numFmtId="164" fontId="60" fillId="0" borderId="0" xfId="1" applyFont="1"/>
    <xf numFmtId="0" fontId="65" fillId="0" borderId="0" xfId="20" applyFont="1"/>
    <xf numFmtId="164" fontId="61" fillId="0" borderId="29" xfId="17" applyFont="1" applyFill="1" applyBorder="1" applyAlignment="1" applyProtection="1">
      <alignment horizontal="center"/>
      <protection locked="0"/>
    </xf>
    <xf numFmtId="164" fontId="61" fillId="0" borderId="55" xfId="17" applyFont="1" applyFill="1" applyBorder="1" applyAlignment="1" applyProtection="1">
      <alignment horizontal="center"/>
      <protection locked="0"/>
    </xf>
    <xf numFmtId="173" fontId="61" fillId="0" borderId="56" xfId="27" applyNumberFormat="1" applyFont="1" applyBorder="1" applyAlignment="1" applyProtection="1">
      <alignment horizontal="center"/>
      <protection locked="0"/>
    </xf>
    <xf numFmtId="0" fontId="10" fillId="0" borderId="0" xfId="16" applyProtection="1">
      <protection locked="0"/>
    </xf>
    <xf numFmtId="0" fontId="66" fillId="0" borderId="10" xfId="0" quotePrefix="1" applyFont="1" applyBorder="1" applyAlignment="1">
      <alignment horizontal="right" vertical="center"/>
    </xf>
    <xf numFmtId="166" fontId="66" fillId="0" borderId="2" xfId="0" applyNumberFormat="1" applyFont="1" applyBorder="1" applyAlignment="1">
      <alignment horizontal="left" vertical="center"/>
    </xf>
    <xf numFmtId="0" fontId="66" fillId="0" borderId="2" xfId="0" applyFont="1" applyBorder="1"/>
    <xf numFmtId="0" fontId="66" fillId="0" borderId="11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165" fontId="66" fillId="0" borderId="2" xfId="3" applyNumberFormat="1" applyFont="1" applyFill="1" applyBorder="1" applyAlignment="1">
      <alignment horizontal="centerContinuous"/>
    </xf>
    <xf numFmtId="164" fontId="66" fillId="0" borderId="12" xfId="1" applyFont="1" applyFill="1" applyBorder="1" applyAlignment="1">
      <alignment horizontal="center" vertical="center"/>
    </xf>
    <xf numFmtId="164" fontId="66" fillId="0" borderId="2" xfId="1" applyFont="1" applyFill="1" applyBorder="1" applyAlignment="1">
      <alignment horizontal="center" vertical="center"/>
    </xf>
    <xf numFmtId="164" fontId="67" fillId="0" borderId="11" xfId="1" applyFont="1" applyFill="1" applyBorder="1" applyAlignment="1">
      <alignment horizontal="left" vertical="center"/>
    </xf>
    <xf numFmtId="0" fontId="68" fillId="0" borderId="0" xfId="0" applyFont="1"/>
    <xf numFmtId="43" fontId="68" fillId="0" borderId="0" xfId="0" applyNumberFormat="1" applyFont="1"/>
    <xf numFmtId="0" fontId="66" fillId="0" borderId="2" xfId="0" applyFont="1" applyBorder="1" applyAlignment="1">
      <alignment horizontal="left" vertical="center"/>
    </xf>
    <xf numFmtId="0" fontId="28" fillId="0" borderId="10" xfId="0" quotePrefix="1" applyFont="1" applyBorder="1" applyAlignment="1">
      <alignment horizontal="center" vertical="center"/>
    </xf>
    <xf numFmtId="0" fontId="28" fillId="0" borderId="2" xfId="0" applyFont="1" applyBorder="1" applyAlignment="1">
      <alignment horizontal="left" vertical="center"/>
    </xf>
    <xf numFmtId="0" fontId="28" fillId="0" borderId="2" xfId="0" applyFont="1" applyBorder="1"/>
    <xf numFmtId="0" fontId="28" fillId="0" borderId="11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165" fontId="28" fillId="0" borderId="2" xfId="3" applyNumberFormat="1" applyFont="1" applyFill="1" applyBorder="1" applyAlignment="1">
      <alignment horizontal="centerContinuous"/>
    </xf>
    <xf numFmtId="164" fontId="28" fillId="0" borderId="12" xfId="1" applyFont="1" applyFill="1" applyBorder="1" applyAlignment="1">
      <alignment horizontal="center" vertical="center"/>
    </xf>
    <xf numFmtId="164" fontId="28" fillId="0" borderId="2" xfId="1" applyFont="1" applyFill="1" applyBorder="1" applyAlignment="1">
      <alignment horizontal="center" vertical="center"/>
    </xf>
    <xf numFmtId="164" fontId="28" fillId="0" borderId="11" xfId="1" applyFont="1" applyFill="1" applyBorder="1" applyAlignment="1">
      <alignment horizontal="center" vertical="center"/>
    </xf>
    <xf numFmtId="164" fontId="30" fillId="0" borderId="11" xfId="1" applyFont="1" applyFill="1" applyBorder="1" applyAlignment="1">
      <alignment horizontal="left" vertical="center"/>
    </xf>
    <xf numFmtId="2" fontId="28" fillId="0" borderId="10" xfId="0" applyNumberFormat="1" applyFont="1" applyBorder="1" applyAlignment="1">
      <alignment horizontal="right" vertical="center"/>
    </xf>
    <xf numFmtId="0" fontId="28" fillId="0" borderId="10" xfId="0" applyFont="1" applyBorder="1" applyAlignment="1">
      <alignment horizontal="right" vertical="center"/>
    </xf>
    <xf numFmtId="2" fontId="30" fillId="0" borderId="13" xfId="0" applyNumberFormat="1" applyFont="1" applyBorder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28" fillId="0" borderId="14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165" fontId="28" fillId="0" borderId="0" xfId="3" applyNumberFormat="1" applyFont="1" applyFill="1" applyBorder="1" applyAlignment="1">
      <alignment horizontal="centerContinuous"/>
    </xf>
    <xf numFmtId="164" fontId="28" fillId="0" borderId="15" xfId="1" applyFont="1" applyFill="1" applyBorder="1" applyAlignment="1">
      <alignment vertical="center"/>
    </xf>
    <xf numFmtId="164" fontId="28" fillId="0" borderId="0" xfId="1" applyFont="1" applyFill="1" applyBorder="1" applyAlignment="1">
      <alignment vertical="center"/>
    </xf>
    <xf numFmtId="164" fontId="28" fillId="0" borderId="14" xfId="1" applyFont="1" applyFill="1" applyBorder="1" applyAlignment="1">
      <alignment horizontal="center" vertical="center"/>
    </xf>
    <xf numFmtId="164" fontId="69" fillId="0" borderId="14" xfId="1" applyFont="1" applyFill="1" applyBorder="1" applyAlignment="1">
      <alignment horizontal="left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7" xfId="0" applyFont="1" applyFill="1" applyBorder="1" applyAlignment="1">
      <alignment horizontal="center" vertical="center"/>
    </xf>
    <xf numFmtId="164" fontId="28" fillId="2" borderId="27" xfId="1" applyFont="1" applyFill="1" applyBorder="1" applyAlignment="1">
      <alignment horizontal="center" vertical="center"/>
    </xf>
    <xf numFmtId="164" fontId="28" fillId="2" borderId="9" xfId="1" applyFont="1" applyFill="1" applyBorder="1" applyAlignment="1">
      <alignment horizontal="center" vertical="center"/>
    </xf>
    <xf numFmtId="164" fontId="28" fillId="2" borderId="26" xfId="1" applyFont="1" applyFill="1" applyBorder="1" applyAlignment="1">
      <alignment horizontal="center" vertical="center"/>
    </xf>
    <xf numFmtId="43" fontId="60" fillId="0" borderId="0" xfId="20" applyNumberFormat="1" applyFont="1"/>
    <xf numFmtId="0" fontId="12" fillId="0" borderId="0" xfId="0" applyFont="1" applyAlignment="1">
      <alignment horizontal="right"/>
    </xf>
    <xf numFmtId="164" fontId="47" fillId="0" borderId="0" xfId="1" applyFont="1" applyBorder="1" applyAlignment="1">
      <alignment horizontal="center" vertical="center"/>
    </xf>
    <xf numFmtId="164" fontId="47" fillId="0" borderId="0" xfId="1" applyFont="1" applyBorder="1" applyAlignment="1">
      <alignment horizontal="left" vertical="center"/>
    </xf>
    <xf numFmtId="164" fontId="17" fillId="0" borderId="0" xfId="1" applyFont="1"/>
    <xf numFmtId="164" fontId="68" fillId="0" borderId="0" xfId="0" applyNumberFormat="1" applyFont="1"/>
    <xf numFmtId="43" fontId="29" fillId="0" borderId="0" xfId="20" applyNumberFormat="1" applyFont="1" applyAlignment="1">
      <alignment vertical="center"/>
    </xf>
    <xf numFmtId="0" fontId="66" fillId="0" borderId="10" xfId="0" applyFont="1" applyBorder="1" applyAlignment="1">
      <alignment horizontal="right" vertical="center"/>
    </xf>
    <xf numFmtId="0" fontId="70" fillId="0" borderId="0" xfId="19" applyFont="1" applyAlignment="1">
      <alignment horizontal="left" vertical="center"/>
    </xf>
    <xf numFmtId="164" fontId="70" fillId="0" borderId="4" xfId="1" applyFont="1" applyBorder="1" applyAlignment="1">
      <alignment vertical="center"/>
    </xf>
    <xf numFmtId="0" fontId="70" fillId="0" borderId="0" xfId="4" applyNumberFormat="1" applyFont="1" applyFill="1" applyBorder="1" applyAlignment="1">
      <alignment horizontal="left" vertical="center"/>
    </xf>
    <xf numFmtId="0" fontId="70" fillId="0" borderId="0" xfId="19" applyFont="1"/>
    <xf numFmtId="0" fontId="72" fillId="0" borderId="0" xfId="4" applyNumberFormat="1" applyFont="1" applyAlignment="1">
      <alignment vertical="center"/>
    </xf>
    <xf numFmtId="0" fontId="43" fillId="0" borderId="0" xfId="19" applyFont="1"/>
    <xf numFmtId="0" fontId="70" fillId="0" borderId="4" xfId="19" applyFont="1" applyBorder="1" applyAlignment="1">
      <alignment vertical="center"/>
    </xf>
    <xf numFmtId="9" fontId="70" fillId="0" borderId="0" xfId="26" applyFont="1" applyAlignment="1">
      <alignment vertical="center"/>
    </xf>
    <xf numFmtId="0" fontId="73" fillId="0" borderId="0" xfId="19" applyFont="1"/>
    <xf numFmtId="49" fontId="70" fillId="0" borderId="1" xfId="4" applyNumberFormat="1" applyFont="1" applyFill="1" applyBorder="1" applyAlignment="1">
      <alignment vertical="top"/>
    </xf>
    <xf numFmtId="0" fontId="70" fillId="0" borderId="1" xfId="19" applyFont="1" applyBorder="1" applyAlignment="1">
      <alignment horizontal="left" vertical="top"/>
    </xf>
    <xf numFmtId="0" fontId="70" fillId="0" borderId="1" xfId="19" applyFont="1" applyBorder="1" applyAlignment="1">
      <alignment vertical="top"/>
    </xf>
    <xf numFmtId="164" fontId="70" fillId="0" borderId="1" xfId="1" applyFont="1" applyBorder="1" applyAlignment="1">
      <alignment vertical="top"/>
    </xf>
    <xf numFmtId="0" fontId="70" fillId="0" borderId="1" xfId="4" applyNumberFormat="1" applyFont="1" applyFill="1" applyBorder="1" applyAlignment="1">
      <alignment vertical="top"/>
    </xf>
    <xf numFmtId="0" fontId="70" fillId="0" borderId="1" xfId="4" applyNumberFormat="1" applyFont="1" applyBorder="1" applyAlignment="1">
      <alignment vertical="top"/>
    </xf>
    <xf numFmtId="0" fontId="72" fillId="0" borderId="1" xfId="4" applyNumberFormat="1" applyFont="1" applyFill="1" applyBorder="1" applyAlignment="1">
      <alignment vertical="center"/>
    </xf>
    <xf numFmtId="0" fontId="70" fillId="0" borderId="18" xfId="19" applyFont="1" applyBorder="1" applyAlignment="1">
      <alignment vertical="top"/>
    </xf>
    <xf numFmtId="9" fontId="70" fillId="0" borderId="1" xfId="26" applyFont="1" applyBorder="1" applyAlignment="1">
      <alignment vertical="top"/>
    </xf>
    <xf numFmtId="164" fontId="70" fillId="0" borderId="18" xfId="1" applyFont="1" applyBorder="1" applyAlignment="1">
      <alignment vertical="top"/>
    </xf>
    <xf numFmtId="49" fontId="70" fillId="0" borderId="2" xfId="4" applyNumberFormat="1" applyFont="1" applyFill="1" applyBorder="1" applyAlignment="1">
      <alignment vertical="top"/>
    </xf>
    <xf numFmtId="0" fontId="70" fillId="0" borderId="2" xfId="19" applyFont="1" applyBorder="1" applyAlignment="1">
      <alignment horizontal="left" vertical="top"/>
    </xf>
    <xf numFmtId="0" fontId="70" fillId="0" borderId="2" xfId="19" applyFont="1" applyBorder="1" applyAlignment="1">
      <alignment vertical="top"/>
    </xf>
    <xf numFmtId="0" fontId="70" fillId="0" borderId="1" xfId="19" applyFont="1" applyBorder="1" applyAlignment="1">
      <alignment vertical="center"/>
    </xf>
    <xf numFmtId="164" fontId="70" fillId="0" borderId="2" xfId="1" applyFont="1" applyBorder="1" applyAlignment="1">
      <alignment vertical="top"/>
    </xf>
    <xf numFmtId="0" fontId="70" fillId="0" borderId="2" xfId="4" applyNumberFormat="1" applyFont="1" applyFill="1" applyBorder="1" applyAlignment="1">
      <alignment vertical="top"/>
    </xf>
    <xf numFmtId="0" fontId="70" fillId="0" borderId="2" xfId="19" applyFont="1" applyBorder="1"/>
    <xf numFmtId="0" fontId="72" fillId="0" borderId="2" xfId="19" applyFont="1" applyBorder="1" applyAlignment="1">
      <alignment horizontal="right"/>
    </xf>
    <xf numFmtId="0" fontId="70" fillId="0" borderId="10" xfId="19" applyFont="1" applyBorder="1" applyAlignment="1">
      <alignment vertical="top"/>
    </xf>
    <xf numFmtId="9" fontId="70" fillId="0" borderId="2" xfId="26" applyFont="1" applyBorder="1" applyAlignment="1">
      <alignment vertical="top"/>
    </xf>
    <xf numFmtId="164" fontId="70" fillId="0" borderId="10" xfId="1" applyFont="1" applyBorder="1" applyAlignment="1">
      <alignment vertical="top"/>
    </xf>
    <xf numFmtId="164" fontId="70" fillId="0" borderId="0" xfId="1" applyFont="1" applyBorder="1"/>
    <xf numFmtId="0" fontId="70" fillId="0" borderId="1" xfId="4" applyNumberFormat="1" applyFont="1" applyFill="1" applyBorder="1" applyAlignment="1">
      <alignment horizontal="right" vertical="top"/>
    </xf>
    <xf numFmtId="0" fontId="70" fillId="0" borderId="1" xfId="4" applyNumberFormat="1" applyFont="1" applyFill="1" applyBorder="1" applyAlignment="1">
      <alignment horizontal="center" vertical="top"/>
    </xf>
    <xf numFmtId="0" fontId="70" fillId="0" borderId="2" xfId="4" applyNumberFormat="1" applyFont="1" applyFill="1" applyBorder="1" applyAlignment="1">
      <alignment vertical="center"/>
    </xf>
    <xf numFmtId="0" fontId="70" fillId="0" borderId="13" xfId="19" applyFont="1" applyBorder="1"/>
    <xf numFmtId="9" fontId="70" fillId="0" borderId="0" xfId="26" applyFont="1"/>
    <xf numFmtId="164" fontId="70" fillId="0" borderId="13" xfId="1" applyFont="1" applyBorder="1"/>
    <xf numFmtId="3" fontId="70" fillId="0" borderId="2" xfId="19" applyNumberFormat="1" applyFont="1" applyBorder="1" applyAlignment="1">
      <alignment vertical="center"/>
    </xf>
    <xf numFmtId="0" fontId="70" fillId="0" borderId="2" xfId="4" applyNumberFormat="1" applyFont="1" applyFill="1" applyBorder="1" applyAlignment="1">
      <alignment horizontal="left" vertical="top"/>
    </xf>
    <xf numFmtId="0" fontId="72" fillId="0" borderId="2" xfId="4" applyNumberFormat="1" applyFont="1" applyFill="1" applyBorder="1" applyAlignment="1">
      <alignment vertical="center"/>
    </xf>
    <xf numFmtId="0" fontId="70" fillId="0" borderId="2" xfId="4" applyNumberFormat="1" applyFont="1" applyBorder="1" applyAlignment="1">
      <alignment horizontal="left" vertical="top"/>
    </xf>
    <xf numFmtId="0" fontId="43" fillId="0" borderId="2" xfId="19" applyFont="1" applyBorder="1" applyAlignment="1">
      <alignment vertical="top"/>
    </xf>
    <xf numFmtId="0" fontId="43" fillId="0" borderId="2" xfId="19" quotePrefix="1" applyFont="1" applyBorder="1" applyAlignment="1">
      <alignment horizontal="center" vertical="top"/>
    </xf>
    <xf numFmtId="164" fontId="43" fillId="0" borderId="2" xfId="1" applyFont="1" applyBorder="1" applyAlignment="1">
      <alignment vertical="top"/>
    </xf>
    <xf numFmtId="0" fontId="70" fillId="0" borderId="2" xfId="4" applyNumberFormat="1" applyFont="1" applyBorder="1" applyAlignment="1">
      <alignment horizontal="center"/>
    </xf>
    <xf numFmtId="0" fontId="70" fillId="0" borderId="2" xfId="4" applyNumberFormat="1" applyFont="1" applyBorder="1" applyAlignment="1">
      <alignment horizontal="center" vertical="top"/>
    </xf>
    <xf numFmtId="17" fontId="70" fillId="0" borderId="2" xfId="4" applyNumberFormat="1" applyFont="1" applyBorder="1" applyAlignment="1">
      <alignment vertical="top"/>
    </xf>
    <xf numFmtId="0" fontId="43" fillId="0" borderId="10" xfId="19" applyFont="1" applyBorder="1" applyAlignment="1">
      <alignment vertical="top"/>
    </xf>
    <xf numFmtId="9" fontId="43" fillId="0" borderId="2" xfId="26" applyFont="1" applyBorder="1" applyAlignment="1">
      <alignment vertical="top"/>
    </xf>
    <xf numFmtId="164" fontId="43" fillId="0" borderId="10" xfId="1" applyFont="1" applyBorder="1" applyAlignment="1">
      <alignment vertical="top"/>
    </xf>
    <xf numFmtId="0" fontId="43" fillId="0" borderId="0" xfId="2" applyFont="1" applyAlignment="1">
      <alignment horizontal="center" vertical="center"/>
    </xf>
    <xf numFmtId="164" fontId="43" fillId="0" borderId="0" xfId="4" applyFont="1" applyAlignment="1">
      <alignment vertical="center"/>
    </xf>
    <xf numFmtId="164" fontId="43" fillId="0" borderId="24" xfId="1" applyFont="1" applyBorder="1" applyAlignment="1">
      <alignment vertical="center"/>
    </xf>
    <xf numFmtId="0" fontId="43" fillId="0" borderId="0" xfId="4" applyNumberFormat="1" applyFont="1" applyAlignment="1">
      <alignment vertical="center"/>
    </xf>
    <xf numFmtId="0" fontId="43" fillId="0" borderId="0" xfId="4" applyNumberFormat="1" applyFont="1" applyAlignment="1">
      <alignment horizontal="center" vertical="center"/>
    </xf>
    <xf numFmtId="0" fontId="43" fillId="0" borderId="13" xfId="19" applyFont="1" applyBorder="1" applyAlignment="1">
      <alignment vertical="center"/>
    </xf>
    <xf numFmtId="9" fontId="43" fillId="0" borderId="0" xfId="26" applyFont="1" applyAlignment="1">
      <alignment vertical="center"/>
    </xf>
    <xf numFmtId="164" fontId="43" fillId="0" borderId="13" xfId="1" applyFont="1" applyBorder="1" applyAlignment="1">
      <alignment vertical="center"/>
    </xf>
    <xf numFmtId="164" fontId="70" fillId="0" borderId="4" xfId="4" applyFont="1" applyFill="1" applyBorder="1" applyAlignment="1">
      <alignment horizontal="center" vertical="center"/>
    </xf>
    <xf numFmtId="9" fontId="70" fillId="0" borderId="6" xfId="26" applyFont="1" applyFill="1" applyBorder="1" applyAlignment="1">
      <alignment horizontal="center" vertical="center" wrapText="1"/>
    </xf>
    <xf numFmtId="164" fontId="75" fillId="0" borderId="57" xfId="4" applyFont="1" applyFill="1" applyBorder="1" applyAlignment="1">
      <alignment horizontal="center" vertical="center"/>
    </xf>
    <xf numFmtId="164" fontId="70" fillId="0" borderId="26" xfId="4" applyFont="1" applyFill="1" applyBorder="1" applyAlignment="1">
      <alignment horizontal="center" vertical="center"/>
    </xf>
    <xf numFmtId="164" fontId="75" fillId="0" borderId="24" xfId="4" applyFont="1" applyFill="1" applyBorder="1" applyAlignment="1">
      <alignment horizontal="center" vertical="center"/>
    </xf>
    <xf numFmtId="164" fontId="70" fillId="0" borderId="22" xfId="4" applyFont="1" applyFill="1" applyBorder="1" applyAlignment="1">
      <alignment horizontal="center" vertical="center"/>
    </xf>
    <xf numFmtId="9" fontId="70" fillId="0" borderId="24" xfId="26" applyFont="1" applyFill="1" applyBorder="1" applyAlignment="1">
      <alignment horizontal="center" vertical="center" wrapText="1"/>
    </xf>
    <xf numFmtId="0" fontId="76" fillId="0" borderId="28" xfId="19" quotePrefix="1" applyFont="1" applyBorder="1" applyAlignment="1">
      <alignment horizontal="center" vertical="center" wrapText="1"/>
    </xf>
    <xf numFmtId="0" fontId="77" fillId="0" borderId="2" xfId="19" applyFont="1" applyBorder="1" applyAlignment="1">
      <alignment vertical="center"/>
    </xf>
    <xf numFmtId="164" fontId="43" fillId="3" borderId="18" xfId="1" applyFont="1" applyFill="1" applyBorder="1" applyAlignment="1">
      <alignment horizontal="center" vertical="center" wrapText="1"/>
    </xf>
    <xf numFmtId="164" fontId="43" fillId="3" borderId="20" xfId="4" applyFont="1" applyFill="1" applyBorder="1" applyAlignment="1">
      <alignment horizontal="center" vertical="center" wrapText="1"/>
    </xf>
    <xf numFmtId="165" fontId="43" fillId="0" borderId="58" xfId="3" applyNumberFormat="1" applyFont="1" applyFill="1" applyBorder="1" applyAlignment="1">
      <alignment horizontal="centerContinuous"/>
    </xf>
    <xf numFmtId="164" fontId="43" fillId="0" borderId="19" xfId="4" applyFont="1" applyFill="1" applyBorder="1" applyAlignment="1">
      <alignment horizontal="center" vertical="center"/>
    </xf>
    <xf numFmtId="164" fontId="43" fillId="0" borderId="59" xfId="4" applyFont="1" applyFill="1" applyBorder="1" applyAlignment="1">
      <alignment horizontal="center" vertical="center"/>
    </xf>
    <xf numFmtId="164" fontId="43" fillId="0" borderId="60" xfId="4" applyFont="1" applyFill="1" applyBorder="1" applyAlignment="1">
      <alignment horizontal="center" vertical="center"/>
    </xf>
    <xf numFmtId="164" fontId="43" fillId="0" borderId="20" xfId="4" applyFont="1" applyFill="1" applyBorder="1" applyAlignment="1">
      <alignment horizontal="center" vertical="center"/>
    </xf>
    <xf numFmtId="164" fontId="78" fillId="0" borderId="20" xfId="4" applyFont="1" applyFill="1" applyBorder="1" applyAlignment="1">
      <alignment horizontal="center" vertical="center"/>
    </xf>
    <xf numFmtId="164" fontId="43" fillId="3" borderId="18" xfId="4" applyFont="1" applyFill="1" applyBorder="1" applyAlignment="1">
      <alignment horizontal="center" vertical="center" wrapText="1"/>
    </xf>
    <xf numFmtId="9" fontId="43" fillId="3" borderId="1" xfId="26" applyFont="1" applyFill="1" applyBorder="1" applyAlignment="1">
      <alignment horizontal="center" vertical="center" wrapText="1"/>
    </xf>
    <xf numFmtId="0" fontId="79" fillId="0" borderId="18" xfId="19" quotePrefix="1" applyFont="1" applyBorder="1" applyAlignment="1">
      <alignment horizontal="center" vertical="center" wrapText="1"/>
    </xf>
    <xf numFmtId="0" fontId="80" fillId="0" borderId="2" xfId="19" applyFont="1" applyBorder="1" applyAlignment="1">
      <alignment vertical="center"/>
    </xf>
    <xf numFmtId="164" fontId="43" fillId="0" borderId="61" xfId="4" applyFont="1" applyFill="1" applyBorder="1" applyAlignment="1">
      <alignment horizontal="center" vertical="center"/>
    </xf>
    <xf numFmtId="176" fontId="10" fillId="4" borderId="18" xfId="19" applyNumberFormat="1" applyFont="1" applyFill="1" applyBorder="1" applyAlignment="1">
      <alignment horizontal="center" vertical="center"/>
    </xf>
    <xf numFmtId="164" fontId="10" fillId="4" borderId="18" xfId="1" applyFont="1" applyFill="1" applyBorder="1" applyAlignment="1">
      <alignment horizontal="right" vertical="center"/>
    </xf>
    <xf numFmtId="164" fontId="10" fillId="4" borderId="20" xfId="4" applyFont="1" applyFill="1" applyBorder="1" applyAlignment="1">
      <alignment horizontal="center" vertical="center" wrapText="1"/>
    </xf>
    <xf numFmtId="165" fontId="10" fillId="0" borderId="62" xfId="3" applyNumberFormat="1" applyFont="1" applyFill="1" applyBorder="1" applyAlignment="1">
      <alignment horizontal="centerContinuous"/>
    </xf>
    <xf numFmtId="164" fontId="10" fillId="0" borderId="12" xfId="4" applyFont="1" applyFill="1" applyBorder="1" applyAlignment="1">
      <alignment horizontal="center" vertical="center"/>
    </xf>
    <xf numFmtId="164" fontId="10" fillId="0" borderId="63" xfId="4" applyFont="1" applyFill="1" applyBorder="1" applyAlignment="1">
      <alignment horizontal="center" vertical="center"/>
    </xf>
    <xf numFmtId="164" fontId="81" fillId="0" borderId="11" xfId="4" applyFont="1" applyFill="1" applyBorder="1" applyAlignment="1">
      <alignment horizontal="left" vertical="center"/>
    </xf>
    <xf numFmtId="0" fontId="10" fillId="0" borderId="0" xfId="19" applyFont="1"/>
    <xf numFmtId="9" fontId="10" fillId="4" borderId="1" xfId="26" applyFont="1" applyFill="1" applyBorder="1" applyAlignment="1">
      <alignment horizontal="right" vertical="center"/>
    </xf>
    <xf numFmtId="0" fontId="10" fillId="4" borderId="2" xfId="19" applyFont="1" applyFill="1" applyBorder="1" applyAlignment="1">
      <alignment vertical="center"/>
    </xf>
    <xf numFmtId="0" fontId="10" fillId="5" borderId="0" xfId="19" applyFont="1" applyFill="1"/>
    <xf numFmtId="165" fontId="10" fillId="0" borderId="63" xfId="3" applyNumberFormat="1" applyFont="1" applyFill="1" applyBorder="1" applyAlignment="1">
      <alignment horizontal="centerContinuous"/>
    </xf>
    <xf numFmtId="0" fontId="10" fillId="0" borderId="2" xfId="19" applyFont="1" applyBorder="1"/>
    <xf numFmtId="164" fontId="10" fillId="0" borderId="11" xfId="4" applyFont="1" applyFill="1" applyBorder="1" applyAlignment="1">
      <alignment horizontal="center" vertical="center"/>
    </xf>
    <xf numFmtId="177" fontId="10" fillId="0" borderId="10" xfId="19" quotePrefix="1" applyNumberFormat="1" applyFont="1" applyBorder="1" applyAlignment="1">
      <alignment horizontal="center" vertical="center"/>
    </xf>
    <xf numFmtId="0" fontId="10" fillId="0" borderId="10" xfId="19" quotePrefix="1" applyFont="1" applyBorder="1" applyAlignment="1">
      <alignment horizontal="center" vertical="center"/>
    </xf>
    <xf numFmtId="164" fontId="10" fillId="0" borderId="10" xfId="1" applyFont="1" applyBorder="1" applyAlignment="1">
      <alignment horizontal="center" vertical="center"/>
    </xf>
    <xf numFmtId="0" fontId="10" fillId="0" borderId="11" xfId="19" applyFont="1" applyBorder="1" applyAlignment="1">
      <alignment horizontal="center" vertical="center"/>
    </xf>
    <xf numFmtId="0" fontId="10" fillId="0" borderId="10" xfId="19" applyFont="1" applyBorder="1" applyAlignment="1">
      <alignment horizontal="center" vertical="center"/>
    </xf>
    <xf numFmtId="9" fontId="10" fillId="0" borderId="2" xfId="26" applyFont="1" applyBorder="1" applyAlignment="1">
      <alignment horizontal="center" vertical="center"/>
    </xf>
    <xf numFmtId="2" fontId="10" fillId="0" borderId="10" xfId="19" applyNumberFormat="1" applyFont="1" applyBorder="1" applyAlignment="1">
      <alignment horizontal="right" vertical="center"/>
    </xf>
    <xf numFmtId="0" fontId="10" fillId="0" borderId="10" xfId="19" applyFont="1" applyBorder="1" applyAlignment="1">
      <alignment horizontal="right" vertical="center"/>
    </xf>
    <xf numFmtId="2" fontId="10" fillId="0" borderId="13" xfId="19" applyNumberFormat="1" applyFont="1" applyBorder="1" applyAlignment="1">
      <alignment horizontal="right" vertical="center"/>
    </xf>
    <xf numFmtId="164" fontId="10" fillId="0" borderId="13" xfId="1" applyFont="1" applyBorder="1" applyAlignment="1">
      <alignment horizontal="center" vertical="center"/>
    </xf>
    <xf numFmtId="0" fontId="10" fillId="0" borderId="14" xfId="19" applyFont="1" applyBorder="1" applyAlignment="1">
      <alignment horizontal="center" vertical="center"/>
    </xf>
    <xf numFmtId="165" fontId="10" fillId="0" borderId="64" xfId="3" applyNumberFormat="1" applyFont="1" applyFill="1" applyBorder="1" applyAlignment="1">
      <alignment horizontal="centerContinuous"/>
    </xf>
    <xf numFmtId="164" fontId="10" fillId="0" borderId="15" xfId="4" applyFont="1" applyFill="1" applyBorder="1" applyAlignment="1">
      <alignment vertical="center"/>
    </xf>
    <xf numFmtId="164" fontId="10" fillId="0" borderId="65" xfId="4" applyFont="1" applyFill="1" applyBorder="1" applyAlignment="1">
      <alignment vertical="center"/>
    </xf>
    <xf numFmtId="164" fontId="10" fillId="0" borderId="14" xfId="4" applyFont="1" applyFill="1" applyBorder="1" applyAlignment="1">
      <alignment horizontal="center" vertical="center"/>
    </xf>
    <xf numFmtId="164" fontId="74" fillId="0" borderId="14" xfId="4" applyFont="1" applyFill="1" applyBorder="1" applyAlignment="1">
      <alignment horizontal="left" vertical="center"/>
    </xf>
    <xf numFmtId="0" fontId="10" fillId="0" borderId="13" xfId="19" applyFont="1" applyBorder="1" applyAlignment="1">
      <alignment horizontal="center" vertical="center"/>
    </xf>
    <xf numFmtId="9" fontId="10" fillId="0" borderId="0" xfId="26" applyFont="1" applyBorder="1" applyAlignment="1">
      <alignment horizontal="center" vertical="center"/>
    </xf>
    <xf numFmtId="0" fontId="10" fillId="2" borderId="21" xfId="19" applyFont="1" applyFill="1" applyBorder="1" applyAlignment="1">
      <alignment horizontal="center" vertical="center"/>
    </xf>
    <xf numFmtId="164" fontId="10" fillId="2" borderId="21" xfId="1" applyFont="1" applyFill="1" applyBorder="1" applyAlignment="1">
      <alignment horizontal="center" vertical="center"/>
    </xf>
    <xf numFmtId="164" fontId="10" fillId="2" borderId="27" xfId="4" applyFont="1" applyFill="1" applyBorder="1" applyAlignment="1">
      <alignment horizontal="center" vertical="center"/>
    </xf>
    <xf numFmtId="164" fontId="10" fillId="2" borderId="57" xfId="4" applyFont="1" applyFill="1" applyBorder="1" applyAlignment="1">
      <alignment horizontal="center" vertical="center"/>
    </xf>
    <xf numFmtId="164" fontId="10" fillId="2" borderId="26" xfId="4" applyFont="1" applyFill="1" applyBorder="1" applyAlignment="1">
      <alignment horizontal="center" vertical="center"/>
    </xf>
    <xf numFmtId="164" fontId="10" fillId="2" borderId="66" xfId="4" applyFont="1" applyFill="1" applyBorder="1" applyAlignment="1">
      <alignment horizontal="center" vertical="center"/>
    </xf>
    <xf numFmtId="164" fontId="81" fillId="2" borderId="26" xfId="4" applyFont="1" applyFill="1" applyBorder="1" applyAlignment="1">
      <alignment horizontal="center" vertical="center"/>
    </xf>
    <xf numFmtId="9" fontId="10" fillId="2" borderId="27" xfId="26" applyFont="1" applyFill="1" applyBorder="1" applyAlignment="1">
      <alignment horizontal="center" vertical="center"/>
    </xf>
    <xf numFmtId="43" fontId="10" fillId="0" borderId="0" xfId="19" applyNumberFormat="1" applyFont="1"/>
    <xf numFmtId="176" fontId="76" fillId="0" borderId="28" xfId="19" applyNumberFormat="1" applyFont="1" applyBorder="1" applyAlignment="1">
      <alignment horizontal="center"/>
    </xf>
    <xf numFmtId="0" fontId="76" fillId="0" borderId="33" xfId="19" applyFont="1" applyBorder="1" applyAlignment="1">
      <alignment vertical="center"/>
    </xf>
    <xf numFmtId="164" fontId="10" fillId="0" borderId="28" xfId="1" applyFont="1" applyFill="1" applyBorder="1" applyAlignment="1">
      <alignment horizontal="center" vertical="center"/>
    </xf>
    <xf numFmtId="164" fontId="10" fillId="0" borderId="34" xfId="9" applyNumberFormat="1" applyFont="1" applyFill="1" applyBorder="1" applyAlignment="1">
      <alignment horizontal="center"/>
    </xf>
    <xf numFmtId="164" fontId="10" fillId="0" borderId="67" xfId="4" applyFont="1" applyFill="1" applyBorder="1" applyAlignment="1">
      <alignment horizontal="center" vertical="center"/>
    </xf>
    <xf numFmtId="164" fontId="10" fillId="0" borderId="60" xfId="4" applyFont="1" applyFill="1" applyBorder="1" applyAlignment="1">
      <alignment horizontal="center" vertical="center"/>
    </xf>
    <xf numFmtId="164" fontId="10" fillId="0" borderId="59" xfId="4" applyFont="1" applyFill="1" applyBorder="1" applyAlignment="1">
      <alignment horizontal="center" vertical="center"/>
    </xf>
    <xf numFmtId="164" fontId="10" fillId="0" borderId="28" xfId="9" applyNumberFormat="1" applyFont="1" applyFill="1" applyBorder="1" applyAlignment="1">
      <alignment horizontal="center" vertical="center"/>
    </xf>
    <xf numFmtId="9" fontId="10" fillId="0" borderId="33" xfId="26" applyFont="1" applyFill="1" applyBorder="1" applyAlignment="1">
      <alignment horizontal="center" vertical="center"/>
    </xf>
    <xf numFmtId="0" fontId="10" fillId="0" borderId="2" xfId="19" applyFont="1" applyBorder="1" applyAlignment="1">
      <alignment vertical="center"/>
    </xf>
    <xf numFmtId="164" fontId="10" fillId="0" borderId="10" xfId="1" applyFont="1" applyFill="1" applyBorder="1"/>
    <xf numFmtId="164" fontId="10" fillId="0" borderId="11" xfId="9" applyNumberFormat="1" applyFont="1" applyFill="1" applyBorder="1" applyAlignment="1">
      <alignment horizontal="center"/>
    </xf>
    <xf numFmtId="164" fontId="10" fillId="0" borderId="62" xfId="4" applyFont="1" applyFill="1" applyBorder="1" applyAlignment="1">
      <alignment horizontal="center" vertical="center"/>
    </xf>
    <xf numFmtId="164" fontId="10" fillId="0" borderId="10" xfId="19" applyNumberFormat="1" applyFont="1" applyBorder="1"/>
    <xf numFmtId="9" fontId="10" fillId="0" borderId="2" xfId="26" applyFont="1" applyFill="1" applyBorder="1"/>
    <xf numFmtId="0" fontId="0" fillId="0" borderId="2" xfId="19" applyFont="1" applyBorder="1" applyAlignment="1">
      <alignment vertical="center"/>
    </xf>
    <xf numFmtId="164" fontId="10" fillId="0" borderId="10" xfId="1" applyFont="1" applyFill="1" applyBorder="1" applyAlignment="1">
      <alignment horizontal="center" vertical="center"/>
    </xf>
    <xf numFmtId="0" fontId="10" fillId="0" borderId="11" xfId="19" applyFont="1" applyBorder="1" applyAlignment="1">
      <alignment horizontal="center"/>
    </xf>
    <xf numFmtId="164" fontId="10" fillId="0" borderId="2" xfId="17" applyFont="1" applyFill="1" applyBorder="1" applyAlignment="1">
      <alignment horizontal="center" vertical="center"/>
    </xf>
    <xf numFmtId="164" fontId="10" fillId="0" borderId="12" xfId="17" applyFont="1" applyFill="1" applyBorder="1" applyAlignment="1">
      <alignment horizontal="center" vertical="center"/>
    </xf>
    <xf numFmtId="164" fontId="10" fillId="0" borderId="62" xfId="17" applyFont="1" applyFill="1" applyBorder="1" applyAlignment="1">
      <alignment horizontal="center" vertical="center"/>
    </xf>
    <xf numFmtId="164" fontId="10" fillId="0" borderId="10" xfId="9" applyNumberFormat="1" applyFont="1" applyFill="1" applyBorder="1" applyAlignment="1">
      <alignment horizontal="center" vertical="center"/>
    </xf>
    <xf numFmtId="9" fontId="10" fillId="0" borderId="2" xfId="26" applyFont="1" applyFill="1" applyBorder="1" applyAlignment="1">
      <alignment horizontal="center" vertical="center"/>
    </xf>
    <xf numFmtId="164" fontId="10" fillId="0" borderId="10" xfId="4" applyFont="1" applyFill="1" applyBorder="1" applyAlignment="1">
      <alignment horizontal="center" vertical="center"/>
    </xf>
    <xf numFmtId="0" fontId="10" fillId="6" borderId="0" xfId="19" applyFont="1" applyFill="1"/>
    <xf numFmtId="164" fontId="10" fillId="0" borderId="11" xfId="17" applyFont="1" applyFill="1" applyBorder="1" applyAlignment="1">
      <alignment horizontal="center" vertical="center"/>
    </xf>
    <xf numFmtId="0" fontId="10" fillId="0" borderId="0" xfId="19" applyFont="1" applyAlignment="1">
      <alignment horizontal="center"/>
    </xf>
    <xf numFmtId="43" fontId="10" fillId="0" borderId="10" xfId="17" applyNumberFormat="1" applyFont="1" applyFill="1" applyBorder="1" applyAlignment="1">
      <alignment horizontal="center"/>
    </xf>
    <xf numFmtId="9" fontId="10" fillId="0" borderId="2" xfId="26" applyFont="1" applyFill="1" applyBorder="1" applyAlignment="1">
      <alignment horizontal="center"/>
    </xf>
    <xf numFmtId="164" fontId="10" fillId="0" borderId="10" xfId="1" applyFont="1" applyFill="1" applyBorder="1" applyAlignment="1">
      <alignment horizontal="center"/>
    </xf>
    <xf numFmtId="176" fontId="76" fillId="0" borderId="10" xfId="19" applyNumberFormat="1" applyFont="1" applyBorder="1" applyAlignment="1">
      <alignment horizontal="right" vertical="center"/>
    </xf>
    <xf numFmtId="0" fontId="43" fillId="0" borderId="2" xfId="16" applyFont="1" applyBorder="1"/>
    <xf numFmtId="176" fontId="10" fillId="0" borderId="10" xfId="19" applyNumberFormat="1" applyFont="1" applyBorder="1" applyAlignment="1">
      <alignment horizontal="right" vertical="center"/>
    </xf>
    <xf numFmtId="164" fontId="10" fillId="0" borderId="62" xfId="12" applyFont="1" applyFill="1" applyBorder="1"/>
    <xf numFmtId="164" fontId="10" fillId="0" borderId="63" xfId="12" applyFont="1" applyFill="1" applyBorder="1"/>
    <xf numFmtId="164" fontId="10" fillId="0" borderId="10" xfId="12" applyFont="1" applyFill="1" applyBorder="1"/>
    <xf numFmtId="164" fontId="10" fillId="0" borderId="63" xfId="9" applyNumberFormat="1" applyFont="1" applyFill="1" applyBorder="1" applyAlignment="1">
      <alignment vertical="center"/>
    </xf>
    <xf numFmtId="164" fontId="10" fillId="0" borderId="10" xfId="1" applyFont="1" applyFill="1" applyBorder="1" applyAlignment="1">
      <alignment vertical="center"/>
    </xf>
    <xf numFmtId="164" fontId="10" fillId="0" borderId="10" xfId="9" applyNumberFormat="1" applyFont="1" applyFill="1" applyBorder="1" applyAlignment="1">
      <alignment vertical="center"/>
    </xf>
    <xf numFmtId="9" fontId="10" fillId="0" borderId="2" xfId="26" applyFont="1" applyFill="1" applyBorder="1" applyAlignment="1">
      <alignment vertical="center"/>
    </xf>
    <xf numFmtId="164" fontId="10" fillId="0" borderId="10" xfId="4" applyFont="1" applyFill="1" applyBorder="1" applyAlignment="1">
      <alignment horizontal="right" vertical="center"/>
    </xf>
    <xf numFmtId="0" fontId="10" fillId="0" borderId="2" xfId="19" applyFont="1" applyBorder="1" applyAlignment="1">
      <alignment horizontal="left"/>
    </xf>
    <xf numFmtId="43" fontId="10" fillId="0" borderId="62" xfId="3" applyFont="1" applyFill="1" applyBorder="1"/>
    <xf numFmtId="43" fontId="10" fillId="0" borderId="63" xfId="3" applyFont="1" applyFill="1" applyBorder="1"/>
    <xf numFmtId="43" fontId="10" fillId="0" borderId="10" xfId="3" applyFont="1" applyFill="1" applyBorder="1"/>
    <xf numFmtId="0" fontId="10" fillId="0" borderId="38" xfId="19" applyFont="1" applyBorder="1" applyAlignment="1">
      <alignment vertical="center"/>
    </xf>
    <xf numFmtId="164" fontId="10" fillId="0" borderId="36" xfId="1" applyFont="1" applyFill="1" applyBorder="1" applyAlignment="1">
      <alignment horizontal="center"/>
    </xf>
    <xf numFmtId="0" fontId="10" fillId="0" borderId="39" xfId="19" applyFont="1" applyBorder="1" applyAlignment="1">
      <alignment horizontal="center"/>
    </xf>
    <xf numFmtId="43" fontId="10" fillId="0" borderId="36" xfId="17" applyNumberFormat="1" applyFont="1" applyFill="1" applyBorder="1" applyAlignment="1">
      <alignment horizontal="center"/>
    </xf>
    <xf numFmtId="9" fontId="10" fillId="0" borderId="38" xfId="26" applyFont="1" applyFill="1" applyBorder="1" applyAlignment="1">
      <alignment horizontal="center"/>
    </xf>
    <xf numFmtId="164" fontId="10" fillId="2" borderId="21" xfId="4" applyFont="1" applyFill="1" applyBorder="1" applyAlignment="1">
      <alignment horizontal="center" vertical="center"/>
    </xf>
    <xf numFmtId="164" fontId="10" fillId="2" borderId="9" xfId="4" applyFont="1" applyFill="1" applyBorder="1" applyAlignment="1">
      <alignment horizontal="center" vertical="center"/>
    </xf>
    <xf numFmtId="164" fontId="76" fillId="2" borderId="26" xfId="4" applyFont="1" applyFill="1" applyBorder="1" applyAlignment="1">
      <alignment horizontal="center" vertical="center"/>
    </xf>
    <xf numFmtId="164" fontId="76" fillId="2" borderId="66" xfId="4" applyFont="1" applyFill="1" applyBorder="1" applyAlignment="1">
      <alignment horizontal="center" vertical="center"/>
    </xf>
    <xf numFmtId="164" fontId="81" fillId="2" borderId="21" xfId="4" applyFont="1" applyFill="1" applyBorder="1" applyAlignment="1">
      <alignment horizontal="center" vertical="center"/>
    </xf>
    <xf numFmtId="164" fontId="10" fillId="0" borderId="34" xfId="4" applyFont="1" applyFill="1" applyBorder="1" applyAlignment="1">
      <alignment horizontal="center" vertical="center"/>
    </xf>
    <xf numFmtId="164" fontId="10" fillId="0" borderId="28" xfId="4" applyFont="1" applyFill="1" applyBorder="1" applyAlignment="1">
      <alignment horizontal="center" vertical="center"/>
    </xf>
    <xf numFmtId="176" fontId="10" fillId="0" borderId="10" xfId="19" applyNumberFormat="1" applyFont="1" applyBorder="1" applyAlignment="1">
      <alignment horizontal="center"/>
    </xf>
    <xf numFmtId="164" fontId="10" fillId="0" borderId="63" xfId="17" applyFont="1" applyFill="1" applyBorder="1" applyAlignment="1">
      <alignment horizontal="center" vertical="center"/>
    </xf>
    <xf numFmtId="43" fontId="10" fillId="0" borderId="10" xfId="4" applyNumberFormat="1" applyFont="1" applyFill="1" applyBorder="1" applyAlignment="1">
      <alignment horizontal="center"/>
    </xf>
    <xf numFmtId="43" fontId="10" fillId="0" borderId="11" xfId="10" applyFont="1" applyFill="1" applyBorder="1" applyAlignment="1">
      <alignment vertical="center"/>
    </xf>
    <xf numFmtId="164" fontId="10" fillId="0" borderId="10" xfId="4" applyFont="1" applyFill="1" applyBorder="1" applyAlignment="1">
      <alignment horizontal="center"/>
    </xf>
    <xf numFmtId="0" fontId="85" fillId="0" borderId="2" xfId="19" applyFont="1" applyBorder="1" applyAlignment="1">
      <alignment vertical="center"/>
    </xf>
    <xf numFmtId="167" fontId="10" fillId="2" borderId="21" xfId="4" applyNumberFormat="1" applyFont="1" applyFill="1" applyBorder="1" applyAlignment="1">
      <alignment horizontal="center" vertical="center"/>
    </xf>
    <xf numFmtId="167" fontId="10" fillId="0" borderId="10" xfId="3" applyNumberFormat="1" applyFont="1" applyFill="1" applyBorder="1"/>
    <xf numFmtId="164" fontId="17" fillId="0" borderId="10" xfId="1" applyFont="1" applyFill="1" applyBorder="1" applyAlignment="1">
      <alignment horizontal="center"/>
    </xf>
    <xf numFmtId="0" fontId="17" fillId="0" borderId="11" xfId="19" applyFont="1" applyBorder="1" applyAlignment="1">
      <alignment horizontal="center"/>
    </xf>
    <xf numFmtId="164" fontId="17" fillId="0" borderId="2" xfId="17" applyFont="1" applyFill="1" applyBorder="1" applyAlignment="1">
      <alignment horizontal="center" vertical="center"/>
    </xf>
    <xf numFmtId="164" fontId="17" fillId="0" borderId="12" xfId="17" applyFont="1" applyFill="1" applyBorder="1" applyAlignment="1">
      <alignment horizontal="center" vertical="center"/>
    </xf>
    <xf numFmtId="164" fontId="17" fillId="0" borderId="63" xfId="17" applyFont="1" applyFill="1" applyBorder="1" applyAlignment="1">
      <alignment horizontal="center" vertical="center"/>
    </xf>
    <xf numFmtId="164" fontId="17" fillId="0" borderId="11" xfId="17" applyFont="1" applyFill="1" applyBorder="1" applyAlignment="1">
      <alignment horizontal="center" vertical="center"/>
    </xf>
    <xf numFmtId="0" fontId="81" fillId="7" borderId="0" xfId="19" applyFont="1" applyFill="1" applyAlignment="1">
      <alignment horizontal="center"/>
    </xf>
    <xf numFmtId="43" fontId="17" fillId="0" borderId="10" xfId="17" applyNumberFormat="1" applyFont="1" applyFill="1" applyBorder="1" applyAlignment="1">
      <alignment horizontal="center"/>
    </xf>
    <xf numFmtId="9" fontId="17" fillId="0" borderId="2" xfId="26" applyFont="1" applyFill="1" applyBorder="1" applyAlignment="1">
      <alignment horizontal="center"/>
    </xf>
    <xf numFmtId="0" fontId="81" fillId="7" borderId="0" xfId="19" applyFont="1" applyFill="1"/>
    <xf numFmtId="0" fontId="17" fillId="0" borderId="0" xfId="19" applyFont="1" applyAlignment="1">
      <alignment horizontal="center"/>
    </xf>
    <xf numFmtId="0" fontId="17" fillId="0" borderId="0" xfId="19" applyFont="1"/>
    <xf numFmtId="43" fontId="10" fillId="0" borderId="12" xfId="10" applyFont="1" applyFill="1" applyBorder="1" applyAlignment="1">
      <alignment vertical="center"/>
    </xf>
    <xf numFmtId="0" fontId="10" fillId="0" borderId="10" xfId="19" applyFont="1" applyBorder="1"/>
    <xf numFmtId="164" fontId="10" fillId="0" borderId="16" xfId="12" applyFont="1" applyFill="1" applyBorder="1"/>
    <xf numFmtId="43" fontId="17" fillId="0" borderId="10" xfId="3" applyFont="1" applyFill="1" applyBorder="1"/>
    <xf numFmtId="9" fontId="17" fillId="0" borderId="2" xfId="26" applyFont="1" applyFill="1" applyBorder="1"/>
    <xf numFmtId="164" fontId="17" fillId="0" borderId="10" xfId="1" applyFont="1" applyFill="1" applyBorder="1"/>
    <xf numFmtId="164" fontId="76" fillId="2" borderId="21" xfId="1" applyFont="1" applyFill="1" applyBorder="1" applyAlignment="1">
      <alignment horizontal="center" vertical="center"/>
    </xf>
    <xf numFmtId="164" fontId="76" fillId="2" borderId="21" xfId="4" applyFont="1" applyFill="1" applyBorder="1" applyAlignment="1">
      <alignment horizontal="center" vertical="center"/>
    </xf>
    <xf numFmtId="9" fontId="76" fillId="2" borderId="27" xfId="26" applyFont="1" applyFill="1" applyBorder="1" applyAlignment="1">
      <alignment horizontal="center" vertical="center"/>
    </xf>
    <xf numFmtId="176" fontId="76" fillId="0" borderId="18" xfId="19" applyNumberFormat="1" applyFont="1" applyBorder="1" applyAlignment="1">
      <alignment horizontal="center"/>
    </xf>
    <xf numFmtId="164" fontId="10" fillId="0" borderId="18" xfId="1" applyFont="1" applyFill="1" applyBorder="1" applyAlignment="1">
      <alignment horizontal="center" vertical="center"/>
    </xf>
    <xf numFmtId="164" fontId="10" fillId="0" borderId="20" xfId="9" applyNumberFormat="1" applyFont="1" applyFill="1" applyBorder="1" applyAlignment="1">
      <alignment horizontal="center"/>
    </xf>
    <xf numFmtId="164" fontId="10" fillId="0" borderId="58" xfId="4" applyFont="1" applyFill="1" applyBorder="1" applyAlignment="1">
      <alignment horizontal="center" vertical="center"/>
    </xf>
    <xf numFmtId="164" fontId="10" fillId="0" borderId="19" xfId="4" applyFont="1" applyFill="1" applyBorder="1" applyAlignment="1">
      <alignment horizontal="center" vertical="center"/>
    </xf>
    <xf numFmtId="164" fontId="10" fillId="0" borderId="61" xfId="4" applyFont="1" applyFill="1" applyBorder="1" applyAlignment="1">
      <alignment horizontal="center" vertical="center"/>
    </xf>
    <xf numFmtId="164" fontId="10" fillId="0" borderId="18" xfId="9" applyNumberFormat="1" applyFont="1" applyFill="1" applyBorder="1" applyAlignment="1">
      <alignment horizontal="center" vertical="center"/>
    </xf>
    <xf numFmtId="9" fontId="10" fillId="0" borderId="1" xfId="26" applyFont="1" applyFill="1" applyBorder="1" applyAlignment="1">
      <alignment horizontal="center" vertical="center"/>
    </xf>
    <xf numFmtId="176" fontId="10" fillId="0" borderId="10" xfId="19" applyNumberFormat="1" applyFont="1" applyBorder="1" applyAlignment="1">
      <alignment horizontal="center" vertical="center"/>
    </xf>
    <xf numFmtId="0" fontId="17" fillId="0" borderId="2" xfId="19" applyFont="1" applyBorder="1" applyAlignment="1">
      <alignment vertical="center"/>
    </xf>
    <xf numFmtId="164" fontId="17" fillId="0" borderId="29" xfId="30" applyFont="1" applyFill="1" applyBorder="1" applyAlignment="1">
      <alignment horizontal="center" vertical="center"/>
    </xf>
    <xf numFmtId="164" fontId="17" fillId="0" borderId="19" xfId="30" applyFont="1" applyFill="1" applyBorder="1" applyAlignment="1">
      <alignment horizontal="center" vertical="center"/>
    </xf>
    <xf numFmtId="164" fontId="17" fillId="0" borderId="63" xfId="30" applyFont="1" applyFill="1" applyBorder="1" applyAlignment="1">
      <alignment horizontal="center" vertical="center"/>
    </xf>
    <xf numFmtId="164" fontId="17" fillId="0" borderId="20" xfId="30" applyFont="1" applyFill="1" applyBorder="1" applyAlignment="1">
      <alignment horizontal="center" vertical="center"/>
    </xf>
    <xf numFmtId="164" fontId="17" fillId="0" borderId="1" xfId="30" applyFont="1" applyFill="1" applyBorder="1" applyAlignment="1">
      <alignment horizontal="center" vertical="center"/>
    </xf>
    <xf numFmtId="164" fontId="17" fillId="0" borderId="10" xfId="30" applyFont="1" applyFill="1" applyBorder="1" applyAlignment="1">
      <alignment horizontal="center"/>
    </xf>
    <xf numFmtId="0" fontId="17" fillId="0" borderId="2" xfId="19" applyFont="1" applyBorder="1" applyAlignment="1">
      <alignment horizontal="left" vertical="center"/>
    </xf>
    <xf numFmtId="164" fontId="17" fillId="0" borderId="68" xfId="12" applyFont="1" applyFill="1" applyBorder="1"/>
    <xf numFmtId="164" fontId="17" fillId="0" borderId="63" xfId="12" applyFont="1" applyFill="1" applyBorder="1"/>
    <xf numFmtId="43" fontId="10" fillId="0" borderId="10" xfId="10" applyFont="1" applyFill="1" applyBorder="1" applyAlignment="1">
      <alignment vertical="center"/>
    </xf>
    <xf numFmtId="9" fontId="17" fillId="0" borderId="2" xfId="26" applyFont="1" applyFill="1" applyBorder="1" applyAlignment="1">
      <alignment horizontal="center" vertical="center"/>
    </xf>
    <xf numFmtId="164" fontId="17" fillId="0" borderId="10" xfId="1" applyFont="1" applyFill="1" applyBorder="1" applyAlignment="1">
      <alignment horizontal="center" vertical="center"/>
    </xf>
    <xf numFmtId="164" fontId="10" fillId="0" borderId="0" xfId="1" applyFont="1"/>
    <xf numFmtId="43" fontId="73" fillId="0" borderId="0" xfId="19" applyNumberFormat="1" applyFont="1"/>
    <xf numFmtId="176" fontId="88" fillId="0" borderId="28" xfId="19" applyNumberFormat="1" applyFont="1" applyBorder="1" applyAlignment="1">
      <alignment horizontal="center"/>
    </xf>
    <xf numFmtId="166" fontId="88" fillId="0" borderId="33" xfId="19" applyNumberFormat="1" applyFont="1" applyBorder="1" applyAlignment="1">
      <alignment vertical="center"/>
    </xf>
    <xf numFmtId="0" fontId="88" fillId="0" borderId="33" xfId="19" applyFont="1" applyBorder="1" applyAlignment="1">
      <alignment vertical="center"/>
    </xf>
    <xf numFmtId="164" fontId="17" fillId="0" borderId="28" xfId="1" applyFont="1" applyFill="1" applyBorder="1" applyAlignment="1">
      <alignment horizontal="center" vertical="center"/>
    </xf>
    <xf numFmtId="164" fontId="17" fillId="0" borderId="34" xfId="9" applyNumberFormat="1" applyFont="1" applyFill="1" applyBorder="1" applyAlignment="1">
      <alignment horizontal="center"/>
    </xf>
    <xf numFmtId="164" fontId="17" fillId="0" borderId="33" xfId="17" applyFont="1" applyFill="1" applyBorder="1" applyAlignment="1">
      <alignment horizontal="center" vertical="center"/>
    </xf>
    <xf numFmtId="164" fontId="17" fillId="0" borderId="60" xfId="17" applyFont="1" applyFill="1" applyBorder="1" applyAlignment="1">
      <alignment horizontal="center" vertical="center"/>
    </xf>
    <xf numFmtId="164" fontId="17" fillId="0" borderId="67" xfId="17" applyFont="1" applyFill="1" applyBorder="1" applyAlignment="1">
      <alignment horizontal="center" vertical="center"/>
    </xf>
    <xf numFmtId="164" fontId="17" fillId="0" borderId="34" xfId="17" applyFont="1" applyFill="1" applyBorder="1" applyAlignment="1">
      <alignment horizontal="center" vertical="center"/>
    </xf>
    <xf numFmtId="164" fontId="17" fillId="0" borderId="28" xfId="9" applyNumberFormat="1" applyFont="1" applyFill="1" applyBorder="1" applyAlignment="1">
      <alignment horizontal="center" vertical="center"/>
    </xf>
    <xf numFmtId="9" fontId="17" fillId="0" borderId="33" xfId="26" applyFont="1" applyFill="1" applyBorder="1" applyAlignment="1">
      <alignment horizontal="center" vertical="center"/>
    </xf>
    <xf numFmtId="176" fontId="17" fillId="0" borderId="10" xfId="19" applyNumberFormat="1" applyFont="1" applyBorder="1" applyAlignment="1">
      <alignment horizontal="center"/>
    </xf>
    <xf numFmtId="166" fontId="17" fillId="0" borderId="2" xfId="19" applyNumberFormat="1" applyFont="1" applyBorder="1" applyAlignment="1">
      <alignment vertical="center"/>
    </xf>
    <xf numFmtId="164" fontId="17" fillId="0" borderId="29" xfId="17" applyFont="1" applyFill="1" applyBorder="1" applyAlignment="1">
      <alignment horizontal="center" vertical="center"/>
    </xf>
    <xf numFmtId="43" fontId="17" fillId="0" borderId="12" xfId="10" applyFont="1" applyFill="1" applyBorder="1" applyAlignment="1">
      <alignment vertical="center"/>
    </xf>
    <xf numFmtId="43" fontId="17" fillId="0" borderId="11" xfId="10" applyFont="1" applyFill="1" applyBorder="1" applyAlignment="1">
      <alignment vertical="center"/>
    </xf>
    <xf numFmtId="176" fontId="86" fillId="0" borderId="10" xfId="19" applyNumberFormat="1" applyFont="1" applyBorder="1" applyAlignment="1">
      <alignment horizontal="center"/>
    </xf>
    <xf numFmtId="0" fontId="86" fillId="0" borderId="2" xfId="19" applyFont="1" applyBorder="1"/>
    <xf numFmtId="0" fontId="86" fillId="0" borderId="2" xfId="19" applyFont="1" applyBorder="1" applyAlignment="1">
      <alignment vertical="center"/>
    </xf>
    <xf numFmtId="164" fontId="86" fillId="0" borderId="10" xfId="1" applyFont="1" applyFill="1" applyBorder="1" applyAlignment="1">
      <alignment horizontal="center"/>
    </xf>
    <xf numFmtId="0" fontId="86" fillId="0" borderId="11" xfId="19" applyFont="1" applyBorder="1" applyAlignment="1">
      <alignment horizontal="center"/>
    </xf>
    <xf numFmtId="164" fontId="86" fillId="0" borderId="2" xfId="17" applyFont="1" applyFill="1" applyBorder="1" applyAlignment="1">
      <alignment horizontal="center" vertical="center"/>
    </xf>
    <xf numFmtId="43" fontId="86" fillId="0" borderId="12" xfId="10" applyFont="1" applyFill="1" applyBorder="1" applyAlignment="1">
      <alignment vertical="center"/>
    </xf>
    <xf numFmtId="164" fontId="86" fillId="0" borderId="63" xfId="17" applyFont="1" applyFill="1" applyBorder="1" applyAlignment="1">
      <alignment horizontal="center" vertical="center"/>
    </xf>
    <xf numFmtId="43" fontId="86" fillId="0" borderId="11" xfId="10" applyFont="1" applyFill="1" applyBorder="1" applyAlignment="1">
      <alignment vertical="center"/>
    </xf>
    <xf numFmtId="0" fontId="17" fillId="3" borderId="0" xfId="19" applyFont="1" applyFill="1" applyAlignment="1">
      <alignment horizontal="center"/>
    </xf>
    <xf numFmtId="43" fontId="86" fillId="0" borderId="10" xfId="17" applyNumberFormat="1" applyFont="1" applyFill="1" applyBorder="1" applyAlignment="1">
      <alignment horizontal="center"/>
    </xf>
    <xf numFmtId="9" fontId="86" fillId="0" borderId="2" xfId="26" applyFont="1" applyFill="1" applyBorder="1" applyAlignment="1">
      <alignment horizontal="center"/>
    </xf>
    <xf numFmtId="0" fontId="17" fillId="3" borderId="0" xfId="19" applyFont="1" applyFill="1"/>
    <xf numFmtId="0" fontId="86" fillId="0" borderId="2" xfId="19" applyFont="1" applyBorder="1" applyAlignment="1">
      <alignment horizontal="center"/>
    </xf>
    <xf numFmtId="164" fontId="86" fillId="0" borderId="12" xfId="17" applyFont="1" applyFill="1" applyBorder="1" applyAlignment="1">
      <alignment horizontal="center" vertical="center"/>
    </xf>
    <xf numFmtId="164" fontId="86" fillId="0" borderId="11" xfId="17" applyFont="1" applyFill="1" applyBorder="1" applyAlignment="1">
      <alignment horizontal="center" vertical="center"/>
    </xf>
    <xf numFmtId="166" fontId="86" fillId="0" borderId="2" xfId="19" applyNumberFormat="1" applyFont="1" applyBorder="1" applyAlignment="1">
      <alignment vertical="center"/>
    </xf>
    <xf numFmtId="0" fontId="86" fillId="0" borderId="2" xfId="19" applyFont="1" applyBorder="1" applyAlignment="1">
      <alignment horizontal="left"/>
    </xf>
    <xf numFmtId="0" fontId="86" fillId="7" borderId="0" xfId="19" applyFont="1" applyFill="1" applyAlignment="1">
      <alignment horizontal="center"/>
    </xf>
    <xf numFmtId="0" fontId="86" fillId="7" borderId="0" xfId="19" applyFont="1" applyFill="1"/>
    <xf numFmtId="0" fontId="90" fillId="7" borderId="0" xfId="19" applyFont="1" applyFill="1" applyAlignment="1">
      <alignment horizontal="left"/>
    </xf>
    <xf numFmtId="0" fontId="17" fillId="7" borderId="0" xfId="19" applyFont="1" applyFill="1" applyAlignment="1">
      <alignment horizontal="center"/>
    </xf>
    <xf numFmtId="0" fontId="17" fillId="7" borderId="0" xfId="19" applyFont="1" applyFill="1"/>
    <xf numFmtId="0" fontId="86" fillId="0" borderId="2" xfId="19" applyFont="1" applyBorder="1" applyAlignment="1">
      <alignment horizontal="left" vertical="center"/>
    </xf>
    <xf numFmtId="0" fontId="86" fillId="0" borderId="10" xfId="19" applyFont="1" applyBorder="1"/>
    <xf numFmtId="164" fontId="86" fillId="0" borderId="10" xfId="1" applyFont="1" applyFill="1" applyBorder="1"/>
    <xf numFmtId="0" fontId="12" fillId="0" borderId="0" xfId="19" applyFont="1"/>
    <xf numFmtId="166" fontId="91" fillId="0" borderId="2" xfId="19" applyNumberFormat="1" applyFont="1" applyBorder="1" applyAlignment="1">
      <alignment vertical="center"/>
    </xf>
    <xf numFmtId="0" fontId="86" fillId="8" borderId="0" xfId="19" applyFont="1" applyFill="1" applyAlignment="1">
      <alignment horizontal="center"/>
    </xf>
    <xf numFmtId="0" fontId="86" fillId="8" borderId="0" xfId="19" applyFont="1" applyFill="1"/>
    <xf numFmtId="176" fontId="86" fillId="0" borderId="36" xfId="19" applyNumberFormat="1" applyFont="1" applyBorder="1" applyAlignment="1">
      <alignment horizontal="center"/>
    </xf>
    <xf numFmtId="0" fontId="86" fillId="0" borderId="38" xfId="19" applyFont="1" applyBorder="1" applyAlignment="1">
      <alignment horizontal="center"/>
    </xf>
    <xf numFmtId="0" fontId="86" fillId="0" borderId="38" xfId="19" applyFont="1" applyBorder="1"/>
    <xf numFmtId="164" fontId="86" fillId="0" borderId="36" xfId="1" applyFont="1" applyFill="1" applyBorder="1" applyAlignment="1">
      <alignment horizontal="center"/>
    </xf>
    <xf numFmtId="0" fontId="86" fillId="0" borderId="39" xfId="19" applyFont="1" applyBorder="1" applyAlignment="1">
      <alignment horizontal="center"/>
    </xf>
    <xf numFmtId="164" fontId="86" fillId="0" borderId="38" xfId="17" applyFont="1" applyFill="1" applyBorder="1" applyAlignment="1">
      <alignment horizontal="center" vertical="center"/>
    </xf>
    <xf numFmtId="164" fontId="86" fillId="0" borderId="70" xfId="17" applyFont="1" applyFill="1" applyBorder="1" applyAlignment="1">
      <alignment horizontal="center" vertical="center"/>
    </xf>
    <xf numFmtId="164" fontId="86" fillId="0" borderId="71" xfId="17" applyFont="1" applyFill="1" applyBorder="1" applyAlignment="1">
      <alignment horizontal="center" vertical="center"/>
    </xf>
    <xf numFmtId="164" fontId="86" fillId="0" borderId="39" xfId="17" applyFont="1" applyFill="1" applyBorder="1" applyAlignment="1">
      <alignment horizontal="center" vertical="center"/>
    </xf>
    <xf numFmtId="43" fontId="86" fillId="0" borderId="36" xfId="17" applyNumberFormat="1" applyFont="1" applyFill="1" applyBorder="1" applyAlignment="1">
      <alignment horizontal="center"/>
    </xf>
    <xf numFmtId="164" fontId="81" fillId="2" borderId="21" xfId="1" applyFont="1" applyFill="1" applyBorder="1" applyAlignment="1">
      <alignment horizontal="center" vertical="center"/>
    </xf>
    <xf numFmtId="164" fontId="81" fillId="2" borderId="27" xfId="4" applyFont="1" applyFill="1" applyBorder="1" applyAlignment="1">
      <alignment horizontal="center" vertical="center"/>
    </xf>
    <xf numFmtId="164" fontId="81" fillId="2" borderId="57" xfId="4" applyFont="1" applyFill="1" applyBorder="1" applyAlignment="1">
      <alignment horizontal="center" vertical="center"/>
    </xf>
    <xf numFmtId="164" fontId="92" fillId="2" borderId="26" xfId="4" applyFont="1" applyFill="1" applyBorder="1" applyAlignment="1">
      <alignment horizontal="center" vertical="center"/>
    </xf>
    <xf numFmtId="164" fontId="92" fillId="2" borderId="66" xfId="4" applyFont="1" applyFill="1" applyBorder="1" applyAlignment="1">
      <alignment horizontal="center" vertical="center"/>
    </xf>
    <xf numFmtId="43" fontId="81" fillId="2" borderId="21" xfId="4" applyNumberFormat="1" applyFont="1" applyFill="1" applyBorder="1" applyAlignment="1">
      <alignment horizontal="center" vertical="center"/>
    </xf>
    <xf numFmtId="176" fontId="92" fillId="0" borderId="18" xfId="19" applyNumberFormat="1" applyFont="1" applyBorder="1" applyAlignment="1">
      <alignment horizontal="center"/>
    </xf>
    <xf numFmtId="164" fontId="81" fillId="0" borderId="18" xfId="1" applyFont="1" applyFill="1" applyBorder="1" applyAlignment="1">
      <alignment horizontal="center" vertical="center"/>
    </xf>
    <xf numFmtId="164" fontId="81" fillId="0" borderId="20" xfId="9" applyNumberFormat="1" applyFont="1" applyFill="1" applyBorder="1" applyAlignment="1">
      <alignment horizontal="center"/>
    </xf>
    <xf numFmtId="164" fontId="81" fillId="0" borderId="58" xfId="4" applyFont="1" applyFill="1" applyBorder="1" applyAlignment="1">
      <alignment horizontal="center" vertical="center"/>
    </xf>
    <xf numFmtId="164" fontId="81" fillId="0" borderId="19" xfId="4" applyFont="1" applyFill="1" applyBorder="1" applyAlignment="1">
      <alignment horizontal="center" vertical="center"/>
    </xf>
    <xf numFmtId="164" fontId="81" fillId="0" borderId="61" xfId="4" applyFont="1" applyFill="1" applyBorder="1" applyAlignment="1">
      <alignment horizontal="center" vertical="center"/>
    </xf>
    <xf numFmtId="43" fontId="81" fillId="0" borderId="18" xfId="9" applyFont="1" applyFill="1" applyBorder="1" applyAlignment="1">
      <alignment horizontal="center" vertical="center"/>
    </xf>
    <xf numFmtId="176" fontId="92" fillId="0" borderId="10" xfId="19" applyNumberFormat="1" applyFont="1" applyBorder="1" applyAlignment="1">
      <alignment horizontal="right" vertical="center"/>
    </xf>
    <xf numFmtId="0" fontId="81" fillId="0" borderId="2" xfId="19" applyFont="1" applyBorder="1" applyAlignment="1">
      <alignment vertical="center"/>
    </xf>
    <xf numFmtId="164" fontId="81" fillId="0" borderId="10" xfId="1" applyFont="1" applyFill="1" applyBorder="1" applyAlignment="1">
      <alignment horizontal="center"/>
    </xf>
    <xf numFmtId="0" fontId="81" fillId="0" borderId="11" xfId="19" applyFont="1" applyBorder="1" applyAlignment="1">
      <alignment horizontal="center"/>
    </xf>
    <xf numFmtId="164" fontId="81" fillId="0" borderId="63" xfId="4" applyFont="1" applyFill="1" applyBorder="1" applyAlignment="1">
      <alignment horizontal="center" vertical="center"/>
    </xf>
    <xf numFmtId="43" fontId="81" fillId="0" borderId="12" xfId="10" applyFont="1" applyFill="1" applyBorder="1" applyAlignment="1">
      <alignment vertical="center"/>
    </xf>
    <xf numFmtId="43" fontId="81" fillId="0" borderId="10" xfId="4" applyNumberFormat="1" applyFont="1" applyFill="1" applyBorder="1" applyAlignment="1">
      <alignment horizontal="center"/>
    </xf>
    <xf numFmtId="176" fontId="92" fillId="0" borderId="28" xfId="19" applyNumberFormat="1" applyFont="1" applyBorder="1" applyAlignment="1">
      <alignment horizontal="center"/>
    </xf>
    <xf numFmtId="166" fontId="92" fillId="0" borderId="33" xfId="19" applyNumberFormat="1" applyFont="1" applyBorder="1" applyAlignment="1">
      <alignment vertical="center"/>
    </xf>
    <xf numFmtId="0" fontId="92" fillId="0" borderId="33" xfId="19" applyFont="1" applyBorder="1" applyAlignment="1">
      <alignment vertical="center"/>
    </xf>
    <xf numFmtId="164" fontId="81" fillId="0" borderId="28" xfId="1" applyFont="1" applyFill="1" applyBorder="1" applyAlignment="1">
      <alignment horizontal="center" vertical="center"/>
    </xf>
    <xf numFmtId="164" fontId="81" fillId="0" borderId="34" xfId="9" applyNumberFormat="1" applyFont="1" applyFill="1" applyBorder="1" applyAlignment="1">
      <alignment horizontal="center"/>
    </xf>
    <xf numFmtId="164" fontId="81" fillId="0" borderId="67" xfId="4" applyFont="1" applyFill="1" applyBorder="1" applyAlignment="1">
      <alignment horizontal="center" vertical="center"/>
    </xf>
    <xf numFmtId="164" fontId="81" fillId="0" borderId="60" xfId="4" applyFont="1" applyFill="1" applyBorder="1" applyAlignment="1">
      <alignment horizontal="center" vertical="center"/>
    </xf>
    <xf numFmtId="164" fontId="81" fillId="0" borderId="59" xfId="4" applyFont="1" applyFill="1" applyBorder="1" applyAlignment="1">
      <alignment horizontal="center" vertical="center"/>
    </xf>
    <xf numFmtId="43" fontId="81" fillId="0" borderId="28" xfId="9" applyFont="1" applyFill="1" applyBorder="1" applyAlignment="1">
      <alignment horizontal="center" vertical="center"/>
    </xf>
    <xf numFmtId="0" fontId="91" fillId="0" borderId="2" xfId="19" applyFont="1" applyBorder="1" applyAlignment="1">
      <alignment vertical="center"/>
    </xf>
    <xf numFmtId="164" fontId="81" fillId="0" borderId="62" xfId="4" applyFont="1" applyFill="1" applyBorder="1" applyAlignment="1">
      <alignment horizontal="center" vertical="center"/>
    </xf>
    <xf numFmtId="164" fontId="81" fillId="0" borderId="12" xfId="4" applyFont="1" applyFill="1" applyBorder="1" applyAlignment="1">
      <alignment horizontal="center" vertical="center"/>
    </xf>
    <xf numFmtId="176" fontId="86" fillId="0" borderId="10" xfId="19" applyNumberFormat="1" applyFont="1" applyBorder="1" applyAlignment="1">
      <alignment horizontal="center" vertical="center"/>
    </xf>
    <xf numFmtId="164" fontId="81" fillId="0" borderId="62" xfId="17" applyFont="1" applyFill="1" applyBorder="1" applyAlignment="1">
      <alignment horizontal="center" vertical="center"/>
    </xf>
    <xf numFmtId="164" fontId="81" fillId="0" borderId="12" xfId="17" applyFont="1" applyFill="1" applyBorder="1" applyAlignment="1">
      <alignment horizontal="center" vertical="center"/>
    </xf>
    <xf numFmtId="164" fontId="81" fillId="0" borderId="63" xfId="17" applyFont="1" applyFill="1" applyBorder="1" applyAlignment="1">
      <alignment horizontal="center" vertical="center"/>
    </xf>
    <xf numFmtId="43" fontId="81" fillId="0" borderId="10" xfId="17" applyNumberFormat="1" applyFont="1" applyFill="1" applyBorder="1" applyAlignment="1">
      <alignment horizontal="center"/>
    </xf>
    <xf numFmtId="43" fontId="10" fillId="2" borderId="21" xfId="4" applyNumberFormat="1" applyFont="1" applyFill="1" applyBorder="1" applyAlignment="1">
      <alignment horizontal="center" vertical="center"/>
    </xf>
    <xf numFmtId="43" fontId="10" fillId="0" borderId="28" xfId="9" applyFont="1" applyFill="1" applyBorder="1" applyAlignment="1">
      <alignment horizontal="center" vertical="center"/>
    </xf>
    <xf numFmtId="164" fontId="17" fillId="0" borderId="2" xfId="30" applyFont="1" applyFill="1" applyBorder="1" applyAlignment="1">
      <alignment horizontal="center" vertical="center"/>
    </xf>
    <xf numFmtId="164" fontId="17" fillId="0" borderId="12" xfId="30" applyFont="1" applyFill="1" applyBorder="1" applyAlignment="1">
      <alignment horizontal="center" vertical="center"/>
    </xf>
    <xf numFmtId="164" fontId="17" fillId="0" borderId="11" xfId="30" applyFont="1" applyFill="1" applyBorder="1" applyAlignment="1">
      <alignment horizontal="center" vertical="center"/>
    </xf>
    <xf numFmtId="176" fontId="17" fillId="0" borderId="10" xfId="19" applyNumberFormat="1" applyFont="1" applyBorder="1" applyAlignment="1">
      <alignment horizontal="right" vertical="center"/>
    </xf>
    <xf numFmtId="0" fontId="17" fillId="0" borderId="2" xfId="19" applyFont="1" applyBorder="1"/>
    <xf numFmtId="43" fontId="17" fillId="0" borderId="10" xfId="30" applyNumberFormat="1" applyFont="1" applyFill="1" applyBorder="1" applyAlignment="1">
      <alignment horizontal="center"/>
    </xf>
    <xf numFmtId="164" fontId="17" fillId="0" borderId="63" xfId="1" applyFont="1" applyFill="1" applyBorder="1" applyAlignment="1">
      <alignment horizontal="center" vertical="center"/>
    </xf>
    <xf numFmtId="164" fontId="17" fillId="0" borderId="19" xfId="1" applyFont="1" applyFill="1" applyBorder="1" applyAlignment="1">
      <alignment horizontal="center" vertical="center"/>
    </xf>
    <xf numFmtId="164" fontId="17" fillId="0" borderId="16" xfId="12" applyFont="1" applyFill="1" applyBorder="1"/>
    <xf numFmtId="177" fontId="88" fillId="0" borderId="18" xfId="19" applyNumberFormat="1" applyFont="1" applyBorder="1" applyAlignment="1">
      <alignment horizontal="center"/>
    </xf>
    <xf numFmtId="166" fontId="88" fillId="0" borderId="1" xfId="19" applyNumberFormat="1" applyFont="1" applyBorder="1" applyAlignment="1">
      <alignment vertical="center"/>
    </xf>
    <xf numFmtId="0" fontId="88" fillId="0" borderId="1" xfId="19" applyFont="1" applyBorder="1" applyAlignment="1">
      <alignment vertical="center"/>
    </xf>
    <xf numFmtId="164" fontId="17" fillId="0" borderId="18" xfId="1" applyFont="1" applyFill="1" applyBorder="1" applyAlignment="1">
      <alignment horizontal="center" vertical="center"/>
    </xf>
    <xf numFmtId="164" fontId="17" fillId="0" borderId="20" xfId="9" applyNumberFormat="1" applyFont="1" applyFill="1" applyBorder="1" applyAlignment="1">
      <alignment horizontal="center"/>
    </xf>
    <xf numFmtId="164" fontId="17" fillId="0" borderId="58" xfId="30" applyFont="1" applyFill="1" applyBorder="1" applyAlignment="1">
      <alignment horizontal="center" vertical="center"/>
    </xf>
    <xf numFmtId="43" fontId="17" fillId="0" borderId="18" xfId="9" applyFont="1" applyFill="1" applyBorder="1" applyAlignment="1">
      <alignment horizontal="center" vertical="center"/>
    </xf>
    <xf numFmtId="9" fontId="17" fillId="0" borderId="1" xfId="26" applyFont="1" applyFill="1" applyBorder="1" applyAlignment="1">
      <alignment horizontal="center" vertical="center"/>
    </xf>
    <xf numFmtId="176" fontId="88" fillId="0" borderId="10" xfId="19" applyNumberFormat="1" applyFont="1" applyBorder="1" applyAlignment="1">
      <alignment horizontal="right" vertical="center"/>
    </xf>
    <xf numFmtId="0" fontId="17" fillId="0" borderId="2" xfId="19" applyFont="1" applyBorder="1" applyAlignment="1">
      <alignment horizontal="center"/>
    </xf>
    <xf numFmtId="164" fontId="17" fillId="0" borderId="61" xfId="30" applyFont="1" applyFill="1" applyBorder="1" applyAlignment="1">
      <alignment horizontal="center" vertical="center"/>
    </xf>
    <xf numFmtId="164" fontId="17" fillId="2" borderId="21" xfId="4" applyFont="1" applyFill="1" applyBorder="1" applyAlignment="1">
      <alignment horizontal="center" vertical="center"/>
    </xf>
    <xf numFmtId="164" fontId="17" fillId="2" borderId="21" xfId="1" applyFont="1" applyFill="1" applyBorder="1" applyAlignment="1">
      <alignment horizontal="center" vertical="center"/>
    </xf>
    <xf numFmtId="164" fontId="17" fillId="2" borderId="27" xfId="4" applyFont="1" applyFill="1" applyBorder="1" applyAlignment="1">
      <alignment horizontal="center" vertical="center"/>
    </xf>
    <xf numFmtId="164" fontId="17" fillId="2" borderId="9" xfId="4" applyFont="1" applyFill="1" applyBorder="1" applyAlignment="1">
      <alignment horizontal="center" vertical="center"/>
    </xf>
    <xf numFmtId="164" fontId="88" fillId="2" borderId="21" xfId="4" applyFont="1" applyFill="1" applyBorder="1" applyAlignment="1">
      <alignment horizontal="center" vertical="center"/>
    </xf>
    <xf numFmtId="43" fontId="17" fillId="2" borderId="21" xfId="4" applyNumberFormat="1" applyFont="1" applyFill="1" applyBorder="1" applyAlignment="1">
      <alignment horizontal="center" vertical="center"/>
    </xf>
    <xf numFmtId="9" fontId="17" fillId="2" borderId="27" xfId="26" applyFont="1" applyFill="1" applyBorder="1" applyAlignment="1">
      <alignment horizontal="center" vertical="center"/>
    </xf>
    <xf numFmtId="0" fontId="43" fillId="0" borderId="6" xfId="19" applyFont="1" applyBorder="1" applyAlignment="1">
      <alignment horizontal="center"/>
    </xf>
    <xf numFmtId="164" fontId="43" fillId="0" borderId="13" xfId="1" applyFont="1" applyBorder="1"/>
    <xf numFmtId="0" fontId="78" fillId="0" borderId="0" xfId="19" applyFont="1"/>
    <xf numFmtId="0" fontId="43" fillId="0" borderId="13" xfId="19" applyFont="1" applyBorder="1"/>
    <xf numFmtId="9" fontId="43" fillId="0" borderId="0" xfId="26" applyFont="1"/>
    <xf numFmtId="0" fontId="43" fillId="0" borderId="0" xfId="19" applyFont="1" applyAlignment="1">
      <alignment horizontal="center"/>
    </xf>
    <xf numFmtId="0" fontId="23" fillId="0" borderId="2" xfId="34" applyNumberFormat="1" applyFont="1" applyBorder="1" applyAlignment="1">
      <alignment horizontal="left" vertical="top"/>
    </xf>
    <xf numFmtId="0" fontId="23" fillId="0" borderId="2" xfId="34" applyNumberFormat="1" applyFont="1" applyBorder="1" applyAlignment="1">
      <alignment horizontal="center" vertical="top"/>
    </xf>
    <xf numFmtId="0" fontId="23" fillId="0" borderId="2" xfId="34" applyNumberFormat="1" applyFont="1" applyBorder="1" applyAlignment="1">
      <alignment vertical="top"/>
    </xf>
    <xf numFmtId="0" fontId="23" fillId="0" borderId="0" xfId="34" applyNumberFormat="1" applyFont="1" applyBorder="1" applyAlignment="1">
      <alignment horizontal="left" vertical="top"/>
    </xf>
    <xf numFmtId="0" fontId="23" fillId="0" borderId="0" xfId="34" applyNumberFormat="1" applyFont="1" applyBorder="1" applyAlignment="1">
      <alignment horizontal="center" vertical="top"/>
    </xf>
    <xf numFmtId="0" fontId="23" fillId="0" borderId="0" xfId="34" applyNumberFormat="1" applyFont="1" applyBorder="1" applyAlignment="1">
      <alignment vertical="top"/>
    </xf>
    <xf numFmtId="3" fontId="24" fillId="0" borderId="3" xfId="35" applyNumberFormat="1" applyFont="1" applyBorder="1" applyAlignment="1">
      <alignment horizontal="right"/>
    </xf>
    <xf numFmtId="0" fontId="23" fillId="0" borderId="0" xfId="35" applyFont="1" applyAlignment="1">
      <alignment vertical="center"/>
    </xf>
    <xf numFmtId="0" fontId="23" fillId="0" borderId="0" xfId="35" applyFont="1" applyAlignment="1">
      <alignment horizontal="center" vertical="center"/>
    </xf>
    <xf numFmtId="49" fontId="23" fillId="0" borderId="0" xfId="35" applyNumberFormat="1" applyFont="1" applyAlignment="1">
      <alignment vertical="center"/>
    </xf>
    <xf numFmtId="0" fontId="37" fillId="0" borderId="0" xfId="35" applyFont="1" applyAlignment="1">
      <alignment vertical="center"/>
    </xf>
    <xf numFmtId="3" fontId="23" fillId="0" borderId="0" xfId="35" applyNumberFormat="1" applyFont="1" applyAlignment="1">
      <alignment horizontal="center" vertical="center"/>
    </xf>
    <xf numFmtId="0" fontId="26" fillId="0" borderId="10" xfId="35" applyFont="1" applyBorder="1" applyAlignment="1">
      <alignment horizontal="center" vertical="center"/>
    </xf>
    <xf numFmtId="164" fontId="26" fillId="0" borderId="10" xfId="34" applyFont="1" applyBorder="1" applyAlignment="1">
      <alignment horizontal="center" vertical="center"/>
    </xf>
    <xf numFmtId="0" fontId="35" fillId="0" borderId="18" xfId="35" quotePrefix="1" applyFont="1" applyBorder="1" applyAlignment="1">
      <alignment horizontal="center" vertical="center"/>
    </xf>
    <xf numFmtId="164" fontId="35" fillId="0" borderId="10" xfId="34" applyFont="1" applyBorder="1" applyAlignment="1">
      <alignment vertical="center"/>
    </xf>
    <xf numFmtId="0" fontId="26" fillId="0" borderId="18" xfId="35" applyFont="1" applyBorder="1" applyAlignment="1">
      <alignment horizontal="center" vertical="center"/>
    </xf>
    <xf numFmtId="164" fontId="26" fillId="0" borderId="10" xfId="34" applyFont="1" applyBorder="1" applyAlignment="1">
      <alignment vertical="center"/>
    </xf>
    <xf numFmtId="0" fontId="26" fillId="0" borderId="18" xfId="35" applyFont="1" applyBorder="1" applyAlignment="1">
      <alignment horizontal="right" vertical="center"/>
    </xf>
    <xf numFmtId="0" fontId="35" fillId="0" borderId="18" xfId="35" applyFont="1" applyBorder="1" applyAlignment="1">
      <alignment horizontal="center" vertical="center"/>
    </xf>
    <xf numFmtId="164" fontId="35" fillId="0" borderId="10" xfId="34" applyFont="1" applyBorder="1" applyAlignment="1">
      <alignment horizontal="center" vertical="center"/>
    </xf>
    <xf numFmtId="0" fontId="26" fillId="0" borderId="47" xfId="35" applyFont="1" applyBorder="1" applyAlignment="1">
      <alignment horizontal="center" vertical="center"/>
    </xf>
    <xf numFmtId="164" fontId="40" fillId="0" borderId="47" xfId="34" applyFont="1" applyBorder="1" applyAlignment="1">
      <alignment vertical="center"/>
    </xf>
    <xf numFmtId="0" fontId="31" fillId="0" borderId="0" xfId="35" applyFont="1" applyAlignment="1">
      <alignment horizontal="center" vertical="center"/>
    </xf>
    <xf numFmtId="0" fontId="31" fillId="0" borderId="0" xfId="35" applyFont="1" applyAlignment="1">
      <alignment vertical="center"/>
    </xf>
    <xf numFmtId="0" fontId="31" fillId="0" borderId="0" xfId="35" applyFont="1" applyAlignment="1">
      <alignment horizontal="right" vertical="center"/>
    </xf>
    <xf numFmtId="164" fontId="28" fillId="0" borderId="47" xfId="34" applyFont="1" applyBorder="1" applyAlignment="1">
      <alignment vertical="center"/>
    </xf>
    <xf numFmtId="0" fontId="29" fillId="0" borderId="0" xfId="35" applyFont="1" applyAlignment="1">
      <alignment horizontal="center" vertical="center"/>
    </xf>
    <xf numFmtId="0" fontId="35" fillId="0" borderId="0" xfId="35" applyFont="1" applyAlignment="1">
      <alignment vertical="center"/>
    </xf>
    <xf numFmtId="0" fontId="41" fillId="0" borderId="0" xfId="35" applyFont="1" applyAlignment="1">
      <alignment horizontal="center" vertical="center"/>
    </xf>
    <xf numFmtId="9" fontId="35" fillId="0" borderId="0" xfId="36" applyFont="1" applyBorder="1" applyAlignment="1">
      <alignment horizontal="center" vertical="center"/>
    </xf>
    <xf numFmtId="0" fontId="12" fillId="0" borderId="0" xfId="35" applyFont="1" applyAlignment="1">
      <alignment vertical="center"/>
    </xf>
    <xf numFmtId="0" fontId="12" fillId="0" borderId="0" xfId="35" applyFont="1" applyAlignment="1">
      <alignment horizontal="center" vertical="center"/>
    </xf>
    <xf numFmtId="0" fontId="51" fillId="0" borderId="38" xfId="1" applyNumberFormat="1" applyFont="1" applyBorder="1" applyAlignment="1">
      <alignment horizontal="left" vertical="center"/>
    </xf>
    <xf numFmtId="43" fontId="11" fillId="0" borderId="0" xfId="0" applyNumberFormat="1" applyFont="1"/>
    <xf numFmtId="164" fontId="47" fillId="0" borderId="0" xfId="0" applyNumberFormat="1" applyFont="1" applyAlignment="1">
      <alignment vertical="center"/>
    </xf>
    <xf numFmtId="0" fontId="31" fillId="0" borderId="0" xfId="20" applyFont="1" applyAlignment="1">
      <alignment horizontal="right" vertical="center"/>
    </xf>
    <xf numFmtId="164" fontId="47" fillId="0" borderId="0" xfId="1" applyFont="1" applyAlignment="1">
      <alignment vertical="center"/>
    </xf>
    <xf numFmtId="43" fontId="47" fillId="0" borderId="0" xfId="0" applyNumberFormat="1" applyFont="1" applyAlignment="1">
      <alignment vertical="center"/>
    </xf>
    <xf numFmtId="164" fontId="70" fillId="0" borderId="0" xfId="1" applyFont="1" applyBorder="1" applyAlignment="1">
      <alignment vertical="center"/>
    </xf>
    <xf numFmtId="0" fontId="17" fillId="0" borderId="11" xfId="19" applyFont="1" applyBorder="1" applyAlignment="1">
      <alignment horizontal="center" vertical="center"/>
    </xf>
    <xf numFmtId="164" fontId="22" fillId="0" borderId="4" xfId="1" applyFont="1" applyFill="1" applyBorder="1" applyAlignment="1">
      <alignment horizontal="center" vertical="center"/>
    </xf>
    <xf numFmtId="164" fontId="22" fillId="0" borderId="22" xfId="1" applyFont="1" applyFill="1" applyBorder="1" applyAlignment="1">
      <alignment horizontal="center" vertical="center"/>
    </xf>
    <xf numFmtId="0" fontId="43" fillId="0" borderId="0" xfId="19" applyFont="1" applyAlignment="1">
      <alignment vertical="center"/>
    </xf>
    <xf numFmtId="178" fontId="10" fillId="4" borderId="18" xfId="4" applyNumberFormat="1" applyFont="1" applyFill="1" applyBorder="1" applyAlignment="1">
      <alignment horizontal="right" vertical="center"/>
    </xf>
    <xf numFmtId="164" fontId="10" fillId="0" borderId="68" xfId="4" applyFont="1" applyFill="1" applyBorder="1" applyAlignment="1">
      <alignment horizontal="center" vertical="center"/>
    </xf>
    <xf numFmtId="165" fontId="82" fillId="0" borderId="63" xfId="3" applyNumberFormat="1" applyFont="1" applyFill="1" applyBorder="1" applyAlignment="1">
      <alignment horizontal="centerContinuous"/>
    </xf>
    <xf numFmtId="164" fontId="82" fillId="0" borderId="12" xfId="4" applyFont="1" applyFill="1" applyBorder="1" applyAlignment="1">
      <alignment horizontal="centerContinuous" vertical="center"/>
    </xf>
    <xf numFmtId="164" fontId="82" fillId="0" borderId="63" xfId="4" applyFont="1" applyFill="1" applyBorder="1" applyAlignment="1">
      <alignment horizontal="centerContinuous" vertical="center"/>
    </xf>
    <xf numFmtId="164" fontId="82" fillId="0" borderId="11" xfId="4" applyFont="1" applyFill="1" applyBorder="1" applyAlignment="1">
      <alignment horizontal="centerContinuous" vertical="center"/>
    </xf>
    <xf numFmtId="164" fontId="0" fillId="0" borderId="10" xfId="1" applyFont="1" applyFill="1" applyBorder="1" applyAlignment="1">
      <alignment horizontal="center" vertical="center"/>
    </xf>
    <xf numFmtId="43" fontId="10" fillId="0" borderId="36" xfId="4" applyNumberFormat="1" applyFont="1" applyFill="1" applyBorder="1" applyAlignment="1">
      <alignment horizontal="center"/>
    </xf>
    <xf numFmtId="0" fontId="10" fillId="0" borderId="38" xfId="19" applyFont="1" applyBorder="1" applyAlignment="1">
      <alignment horizontal="left"/>
    </xf>
    <xf numFmtId="0" fontId="17" fillId="0" borderId="2" xfId="13" applyFont="1" applyBorder="1" applyAlignment="1">
      <alignment vertical="center"/>
    </xf>
    <xf numFmtId="164" fontId="10" fillId="0" borderId="0" xfId="19" applyNumberFormat="1" applyFont="1"/>
    <xf numFmtId="0" fontId="82" fillId="0" borderId="0" xfId="19" applyFont="1"/>
    <xf numFmtId="0" fontId="0" fillId="0" borderId="2" xfId="19" applyFont="1" applyBorder="1" applyAlignment="1">
      <alignment horizontal="left" vertical="center"/>
    </xf>
    <xf numFmtId="0" fontId="0" fillId="0" borderId="0" xfId="19" applyFont="1"/>
    <xf numFmtId="176" fontId="92" fillId="0" borderId="10" xfId="19" applyNumberFormat="1" applyFont="1" applyBorder="1" applyAlignment="1">
      <alignment horizontal="center" vertical="center"/>
    </xf>
    <xf numFmtId="0" fontId="17" fillId="0" borderId="33" xfId="19" applyFont="1" applyBorder="1" applyAlignment="1">
      <alignment horizontal="center" vertical="center"/>
    </xf>
    <xf numFmtId="0" fontId="17" fillId="0" borderId="2" xfId="19" applyFont="1" applyBorder="1" applyAlignment="1">
      <alignment vertical="center" wrapText="1"/>
    </xf>
    <xf numFmtId="0" fontId="86" fillId="0" borderId="2" xfId="19" applyFont="1" applyBorder="1" applyAlignment="1">
      <alignment vertical="center" wrapText="1"/>
    </xf>
    <xf numFmtId="0" fontId="81" fillId="0" borderId="33" xfId="19" applyFont="1" applyBorder="1" applyAlignment="1">
      <alignment horizontal="center" vertical="center"/>
    </xf>
    <xf numFmtId="9" fontId="86" fillId="0" borderId="1" xfId="26" applyFont="1" applyFill="1" applyBorder="1" applyAlignment="1">
      <alignment horizontal="center"/>
    </xf>
    <xf numFmtId="177" fontId="76" fillId="0" borderId="28" xfId="19" applyNumberFormat="1" applyFont="1" applyBorder="1" applyAlignment="1">
      <alignment horizontal="center"/>
    </xf>
    <xf numFmtId="164" fontId="17" fillId="0" borderId="2" xfId="39" applyFont="1" applyFill="1" applyBorder="1"/>
    <xf numFmtId="164" fontId="17" fillId="0" borderId="16" xfId="39" applyFont="1" applyFill="1" applyBorder="1"/>
    <xf numFmtId="43" fontId="43" fillId="0" borderId="0" xfId="19" applyNumberFormat="1" applyFont="1"/>
    <xf numFmtId="0" fontId="17" fillId="0" borderId="1" xfId="19" applyFont="1" applyBorder="1" applyAlignment="1">
      <alignment horizontal="center" vertical="center"/>
    </xf>
    <xf numFmtId="0" fontId="17" fillId="0" borderId="2" xfId="19" applyFont="1" applyBorder="1" applyAlignment="1">
      <alignment horizontal="center" vertical="center"/>
    </xf>
    <xf numFmtId="0" fontId="17" fillId="0" borderId="2" xfId="13" applyFont="1" applyBorder="1" applyAlignment="1">
      <alignment vertical="center" wrapText="1"/>
    </xf>
    <xf numFmtId="0" fontId="12" fillId="0" borderId="0" xfId="19" applyFont="1" applyAlignment="1">
      <alignment vertical="center"/>
    </xf>
    <xf numFmtId="43" fontId="17" fillId="0" borderId="10" xfId="30" applyNumberFormat="1" applyFont="1" applyFill="1" applyBorder="1" applyAlignment="1">
      <alignment horizontal="center" vertical="center"/>
    </xf>
    <xf numFmtId="0" fontId="94" fillId="0" borderId="18" xfId="0" quotePrefix="1" applyFont="1" applyBorder="1" applyAlignment="1">
      <alignment horizontal="center" vertical="center" wrapText="1"/>
    </xf>
    <xf numFmtId="0" fontId="94" fillId="0" borderId="1" xfId="0" applyFont="1" applyBorder="1"/>
    <xf numFmtId="0" fontId="94" fillId="0" borderId="1" xfId="0" applyFont="1" applyBorder="1" applyAlignment="1">
      <alignment horizontal="left" vertical="center"/>
    </xf>
    <xf numFmtId="165" fontId="28" fillId="0" borderId="1" xfId="3" applyNumberFormat="1" applyFont="1" applyFill="1" applyBorder="1" applyAlignment="1">
      <alignment horizontal="center"/>
    </xf>
    <xf numFmtId="0" fontId="33" fillId="0" borderId="10" xfId="0" quotePrefix="1" applyFont="1" applyBorder="1" applyAlignment="1">
      <alignment horizontal="center" vertical="center"/>
    </xf>
    <xf numFmtId="166" fontId="33" fillId="0" borderId="2" xfId="0" applyNumberFormat="1" applyFont="1" applyBorder="1" applyAlignment="1">
      <alignment horizontal="left" vertical="center"/>
    </xf>
    <xf numFmtId="0" fontId="33" fillId="0" borderId="2" xfId="0" applyFont="1" applyBorder="1"/>
    <xf numFmtId="0" fontId="33" fillId="0" borderId="11" xfId="0" applyFont="1" applyBorder="1" applyAlignment="1">
      <alignment horizontal="center" vertical="center"/>
    </xf>
    <xf numFmtId="0" fontId="33" fillId="0" borderId="10" xfId="0" applyFont="1" applyBorder="1" applyAlignment="1">
      <alignment horizontal="right" vertical="center"/>
    </xf>
    <xf numFmtId="0" fontId="33" fillId="0" borderId="10" xfId="0" applyFont="1" applyBorder="1" applyAlignment="1">
      <alignment horizontal="center" vertical="center"/>
    </xf>
    <xf numFmtId="165" fontId="33" fillId="0" borderId="2" xfId="3" applyNumberFormat="1" applyFont="1" applyFill="1" applyBorder="1" applyAlignment="1">
      <alignment horizontal="center"/>
    </xf>
    <xf numFmtId="164" fontId="33" fillId="0" borderId="12" xfId="1" applyFont="1" applyFill="1" applyBorder="1" applyAlignment="1">
      <alignment horizontal="center" vertical="center"/>
    </xf>
    <xf numFmtId="164" fontId="33" fillId="0" borderId="2" xfId="1" applyFont="1" applyFill="1" applyBorder="1" applyAlignment="1">
      <alignment horizontal="center" vertical="center"/>
    </xf>
    <xf numFmtId="164" fontId="34" fillId="0" borderId="11" xfId="1" applyFont="1" applyFill="1" applyBorder="1" applyAlignment="1">
      <alignment horizontal="left" vertical="center"/>
    </xf>
    <xf numFmtId="0" fontId="33" fillId="0" borderId="0" xfId="0" applyFont="1"/>
    <xf numFmtId="165" fontId="33" fillId="0" borderId="2" xfId="3" applyNumberFormat="1" applyFont="1" applyFill="1" applyBorder="1" applyAlignment="1">
      <alignment horizontal="centerContinuous"/>
    </xf>
    <xf numFmtId="169" fontId="33" fillId="0" borderId="10" xfId="0" quotePrefix="1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164" fontId="33" fillId="0" borderId="11" xfId="1" applyFont="1" applyFill="1" applyBorder="1" applyAlignment="1">
      <alignment horizontal="center" vertical="center"/>
    </xf>
    <xf numFmtId="2" fontId="33" fillId="0" borderId="10" xfId="0" applyNumberFormat="1" applyFont="1" applyBorder="1" applyAlignment="1">
      <alignment horizontal="right" vertical="center"/>
    </xf>
    <xf numFmtId="43" fontId="33" fillId="0" borderId="0" xfId="0" applyNumberFormat="1" applyFont="1"/>
    <xf numFmtId="2" fontId="34" fillId="0" borderId="13" xfId="0" applyNumberFormat="1" applyFont="1" applyBorder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33" fillId="0" borderId="14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65" fontId="33" fillId="0" borderId="0" xfId="3" applyNumberFormat="1" applyFont="1" applyFill="1" applyBorder="1" applyAlignment="1">
      <alignment horizontal="centerContinuous"/>
    </xf>
    <xf numFmtId="164" fontId="33" fillId="0" borderId="15" xfId="1" applyFont="1" applyFill="1" applyBorder="1" applyAlignment="1">
      <alignment vertical="center"/>
    </xf>
    <xf numFmtId="164" fontId="33" fillId="0" borderId="0" xfId="1" applyFont="1" applyFill="1" applyBorder="1" applyAlignment="1">
      <alignment vertical="center"/>
    </xf>
    <xf numFmtId="164" fontId="33" fillId="0" borderId="14" xfId="1" applyFont="1" applyFill="1" applyBorder="1" applyAlignment="1">
      <alignment horizontal="center" vertical="center"/>
    </xf>
    <xf numFmtId="164" fontId="95" fillId="0" borderId="14" xfId="1" applyFont="1" applyFill="1" applyBorder="1" applyAlignment="1">
      <alignment horizontal="left" vertical="center"/>
    </xf>
    <xf numFmtId="0" fontId="33" fillId="2" borderId="8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164" fontId="33" fillId="2" borderId="27" xfId="1" applyFont="1" applyFill="1" applyBorder="1" applyAlignment="1">
      <alignment horizontal="center" vertical="center"/>
    </xf>
    <xf numFmtId="164" fontId="33" fillId="2" borderId="9" xfId="1" applyFont="1" applyFill="1" applyBorder="1" applyAlignment="1">
      <alignment horizontal="center" vertical="center"/>
    </xf>
    <xf numFmtId="164" fontId="33" fillId="2" borderId="26" xfId="1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43" fontId="33" fillId="0" borderId="0" xfId="0" applyNumberFormat="1" applyFont="1" applyAlignment="1">
      <alignment horizontal="center"/>
    </xf>
    <xf numFmtId="0" fontId="94" fillId="0" borderId="18" xfId="0" applyFont="1" applyBorder="1" applyAlignment="1">
      <alignment horizontal="center" vertical="center"/>
    </xf>
    <xf numFmtId="166" fontId="29" fillId="0" borderId="1" xfId="0" applyNumberFormat="1" applyFont="1" applyBorder="1"/>
    <xf numFmtId="0" fontId="33" fillId="0" borderId="1" xfId="0" applyFont="1" applyBorder="1" applyAlignment="1">
      <alignment horizontal="left"/>
    </xf>
    <xf numFmtId="43" fontId="33" fillId="0" borderId="18" xfId="3" applyFont="1" applyFill="1" applyBorder="1"/>
    <xf numFmtId="0" fontId="33" fillId="0" borderId="18" xfId="0" applyFont="1" applyBorder="1" applyAlignment="1">
      <alignment horizontal="center"/>
    </xf>
    <xf numFmtId="43" fontId="33" fillId="0" borderId="1" xfId="3" applyFont="1" applyFill="1" applyBorder="1"/>
    <xf numFmtId="164" fontId="33" fillId="0" borderId="19" xfId="1" applyFont="1" applyFill="1" applyBorder="1" applyAlignment="1">
      <alignment horizontal="center" vertical="center"/>
    </xf>
    <xf numFmtId="43" fontId="33" fillId="0" borderId="73" xfId="3" applyFont="1" applyFill="1" applyBorder="1"/>
    <xf numFmtId="164" fontId="33" fillId="0" borderId="1" xfId="1" applyFont="1" applyFill="1" applyBorder="1" applyAlignment="1">
      <alignment horizontal="center" vertical="center"/>
    </xf>
    <xf numFmtId="164" fontId="34" fillId="0" borderId="28" xfId="1" applyFont="1" applyFill="1" applyBorder="1" applyAlignment="1">
      <alignment horizontal="center" vertical="center"/>
    </xf>
    <xf numFmtId="0" fontId="33" fillId="0" borderId="2" xfId="0" applyFont="1" applyBorder="1" applyAlignment="1">
      <alignment horizontal="left"/>
    </xf>
    <xf numFmtId="167" fontId="33" fillId="0" borderId="10" xfId="3" applyNumberFormat="1" applyFont="1" applyFill="1" applyBorder="1"/>
    <xf numFmtId="0" fontId="33" fillId="0" borderId="10" xfId="0" applyFont="1" applyBorder="1" applyAlignment="1">
      <alignment horizontal="center"/>
    </xf>
    <xf numFmtId="43" fontId="33" fillId="0" borderId="2" xfId="3" applyFont="1" applyFill="1" applyBorder="1"/>
    <xf numFmtId="43" fontId="33" fillId="0" borderId="16" xfId="3" applyFont="1" applyFill="1" applyBorder="1"/>
    <xf numFmtId="164" fontId="34" fillId="0" borderId="10" xfId="1" applyFont="1" applyFill="1" applyBorder="1" applyAlignment="1">
      <alignment horizontal="left" vertical="center"/>
    </xf>
    <xf numFmtId="0" fontId="28" fillId="3" borderId="2" xfId="16" applyFont="1" applyFill="1" applyBorder="1"/>
    <xf numFmtId="0" fontId="28" fillId="3" borderId="2" xfId="16" applyFont="1" applyFill="1" applyBorder="1" applyAlignment="1">
      <alignment horizontal="center" vertical="center"/>
    </xf>
    <xf numFmtId="0" fontId="33" fillId="3" borderId="10" xfId="0" applyFont="1" applyFill="1" applyBorder="1" applyAlignment="1">
      <alignment horizontal="center"/>
    </xf>
    <xf numFmtId="0" fontId="96" fillId="0" borderId="10" xfId="0" applyFont="1" applyBorder="1" applyAlignment="1">
      <alignment horizontal="right" vertical="center"/>
    </xf>
    <xf numFmtId="0" fontId="33" fillId="3" borderId="2" xfId="0" applyFont="1" applyFill="1" applyBorder="1" applyAlignment="1">
      <alignment horizontal="left"/>
    </xf>
    <xf numFmtId="0" fontId="35" fillId="0" borderId="2" xfId="0" applyFont="1" applyBorder="1" applyAlignment="1">
      <alignment horizontal="left"/>
    </xf>
    <xf numFmtId="43" fontId="33" fillId="0" borderId="10" xfId="3" applyFont="1" applyFill="1" applyBorder="1"/>
    <xf numFmtId="0" fontId="33" fillId="3" borderId="2" xfId="0" quotePrefix="1" applyFont="1" applyFill="1" applyBorder="1" applyAlignment="1">
      <alignment horizontal="left"/>
    </xf>
    <xf numFmtId="164" fontId="33" fillId="0" borderId="10" xfId="1" applyFont="1" applyFill="1" applyBorder="1" applyAlignment="1">
      <alignment horizontal="left" vertical="center"/>
    </xf>
    <xf numFmtId="0" fontId="33" fillId="3" borderId="1" xfId="0" applyFont="1" applyFill="1" applyBorder="1" applyAlignment="1">
      <alignment horizontal="left"/>
    </xf>
    <xf numFmtId="0" fontId="33" fillId="3" borderId="18" xfId="0" applyFont="1" applyFill="1" applyBorder="1" applyAlignment="1">
      <alignment horizontal="center"/>
    </xf>
    <xf numFmtId="43" fontId="33" fillId="0" borderId="3" xfId="3" applyFont="1" applyFill="1" applyBorder="1"/>
    <xf numFmtId="43" fontId="33" fillId="0" borderId="74" xfId="3" applyFont="1" applyFill="1" applyBorder="1"/>
    <xf numFmtId="167" fontId="33" fillId="3" borderId="10" xfId="3" applyNumberFormat="1" applyFont="1" applyFill="1" applyBorder="1"/>
    <xf numFmtId="0" fontId="96" fillId="0" borderId="17" xfId="0" applyFont="1" applyBorder="1" applyAlignment="1">
      <alignment horizontal="right" vertical="center"/>
    </xf>
    <xf numFmtId="0" fontId="33" fillId="3" borderId="3" xfId="0" applyFont="1" applyFill="1" applyBorder="1" applyAlignment="1">
      <alignment horizontal="left"/>
    </xf>
    <xf numFmtId="167" fontId="33" fillId="3" borderId="17" xfId="3" applyNumberFormat="1" applyFont="1" applyFill="1" applyBorder="1"/>
    <xf numFmtId="0" fontId="33" fillId="3" borderId="17" xfId="0" applyFont="1" applyFill="1" applyBorder="1" applyAlignment="1">
      <alignment horizontal="center"/>
    </xf>
    <xf numFmtId="164" fontId="33" fillId="0" borderId="31" xfId="1" applyFont="1" applyFill="1" applyBorder="1" applyAlignment="1">
      <alignment horizontal="center" vertical="center"/>
    </xf>
    <xf numFmtId="164" fontId="33" fillId="0" borderId="3" xfId="1" applyFont="1" applyFill="1" applyBorder="1" applyAlignment="1">
      <alignment horizontal="center" vertical="center"/>
    </xf>
    <xf numFmtId="164" fontId="34" fillId="0" borderId="17" xfId="1" applyFont="1" applyFill="1" applyBorder="1" applyAlignment="1">
      <alignment horizontal="left" vertical="center"/>
    </xf>
    <xf numFmtId="164" fontId="34" fillId="0" borderId="17" xfId="1" applyFont="1" applyFill="1" applyBorder="1" applyAlignment="1">
      <alignment horizontal="right" vertical="center"/>
    </xf>
    <xf numFmtId="0" fontId="33" fillId="0" borderId="3" xfId="0" applyFont="1" applyBorder="1" applyAlignment="1">
      <alignment horizontal="left"/>
    </xf>
    <xf numFmtId="167" fontId="33" fillId="0" borderId="17" xfId="3" applyNumberFormat="1" applyFont="1" applyFill="1" applyBorder="1"/>
    <xf numFmtId="0" fontId="33" fillId="0" borderId="17" xfId="0" applyFont="1" applyBorder="1" applyAlignment="1">
      <alignment horizontal="center"/>
    </xf>
    <xf numFmtId="0" fontId="34" fillId="0" borderId="17" xfId="0" applyFont="1" applyBorder="1"/>
    <xf numFmtId="164" fontId="34" fillId="0" borderId="10" xfId="1" applyFont="1" applyFill="1" applyBorder="1" applyAlignment="1">
      <alignment horizontal="right" vertical="center"/>
    </xf>
    <xf numFmtId="0" fontId="94" fillId="0" borderId="2" xfId="0" applyFont="1" applyBorder="1" applyAlignment="1">
      <alignment horizontal="left"/>
    </xf>
    <xf numFmtId="0" fontId="34" fillId="0" borderId="10" xfId="0" applyFont="1" applyBorder="1"/>
    <xf numFmtId="0" fontId="28" fillId="3" borderId="1" xfId="16" applyFont="1" applyFill="1" applyBorder="1"/>
    <xf numFmtId="0" fontId="28" fillId="3" borderId="1" xfId="16" applyFont="1" applyFill="1" applyBorder="1" applyAlignment="1">
      <alignment horizontal="center" vertical="center"/>
    </xf>
    <xf numFmtId="167" fontId="33" fillId="0" borderId="18" xfId="3" applyNumberFormat="1" applyFont="1" applyFill="1" applyBorder="1"/>
    <xf numFmtId="164" fontId="34" fillId="0" borderId="18" xfId="1" applyFont="1" applyFill="1" applyBorder="1" applyAlignment="1">
      <alignment horizontal="left" vertical="center"/>
    </xf>
    <xf numFmtId="0" fontId="94" fillId="3" borderId="0" xfId="0" applyFont="1" applyFill="1" applyAlignment="1">
      <alignment horizontal="left"/>
    </xf>
    <xf numFmtId="0" fontId="33" fillId="3" borderId="0" xfId="0" applyFont="1" applyFill="1" applyAlignment="1">
      <alignment horizontal="left"/>
    </xf>
    <xf numFmtId="167" fontId="33" fillId="3" borderId="13" xfId="3" applyNumberFormat="1" applyFont="1" applyFill="1" applyBorder="1"/>
    <xf numFmtId="0" fontId="33" fillId="3" borderId="13" xfId="0" applyFont="1" applyFill="1" applyBorder="1" applyAlignment="1">
      <alignment horizontal="center"/>
    </xf>
    <xf numFmtId="43" fontId="33" fillId="0" borderId="0" xfId="3" applyFont="1" applyFill="1" applyBorder="1"/>
    <xf numFmtId="164" fontId="33" fillId="0" borderId="15" xfId="1" applyFont="1" applyFill="1" applyBorder="1" applyAlignment="1">
      <alignment horizontal="center" vertical="center"/>
    </xf>
    <xf numFmtId="43" fontId="33" fillId="0" borderId="75" xfId="3" applyFont="1" applyFill="1" applyBorder="1"/>
    <xf numFmtId="164" fontId="33" fillId="0" borderId="0" xfId="1" applyFont="1" applyFill="1" applyBorder="1" applyAlignment="1">
      <alignment horizontal="center" vertical="center"/>
    </xf>
    <xf numFmtId="164" fontId="34" fillId="0" borderId="13" xfId="1" applyFont="1" applyFill="1" applyBorder="1" applyAlignment="1">
      <alignment horizontal="left" vertical="center"/>
    </xf>
    <xf numFmtId="164" fontId="33" fillId="2" borderId="8" xfId="4" applyFont="1" applyFill="1" applyBorder="1" applyAlignment="1">
      <alignment horizontal="center" vertical="center"/>
    </xf>
    <xf numFmtId="167" fontId="33" fillId="2" borderId="27" xfId="4" applyNumberFormat="1" applyFont="1" applyFill="1" applyBorder="1" applyAlignment="1">
      <alignment horizontal="center" vertical="center"/>
    </xf>
    <xf numFmtId="164" fontId="33" fillId="2" borderId="27" xfId="4" applyFont="1" applyFill="1" applyBorder="1" applyAlignment="1">
      <alignment horizontal="center" vertical="center"/>
    </xf>
    <xf numFmtId="164" fontId="33" fillId="2" borderId="9" xfId="4" applyFont="1" applyFill="1" applyBorder="1" applyAlignment="1">
      <alignment horizontal="center" vertical="center"/>
    </xf>
    <xf numFmtId="164" fontId="33" fillId="2" borderId="21" xfId="4" applyFont="1" applyFill="1" applyBorder="1" applyAlignment="1">
      <alignment horizontal="center" vertical="center"/>
    </xf>
    <xf numFmtId="164" fontId="94" fillId="2" borderId="21" xfId="4" applyFont="1" applyFill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5" fillId="3" borderId="2" xfId="0" applyFont="1" applyFill="1" applyBorder="1" applyAlignment="1">
      <alignment horizontal="left" vertical="center"/>
    </xf>
    <xf numFmtId="43" fontId="35" fillId="0" borderId="10" xfId="3" applyFont="1" applyFill="1" applyBorder="1"/>
    <xf numFmtId="0" fontId="35" fillId="0" borderId="10" xfId="0" applyFont="1" applyBorder="1" applyAlignment="1">
      <alignment horizontal="center"/>
    </xf>
    <xf numFmtId="0" fontId="33" fillId="3" borderId="11" xfId="0" applyFont="1" applyFill="1" applyBorder="1" applyAlignment="1">
      <alignment horizontal="left"/>
    </xf>
    <xf numFmtId="0" fontId="28" fillId="3" borderId="11" xfId="16" applyFont="1" applyFill="1" applyBorder="1" applyAlignment="1">
      <alignment horizontal="center" vertical="center"/>
    </xf>
    <xf numFmtId="0" fontId="94" fillId="0" borderId="10" xfId="0" applyFont="1" applyBorder="1" applyAlignment="1">
      <alignment horizontal="center" vertical="center"/>
    </xf>
    <xf numFmtId="166" fontId="29" fillId="0" borderId="2" xfId="0" applyNumberFormat="1" applyFont="1" applyBorder="1"/>
    <xf numFmtId="167" fontId="33" fillId="2" borderId="21" xfId="4" applyNumberFormat="1" applyFont="1" applyFill="1" applyBorder="1" applyAlignment="1">
      <alignment horizontal="center" vertical="center"/>
    </xf>
    <xf numFmtId="0" fontId="94" fillId="3" borderId="2" xfId="0" applyFont="1" applyFill="1" applyBorder="1" applyAlignment="1">
      <alignment horizontal="left"/>
    </xf>
    <xf numFmtId="0" fontId="29" fillId="3" borderId="2" xfId="0" applyFont="1" applyFill="1" applyBorder="1" applyAlignment="1">
      <alignment horizontal="left" vertical="center"/>
    </xf>
    <xf numFmtId="0" fontId="35" fillId="3" borderId="3" xfId="0" applyFont="1" applyFill="1" applyBorder="1" applyAlignment="1">
      <alignment horizontal="left" vertical="center"/>
    </xf>
    <xf numFmtId="0" fontId="94" fillId="0" borderId="18" xfId="0" quotePrefix="1" applyFont="1" applyBorder="1" applyAlignment="1">
      <alignment horizontal="center" vertical="center"/>
    </xf>
    <xf numFmtId="169" fontId="94" fillId="0" borderId="18" xfId="0" quotePrefix="1" applyNumberFormat="1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43" fontId="33" fillId="0" borderId="17" xfId="3" applyFont="1" applyFill="1" applyBorder="1"/>
    <xf numFmtId="0" fontId="94" fillId="0" borderId="18" xfId="16" quotePrefix="1" applyFont="1" applyBorder="1" applyAlignment="1">
      <alignment horizontal="center" vertical="center"/>
    </xf>
    <xf numFmtId="0" fontId="94" fillId="0" borderId="1" xfId="16" applyFont="1" applyBorder="1" applyAlignment="1">
      <alignment horizontal="left"/>
    </xf>
    <xf numFmtId="0" fontId="33" fillId="0" borderId="1" xfId="16" applyFont="1" applyBorder="1" applyAlignment="1">
      <alignment horizontal="left"/>
    </xf>
    <xf numFmtId="167" fontId="33" fillId="3" borderId="18" xfId="3" applyNumberFormat="1" applyFont="1" applyFill="1" applyBorder="1"/>
    <xf numFmtId="0" fontId="94" fillId="0" borderId="10" xfId="16" quotePrefix="1" applyFont="1" applyBorder="1" applyAlignment="1">
      <alignment horizontal="center" vertical="center"/>
    </xf>
    <xf numFmtId="0" fontId="94" fillId="0" borderId="2" xfId="16" applyFont="1" applyBorder="1" applyAlignment="1">
      <alignment horizontal="left"/>
    </xf>
    <xf numFmtId="0" fontId="33" fillId="0" borderId="2" xfId="16" applyFont="1" applyBorder="1" applyAlignment="1">
      <alignment horizontal="left" vertical="center"/>
    </xf>
    <xf numFmtId="0" fontId="33" fillId="0" borderId="10" xfId="16" quotePrefix="1" applyFont="1" applyBorder="1" applyAlignment="1">
      <alignment horizontal="center" vertical="center"/>
    </xf>
    <xf numFmtId="43" fontId="33" fillId="3" borderId="10" xfId="3" applyFont="1" applyFill="1" applyBorder="1"/>
    <xf numFmtId="164" fontId="33" fillId="2" borderId="23" xfId="4" applyFont="1" applyFill="1" applyBorder="1" applyAlignment="1">
      <alignment horizontal="center" vertical="center"/>
    </xf>
    <xf numFmtId="167" fontId="33" fillId="2" borderId="24" xfId="4" applyNumberFormat="1" applyFont="1" applyFill="1" applyBorder="1" applyAlignment="1">
      <alignment horizontal="center" vertical="center"/>
    </xf>
    <xf numFmtId="164" fontId="33" fillId="2" borderId="24" xfId="4" applyFont="1" applyFill="1" applyBorder="1" applyAlignment="1">
      <alignment horizontal="center" vertical="center"/>
    </xf>
    <xf numFmtId="164" fontId="33" fillId="2" borderId="25" xfId="4" applyFont="1" applyFill="1" applyBorder="1" applyAlignment="1">
      <alignment horizontal="center" vertical="center"/>
    </xf>
    <xf numFmtId="164" fontId="33" fillId="2" borderId="22" xfId="4" applyFont="1" applyFill="1" applyBorder="1" applyAlignment="1">
      <alignment horizontal="center" vertical="center"/>
    </xf>
    <xf numFmtId="164" fontId="94" fillId="2" borderId="22" xfId="4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170" fontId="10" fillId="4" borderId="18" xfId="1" applyNumberFormat="1" applyFont="1" applyFill="1" applyBorder="1" applyAlignment="1">
      <alignment horizontal="right" vertical="center"/>
    </xf>
    <xf numFmtId="0" fontId="70" fillId="0" borderId="0" xfId="19" applyFont="1" applyAlignment="1">
      <alignment vertical="center"/>
    </xf>
    <xf numFmtId="0" fontId="71" fillId="0" borderId="0" xfId="4" applyNumberFormat="1" applyFont="1" applyAlignment="1">
      <alignment horizontal="center" vertical="center"/>
    </xf>
    <xf numFmtId="0" fontId="70" fillId="0" borderId="0" xfId="4" applyNumberFormat="1" applyFont="1" applyFill="1" applyAlignment="1">
      <alignment vertical="center"/>
    </xf>
    <xf numFmtId="0" fontId="70" fillId="0" borderId="0" xfId="4" applyNumberFormat="1" applyFont="1" applyAlignment="1">
      <alignment vertical="center"/>
    </xf>
    <xf numFmtId="164" fontId="10" fillId="2" borderId="21" xfId="19" applyNumberFormat="1" applyFont="1" applyFill="1" applyBorder="1" applyAlignment="1">
      <alignment horizontal="center" vertical="center"/>
    </xf>
    <xf numFmtId="164" fontId="10" fillId="0" borderId="33" xfId="4" applyFont="1" applyFill="1" applyBorder="1" applyAlignment="1">
      <alignment horizontal="center" vertical="center"/>
    </xf>
    <xf numFmtId="164" fontId="81" fillId="0" borderId="28" xfId="4" applyFont="1" applyFill="1" applyBorder="1" applyAlignment="1">
      <alignment horizontal="left" vertical="center"/>
    </xf>
    <xf numFmtId="164" fontId="10" fillId="0" borderId="2" xfId="4" applyFont="1" applyFill="1" applyBorder="1" applyAlignment="1">
      <alignment horizontal="center" vertical="center"/>
    </xf>
    <xf numFmtId="164" fontId="81" fillId="0" borderId="10" xfId="4" applyFont="1" applyFill="1" applyBorder="1" applyAlignment="1">
      <alignment horizontal="left" vertical="center"/>
    </xf>
    <xf numFmtId="164" fontId="83" fillId="0" borderId="10" xfId="17" applyFont="1" applyFill="1" applyBorder="1" applyAlignment="1">
      <alignment horizontal="left" vertical="center"/>
    </xf>
    <xf numFmtId="164" fontId="10" fillId="0" borderId="10" xfId="17" applyFont="1" applyFill="1" applyBorder="1" applyAlignment="1">
      <alignment horizontal="left" vertical="center"/>
    </xf>
    <xf numFmtId="164" fontId="84" fillId="0" borderId="10" xfId="17" applyFont="1" applyFill="1" applyBorder="1" applyAlignment="1">
      <alignment horizontal="left" vertical="center"/>
    </xf>
    <xf numFmtId="0" fontId="81" fillId="0" borderId="10" xfId="19" applyFont="1" applyBorder="1"/>
    <xf numFmtId="0" fontId="10" fillId="0" borderId="36" xfId="19" applyFont="1" applyBorder="1" applyAlignment="1">
      <alignment horizontal="center" vertical="center"/>
    </xf>
    <xf numFmtId="164" fontId="10" fillId="0" borderId="38" xfId="17" applyFont="1" applyFill="1" applyBorder="1" applyAlignment="1">
      <alignment horizontal="center" vertical="center"/>
    </xf>
    <xf numFmtId="164" fontId="10" fillId="0" borderId="70" xfId="17" applyFont="1" applyFill="1" applyBorder="1" applyAlignment="1">
      <alignment horizontal="center" vertical="center"/>
    </xf>
    <xf numFmtId="164" fontId="10" fillId="0" borderId="69" xfId="17" applyFont="1" applyFill="1" applyBorder="1" applyAlignment="1">
      <alignment horizontal="center" vertical="center"/>
    </xf>
    <xf numFmtId="164" fontId="10" fillId="0" borderId="39" xfId="17" applyFont="1" applyFill="1" applyBorder="1" applyAlignment="1">
      <alignment horizontal="center" vertical="center"/>
    </xf>
    <xf numFmtId="164" fontId="84" fillId="0" borderId="36" xfId="17" applyFont="1" applyFill="1" applyBorder="1" applyAlignment="1">
      <alignment horizontal="left" vertical="center"/>
    </xf>
    <xf numFmtId="164" fontId="76" fillId="2" borderId="8" xfId="4" applyFont="1" applyFill="1" applyBorder="1" applyAlignment="1">
      <alignment horizontal="center" vertical="center"/>
    </xf>
    <xf numFmtId="164" fontId="81" fillId="0" borderId="10" xfId="17" applyFont="1" applyFill="1" applyBorder="1" applyAlignment="1">
      <alignment horizontal="left" vertical="center"/>
    </xf>
    <xf numFmtId="0" fontId="83" fillId="0" borderId="10" xfId="17" applyNumberFormat="1" applyFont="1" applyFill="1" applyBorder="1" applyAlignment="1">
      <alignment horizontal="left" vertical="center"/>
    </xf>
    <xf numFmtId="164" fontId="0" fillId="0" borderId="10" xfId="1" applyFont="1" applyFill="1" applyBorder="1" applyAlignment="1">
      <alignment horizontal="center"/>
    </xf>
    <xf numFmtId="164" fontId="10" fillId="0" borderId="71" xfId="4" applyFont="1" applyFill="1" applyBorder="1" applyAlignment="1">
      <alignment horizontal="center" vertical="center"/>
    </xf>
    <xf numFmtId="164" fontId="81" fillId="0" borderId="36" xfId="4" applyFont="1" applyFill="1" applyBorder="1" applyAlignment="1">
      <alignment horizontal="left" vertical="center"/>
    </xf>
    <xf numFmtId="164" fontId="98" fillId="0" borderId="28" xfId="4" applyFont="1" applyFill="1" applyBorder="1" applyAlignment="1">
      <alignment horizontal="left" vertical="center"/>
    </xf>
    <xf numFmtId="164" fontId="86" fillId="0" borderId="10" xfId="17" applyFont="1" applyFill="1" applyBorder="1" applyAlignment="1">
      <alignment horizontal="left" vertical="center"/>
    </xf>
    <xf numFmtId="164" fontId="10" fillId="0" borderId="29" xfId="11" applyNumberFormat="1" applyFont="1" applyFill="1" applyBorder="1"/>
    <xf numFmtId="164" fontId="10" fillId="0" borderId="1" xfId="4" applyFont="1" applyFill="1" applyBorder="1" applyAlignment="1">
      <alignment horizontal="center" vertical="center"/>
    </xf>
    <xf numFmtId="164" fontId="81" fillId="0" borderId="18" xfId="4" applyFont="1" applyFill="1" applyBorder="1" applyAlignment="1">
      <alignment horizontal="left" vertical="center"/>
    </xf>
    <xf numFmtId="164" fontId="17" fillId="0" borderId="10" xfId="30" applyFont="1" applyFill="1" applyBorder="1" applyAlignment="1">
      <alignment horizontal="left" vertical="center"/>
    </xf>
    <xf numFmtId="0" fontId="0" fillId="0" borderId="0" xfId="19" applyFont="1" applyAlignment="1">
      <alignment horizontal="center"/>
    </xf>
    <xf numFmtId="164" fontId="87" fillId="0" borderId="10" xfId="4" applyFont="1" applyFill="1" applyBorder="1" applyAlignment="1">
      <alignment horizontal="right" vertical="center"/>
    </xf>
    <xf numFmtId="0" fontId="0" fillId="0" borderId="11" xfId="19" applyFont="1" applyBorder="1" applyAlignment="1">
      <alignment horizontal="center"/>
    </xf>
    <xf numFmtId="164" fontId="93" fillId="0" borderId="10" xfId="30" applyFont="1" applyFill="1" applyBorder="1" applyAlignment="1">
      <alignment horizontal="left" vertical="center"/>
    </xf>
    <xf numFmtId="164" fontId="17" fillId="0" borderId="2" xfId="12" applyFont="1" applyFill="1" applyBorder="1"/>
    <xf numFmtId="164" fontId="17" fillId="0" borderId="28" xfId="17" applyFont="1" applyFill="1" applyBorder="1" applyAlignment="1">
      <alignment horizontal="left" vertical="center"/>
    </xf>
    <xf numFmtId="164" fontId="17" fillId="0" borderId="29" xfId="11" applyNumberFormat="1" applyFont="1" applyFill="1" applyBorder="1"/>
    <xf numFmtId="164" fontId="17" fillId="0" borderId="10" xfId="17" applyFont="1" applyFill="1" applyBorder="1" applyAlignment="1">
      <alignment horizontal="left" vertical="center"/>
    </xf>
    <xf numFmtId="164" fontId="86" fillId="0" borderId="29" xfId="11" applyNumberFormat="1" applyFont="1" applyFill="1" applyBorder="1"/>
    <xf numFmtId="164" fontId="89" fillId="0" borderId="10" xfId="17" applyFont="1" applyFill="1" applyBorder="1" applyAlignment="1">
      <alignment horizontal="left" vertical="center"/>
    </xf>
    <xf numFmtId="164" fontId="89" fillId="0" borderId="36" xfId="17" applyFont="1" applyFill="1" applyBorder="1" applyAlignment="1">
      <alignment horizontal="left" vertical="center"/>
    </xf>
    <xf numFmtId="164" fontId="81" fillId="0" borderId="1" xfId="4" applyFont="1" applyFill="1" applyBorder="1" applyAlignment="1">
      <alignment horizontal="center" vertical="center"/>
    </xf>
    <xf numFmtId="164" fontId="81" fillId="0" borderId="29" xfId="11" applyNumberFormat="1" applyFont="1" applyFill="1" applyBorder="1"/>
    <xf numFmtId="164" fontId="92" fillId="2" borderId="8" xfId="4" applyFont="1" applyFill="1" applyBorder="1" applyAlignment="1">
      <alignment horizontal="center" vertical="center"/>
    </xf>
    <xf numFmtId="164" fontId="81" fillId="0" borderId="33" xfId="4" applyFont="1" applyFill="1" applyBorder="1" applyAlignment="1">
      <alignment horizontal="center" vertical="center"/>
    </xf>
    <xf numFmtId="164" fontId="81" fillId="0" borderId="2" xfId="4" applyFont="1" applyFill="1" applyBorder="1" applyAlignment="1">
      <alignment horizontal="center" vertical="center"/>
    </xf>
    <xf numFmtId="164" fontId="81" fillId="0" borderId="2" xfId="17" applyFont="1" applyFill="1" applyBorder="1" applyAlignment="1">
      <alignment horizontal="center" vertical="center"/>
    </xf>
    <xf numFmtId="164" fontId="10" fillId="0" borderId="69" xfId="4" applyFont="1" applyFill="1" applyBorder="1" applyAlignment="1">
      <alignment horizontal="center" vertical="center"/>
    </xf>
    <xf numFmtId="164" fontId="17" fillId="0" borderId="70" xfId="30" applyFont="1" applyFill="1" applyBorder="1" applyAlignment="1">
      <alignment horizontal="center" vertical="center"/>
    </xf>
    <xf numFmtId="164" fontId="17" fillId="0" borderId="39" xfId="30" applyFont="1" applyFill="1" applyBorder="1" applyAlignment="1">
      <alignment horizontal="center" vertical="center"/>
    </xf>
    <xf numFmtId="164" fontId="17" fillId="0" borderId="38" xfId="30" applyFont="1" applyFill="1" applyBorder="1" applyAlignment="1">
      <alignment horizontal="center" vertical="center"/>
    </xf>
    <xf numFmtId="164" fontId="17" fillId="0" borderId="18" xfId="30" applyFont="1" applyFill="1" applyBorder="1" applyAlignment="1">
      <alignment horizontal="left" vertical="center"/>
    </xf>
    <xf numFmtId="0" fontId="17" fillId="0" borderId="18" xfId="19" applyFont="1" applyBorder="1"/>
    <xf numFmtId="164" fontId="88" fillId="2" borderId="8" xfId="4" applyFont="1" applyFill="1" applyBorder="1" applyAlignment="1">
      <alignment horizontal="center" vertical="center"/>
    </xf>
    <xf numFmtId="164" fontId="43" fillId="0" borderId="0" xfId="19" applyNumberFormat="1" applyFont="1"/>
    <xf numFmtId="167" fontId="26" fillId="0" borderId="0" xfId="20" applyNumberFormat="1" applyFont="1" applyAlignment="1">
      <alignment vertical="center"/>
    </xf>
    <xf numFmtId="170" fontId="33" fillId="0" borderId="0" xfId="1" applyNumberFormat="1" applyFont="1"/>
    <xf numFmtId="166" fontId="76" fillId="0" borderId="2" xfId="19" applyNumberFormat="1" applyFont="1" applyBorder="1" applyAlignment="1">
      <alignment vertical="center"/>
    </xf>
    <xf numFmtId="166" fontId="79" fillId="0" borderId="2" xfId="19" applyNumberFormat="1" applyFont="1" applyBorder="1" applyAlignment="1">
      <alignment vertical="center"/>
    </xf>
    <xf numFmtId="0" fontId="80" fillId="0" borderId="1" xfId="19" applyFont="1" applyBorder="1" applyAlignment="1">
      <alignment vertical="center"/>
    </xf>
    <xf numFmtId="166" fontId="10" fillId="0" borderId="2" xfId="19" applyNumberFormat="1" applyFont="1" applyBorder="1" applyAlignment="1">
      <alignment vertical="center"/>
    </xf>
    <xf numFmtId="0" fontId="77" fillId="0" borderId="1" xfId="19" applyFont="1" applyBorder="1" applyAlignment="1">
      <alignment vertical="center"/>
    </xf>
    <xf numFmtId="166" fontId="10" fillId="0" borderId="1" xfId="19" applyNumberFormat="1" applyFont="1" applyBorder="1" applyAlignment="1">
      <alignment vertical="center"/>
    </xf>
    <xf numFmtId="176" fontId="10" fillId="4" borderId="20" xfId="19" applyNumberFormat="1" applyFont="1" applyFill="1" applyBorder="1" applyAlignment="1">
      <alignment horizontal="left" vertical="center"/>
    </xf>
    <xf numFmtId="0" fontId="10" fillId="0" borderId="2" xfId="19" applyFont="1" applyBorder="1" applyAlignment="1">
      <alignment horizontal="center" vertical="center"/>
    </xf>
    <xf numFmtId="166" fontId="10" fillId="0" borderId="2" xfId="19" applyNumberFormat="1" applyFont="1" applyBorder="1" applyAlignment="1">
      <alignment horizontal="left" vertical="center"/>
    </xf>
    <xf numFmtId="0" fontId="10" fillId="0" borderId="0" xfId="19" applyFont="1" applyAlignment="1">
      <alignment horizontal="left" vertical="center"/>
    </xf>
    <xf numFmtId="0" fontId="10" fillId="0" borderId="0" xfId="19" applyFont="1" applyAlignment="1">
      <alignment horizontal="center" vertical="center"/>
    </xf>
    <xf numFmtId="166" fontId="76" fillId="0" borderId="33" xfId="19" applyNumberFormat="1" applyFont="1" applyBorder="1" applyAlignment="1">
      <alignment vertical="center"/>
    </xf>
    <xf numFmtId="0" fontId="10" fillId="0" borderId="33" xfId="19" applyFont="1" applyBorder="1" applyAlignment="1">
      <alignment horizontal="center" vertical="center"/>
    </xf>
    <xf numFmtId="0" fontId="10" fillId="0" borderId="2" xfId="19" applyFont="1" applyBorder="1" applyAlignment="1">
      <alignment vertical="center" wrapText="1"/>
    </xf>
    <xf numFmtId="0" fontId="10" fillId="0" borderId="62" xfId="19" applyFont="1" applyBorder="1" applyAlignment="1">
      <alignment vertical="center"/>
    </xf>
    <xf numFmtId="0" fontId="10" fillId="0" borderId="68" xfId="19" applyFont="1" applyBorder="1" applyAlignment="1">
      <alignment vertical="center"/>
    </xf>
    <xf numFmtId="0" fontId="0" fillId="0" borderId="62" xfId="19" applyFont="1" applyBorder="1" applyAlignment="1">
      <alignment vertical="center"/>
    </xf>
    <xf numFmtId="0" fontId="76" fillId="0" borderId="62" xfId="19" applyFont="1" applyBorder="1" applyAlignment="1">
      <alignment vertical="center"/>
    </xf>
    <xf numFmtId="0" fontId="10" fillId="0" borderId="2" xfId="13" applyFont="1" applyBorder="1" applyAlignment="1">
      <alignment vertical="center"/>
    </xf>
    <xf numFmtId="0" fontId="76" fillId="0" borderId="2" xfId="19" applyFont="1" applyBorder="1"/>
    <xf numFmtId="0" fontId="76" fillId="0" borderId="2" xfId="19" applyFont="1" applyBorder="1" applyAlignment="1">
      <alignment horizontal="left"/>
    </xf>
    <xf numFmtId="0" fontId="10" fillId="0" borderId="69" xfId="19" applyFont="1" applyBorder="1" applyAlignment="1">
      <alignment vertical="center"/>
    </xf>
    <xf numFmtId="0" fontId="10" fillId="0" borderId="38" xfId="19" applyFont="1" applyBorder="1" applyAlignment="1">
      <alignment vertical="center" wrapText="1"/>
    </xf>
    <xf numFmtId="166" fontId="10" fillId="0" borderId="62" xfId="19" applyNumberFormat="1" applyFont="1" applyBorder="1" applyAlignment="1">
      <alignment vertical="center"/>
    </xf>
    <xf numFmtId="0" fontId="10" fillId="0" borderId="16" xfId="19" applyFont="1" applyBorder="1" applyAlignment="1">
      <alignment vertical="center"/>
    </xf>
    <xf numFmtId="0" fontId="10" fillId="0" borderId="68" xfId="19" applyFont="1" applyBorder="1" applyAlignment="1">
      <alignment vertical="center" wrapText="1"/>
    </xf>
    <xf numFmtId="164" fontId="10" fillId="0" borderId="62" xfId="4" applyFont="1" applyFill="1" applyBorder="1" applyAlignment="1">
      <alignment vertical="center"/>
    </xf>
    <xf numFmtId="166" fontId="76" fillId="0" borderId="1" xfId="19" applyNumberFormat="1" applyFont="1" applyBorder="1" applyAlignment="1">
      <alignment vertical="center"/>
    </xf>
    <xf numFmtId="0" fontId="76" fillId="0" borderId="1" xfId="19" applyFont="1" applyBorder="1" applyAlignment="1">
      <alignment vertical="center"/>
    </xf>
    <xf numFmtId="0" fontId="10" fillId="0" borderId="1" xfId="19" applyFont="1" applyBorder="1" applyAlignment="1">
      <alignment horizontal="center" vertical="center"/>
    </xf>
    <xf numFmtId="0" fontId="17" fillId="0" borderId="2" xfId="19" applyFont="1" applyBorder="1" applyAlignment="1">
      <alignment horizontal="left" indent="1"/>
    </xf>
    <xf numFmtId="0" fontId="91" fillId="0" borderId="2" xfId="19" applyFont="1" applyBorder="1" applyAlignment="1">
      <alignment horizontal="left" indent="1"/>
    </xf>
    <xf numFmtId="166" fontId="92" fillId="0" borderId="1" xfId="19" applyNumberFormat="1" applyFont="1" applyBorder="1" applyAlignment="1">
      <alignment vertical="center"/>
    </xf>
    <xf numFmtId="0" fontId="92" fillId="0" borderId="1" xfId="19" applyFont="1" applyBorder="1" applyAlignment="1">
      <alignment vertical="center"/>
    </xf>
    <xf numFmtId="0" fontId="81" fillId="0" borderId="1" xfId="19" applyFont="1" applyBorder="1" applyAlignment="1">
      <alignment horizontal="center" vertical="center"/>
    </xf>
    <xf numFmtId="0" fontId="81" fillId="0" borderId="2" xfId="19" applyFont="1" applyBorder="1"/>
    <xf numFmtId="0" fontId="81" fillId="0" borderId="2" xfId="19" applyFont="1" applyBorder="1" applyAlignment="1">
      <alignment vertical="center" wrapText="1"/>
    </xf>
    <xf numFmtId="0" fontId="10" fillId="0" borderId="38" xfId="13" applyFont="1" applyBorder="1" applyAlignment="1">
      <alignment vertical="center"/>
    </xf>
    <xf numFmtId="0" fontId="17" fillId="0" borderId="3" xfId="19" applyFont="1" applyBorder="1"/>
    <xf numFmtId="0" fontId="17" fillId="0" borderId="3" xfId="13" applyFont="1" applyBorder="1" applyAlignment="1">
      <alignment vertical="center"/>
    </xf>
    <xf numFmtId="164" fontId="17" fillId="0" borderId="17" xfId="1" applyFont="1" applyFill="1" applyBorder="1" applyAlignment="1">
      <alignment horizontal="center"/>
    </xf>
    <xf numFmtId="164" fontId="17" fillId="0" borderId="3" xfId="30" applyFont="1" applyFill="1" applyBorder="1" applyAlignment="1">
      <alignment horizontal="center" vertical="center"/>
    </xf>
    <xf numFmtId="164" fontId="17" fillId="0" borderId="31" xfId="30" applyFont="1" applyFill="1" applyBorder="1" applyAlignment="1">
      <alignment horizontal="center" vertical="center"/>
    </xf>
    <xf numFmtId="164" fontId="17" fillId="0" borderId="72" xfId="30" applyFont="1" applyFill="1" applyBorder="1" applyAlignment="1">
      <alignment horizontal="center" vertical="center"/>
    </xf>
    <xf numFmtId="164" fontId="17" fillId="0" borderId="30" xfId="30" applyFont="1" applyFill="1" applyBorder="1" applyAlignment="1">
      <alignment horizontal="center" vertical="center"/>
    </xf>
    <xf numFmtId="164" fontId="17" fillId="0" borderId="17" xfId="30" applyFont="1" applyFill="1" applyBorder="1" applyAlignment="1">
      <alignment horizontal="left" vertical="center"/>
    </xf>
    <xf numFmtId="43" fontId="17" fillId="0" borderId="17" xfId="30" applyNumberFormat="1" applyFont="1" applyFill="1" applyBorder="1" applyAlignment="1">
      <alignment horizontal="center"/>
    </xf>
    <xf numFmtId="9" fontId="17" fillId="0" borderId="3" xfId="26" applyFont="1" applyFill="1" applyBorder="1" applyAlignment="1">
      <alignment horizontal="center"/>
    </xf>
    <xf numFmtId="43" fontId="17" fillId="0" borderId="13" xfId="30" applyNumberFormat="1" applyFont="1" applyFill="1" applyBorder="1" applyAlignment="1">
      <alignment horizontal="center"/>
    </xf>
    <xf numFmtId="9" fontId="17" fillId="0" borderId="0" xfId="26" applyFont="1" applyFill="1" applyBorder="1" applyAlignment="1">
      <alignment horizontal="center"/>
    </xf>
    <xf numFmtId="164" fontId="17" fillId="0" borderId="13" xfId="1" applyFont="1" applyFill="1" applyBorder="1" applyAlignment="1">
      <alignment horizontal="center"/>
    </xf>
    <xf numFmtId="179" fontId="10" fillId="0" borderId="0" xfId="19" applyNumberFormat="1" applyFont="1"/>
    <xf numFmtId="180" fontId="82" fillId="0" borderId="0" xfId="17" applyNumberFormat="1" applyFont="1"/>
    <xf numFmtId="180" fontId="10" fillId="0" borderId="0" xfId="17" applyNumberFormat="1" applyFont="1"/>
    <xf numFmtId="180" fontId="10" fillId="5" borderId="0" xfId="17" applyNumberFormat="1" applyFont="1" applyFill="1"/>
    <xf numFmtId="0" fontId="22" fillId="0" borderId="0" xfId="0" applyFont="1" applyAlignment="1">
      <alignment horizontal="center" vertical="center"/>
    </xf>
    <xf numFmtId="0" fontId="99" fillId="0" borderId="0" xfId="1" applyNumberFormat="1" applyFont="1" applyAlignment="1">
      <alignment vertical="center"/>
    </xf>
    <xf numFmtId="49" fontId="22" fillId="0" borderId="1" xfId="1" applyNumberFormat="1" applyFont="1" applyFill="1" applyBorder="1" applyAlignment="1">
      <alignment horizontal="left"/>
    </xf>
    <xf numFmtId="0" fontId="99" fillId="0" borderId="1" xfId="1" applyNumberFormat="1" applyFont="1" applyFill="1" applyBorder="1" applyAlignment="1">
      <alignment vertical="center"/>
    </xf>
    <xf numFmtId="49" fontId="22" fillId="0" borderId="2" xfId="1" applyNumberFormat="1" applyFont="1" applyFill="1" applyBorder="1" applyAlignment="1">
      <alignment horizontal="left" vertical="top"/>
    </xf>
    <xf numFmtId="0" fontId="99" fillId="0" borderId="2" xfId="0" applyFont="1" applyBorder="1" applyAlignment="1">
      <alignment horizontal="right"/>
    </xf>
    <xf numFmtId="49" fontId="22" fillId="0" borderId="2" xfId="1" applyNumberFormat="1" applyFont="1" applyFill="1" applyBorder="1" applyAlignment="1">
      <alignment horizontal="center" vertical="top"/>
    </xf>
    <xf numFmtId="0" fontId="99" fillId="0" borderId="2" xfId="1" applyNumberFormat="1" applyFont="1" applyFill="1" applyBorder="1" applyAlignment="1">
      <alignment vertical="center"/>
    </xf>
    <xf numFmtId="0" fontId="23" fillId="0" borderId="2" xfId="1" applyNumberFormat="1" applyFont="1" applyBorder="1" applyAlignment="1">
      <alignment horizontal="right"/>
    </xf>
    <xf numFmtId="0" fontId="101" fillId="0" borderId="18" xfId="0" quotePrefix="1" applyFont="1" applyBorder="1" applyAlignment="1">
      <alignment horizontal="center" vertical="center" wrapText="1"/>
    </xf>
    <xf numFmtId="166" fontId="101" fillId="0" borderId="1" xfId="0" applyNumberFormat="1" applyFont="1" applyBorder="1" applyAlignment="1">
      <alignment vertical="center"/>
    </xf>
    <xf numFmtId="0" fontId="102" fillId="0" borderId="1" xfId="0" applyFont="1" applyBorder="1" applyAlignment="1">
      <alignment vertical="center"/>
    </xf>
    <xf numFmtId="0" fontId="103" fillId="0" borderId="20" xfId="0" applyFont="1" applyBorder="1" applyAlignment="1">
      <alignment vertical="center"/>
    </xf>
    <xf numFmtId="170" fontId="12" fillId="3" borderId="20" xfId="1" applyNumberFormat="1" applyFont="1" applyFill="1" applyBorder="1" applyAlignment="1">
      <alignment horizontal="center" vertical="center" wrapText="1"/>
    </xf>
    <xf numFmtId="164" fontId="12" fillId="3" borderId="20" xfId="1" applyFont="1" applyFill="1" applyBorder="1" applyAlignment="1">
      <alignment horizontal="center" vertical="center" wrapText="1"/>
    </xf>
    <xf numFmtId="165" fontId="104" fillId="0" borderId="1" xfId="3" applyNumberFormat="1" applyFont="1" applyFill="1" applyBorder="1" applyAlignment="1">
      <alignment horizontal="centerContinuous"/>
    </xf>
    <xf numFmtId="164" fontId="104" fillId="0" borderId="19" xfId="1" applyFont="1" applyFill="1" applyBorder="1" applyAlignment="1">
      <alignment horizontal="center" vertical="center"/>
    </xf>
    <xf numFmtId="164" fontId="104" fillId="0" borderId="1" xfId="1" applyFont="1" applyFill="1" applyBorder="1" applyAlignment="1">
      <alignment horizontal="center" vertical="center"/>
    </xf>
    <xf numFmtId="164" fontId="104" fillId="0" borderId="20" xfId="1" applyFont="1" applyFill="1" applyBorder="1" applyAlignment="1">
      <alignment horizontal="center" vertical="center"/>
    </xf>
    <xf numFmtId="164" fontId="105" fillId="0" borderId="20" xfId="1" applyFont="1" applyFill="1" applyBorder="1" applyAlignment="1">
      <alignment horizontal="center" vertical="center"/>
    </xf>
    <xf numFmtId="0" fontId="106" fillId="0" borderId="18" xfId="0" quotePrefix="1" applyFont="1" applyBorder="1" applyAlignment="1">
      <alignment horizontal="center" vertical="center" wrapText="1"/>
    </xf>
    <xf numFmtId="166" fontId="106" fillId="0" borderId="0" xfId="0" applyNumberFormat="1" applyFont="1" applyAlignment="1">
      <alignment vertical="center"/>
    </xf>
    <xf numFmtId="0" fontId="107" fillId="0" borderId="1" xfId="0" applyFont="1" applyBorder="1" applyAlignment="1">
      <alignment vertical="center"/>
    </xf>
    <xf numFmtId="0" fontId="17" fillId="4" borderId="10" xfId="8" applyFont="1" applyFill="1" applyBorder="1" applyAlignment="1">
      <alignment horizontal="center" vertical="center"/>
    </xf>
    <xf numFmtId="166" fontId="17" fillId="4" borderId="76" xfId="8" applyNumberFormat="1" applyFont="1" applyFill="1" applyBorder="1" applyAlignment="1">
      <alignment horizontal="left" vertical="center"/>
    </xf>
    <xf numFmtId="0" fontId="108" fillId="0" borderId="2" xfId="0" applyFont="1" applyBorder="1" applyAlignment="1">
      <alignment vertical="center"/>
    </xf>
    <xf numFmtId="0" fontId="109" fillId="0" borderId="20" xfId="0" applyFont="1" applyBorder="1" applyAlignment="1">
      <alignment vertical="center"/>
    </xf>
    <xf numFmtId="170" fontId="17" fillId="4" borderId="20" xfId="1" applyNumberFormat="1" applyFont="1" applyFill="1" applyBorder="1" applyAlignment="1">
      <alignment horizontal="center" vertical="center"/>
    </xf>
    <xf numFmtId="164" fontId="17" fillId="4" borderId="20" xfId="1" applyFont="1" applyFill="1" applyBorder="1" applyAlignment="1">
      <alignment horizontal="center" vertical="center" wrapText="1"/>
    </xf>
    <xf numFmtId="165" fontId="110" fillId="0" borderId="2" xfId="3" applyNumberFormat="1" applyFont="1" applyFill="1" applyBorder="1" applyAlignment="1">
      <alignment horizontal="centerContinuous"/>
    </xf>
    <xf numFmtId="164" fontId="110" fillId="0" borderId="12" xfId="1" applyFont="1" applyFill="1" applyBorder="1" applyAlignment="1">
      <alignment horizontal="center" vertical="center"/>
    </xf>
    <xf numFmtId="164" fontId="110" fillId="0" borderId="2" xfId="1" applyFont="1" applyFill="1" applyBorder="1" applyAlignment="1">
      <alignment horizontal="center" vertical="center"/>
    </xf>
    <xf numFmtId="164" fontId="111" fillId="0" borderId="11" xfId="1" applyFont="1" applyFill="1" applyBorder="1" applyAlignment="1">
      <alignment horizontal="left" vertical="center"/>
    </xf>
    <xf numFmtId="0" fontId="112" fillId="0" borderId="0" xfId="0" applyFont="1"/>
    <xf numFmtId="167" fontId="112" fillId="0" borderId="0" xfId="0" applyNumberFormat="1" applyFont="1"/>
    <xf numFmtId="0" fontId="109" fillId="0" borderId="2" xfId="0" applyFont="1" applyBorder="1" applyAlignment="1">
      <alignment vertical="center"/>
    </xf>
    <xf numFmtId="0" fontId="17" fillId="4" borderId="2" xfId="0" applyFont="1" applyFill="1" applyBorder="1" applyAlignment="1">
      <alignment vertical="center"/>
    </xf>
    <xf numFmtId="0" fontId="17" fillId="4" borderId="11" xfId="0" applyFont="1" applyFill="1" applyBorder="1" applyAlignment="1">
      <alignment vertical="center"/>
    </xf>
    <xf numFmtId="176" fontId="17" fillId="4" borderId="10" xfId="8" applyNumberFormat="1" applyFont="1" applyFill="1" applyBorder="1" applyAlignment="1">
      <alignment horizontal="center" vertical="center"/>
    </xf>
    <xf numFmtId="166" fontId="17" fillId="4" borderId="29" xfId="8" applyNumberFormat="1" applyFont="1" applyFill="1" applyBorder="1" applyAlignment="1">
      <alignment horizontal="left" vertical="center"/>
    </xf>
    <xf numFmtId="170" fontId="17" fillId="4" borderId="11" xfId="1" applyNumberFormat="1" applyFont="1" applyFill="1" applyBorder="1" applyAlignment="1">
      <alignment horizontal="center" vertical="center"/>
    </xf>
    <xf numFmtId="164" fontId="17" fillId="4" borderId="11" xfId="1" applyFont="1" applyFill="1" applyBorder="1" applyAlignment="1">
      <alignment horizontal="center" vertical="center" wrapText="1"/>
    </xf>
    <xf numFmtId="165" fontId="110" fillId="0" borderId="62" xfId="3" applyNumberFormat="1" applyFont="1" applyFill="1" applyBorder="1" applyAlignment="1">
      <alignment horizontal="centerContinuous"/>
    </xf>
    <xf numFmtId="0" fontId="110" fillId="2" borderId="8" xfId="0" applyFont="1" applyFill="1" applyBorder="1" applyAlignment="1">
      <alignment horizontal="center" vertical="center"/>
    </xf>
    <xf numFmtId="0" fontId="110" fillId="2" borderId="27" xfId="0" applyFont="1" applyFill="1" applyBorder="1" applyAlignment="1">
      <alignment horizontal="center" vertical="center"/>
    </xf>
    <xf numFmtId="164" fontId="110" fillId="2" borderId="27" xfId="1" applyFont="1" applyFill="1" applyBorder="1" applyAlignment="1">
      <alignment horizontal="center" vertical="center"/>
    </xf>
    <xf numFmtId="164" fontId="110" fillId="2" borderId="9" xfId="1" applyFont="1" applyFill="1" applyBorder="1" applyAlignment="1">
      <alignment horizontal="center" vertical="center"/>
    </xf>
    <xf numFmtId="164" fontId="110" fillId="2" borderId="26" xfId="1" applyFont="1" applyFill="1" applyBorder="1" applyAlignment="1">
      <alignment horizontal="center" vertical="center"/>
    </xf>
    <xf numFmtId="0" fontId="112" fillId="0" borderId="0" xfId="0" applyFont="1" applyAlignment="1">
      <alignment horizontal="center"/>
    </xf>
    <xf numFmtId="170" fontId="11" fillId="0" borderId="0" xfId="0" applyNumberFormat="1" applyFont="1"/>
    <xf numFmtId="3" fontId="11" fillId="0" borderId="0" xfId="0" applyNumberFormat="1" applyFont="1"/>
    <xf numFmtId="0" fontId="113" fillId="0" borderId="0" xfId="0" applyFont="1"/>
    <xf numFmtId="164" fontId="111" fillId="0" borderId="30" xfId="1" applyFont="1" applyFill="1" applyBorder="1" applyAlignment="1">
      <alignment horizontal="left" vertical="center"/>
    </xf>
    <xf numFmtId="176" fontId="17" fillId="0" borderId="10" xfId="8" applyNumberFormat="1" applyFont="1" applyBorder="1" applyAlignment="1">
      <alignment horizontal="center" vertical="center"/>
    </xf>
    <xf numFmtId="166" fontId="17" fillId="0" borderId="76" xfId="8" applyNumberFormat="1" applyFont="1" applyBorder="1" applyAlignment="1">
      <alignment horizontal="left" vertical="center"/>
    </xf>
    <xf numFmtId="0" fontId="17" fillId="0" borderId="2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164" fontId="17" fillId="0" borderId="20" xfId="1" applyFont="1" applyFill="1" applyBorder="1" applyAlignment="1">
      <alignment horizontal="center" vertical="center" wrapText="1"/>
    </xf>
    <xf numFmtId="177" fontId="17" fillId="4" borderId="17" xfId="8" applyNumberFormat="1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vertical="center"/>
    </xf>
    <xf numFmtId="0" fontId="17" fillId="4" borderId="30" xfId="0" applyFont="1" applyFill="1" applyBorder="1" applyAlignment="1">
      <alignment vertical="center"/>
    </xf>
    <xf numFmtId="164" fontId="17" fillId="4" borderId="30" xfId="1" applyFont="1" applyFill="1" applyBorder="1" applyAlignment="1">
      <alignment horizontal="center" vertical="center" wrapText="1"/>
    </xf>
    <xf numFmtId="165" fontId="110" fillId="0" borderId="3" xfId="3" applyNumberFormat="1" applyFont="1" applyFill="1" applyBorder="1" applyAlignment="1">
      <alignment horizontal="centerContinuous"/>
    </xf>
    <xf numFmtId="164" fontId="110" fillId="0" borderId="31" xfId="1" applyFont="1" applyFill="1" applyBorder="1" applyAlignment="1">
      <alignment horizontal="center" vertical="center"/>
    </xf>
    <xf numFmtId="164" fontId="110" fillId="0" borderId="3" xfId="1" applyFont="1" applyFill="1" applyBorder="1" applyAlignment="1">
      <alignment horizontal="center" vertical="center"/>
    </xf>
    <xf numFmtId="176" fontId="17" fillId="4" borderId="17" xfId="8" applyNumberFormat="1" applyFont="1" applyFill="1" applyBorder="1" applyAlignment="1">
      <alignment horizontal="center" vertical="center"/>
    </xf>
    <xf numFmtId="176" fontId="17" fillId="4" borderId="17" xfId="8" applyNumberFormat="1" applyFont="1" applyFill="1" applyBorder="1" applyAlignment="1">
      <alignment horizontal="left" vertical="center"/>
    </xf>
    <xf numFmtId="176" fontId="17" fillId="4" borderId="18" xfId="8" applyNumberFormat="1" applyFont="1" applyFill="1" applyBorder="1" applyAlignment="1">
      <alignment horizontal="center" vertical="center"/>
    </xf>
    <xf numFmtId="166" fontId="17" fillId="4" borderId="32" xfId="8" applyNumberFormat="1" applyFont="1" applyFill="1" applyBorder="1" applyAlignment="1">
      <alignment horizontal="left" vertical="center"/>
    </xf>
    <xf numFmtId="0" fontId="17" fillId="4" borderId="1" xfId="0" applyFont="1" applyFill="1" applyBorder="1" applyAlignment="1">
      <alignment vertical="center"/>
    </xf>
    <xf numFmtId="0" fontId="17" fillId="4" borderId="20" xfId="0" applyFont="1" applyFill="1" applyBorder="1" applyAlignment="1">
      <alignment vertical="center"/>
    </xf>
    <xf numFmtId="165" fontId="110" fillId="0" borderId="1" xfId="3" applyNumberFormat="1" applyFont="1" applyFill="1" applyBorder="1" applyAlignment="1">
      <alignment horizontal="centerContinuous"/>
    </xf>
    <xf numFmtId="164" fontId="110" fillId="0" borderId="19" xfId="1" applyFont="1" applyFill="1" applyBorder="1" applyAlignment="1">
      <alignment horizontal="center" vertical="center"/>
    </xf>
    <xf numFmtId="164" fontId="110" fillId="0" borderId="1" xfId="1" applyFont="1" applyFill="1" applyBorder="1" applyAlignment="1">
      <alignment horizontal="center" vertical="center"/>
    </xf>
    <xf numFmtId="166" fontId="17" fillId="4" borderId="2" xfId="8" applyNumberFormat="1" applyFont="1" applyFill="1" applyBorder="1" applyAlignment="1">
      <alignment horizontal="left" vertical="center"/>
    </xf>
    <xf numFmtId="164" fontId="110" fillId="0" borderId="62" xfId="1" applyFont="1" applyFill="1" applyBorder="1" applyAlignment="1">
      <alignment horizontal="center" vertical="center"/>
    </xf>
    <xf numFmtId="164" fontId="110" fillId="0" borderId="30" xfId="1" applyFont="1" applyFill="1" applyBorder="1" applyAlignment="1">
      <alignment horizontal="center" vertical="center"/>
    </xf>
    <xf numFmtId="164" fontId="111" fillId="2" borderId="21" xfId="4" applyFont="1" applyFill="1" applyBorder="1" applyAlignment="1">
      <alignment horizontal="center" vertical="center"/>
    </xf>
    <xf numFmtId="170" fontId="114" fillId="2" borderId="21" xfId="4" applyNumberFormat="1" applyFont="1" applyFill="1" applyBorder="1" applyAlignment="1">
      <alignment horizontal="center" vertical="center"/>
    </xf>
    <xf numFmtId="164" fontId="114" fillId="2" borderId="21" xfId="4" applyFont="1" applyFill="1" applyBorder="1" applyAlignment="1">
      <alignment horizontal="center" vertical="center"/>
    </xf>
    <xf numFmtId="164" fontId="114" fillId="2" borderId="66" xfId="4" applyFont="1" applyFill="1" applyBorder="1" applyAlignment="1">
      <alignment horizontal="center" vertical="center"/>
    </xf>
    <xf numFmtId="164" fontId="114" fillId="2" borderId="26" xfId="4" applyFont="1" applyFill="1" applyBorder="1" applyAlignment="1">
      <alignment horizontal="center" vertical="center"/>
    </xf>
    <xf numFmtId="0" fontId="88" fillId="4" borderId="28" xfId="8" applyFont="1" applyFill="1" applyBorder="1" applyAlignment="1">
      <alignment horizontal="center" vertical="center"/>
    </xf>
    <xf numFmtId="166" fontId="88" fillId="4" borderId="35" xfId="8" applyNumberFormat="1" applyFont="1" applyFill="1" applyBorder="1" applyAlignment="1">
      <alignment horizontal="left" vertical="center"/>
    </xf>
    <xf numFmtId="0" fontId="88" fillId="4" borderId="33" xfId="8" applyFont="1" applyFill="1" applyBorder="1" applyAlignment="1">
      <alignment horizontal="left" vertical="center"/>
    </xf>
    <xf numFmtId="0" fontId="17" fillId="4" borderId="33" xfId="8" applyFont="1" applyFill="1" applyBorder="1" applyAlignment="1">
      <alignment horizontal="left" vertical="center"/>
    </xf>
    <xf numFmtId="170" fontId="17" fillId="0" borderId="28" xfId="4" applyNumberFormat="1" applyFont="1" applyBorder="1" applyAlignment="1">
      <alignment horizontal="center" vertical="center"/>
    </xf>
    <xf numFmtId="164" fontId="17" fillId="0" borderId="34" xfId="4" applyFont="1" applyBorder="1" applyAlignment="1">
      <alignment horizontal="center" vertical="center"/>
    </xf>
    <xf numFmtId="164" fontId="17" fillId="0" borderId="35" xfId="4" applyFont="1" applyBorder="1" applyAlignment="1">
      <alignment horizontal="centerContinuous" vertical="center"/>
    </xf>
    <xf numFmtId="164" fontId="17" fillId="3" borderId="60" xfId="4" applyFont="1" applyFill="1" applyBorder="1" applyAlignment="1">
      <alignment horizontal="center" vertical="center"/>
    </xf>
    <xf numFmtId="164" fontId="17" fillId="3" borderId="33" xfId="4" applyFont="1" applyFill="1" applyBorder="1" applyAlignment="1">
      <alignment horizontal="center" vertical="center"/>
    </xf>
    <xf numFmtId="164" fontId="111" fillId="0" borderId="28" xfId="1" applyFont="1" applyFill="1" applyBorder="1" applyAlignment="1">
      <alignment horizontal="left" vertical="center"/>
    </xf>
    <xf numFmtId="0" fontId="17" fillId="4" borderId="10" xfId="8" quotePrefix="1" applyFont="1" applyFill="1" applyBorder="1" applyAlignment="1">
      <alignment horizontal="center" vertical="center"/>
    </xf>
    <xf numFmtId="166" fontId="17" fillId="0" borderId="29" xfId="8" applyNumberFormat="1" applyFont="1" applyBorder="1" applyAlignment="1">
      <alignment horizontal="left" vertical="center"/>
    </xf>
    <xf numFmtId="0" fontId="17" fillId="0" borderId="2" xfId="8" applyFont="1" applyBorder="1" applyAlignment="1">
      <alignment horizontal="left" vertical="center"/>
    </xf>
    <xf numFmtId="170" fontId="17" fillId="0" borderId="10" xfId="4" applyNumberFormat="1" applyFont="1" applyFill="1" applyBorder="1" applyAlignment="1">
      <alignment horizontal="center" vertical="center"/>
    </xf>
    <xf numFmtId="164" fontId="17" fillId="0" borderId="11" xfId="4" applyFont="1" applyFill="1" applyBorder="1" applyAlignment="1">
      <alignment horizontal="center" vertical="center"/>
    </xf>
    <xf numFmtId="164" fontId="17" fillId="0" borderId="29" xfId="4" applyFont="1" applyBorder="1" applyAlignment="1">
      <alignment horizontal="centerContinuous" vertical="center"/>
    </xf>
    <xf numFmtId="164" fontId="17" fillId="3" borderId="12" xfId="4" applyFont="1" applyFill="1" applyBorder="1" applyAlignment="1">
      <alignment horizontal="center" vertical="center"/>
    </xf>
    <xf numFmtId="164" fontId="17" fillId="3" borderId="2" xfId="4" applyFont="1" applyFill="1" applyBorder="1" applyAlignment="1">
      <alignment horizontal="center" vertical="center"/>
    </xf>
    <xf numFmtId="164" fontId="111" fillId="0" borderId="10" xfId="1" applyFont="1" applyFill="1" applyBorder="1" applyAlignment="1">
      <alignment horizontal="left" vertical="center"/>
    </xf>
    <xf numFmtId="164" fontId="17" fillId="0" borderId="11" xfId="1" applyFont="1" applyFill="1" applyBorder="1" applyAlignment="1">
      <alignment horizontal="center" vertical="center" wrapText="1"/>
    </xf>
    <xf numFmtId="164" fontId="17" fillId="3" borderId="10" xfId="11" applyNumberFormat="1" applyFont="1" applyFill="1" applyBorder="1"/>
    <xf numFmtId="164" fontId="111" fillId="3" borderId="11" xfId="4" applyFont="1" applyFill="1" applyBorder="1" applyAlignment="1">
      <alignment horizontal="center" vertical="center"/>
    </xf>
    <xf numFmtId="39" fontId="17" fillId="0" borderId="10" xfId="4" applyNumberFormat="1" applyFont="1" applyFill="1" applyBorder="1" applyAlignment="1">
      <alignment horizontal="right" vertical="center"/>
    </xf>
    <xf numFmtId="164" fontId="17" fillId="0" borderId="2" xfId="1" applyFont="1" applyBorder="1" applyAlignment="1">
      <alignment horizontal="center" vertical="center"/>
    </xf>
    <xf numFmtId="164" fontId="17" fillId="0" borderId="62" xfId="1" applyFont="1" applyBorder="1" applyAlignment="1">
      <alignment horizontal="center" vertical="center"/>
    </xf>
    <xf numFmtId="164" fontId="17" fillId="3" borderId="11" xfId="4" applyFont="1" applyFill="1" applyBorder="1" applyAlignment="1">
      <alignment horizontal="center" vertical="center"/>
    </xf>
    <xf numFmtId="164" fontId="17" fillId="3" borderId="2" xfId="11" applyNumberFormat="1" applyFont="1" applyFill="1" applyBorder="1"/>
    <xf numFmtId="0" fontId="17" fillId="4" borderId="2" xfId="8" applyFont="1" applyFill="1" applyBorder="1" applyAlignment="1">
      <alignment horizontal="left" vertical="center"/>
    </xf>
    <xf numFmtId="170" fontId="17" fillId="0" borderId="10" xfId="4" applyNumberFormat="1" applyFont="1" applyBorder="1" applyAlignment="1">
      <alignment horizontal="center" vertical="center"/>
    </xf>
    <xf numFmtId="0" fontId="17" fillId="4" borderId="17" xfId="8" quotePrefix="1" applyFont="1" applyFill="1" applyBorder="1" applyAlignment="1">
      <alignment horizontal="center" vertical="center"/>
    </xf>
    <xf numFmtId="0" fontId="17" fillId="4" borderId="3" xfId="8" applyFont="1" applyFill="1" applyBorder="1" applyAlignment="1">
      <alignment horizontal="left" vertical="center"/>
    </xf>
    <xf numFmtId="170" fontId="17" fillId="0" borderId="17" xfId="4" applyNumberFormat="1" applyFont="1" applyBorder="1" applyAlignment="1">
      <alignment horizontal="center" vertical="center"/>
    </xf>
    <xf numFmtId="164" fontId="17" fillId="0" borderId="3" xfId="4" applyFont="1" applyBorder="1" applyAlignment="1">
      <alignment horizontal="centerContinuous" vertical="center"/>
    </xf>
    <xf numFmtId="164" fontId="17" fillId="3" borderId="31" xfId="4" applyFont="1" applyFill="1" applyBorder="1" applyAlignment="1">
      <alignment horizontal="center" vertical="center"/>
    </xf>
    <xf numFmtId="164" fontId="17" fillId="3" borderId="3" xfId="4" applyFont="1" applyFill="1" applyBorder="1" applyAlignment="1">
      <alignment horizontal="center" vertical="center"/>
    </xf>
    <xf numFmtId="164" fontId="111" fillId="0" borderId="17" xfId="1" applyFont="1" applyFill="1" applyBorder="1" applyAlignment="1">
      <alignment horizontal="left" vertical="center"/>
    </xf>
    <xf numFmtId="164" fontId="116" fillId="0" borderId="17" xfId="1" applyFont="1" applyFill="1" applyBorder="1" applyAlignment="1">
      <alignment horizontal="center" vertical="center"/>
    </xf>
    <xf numFmtId="0" fontId="110" fillId="0" borderId="76" xfId="0" applyFont="1" applyBorder="1" applyAlignment="1">
      <alignment horizontal="left"/>
    </xf>
    <xf numFmtId="0" fontId="110" fillId="0" borderId="3" xfId="0" applyFont="1" applyBorder="1" applyAlignment="1">
      <alignment horizontal="left"/>
    </xf>
    <xf numFmtId="170" fontId="110" fillId="0" borderId="17" xfId="3" applyNumberFormat="1" applyFont="1" applyFill="1" applyBorder="1"/>
    <xf numFmtId="0" fontId="110" fillId="0" borderId="17" xfId="0" applyFont="1" applyBorder="1" applyAlignment="1">
      <alignment horizontal="center"/>
    </xf>
    <xf numFmtId="43" fontId="110" fillId="0" borderId="3" xfId="3" applyFont="1" applyFill="1" applyBorder="1"/>
    <xf numFmtId="43" fontId="110" fillId="0" borderId="74" xfId="3" applyFont="1" applyFill="1" applyBorder="1"/>
    <xf numFmtId="0" fontId="88" fillId="4" borderId="18" xfId="8" quotePrefix="1" applyFont="1" applyFill="1" applyBorder="1" applyAlignment="1">
      <alignment horizontal="center" vertical="center"/>
    </xf>
    <xf numFmtId="166" fontId="88" fillId="4" borderId="32" xfId="8" applyNumberFormat="1" applyFont="1" applyFill="1" applyBorder="1" applyAlignment="1">
      <alignment horizontal="left" vertical="center"/>
    </xf>
    <xf numFmtId="0" fontId="88" fillId="4" borderId="1" xfId="8" applyFont="1" applyFill="1" applyBorder="1" applyAlignment="1">
      <alignment horizontal="left" vertical="center"/>
    </xf>
    <xf numFmtId="0" fontId="17" fillId="4" borderId="1" xfId="8" applyFont="1" applyFill="1" applyBorder="1" applyAlignment="1">
      <alignment horizontal="left" vertical="center"/>
    </xf>
    <xf numFmtId="170" fontId="17" fillId="0" borderId="18" xfId="4" applyNumberFormat="1" applyFont="1" applyBorder="1" applyAlignment="1">
      <alignment horizontal="center" vertical="center"/>
    </xf>
    <xf numFmtId="164" fontId="17" fillId="0" borderId="20" xfId="4" applyFont="1" applyBorder="1" applyAlignment="1">
      <alignment horizontal="center" vertical="center"/>
    </xf>
    <xf numFmtId="164" fontId="17" fillId="0" borderId="32" xfId="4" applyFont="1" applyBorder="1" applyAlignment="1">
      <alignment horizontal="centerContinuous" vertical="center"/>
    </xf>
    <xf numFmtId="164" fontId="17" fillId="3" borderId="19" xfId="4" applyFont="1" applyFill="1" applyBorder="1" applyAlignment="1">
      <alignment horizontal="center" vertical="center"/>
    </xf>
    <xf numFmtId="164" fontId="17" fillId="3" borderId="1" xfId="4" applyFont="1" applyFill="1" applyBorder="1" applyAlignment="1">
      <alignment horizontal="center" vertical="center"/>
    </xf>
    <xf numFmtId="164" fontId="111" fillId="0" borderId="18" xfId="1" applyFont="1" applyFill="1" applyBorder="1" applyAlignment="1">
      <alignment horizontal="left" vertical="center"/>
    </xf>
    <xf numFmtId="164" fontId="17" fillId="0" borderId="63" xfId="12" applyFont="1" applyBorder="1"/>
    <xf numFmtId="43" fontId="17" fillId="3" borderId="11" xfId="1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 wrapText="1"/>
    </xf>
    <xf numFmtId="170" fontId="17" fillId="0" borderId="10" xfId="1" applyNumberFormat="1" applyFont="1" applyBorder="1" applyAlignment="1">
      <alignment horizontal="center" vertical="center"/>
    </xf>
    <xf numFmtId="164" fontId="17" fillId="0" borderId="2" xfId="12" applyFont="1" applyBorder="1"/>
    <xf numFmtId="43" fontId="17" fillId="3" borderId="12" xfId="10" applyFont="1" applyFill="1" applyBorder="1" applyAlignment="1">
      <alignment vertical="center"/>
    </xf>
    <xf numFmtId="176" fontId="88" fillId="4" borderId="10" xfId="0" applyNumberFormat="1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176" fontId="88" fillId="4" borderId="17" xfId="0" applyNumberFormat="1" applyFont="1" applyFill="1" applyBorder="1" applyAlignment="1">
      <alignment horizontal="center" vertical="center"/>
    </xf>
    <xf numFmtId="0" fontId="17" fillId="3" borderId="76" xfId="0" quotePrefix="1" applyFont="1" applyFill="1" applyBorder="1" applyAlignment="1">
      <alignment horizontal="left" vertical="center"/>
    </xf>
    <xf numFmtId="0" fontId="17" fillId="3" borderId="3" xfId="0" applyFont="1" applyFill="1" applyBorder="1" applyAlignment="1">
      <alignment vertical="center"/>
    </xf>
    <xf numFmtId="0" fontId="17" fillId="3" borderId="3" xfId="0" applyFont="1" applyFill="1" applyBorder="1" applyAlignment="1">
      <alignment vertical="center" wrapText="1"/>
    </xf>
    <xf numFmtId="170" fontId="17" fillId="0" borderId="17" xfId="1" applyNumberFormat="1" applyFont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164" fontId="17" fillId="0" borderId="3" xfId="12" applyFont="1" applyBorder="1"/>
    <xf numFmtId="43" fontId="17" fillId="3" borderId="31" xfId="10" applyFont="1" applyFill="1" applyBorder="1" applyAlignment="1">
      <alignment vertical="center"/>
    </xf>
    <xf numFmtId="164" fontId="17" fillId="0" borderId="72" xfId="12" applyFont="1" applyBorder="1"/>
    <xf numFmtId="43" fontId="17" fillId="3" borderId="30" xfId="10" applyFont="1" applyFill="1" applyBorder="1" applyAlignment="1">
      <alignment vertical="center"/>
    </xf>
    <xf numFmtId="164" fontId="17" fillId="3" borderId="17" xfId="11" applyNumberFormat="1" applyFont="1" applyFill="1" applyBorder="1"/>
    <xf numFmtId="176" fontId="88" fillId="4" borderId="18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vertical="center"/>
    </xf>
    <xf numFmtId="0" fontId="17" fillId="3" borderId="1" xfId="0" applyFont="1" applyFill="1" applyBorder="1" applyAlignment="1">
      <alignment vertical="center" wrapText="1"/>
    </xf>
    <xf numFmtId="170" fontId="17" fillId="0" borderId="18" xfId="1" applyNumberFormat="1" applyFont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164" fontId="17" fillId="0" borderId="1" xfId="12" applyFont="1" applyBorder="1"/>
    <xf numFmtId="164" fontId="17" fillId="0" borderId="77" xfId="1" applyFont="1" applyBorder="1" applyAlignment="1">
      <alignment horizontal="center" vertical="center"/>
    </xf>
    <xf numFmtId="164" fontId="17" fillId="0" borderId="61" xfId="12" applyFont="1" applyBorder="1"/>
    <xf numFmtId="43" fontId="17" fillId="3" borderId="20" xfId="10" applyFont="1" applyFill="1" applyBorder="1" applyAlignment="1">
      <alignment vertical="center"/>
    </xf>
    <xf numFmtId="164" fontId="17" fillId="3" borderId="18" xfId="1" applyFont="1" applyFill="1" applyBorder="1" applyAlignment="1">
      <alignment horizontal="center" vertical="center"/>
    </xf>
    <xf numFmtId="176" fontId="17" fillId="4" borderId="10" xfId="0" applyNumberFormat="1" applyFont="1" applyFill="1" applyBorder="1" applyAlignment="1">
      <alignment horizontal="center" vertical="center"/>
    </xf>
    <xf numFmtId="164" fontId="17" fillId="3" borderId="63" xfId="4" applyFont="1" applyFill="1" applyBorder="1" applyAlignment="1">
      <alignment horizontal="center" vertical="center"/>
    </xf>
    <xf numFmtId="166" fontId="17" fillId="4" borderId="3" xfId="8" applyNumberFormat="1" applyFont="1" applyFill="1" applyBorder="1" applyAlignment="1">
      <alignment horizontal="left" vertical="center"/>
    </xf>
    <xf numFmtId="164" fontId="17" fillId="0" borderId="78" xfId="12" applyFont="1" applyBorder="1"/>
    <xf numFmtId="164" fontId="17" fillId="3" borderId="30" xfId="11" applyNumberFormat="1" applyFont="1" applyFill="1" applyBorder="1"/>
    <xf numFmtId="0" fontId="116" fillId="0" borderId="17" xfId="0" applyFont="1" applyBorder="1" applyAlignment="1">
      <alignment horizontal="center" vertical="center"/>
    </xf>
    <xf numFmtId="0" fontId="101" fillId="0" borderId="3" xfId="0" applyFont="1" applyBorder="1" applyAlignment="1">
      <alignment horizontal="left"/>
    </xf>
    <xf numFmtId="164" fontId="17" fillId="3" borderId="18" xfId="11" applyNumberFormat="1" applyFont="1" applyFill="1" applyBorder="1"/>
    <xf numFmtId="176" fontId="17" fillId="0" borderId="10" xfId="0" applyNumberFormat="1" applyFont="1" applyBorder="1" applyAlignment="1">
      <alignment horizontal="center" vertical="center"/>
    </xf>
    <xf numFmtId="166" fontId="117" fillId="0" borderId="29" xfId="8" applyNumberFormat="1" applyFont="1" applyBorder="1" applyAlignment="1">
      <alignment horizontal="left" vertical="center"/>
    </xf>
    <xf numFmtId="164" fontId="111" fillId="0" borderId="11" xfId="1" applyFont="1" applyFill="1" applyBorder="1" applyAlignment="1">
      <alignment horizontal="center" vertical="center" wrapText="1"/>
    </xf>
    <xf numFmtId="164" fontId="17" fillId="0" borderId="29" xfId="4" applyFont="1" applyFill="1" applyBorder="1" applyAlignment="1">
      <alignment horizontal="centerContinuous" vertical="center"/>
    </xf>
    <xf numFmtId="164" fontId="17" fillId="0" borderId="12" xfId="4" applyFont="1" applyFill="1" applyBorder="1" applyAlignment="1">
      <alignment horizontal="center" vertical="center"/>
    </xf>
    <xf numFmtId="164" fontId="17" fillId="0" borderId="2" xfId="4" applyFont="1" applyFill="1" applyBorder="1" applyAlignment="1">
      <alignment horizontal="center" vertical="center"/>
    </xf>
    <xf numFmtId="164" fontId="17" fillId="0" borderId="10" xfId="11" applyNumberFormat="1" applyFont="1" applyFill="1" applyBorder="1"/>
    <xf numFmtId="176" fontId="86" fillId="0" borderId="10" xfId="0" applyNumberFormat="1" applyFont="1" applyBorder="1" applyAlignment="1">
      <alignment horizontal="center" vertical="center"/>
    </xf>
    <xf numFmtId="176" fontId="86" fillId="0" borderId="10" xfId="0" quotePrefix="1" applyNumberFormat="1" applyFont="1" applyBorder="1" applyAlignment="1">
      <alignment horizontal="center" vertical="center"/>
    </xf>
    <xf numFmtId="176" fontId="114" fillId="0" borderId="10" xfId="0" applyNumberFormat="1" applyFont="1" applyBorder="1" applyAlignment="1">
      <alignment horizontal="center" vertical="center"/>
    </xf>
    <xf numFmtId="0" fontId="17" fillId="4" borderId="17" xfId="8" applyFont="1" applyFill="1" applyBorder="1" applyAlignment="1">
      <alignment horizontal="center" vertical="center"/>
    </xf>
    <xf numFmtId="164" fontId="17" fillId="0" borderId="30" xfId="4" applyFont="1" applyBorder="1" applyAlignment="1">
      <alignment horizontal="center" vertical="center"/>
    </xf>
    <xf numFmtId="164" fontId="17" fillId="0" borderId="76" xfId="4" applyFont="1" applyBorder="1" applyAlignment="1">
      <alignment horizontal="center" vertical="center"/>
    </xf>
    <xf numFmtId="176" fontId="88" fillId="0" borderId="18" xfId="0" applyNumberFormat="1" applyFont="1" applyBorder="1" applyAlignment="1">
      <alignment horizontal="center" vertical="center"/>
    </xf>
    <xf numFmtId="166" fontId="88" fillId="0" borderId="32" xfId="8" applyNumberFormat="1" applyFont="1" applyBorder="1" applyAlignment="1">
      <alignment horizontal="left" vertical="center"/>
    </xf>
    <xf numFmtId="0" fontId="17" fillId="0" borderId="1" xfId="8" applyFont="1" applyBorder="1" applyAlignment="1">
      <alignment horizontal="left" vertical="center"/>
    </xf>
    <xf numFmtId="170" fontId="17" fillId="0" borderId="18" xfId="4" applyNumberFormat="1" applyFont="1" applyFill="1" applyBorder="1" applyAlignment="1">
      <alignment horizontal="center" vertical="center"/>
    </xf>
    <xf numFmtId="164" fontId="17" fillId="0" borderId="20" xfId="4" applyFont="1" applyFill="1" applyBorder="1" applyAlignment="1">
      <alignment horizontal="center" vertical="center"/>
    </xf>
    <xf numFmtId="164" fontId="17" fillId="0" borderId="32" xfId="4" applyFont="1" applyBorder="1" applyAlignment="1">
      <alignment horizontal="center" vertical="center"/>
    </xf>
    <xf numFmtId="164" fontId="17" fillId="0" borderId="11" xfId="4" applyFont="1" applyBorder="1" applyAlignment="1">
      <alignment horizontal="center" vertical="center"/>
    </xf>
    <xf numFmtId="176" fontId="17" fillId="4" borderId="17" xfId="0" applyNumberFormat="1" applyFont="1" applyFill="1" applyBorder="1" applyAlignment="1">
      <alignment horizontal="center" vertical="center"/>
    </xf>
    <xf numFmtId="164" fontId="17" fillId="0" borderId="76" xfId="4" applyFont="1" applyBorder="1" applyAlignment="1">
      <alignment horizontal="centerContinuous" vertical="center"/>
    </xf>
    <xf numFmtId="176" fontId="118" fillId="0" borderId="10" xfId="0" applyNumberFormat="1" applyFont="1" applyBorder="1" applyAlignment="1">
      <alignment horizontal="center" vertical="center"/>
    </xf>
    <xf numFmtId="166" fontId="118" fillId="0" borderId="29" xfId="8" applyNumberFormat="1" applyFont="1" applyBorder="1" applyAlignment="1">
      <alignment horizontal="left" vertical="center"/>
    </xf>
    <xf numFmtId="170" fontId="112" fillId="0" borderId="0" xfId="0" applyNumberFormat="1" applyFont="1"/>
    <xf numFmtId="164" fontId="111" fillId="0" borderId="10" xfId="1" applyFont="1" applyFill="1" applyBorder="1"/>
    <xf numFmtId="164" fontId="111" fillId="0" borderId="17" xfId="1" applyFont="1" applyFill="1" applyBorder="1"/>
    <xf numFmtId="164" fontId="111" fillId="0" borderId="18" xfId="1" applyFont="1" applyFill="1" applyBorder="1"/>
    <xf numFmtId="176" fontId="88" fillId="0" borderId="18" xfId="0" quotePrefix="1" applyNumberFormat="1" applyFont="1" applyBorder="1" applyAlignment="1">
      <alignment horizontal="center" vertical="center"/>
    </xf>
    <xf numFmtId="164" fontId="17" fillId="0" borderId="32" xfId="4" applyFont="1" applyFill="1" applyBorder="1" applyAlignment="1">
      <alignment horizontal="centerContinuous" vertical="center"/>
    </xf>
    <xf numFmtId="164" fontId="17" fillId="0" borderId="19" xfId="4" applyFont="1" applyFill="1" applyBorder="1" applyAlignment="1">
      <alignment horizontal="center" vertical="center"/>
    </xf>
    <xf numFmtId="164" fontId="17" fillId="0" borderId="1" xfId="4" applyFont="1" applyFill="1" applyBorder="1" applyAlignment="1">
      <alignment horizontal="center" vertical="center"/>
    </xf>
    <xf numFmtId="37" fontId="17" fillId="0" borderId="29" xfId="4" applyNumberFormat="1" applyFont="1" applyFill="1" applyBorder="1" applyAlignment="1">
      <alignment horizontal="right" vertical="center"/>
    </xf>
    <xf numFmtId="37" fontId="17" fillId="0" borderId="12" xfId="4" applyNumberFormat="1" applyFont="1" applyFill="1" applyBorder="1" applyAlignment="1">
      <alignment horizontal="right" vertical="center"/>
    </xf>
    <xf numFmtId="37" fontId="17" fillId="0" borderId="2" xfId="4" applyNumberFormat="1" applyFont="1" applyFill="1" applyBorder="1" applyAlignment="1">
      <alignment horizontal="right" vertical="center"/>
    </xf>
    <xf numFmtId="176" fontId="17" fillId="0" borderId="17" xfId="0" applyNumberFormat="1" applyFont="1" applyBorder="1" applyAlignment="1">
      <alignment horizontal="center" vertical="center"/>
    </xf>
    <xf numFmtId="0" fontId="17" fillId="0" borderId="3" xfId="8" applyFont="1" applyBorder="1" applyAlignment="1">
      <alignment horizontal="left" vertical="center"/>
    </xf>
    <xf numFmtId="170" fontId="17" fillId="0" borderId="17" xfId="4" applyNumberFormat="1" applyFont="1" applyFill="1" applyBorder="1" applyAlignment="1">
      <alignment horizontal="center" vertical="center"/>
    </xf>
    <xf numFmtId="164" fontId="17" fillId="0" borderId="30" xfId="4" applyFont="1" applyFill="1" applyBorder="1" applyAlignment="1">
      <alignment horizontal="center" vertical="center"/>
    </xf>
    <xf numFmtId="164" fontId="17" fillId="0" borderId="76" xfId="4" applyFont="1" applyFill="1" applyBorder="1" applyAlignment="1">
      <alignment horizontal="centerContinuous" vertical="center"/>
    </xf>
    <xf numFmtId="164" fontId="17" fillId="0" borderId="31" xfId="4" applyFont="1" applyFill="1" applyBorder="1" applyAlignment="1">
      <alignment horizontal="center" vertical="center"/>
    </xf>
    <xf numFmtId="164" fontId="17" fillId="0" borderId="3" xfId="4" applyFont="1" applyFill="1" applyBorder="1" applyAlignment="1">
      <alignment horizontal="center" vertical="center"/>
    </xf>
    <xf numFmtId="176" fontId="88" fillId="4" borderId="18" xfId="0" quotePrefix="1" applyNumberFormat="1" applyFont="1" applyFill="1" applyBorder="1" applyAlignment="1">
      <alignment horizontal="center" vertical="center"/>
    </xf>
    <xf numFmtId="164" fontId="17" fillId="3" borderId="20" xfId="4" applyFont="1" applyFill="1" applyBorder="1" applyAlignment="1">
      <alignment horizontal="center" vertical="center"/>
    </xf>
    <xf numFmtId="164" fontId="111" fillId="3" borderId="20" xfId="4" applyFont="1" applyFill="1" applyBorder="1" applyAlignment="1">
      <alignment horizontal="center" vertical="center"/>
    </xf>
    <xf numFmtId="164" fontId="17" fillId="0" borderId="10" xfId="9" applyNumberFormat="1" applyFont="1" applyBorder="1" applyAlignment="1">
      <alignment horizontal="center"/>
    </xf>
    <xf numFmtId="164" fontId="17" fillId="0" borderId="11" xfId="1" applyFont="1" applyBorder="1" applyAlignment="1">
      <alignment horizontal="center" vertical="center"/>
    </xf>
    <xf numFmtId="164" fontId="17" fillId="0" borderId="2" xfId="1" applyFont="1" applyFill="1" applyBorder="1" applyAlignment="1">
      <alignment horizontal="center" vertical="center"/>
    </xf>
    <xf numFmtId="170" fontId="17" fillId="0" borderId="10" xfId="9" applyNumberFormat="1" applyFont="1" applyBorder="1" applyAlignment="1">
      <alignment horizontal="center" vertical="center"/>
    </xf>
    <xf numFmtId="164" fontId="17" fillId="0" borderId="12" xfId="1" applyFont="1" applyBorder="1" applyAlignment="1">
      <alignment horizontal="center" vertical="center"/>
    </xf>
    <xf numFmtId="164" fontId="111" fillId="0" borderId="11" xfId="1" applyFont="1" applyBorder="1" applyAlignment="1">
      <alignment horizontal="center" vertical="center"/>
    </xf>
    <xf numFmtId="170" fontId="17" fillId="0" borderId="17" xfId="9" applyNumberFormat="1" applyFont="1" applyBorder="1" applyAlignment="1">
      <alignment horizontal="center" vertical="center"/>
    </xf>
    <xf numFmtId="164" fontId="17" fillId="0" borderId="17" xfId="9" applyNumberFormat="1" applyFont="1" applyBorder="1" applyAlignment="1">
      <alignment horizontal="center"/>
    </xf>
    <xf numFmtId="164" fontId="17" fillId="0" borderId="3" xfId="1" applyFont="1" applyBorder="1" applyAlignment="1">
      <alignment horizontal="center" vertical="center"/>
    </xf>
    <xf numFmtId="164" fontId="17" fillId="0" borderId="31" xfId="1" applyFont="1" applyBorder="1" applyAlignment="1">
      <alignment horizontal="center" vertical="center"/>
    </xf>
    <xf numFmtId="164" fontId="17" fillId="0" borderId="78" xfId="1" applyFont="1" applyBorder="1" applyAlignment="1">
      <alignment horizontal="center" vertical="center"/>
    </xf>
    <xf numFmtId="164" fontId="17" fillId="0" borderId="30" xfId="1" applyFont="1" applyBorder="1" applyAlignment="1">
      <alignment horizontal="center" vertical="center"/>
    </xf>
    <xf numFmtId="164" fontId="111" fillId="0" borderId="30" xfId="1" applyFont="1" applyBorder="1" applyAlignment="1">
      <alignment horizontal="center" vertical="center"/>
    </xf>
    <xf numFmtId="170" fontId="17" fillId="0" borderId="18" xfId="9" applyNumberFormat="1" applyFont="1" applyBorder="1" applyAlignment="1">
      <alignment horizontal="center" vertical="center"/>
    </xf>
    <xf numFmtId="164" fontId="17" fillId="0" borderId="18" xfId="9" applyNumberFormat="1" applyFont="1" applyBorder="1" applyAlignment="1">
      <alignment horizontal="center"/>
    </xf>
    <xf numFmtId="164" fontId="17" fillId="0" borderId="1" xfId="1" applyFont="1" applyBorder="1" applyAlignment="1">
      <alignment horizontal="center" vertical="center"/>
    </xf>
    <xf numFmtId="164" fontId="17" fillId="0" borderId="19" xfId="1" applyFont="1" applyBorder="1" applyAlignment="1">
      <alignment horizontal="center" vertical="center"/>
    </xf>
    <xf numFmtId="164" fontId="17" fillId="0" borderId="58" xfId="1" applyFont="1" applyBorder="1" applyAlignment="1">
      <alignment horizontal="center" vertical="center"/>
    </xf>
    <xf numFmtId="164" fontId="17" fillId="0" borderId="20" xfId="1" applyFont="1" applyBorder="1" applyAlignment="1">
      <alignment horizontal="center" vertical="center"/>
    </xf>
    <xf numFmtId="164" fontId="111" fillId="0" borderId="20" xfId="1" applyFont="1" applyBorder="1" applyAlignment="1">
      <alignment horizontal="center" vertical="center"/>
    </xf>
    <xf numFmtId="170" fontId="17" fillId="0" borderId="10" xfId="9" applyNumberFormat="1" applyFont="1" applyFill="1" applyBorder="1" applyAlignment="1">
      <alignment horizontal="center" vertical="center"/>
    </xf>
    <xf numFmtId="164" fontId="17" fillId="3" borderId="30" xfId="4" applyFont="1" applyFill="1" applyBorder="1" applyAlignment="1">
      <alignment horizontal="center" vertical="center"/>
    </xf>
    <xf numFmtId="176" fontId="17" fillId="4" borderId="10" xfId="0" quotePrefix="1" applyNumberFormat="1" applyFont="1" applyFill="1" applyBorder="1" applyAlignment="1">
      <alignment horizontal="center" vertical="center"/>
    </xf>
    <xf numFmtId="164" fontId="17" fillId="0" borderId="11" xfId="9" applyNumberFormat="1" applyFont="1" applyBorder="1" applyAlignment="1">
      <alignment horizontal="center"/>
    </xf>
    <xf numFmtId="164" fontId="17" fillId="0" borderId="20" xfId="9" applyNumberFormat="1" applyFont="1" applyBorder="1" applyAlignment="1">
      <alignment horizontal="center"/>
    </xf>
    <xf numFmtId="164" fontId="17" fillId="4" borderId="11" xfId="4" applyFont="1" applyFill="1" applyBorder="1" applyAlignment="1">
      <alignment horizontal="center" vertical="center" wrapText="1"/>
    </xf>
    <xf numFmtId="170" fontId="17" fillId="0" borderId="17" xfId="9" applyNumberFormat="1" applyFont="1" applyFill="1" applyBorder="1" applyAlignment="1">
      <alignment horizontal="center" vertical="center"/>
    </xf>
    <xf numFmtId="164" fontId="17" fillId="0" borderId="30" xfId="9" applyNumberFormat="1" applyFont="1" applyBorder="1" applyAlignment="1">
      <alignment horizontal="center"/>
    </xf>
    <xf numFmtId="164" fontId="17" fillId="0" borderId="10" xfId="9" applyNumberFormat="1" applyFont="1" applyFill="1" applyBorder="1" applyAlignment="1">
      <alignment horizontal="center"/>
    </xf>
    <xf numFmtId="164" fontId="17" fillId="0" borderId="12" xfId="1" applyFont="1" applyFill="1" applyBorder="1" applyAlignment="1">
      <alignment horizontal="center" vertical="center"/>
    </xf>
    <xf numFmtId="164" fontId="17" fillId="0" borderId="62" xfId="1" applyFont="1" applyFill="1" applyBorder="1" applyAlignment="1">
      <alignment horizontal="center" vertical="center"/>
    </xf>
    <xf numFmtId="164" fontId="17" fillId="0" borderId="11" xfId="1" applyFont="1" applyFill="1" applyBorder="1" applyAlignment="1">
      <alignment horizontal="center" vertical="center"/>
    </xf>
    <xf numFmtId="166" fontId="17" fillId="4" borderId="2" xfId="0" applyNumberFormat="1" applyFont="1" applyFill="1" applyBorder="1" applyAlignment="1">
      <alignment vertical="center"/>
    </xf>
    <xf numFmtId="176" fontId="17" fillId="4" borderId="36" xfId="0" applyNumberFormat="1" applyFont="1" applyFill="1" applyBorder="1" applyAlignment="1">
      <alignment horizontal="center" vertical="center"/>
    </xf>
    <xf numFmtId="166" fontId="17" fillId="4" borderId="37" xfId="8" applyNumberFormat="1" applyFont="1" applyFill="1" applyBorder="1" applyAlignment="1">
      <alignment horizontal="left" vertical="center"/>
    </xf>
    <xf numFmtId="0" fontId="17" fillId="4" borderId="38" xfId="0" applyFont="1" applyFill="1" applyBorder="1" applyAlignment="1">
      <alignment vertical="center"/>
    </xf>
    <xf numFmtId="170" fontId="17" fillId="0" borderId="36" xfId="9" applyNumberFormat="1" applyFont="1" applyBorder="1" applyAlignment="1">
      <alignment horizontal="center" vertical="center"/>
    </xf>
    <xf numFmtId="164" fontId="17" fillId="0" borderId="36" xfId="9" applyNumberFormat="1" applyFont="1" applyBorder="1" applyAlignment="1">
      <alignment horizontal="center"/>
    </xf>
    <xf numFmtId="164" fontId="17" fillId="0" borderId="38" xfId="1" applyFont="1" applyBorder="1" applyAlignment="1">
      <alignment horizontal="center" vertical="center"/>
    </xf>
    <xf numFmtId="164" fontId="17" fillId="0" borderId="70" xfId="1" applyFont="1" applyBorder="1" applyAlignment="1">
      <alignment horizontal="center" vertical="center"/>
    </xf>
    <xf numFmtId="164" fontId="17" fillId="0" borderId="69" xfId="1" applyFont="1" applyBorder="1" applyAlignment="1">
      <alignment horizontal="center" vertical="center"/>
    </xf>
    <xf numFmtId="164" fontId="17" fillId="3" borderId="70" xfId="4" applyFont="1" applyFill="1" applyBorder="1" applyAlignment="1">
      <alignment horizontal="center" vertical="center"/>
    </xf>
    <xf numFmtId="164" fontId="17" fillId="3" borderId="39" xfId="4" applyFont="1" applyFill="1" applyBorder="1" applyAlignment="1">
      <alignment horizontal="center" vertical="center"/>
    </xf>
    <xf numFmtId="0" fontId="121" fillId="0" borderId="0" xfId="0" applyFont="1" applyAlignment="1">
      <alignment horizontal="center"/>
    </xf>
    <xf numFmtId="0" fontId="122" fillId="0" borderId="0" xfId="0" applyFont="1"/>
    <xf numFmtId="164" fontId="123" fillId="0" borderId="20" xfId="1" applyFont="1" applyFill="1" applyBorder="1" applyAlignment="1">
      <alignment horizontal="center" vertical="center"/>
    </xf>
    <xf numFmtId="164" fontId="116" fillId="0" borderId="30" xfId="1" applyFont="1" applyFill="1" applyBorder="1" applyAlignment="1">
      <alignment horizontal="left" vertical="center"/>
    </xf>
    <xf numFmtId="176" fontId="17" fillId="4" borderId="10" xfId="8" applyNumberFormat="1" applyFont="1" applyFill="1" applyBorder="1" applyAlignment="1">
      <alignment horizontal="left" vertical="center"/>
    </xf>
    <xf numFmtId="164" fontId="116" fillId="0" borderId="18" xfId="1" applyFont="1" applyFill="1" applyBorder="1"/>
    <xf numFmtId="166" fontId="88" fillId="0" borderId="29" xfId="8" applyNumberFormat="1" applyFont="1" applyBorder="1" applyAlignment="1">
      <alignment horizontal="left" vertical="center"/>
    </xf>
    <xf numFmtId="164" fontId="116" fillId="0" borderId="10" xfId="1" applyFont="1" applyFill="1" applyBorder="1"/>
    <xf numFmtId="176" fontId="88" fillId="4" borderId="10" xfId="0" quotePrefix="1" applyNumberFormat="1" applyFont="1" applyFill="1" applyBorder="1" applyAlignment="1">
      <alignment horizontal="center" vertical="center"/>
    </xf>
    <xf numFmtId="166" fontId="88" fillId="4" borderId="29" xfId="8" applyNumberFormat="1" applyFont="1" applyFill="1" applyBorder="1" applyAlignment="1">
      <alignment horizontal="left" vertical="center"/>
    </xf>
    <xf numFmtId="0" fontId="88" fillId="4" borderId="2" xfId="8" applyFont="1" applyFill="1" applyBorder="1" applyAlignment="1">
      <alignment horizontal="left" vertical="center"/>
    </xf>
    <xf numFmtId="170" fontId="17" fillId="0" borderId="10" xfId="9" applyNumberFormat="1" applyFont="1" applyFill="1" applyBorder="1" applyAlignment="1">
      <alignment horizontal="right" vertical="center"/>
    </xf>
    <xf numFmtId="37" fontId="17" fillId="0" borderId="10" xfId="4" applyNumberFormat="1" applyFont="1" applyFill="1" applyBorder="1" applyAlignment="1">
      <alignment horizontal="right" vertical="center"/>
    </xf>
    <xf numFmtId="176" fontId="17" fillId="4" borderId="13" xfId="0" applyNumberFormat="1" applyFont="1" applyFill="1" applyBorder="1" applyAlignment="1">
      <alignment horizontal="center" vertical="center"/>
    </xf>
    <xf numFmtId="166" fontId="17" fillId="4" borderId="79" xfId="8" applyNumberFormat="1" applyFont="1" applyFill="1" applyBorder="1" applyAlignment="1">
      <alignment horizontal="left" vertical="center"/>
    </xf>
    <xf numFmtId="0" fontId="17" fillId="4" borderId="0" xfId="0" applyFont="1" applyFill="1" applyAlignment="1">
      <alignment vertical="center"/>
    </xf>
    <xf numFmtId="170" fontId="17" fillId="0" borderId="13" xfId="9" applyNumberFormat="1" applyFont="1" applyBorder="1" applyAlignment="1">
      <alignment horizontal="center" vertical="center"/>
    </xf>
    <xf numFmtId="164" fontId="17" fillId="0" borderId="13" xfId="9" applyNumberFormat="1" applyFont="1" applyBorder="1" applyAlignment="1">
      <alignment horizontal="center"/>
    </xf>
    <xf numFmtId="164" fontId="17" fillId="0" borderId="0" xfId="1" applyFont="1" applyBorder="1" applyAlignment="1">
      <alignment horizontal="center" vertical="center"/>
    </xf>
    <xf numFmtId="164" fontId="17" fillId="0" borderId="15" xfId="1" applyFont="1" applyBorder="1" applyAlignment="1">
      <alignment horizontal="center" vertical="center"/>
    </xf>
    <xf numFmtId="164" fontId="17" fillId="0" borderId="64" xfId="1" applyFont="1" applyBorder="1" applyAlignment="1">
      <alignment horizontal="center" vertical="center"/>
    </xf>
    <xf numFmtId="164" fontId="17" fillId="0" borderId="14" xfId="1" applyFont="1" applyBorder="1" applyAlignment="1">
      <alignment horizontal="center" vertical="center"/>
    </xf>
    <xf numFmtId="0" fontId="88" fillId="4" borderId="10" xfId="8" quotePrefix="1" applyFont="1" applyFill="1" applyBorder="1" applyAlignment="1">
      <alignment horizontal="center" vertical="center"/>
    </xf>
    <xf numFmtId="164" fontId="88" fillId="4" borderId="29" xfId="8" applyNumberFormat="1" applyFont="1" applyFill="1" applyBorder="1" applyAlignment="1">
      <alignment horizontal="left" vertical="center"/>
    </xf>
    <xf numFmtId="164" fontId="17" fillId="4" borderId="29" xfId="8" applyNumberFormat="1" applyFont="1" applyFill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170" fontId="17" fillId="0" borderId="18" xfId="9" applyNumberFormat="1" applyFont="1" applyFill="1" applyBorder="1" applyAlignment="1">
      <alignment horizontal="center" vertical="center"/>
    </xf>
    <xf numFmtId="164" fontId="17" fillId="0" borderId="18" xfId="9" applyNumberFormat="1" applyFont="1" applyFill="1" applyBorder="1" applyAlignment="1">
      <alignment horizontal="center"/>
    </xf>
    <xf numFmtId="164" fontId="17" fillId="0" borderId="1" xfId="1" applyFont="1" applyFill="1" applyBorder="1" applyAlignment="1">
      <alignment horizontal="center" vertical="center"/>
    </xf>
    <xf numFmtId="164" fontId="17" fillId="0" borderId="58" xfId="1" applyFont="1" applyFill="1" applyBorder="1" applyAlignment="1">
      <alignment horizontal="center" vertical="center"/>
    </xf>
    <xf numFmtId="164" fontId="17" fillId="0" borderId="20" xfId="1" applyFont="1" applyFill="1" applyBorder="1" applyAlignment="1">
      <alignment horizontal="center" vertical="center"/>
    </xf>
    <xf numFmtId="176" fontId="17" fillId="0" borderId="10" xfId="0" quotePrefix="1" applyNumberFormat="1" applyFont="1" applyBorder="1" applyAlignment="1">
      <alignment horizontal="center" vertical="center"/>
    </xf>
    <xf numFmtId="170" fontId="126" fillId="0" borderId="10" xfId="9" applyNumberFormat="1" applyFont="1" applyFill="1" applyBorder="1" applyAlignment="1">
      <alignment horizontal="center" vertical="center"/>
    </xf>
    <xf numFmtId="164" fontId="126" fillId="0" borderId="20" xfId="1" applyFont="1" applyFill="1" applyBorder="1" applyAlignment="1">
      <alignment horizontal="center" vertical="center" wrapText="1"/>
    </xf>
    <xf numFmtId="164" fontId="126" fillId="0" borderId="2" xfId="1" applyFont="1" applyFill="1" applyBorder="1" applyAlignment="1">
      <alignment horizontal="center" vertical="center"/>
    </xf>
    <xf numFmtId="164" fontId="126" fillId="0" borderId="12" xfId="4" applyFont="1" applyFill="1" applyBorder="1" applyAlignment="1">
      <alignment horizontal="center" vertical="center"/>
    </xf>
    <xf numFmtId="164" fontId="126" fillId="0" borderId="62" xfId="1" applyFont="1" applyFill="1" applyBorder="1" applyAlignment="1">
      <alignment horizontal="center" vertical="center"/>
    </xf>
    <xf numFmtId="164" fontId="126" fillId="0" borderId="11" xfId="4" applyFont="1" applyFill="1" applyBorder="1" applyAlignment="1">
      <alignment horizontal="center" vertical="center"/>
    </xf>
    <xf numFmtId="166" fontId="17" fillId="0" borderId="32" xfId="8" applyNumberFormat="1" applyFont="1" applyBorder="1" applyAlignment="1">
      <alignment horizontal="left" vertical="center"/>
    </xf>
    <xf numFmtId="164" fontId="111" fillId="0" borderId="11" xfId="1" applyFont="1" applyFill="1" applyBorder="1" applyAlignment="1">
      <alignment horizontal="center" vertical="center"/>
    </xf>
    <xf numFmtId="181" fontId="101" fillId="3" borderId="18" xfId="6" quotePrefix="1" applyNumberFormat="1" applyFont="1" applyFill="1" applyBorder="1" applyAlignment="1">
      <alignment horizontal="center"/>
    </xf>
    <xf numFmtId="0" fontId="108" fillId="0" borderId="1" xfId="0" applyFont="1" applyBorder="1" applyAlignment="1">
      <alignment vertical="center"/>
    </xf>
    <xf numFmtId="164" fontId="116" fillId="0" borderId="18" xfId="1" applyFont="1" applyFill="1" applyBorder="1" applyAlignment="1">
      <alignment horizontal="left" vertical="center"/>
    </xf>
    <xf numFmtId="181" fontId="110" fillId="3" borderId="10" xfId="6" quotePrefix="1" applyNumberFormat="1" applyFont="1" applyFill="1" applyBorder="1" applyAlignment="1">
      <alignment horizontal="center"/>
    </xf>
    <xf numFmtId="0" fontId="109" fillId="0" borderId="11" xfId="0" applyFont="1" applyBorder="1" applyAlignment="1">
      <alignment vertical="center"/>
    </xf>
    <xf numFmtId="170" fontId="17" fillId="0" borderId="11" xfId="1" applyNumberFormat="1" applyFont="1" applyFill="1" applyBorder="1" applyAlignment="1">
      <alignment horizontal="center" vertical="center"/>
    </xf>
    <xf numFmtId="164" fontId="116" fillId="0" borderId="10" xfId="1" applyFont="1" applyFill="1" applyBorder="1" applyAlignment="1">
      <alignment horizontal="left" vertical="center"/>
    </xf>
    <xf numFmtId="181" fontId="110" fillId="0" borderId="10" xfId="6" applyNumberFormat="1" applyFont="1" applyBorder="1" applyAlignment="1">
      <alignment horizontal="center"/>
    </xf>
    <xf numFmtId="181" fontId="110" fillId="0" borderId="10" xfId="6" quotePrefix="1" applyNumberFormat="1" applyFont="1" applyBorder="1" applyAlignment="1">
      <alignment horizontal="center"/>
    </xf>
    <xf numFmtId="164" fontId="17" fillId="0" borderId="63" xfId="4" applyFont="1" applyBorder="1" applyAlignment="1">
      <alignment horizontal="centerContinuous" vertical="center"/>
    </xf>
    <xf numFmtId="181" fontId="110" fillId="0" borderId="17" xfId="6" quotePrefix="1" applyNumberFormat="1" applyFont="1" applyBorder="1" applyAlignment="1">
      <alignment horizontal="center"/>
    </xf>
    <xf numFmtId="2" fontId="110" fillId="0" borderId="17" xfId="6" quotePrefix="1" applyNumberFormat="1" applyFont="1" applyBorder="1" applyAlignment="1">
      <alignment horizontal="center"/>
    </xf>
    <xf numFmtId="181" fontId="110" fillId="0" borderId="17" xfId="6" applyNumberFormat="1" applyFont="1" applyBorder="1" applyAlignment="1">
      <alignment horizontal="center"/>
    </xf>
    <xf numFmtId="164" fontId="116" fillId="0" borderId="10" xfId="1" applyFont="1" applyFill="1" applyBorder="1" applyAlignment="1">
      <alignment horizontal="right" vertical="center"/>
    </xf>
    <xf numFmtId="167" fontId="114" fillId="2" borderId="21" xfId="4" applyNumberFormat="1" applyFont="1" applyFill="1" applyBorder="1" applyAlignment="1">
      <alignment horizontal="center" vertical="center"/>
    </xf>
    <xf numFmtId="176" fontId="17" fillId="4" borderId="18" xfId="8" applyNumberFormat="1" applyFont="1" applyFill="1" applyBorder="1" applyAlignment="1">
      <alignment horizontal="left" vertical="center"/>
    </xf>
    <xf numFmtId="176" fontId="88" fillId="4" borderId="28" xfId="0" quotePrefix="1" applyNumberFormat="1" applyFont="1" applyFill="1" applyBorder="1" applyAlignment="1">
      <alignment horizontal="center" vertical="center"/>
    </xf>
    <xf numFmtId="164" fontId="116" fillId="0" borderId="28" xfId="1" applyFont="1" applyFill="1" applyBorder="1"/>
    <xf numFmtId="0" fontId="17" fillId="4" borderId="36" xfId="8" applyFont="1" applyFill="1" applyBorder="1" applyAlignment="1">
      <alignment horizontal="center" vertical="center"/>
    </xf>
    <xf numFmtId="0" fontId="17" fillId="4" borderId="38" xfId="8" applyFont="1" applyFill="1" applyBorder="1" applyAlignment="1">
      <alignment horizontal="left" vertical="center"/>
    </xf>
    <xf numFmtId="164" fontId="17" fillId="0" borderId="39" xfId="4" applyFont="1" applyBorder="1" applyAlignment="1">
      <alignment horizontal="center" vertical="center"/>
    </xf>
    <xf numFmtId="164" fontId="17" fillId="3" borderId="38" xfId="4" applyFont="1" applyFill="1" applyBorder="1" applyAlignment="1">
      <alignment horizontal="center" vertical="center"/>
    </xf>
    <xf numFmtId="39" fontId="17" fillId="3" borderId="10" xfId="4" applyNumberFormat="1" applyFont="1" applyFill="1" applyBorder="1" applyAlignment="1">
      <alignment horizontal="right" vertical="center"/>
    </xf>
    <xf numFmtId="37" fontId="17" fillId="3" borderId="10" xfId="4" applyNumberFormat="1" applyFont="1" applyFill="1" applyBorder="1" applyAlignment="1">
      <alignment horizontal="right" vertical="center"/>
    </xf>
    <xf numFmtId="176" fontId="17" fillId="4" borderId="18" xfId="0" applyNumberFormat="1" applyFont="1" applyFill="1" applyBorder="1" applyAlignment="1">
      <alignment horizontal="center" vertical="center"/>
    </xf>
    <xf numFmtId="0" fontId="17" fillId="4" borderId="33" xfId="0" applyFont="1" applyFill="1" applyBorder="1" applyAlignment="1">
      <alignment vertical="center"/>
    </xf>
    <xf numFmtId="170" fontId="17" fillId="0" borderId="28" xfId="9" applyNumberFormat="1" applyFont="1" applyBorder="1" applyAlignment="1">
      <alignment horizontal="center" vertical="center"/>
    </xf>
    <xf numFmtId="164" fontId="17" fillId="0" borderId="28" xfId="9" applyNumberFormat="1" applyFont="1" applyBorder="1" applyAlignment="1">
      <alignment horizontal="center"/>
    </xf>
    <xf numFmtId="164" fontId="17" fillId="0" borderId="33" xfId="1" applyFont="1" applyBorder="1" applyAlignment="1">
      <alignment horizontal="center" vertical="center"/>
    </xf>
    <xf numFmtId="164" fontId="17" fillId="0" borderId="60" xfId="1" applyFont="1" applyBorder="1" applyAlignment="1">
      <alignment horizontal="center" vertical="center"/>
    </xf>
    <xf numFmtId="164" fontId="17" fillId="0" borderId="67" xfId="1" applyFont="1" applyBorder="1" applyAlignment="1">
      <alignment horizontal="center" vertical="center"/>
    </xf>
    <xf numFmtId="164" fontId="17" fillId="0" borderId="34" xfId="1" applyFont="1" applyBorder="1" applyAlignment="1">
      <alignment horizontal="center" vertical="center"/>
    </xf>
    <xf numFmtId="166" fontId="17" fillId="4" borderId="38" xfId="0" applyNumberFormat="1" applyFont="1" applyFill="1" applyBorder="1" applyAlignment="1">
      <alignment vertical="center"/>
    </xf>
    <xf numFmtId="164" fontId="17" fillId="0" borderId="39" xfId="1" applyFont="1" applyBorder="1" applyAlignment="1">
      <alignment horizontal="center" vertical="center"/>
    </xf>
    <xf numFmtId="164" fontId="17" fillId="4" borderId="34" xfId="1" applyFont="1" applyFill="1" applyBorder="1" applyAlignment="1">
      <alignment horizontal="center" vertical="center" wrapText="1"/>
    </xf>
    <xf numFmtId="164" fontId="17" fillId="3" borderId="34" xfId="4" applyFont="1" applyFill="1" applyBorder="1" applyAlignment="1">
      <alignment horizontal="center" vertical="center"/>
    </xf>
    <xf numFmtId="164" fontId="17" fillId="0" borderId="34" xfId="9" applyNumberFormat="1" applyFont="1" applyBorder="1" applyAlignment="1">
      <alignment horizontal="center"/>
    </xf>
    <xf numFmtId="164" fontId="17" fillId="3" borderId="2" xfId="4" applyFont="1" applyFill="1" applyBorder="1" applyAlignment="1">
      <alignment vertical="center"/>
    </xf>
    <xf numFmtId="166" fontId="17" fillId="0" borderId="3" xfId="8" applyNumberFormat="1" applyFont="1" applyBorder="1" applyAlignment="1">
      <alignment horizontal="left" vertical="center"/>
    </xf>
    <xf numFmtId="39" fontId="17" fillId="0" borderId="10" xfId="4" applyNumberFormat="1" applyFont="1" applyFill="1" applyBorder="1" applyAlignment="1">
      <alignment horizontal="center" vertical="center"/>
    </xf>
    <xf numFmtId="164" fontId="17" fillId="0" borderId="14" xfId="9" applyNumberFormat="1" applyFont="1" applyBorder="1" applyAlignment="1">
      <alignment horizontal="center"/>
    </xf>
    <xf numFmtId="164" fontId="111" fillId="0" borderId="14" xfId="1" applyFont="1" applyBorder="1" applyAlignment="1">
      <alignment horizontal="center" vertical="center"/>
    </xf>
    <xf numFmtId="165" fontId="104" fillId="0" borderId="1" xfId="3" applyNumberFormat="1" applyFont="1" applyFill="1" applyBorder="1" applyAlignment="1">
      <alignment horizontal="center"/>
    </xf>
    <xf numFmtId="165" fontId="110" fillId="0" borderId="2" xfId="3" applyNumberFormat="1" applyFont="1" applyFill="1" applyBorder="1" applyAlignment="1">
      <alignment horizontal="center"/>
    </xf>
    <xf numFmtId="165" fontId="110" fillId="0" borderId="62" xfId="3" applyNumberFormat="1" applyFont="1" applyFill="1" applyBorder="1" applyAlignment="1">
      <alignment horizontal="center"/>
    </xf>
    <xf numFmtId="165" fontId="110" fillId="0" borderId="1" xfId="3" applyNumberFormat="1" applyFont="1" applyFill="1" applyBorder="1" applyAlignment="1">
      <alignment horizontal="center"/>
    </xf>
    <xf numFmtId="170" fontId="17" fillId="0" borderId="10" xfId="9" applyNumberFormat="1" applyFont="1" applyBorder="1" applyAlignment="1">
      <alignment horizontal="right" vertical="center"/>
    </xf>
    <xf numFmtId="0" fontId="112" fillId="0" borderId="10" xfId="0" applyFont="1" applyBorder="1"/>
    <xf numFmtId="164" fontId="17" fillId="0" borderId="29" xfId="4" applyFont="1" applyFill="1" applyBorder="1" applyAlignment="1">
      <alignment horizontal="center" vertical="center"/>
    </xf>
    <xf numFmtId="164" fontId="17" fillId="0" borderId="29" xfId="4" applyFont="1" applyBorder="1" applyAlignment="1">
      <alignment horizontal="center" vertical="center"/>
    </xf>
    <xf numFmtId="170" fontId="17" fillId="0" borderId="13" xfId="9" applyNumberFormat="1" applyFont="1" applyFill="1" applyBorder="1" applyAlignment="1">
      <alignment horizontal="center" vertical="center"/>
    </xf>
    <xf numFmtId="176" fontId="86" fillId="4" borderId="10" xfId="8" applyNumberFormat="1" applyFont="1" applyFill="1" applyBorder="1" applyAlignment="1">
      <alignment horizontal="center" vertical="center"/>
    </xf>
    <xf numFmtId="176" fontId="86" fillId="4" borderId="10" xfId="8" applyNumberFormat="1" applyFont="1" applyFill="1" applyBorder="1" applyAlignment="1">
      <alignment horizontal="left" vertical="center"/>
    </xf>
    <xf numFmtId="164" fontId="17" fillId="0" borderId="2" xfId="4" applyFont="1" applyBorder="1" applyAlignment="1">
      <alignment horizontal="centerContinuous" vertical="center"/>
    </xf>
    <xf numFmtId="39" fontId="17" fillId="3" borderId="10" xfId="4" applyNumberFormat="1" applyFont="1" applyFill="1" applyBorder="1" applyAlignment="1">
      <alignment horizontal="center" vertical="center"/>
    </xf>
    <xf numFmtId="164" fontId="126" fillId="0" borderId="11" xfId="1" applyFont="1" applyFill="1" applyBorder="1" applyAlignment="1">
      <alignment horizontal="center" vertical="center" wrapText="1"/>
    </xf>
    <xf numFmtId="181" fontId="101" fillId="3" borderId="28" xfId="6" quotePrefix="1" applyNumberFormat="1" applyFont="1" applyFill="1" applyBorder="1" applyAlignment="1">
      <alignment horizontal="center"/>
    </xf>
    <xf numFmtId="181" fontId="101" fillId="3" borderId="33" xfId="6" applyNumberFormat="1" applyFont="1" applyFill="1" applyBorder="1" applyAlignment="1">
      <alignment horizontal="left"/>
    </xf>
    <xf numFmtId="0" fontId="101" fillId="3" borderId="33" xfId="6" applyFont="1" applyFill="1" applyBorder="1"/>
    <xf numFmtId="0" fontId="103" fillId="0" borderId="34" xfId="0" applyFont="1" applyBorder="1" applyAlignment="1">
      <alignment vertical="center"/>
    </xf>
    <xf numFmtId="0" fontId="106" fillId="0" borderId="10" xfId="0" quotePrefix="1" applyFont="1" applyBorder="1" applyAlignment="1">
      <alignment horizontal="center" vertical="center" wrapText="1"/>
    </xf>
    <xf numFmtId="166" fontId="106" fillId="0" borderId="2" xfId="0" applyNumberFormat="1" applyFont="1" applyBorder="1" applyAlignment="1">
      <alignment vertical="center"/>
    </xf>
    <xf numFmtId="0" fontId="107" fillId="0" borderId="2" xfId="0" applyFont="1" applyBorder="1" applyAlignment="1">
      <alignment vertical="center"/>
    </xf>
    <xf numFmtId="0" fontId="103" fillId="0" borderId="11" xfId="0" applyFont="1" applyBorder="1" applyAlignment="1">
      <alignment vertical="center"/>
    </xf>
    <xf numFmtId="164" fontId="116" fillId="0" borderId="11" xfId="1" applyFont="1" applyFill="1" applyBorder="1" applyAlignment="1">
      <alignment horizontal="left" vertical="center"/>
    </xf>
    <xf numFmtId="43" fontId="112" fillId="0" borderId="0" xfId="0" applyNumberFormat="1" applyFont="1"/>
    <xf numFmtId="0" fontId="110" fillId="0" borderId="2" xfId="0" applyFont="1" applyBorder="1"/>
    <xf numFmtId="0" fontId="110" fillId="0" borderId="11" xfId="0" applyFont="1" applyBorder="1" applyAlignment="1">
      <alignment horizontal="center" vertical="center"/>
    </xf>
    <xf numFmtId="2" fontId="17" fillId="4" borderId="10" xfId="8" applyNumberFormat="1" applyFont="1" applyFill="1" applyBorder="1" applyAlignment="1">
      <alignment horizontal="center" vertical="center"/>
    </xf>
    <xf numFmtId="0" fontId="101" fillId="2" borderId="27" xfId="5" applyFont="1" applyFill="1" applyBorder="1" applyAlignment="1">
      <alignment vertical="center"/>
    </xf>
    <xf numFmtId="2" fontId="110" fillId="0" borderId="10" xfId="0" applyNumberFormat="1" applyFont="1" applyBorder="1" applyAlignment="1">
      <alignment horizontal="center" vertical="center"/>
    </xf>
    <xf numFmtId="166" fontId="110" fillId="0" borderId="2" xfId="0" applyNumberFormat="1" applyFont="1" applyBorder="1" applyAlignment="1">
      <alignment horizontal="left" vertical="center"/>
    </xf>
    <xf numFmtId="170" fontId="110" fillId="0" borderId="10" xfId="0" applyNumberFormat="1" applyFont="1" applyBorder="1" applyAlignment="1">
      <alignment horizontal="center" vertical="center"/>
    </xf>
    <xf numFmtId="43" fontId="112" fillId="0" borderId="0" xfId="0" applyNumberFormat="1" applyFont="1" applyAlignment="1">
      <alignment horizontal="center"/>
    </xf>
    <xf numFmtId="164" fontId="17" fillId="0" borderId="63" xfId="1" applyFont="1" applyBorder="1" applyAlignment="1">
      <alignment horizontal="center" vertical="center"/>
    </xf>
    <xf numFmtId="170" fontId="17" fillId="4" borderId="10" xfId="1" applyNumberFormat="1" applyFont="1" applyFill="1" applyBorder="1" applyAlignment="1">
      <alignment horizontal="center" vertical="center"/>
    </xf>
    <xf numFmtId="164" fontId="116" fillId="0" borderId="17" xfId="1" applyFont="1" applyFill="1" applyBorder="1" applyAlignment="1">
      <alignment horizontal="right" vertical="center"/>
    </xf>
    <xf numFmtId="0" fontId="108" fillId="0" borderId="3" xfId="0" applyFont="1" applyBorder="1" applyAlignment="1">
      <alignment vertical="center"/>
    </xf>
    <xf numFmtId="0" fontId="109" fillId="0" borderId="3" xfId="0" applyFont="1" applyBorder="1" applyAlignment="1">
      <alignment vertical="center"/>
    </xf>
    <xf numFmtId="164" fontId="25" fillId="0" borderId="21" xfId="1" applyFont="1" applyFill="1" applyBorder="1" applyAlignment="1">
      <alignment horizontal="center" vertical="center"/>
    </xf>
    <xf numFmtId="165" fontId="104" fillId="0" borderId="59" xfId="3" applyNumberFormat="1" applyFont="1" applyFill="1" applyBorder="1" applyAlignment="1">
      <alignment horizontal="centerContinuous"/>
    </xf>
    <xf numFmtId="164" fontId="104" fillId="0" borderId="59" xfId="1" applyFont="1" applyFill="1" applyBorder="1" applyAlignment="1">
      <alignment horizontal="center" vertical="center"/>
    </xf>
    <xf numFmtId="164" fontId="104" fillId="0" borderId="60" xfId="1" applyFont="1" applyFill="1" applyBorder="1" applyAlignment="1">
      <alignment horizontal="center" vertical="center"/>
    </xf>
    <xf numFmtId="165" fontId="104" fillId="0" borderId="61" xfId="3" applyNumberFormat="1" applyFont="1" applyFill="1" applyBorder="1" applyAlignment="1">
      <alignment horizontal="centerContinuous"/>
    </xf>
    <xf numFmtId="164" fontId="104" fillId="0" borderId="61" xfId="1" applyFont="1" applyFill="1" applyBorder="1" applyAlignment="1">
      <alignment horizontal="center" vertical="center"/>
    </xf>
    <xf numFmtId="165" fontId="110" fillId="0" borderId="63" xfId="3" applyNumberFormat="1" applyFont="1" applyFill="1" applyBorder="1" applyAlignment="1">
      <alignment horizontal="centerContinuous"/>
    </xf>
    <xf numFmtId="164" fontId="110" fillId="0" borderId="11" xfId="1" applyFont="1" applyFill="1" applyBorder="1" applyAlignment="1">
      <alignment horizontal="center" vertical="center"/>
    </xf>
    <xf numFmtId="164" fontId="110" fillId="0" borderId="63" xfId="1" applyFont="1" applyFill="1" applyBorder="1" applyAlignment="1">
      <alignment horizontal="center" vertical="center"/>
    </xf>
    <xf numFmtId="164" fontId="114" fillId="2" borderId="9" xfId="4" applyFont="1" applyFill="1" applyBorder="1" applyAlignment="1">
      <alignment horizontal="center" vertical="center"/>
    </xf>
    <xf numFmtId="164" fontId="17" fillId="0" borderId="61" xfId="4" applyFont="1" applyBorder="1" applyAlignment="1">
      <alignment horizontal="centerContinuous" vertical="center"/>
    </xf>
    <xf numFmtId="164" fontId="17" fillId="3" borderId="61" xfId="4" applyFont="1" applyFill="1" applyBorder="1" applyAlignment="1">
      <alignment horizontal="center" vertical="center"/>
    </xf>
    <xf numFmtId="164" fontId="17" fillId="0" borderId="63" xfId="4" applyFont="1" applyBorder="1" applyAlignment="1">
      <alignment horizontal="center" vertical="center"/>
    </xf>
    <xf numFmtId="181" fontId="110" fillId="0" borderId="18" xfId="6" quotePrefix="1" applyNumberFormat="1" applyFont="1" applyBorder="1" applyAlignment="1">
      <alignment horizontal="center"/>
    </xf>
    <xf numFmtId="0" fontId="88" fillId="0" borderId="10" xfId="44" quotePrefix="1" applyFont="1" applyBorder="1" applyAlignment="1">
      <alignment horizontal="center" vertical="center"/>
    </xf>
    <xf numFmtId="0" fontId="88" fillId="0" borderId="29" xfId="44" applyFont="1" applyBorder="1" applyAlignment="1">
      <alignment vertical="center"/>
    </xf>
    <xf numFmtId="170" fontId="104" fillId="0" borderId="18" xfId="1" applyNumberFormat="1" applyFont="1" applyFill="1" applyBorder="1" applyAlignment="1">
      <alignment horizontal="center" vertical="center"/>
    </xf>
    <xf numFmtId="0" fontId="104" fillId="0" borderId="18" xfId="0" applyFont="1" applyBorder="1" applyAlignment="1">
      <alignment horizontal="center" vertical="center"/>
    </xf>
    <xf numFmtId="0" fontId="110" fillId="0" borderId="10" xfId="0" quotePrefix="1" applyFont="1" applyBorder="1" applyAlignment="1">
      <alignment horizontal="center" vertical="center"/>
    </xf>
    <xf numFmtId="0" fontId="110" fillId="0" borderId="2" xfId="0" applyFont="1" applyBorder="1" applyAlignment="1">
      <alignment horizontal="left" vertical="center"/>
    </xf>
    <xf numFmtId="170" fontId="110" fillId="0" borderId="10" xfId="1" applyNumberFormat="1" applyFont="1" applyFill="1" applyBorder="1" applyAlignment="1">
      <alignment horizontal="center" vertical="center"/>
    </xf>
    <xf numFmtId="0" fontId="110" fillId="0" borderId="10" xfId="0" applyFont="1" applyBorder="1" applyAlignment="1">
      <alignment horizontal="center" vertical="center"/>
    </xf>
    <xf numFmtId="0" fontId="101" fillId="0" borderId="2" xfId="0" applyFont="1" applyBorder="1" applyAlignment="1">
      <alignment horizontal="left" vertical="center"/>
    </xf>
    <xf numFmtId="170" fontId="110" fillId="0" borderId="10" xfId="1" applyNumberFormat="1" applyFont="1" applyFill="1" applyBorder="1" applyAlignment="1">
      <alignment horizontal="right" vertical="center"/>
    </xf>
    <xf numFmtId="170" fontId="112" fillId="0" borderId="0" xfId="1" applyNumberFormat="1" applyFont="1"/>
    <xf numFmtId="170" fontId="11" fillId="0" borderId="0" xfId="1" applyNumberFormat="1" applyFont="1"/>
    <xf numFmtId="0" fontId="110" fillId="0" borderId="17" xfId="0" quotePrefix="1" applyFont="1" applyBorder="1" applyAlignment="1">
      <alignment horizontal="center" vertical="center"/>
    </xf>
    <xf numFmtId="0" fontId="110" fillId="0" borderId="3" xfId="0" applyFont="1" applyBorder="1" applyAlignment="1">
      <alignment horizontal="left" vertical="center"/>
    </xf>
    <xf numFmtId="0" fontId="110" fillId="0" borderId="3" xfId="0" applyFont="1" applyBorder="1"/>
    <xf numFmtId="0" fontId="110" fillId="0" borderId="30" xfId="0" applyFont="1" applyBorder="1" applyAlignment="1">
      <alignment horizontal="center" vertical="center"/>
    </xf>
    <xf numFmtId="170" fontId="110" fillId="0" borderId="17" xfId="1" applyNumberFormat="1" applyFont="1" applyFill="1" applyBorder="1" applyAlignment="1">
      <alignment horizontal="right" vertical="center"/>
    </xf>
    <xf numFmtId="0" fontId="110" fillId="0" borderId="17" xfId="0" applyFont="1" applyBorder="1" applyAlignment="1">
      <alignment horizontal="center" vertical="center"/>
    </xf>
    <xf numFmtId="0" fontId="114" fillId="2" borderId="21" xfId="0" applyFont="1" applyFill="1" applyBorder="1" applyAlignment="1">
      <alignment horizontal="center" vertical="center"/>
    </xf>
    <xf numFmtId="0" fontId="114" fillId="2" borderId="21" xfId="5" applyFont="1" applyFill="1" applyBorder="1" applyAlignment="1">
      <alignment vertical="center"/>
    </xf>
    <xf numFmtId="0" fontId="114" fillId="2" borderId="66" xfId="5" applyFont="1" applyFill="1" applyBorder="1" applyAlignment="1">
      <alignment vertical="center"/>
    </xf>
    <xf numFmtId="164" fontId="114" fillId="2" borderId="26" xfId="1" applyFont="1" applyFill="1" applyBorder="1" applyAlignment="1">
      <alignment horizontal="center" vertical="center"/>
    </xf>
    <xf numFmtId="164" fontId="114" fillId="2" borderId="66" xfId="1" applyFont="1" applyFill="1" applyBorder="1" applyAlignment="1">
      <alignment horizontal="center" vertical="center"/>
    </xf>
    <xf numFmtId="164" fontId="114" fillId="2" borderId="21" xfId="1" applyFont="1" applyFill="1" applyBorder="1" applyAlignment="1">
      <alignment horizontal="center" vertical="center"/>
    </xf>
    <xf numFmtId="0" fontId="17" fillId="4" borderId="18" xfId="8" applyFont="1" applyFill="1" applyBorder="1" applyAlignment="1">
      <alignment horizontal="center" vertical="center"/>
    </xf>
    <xf numFmtId="0" fontId="88" fillId="4" borderId="32" xfId="8" applyFont="1" applyFill="1" applyBorder="1" applyAlignment="1">
      <alignment horizontal="left" vertical="center"/>
    </xf>
    <xf numFmtId="170" fontId="17" fillId="0" borderId="18" xfId="1" applyNumberFormat="1" applyFont="1" applyBorder="1" applyAlignment="1">
      <alignment horizontal="right" vertical="center"/>
    </xf>
    <xf numFmtId="164" fontId="17" fillId="0" borderId="32" xfId="1" applyFont="1" applyBorder="1" applyAlignment="1">
      <alignment horizontal="centerContinuous" vertical="center"/>
    </xf>
    <xf numFmtId="164" fontId="17" fillId="3" borderId="19" xfId="1" applyFont="1" applyFill="1" applyBorder="1" applyAlignment="1">
      <alignment horizontal="center" vertical="center"/>
    </xf>
    <xf numFmtId="164" fontId="17" fillId="3" borderId="1" xfId="1" applyFont="1" applyFill="1" applyBorder="1" applyAlignment="1">
      <alignment horizontal="center" vertical="center"/>
    </xf>
    <xf numFmtId="0" fontId="101" fillId="0" borderId="10" xfId="0" quotePrefix="1" applyFont="1" applyBorder="1" applyAlignment="1">
      <alignment horizontal="center" vertical="center"/>
    </xf>
    <xf numFmtId="0" fontId="101" fillId="0" borderId="29" xfId="0" applyFont="1" applyBorder="1" applyAlignment="1">
      <alignment horizontal="left" vertical="center"/>
    </xf>
    <xf numFmtId="0" fontId="101" fillId="0" borderId="2" xfId="0" applyFont="1" applyBorder="1"/>
    <xf numFmtId="164" fontId="17" fillId="0" borderId="29" xfId="1" applyFont="1" applyBorder="1" applyAlignment="1">
      <alignment horizontal="centerContinuous" vertical="center"/>
    </xf>
    <xf numFmtId="164" fontId="17" fillId="3" borderId="12" xfId="1" applyFont="1" applyFill="1" applyBorder="1" applyAlignment="1">
      <alignment horizontal="center" vertical="center"/>
    </xf>
    <xf numFmtId="164" fontId="17" fillId="3" borderId="2" xfId="1" applyFont="1" applyFill="1" applyBorder="1" applyAlignment="1">
      <alignment horizontal="center" vertical="center"/>
    </xf>
    <xf numFmtId="164" fontId="17" fillId="3" borderId="10" xfId="1" applyFont="1" applyFill="1" applyBorder="1" applyAlignment="1">
      <alignment horizontal="center" vertical="center"/>
    </xf>
    <xf numFmtId="0" fontId="110" fillId="0" borderId="29" xfId="0" applyFont="1" applyBorder="1" applyAlignment="1">
      <alignment horizontal="left" vertical="center"/>
    </xf>
    <xf numFmtId="170" fontId="110" fillId="0" borderId="17" xfId="1" applyNumberFormat="1" applyFont="1" applyFill="1" applyBorder="1" applyAlignment="1">
      <alignment horizontal="center" vertical="center"/>
    </xf>
    <xf numFmtId="164" fontId="17" fillId="0" borderId="76" xfId="1" applyFont="1" applyBorder="1" applyAlignment="1">
      <alignment horizontal="centerContinuous" vertical="center"/>
    </xf>
    <xf numFmtId="164" fontId="17" fillId="3" borderId="3" xfId="1" applyFont="1" applyFill="1" applyBorder="1" applyAlignment="1">
      <alignment horizontal="center" vertical="center"/>
    </xf>
    <xf numFmtId="164" fontId="17" fillId="3" borderId="17" xfId="1" applyFont="1" applyFill="1" applyBorder="1" applyAlignment="1">
      <alignment horizontal="center" vertical="center"/>
    </xf>
    <xf numFmtId="164" fontId="112" fillId="0" borderId="0" xfId="0" applyNumberFormat="1" applyFont="1"/>
    <xf numFmtId="164" fontId="17" fillId="3" borderId="29" xfId="1" applyFont="1" applyFill="1" applyBorder="1" applyAlignment="1">
      <alignment horizontal="centerContinuous" vertical="center"/>
    </xf>
    <xf numFmtId="0" fontId="110" fillId="0" borderId="2" xfId="0" applyFont="1" applyBorder="1" applyAlignment="1">
      <alignment horizontal="center" vertical="center"/>
    </xf>
    <xf numFmtId="0" fontId="101" fillId="0" borderId="13" xfId="0" quotePrefix="1" applyFont="1" applyBorder="1" applyAlignment="1">
      <alignment horizontal="center" vertical="center"/>
    </xf>
    <xf numFmtId="0" fontId="101" fillId="0" borderId="0" xfId="0" applyFont="1" applyAlignment="1">
      <alignment horizontal="left" vertical="center"/>
    </xf>
    <xf numFmtId="0" fontId="110" fillId="0" borderId="0" xfId="0" applyFont="1"/>
    <xf numFmtId="0" fontId="110" fillId="0" borderId="14" xfId="0" applyFont="1" applyBorder="1" applyAlignment="1">
      <alignment horizontal="center" vertical="center"/>
    </xf>
    <xf numFmtId="170" fontId="110" fillId="0" borderId="13" xfId="1" applyNumberFormat="1" applyFont="1" applyFill="1" applyBorder="1" applyAlignment="1">
      <alignment horizontal="center" vertical="center"/>
    </xf>
    <xf numFmtId="0" fontId="110" fillId="0" borderId="13" xfId="0" applyFont="1" applyBorder="1" applyAlignment="1">
      <alignment horizontal="center" vertical="center"/>
    </xf>
    <xf numFmtId="164" fontId="17" fillId="0" borderId="79" xfId="4" applyFont="1" applyBorder="1" applyAlignment="1">
      <alignment horizontal="center" vertical="center"/>
    </xf>
    <xf numFmtId="164" fontId="17" fillId="3" borderId="15" xfId="4" applyFont="1" applyFill="1" applyBorder="1" applyAlignment="1">
      <alignment horizontal="center" vertical="center"/>
    </xf>
    <xf numFmtId="164" fontId="17" fillId="3" borderId="0" xfId="4" applyFont="1" applyFill="1" applyBorder="1" applyAlignment="1">
      <alignment horizontal="center" vertical="center"/>
    </xf>
    <xf numFmtId="164" fontId="17" fillId="3" borderId="14" xfId="4" applyFont="1" applyFill="1" applyBorder="1" applyAlignment="1">
      <alignment horizontal="center" vertical="center"/>
    </xf>
    <xf numFmtId="0" fontId="17" fillId="0" borderId="76" xfId="8" applyFont="1" applyBorder="1" applyAlignment="1">
      <alignment horizontal="left" vertical="center"/>
    </xf>
    <xf numFmtId="170" fontId="17" fillId="0" borderId="17" xfId="1" applyNumberFormat="1" applyFont="1" applyBorder="1" applyAlignment="1">
      <alignment horizontal="right" vertical="center"/>
    </xf>
    <xf numFmtId="164" fontId="17" fillId="0" borderId="76" xfId="1" applyFont="1" applyBorder="1" applyAlignment="1">
      <alignment horizontal="center" vertical="center"/>
    </xf>
    <xf numFmtId="164" fontId="17" fillId="3" borderId="31" xfId="1" applyFont="1" applyFill="1" applyBorder="1" applyAlignment="1">
      <alignment horizontal="center" vertical="center"/>
    </xf>
    <xf numFmtId="164" fontId="17" fillId="3" borderId="30" xfId="1" applyFont="1" applyFill="1" applyBorder="1" applyAlignment="1">
      <alignment horizontal="center" vertical="center"/>
    </xf>
    <xf numFmtId="0" fontId="101" fillId="0" borderId="18" xfId="0" quotePrefix="1" applyFont="1" applyBorder="1" applyAlignment="1">
      <alignment horizontal="center" vertical="center"/>
    </xf>
    <xf numFmtId="0" fontId="101" fillId="0" borderId="1" xfId="0" applyFont="1" applyBorder="1" applyAlignment="1">
      <alignment horizontal="left" vertical="center"/>
    </xf>
    <xf numFmtId="0" fontId="110" fillId="0" borderId="1" xfId="0" applyFont="1" applyBorder="1"/>
    <xf numFmtId="0" fontId="110" fillId="0" borderId="20" xfId="0" applyFont="1" applyBorder="1" applyAlignment="1">
      <alignment horizontal="center" vertical="center"/>
    </xf>
    <xf numFmtId="170" fontId="110" fillId="0" borderId="18" xfId="1" applyNumberFormat="1" applyFont="1" applyFill="1" applyBorder="1" applyAlignment="1">
      <alignment horizontal="center" vertical="center"/>
    </xf>
    <xf numFmtId="0" fontId="110" fillId="0" borderId="18" xfId="0" applyFont="1" applyBorder="1" applyAlignment="1">
      <alignment horizontal="center" vertical="center"/>
    </xf>
    <xf numFmtId="3" fontId="110" fillId="0" borderId="10" xfId="1" applyNumberFormat="1" applyFont="1" applyFill="1" applyBorder="1" applyAlignment="1">
      <alignment horizontal="right" vertical="center"/>
    </xf>
    <xf numFmtId="164" fontId="110" fillId="0" borderId="11" xfId="1" applyFont="1" applyFill="1" applyBorder="1" applyAlignment="1">
      <alignment horizontal="left" vertical="center"/>
    </xf>
    <xf numFmtId="164" fontId="110" fillId="0" borderId="30" xfId="1" applyFont="1" applyFill="1" applyBorder="1" applyAlignment="1">
      <alignment horizontal="left" vertical="center"/>
    </xf>
    <xf numFmtId="0" fontId="110" fillId="0" borderId="17" xfId="0" quotePrefix="1" applyFont="1" applyBorder="1" applyAlignment="1">
      <alignment horizontal="left" vertical="center"/>
    </xf>
    <xf numFmtId="164" fontId="101" fillId="2" borderId="21" xfId="1" applyFont="1" applyFill="1" applyBorder="1" applyAlignment="1">
      <alignment horizontal="center" vertical="center"/>
    </xf>
    <xf numFmtId="164" fontId="110" fillId="3" borderId="18" xfId="1" applyFont="1" applyFill="1" applyBorder="1" applyAlignment="1">
      <alignment horizontal="center" vertical="center"/>
    </xf>
    <xf numFmtId="164" fontId="17" fillId="3" borderId="11" xfId="1" applyFont="1" applyFill="1" applyBorder="1" applyAlignment="1">
      <alignment horizontal="center" vertical="center"/>
    </xf>
    <xf numFmtId="164" fontId="110" fillId="3" borderId="10" xfId="1" applyFont="1" applyFill="1" applyBorder="1" applyAlignment="1">
      <alignment horizontal="center" vertical="center"/>
    </xf>
    <xf numFmtId="164" fontId="110" fillId="3" borderId="14" xfId="4" applyFont="1" applyFill="1" applyBorder="1" applyAlignment="1">
      <alignment horizontal="center" vertical="center"/>
    </xf>
    <xf numFmtId="164" fontId="110" fillId="3" borderId="11" xfId="4" applyFont="1" applyFill="1" applyBorder="1" applyAlignment="1">
      <alignment horizontal="center" vertical="center"/>
    </xf>
    <xf numFmtId="0" fontId="110" fillId="0" borderId="1" xfId="0" applyFont="1" applyBorder="1" applyAlignment="1">
      <alignment horizontal="left" vertical="center"/>
    </xf>
    <xf numFmtId="0" fontId="110" fillId="0" borderId="18" xfId="0" quotePrefix="1" applyFont="1" applyBorder="1" applyAlignment="1">
      <alignment horizontal="center" vertical="center"/>
    </xf>
    <xf numFmtId="164" fontId="110" fillId="3" borderId="20" xfId="4" applyFont="1" applyFill="1" applyBorder="1" applyAlignment="1">
      <alignment horizontal="center" vertical="center"/>
    </xf>
    <xf numFmtId="164" fontId="110" fillId="3" borderId="30" xfId="4" applyFont="1" applyFill="1" applyBorder="1" applyAlignment="1">
      <alignment horizontal="center" vertical="center"/>
    </xf>
    <xf numFmtId="164" fontId="110" fillId="3" borderId="30" xfId="1" applyFont="1" applyFill="1" applyBorder="1" applyAlignment="1">
      <alignment horizontal="center" vertical="center"/>
    </xf>
    <xf numFmtId="164" fontId="110" fillId="0" borderId="17" xfId="0" quotePrefix="1" applyNumberFormat="1" applyFont="1" applyBorder="1" applyAlignment="1">
      <alignment horizontal="center" vertical="center"/>
    </xf>
    <xf numFmtId="0" fontId="110" fillId="0" borderId="13" xfId="0" quotePrefix="1" applyFont="1" applyBorder="1" applyAlignment="1">
      <alignment horizontal="center" vertical="center"/>
    </xf>
    <xf numFmtId="0" fontId="110" fillId="0" borderId="0" xfId="0" applyFont="1" applyAlignment="1">
      <alignment horizontal="left" vertical="center"/>
    </xf>
    <xf numFmtId="170" fontId="110" fillId="0" borderId="13" xfId="1" applyNumberFormat="1" applyFont="1" applyFill="1" applyBorder="1" applyAlignment="1">
      <alignment horizontal="right" vertical="center"/>
    </xf>
    <xf numFmtId="165" fontId="110" fillId="0" borderId="0" xfId="3" applyNumberFormat="1" applyFont="1" applyFill="1" applyBorder="1" applyAlignment="1">
      <alignment horizontal="centerContinuous"/>
    </xf>
    <xf numFmtId="164" fontId="110" fillId="0" borderId="15" xfId="1" applyFont="1" applyFill="1" applyBorder="1" applyAlignment="1">
      <alignment horizontal="center" vertical="center"/>
    </xf>
    <xf numFmtId="164" fontId="110" fillId="0" borderId="0" xfId="1" applyFont="1" applyFill="1" applyBorder="1" applyAlignment="1">
      <alignment horizontal="center" vertical="center"/>
    </xf>
    <xf numFmtId="164" fontId="110" fillId="0" borderId="14" xfId="1" applyFont="1" applyFill="1" applyBorder="1" applyAlignment="1">
      <alignment horizontal="left" vertical="center"/>
    </xf>
    <xf numFmtId="170" fontId="112" fillId="0" borderId="0" xfId="0" applyNumberFormat="1" applyFont="1" applyAlignment="1">
      <alignment horizontal="center"/>
    </xf>
    <xf numFmtId="0" fontId="17" fillId="4" borderId="29" xfId="8" applyFont="1" applyFill="1" applyBorder="1" applyAlignment="1">
      <alignment horizontal="left" vertical="center"/>
    </xf>
    <xf numFmtId="170" fontId="17" fillId="0" borderId="10" xfId="1" applyNumberFormat="1" applyFont="1" applyBorder="1" applyAlignment="1">
      <alignment horizontal="right" vertical="center"/>
    </xf>
    <xf numFmtId="0" fontId="110" fillId="0" borderId="76" xfId="0" applyFont="1" applyBorder="1" applyAlignment="1">
      <alignment horizontal="left" vertical="center"/>
    </xf>
    <xf numFmtId="0" fontId="110" fillId="0" borderId="3" xfId="0" applyFont="1" applyBorder="1" applyAlignment="1">
      <alignment horizontal="center" vertical="center"/>
    </xf>
    <xf numFmtId="182" fontId="112" fillId="0" borderId="0" xfId="0" applyNumberFormat="1" applyFont="1"/>
    <xf numFmtId="0" fontId="101" fillId="2" borderId="9" xfId="5" applyFont="1" applyFill="1" applyBorder="1" applyAlignment="1">
      <alignment vertical="center"/>
    </xf>
    <xf numFmtId="0" fontId="101" fillId="0" borderId="1" xfId="0" applyFont="1" applyBorder="1"/>
    <xf numFmtId="37" fontId="110" fillId="0" borderId="18" xfId="1" applyNumberFormat="1" applyFont="1" applyFill="1" applyBorder="1" applyAlignment="1">
      <alignment horizontal="center" vertical="center"/>
    </xf>
    <xf numFmtId="183" fontId="110" fillId="0" borderId="18" xfId="1" applyNumberFormat="1" applyFont="1" applyFill="1" applyBorder="1" applyAlignment="1">
      <alignment horizontal="center" vertical="center"/>
    </xf>
    <xf numFmtId="181" fontId="110" fillId="0" borderId="18" xfId="1" applyNumberFormat="1" applyFont="1" applyFill="1" applyBorder="1" applyAlignment="1">
      <alignment horizontal="center" vertical="center"/>
    </xf>
    <xf numFmtId="170" fontId="110" fillId="0" borderId="18" xfId="1" applyNumberFormat="1" applyFont="1" applyFill="1" applyBorder="1" applyAlignment="1">
      <alignment horizontal="right" vertical="center"/>
    </xf>
    <xf numFmtId="164" fontId="17" fillId="0" borderId="32" xfId="1" applyFont="1" applyBorder="1" applyAlignment="1">
      <alignment horizontal="center" vertical="center"/>
    </xf>
    <xf numFmtId="164" fontId="17" fillId="0" borderId="18" xfId="1" applyFont="1" applyBorder="1" applyAlignment="1">
      <alignment horizontal="right" vertical="center"/>
    </xf>
    <xf numFmtId="181" fontId="17" fillId="0" borderId="18" xfId="1" applyNumberFormat="1" applyFont="1" applyFill="1" applyBorder="1" applyAlignment="1">
      <alignment horizontal="right" vertical="center"/>
    </xf>
    <xf numFmtId="181" fontId="17" fillId="0" borderId="18" xfId="1" applyNumberFormat="1" applyFont="1" applyFill="1" applyBorder="1" applyAlignment="1">
      <alignment horizontal="center" vertical="center"/>
    </xf>
    <xf numFmtId="164" fontId="17" fillId="0" borderId="79" xfId="1" applyFont="1" applyBorder="1" applyAlignment="1">
      <alignment horizontal="center" vertical="center"/>
    </xf>
    <xf numFmtId="183" fontId="17" fillId="0" borderId="18" xfId="1" applyNumberFormat="1" applyFont="1" applyFill="1" applyBorder="1" applyAlignment="1">
      <alignment horizontal="right" vertical="center"/>
    </xf>
    <xf numFmtId="2" fontId="17" fillId="0" borderId="18" xfId="1" applyNumberFormat="1" applyFont="1" applyBorder="1" applyAlignment="1">
      <alignment horizontal="right" vertical="center"/>
    </xf>
    <xf numFmtId="0" fontId="110" fillId="3" borderId="18" xfId="0" quotePrefix="1" applyFont="1" applyFill="1" applyBorder="1" applyAlignment="1">
      <alignment horizontal="center" vertical="center"/>
    </xf>
    <xf numFmtId="0" fontId="110" fillId="3" borderId="1" xfId="0" applyFont="1" applyFill="1" applyBorder="1" applyAlignment="1">
      <alignment horizontal="left" vertical="center"/>
    </xf>
    <xf numFmtId="0" fontId="110" fillId="3" borderId="1" xfId="0" applyFont="1" applyFill="1" applyBorder="1"/>
    <xf numFmtId="0" fontId="110" fillId="3" borderId="20" xfId="0" applyFont="1" applyFill="1" applyBorder="1" applyAlignment="1">
      <alignment horizontal="center" vertical="center"/>
    </xf>
    <xf numFmtId="170" fontId="110" fillId="3" borderId="18" xfId="1" applyNumberFormat="1" applyFont="1" applyFill="1" applyBorder="1" applyAlignment="1">
      <alignment horizontal="center" vertical="center"/>
    </xf>
    <xf numFmtId="0" fontId="110" fillId="3" borderId="18" xfId="0" applyFont="1" applyFill="1" applyBorder="1" applyAlignment="1">
      <alignment horizontal="center" vertical="center"/>
    </xf>
    <xf numFmtId="164" fontId="17" fillId="3" borderId="32" xfId="4" applyFont="1" applyFill="1" applyBorder="1" applyAlignment="1">
      <alignment horizontal="center" vertical="center"/>
    </xf>
    <xf numFmtId="0" fontId="112" fillId="8" borderId="0" xfId="0" applyFont="1" applyFill="1"/>
    <xf numFmtId="0" fontId="110" fillId="3" borderId="10" xfId="0" quotePrefix="1" applyFont="1" applyFill="1" applyBorder="1" applyAlignment="1">
      <alignment horizontal="center" vertical="center"/>
    </xf>
    <xf numFmtId="0" fontId="110" fillId="3" borderId="2" xfId="0" applyFont="1" applyFill="1" applyBorder="1" applyAlignment="1">
      <alignment horizontal="left" vertical="center"/>
    </xf>
    <xf numFmtId="0" fontId="110" fillId="3" borderId="2" xfId="0" applyFont="1" applyFill="1" applyBorder="1"/>
    <xf numFmtId="0" fontId="110" fillId="3" borderId="11" xfId="0" applyFont="1" applyFill="1" applyBorder="1" applyAlignment="1">
      <alignment horizontal="center" vertical="center"/>
    </xf>
    <xf numFmtId="170" fontId="110" fillId="3" borderId="10" xfId="1" applyNumberFormat="1" applyFont="1" applyFill="1" applyBorder="1" applyAlignment="1">
      <alignment horizontal="center" vertical="center"/>
    </xf>
    <xf numFmtId="0" fontId="110" fillId="3" borderId="10" xfId="0" applyFont="1" applyFill="1" applyBorder="1" applyAlignment="1">
      <alignment horizontal="center" vertical="center"/>
    </xf>
    <xf numFmtId="164" fontId="17" fillId="3" borderId="29" xfId="4" applyFont="1" applyFill="1" applyBorder="1" applyAlignment="1">
      <alignment horizontal="center" vertical="center"/>
    </xf>
    <xf numFmtId="164" fontId="104" fillId="0" borderId="18" xfId="1" applyFont="1" applyFill="1" applyBorder="1" applyAlignment="1">
      <alignment horizontal="center" vertical="center"/>
    </xf>
    <xf numFmtId="164" fontId="110" fillId="0" borderId="10" xfId="1" applyFont="1" applyFill="1" applyBorder="1" applyAlignment="1">
      <alignment horizontal="left" vertical="center"/>
    </xf>
    <xf numFmtId="164" fontId="110" fillId="3" borderId="18" xfId="4" applyFont="1" applyFill="1" applyBorder="1" applyAlignment="1">
      <alignment horizontal="center" vertical="center"/>
    </xf>
    <xf numFmtId="164" fontId="17" fillId="0" borderId="18" xfId="1" applyFont="1" applyBorder="1" applyAlignment="1">
      <alignment horizontal="center" vertical="center"/>
    </xf>
    <xf numFmtId="164" fontId="17" fillId="3" borderId="10" xfId="4" applyFont="1" applyFill="1" applyBorder="1" applyAlignment="1">
      <alignment horizontal="center" vertical="center"/>
    </xf>
    <xf numFmtId="184" fontId="17" fillId="0" borderId="18" xfId="1" applyNumberFormat="1" applyFont="1" applyFill="1" applyBorder="1" applyAlignment="1">
      <alignment horizontal="right" vertical="center"/>
    </xf>
    <xf numFmtId="184" fontId="17" fillId="0" borderId="0" xfId="1" applyNumberFormat="1" applyFont="1" applyFill="1" applyBorder="1" applyAlignment="1">
      <alignment horizontal="right" vertical="center"/>
    </xf>
    <xf numFmtId="164" fontId="17" fillId="3" borderId="18" xfId="4" applyFont="1" applyFill="1" applyBorder="1" applyAlignment="1">
      <alignment horizontal="center" vertical="center"/>
    </xf>
    <xf numFmtId="184" fontId="112" fillId="0" borderId="0" xfId="0" applyNumberFormat="1" applyFont="1"/>
    <xf numFmtId="0" fontId="110" fillId="0" borderId="80" xfId="0" quotePrefix="1" applyFont="1" applyBorder="1" applyAlignment="1">
      <alignment horizontal="center" vertical="center"/>
    </xf>
    <xf numFmtId="164" fontId="110" fillId="3" borderId="28" xfId="4" applyFont="1" applyFill="1" applyBorder="1" applyAlignment="1">
      <alignment horizontal="center" vertical="center"/>
    </xf>
    <xf numFmtId="164" fontId="17" fillId="0" borderId="72" xfId="4" applyFont="1" applyBorder="1" applyAlignment="1">
      <alignment horizontal="center" vertical="center"/>
    </xf>
    <xf numFmtId="164" fontId="17" fillId="3" borderId="62" xfId="4" applyFont="1" applyFill="1" applyBorder="1" applyAlignment="1">
      <alignment horizontal="center" vertical="center"/>
    </xf>
    <xf numFmtId="0" fontId="110" fillId="0" borderId="11" xfId="0" quotePrefix="1" applyFont="1" applyBorder="1" applyAlignment="1">
      <alignment horizontal="center" vertical="center"/>
    </xf>
    <xf numFmtId="164" fontId="110" fillId="3" borderId="10" xfId="4" applyFont="1" applyFill="1" applyBorder="1" applyAlignment="1">
      <alignment horizontal="center" vertical="center"/>
    </xf>
    <xf numFmtId="0" fontId="110" fillId="0" borderId="30" xfId="0" quotePrefix="1" applyFont="1" applyBorder="1" applyAlignment="1">
      <alignment horizontal="center" vertical="center"/>
    </xf>
    <xf numFmtId="164" fontId="17" fillId="3" borderId="17" xfId="4" applyFont="1" applyFill="1" applyBorder="1" applyAlignment="1">
      <alignment horizontal="center" vertical="center"/>
    </xf>
    <xf numFmtId="164" fontId="110" fillId="3" borderId="17" xfId="4" applyFont="1" applyFill="1" applyBorder="1" applyAlignment="1">
      <alignment horizontal="center" vertical="center"/>
    </xf>
    <xf numFmtId="0" fontId="88" fillId="4" borderId="37" xfId="8" applyFont="1" applyFill="1" applyBorder="1" applyAlignment="1">
      <alignment horizontal="left" vertical="center"/>
    </xf>
    <xf numFmtId="0" fontId="88" fillId="4" borderId="38" xfId="8" applyFont="1" applyFill="1" applyBorder="1" applyAlignment="1">
      <alignment horizontal="left" vertical="center"/>
    </xf>
    <xf numFmtId="170" fontId="17" fillId="0" borderId="36" xfId="1" applyNumberFormat="1" applyFont="1" applyBorder="1" applyAlignment="1">
      <alignment horizontal="right" vertical="center"/>
    </xf>
    <xf numFmtId="164" fontId="17" fillId="0" borderId="71" xfId="4" applyFont="1" applyBorder="1" applyAlignment="1">
      <alignment horizontal="center" vertical="center"/>
    </xf>
    <xf numFmtId="164" fontId="17" fillId="3" borderId="36" xfId="4" applyFont="1" applyFill="1" applyBorder="1" applyAlignment="1">
      <alignment horizontal="center" vertical="center"/>
    </xf>
    <xf numFmtId="164" fontId="110" fillId="3" borderId="36" xfId="4" applyFont="1" applyFill="1" applyBorder="1" applyAlignment="1">
      <alignment horizontal="center" vertical="center"/>
    </xf>
    <xf numFmtId="0" fontId="88" fillId="4" borderId="76" xfId="8" applyFont="1" applyFill="1" applyBorder="1" applyAlignment="1">
      <alignment horizontal="left" vertical="center"/>
    </xf>
    <xf numFmtId="164" fontId="17" fillId="0" borderId="32" xfId="4" applyFont="1" applyBorder="1" applyAlignment="1">
      <alignment vertical="center"/>
    </xf>
    <xf numFmtId="164" fontId="17" fillId="3" borderId="15" xfId="1" applyFont="1" applyFill="1" applyBorder="1" applyAlignment="1">
      <alignment horizontal="center" vertical="center"/>
    </xf>
    <xf numFmtId="164" fontId="17" fillId="3" borderId="0" xfId="1" applyFont="1" applyFill="1" applyBorder="1" applyAlignment="1">
      <alignment horizontal="center" vertical="center"/>
    </xf>
    <xf numFmtId="164" fontId="17" fillId="3" borderId="14" xfId="1" applyFont="1" applyFill="1" applyBorder="1" applyAlignment="1">
      <alignment horizontal="center" vertical="center"/>
    </xf>
    <xf numFmtId="164" fontId="110" fillId="3" borderId="13" xfId="1" applyFont="1" applyFill="1" applyBorder="1" applyAlignment="1">
      <alignment horizontal="center" vertical="center"/>
    </xf>
    <xf numFmtId="164" fontId="110" fillId="3" borderId="34" xfId="4" applyFont="1" applyFill="1" applyBorder="1" applyAlignment="1">
      <alignment horizontal="center" vertical="center"/>
    </xf>
    <xf numFmtId="0" fontId="110" fillId="0" borderId="10" xfId="0" quotePrefix="1" applyFont="1" applyBorder="1" applyAlignment="1">
      <alignment horizontal="left" vertical="center"/>
    </xf>
    <xf numFmtId="0" fontId="101" fillId="0" borderId="28" xfId="0" quotePrefix="1" applyFont="1" applyBorder="1" applyAlignment="1">
      <alignment horizontal="center" vertical="center"/>
    </xf>
    <xf numFmtId="0" fontId="101" fillId="0" borderId="33" xfId="0" applyFont="1" applyBorder="1" applyAlignment="1">
      <alignment horizontal="left" vertical="center"/>
    </xf>
    <xf numFmtId="0" fontId="110" fillId="0" borderId="33" xfId="0" applyFont="1" applyBorder="1"/>
    <xf numFmtId="0" fontId="110" fillId="0" borderId="34" xfId="0" applyFont="1" applyBorder="1" applyAlignment="1">
      <alignment horizontal="center" vertical="center"/>
    </xf>
    <xf numFmtId="170" fontId="110" fillId="0" borderId="28" xfId="1" applyNumberFormat="1" applyFont="1" applyFill="1" applyBorder="1" applyAlignment="1">
      <alignment horizontal="center" vertical="center"/>
    </xf>
    <xf numFmtId="0" fontId="110" fillId="0" borderId="28" xfId="0" quotePrefix="1" applyFont="1" applyBorder="1" applyAlignment="1">
      <alignment horizontal="center" vertical="center"/>
    </xf>
    <xf numFmtId="164" fontId="17" fillId="0" borderId="35" xfId="4" applyFont="1" applyBorder="1" applyAlignment="1">
      <alignment horizontal="center" vertical="center"/>
    </xf>
    <xf numFmtId="0" fontId="98" fillId="0" borderId="0" xfId="0" applyFont="1"/>
    <xf numFmtId="0" fontId="93" fillId="0" borderId="10" xfId="0" quotePrefix="1" applyFont="1" applyBorder="1" applyAlignment="1">
      <alignment horizontal="center" vertical="center"/>
    </xf>
    <xf numFmtId="0" fontId="17" fillId="0" borderId="2" xfId="0" applyFont="1" applyBorder="1" applyAlignment="1">
      <alignment horizontal="left" vertical="center"/>
    </xf>
    <xf numFmtId="0" fontId="17" fillId="0" borderId="2" xfId="0" applyFont="1" applyBorder="1"/>
    <xf numFmtId="0" fontId="17" fillId="0" borderId="11" xfId="0" applyFont="1" applyBorder="1" applyAlignment="1">
      <alignment horizontal="center" vertical="center"/>
    </xf>
    <xf numFmtId="170" fontId="17" fillId="0" borderId="10" xfId="1" applyNumberFormat="1" applyFont="1" applyFill="1" applyBorder="1" applyAlignment="1">
      <alignment horizontal="center" vertical="center"/>
    </xf>
    <xf numFmtId="0" fontId="17" fillId="0" borderId="10" xfId="0" quotePrefix="1" applyFont="1" applyBorder="1" applyAlignment="1">
      <alignment horizontal="center" vertical="center"/>
    </xf>
    <xf numFmtId="0" fontId="110" fillId="0" borderId="36" xfId="0" quotePrefix="1" applyFont="1" applyBorder="1" applyAlignment="1">
      <alignment horizontal="center" vertical="center"/>
    </xf>
    <xf numFmtId="0" fontId="110" fillId="0" borderId="38" xfId="0" applyFont="1" applyBorder="1" applyAlignment="1">
      <alignment horizontal="left" vertical="center"/>
    </xf>
    <xf numFmtId="0" fontId="110" fillId="0" borderId="38" xfId="0" applyFont="1" applyBorder="1"/>
    <xf numFmtId="0" fontId="110" fillId="0" borderId="39" xfId="0" applyFont="1" applyBorder="1" applyAlignment="1">
      <alignment horizontal="center" vertical="center"/>
    </xf>
    <xf numFmtId="170" fontId="110" fillId="0" borderId="36" xfId="1" applyNumberFormat="1" applyFont="1" applyFill="1" applyBorder="1" applyAlignment="1">
      <alignment horizontal="center" vertical="center"/>
    </xf>
    <xf numFmtId="0" fontId="110" fillId="0" borderId="36" xfId="0" applyFont="1" applyBorder="1" applyAlignment="1">
      <alignment horizontal="center" vertical="center"/>
    </xf>
    <xf numFmtId="164" fontId="17" fillId="0" borderId="37" xfId="4" applyFont="1" applyBorder="1" applyAlignment="1">
      <alignment horizontal="center" vertical="center"/>
    </xf>
    <xf numFmtId="164" fontId="110" fillId="3" borderId="39" xfId="4" applyFont="1" applyFill="1" applyBorder="1" applyAlignment="1">
      <alignment horizontal="center" vertical="center"/>
    </xf>
    <xf numFmtId="0" fontId="112" fillId="9" borderId="0" xfId="0" applyFont="1" applyFill="1"/>
    <xf numFmtId="0" fontId="110" fillId="0" borderId="13" xfId="0" quotePrefix="1" applyFont="1" applyBorder="1" applyAlignment="1">
      <alignment horizontal="left" vertical="center"/>
    </xf>
    <xf numFmtId="0" fontId="110" fillId="0" borderId="17" xfId="0" quotePrefix="1" applyFont="1" applyBorder="1" applyAlignment="1">
      <alignment horizontal="center" vertical="top"/>
    </xf>
    <xf numFmtId="164" fontId="116" fillId="0" borderId="14" xfId="1" applyFont="1" applyFill="1" applyBorder="1" applyAlignment="1">
      <alignment horizontal="left" vertical="center"/>
    </xf>
    <xf numFmtId="164" fontId="110" fillId="0" borderId="10" xfId="0" quotePrefix="1" applyNumberFormat="1" applyFont="1" applyBorder="1" applyAlignment="1">
      <alignment horizontal="center" vertical="center"/>
    </xf>
    <xf numFmtId="0" fontId="104" fillId="0" borderId="20" xfId="0" applyFont="1" applyBorder="1" applyAlignment="1">
      <alignment horizontal="center" vertical="center"/>
    </xf>
    <xf numFmtId="0" fontId="18" fillId="0" borderId="10" xfId="44" quotePrefix="1" applyFont="1" applyBorder="1" applyAlignment="1">
      <alignment horizontal="center" vertical="center"/>
    </xf>
    <xf numFmtId="0" fontId="18" fillId="0" borderId="2" xfId="44" applyFont="1" applyBorder="1" applyAlignment="1">
      <alignment vertical="center"/>
    </xf>
    <xf numFmtId="0" fontId="106" fillId="0" borderId="2" xfId="0" applyFont="1" applyBorder="1" applyAlignment="1">
      <alignment horizontal="left" vertical="center"/>
    </xf>
    <xf numFmtId="0" fontId="104" fillId="0" borderId="11" xfId="0" applyFont="1" applyBorder="1" applyAlignment="1">
      <alignment horizontal="center" vertical="center"/>
    </xf>
    <xf numFmtId="0" fontId="104" fillId="0" borderId="10" xfId="0" applyFont="1" applyBorder="1" applyAlignment="1">
      <alignment horizontal="center" vertical="center"/>
    </xf>
    <xf numFmtId="165" fontId="104" fillId="0" borderId="2" xfId="3" applyNumberFormat="1" applyFont="1" applyFill="1" applyBorder="1" applyAlignment="1">
      <alignment horizontal="centerContinuous"/>
    </xf>
    <xf numFmtId="164" fontId="104" fillId="0" borderId="12" xfId="1" applyFont="1" applyFill="1" applyBorder="1" applyAlignment="1">
      <alignment horizontal="center" vertical="center"/>
    </xf>
    <xf numFmtId="164" fontId="104" fillId="0" borderId="2" xfId="1" applyFont="1" applyFill="1" applyBorder="1" applyAlignment="1">
      <alignment horizontal="center" vertical="center"/>
    </xf>
    <xf numFmtId="164" fontId="104" fillId="0" borderId="11" xfId="1" applyFont="1" applyFill="1" applyBorder="1" applyAlignment="1">
      <alignment horizontal="center" vertical="center"/>
    </xf>
    <xf numFmtId="164" fontId="123" fillId="0" borderId="11" xfId="1" applyFont="1" applyFill="1" applyBorder="1" applyAlignment="1">
      <alignment horizontal="center" vertical="center"/>
    </xf>
    <xf numFmtId="0" fontId="110" fillId="0" borderId="10" xfId="0" applyFont="1" applyBorder="1" applyAlignment="1">
      <alignment horizontal="right" vertical="center"/>
    </xf>
    <xf numFmtId="2" fontId="110" fillId="0" borderId="10" xfId="0" quotePrefix="1" applyNumberFormat="1" applyFont="1" applyBorder="1" applyAlignment="1">
      <alignment horizontal="center" vertical="center"/>
    </xf>
    <xf numFmtId="181" fontId="110" fillId="0" borderId="10" xfId="0" quotePrefix="1" applyNumberFormat="1" applyFont="1" applyBorder="1" applyAlignment="1">
      <alignment horizontal="center" vertical="center"/>
    </xf>
    <xf numFmtId="181" fontId="110" fillId="0" borderId="10" xfId="0" applyNumberFormat="1" applyFont="1" applyBorder="1" applyAlignment="1">
      <alignment horizontal="center" vertical="center"/>
    </xf>
    <xf numFmtId="0" fontId="88" fillId="4" borderId="28" xfId="8" quotePrefix="1" applyFont="1" applyFill="1" applyBorder="1" applyAlignment="1">
      <alignment horizontal="center" vertical="center"/>
    </xf>
    <xf numFmtId="166" fontId="101" fillId="0" borderId="33" xfId="0" applyNumberFormat="1" applyFont="1" applyBorder="1" applyAlignment="1">
      <alignment horizontal="left" vertical="center"/>
    </xf>
    <xf numFmtId="0" fontId="17" fillId="4" borderId="34" xfId="8" applyFont="1" applyFill="1" applyBorder="1" applyAlignment="1">
      <alignment horizontal="left" vertical="center"/>
    </xf>
    <xf numFmtId="164" fontId="17" fillId="0" borderId="28" xfId="1" applyFont="1" applyBorder="1" applyAlignment="1">
      <alignment horizontal="center" vertical="center"/>
    </xf>
    <xf numFmtId="164" fontId="17" fillId="0" borderId="35" xfId="1" applyFont="1" applyBorder="1" applyAlignment="1">
      <alignment horizontal="center" vertical="center"/>
    </xf>
    <xf numFmtId="164" fontId="17" fillId="3" borderId="60" xfId="1" applyFont="1" applyFill="1" applyBorder="1" applyAlignment="1">
      <alignment horizontal="center" vertical="center"/>
    </xf>
    <xf numFmtId="164" fontId="17" fillId="3" borderId="33" xfId="1" applyFont="1" applyFill="1" applyBorder="1" applyAlignment="1">
      <alignment horizontal="center" vertical="center"/>
    </xf>
    <xf numFmtId="164" fontId="17" fillId="3" borderId="34" xfId="1" applyFont="1" applyFill="1" applyBorder="1" applyAlignment="1">
      <alignment horizontal="center" vertical="center"/>
    </xf>
    <xf numFmtId="0" fontId="130" fillId="0" borderId="0" xfId="0" applyFont="1"/>
    <xf numFmtId="0" fontId="17" fillId="4" borderId="18" xfId="8" quotePrefix="1" applyFont="1" applyFill="1" applyBorder="1" applyAlignment="1">
      <alignment horizontal="center" vertical="center"/>
    </xf>
    <xf numFmtId="0" fontId="17" fillId="4" borderId="11" xfId="8" applyFont="1" applyFill="1" applyBorder="1" applyAlignment="1">
      <alignment horizontal="left" vertical="center"/>
    </xf>
    <xf numFmtId="164" fontId="17" fillId="0" borderId="10" xfId="4" applyFont="1" applyBorder="1" applyAlignment="1">
      <alignment horizontal="center" vertical="center"/>
    </xf>
    <xf numFmtId="164" fontId="17" fillId="0" borderId="32" xfId="1" applyFont="1" applyFill="1" applyBorder="1" applyAlignment="1">
      <alignment horizontal="center" vertical="center"/>
    </xf>
    <xf numFmtId="164" fontId="17" fillId="3" borderId="20" xfId="1" applyFont="1" applyFill="1" applyBorder="1" applyAlignment="1">
      <alignment horizontal="center" vertical="center"/>
    </xf>
    <xf numFmtId="164" fontId="17" fillId="0" borderId="10" xfId="1" applyFont="1" applyBorder="1" applyAlignment="1">
      <alignment horizontal="center" vertical="center"/>
    </xf>
    <xf numFmtId="164" fontId="17" fillId="0" borderId="29" xfId="1" applyFont="1" applyFill="1" applyBorder="1" applyAlignment="1">
      <alignment horizontal="center" vertical="center"/>
    </xf>
    <xf numFmtId="164" fontId="111" fillId="3" borderId="12" xfId="4" applyFont="1" applyFill="1" applyBorder="1" applyAlignment="1">
      <alignment horizontal="center" vertical="center"/>
    </xf>
    <xf numFmtId="164" fontId="111" fillId="3" borderId="10" xfId="4" applyFont="1" applyFill="1" applyBorder="1" applyAlignment="1">
      <alignment horizontal="center" vertical="center"/>
    </xf>
    <xf numFmtId="2" fontId="88" fillId="4" borderId="18" xfId="8" quotePrefix="1" applyNumberFormat="1" applyFont="1" applyFill="1" applyBorder="1" applyAlignment="1">
      <alignment horizontal="center" vertical="center"/>
    </xf>
    <xf numFmtId="166" fontId="101" fillId="0" borderId="1" xfId="0" applyNumberFormat="1" applyFont="1" applyBorder="1" applyAlignment="1">
      <alignment horizontal="left" vertical="center"/>
    </xf>
    <xf numFmtId="0" fontId="17" fillId="4" borderId="20" xfId="8" applyFont="1" applyFill="1" applyBorder="1" applyAlignment="1">
      <alignment horizontal="left" vertical="center"/>
    </xf>
    <xf numFmtId="164" fontId="17" fillId="0" borderId="29" xfId="1" applyFont="1" applyBorder="1" applyAlignment="1">
      <alignment horizontal="center" vertical="center"/>
    </xf>
    <xf numFmtId="0" fontId="17" fillId="0" borderId="10" xfId="8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left" vertical="center"/>
    </xf>
    <xf numFmtId="0" fontId="17" fillId="0" borderId="11" xfId="8" applyFont="1" applyBorder="1" applyAlignment="1">
      <alignment horizontal="left" vertical="center"/>
    </xf>
    <xf numFmtId="0" fontId="17" fillId="0" borderId="18" xfId="8" applyFont="1" applyBorder="1" applyAlignment="1">
      <alignment horizontal="center" vertical="center"/>
    </xf>
    <xf numFmtId="166" fontId="110" fillId="0" borderId="1" xfId="0" applyNumberFormat="1" applyFont="1" applyBorder="1" applyAlignment="1">
      <alignment horizontal="left" vertical="center"/>
    </xf>
    <xf numFmtId="0" fontId="17" fillId="0" borderId="18" xfId="8" quotePrefix="1" applyFont="1" applyBorder="1" applyAlignment="1">
      <alignment horizontal="center" vertical="center"/>
    </xf>
    <xf numFmtId="181" fontId="88" fillId="4" borderId="18" xfId="8" quotePrefix="1" applyNumberFormat="1" applyFont="1" applyFill="1" applyBorder="1" applyAlignment="1">
      <alignment horizontal="center" vertical="center"/>
    </xf>
    <xf numFmtId="164" fontId="17" fillId="0" borderId="18" xfId="4" applyFont="1" applyBorder="1" applyAlignment="1">
      <alignment horizontal="center" vertical="center"/>
    </xf>
    <xf numFmtId="164" fontId="111" fillId="0" borderId="10" xfId="4" applyFont="1" applyBorder="1" applyAlignment="1">
      <alignment horizontal="center" vertical="center"/>
    </xf>
    <xf numFmtId="164" fontId="111" fillId="0" borderId="11" xfId="4" applyFont="1" applyBorder="1" applyAlignment="1">
      <alignment horizontal="center" vertical="center"/>
    </xf>
    <xf numFmtId="164" fontId="111" fillId="3" borderId="2" xfId="4" applyFont="1" applyFill="1" applyBorder="1" applyAlignment="1">
      <alignment horizontal="center" vertical="center"/>
    </xf>
    <xf numFmtId="164" fontId="111" fillId="0" borderId="29" xfId="4" applyFont="1" applyBorder="1" applyAlignment="1">
      <alignment horizontal="center" vertical="center"/>
    </xf>
    <xf numFmtId="0" fontId="17" fillId="4" borderId="36" xfId="8" quotePrefix="1" applyFont="1" applyFill="1" applyBorder="1" applyAlignment="1">
      <alignment horizontal="center" vertical="center"/>
    </xf>
    <xf numFmtId="166" fontId="110" fillId="0" borderId="38" xfId="0" applyNumberFormat="1" applyFont="1" applyBorder="1" applyAlignment="1">
      <alignment horizontal="left" vertical="center"/>
    </xf>
    <xf numFmtId="164" fontId="17" fillId="0" borderId="36" xfId="4" applyFont="1" applyBorder="1" applyAlignment="1">
      <alignment horizontal="center" vertical="center"/>
    </xf>
    <xf numFmtId="164" fontId="17" fillId="0" borderId="28" xfId="4" applyFont="1" applyBorder="1" applyAlignment="1">
      <alignment horizontal="center" vertical="center"/>
    </xf>
    <xf numFmtId="164" fontId="17" fillId="0" borderId="17" xfId="4" applyFont="1" applyBorder="1" applyAlignment="1">
      <alignment horizontal="center" vertical="center"/>
    </xf>
    <xf numFmtId="37" fontId="111" fillId="0" borderId="10" xfId="4" applyNumberFormat="1" applyFont="1" applyBorder="1" applyAlignment="1">
      <alignment horizontal="right" vertical="center"/>
    </xf>
    <xf numFmtId="166" fontId="110" fillId="0" borderId="3" xfId="0" applyNumberFormat="1" applyFont="1" applyBorder="1" applyAlignment="1">
      <alignment horizontal="left" vertical="center"/>
    </xf>
    <xf numFmtId="0" fontId="88" fillId="4" borderId="3" xfId="8" applyFont="1" applyFill="1" applyBorder="1" applyAlignment="1">
      <alignment horizontal="left" vertical="center"/>
    </xf>
    <xf numFmtId="166" fontId="17" fillId="0" borderId="3" xfId="0" applyNumberFormat="1" applyFont="1" applyBorder="1" applyAlignment="1">
      <alignment horizontal="left" vertical="center"/>
    </xf>
    <xf numFmtId="0" fontId="88" fillId="0" borderId="2" xfId="8" applyFont="1" applyBorder="1" applyAlignment="1">
      <alignment horizontal="left" vertical="center"/>
    </xf>
    <xf numFmtId="164" fontId="17" fillId="0" borderId="10" xfId="4" applyFont="1" applyFill="1" applyBorder="1" applyAlignment="1">
      <alignment horizontal="center" vertical="center"/>
    </xf>
    <xf numFmtId="164" fontId="17" fillId="0" borderId="18" xfId="4" applyFont="1" applyFill="1" applyBorder="1" applyAlignment="1">
      <alignment horizontal="center" vertical="center"/>
    </xf>
    <xf numFmtId="164" fontId="17" fillId="0" borderId="32" xfId="4" applyFont="1" applyFill="1" applyBorder="1" applyAlignment="1">
      <alignment horizontal="center" vertical="center"/>
    </xf>
    <xf numFmtId="0" fontId="17" fillId="0" borderId="10" xfId="8" quotePrefix="1" applyFont="1" applyBorder="1" applyAlignment="1">
      <alignment horizontal="center" vertical="center"/>
    </xf>
    <xf numFmtId="0" fontId="11" fillId="0" borderId="0" xfId="0" quotePrefix="1" applyFont="1"/>
    <xf numFmtId="2" fontId="110" fillId="0" borderId="18" xfId="0" applyNumberFormat="1" applyFont="1" applyBorder="1" applyAlignment="1">
      <alignment horizontal="center" vertical="center"/>
    </xf>
    <xf numFmtId="164" fontId="116" fillId="0" borderId="20" xfId="1" applyFont="1" applyFill="1" applyBorder="1" applyAlignment="1">
      <alignment horizontal="left" vertical="center"/>
    </xf>
    <xf numFmtId="0" fontId="17" fillId="4" borderId="13" xfId="8" applyFont="1" applyFill="1" applyBorder="1" applyAlignment="1">
      <alignment horizontal="center" vertical="center"/>
    </xf>
    <xf numFmtId="0" fontId="17" fillId="0" borderId="79" xfId="8" applyFont="1" applyBorder="1" applyAlignment="1">
      <alignment horizontal="left" vertical="center"/>
    </xf>
    <xf numFmtId="0" fontId="17" fillId="0" borderId="0" xfId="8" applyFont="1" applyAlignment="1">
      <alignment horizontal="left" vertical="center"/>
    </xf>
    <xf numFmtId="164" fontId="17" fillId="0" borderId="13" xfId="1" applyFont="1" applyBorder="1" applyAlignment="1">
      <alignment horizontal="center" vertical="center"/>
    </xf>
    <xf numFmtId="164" fontId="17" fillId="3" borderId="13" xfId="1" applyFont="1" applyFill="1" applyBorder="1" applyAlignment="1">
      <alignment horizontal="center" vertical="center"/>
    </xf>
    <xf numFmtId="164" fontId="111" fillId="0" borderId="10" xfId="1" applyFont="1" applyBorder="1" applyAlignment="1">
      <alignment horizontal="center" vertical="center"/>
    </xf>
    <xf numFmtId="164" fontId="111" fillId="0" borderId="29" xfId="1" applyFont="1" applyBorder="1" applyAlignment="1">
      <alignment horizontal="center" vertical="center"/>
    </xf>
    <xf numFmtId="164" fontId="111" fillId="3" borderId="2" xfId="1" applyFont="1" applyFill="1" applyBorder="1" applyAlignment="1">
      <alignment horizontal="center" vertical="center"/>
    </xf>
    <xf numFmtId="166" fontId="110" fillId="0" borderId="29" xfId="0" applyNumberFormat="1" applyFont="1" applyBorder="1" applyAlignment="1">
      <alignment horizontal="left" vertical="center"/>
    </xf>
    <xf numFmtId="166" fontId="110" fillId="0" borderId="37" xfId="0" applyNumberFormat="1" applyFont="1" applyBorder="1" applyAlignment="1">
      <alignment horizontal="left" vertical="center"/>
    </xf>
    <xf numFmtId="0" fontId="132" fillId="0" borderId="4" xfId="0" applyFont="1" applyBorder="1"/>
    <xf numFmtId="0" fontId="130" fillId="0" borderId="13" xfId="0" applyFont="1" applyBorder="1"/>
    <xf numFmtId="0" fontId="130" fillId="0" borderId="40" xfId="0" applyFont="1" applyBorder="1"/>
    <xf numFmtId="164" fontId="17" fillId="0" borderId="29" xfId="4" applyFont="1" applyBorder="1" applyAlignment="1">
      <alignment vertical="center"/>
    </xf>
    <xf numFmtId="0" fontId="17" fillId="4" borderId="39" xfId="8" applyFont="1" applyFill="1" applyBorder="1" applyAlignment="1">
      <alignment horizontal="left" vertical="center"/>
    </xf>
    <xf numFmtId="164" fontId="17" fillId="0" borderId="36" xfId="1" applyFont="1" applyBorder="1" applyAlignment="1">
      <alignment horizontal="center" vertical="center"/>
    </xf>
    <xf numFmtId="164" fontId="17" fillId="0" borderId="37" xfId="1" applyFont="1" applyBorder="1" applyAlignment="1">
      <alignment horizontal="center" vertical="center"/>
    </xf>
    <xf numFmtId="164" fontId="17" fillId="3" borderId="70" xfId="1" applyFont="1" applyFill="1" applyBorder="1" applyAlignment="1">
      <alignment horizontal="center" vertical="center"/>
    </xf>
    <xf numFmtId="164" fontId="17" fillId="3" borderId="38" xfId="1" applyFont="1" applyFill="1" applyBorder="1" applyAlignment="1">
      <alignment horizontal="center" vertical="center"/>
    </xf>
    <xf numFmtId="164" fontId="17" fillId="3" borderId="36" xfId="1" applyFont="1" applyFill="1" applyBorder="1" applyAlignment="1">
      <alignment horizontal="center" vertical="center"/>
    </xf>
    <xf numFmtId="164" fontId="17" fillId="0" borderId="39" xfId="1" applyFont="1" applyFill="1" applyBorder="1" applyAlignment="1">
      <alignment horizontal="center" vertical="center"/>
    </xf>
    <xf numFmtId="164" fontId="17" fillId="0" borderId="37" xfId="1" applyFont="1" applyFill="1" applyBorder="1" applyAlignment="1">
      <alignment horizontal="center" vertical="center"/>
    </xf>
    <xf numFmtId="164" fontId="17" fillId="0" borderId="70" xfId="4" applyFont="1" applyFill="1" applyBorder="1" applyAlignment="1">
      <alignment horizontal="center" vertical="center"/>
    </xf>
    <xf numFmtId="164" fontId="17" fillId="0" borderId="38" xfId="1" applyFont="1" applyFill="1" applyBorder="1" applyAlignment="1">
      <alignment horizontal="center" vertical="center"/>
    </xf>
    <xf numFmtId="164" fontId="17" fillId="0" borderId="36" xfId="4" applyFont="1" applyFill="1" applyBorder="1" applyAlignment="1">
      <alignment horizontal="center" vertical="center"/>
    </xf>
    <xf numFmtId="164" fontId="17" fillId="3" borderId="39" xfId="1" applyFont="1" applyFill="1" applyBorder="1" applyAlignment="1">
      <alignment horizontal="center" vertical="center"/>
    </xf>
    <xf numFmtId="164" fontId="111" fillId="0" borderId="10" xfId="1" applyFont="1" applyFill="1" applyBorder="1" applyAlignment="1">
      <alignment horizontal="center" vertical="center"/>
    </xf>
    <xf numFmtId="43" fontId="130" fillId="0" borderId="0" xfId="0" applyNumberFormat="1" applyFont="1"/>
    <xf numFmtId="164" fontId="17" fillId="0" borderId="29" xfId="1" applyFont="1" applyFill="1" applyBorder="1" applyAlignment="1">
      <alignment horizontal="centerContinuous" vertical="center"/>
    </xf>
    <xf numFmtId="185" fontId="17" fillId="3" borderId="11" xfId="4" applyNumberFormat="1" applyFont="1" applyFill="1" applyBorder="1" applyAlignment="1">
      <alignment horizontal="center" vertical="center"/>
    </xf>
    <xf numFmtId="0" fontId="132" fillId="0" borderId="81" xfId="0" applyFont="1" applyBorder="1"/>
    <xf numFmtId="0" fontId="130" fillId="0" borderId="22" xfId="0" applyFont="1" applyBorder="1"/>
    <xf numFmtId="2" fontId="110" fillId="0" borderId="29" xfId="0" applyNumberFormat="1" applyFont="1" applyBorder="1" applyAlignment="1">
      <alignment horizontal="left" vertical="center"/>
    </xf>
    <xf numFmtId="2" fontId="110" fillId="0" borderId="36" xfId="0" applyNumberFormat="1" applyFont="1" applyBorder="1" applyAlignment="1">
      <alignment horizontal="center" vertical="center"/>
    </xf>
    <xf numFmtId="165" fontId="110" fillId="0" borderId="38" xfId="3" applyNumberFormat="1" applyFont="1" applyFill="1" applyBorder="1" applyAlignment="1">
      <alignment horizontal="centerContinuous"/>
    </xf>
    <xf numFmtId="164" fontId="110" fillId="0" borderId="70" xfId="1" applyFont="1" applyFill="1" applyBorder="1" applyAlignment="1">
      <alignment horizontal="center" vertical="center"/>
    </xf>
    <xf numFmtId="164" fontId="110" fillId="0" borderId="38" xfId="1" applyFont="1" applyFill="1" applyBorder="1" applyAlignment="1">
      <alignment horizontal="center" vertical="center"/>
    </xf>
    <xf numFmtId="164" fontId="110" fillId="0" borderId="39" xfId="1" applyFont="1" applyFill="1" applyBorder="1" applyAlignment="1">
      <alignment horizontal="center" vertical="center"/>
    </xf>
    <xf numFmtId="164" fontId="116" fillId="0" borderId="39" xfId="1" applyFont="1" applyFill="1" applyBorder="1" applyAlignment="1">
      <alignment horizontal="left" vertical="center"/>
    </xf>
    <xf numFmtId="0" fontId="88" fillId="0" borderId="18" xfId="8" quotePrefix="1" applyFont="1" applyBorder="1" applyAlignment="1">
      <alignment horizontal="center" vertical="center"/>
    </xf>
    <xf numFmtId="166" fontId="88" fillId="0" borderId="1" xfId="0" applyNumberFormat="1" applyFont="1" applyBorder="1" applyAlignment="1">
      <alignment horizontal="left" vertical="center"/>
    </xf>
    <xf numFmtId="0" fontId="88" fillId="0" borderId="1" xfId="8" applyFont="1" applyBorder="1" applyAlignment="1">
      <alignment horizontal="left" vertical="center"/>
    </xf>
    <xf numFmtId="0" fontId="17" fillId="0" borderId="20" xfId="8" applyFont="1" applyBorder="1" applyAlignment="1">
      <alignment horizontal="left" vertical="center"/>
    </xf>
    <xf numFmtId="0" fontId="17" fillId="0" borderId="30" xfId="8" applyFont="1" applyBorder="1" applyAlignment="1">
      <alignment horizontal="left" vertical="center"/>
    </xf>
    <xf numFmtId="166" fontId="101" fillId="0" borderId="2" xfId="0" applyNumberFormat="1" applyFont="1" applyBorder="1" applyAlignment="1">
      <alignment horizontal="left" vertical="center"/>
    </xf>
    <xf numFmtId="164" fontId="111" fillId="0" borderId="10" xfId="4" applyFont="1" applyFill="1" applyBorder="1" applyAlignment="1">
      <alignment horizontal="center" vertical="center"/>
    </xf>
    <xf numFmtId="0" fontId="130" fillId="0" borderId="0" xfId="0" applyFont="1" applyAlignment="1">
      <alignment horizontal="center"/>
    </xf>
    <xf numFmtId="0" fontId="133" fillId="0" borderId="0" xfId="0" applyFont="1" applyAlignment="1">
      <alignment horizontal="center"/>
    </xf>
    <xf numFmtId="164" fontId="17" fillId="0" borderId="1" xfId="1" applyFont="1" applyFill="1" applyBorder="1" applyAlignment="1">
      <alignment horizontal="right" vertical="center"/>
    </xf>
    <xf numFmtId="0" fontId="88" fillId="2" borderId="21" xfId="0" applyFont="1" applyFill="1" applyBorder="1" applyAlignment="1">
      <alignment horizontal="center" vertical="center"/>
    </xf>
    <xf numFmtId="0" fontId="88" fillId="2" borderId="21" xfId="5" applyFont="1" applyFill="1" applyBorder="1" applyAlignment="1">
      <alignment vertical="center"/>
    </xf>
    <xf numFmtId="0" fontId="88" fillId="2" borderId="66" xfId="5" applyFont="1" applyFill="1" applyBorder="1" applyAlignment="1">
      <alignment vertical="center"/>
    </xf>
    <xf numFmtId="164" fontId="88" fillId="2" borderId="26" xfId="1" applyFont="1" applyFill="1" applyBorder="1" applyAlignment="1">
      <alignment horizontal="center" vertical="center"/>
    </xf>
    <xf numFmtId="164" fontId="88" fillId="2" borderId="66" xfId="1" applyFont="1" applyFill="1" applyBorder="1" applyAlignment="1">
      <alignment horizontal="center" vertical="center"/>
    </xf>
    <xf numFmtId="164" fontId="88" fillId="2" borderId="21" xfId="1" applyFont="1" applyFill="1" applyBorder="1" applyAlignment="1">
      <alignment horizontal="center" vertical="center"/>
    </xf>
    <xf numFmtId="181" fontId="88" fillId="4" borderId="28" xfId="8" quotePrefix="1" applyNumberFormat="1" applyFont="1" applyFill="1" applyBorder="1" applyAlignment="1">
      <alignment horizontal="center" vertical="center"/>
    </xf>
    <xf numFmtId="164" fontId="17" fillId="0" borderId="37" xfId="1" applyFont="1" applyBorder="1" applyAlignment="1">
      <alignment horizontal="centerContinuous" vertical="center"/>
    </xf>
    <xf numFmtId="0" fontId="17" fillId="0" borderId="17" xfId="8" quotePrefix="1" applyFont="1" applyBorder="1" applyAlignment="1">
      <alignment horizontal="center" vertical="center"/>
    </xf>
    <xf numFmtId="0" fontId="88" fillId="0" borderId="3" xfId="8" applyFont="1" applyBorder="1" applyAlignment="1">
      <alignment horizontal="left" vertical="center"/>
    </xf>
    <xf numFmtId="164" fontId="17" fillId="0" borderId="17" xfId="4" applyFont="1" applyFill="1" applyBorder="1" applyAlignment="1">
      <alignment horizontal="center" vertical="center"/>
    </xf>
    <xf numFmtId="164" fontId="17" fillId="0" borderId="76" xfId="4" applyFont="1" applyFill="1" applyBorder="1" applyAlignment="1">
      <alignment horizontal="center" vertical="center"/>
    </xf>
    <xf numFmtId="166" fontId="17" fillId="0" borderId="38" xfId="0" applyNumberFormat="1" applyFont="1" applyBorder="1" applyAlignment="1">
      <alignment horizontal="left" vertical="center"/>
    </xf>
    <xf numFmtId="0" fontId="17" fillId="0" borderId="38" xfId="8" applyFont="1" applyBorder="1" applyAlignment="1">
      <alignment horizontal="left" vertical="center"/>
    </xf>
    <xf numFmtId="0" fontId="88" fillId="0" borderId="28" xfId="44" quotePrefix="1" applyFont="1" applyBorder="1" applyAlignment="1">
      <alignment horizontal="center" vertical="center"/>
    </xf>
    <xf numFmtId="0" fontId="88" fillId="0" borderId="35" xfId="44" applyFont="1" applyBorder="1" applyAlignment="1">
      <alignment vertical="center"/>
    </xf>
    <xf numFmtId="0" fontId="104" fillId="0" borderId="34" xfId="0" applyFont="1" applyBorder="1" applyAlignment="1">
      <alignment horizontal="center" vertical="center"/>
    </xf>
    <xf numFmtId="0" fontId="104" fillId="0" borderId="28" xfId="0" applyFont="1" applyBorder="1" applyAlignment="1">
      <alignment horizontal="center" vertical="center"/>
    </xf>
    <xf numFmtId="165" fontId="104" fillId="0" borderId="33" xfId="3" applyNumberFormat="1" applyFont="1" applyFill="1" applyBorder="1" applyAlignment="1">
      <alignment horizontal="centerContinuous"/>
    </xf>
    <xf numFmtId="164" fontId="104" fillId="0" borderId="33" xfId="1" applyFont="1" applyFill="1" applyBorder="1" applyAlignment="1">
      <alignment horizontal="center" vertical="center"/>
    </xf>
    <xf numFmtId="164" fontId="104" fillId="0" borderId="34" xfId="1" applyFont="1" applyFill="1" applyBorder="1" applyAlignment="1">
      <alignment horizontal="center" vertical="center"/>
    </xf>
    <xf numFmtId="164" fontId="17" fillId="0" borderId="76" xfId="4" applyFont="1" applyBorder="1" applyAlignment="1">
      <alignment vertical="center"/>
    </xf>
    <xf numFmtId="0" fontId="17" fillId="0" borderId="39" xfId="8" applyFont="1" applyBorder="1" applyAlignment="1">
      <alignment horizontal="left" vertical="center"/>
    </xf>
    <xf numFmtId="164" fontId="17" fillId="0" borderId="37" xfId="4" applyFont="1" applyBorder="1" applyAlignment="1">
      <alignment vertical="center"/>
    </xf>
    <xf numFmtId="166" fontId="110" fillId="0" borderId="33" xfId="0" applyNumberFormat="1" applyFont="1" applyBorder="1" applyAlignment="1">
      <alignment horizontal="left" vertical="center"/>
    </xf>
    <xf numFmtId="164" fontId="17" fillId="3" borderId="28" xfId="1" applyFont="1" applyFill="1" applyBorder="1" applyAlignment="1">
      <alignment horizontal="center" vertical="center"/>
    </xf>
    <xf numFmtId="166" fontId="17" fillId="3" borderId="2" xfId="0" applyNumberFormat="1" applyFont="1" applyFill="1" applyBorder="1" applyAlignment="1">
      <alignment horizontal="left" vertical="center"/>
    </xf>
    <xf numFmtId="166" fontId="134" fillId="0" borderId="81" xfId="0" applyNumberFormat="1" applyFont="1" applyBorder="1" applyAlignment="1">
      <alignment horizontal="center" vertical="center"/>
    </xf>
    <xf numFmtId="0" fontId="130" fillId="0" borderId="81" xfId="0" applyFont="1" applyBorder="1" applyAlignment="1">
      <alignment horizontal="center"/>
    </xf>
    <xf numFmtId="0" fontId="110" fillId="0" borderId="28" xfId="0" applyFont="1" applyBorder="1" applyAlignment="1">
      <alignment horizontal="center" vertical="center"/>
    </xf>
    <xf numFmtId="165" fontId="110" fillId="0" borderId="67" xfId="3" applyNumberFormat="1" applyFont="1" applyFill="1" applyBorder="1" applyAlignment="1">
      <alignment horizontal="centerContinuous"/>
    </xf>
    <xf numFmtId="164" fontId="110" fillId="0" borderId="60" xfId="1" applyFont="1" applyFill="1" applyBorder="1" applyAlignment="1">
      <alignment horizontal="center" vertical="center"/>
    </xf>
    <xf numFmtId="164" fontId="110" fillId="0" borderId="33" xfId="1" applyFont="1" applyFill="1" applyBorder="1" applyAlignment="1">
      <alignment horizontal="center" vertical="center"/>
    </xf>
    <xf numFmtId="164" fontId="116" fillId="0" borderId="34" xfId="1" applyFont="1" applyFill="1" applyBorder="1" applyAlignment="1">
      <alignment horizontal="center" vertical="center"/>
    </xf>
    <xf numFmtId="164" fontId="104" fillId="3" borderId="63" xfId="1" applyFont="1" applyFill="1" applyBorder="1" applyAlignment="1">
      <alignment horizontal="center" vertical="center"/>
    </xf>
    <xf numFmtId="164" fontId="123" fillId="0" borderId="11" xfId="1" applyFont="1" applyFill="1" applyBorder="1" applyAlignment="1">
      <alignment horizontal="left" vertical="center"/>
    </xf>
    <xf numFmtId="181" fontId="104" fillId="3" borderId="10" xfId="6" quotePrefix="1" applyNumberFormat="1" applyFont="1" applyFill="1" applyBorder="1" applyAlignment="1">
      <alignment horizontal="center"/>
    </xf>
    <xf numFmtId="181" fontId="104" fillId="3" borderId="2" xfId="6" applyNumberFormat="1" applyFont="1" applyFill="1" applyBorder="1" applyAlignment="1">
      <alignment horizontal="left"/>
    </xf>
    <xf numFmtId="0" fontId="104" fillId="3" borderId="2" xfId="6" applyFont="1" applyFill="1" applyBorder="1"/>
    <xf numFmtId="0" fontId="104" fillId="3" borderId="2" xfId="6" applyFont="1" applyFill="1" applyBorder="1" applyAlignment="1">
      <alignment horizontal="left" vertical="center"/>
    </xf>
    <xf numFmtId="170" fontId="104" fillId="3" borderId="10" xfId="1" applyNumberFormat="1" applyFont="1" applyFill="1" applyBorder="1" applyAlignment="1">
      <alignment horizontal="right" vertical="center"/>
    </xf>
    <xf numFmtId="170" fontId="12" fillId="3" borderId="10" xfId="1" applyNumberFormat="1" applyFont="1" applyFill="1" applyBorder="1" applyAlignment="1">
      <alignment horizontal="right" vertical="center"/>
    </xf>
    <xf numFmtId="164" fontId="104" fillId="3" borderId="63" xfId="7" applyFont="1" applyFill="1" applyBorder="1" applyAlignment="1">
      <alignment horizontal="right"/>
    </xf>
    <xf numFmtId="164" fontId="12" fillId="3" borderId="11" xfId="1" applyFont="1" applyFill="1" applyBorder="1" applyAlignment="1">
      <alignment horizontal="center" vertical="center"/>
    </xf>
    <xf numFmtId="181" fontId="104" fillId="3" borderId="10" xfId="6" applyNumberFormat="1" applyFont="1" applyFill="1" applyBorder="1" applyAlignment="1">
      <alignment horizontal="center"/>
    </xf>
    <xf numFmtId="164" fontId="104" fillId="3" borderId="11" xfId="1" applyFont="1" applyFill="1" applyBorder="1" applyAlignment="1">
      <alignment horizontal="center" vertical="center" wrapText="1"/>
    </xf>
    <xf numFmtId="2" fontId="104" fillId="0" borderId="10" xfId="0" applyNumberFormat="1" applyFont="1" applyBorder="1" applyAlignment="1">
      <alignment horizontal="right" vertical="center"/>
    </xf>
    <xf numFmtId="0" fontId="104" fillId="0" borderId="2" xfId="0" applyFont="1" applyBorder="1" applyAlignment="1">
      <alignment horizontal="left" vertical="center"/>
    </xf>
    <xf numFmtId="0" fontId="104" fillId="0" borderId="2" xfId="0" applyFont="1" applyBorder="1"/>
    <xf numFmtId="0" fontId="104" fillId="0" borderId="10" xfId="0" applyFont="1" applyBorder="1" applyAlignment="1">
      <alignment horizontal="right" vertical="center"/>
    </xf>
    <xf numFmtId="2" fontId="123" fillId="0" borderId="36" xfId="0" applyNumberFormat="1" applyFont="1" applyBorder="1" applyAlignment="1">
      <alignment horizontal="right" vertical="center"/>
    </xf>
    <xf numFmtId="0" fontId="104" fillId="0" borderId="38" xfId="0" applyFont="1" applyBorder="1" applyAlignment="1">
      <alignment horizontal="left" vertical="center"/>
    </xf>
    <xf numFmtId="0" fontId="104" fillId="0" borderId="38" xfId="0" applyFont="1" applyBorder="1"/>
    <xf numFmtId="0" fontId="104" fillId="0" borderId="39" xfId="0" applyFont="1" applyBorder="1" applyAlignment="1">
      <alignment horizontal="center" vertical="center"/>
    </xf>
    <xf numFmtId="0" fontId="104" fillId="0" borderId="36" xfId="0" applyFont="1" applyBorder="1" applyAlignment="1">
      <alignment horizontal="center" vertical="center"/>
    </xf>
    <xf numFmtId="165" fontId="104" fillId="0" borderId="38" xfId="3" applyNumberFormat="1" applyFont="1" applyFill="1" applyBorder="1" applyAlignment="1">
      <alignment horizontal="centerContinuous"/>
    </xf>
    <xf numFmtId="164" fontId="104" fillId="0" borderId="70" xfId="1" applyFont="1" applyFill="1" applyBorder="1" applyAlignment="1">
      <alignment vertical="center"/>
    </xf>
    <xf numFmtId="164" fontId="104" fillId="0" borderId="38" xfId="1" applyFont="1" applyFill="1" applyBorder="1" applyAlignment="1">
      <alignment vertical="center"/>
    </xf>
    <xf numFmtId="164" fontId="104" fillId="0" borderId="39" xfId="1" applyFont="1" applyFill="1" applyBorder="1" applyAlignment="1">
      <alignment horizontal="center" vertical="center"/>
    </xf>
    <xf numFmtId="164" fontId="135" fillId="0" borderId="39" xfId="1" applyFont="1" applyFill="1" applyBorder="1" applyAlignment="1">
      <alignment horizontal="left" vertical="center"/>
    </xf>
    <xf numFmtId="0" fontId="88" fillId="4" borderId="18" xfId="8" applyFont="1" applyFill="1" applyBorder="1" applyAlignment="1">
      <alignment horizontal="center" vertical="center"/>
    </xf>
    <xf numFmtId="0" fontId="110" fillId="0" borderId="18" xfId="0" applyFont="1" applyBorder="1" applyAlignment="1">
      <alignment horizontal="center"/>
    </xf>
    <xf numFmtId="43" fontId="110" fillId="0" borderId="1" xfId="3" applyFont="1" applyFill="1" applyBorder="1"/>
    <xf numFmtId="43" fontId="110" fillId="0" borderId="73" xfId="3" applyFont="1" applyFill="1" applyBorder="1"/>
    <xf numFmtId="164" fontId="110" fillId="3" borderId="20" xfId="1" applyFont="1" applyFill="1" applyBorder="1" applyAlignment="1">
      <alignment horizontal="center" vertical="center" wrapText="1"/>
    </xf>
    <xf numFmtId="164" fontId="110" fillId="3" borderId="61" xfId="1" applyFont="1" applyFill="1" applyBorder="1" applyAlignment="1">
      <alignment horizontal="center" vertical="center"/>
    </xf>
    <xf numFmtId="164" fontId="110" fillId="0" borderId="2" xfId="1" applyFont="1" applyFill="1" applyBorder="1"/>
    <xf numFmtId="0" fontId="116" fillId="0" borderId="10" xfId="0" applyFont="1" applyBorder="1"/>
    <xf numFmtId="164" fontId="110" fillId="3" borderId="63" xfId="7" applyFont="1" applyFill="1" applyBorder="1" applyAlignment="1">
      <alignment horizontal="right"/>
    </xf>
    <xf numFmtId="0" fontId="116" fillId="0" borderId="17" xfId="0" applyFont="1" applyBorder="1"/>
    <xf numFmtId="0" fontId="109" fillId="0" borderId="1" xfId="0" applyFont="1" applyBorder="1" applyAlignment="1">
      <alignment vertical="center"/>
    </xf>
    <xf numFmtId="170" fontId="17" fillId="4" borderId="18" xfId="1" applyNumberFormat="1" applyFont="1" applyFill="1" applyBorder="1" applyAlignment="1">
      <alignment horizontal="center" vertical="center"/>
    </xf>
    <xf numFmtId="164" fontId="110" fillId="3" borderId="61" xfId="7" applyFont="1" applyFill="1" applyBorder="1" applyAlignment="1">
      <alignment horizontal="right"/>
    </xf>
    <xf numFmtId="164" fontId="110" fillId="0" borderId="1" xfId="1" applyFont="1" applyFill="1" applyBorder="1"/>
    <xf numFmtId="0" fontId="116" fillId="0" borderId="18" xfId="0" applyFont="1" applyBorder="1"/>
    <xf numFmtId="0" fontId="29" fillId="0" borderId="10" xfId="44" quotePrefix="1" applyFont="1" applyBorder="1" applyAlignment="1">
      <alignment horizontal="center" vertical="center"/>
    </xf>
    <xf numFmtId="0" fontId="29" fillId="0" borderId="29" xfId="44" applyFont="1" applyBorder="1" applyAlignment="1">
      <alignment vertical="center"/>
    </xf>
    <xf numFmtId="0" fontId="31" fillId="0" borderId="10" xfId="44" quotePrefix="1" applyFont="1" applyBorder="1" applyAlignment="1">
      <alignment horizontal="center" vertical="center"/>
    </xf>
    <xf numFmtId="0" fontId="31" fillId="0" borderId="2" xfId="44" applyFont="1" applyBorder="1" applyAlignment="1">
      <alignment vertical="center"/>
    </xf>
    <xf numFmtId="164" fontId="33" fillId="0" borderId="0" xfId="0" applyNumberFormat="1" applyFont="1" applyAlignment="1">
      <alignment horizontal="center"/>
    </xf>
    <xf numFmtId="0" fontId="29" fillId="4" borderId="18" xfId="8" quotePrefix="1" applyFont="1" applyFill="1" applyBorder="1" applyAlignment="1">
      <alignment horizontal="center" vertical="center"/>
    </xf>
    <xf numFmtId="166" fontId="94" fillId="0" borderId="1" xfId="0" applyNumberFormat="1" applyFont="1" applyBorder="1" applyAlignment="1">
      <alignment horizontal="left" vertical="center"/>
    </xf>
    <xf numFmtId="0" fontId="29" fillId="4" borderId="1" xfId="8" applyFont="1" applyFill="1" applyBorder="1" applyAlignment="1">
      <alignment horizontal="left" vertical="center"/>
    </xf>
    <xf numFmtId="0" fontId="35" fillId="4" borderId="20" xfId="8" applyFont="1" applyFill="1" applyBorder="1" applyAlignment="1">
      <alignment horizontal="left" vertical="center"/>
    </xf>
    <xf numFmtId="164" fontId="35" fillId="0" borderId="18" xfId="1" applyFont="1" applyBorder="1" applyAlignment="1">
      <alignment horizontal="center" vertical="center"/>
    </xf>
    <xf numFmtId="164" fontId="35" fillId="0" borderId="20" xfId="1" applyFont="1" applyBorder="1" applyAlignment="1">
      <alignment horizontal="center" vertical="center"/>
    </xf>
    <xf numFmtId="164" fontId="35" fillId="0" borderId="32" xfId="1" applyFont="1" applyBorder="1" applyAlignment="1">
      <alignment horizontal="center" vertical="center"/>
    </xf>
    <xf numFmtId="164" fontId="35" fillId="3" borderId="60" xfId="1" applyFont="1" applyFill="1" applyBorder="1" applyAlignment="1">
      <alignment horizontal="center" vertical="center"/>
    </xf>
    <xf numFmtId="164" fontId="35" fillId="3" borderId="33" xfId="1" applyFont="1" applyFill="1" applyBorder="1" applyAlignment="1">
      <alignment horizontal="center" vertical="center"/>
    </xf>
    <xf numFmtId="164" fontId="35" fillId="3" borderId="28" xfId="1" applyFont="1" applyFill="1" applyBorder="1" applyAlignment="1">
      <alignment horizontal="center" vertical="center"/>
    </xf>
    <xf numFmtId="0" fontId="29" fillId="4" borderId="10" xfId="8" applyFont="1" applyFill="1" applyBorder="1" applyAlignment="1">
      <alignment horizontal="center" vertical="center"/>
    </xf>
    <xf numFmtId="166" fontId="94" fillId="0" borderId="2" xfId="0" applyNumberFormat="1" applyFont="1" applyBorder="1" applyAlignment="1">
      <alignment horizontal="left" vertical="center"/>
    </xf>
    <xf numFmtId="0" fontId="35" fillId="4" borderId="3" xfId="8" applyFont="1" applyFill="1" applyBorder="1" applyAlignment="1">
      <alignment horizontal="left" vertical="center"/>
    </xf>
    <xf numFmtId="164" fontId="35" fillId="0" borderId="17" xfId="1" applyFont="1" applyBorder="1" applyAlignment="1">
      <alignment horizontal="center" vertical="center"/>
    </xf>
    <xf numFmtId="164" fontId="35" fillId="0" borderId="30" xfId="1" applyFont="1" applyBorder="1" applyAlignment="1">
      <alignment horizontal="center" vertical="center"/>
    </xf>
    <xf numFmtId="164" fontId="35" fillId="0" borderId="76" xfId="1" applyFont="1" applyBorder="1" applyAlignment="1">
      <alignment horizontal="center" vertical="center"/>
    </xf>
    <xf numFmtId="164" fontId="35" fillId="3" borderId="31" xfId="1" applyFont="1" applyFill="1" applyBorder="1" applyAlignment="1">
      <alignment horizontal="center" vertical="center"/>
    </xf>
    <xf numFmtId="164" fontId="35" fillId="3" borderId="3" xfId="1" applyFont="1" applyFill="1" applyBorder="1" applyAlignment="1">
      <alignment horizontal="center" vertical="center"/>
    </xf>
    <xf numFmtId="164" fontId="35" fillId="3" borderId="17" xfId="1" applyFont="1" applyFill="1" applyBorder="1" applyAlignment="1">
      <alignment horizontal="center" vertical="center"/>
    </xf>
    <xf numFmtId="0" fontId="35" fillId="4" borderId="10" xfId="8" quotePrefix="1" applyFont="1" applyFill="1" applyBorder="1" applyAlignment="1">
      <alignment horizontal="center" vertical="center"/>
    </xf>
    <xf numFmtId="0" fontId="35" fillId="4" borderId="1" xfId="8" applyFont="1" applyFill="1" applyBorder="1" applyAlignment="1">
      <alignment horizontal="left" vertical="center"/>
    </xf>
    <xf numFmtId="164" fontId="35" fillId="3" borderId="19" xfId="1" applyFont="1" applyFill="1" applyBorder="1" applyAlignment="1">
      <alignment horizontal="center" vertical="center"/>
    </xf>
    <xf numFmtId="164" fontId="35" fillId="3" borderId="1" xfId="1" applyFont="1" applyFill="1" applyBorder="1" applyAlignment="1">
      <alignment horizontal="center" vertical="center"/>
    </xf>
    <xf numFmtId="164" fontId="35" fillId="3" borderId="18" xfId="1" applyFont="1" applyFill="1" applyBorder="1" applyAlignment="1">
      <alignment horizontal="center" vertical="center"/>
    </xf>
    <xf numFmtId="0" fontId="35" fillId="4" borderId="17" xfId="8" applyFont="1" applyFill="1" applyBorder="1" applyAlignment="1">
      <alignment horizontal="center" vertical="center"/>
    </xf>
    <xf numFmtId="166" fontId="96" fillId="0" borderId="3" xfId="0" applyNumberFormat="1" applyFont="1" applyBorder="1" applyAlignment="1">
      <alignment horizontal="left" vertical="center"/>
    </xf>
    <xf numFmtId="0" fontId="35" fillId="4" borderId="30" xfId="8" applyFont="1" applyFill="1" applyBorder="1" applyAlignment="1">
      <alignment horizontal="left" vertical="center"/>
    </xf>
    <xf numFmtId="164" fontId="35" fillId="0" borderId="32" xfId="1" applyFont="1" applyBorder="1" applyAlignment="1">
      <alignment horizontal="centerContinuous" vertical="center"/>
    </xf>
    <xf numFmtId="166" fontId="33" fillId="0" borderId="3" xfId="0" applyNumberFormat="1" applyFont="1" applyBorder="1" applyAlignment="1">
      <alignment horizontal="left" vertical="center"/>
    </xf>
    <xf numFmtId="0" fontId="33" fillId="0" borderId="30" xfId="0" applyFont="1" applyBorder="1" applyAlignment="1">
      <alignment horizontal="center"/>
    </xf>
    <xf numFmtId="0" fontId="35" fillId="4" borderId="2" xfId="8" applyFont="1" applyFill="1" applyBorder="1" applyAlignment="1">
      <alignment horizontal="left" vertical="center"/>
    </xf>
    <xf numFmtId="164" fontId="35" fillId="0" borderId="10" xfId="1" applyFont="1" applyBorder="1" applyAlignment="1">
      <alignment horizontal="center" vertical="center"/>
    </xf>
    <xf numFmtId="164" fontId="35" fillId="0" borderId="11" xfId="1" applyFont="1" applyBorder="1" applyAlignment="1">
      <alignment horizontal="center" vertical="center"/>
    </xf>
    <xf numFmtId="164" fontId="35" fillId="0" borderId="29" xfId="1" applyFont="1" applyBorder="1" applyAlignment="1">
      <alignment horizontal="center" vertical="center"/>
    </xf>
    <xf numFmtId="164" fontId="35" fillId="3" borderId="12" xfId="1" applyFont="1" applyFill="1" applyBorder="1" applyAlignment="1">
      <alignment horizontal="center" vertical="center"/>
    </xf>
    <xf numFmtId="164" fontId="35" fillId="3" borderId="2" xfId="1" applyFont="1" applyFill="1" applyBorder="1" applyAlignment="1">
      <alignment horizontal="center" vertical="center"/>
    </xf>
    <xf numFmtId="164" fontId="35" fillId="3" borderId="10" xfId="1" applyFont="1" applyFill="1" applyBorder="1" applyAlignment="1">
      <alignment horizontal="center" vertical="center"/>
    </xf>
    <xf numFmtId="0" fontId="33" fillId="0" borderId="11" xfId="0" applyFont="1" applyBorder="1" applyAlignment="1">
      <alignment horizontal="center"/>
    </xf>
    <xf numFmtId="164" fontId="35" fillId="3" borderId="12" xfId="4" applyFont="1" applyFill="1" applyBorder="1" applyAlignment="1">
      <alignment horizontal="center" vertical="center"/>
    </xf>
    <xf numFmtId="164" fontId="35" fillId="3" borderId="2" xfId="4" applyFont="1" applyFill="1" applyBorder="1" applyAlignment="1">
      <alignment horizontal="center" vertical="center"/>
    </xf>
    <xf numFmtId="0" fontId="35" fillId="4" borderId="10" xfId="8" applyFont="1" applyFill="1" applyBorder="1" applyAlignment="1">
      <alignment horizontal="center" vertical="center"/>
    </xf>
    <xf numFmtId="166" fontId="96" fillId="0" borderId="2" xfId="0" applyNumberFormat="1" applyFont="1" applyBorder="1" applyAlignment="1">
      <alignment horizontal="left" vertical="center"/>
    </xf>
    <xf numFmtId="164" fontId="35" fillId="3" borderId="31" xfId="4" applyFont="1" applyFill="1" applyBorder="1" applyAlignment="1">
      <alignment horizontal="center" vertical="center"/>
    </xf>
    <xf numFmtId="164" fontId="35" fillId="3" borderId="3" xfId="4" applyFont="1" applyFill="1" applyBorder="1" applyAlignment="1">
      <alignment horizontal="center" vertical="center"/>
    </xf>
    <xf numFmtId="164" fontId="35" fillId="0" borderId="17" xfId="1" applyFont="1" applyFill="1" applyBorder="1" applyAlignment="1">
      <alignment horizontal="center" vertical="center"/>
    </xf>
    <xf numFmtId="0" fontId="35" fillId="4" borderId="11" xfId="8" applyFont="1" applyFill="1" applyBorder="1" applyAlignment="1">
      <alignment horizontal="left" vertical="center"/>
    </xf>
    <xf numFmtId="0" fontId="33" fillId="0" borderId="20" xfId="0" applyFont="1" applyBorder="1" applyAlignment="1">
      <alignment horizontal="center"/>
    </xf>
    <xf numFmtId="164" fontId="35" fillId="3" borderId="19" xfId="4" applyFont="1" applyFill="1" applyBorder="1" applyAlignment="1">
      <alignment horizontal="center" vertical="center"/>
    </xf>
    <xf numFmtId="164" fontId="35" fillId="3" borderId="1" xfId="4" applyFont="1" applyFill="1" applyBorder="1" applyAlignment="1">
      <alignment horizontal="center" vertical="center"/>
    </xf>
    <xf numFmtId="170" fontId="33" fillId="2" borderId="27" xfId="4" applyNumberFormat="1" applyFont="1" applyFill="1" applyBorder="1" applyAlignment="1">
      <alignment horizontal="center" vertical="center"/>
    </xf>
    <xf numFmtId="0" fontId="35" fillId="4" borderId="18" xfId="8" quotePrefix="1" applyFont="1" applyFill="1" applyBorder="1" applyAlignment="1">
      <alignment horizontal="center" vertical="center"/>
    </xf>
    <xf numFmtId="0" fontId="35" fillId="4" borderId="13" xfId="8" applyFont="1" applyFill="1" applyBorder="1" applyAlignment="1">
      <alignment horizontal="center" vertical="center"/>
    </xf>
    <xf numFmtId="166" fontId="33" fillId="0" borderId="0" xfId="0" applyNumberFormat="1" applyFont="1" applyAlignment="1">
      <alignment horizontal="left" vertical="center"/>
    </xf>
    <xf numFmtId="0" fontId="35" fillId="4" borderId="14" xfId="8" applyFont="1" applyFill="1" applyBorder="1" applyAlignment="1">
      <alignment horizontal="left" vertical="center"/>
    </xf>
    <xf numFmtId="164" fontId="35" fillId="0" borderId="13" xfId="1" applyFont="1" applyBorder="1" applyAlignment="1">
      <alignment horizontal="center" vertical="center"/>
    </xf>
    <xf numFmtId="0" fontId="33" fillId="0" borderId="13" xfId="0" applyFont="1" applyBorder="1" applyAlignment="1">
      <alignment horizontal="center"/>
    </xf>
    <xf numFmtId="164" fontId="35" fillId="0" borderId="79" xfId="1" applyFont="1" applyBorder="1" applyAlignment="1">
      <alignment horizontal="center" vertical="center"/>
    </xf>
    <xf numFmtId="164" fontId="35" fillId="3" borderId="15" xfId="4" applyFont="1" applyFill="1" applyBorder="1" applyAlignment="1">
      <alignment horizontal="center" vertical="center"/>
    </xf>
    <xf numFmtId="164" fontId="35" fillId="3" borderId="0" xfId="1" applyFont="1" applyFill="1" applyBorder="1" applyAlignment="1">
      <alignment horizontal="center" vertical="center"/>
    </xf>
    <xf numFmtId="164" fontId="35" fillId="3" borderId="0" xfId="4" applyFont="1" applyFill="1" applyBorder="1" applyAlignment="1">
      <alignment horizontal="center" vertical="center"/>
    </xf>
    <xf numFmtId="164" fontId="35" fillId="3" borderId="13" xfId="1" applyFont="1" applyFill="1" applyBorder="1" applyAlignment="1">
      <alignment horizontal="center" vertical="center"/>
    </xf>
    <xf numFmtId="0" fontId="29" fillId="4" borderId="10" xfId="8" quotePrefix="1" applyFont="1" applyFill="1" applyBorder="1" applyAlignment="1">
      <alignment horizontal="center" vertical="center"/>
    </xf>
    <xf numFmtId="43" fontId="17" fillId="0" borderId="0" xfId="19" applyNumberFormat="1" applyFont="1" applyAlignment="1">
      <alignment horizontal="center"/>
    </xf>
    <xf numFmtId="39" fontId="136" fillId="3" borderId="10" xfId="4" applyNumberFormat="1" applyFont="1" applyFill="1" applyBorder="1" applyAlignment="1">
      <alignment horizontal="right" vertical="center"/>
    </xf>
    <xf numFmtId="39" fontId="136" fillId="3" borderId="10" xfId="4" applyNumberFormat="1" applyFont="1" applyFill="1" applyBorder="1" applyAlignment="1">
      <alignment horizontal="center" vertical="center"/>
    </xf>
    <xf numFmtId="0" fontId="130" fillId="0" borderId="0" xfId="0" applyFont="1" applyAlignment="1">
      <alignment horizontal="left"/>
    </xf>
    <xf numFmtId="164" fontId="17" fillId="0" borderId="63" xfId="1" applyFont="1" applyFill="1" applyBorder="1" applyAlignment="1">
      <alignment horizontal="centerContinuous" vertical="center"/>
    </xf>
    <xf numFmtId="164" fontId="17" fillId="0" borderId="63" xfId="4" applyFont="1" applyFill="1" applyBorder="1" applyAlignment="1">
      <alignment horizontal="center" vertical="center"/>
    </xf>
    <xf numFmtId="164" fontId="17" fillId="0" borderId="68" xfId="4" applyFont="1" applyFill="1" applyBorder="1" applyAlignment="1">
      <alignment horizontal="center" vertical="center"/>
    </xf>
    <xf numFmtId="164" fontId="17" fillId="0" borderId="68" xfId="1" applyFont="1" applyFill="1" applyBorder="1" applyAlignment="1">
      <alignment horizontal="center" vertical="center"/>
    </xf>
    <xf numFmtId="164" fontId="17" fillId="3" borderId="63" xfId="1" applyFont="1" applyFill="1" applyBorder="1" applyAlignment="1">
      <alignment horizontal="center" vertical="center"/>
    </xf>
    <xf numFmtId="164" fontId="111" fillId="3" borderId="68" xfId="4" applyFont="1" applyFill="1" applyBorder="1" applyAlignment="1">
      <alignment horizontal="center" vertical="center"/>
    </xf>
    <xf numFmtId="0" fontId="112" fillId="0" borderId="0" xfId="0" applyFont="1" applyAlignment="1">
      <alignment horizontal="right"/>
    </xf>
    <xf numFmtId="164" fontId="111" fillId="0" borderId="63" xfId="1" applyFont="1" applyBorder="1" applyAlignment="1">
      <alignment horizontal="centerContinuous" vertical="center"/>
    </xf>
    <xf numFmtId="164" fontId="111" fillId="3" borderId="63" xfId="4" applyFont="1" applyFill="1" applyBorder="1" applyAlignment="1">
      <alignment horizontal="center" vertical="center"/>
    </xf>
    <xf numFmtId="164" fontId="17" fillId="0" borderId="63" xfId="1" applyFont="1" applyBorder="1" applyAlignment="1">
      <alignment horizontal="centerContinuous" vertical="center"/>
    </xf>
    <xf numFmtId="164" fontId="17" fillId="3" borderId="68" xfId="4" applyFont="1" applyFill="1" applyBorder="1" applyAlignment="1">
      <alignment horizontal="center" vertical="center"/>
    </xf>
    <xf numFmtId="0" fontId="22" fillId="0" borderId="0" xfId="1" applyNumberFormat="1" applyFont="1" applyFill="1" applyBorder="1" applyAlignment="1">
      <alignment vertical="center"/>
    </xf>
    <xf numFmtId="0" fontId="22" fillId="0" borderId="0" xfId="0" applyFont="1" applyAlignment="1">
      <alignment horizontal="right"/>
    </xf>
    <xf numFmtId="164" fontId="22" fillId="0" borderId="0" xfId="1" applyFont="1" applyFill="1" applyBorder="1" applyAlignment="1">
      <alignment horizontal="center" vertical="center"/>
    </xf>
    <xf numFmtId="164" fontId="104" fillId="0" borderId="0" xfId="1" applyFont="1" applyFill="1" applyBorder="1" applyAlignment="1">
      <alignment horizontal="center" vertical="center"/>
    </xf>
    <xf numFmtId="164" fontId="116" fillId="0" borderId="0" xfId="1" applyFont="1" applyFill="1" applyBorder="1" applyAlignment="1">
      <alignment horizontal="left" vertical="center"/>
    </xf>
    <xf numFmtId="164" fontId="114" fillId="2" borderId="0" xfId="1" applyFont="1" applyFill="1" applyBorder="1" applyAlignment="1">
      <alignment horizontal="center" vertical="center"/>
    </xf>
    <xf numFmtId="164" fontId="111" fillId="0" borderId="63" xfId="4" applyFont="1" applyBorder="1" applyAlignment="1">
      <alignment horizontal="center" vertical="center"/>
    </xf>
    <xf numFmtId="164" fontId="17" fillId="0" borderId="61" xfId="1" applyFont="1" applyFill="1" applyBorder="1" applyAlignment="1">
      <alignment horizontal="center" vertical="center"/>
    </xf>
    <xf numFmtId="185" fontId="17" fillId="3" borderId="0" xfId="4" applyNumberFormat="1" applyFont="1" applyFill="1" applyBorder="1" applyAlignment="1">
      <alignment horizontal="center" vertical="center"/>
    </xf>
    <xf numFmtId="164" fontId="17" fillId="0" borderId="0" xfId="1" applyFont="1" applyFill="1" applyBorder="1" applyAlignment="1">
      <alignment horizontal="center" vertical="center"/>
    </xf>
    <xf numFmtId="0" fontId="130" fillId="0" borderId="0" xfId="0" applyFont="1" applyAlignment="1">
      <alignment horizontal="right"/>
    </xf>
    <xf numFmtId="164" fontId="17" fillId="0" borderId="0" xfId="4" applyFont="1" applyFill="1" applyBorder="1" applyAlignment="1">
      <alignment horizontal="center" vertical="center"/>
    </xf>
    <xf numFmtId="164" fontId="22" fillId="0" borderId="4" xfId="1" applyFont="1" applyFill="1" applyBorder="1" applyAlignment="1">
      <alignment horizontal="center" vertical="center"/>
    </xf>
    <xf numFmtId="164" fontId="22" fillId="0" borderId="22" xfId="1" applyFont="1" applyFill="1" applyBorder="1" applyAlignment="1">
      <alignment horizontal="center" vertical="center"/>
    </xf>
    <xf numFmtId="0" fontId="10" fillId="0" borderId="2" xfId="19" applyFont="1" applyBorder="1" applyAlignment="1">
      <alignment horizontal="left" vertical="center"/>
    </xf>
    <xf numFmtId="0" fontId="35" fillId="0" borderId="17" xfId="8" applyFont="1" applyFill="1" applyBorder="1" applyAlignment="1">
      <alignment horizontal="center" vertical="center"/>
    </xf>
    <xf numFmtId="166" fontId="33" fillId="0" borderId="3" xfId="0" applyNumberFormat="1" applyFont="1" applyFill="1" applyBorder="1" applyAlignment="1">
      <alignment horizontal="left" vertical="center"/>
    </xf>
    <xf numFmtId="0" fontId="35" fillId="0" borderId="3" xfId="8" applyFont="1" applyFill="1" applyBorder="1" applyAlignment="1">
      <alignment horizontal="left" vertical="center"/>
    </xf>
    <xf numFmtId="0" fontId="33" fillId="0" borderId="30" xfId="0" applyFont="1" applyFill="1" applyBorder="1" applyAlignment="1">
      <alignment horizontal="center"/>
    </xf>
    <xf numFmtId="164" fontId="35" fillId="0" borderId="76" xfId="1" applyFont="1" applyFill="1" applyBorder="1" applyAlignment="1">
      <alignment horizontal="center" vertical="center"/>
    </xf>
    <xf numFmtId="164" fontId="35" fillId="0" borderId="31" xfId="4" applyFont="1" applyFill="1" applyBorder="1" applyAlignment="1">
      <alignment horizontal="center" vertical="center"/>
    </xf>
    <xf numFmtId="164" fontId="35" fillId="0" borderId="3" xfId="1" applyFont="1" applyFill="1" applyBorder="1" applyAlignment="1">
      <alignment horizontal="center" vertical="center"/>
    </xf>
    <xf numFmtId="164" fontId="35" fillId="0" borderId="3" xfId="4" applyFont="1" applyFill="1" applyBorder="1" applyAlignment="1">
      <alignment horizontal="center" vertical="center"/>
    </xf>
    <xf numFmtId="0" fontId="35" fillId="0" borderId="10" xfId="8" applyFont="1" applyFill="1" applyBorder="1" applyAlignment="1">
      <alignment horizontal="center" vertical="center"/>
    </xf>
    <xf numFmtId="166" fontId="33" fillId="0" borderId="2" xfId="0" applyNumberFormat="1" applyFont="1" applyFill="1" applyBorder="1" applyAlignment="1">
      <alignment horizontal="left" vertical="center"/>
    </xf>
    <xf numFmtId="0" fontId="35" fillId="0" borderId="2" xfId="8" applyFont="1" applyFill="1" applyBorder="1" applyAlignment="1">
      <alignment horizontal="left" vertical="center"/>
    </xf>
    <xf numFmtId="164" fontId="35" fillId="0" borderId="10" xfId="1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/>
    </xf>
    <xf numFmtId="164" fontId="35" fillId="0" borderId="2" xfId="1" applyFont="1" applyFill="1" applyBorder="1" applyAlignment="1">
      <alignment horizontal="center" vertical="center"/>
    </xf>
    <xf numFmtId="164" fontId="35" fillId="0" borderId="12" xfId="4" applyFont="1" applyFill="1" applyBorder="1" applyAlignment="1">
      <alignment horizontal="center" vertical="center"/>
    </xf>
    <xf numFmtId="164" fontId="35" fillId="0" borderId="2" xfId="4" applyFont="1" applyFill="1" applyBorder="1" applyAlignment="1">
      <alignment horizontal="center" vertical="center"/>
    </xf>
    <xf numFmtId="164" fontId="35" fillId="0" borderId="29" xfId="1" applyFont="1" applyFill="1" applyBorder="1" applyAlignment="1">
      <alignment horizontal="center" vertical="center"/>
    </xf>
    <xf numFmtId="0" fontId="29" fillId="0" borderId="10" xfId="8" applyFont="1" applyFill="1" applyBorder="1" applyAlignment="1">
      <alignment horizontal="center" vertical="center"/>
    </xf>
    <xf numFmtId="166" fontId="94" fillId="0" borderId="2" xfId="0" applyNumberFormat="1" applyFont="1" applyFill="1" applyBorder="1" applyAlignment="1">
      <alignment horizontal="left" vertical="center"/>
    </xf>
    <xf numFmtId="164" fontId="10" fillId="0" borderId="63" xfId="51" applyFont="1" applyFill="1" applyBorder="1" applyAlignment="1">
      <alignment horizontal="right" vertical="top"/>
    </xf>
    <xf numFmtId="0" fontId="81" fillId="0" borderId="10" xfId="52" applyFont="1" applyBorder="1" applyAlignment="1">
      <alignment vertical="top"/>
    </xf>
    <xf numFmtId="166" fontId="88" fillId="0" borderId="2" xfId="0" applyNumberFormat="1" applyFont="1" applyBorder="1" applyAlignment="1">
      <alignment horizontal="left" vertical="center"/>
    </xf>
    <xf numFmtId="0" fontId="35" fillId="0" borderId="18" xfId="8" quotePrefix="1" applyFont="1" applyFill="1" applyBorder="1" applyAlignment="1">
      <alignment horizontal="center" vertical="center"/>
    </xf>
    <xf numFmtId="0" fontId="35" fillId="0" borderId="11" xfId="8" applyFont="1" applyFill="1" applyBorder="1" applyAlignment="1">
      <alignment horizontal="left" vertical="center"/>
    </xf>
    <xf numFmtId="164" fontId="35" fillId="0" borderId="18" xfId="1" applyFont="1" applyFill="1" applyBorder="1" applyAlignment="1">
      <alignment horizontal="center" vertical="center"/>
    </xf>
    <xf numFmtId="164" fontId="35" fillId="0" borderId="20" xfId="1" applyFont="1" applyFill="1" applyBorder="1" applyAlignment="1">
      <alignment horizontal="center" vertical="center"/>
    </xf>
    <xf numFmtId="164" fontId="35" fillId="0" borderId="32" xfId="1" applyFont="1" applyFill="1" applyBorder="1" applyAlignment="1">
      <alignment horizontal="center" vertical="center"/>
    </xf>
    <xf numFmtId="164" fontId="35" fillId="0" borderId="1" xfId="1" applyFont="1" applyFill="1" applyBorder="1" applyAlignment="1">
      <alignment horizontal="center" vertical="center"/>
    </xf>
    <xf numFmtId="0" fontId="24" fillId="0" borderId="0" xfId="1" applyNumberFormat="1" applyFont="1" applyBorder="1" applyAlignment="1"/>
    <xf numFmtId="164" fontId="22" fillId="0" borderId="9" xfId="1" applyFont="1" applyFill="1" applyBorder="1" applyAlignment="1">
      <alignment horizontal="center" vertical="center"/>
    </xf>
    <xf numFmtId="164" fontId="22" fillId="0" borderId="4" xfId="1" applyFont="1" applyFill="1" applyBorder="1" applyAlignment="1">
      <alignment horizontal="center" vertical="center"/>
    </xf>
    <xf numFmtId="164" fontId="22" fillId="0" borderId="22" xfId="1" applyFont="1" applyFill="1" applyBorder="1" applyAlignment="1">
      <alignment horizontal="center" vertical="center"/>
    </xf>
    <xf numFmtId="0" fontId="127" fillId="0" borderId="3" xfId="1" applyNumberFormat="1" applyFont="1" applyBorder="1" applyAlignment="1"/>
    <xf numFmtId="176" fontId="114" fillId="4" borderId="10" xfId="0" applyNumberFormat="1" applyFont="1" applyFill="1" applyBorder="1" applyAlignment="1">
      <alignment horizontal="center" vertical="center"/>
    </xf>
    <xf numFmtId="166" fontId="117" fillId="4" borderId="29" xfId="8" applyNumberFormat="1" applyFont="1" applyFill="1" applyBorder="1" applyAlignment="1">
      <alignment horizontal="left" vertical="center"/>
    </xf>
    <xf numFmtId="176" fontId="17" fillId="4" borderId="18" xfId="0" quotePrefix="1" applyNumberFormat="1" applyFont="1" applyFill="1" applyBorder="1" applyAlignment="1">
      <alignment horizontal="center" vertical="center"/>
    </xf>
    <xf numFmtId="181" fontId="17" fillId="3" borderId="10" xfId="6" quotePrefix="1" applyNumberFormat="1" applyFont="1" applyFill="1" applyBorder="1" applyAlignment="1">
      <alignment horizontal="center"/>
    </xf>
    <xf numFmtId="164" fontId="17" fillId="0" borderId="10" xfId="1" applyFont="1" applyFill="1" applyBorder="1" applyAlignment="1">
      <alignment horizontal="left" vertical="center"/>
    </xf>
    <xf numFmtId="0" fontId="81" fillId="0" borderId="0" xfId="0" applyFont="1" applyAlignment="1">
      <alignment horizontal="center"/>
    </xf>
    <xf numFmtId="0" fontId="81" fillId="0" borderId="0" xfId="0" applyFont="1"/>
    <xf numFmtId="181" fontId="17" fillId="3" borderId="10" xfId="6" applyNumberFormat="1" applyFont="1" applyFill="1" applyBorder="1" applyAlignment="1">
      <alignment horizontal="center"/>
    </xf>
    <xf numFmtId="2" fontId="110" fillId="0" borderId="10" xfId="6" quotePrefix="1" applyNumberFormat="1" applyFont="1" applyBorder="1" applyAlignment="1">
      <alignment horizontal="center"/>
    </xf>
    <xf numFmtId="170" fontId="17" fillId="4" borderId="17" xfId="1" applyNumberFormat="1" applyFont="1" applyFill="1" applyBorder="1" applyAlignment="1">
      <alignment horizontal="center" vertical="center"/>
    </xf>
    <xf numFmtId="164" fontId="116" fillId="0" borderId="17" xfId="1" applyFont="1" applyFill="1" applyBorder="1" applyAlignment="1">
      <alignment horizontal="left" vertical="center"/>
    </xf>
    <xf numFmtId="176" fontId="17" fillId="4" borderId="10" xfId="53" applyNumberFormat="1" applyFont="1" applyFill="1" applyBorder="1" applyAlignment="1">
      <alignment horizontal="center" vertical="center"/>
    </xf>
    <xf numFmtId="0" fontId="17" fillId="4" borderId="2" xfId="53" applyFont="1" applyFill="1" applyBorder="1" applyAlignment="1">
      <alignment vertical="center"/>
    </xf>
    <xf numFmtId="164" fontId="17" fillId="0" borderId="2" xfId="21" applyFont="1" applyBorder="1" applyAlignment="1">
      <alignment horizontal="center" vertical="center"/>
    </xf>
    <xf numFmtId="164" fontId="17" fillId="0" borderId="62" xfId="21" applyFont="1" applyBorder="1" applyAlignment="1">
      <alignment horizontal="center" vertical="center"/>
    </xf>
    <xf numFmtId="164" fontId="17" fillId="0" borderId="11" xfId="21" applyFont="1" applyBorder="1" applyAlignment="1">
      <alignment horizontal="center" vertical="center"/>
    </xf>
    <xf numFmtId="0" fontId="112" fillId="0" borderId="0" xfId="53" applyFont="1" applyAlignment="1">
      <alignment horizontal="center"/>
    </xf>
    <xf numFmtId="0" fontId="112" fillId="0" borderId="0" xfId="53" applyFont="1"/>
    <xf numFmtId="164" fontId="93" fillId="0" borderId="11" xfId="1" applyFont="1" applyFill="1" applyBorder="1" applyAlignment="1">
      <alignment horizontal="left" vertical="center"/>
    </xf>
    <xf numFmtId="164" fontId="93" fillId="2" borderId="26" xfId="1" applyFont="1" applyFill="1" applyBorder="1" applyAlignment="1">
      <alignment horizontal="center" vertical="center"/>
    </xf>
    <xf numFmtId="39" fontId="136" fillId="3" borderId="10" xfId="4" applyNumberFormat="1" applyFont="1" applyFill="1" applyBorder="1" applyAlignment="1">
      <alignment horizontal="left" vertical="center"/>
    </xf>
    <xf numFmtId="166" fontId="110" fillId="0" borderId="2" xfId="0" applyNumberFormat="1" applyFont="1" applyBorder="1"/>
    <xf numFmtId="166" fontId="17" fillId="0" borderId="29" xfId="0" applyNumberFormat="1" applyFont="1" applyBorder="1" applyAlignment="1">
      <alignment horizontal="left" vertical="center"/>
    </xf>
    <xf numFmtId="164" fontId="93" fillId="0" borderId="18" xfId="1" applyFont="1" applyBorder="1" applyAlignment="1">
      <alignment horizontal="right" vertical="center"/>
    </xf>
    <xf numFmtId="43" fontId="17" fillId="0" borderId="32" xfId="1" applyNumberFormat="1" applyFont="1" applyFill="1" applyBorder="1" applyAlignment="1">
      <alignment horizontal="center" vertical="center"/>
    </xf>
    <xf numFmtId="164" fontId="93" fillId="0" borderId="10" xfId="1" applyFont="1" applyBorder="1" applyAlignment="1">
      <alignment horizontal="right" vertical="center"/>
    </xf>
    <xf numFmtId="164" fontId="93" fillId="0" borderId="10" xfId="1" applyFont="1" applyBorder="1" applyAlignment="1">
      <alignment horizontal="center" vertical="center"/>
    </xf>
    <xf numFmtId="164" fontId="17" fillId="0" borderId="10" xfId="4" applyFont="1" applyBorder="1" applyAlignment="1">
      <alignment horizontal="right" vertical="center"/>
    </xf>
    <xf numFmtId="164" fontId="17" fillId="0" borderId="10" xfId="1" applyFont="1" applyBorder="1" applyAlignment="1">
      <alignment horizontal="right" vertical="center"/>
    </xf>
    <xf numFmtId="164" fontId="93" fillId="0" borderId="10" xfId="4" applyFont="1" applyFill="1" applyBorder="1" applyAlignment="1">
      <alignment horizontal="center" vertical="center"/>
    </xf>
    <xf numFmtId="166" fontId="93" fillId="0" borderId="2" xfId="0" applyNumberFormat="1" applyFont="1" applyBorder="1" applyAlignment="1">
      <alignment horizontal="left" vertical="center"/>
    </xf>
    <xf numFmtId="164" fontId="17" fillId="0" borderId="18" xfId="4" applyFont="1" applyBorder="1" applyAlignment="1">
      <alignment horizontal="right" vertical="center"/>
    </xf>
    <xf numFmtId="43" fontId="130" fillId="0" borderId="0" xfId="0" applyNumberFormat="1" applyFont="1" applyAlignment="1">
      <alignment horizontal="center"/>
    </xf>
    <xf numFmtId="0" fontId="114" fillId="2" borderId="21" xfId="5" applyFont="1" applyFill="1" applyBorder="1" applyAlignment="1">
      <alignment horizontal="right" vertical="center"/>
    </xf>
    <xf numFmtId="164" fontId="17" fillId="0" borderId="29" xfId="4" applyFont="1" applyFill="1" applyBorder="1" applyAlignment="1">
      <alignment horizontal="right" vertical="center"/>
    </xf>
    <xf numFmtId="0" fontId="17" fillId="0" borderId="17" xfId="8" applyFont="1" applyBorder="1" applyAlignment="1">
      <alignment horizontal="center" vertical="center"/>
    </xf>
    <xf numFmtId="164" fontId="17" fillId="0" borderId="17" xfId="1" applyFont="1" applyFill="1" applyBorder="1" applyAlignment="1">
      <alignment horizontal="center" vertical="center"/>
    </xf>
    <xf numFmtId="164" fontId="17" fillId="0" borderId="30" xfId="1" applyFont="1" applyFill="1" applyBorder="1" applyAlignment="1">
      <alignment horizontal="center" vertical="center"/>
    </xf>
    <xf numFmtId="164" fontId="17" fillId="0" borderId="76" xfId="1" applyFont="1" applyFill="1" applyBorder="1" applyAlignment="1">
      <alignment horizontal="center" vertical="center"/>
    </xf>
    <xf numFmtId="164" fontId="17" fillId="0" borderId="31" xfId="1" applyFont="1" applyFill="1" applyBorder="1" applyAlignment="1">
      <alignment horizontal="center" vertical="center"/>
    </xf>
    <xf numFmtId="164" fontId="17" fillId="0" borderId="3" xfId="1" applyFont="1" applyFill="1" applyBorder="1" applyAlignment="1">
      <alignment horizontal="center" vertical="center"/>
    </xf>
    <xf numFmtId="164" fontId="22" fillId="0" borderId="4" xfId="1" applyFont="1" applyFill="1" applyBorder="1" applyAlignment="1">
      <alignment horizontal="center" vertical="center"/>
    </xf>
    <xf numFmtId="164" fontId="22" fillId="0" borderId="22" xfId="1" applyFont="1" applyFill="1" applyBorder="1" applyAlignment="1">
      <alignment horizontal="center" vertical="center"/>
    </xf>
    <xf numFmtId="0" fontId="88" fillId="0" borderId="18" xfId="8" quotePrefix="1" applyFont="1" applyFill="1" applyBorder="1" applyAlignment="1">
      <alignment horizontal="center" vertical="center"/>
    </xf>
    <xf numFmtId="0" fontId="88" fillId="0" borderId="1" xfId="8" applyFont="1" applyFill="1" applyBorder="1" applyAlignment="1">
      <alignment horizontal="left" vertical="center"/>
    </xf>
    <xf numFmtId="166" fontId="17" fillId="0" borderId="2" xfId="0" applyNumberFormat="1" applyFont="1" applyFill="1" applyBorder="1" applyAlignment="1">
      <alignment horizontal="left" vertical="center"/>
    </xf>
    <xf numFmtId="0" fontId="17" fillId="0" borderId="2" xfId="8" applyFont="1" applyFill="1" applyBorder="1" applyAlignment="1">
      <alignment horizontal="left" vertical="center"/>
    </xf>
    <xf numFmtId="0" fontId="17" fillId="0" borderId="11" xfId="8" applyFont="1" applyFill="1" applyBorder="1" applyAlignment="1">
      <alignment horizontal="left" vertical="center"/>
    </xf>
    <xf numFmtId="166" fontId="88" fillId="0" borderId="2" xfId="0" applyNumberFormat="1" applyFont="1" applyFill="1" applyBorder="1" applyAlignment="1">
      <alignment horizontal="left" vertical="center"/>
    </xf>
    <xf numFmtId="0" fontId="17" fillId="0" borderId="1" xfId="8" applyFont="1" applyFill="1" applyBorder="1" applyAlignment="1">
      <alignment horizontal="left" vertical="center"/>
    </xf>
    <xf numFmtId="0" fontId="17" fillId="0" borderId="18" xfId="8" quotePrefix="1" applyFont="1" applyFill="1" applyBorder="1" applyAlignment="1">
      <alignment horizontal="center" vertical="center"/>
    </xf>
    <xf numFmtId="0" fontId="17" fillId="0" borderId="10" xfId="8" quotePrefix="1" applyFont="1" applyFill="1" applyBorder="1" applyAlignment="1">
      <alignment horizontal="center" vertical="center"/>
    </xf>
    <xf numFmtId="166" fontId="110" fillId="0" borderId="2" xfId="0" applyNumberFormat="1" applyFont="1" applyFill="1" applyBorder="1" applyAlignment="1">
      <alignment horizontal="left" vertical="center"/>
    </xf>
    <xf numFmtId="0" fontId="88" fillId="0" borderId="2" xfId="8" applyFont="1" applyFill="1" applyBorder="1" applyAlignment="1">
      <alignment horizontal="left" vertical="center"/>
    </xf>
    <xf numFmtId="0" fontId="130" fillId="10" borderId="0" xfId="0" applyFont="1" applyFill="1"/>
    <xf numFmtId="0" fontId="130" fillId="10" borderId="0" xfId="0" applyFont="1" applyFill="1" applyAlignment="1">
      <alignment horizontal="center"/>
    </xf>
    <xf numFmtId="0" fontId="130" fillId="10" borderId="0" xfId="0" applyFont="1" applyFill="1" applyAlignment="1">
      <alignment horizontal="left"/>
    </xf>
    <xf numFmtId="164" fontId="138" fillId="0" borderId="10" xfId="4" applyFont="1" applyFill="1" applyBorder="1" applyAlignment="1">
      <alignment horizontal="center" vertical="center"/>
    </xf>
    <xf numFmtId="164" fontId="17" fillId="10" borderId="0" xfId="1" applyFont="1" applyFill="1" applyBorder="1" applyAlignment="1">
      <alignment horizontal="center" vertical="center"/>
    </xf>
    <xf numFmtId="0" fontId="35" fillId="0" borderId="10" xfId="8" quotePrefix="1" applyFont="1" applyBorder="1" applyAlignment="1">
      <alignment horizontal="center" vertical="center"/>
    </xf>
    <xf numFmtId="166" fontId="35" fillId="0" borderId="2" xfId="0" applyNumberFormat="1" applyFont="1" applyBorder="1" applyAlignment="1">
      <alignment horizontal="left" vertical="center"/>
    </xf>
    <xf numFmtId="0" fontId="29" fillId="0" borderId="2" xfId="8" applyFont="1" applyBorder="1" applyAlignment="1">
      <alignment horizontal="left" vertical="center"/>
    </xf>
    <xf numFmtId="0" fontId="35" fillId="0" borderId="2" xfId="8" applyFont="1" applyBorder="1" applyAlignment="1">
      <alignment horizontal="left" vertical="center"/>
    </xf>
    <xf numFmtId="164" fontId="35" fillId="0" borderId="11" xfId="4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164" fontId="35" fillId="0" borderId="29" xfId="4" applyFont="1" applyFill="1" applyBorder="1" applyAlignment="1">
      <alignment horizontal="center" vertical="center"/>
    </xf>
    <xf numFmtId="164" fontId="35" fillId="0" borderId="12" xfId="1" applyFont="1" applyFill="1" applyBorder="1" applyAlignment="1">
      <alignment horizontal="center" vertical="center"/>
    </xf>
    <xf numFmtId="164" fontId="35" fillId="0" borderId="11" xfId="1" applyFont="1" applyFill="1" applyBorder="1" applyAlignment="1">
      <alignment horizontal="center" vertical="center"/>
    </xf>
    <xf numFmtId="39" fontId="139" fillId="3" borderId="10" xfId="4" applyNumberFormat="1" applyFont="1" applyFill="1" applyBorder="1" applyAlignment="1">
      <alignment horizontal="left" vertical="center"/>
    </xf>
    <xf numFmtId="0" fontId="35" fillId="0" borderId="0" xfId="0" applyFont="1" applyAlignment="1">
      <alignment horizontal="left"/>
    </xf>
    <xf numFmtId="181" fontId="110" fillId="0" borderId="10" xfId="0" applyNumberFormat="1" applyFont="1" applyFill="1" applyBorder="1" applyAlignment="1">
      <alignment horizontal="center" vertical="center"/>
    </xf>
    <xf numFmtId="0" fontId="110" fillId="0" borderId="2" xfId="0" applyFont="1" applyFill="1" applyBorder="1"/>
    <xf numFmtId="0" fontId="110" fillId="0" borderId="11" xfId="0" applyFont="1" applyFill="1" applyBorder="1" applyAlignment="1">
      <alignment horizontal="center" vertical="center"/>
    </xf>
    <xf numFmtId="0" fontId="110" fillId="0" borderId="10" xfId="0" applyFont="1" applyFill="1" applyBorder="1" applyAlignment="1">
      <alignment horizontal="right" vertical="center"/>
    </xf>
    <xf numFmtId="0" fontId="110" fillId="0" borderId="10" xfId="0" applyFont="1" applyFill="1" applyBorder="1" applyAlignment="1">
      <alignment horizontal="center" vertical="center"/>
    </xf>
    <xf numFmtId="181" fontId="110" fillId="0" borderId="29" xfId="0" applyNumberFormat="1" applyFont="1" applyFill="1" applyBorder="1" applyAlignment="1">
      <alignment horizontal="left" vertical="center"/>
    </xf>
    <xf numFmtId="2" fontId="110" fillId="0" borderId="2" xfId="0" applyNumberFormat="1" applyFont="1" applyBorder="1" applyAlignment="1">
      <alignment horizontal="left" vertical="center"/>
    </xf>
    <xf numFmtId="164" fontId="138" fillId="0" borderId="10" xfId="1" applyFont="1" applyBorder="1" applyAlignment="1">
      <alignment horizontal="center" vertical="center"/>
    </xf>
    <xf numFmtId="164" fontId="138" fillId="0" borderId="10" xfId="4" applyFont="1" applyBorder="1" applyAlignment="1">
      <alignment horizontal="center" vertical="center"/>
    </xf>
    <xf numFmtId="164" fontId="138" fillId="0" borderId="18" xfId="1" applyFont="1" applyFill="1" applyBorder="1" applyAlignment="1">
      <alignment horizontal="center" vertical="center"/>
    </xf>
    <xf numFmtId="164" fontId="35" fillId="0" borderId="10" xfId="4" applyFont="1" applyFill="1" applyBorder="1" applyAlignment="1">
      <alignment horizontal="center" vertical="center"/>
    </xf>
    <xf numFmtId="164" fontId="17" fillId="10" borderId="0" xfId="4" applyFont="1" applyFill="1" applyBorder="1" applyAlignment="1">
      <alignment horizontal="center" vertical="center"/>
    </xf>
    <xf numFmtId="170" fontId="17" fillId="0" borderId="10" xfId="4" applyNumberFormat="1" applyFont="1" applyBorder="1" applyAlignment="1">
      <alignment horizontal="right" vertical="center"/>
    </xf>
    <xf numFmtId="177" fontId="88" fillId="4" borderId="18" xfId="0" quotePrefix="1" applyNumberFormat="1" applyFont="1" applyFill="1" applyBorder="1" applyAlignment="1">
      <alignment horizontal="center" vertical="center"/>
    </xf>
    <xf numFmtId="164" fontId="17" fillId="5" borderId="18" xfId="1" applyFont="1" applyFill="1" applyBorder="1" applyAlignment="1">
      <alignment horizontal="center" vertical="center"/>
    </xf>
    <xf numFmtId="166" fontId="88" fillId="0" borderId="1" xfId="0" applyNumberFormat="1" applyFont="1" applyFill="1" applyBorder="1" applyAlignment="1">
      <alignment horizontal="left" vertical="center"/>
    </xf>
    <xf numFmtId="166" fontId="17" fillId="0" borderId="3" xfId="0" applyNumberFormat="1" applyFont="1" applyFill="1" applyBorder="1" applyAlignment="1">
      <alignment horizontal="left" vertical="center"/>
    </xf>
    <xf numFmtId="0" fontId="17" fillId="0" borderId="3" xfId="8" applyFont="1" applyFill="1" applyBorder="1" applyAlignment="1">
      <alignment horizontal="left" vertical="center"/>
    </xf>
    <xf numFmtId="39" fontId="136" fillId="0" borderId="10" xfId="4" applyNumberFormat="1" applyFont="1" applyFill="1" applyBorder="1" applyAlignment="1">
      <alignment horizontal="center" vertical="center"/>
    </xf>
    <xf numFmtId="39" fontId="136" fillId="0" borderId="10" xfId="4" applyNumberFormat="1" applyFont="1" applyFill="1" applyBorder="1" applyAlignment="1">
      <alignment horizontal="left" vertical="center"/>
    </xf>
    <xf numFmtId="166" fontId="93" fillId="0" borderId="2" xfId="0" applyNumberFormat="1" applyFont="1" applyFill="1" applyBorder="1" applyAlignment="1">
      <alignment horizontal="left" vertical="center"/>
    </xf>
    <xf numFmtId="164" fontId="111" fillId="0" borderId="11" xfId="4" applyFont="1" applyFill="1" applyBorder="1" applyAlignment="1">
      <alignment horizontal="center" vertical="center"/>
    </xf>
    <xf numFmtId="164" fontId="111" fillId="0" borderId="63" xfId="1" applyFont="1" applyFill="1" applyBorder="1" applyAlignment="1">
      <alignment horizontal="centerContinuous" vertical="center"/>
    </xf>
    <xf numFmtId="164" fontId="111" fillId="0" borderId="12" xfId="4" applyFont="1" applyFill="1" applyBorder="1" applyAlignment="1">
      <alignment horizontal="center" vertical="center"/>
    </xf>
    <xf numFmtId="164" fontId="111" fillId="0" borderId="63" xfId="4" applyFont="1" applyFill="1" applyBorder="1" applyAlignment="1">
      <alignment horizontal="center" vertical="center"/>
    </xf>
    <xf numFmtId="164" fontId="111" fillId="0" borderId="68" xfId="4" applyFont="1" applyFill="1" applyBorder="1" applyAlignment="1">
      <alignment horizontal="center" vertical="center"/>
    </xf>
    <xf numFmtId="164" fontId="111" fillId="0" borderId="29" xfId="4" applyFont="1" applyFill="1" applyBorder="1" applyAlignment="1">
      <alignment horizontal="center" vertical="center"/>
    </xf>
    <xf numFmtId="164" fontId="111" fillId="0" borderId="2" xfId="4" applyFont="1" applyFill="1" applyBorder="1" applyAlignment="1">
      <alignment horizontal="center" vertical="center"/>
    </xf>
    <xf numFmtId="164" fontId="111" fillId="0" borderId="29" xfId="1" applyFont="1" applyFill="1" applyBorder="1" applyAlignment="1">
      <alignment horizontal="center" vertical="center"/>
    </xf>
    <xf numFmtId="164" fontId="111" fillId="0" borderId="2" xfId="1" applyFont="1" applyFill="1" applyBorder="1" applyAlignment="1">
      <alignment horizontal="center" vertical="center"/>
    </xf>
    <xf numFmtId="0" fontId="17" fillId="0" borderId="10" xfId="8" applyFont="1" applyFill="1" applyBorder="1" applyAlignment="1">
      <alignment horizontal="center" vertical="center"/>
    </xf>
    <xf numFmtId="166" fontId="110" fillId="0" borderId="1" xfId="0" applyNumberFormat="1" applyFont="1" applyFill="1" applyBorder="1" applyAlignment="1">
      <alignment horizontal="left" vertical="center"/>
    </xf>
    <xf numFmtId="0" fontId="17" fillId="0" borderId="20" xfId="8" applyFont="1" applyFill="1" applyBorder="1" applyAlignment="1">
      <alignment horizontal="left" vertical="center"/>
    </xf>
    <xf numFmtId="0" fontId="17" fillId="0" borderId="18" xfId="8" applyFont="1" applyFill="1" applyBorder="1" applyAlignment="1">
      <alignment horizontal="center" vertical="center"/>
    </xf>
    <xf numFmtId="0" fontId="130" fillId="0" borderId="0" xfId="0" applyFont="1" applyFill="1"/>
    <xf numFmtId="164" fontId="17" fillId="0" borderId="32" xfId="4" applyFont="1" applyFill="1" applyBorder="1" applyAlignment="1">
      <alignment vertical="center"/>
    </xf>
    <xf numFmtId="164" fontId="17" fillId="0" borderId="29" xfId="4" applyFont="1" applyFill="1" applyBorder="1" applyAlignment="1">
      <alignment vertical="center"/>
    </xf>
    <xf numFmtId="164" fontId="93" fillId="0" borderId="29" xfId="4" applyFont="1" applyBorder="1" applyAlignment="1">
      <alignment horizontal="center" vertical="center"/>
    </xf>
    <xf numFmtId="170" fontId="17" fillId="0" borderId="11" xfId="9" applyNumberFormat="1" applyFont="1" applyFill="1" applyBorder="1" applyAlignment="1">
      <alignment horizontal="center" vertical="center"/>
    </xf>
    <xf numFmtId="39" fontId="136" fillId="3" borderId="11" xfId="4" applyNumberFormat="1" applyFont="1" applyFill="1" applyBorder="1" applyAlignment="1">
      <alignment horizontal="center" vertical="center"/>
    </xf>
    <xf numFmtId="166" fontId="17" fillId="0" borderId="2" xfId="8" applyNumberFormat="1" applyFont="1" applyBorder="1" applyAlignment="1">
      <alignment horizontal="left" vertical="center"/>
    </xf>
    <xf numFmtId="166" fontId="17" fillId="4" borderId="29" xfId="8" applyNumberFormat="1" applyFont="1" applyFill="1" applyBorder="1" applyAlignment="1">
      <alignment horizontal="left" vertical="center"/>
    </xf>
    <xf numFmtId="164" fontId="17" fillId="0" borderId="29" xfId="4" applyFont="1" applyBorder="1" applyAlignment="1">
      <alignment horizontal="centerContinuous" vertical="center"/>
    </xf>
    <xf numFmtId="164" fontId="17" fillId="0" borderId="2" xfId="1" applyFont="1" applyBorder="1" applyAlignment="1">
      <alignment horizontal="center" vertical="center"/>
    </xf>
    <xf numFmtId="164" fontId="17" fillId="0" borderId="62" xfId="1" applyFont="1" applyBorder="1" applyAlignment="1">
      <alignment horizontal="center" vertical="center"/>
    </xf>
    <xf numFmtId="164" fontId="17" fillId="0" borderId="29" xfId="4" applyFont="1" applyFill="1" applyBorder="1" applyAlignment="1">
      <alignment horizontal="centerContinuous" vertical="center"/>
    </xf>
    <xf numFmtId="164" fontId="17" fillId="0" borderId="63" xfId="4" applyFont="1" applyBorder="1" applyAlignment="1">
      <alignment horizontal="centerContinuous" vertical="center"/>
    </xf>
    <xf numFmtId="164" fontId="22" fillId="0" borderId="4" xfId="1" applyFont="1" applyFill="1" applyBorder="1" applyAlignment="1">
      <alignment horizontal="center" vertical="center"/>
    </xf>
    <xf numFmtId="164" fontId="22" fillId="0" borderId="22" xfId="1" applyFont="1" applyFill="1" applyBorder="1" applyAlignment="1">
      <alignment horizontal="center" vertical="center"/>
    </xf>
    <xf numFmtId="0" fontId="50" fillId="0" borderId="32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50" fillId="0" borderId="35" xfId="0" applyFont="1" applyBorder="1" applyAlignment="1">
      <alignment horizontal="left" vertical="center"/>
    </xf>
    <xf numFmtId="0" fontId="50" fillId="0" borderId="33" xfId="0" applyFont="1" applyBorder="1" applyAlignment="1">
      <alignment horizontal="left" vertical="center"/>
    </xf>
    <xf numFmtId="0" fontId="44" fillId="0" borderId="23" xfId="0" applyFont="1" applyBorder="1" applyAlignment="1">
      <alignment horizontal="center"/>
    </xf>
    <xf numFmtId="0" fontId="44" fillId="0" borderId="25" xfId="0" applyFont="1" applyBorder="1" applyAlignment="1">
      <alignment horizontal="center"/>
    </xf>
    <xf numFmtId="0" fontId="37" fillId="0" borderId="0" xfId="0" applyFont="1" applyAlignment="1">
      <alignment horizontal="center" vertical="center"/>
    </xf>
    <xf numFmtId="3" fontId="24" fillId="0" borderId="3" xfId="0" applyNumberFormat="1" applyFont="1" applyBorder="1" applyAlignment="1">
      <alignment horizontal="center"/>
    </xf>
    <xf numFmtId="3" fontId="24" fillId="0" borderId="0" xfId="0" applyNumberFormat="1" applyFont="1" applyAlignment="1">
      <alignment horizontal="center"/>
    </xf>
    <xf numFmtId="0" fontId="44" fillId="0" borderId="4" xfId="0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3" fontId="44" fillId="0" borderId="4" xfId="0" applyNumberFormat="1" applyFont="1" applyBorder="1" applyAlignment="1">
      <alignment horizontal="center" vertical="center"/>
    </xf>
    <xf numFmtId="3" fontId="44" fillId="0" borderId="22" xfId="0" applyNumberFormat="1" applyFont="1" applyBorder="1" applyAlignment="1">
      <alignment horizontal="center" vertical="center"/>
    </xf>
    <xf numFmtId="0" fontId="50" fillId="0" borderId="32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3" fontId="24" fillId="0" borderId="3" xfId="0" applyNumberFormat="1" applyFont="1" applyBorder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0" fontId="32" fillId="2" borderId="27" xfId="0" applyFont="1" applyFill="1" applyBorder="1" applyAlignment="1">
      <alignment horizontal="center" vertical="center"/>
    </xf>
    <xf numFmtId="0" fontId="24" fillId="0" borderId="3" xfId="1" applyNumberFormat="1" applyFont="1" applyBorder="1" applyAlignment="1"/>
    <xf numFmtId="0" fontId="24" fillId="0" borderId="0" xfId="1" applyNumberFormat="1" applyFont="1" applyBorder="1" applyAlignment="1"/>
    <xf numFmtId="0" fontId="22" fillId="0" borderId="4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164" fontId="22" fillId="0" borderId="4" xfId="1" applyFont="1" applyFill="1" applyBorder="1" applyAlignment="1">
      <alignment horizontal="center" vertical="center" wrapText="1"/>
    </xf>
    <xf numFmtId="164" fontId="22" fillId="0" borderId="22" xfId="1" applyFont="1" applyFill="1" applyBorder="1" applyAlignment="1">
      <alignment horizontal="center" vertical="center" wrapText="1"/>
    </xf>
    <xf numFmtId="164" fontId="22" fillId="0" borderId="8" xfId="1" applyFont="1" applyFill="1" applyBorder="1" applyAlignment="1">
      <alignment horizontal="center" vertical="center"/>
    </xf>
    <xf numFmtId="164" fontId="22" fillId="0" borderId="9" xfId="1" applyFont="1" applyFill="1" applyBorder="1" applyAlignment="1">
      <alignment horizontal="center" vertical="center"/>
    </xf>
    <xf numFmtId="164" fontId="22" fillId="0" borderId="4" xfId="1" applyFont="1" applyFill="1" applyBorder="1" applyAlignment="1">
      <alignment horizontal="center" vertical="center"/>
    </xf>
    <xf numFmtId="164" fontId="22" fillId="0" borderId="22" xfId="1" applyFont="1" applyFill="1" applyBorder="1" applyAlignment="1">
      <alignment horizontal="center" vertical="center"/>
    </xf>
    <xf numFmtId="0" fontId="94" fillId="2" borderId="27" xfId="5" applyFont="1" applyFill="1" applyBorder="1" applyAlignment="1">
      <alignment horizontal="center" vertical="center"/>
    </xf>
    <xf numFmtId="0" fontId="94" fillId="2" borderId="24" xfId="5" applyFont="1" applyFill="1" applyBorder="1" applyAlignment="1">
      <alignment horizontal="center" vertical="center"/>
    </xf>
    <xf numFmtId="0" fontId="76" fillId="2" borderId="27" xfId="5" applyFont="1" applyFill="1" applyBorder="1" applyAlignment="1">
      <alignment horizontal="center" vertical="center"/>
    </xf>
    <xf numFmtId="0" fontId="88" fillId="2" borderId="27" xfId="5" applyFont="1" applyFill="1" applyBorder="1" applyAlignment="1">
      <alignment horizontal="center" vertical="center"/>
    </xf>
    <xf numFmtId="0" fontId="92" fillId="2" borderId="27" xfId="5" applyFont="1" applyFill="1" applyBorder="1" applyAlignment="1">
      <alignment horizontal="center" vertical="center"/>
    </xf>
    <xf numFmtId="164" fontId="70" fillId="0" borderId="4" xfId="4" applyFont="1" applyFill="1" applyBorder="1" applyAlignment="1">
      <alignment horizontal="center" vertical="center" wrapText="1"/>
    </xf>
    <xf numFmtId="164" fontId="70" fillId="0" borderId="22" xfId="4" applyFont="1" applyFill="1" applyBorder="1" applyAlignment="1">
      <alignment horizontal="center" vertical="center" wrapText="1"/>
    </xf>
    <xf numFmtId="164" fontId="70" fillId="0" borderId="4" xfId="1" applyFont="1" applyFill="1" applyBorder="1" applyAlignment="1">
      <alignment horizontal="center" vertical="center" wrapText="1"/>
    </xf>
    <xf numFmtId="164" fontId="70" fillId="0" borderId="22" xfId="1" applyFont="1" applyFill="1" applyBorder="1" applyAlignment="1">
      <alignment horizontal="center" vertical="center" wrapText="1"/>
    </xf>
    <xf numFmtId="0" fontId="10" fillId="0" borderId="2" xfId="19" applyFont="1" applyBorder="1" applyAlignment="1">
      <alignment horizontal="left" vertical="center"/>
    </xf>
    <xf numFmtId="0" fontId="74" fillId="0" borderId="3" xfId="4" applyNumberFormat="1" applyFont="1" applyBorder="1" applyAlignment="1"/>
    <xf numFmtId="0" fontId="74" fillId="0" borderId="0" xfId="4" applyNumberFormat="1" applyFont="1" applyBorder="1" applyAlignment="1"/>
    <xf numFmtId="0" fontId="70" fillId="0" borderId="4" xfId="19" applyFont="1" applyBorder="1" applyAlignment="1">
      <alignment horizontal="center" vertical="center" wrapText="1"/>
    </xf>
    <xf numFmtId="0" fontId="70" fillId="0" borderId="22" xfId="19" applyFont="1" applyBorder="1" applyAlignment="1">
      <alignment horizontal="center" vertical="center" wrapText="1"/>
    </xf>
    <xf numFmtId="0" fontId="70" fillId="0" borderId="5" xfId="19" applyFont="1" applyBorder="1" applyAlignment="1">
      <alignment horizontal="center" vertical="center" wrapText="1"/>
    </xf>
    <xf numFmtId="0" fontId="70" fillId="0" borderId="6" xfId="19" applyFont="1" applyBorder="1" applyAlignment="1">
      <alignment horizontal="center" vertical="center" wrapText="1"/>
    </xf>
    <xf numFmtId="0" fontId="70" fillId="0" borderId="7" xfId="19" applyFont="1" applyBorder="1" applyAlignment="1">
      <alignment horizontal="center" vertical="center" wrapText="1"/>
    </xf>
    <xf numFmtId="0" fontId="70" fillId="0" borderId="23" xfId="19" applyFont="1" applyBorder="1" applyAlignment="1">
      <alignment horizontal="center" vertical="center" wrapText="1"/>
    </xf>
    <xf numFmtId="0" fontId="70" fillId="0" borderId="24" xfId="19" applyFont="1" applyBorder="1" applyAlignment="1">
      <alignment horizontal="center" vertical="center" wrapText="1"/>
    </xf>
    <xf numFmtId="0" fontId="70" fillId="0" borderId="25" xfId="19" applyFont="1" applyBorder="1" applyAlignment="1">
      <alignment horizontal="center" vertical="center" wrapText="1"/>
    </xf>
    <xf numFmtId="164" fontId="70" fillId="0" borderId="7" xfId="4" applyFont="1" applyFill="1" applyBorder="1" applyAlignment="1">
      <alignment horizontal="center" vertical="center" wrapText="1"/>
    </xf>
    <xf numFmtId="164" fontId="70" fillId="0" borderId="25" xfId="4" applyFont="1" applyFill="1" applyBorder="1" applyAlignment="1">
      <alignment horizontal="center" vertical="center" wrapText="1"/>
    </xf>
    <xf numFmtId="164" fontId="70" fillId="0" borderId="8" xfId="4" applyFont="1" applyFill="1" applyBorder="1" applyAlignment="1">
      <alignment horizontal="center" vertical="center"/>
    </xf>
    <xf numFmtId="164" fontId="70" fillId="0" borderId="9" xfId="4" applyFont="1" applyFill="1" applyBorder="1" applyAlignment="1">
      <alignment horizontal="center" vertical="center"/>
    </xf>
    <xf numFmtId="164" fontId="72" fillId="0" borderId="4" xfId="4" applyFont="1" applyFill="1" applyBorder="1" applyAlignment="1">
      <alignment horizontal="center" vertical="center"/>
    </xf>
    <xf numFmtId="164" fontId="72" fillId="0" borderId="22" xfId="4" applyFont="1" applyFill="1" applyBorder="1" applyAlignment="1">
      <alignment horizontal="center" vertical="center"/>
    </xf>
    <xf numFmtId="0" fontId="101" fillId="2" borderId="27" xfId="5" applyFont="1" applyFill="1" applyBorder="1" applyAlignment="1">
      <alignment horizontal="center" vertical="center"/>
    </xf>
    <xf numFmtId="0" fontId="100" fillId="0" borderId="3" xfId="1" applyNumberFormat="1" applyFont="1" applyBorder="1" applyAlignment="1"/>
    <xf numFmtId="0" fontId="100" fillId="0" borderId="0" xfId="1" applyNumberFormat="1" applyFont="1" applyBorder="1" applyAlignment="1"/>
    <xf numFmtId="164" fontId="100" fillId="0" borderId="4" xfId="1" applyFont="1" applyFill="1" applyBorder="1" applyAlignment="1">
      <alignment horizontal="center" vertical="center"/>
    </xf>
    <xf numFmtId="164" fontId="100" fillId="0" borderId="22" xfId="1" applyFont="1" applyFill="1" applyBorder="1" applyAlignment="1">
      <alignment horizontal="center" vertical="center"/>
    </xf>
    <xf numFmtId="0" fontId="114" fillId="2" borderId="8" xfId="5" applyFont="1" applyFill="1" applyBorder="1" applyAlignment="1">
      <alignment horizontal="center" vertical="center"/>
    </xf>
    <xf numFmtId="0" fontId="114" fillId="2" borderId="27" xfId="5" applyFont="1" applyFill="1" applyBorder="1" applyAlignment="1">
      <alignment horizontal="center" vertical="center"/>
    </xf>
    <xf numFmtId="0" fontId="114" fillId="2" borderId="9" xfId="5" applyFont="1" applyFill="1" applyBorder="1" applyAlignment="1">
      <alignment horizontal="center" vertical="center"/>
    </xf>
    <xf numFmtId="164" fontId="25" fillId="0" borderId="4" xfId="1" applyFont="1" applyFill="1" applyBorder="1" applyAlignment="1">
      <alignment horizontal="center" vertical="center"/>
    </xf>
    <xf numFmtId="164" fontId="25" fillId="0" borderId="22" xfId="1" applyFont="1" applyFill="1" applyBorder="1" applyAlignment="1">
      <alignment horizontal="center" vertical="center"/>
    </xf>
    <xf numFmtId="0" fontId="24" fillId="0" borderId="24" xfId="1" applyNumberFormat="1" applyFont="1" applyBorder="1" applyAlignment="1"/>
    <xf numFmtId="0" fontId="127" fillId="0" borderId="3" xfId="1" applyNumberFormat="1" applyFont="1" applyBorder="1" applyAlignment="1"/>
    <xf numFmtId="0" fontId="127" fillId="0" borderId="0" xfId="1" applyNumberFormat="1" applyFont="1" applyBorder="1" applyAlignment="1"/>
    <xf numFmtId="0" fontId="101" fillId="2" borderId="9" xfId="5" applyFont="1" applyFill="1" applyBorder="1" applyAlignment="1">
      <alignment horizontal="center" vertical="center"/>
    </xf>
    <xf numFmtId="0" fontId="25" fillId="0" borderId="3" xfId="1" applyNumberFormat="1" applyFont="1" applyBorder="1" applyAlignment="1"/>
    <xf numFmtId="0" fontId="25" fillId="0" borderId="0" xfId="1" applyNumberFormat="1" applyFont="1" applyBorder="1" applyAlignment="1"/>
    <xf numFmtId="2" fontId="114" fillId="2" borderId="8" xfId="5" applyNumberFormat="1" applyFont="1" applyFill="1" applyBorder="1" applyAlignment="1">
      <alignment horizontal="center" vertical="center"/>
    </xf>
    <xf numFmtId="2" fontId="114" fillId="2" borderId="27" xfId="5" applyNumberFormat="1" applyFont="1" applyFill="1" applyBorder="1" applyAlignment="1">
      <alignment horizontal="center" vertical="center"/>
    </xf>
    <xf numFmtId="2" fontId="114" fillId="2" borderId="9" xfId="5" applyNumberFormat="1" applyFont="1" applyFill="1" applyBorder="1" applyAlignment="1">
      <alignment horizontal="center" vertical="center"/>
    </xf>
    <xf numFmtId="0" fontId="114" fillId="2" borderId="21" xfId="5" applyFont="1" applyFill="1" applyBorder="1" applyAlignment="1">
      <alignment horizontal="center" vertical="center"/>
    </xf>
    <xf numFmtId="0" fontId="94" fillId="2" borderId="9" xfId="5" applyFont="1" applyFill="1" applyBorder="1" applyAlignment="1">
      <alignment horizontal="center" vertical="center"/>
    </xf>
    <xf numFmtId="0" fontId="32" fillId="0" borderId="29" xfId="16" applyFont="1" applyBorder="1" applyAlignment="1">
      <alignment horizontal="center" wrapText="1"/>
    </xf>
    <xf numFmtId="0" fontId="32" fillId="0" borderId="2" xfId="16" applyFont="1" applyBorder="1" applyAlignment="1">
      <alignment horizontal="center" wrapText="1"/>
    </xf>
    <xf numFmtId="0" fontId="32" fillId="0" borderId="11" xfId="16" applyFont="1" applyBorder="1" applyAlignment="1">
      <alignment horizontal="center" wrapText="1"/>
    </xf>
    <xf numFmtId="0" fontId="32" fillId="2" borderId="8" xfId="5" applyFont="1" applyFill="1" applyBorder="1" applyAlignment="1">
      <alignment horizontal="center" vertical="center"/>
    </xf>
    <xf numFmtId="0" fontId="32" fillId="2" borderId="27" xfId="5" applyFont="1" applyFill="1" applyBorder="1" applyAlignment="1">
      <alignment horizontal="center" vertical="center"/>
    </xf>
    <xf numFmtId="0" fontId="23" fillId="0" borderId="3" xfId="21" applyNumberFormat="1" applyFont="1" applyBorder="1" applyAlignment="1"/>
    <xf numFmtId="0" fontId="23" fillId="0" borderId="0" xfId="21" applyNumberFormat="1" applyFont="1" applyBorder="1" applyAlignment="1"/>
    <xf numFmtId="0" fontId="22" fillId="0" borderId="4" xfId="16" applyFont="1" applyBorder="1" applyAlignment="1">
      <alignment horizontal="center" vertical="center" wrapText="1"/>
    </xf>
    <xf numFmtId="0" fontId="22" fillId="0" borderId="22" xfId="16" applyFont="1" applyBorder="1" applyAlignment="1">
      <alignment horizontal="center" vertical="center" wrapText="1"/>
    </xf>
    <xf numFmtId="0" fontId="22" fillId="0" borderId="5" xfId="16" applyFont="1" applyBorder="1" applyAlignment="1">
      <alignment horizontal="center" vertical="center" wrapText="1"/>
    </xf>
    <xf numFmtId="0" fontId="22" fillId="0" borderId="6" xfId="16" applyFont="1" applyBorder="1" applyAlignment="1">
      <alignment horizontal="center" vertical="center" wrapText="1"/>
    </xf>
    <xf numFmtId="0" fontId="22" fillId="0" borderId="7" xfId="16" applyFont="1" applyBorder="1" applyAlignment="1">
      <alignment horizontal="center" vertical="center" wrapText="1"/>
    </xf>
    <xf numFmtId="0" fontId="22" fillId="0" borderId="23" xfId="16" applyFont="1" applyBorder="1" applyAlignment="1">
      <alignment horizontal="center" vertical="center" wrapText="1"/>
    </xf>
    <xf numFmtId="0" fontId="22" fillId="0" borderId="24" xfId="16" applyFont="1" applyBorder="1" applyAlignment="1">
      <alignment horizontal="center" vertical="center" wrapText="1"/>
    </xf>
    <xf numFmtId="0" fontId="22" fillId="0" borderId="25" xfId="16" applyFont="1" applyBorder="1" applyAlignment="1">
      <alignment horizontal="center" vertical="center" wrapText="1"/>
    </xf>
    <xf numFmtId="164" fontId="22" fillId="0" borderId="4" xfId="21" applyFont="1" applyFill="1" applyBorder="1" applyAlignment="1">
      <alignment horizontal="center" vertical="center" wrapText="1"/>
    </xf>
    <xf numFmtId="164" fontId="22" fillId="0" borderId="22" xfId="21" applyFont="1" applyFill="1" applyBorder="1" applyAlignment="1">
      <alignment horizontal="center" vertical="center" wrapText="1"/>
    </xf>
    <xf numFmtId="164" fontId="22" fillId="0" borderId="4" xfId="21" applyFont="1" applyFill="1" applyBorder="1" applyAlignment="1">
      <alignment horizontal="center" vertical="center"/>
    </xf>
    <xf numFmtId="164" fontId="22" fillId="0" borderId="22" xfId="21" applyFont="1" applyFill="1" applyBorder="1" applyAlignment="1">
      <alignment horizontal="center" vertical="center"/>
    </xf>
    <xf numFmtId="0" fontId="35" fillId="0" borderId="29" xfId="35" applyFont="1" applyBorder="1" applyAlignment="1">
      <alignment horizontal="left" vertical="center"/>
    </xf>
    <xf numFmtId="0" fontId="35" fillId="0" borderId="2" xfId="35" applyFont="1" applyBorder="1" applyAlignment="1">
      <alignment horizontal="left" vertical="center"/>
    </xf>
    <xf numFmtId="0" fontId="35" fillId="0" borderId="11" xfId="35" applyFont="1" applyBorder="1" applyAlignment="1">
      <alignment horizontal="left" vertical="center"/>
    </xf>
    <xf numFmtId="173" fontId="35" fillId="0" borderId="29" xfId="35" applyNumberFormat="1" applyFont="1" applyBorder="1" applyAlignment="1">
      <alignment horizontal="center" vertical="center"/>
    </xf>
    <xf numFmtId="173" fontId="35" fillId="0" borderId="11" xfId="35" applyNumberFormat="1" applyFont="1" applyBorder="1" applyAlignment="1">
      <alignment horizontal="center" vertical="center"/>
    </xf>
    <xf numFmtId="0" fontId="35" fillId="0" borderId="48" xfId="35" applyFont="1" applyBorder="1" applyAlignment="1">
      <alignment horizontal="left" vertical="center"/>
    </xf>
    <xf numFmtId="0" fontId="35" fillId="0" borderId="49" xfId="35" applyFont="1" applyBorder="1" applyAlignment="1">
      <alignment horizontal="left" vertical="center"/>
    </xf>
    <xf numFmtId="0" fontId="35" fillId="0" borderId="50" xfId="35" applyFont="1" applyBorder="1" applyAlignment="1">
      <alignment horizontal="left" vertical="center"/>
    </xf>
    <xf numFmtId="173" fontId="35" fillId="0" borderId="48" xfId="35" applyNumberFormat="1" applyFont="1" applyBorder="1" applyAlignment="1">
      <alignment horizontal="center" vertical="center"/>
    </xf>
    <xf numFmtId="173" fontId="35" fillId="0" borderId="50" xfId="35" applyNumberFormat="1" applyFont="1" applyBorder="1" applyAlignment="1">
      <alignment horizontal="center" vertical="center"/>
    </xf>
    <xf numFmtId="0" fontId="26" fillId="0" borderId="4" xfId="35" applyFont="1" applyBorder="1" applyAlignment="1">
      <alignment horizontal="center" vertical="center"/>
    </xf>
    <xf numFmtId="0" fontId="26" fillId="0" borderId="40" xfId="35" applyFont="1" applyBorder="1" applyAlignment="1">
      <alignment horizontal="center" vertical="center"/>
    </xf>
    <xf numFmtId="0" fontId="26" fillId="0" borderId="5" xfId="35" applyFont="1" applyBorder="1" applyAlignment="1">
      <alignment horizontal="center" vertical="center"/>
    </xf>
    <xf numFmtId="0" fontId="26" fillId="0" borderId="6" xfId="35" applyFont="1" applyBorder="1" applyAlignment="1">
      <alignment horizontal="center" vertical="center"/>
    </xf>
    <xf numFmtId="0" fontId="26" fillId="0" borderId="7" xfId="35" applyFont="1" applyBorder="1" applyAlignment="1">
      <alignment horizontal="center" vertical="center"/>
    </xf>
    <xf numFmtId="0" fontId="26" fillId="0" borderId="41" xfId="35" applyFont="1" applyBorder="1" applyAlignment="1">
      <alignment horizontal="center" vertical="center"/>
    </xf>
    <xf numFmtId="0" fontId="26" fillId="0" borderId="42" xfId="35" applyFont="1" applyBorder="1" applyAlignment="1">
      <alignment horizontal="center" vertical="center"/>
    </xf>
    <xf numFmtId="0" fontId="26" fillId="0" borderId="43" xfId="35" applyFont="1" applyBorder="1" applyAlignment="1">
      <alignment horizontal="center" vertical="center"/>
    </xf>
    <xf numFmtId="3" fontId="26" fillId="0" borderId="5" xfId="35" applyNumberFormat="1" applyFont="1" applyBorder="1" applyAlignment="1">
      <alignment horizontal="center" vertical="center"/>
    </xf>
    <xf numFmtId="3" fontId="26" fillId="0" borderId="7" xfId="35" applyNumberFormat="1" applyFont="1" applyBorder="1" applyAlignment="1">
      <alignment horizontal="center" vertical="center"/>
    </xf>
    <xf numFmtId="3" fontId="26" fillId="0" borderId="41" xfId="35" applyNumberFormat="1" applyFont="1" applyBorder="1" applyAlignment="1">
      <alignment horizontal="center" vertical="center"/>
    </xf>
    <xf numFmtId="3" fontId="26" fillId="0" borderId="43" xfId="35" applyNumberFormat="1" applyFont="1" applyBorder="1" applyAlignment="1">
      <alignment horizontal="center" vertical="center"/>
    </xf>
    <xf numFmtId="0" fontId="35" fillId="0" borderId="29" xfId="20" applyFont="1" applyBorder="1" applyAlignment="1">
      <alignment horizontal="left" vertical="center"/>
    </xf>
    <xf numFmtId="0" fontId="35" fillId="0" borderId="2" xfId="20" applyFont="1" applyBorder="1" applyAlignment="1">
      <alignment horizontal="left" vertical="center"/>
    </xf>
    <xf numFmtId="0" fontId="35" fillId="0" borderId="11" xfId="20" applyFont="1" applyBorder="1" applyAlignment="1">
      <alignment horizontal="left" vertical="center"/>
    </xf>
    <xf numFmtId="0" fontId="26" fillId="0" borderId="44" xfId="35" applyFont="1" applyBorder="1" applyAlignment="1">
      <alignment horizontal="left" vertical="center"/>
    </xf>
    <xf numFmtId="0" fontId="26" fillId="0" borderId="45" xfId="35" applyFont="1" applyBorder="1" applyAlignment="1">
      <alignment horizontal="left" vertical="center"/>
    </xf>
    <xf numFmtId="0" fontId="26" fillId="0" borderId="46" xfId="35" applyFont="1" applyBorder="1" applyAlignment="1">
      <alignment horizontal="left" vertical="center"/>
    </xf>
    <xf numFmtId="173" fontId="26" fillId="0" borderId="44" xfId="35" applyNumberFormat="1" applyFont="1" applyBorder="1" applyAlignment="1">
      <alignment horizontal="center" vertical="center"/>
    </xf>
    <xf numFmtId="173" fontId="26" fillId="0" borderId="46" xfId="35" applyNumberFormat="1" applyFont="1" applyBorder="1" applyAlignment="1">
      <alignment horizontal="center" vertical="center"/>
    </xf>
    <xf numFmtId="3" fontId="35" fillId="0" borderId="29" xfId="20" quotePrefix="1" applyNumberFormat="1" applyFont="1" applyBorder="1" applyAlignment="1">
      <alignment horizontal="left" vertical="center"/>
    </xf>
    <xf numFmtId="0" fontId="35" fillId="0" borderId="29" xfId="20" quotePrefix="1" applyFont="1" applyBorder="1" applyAlignment="1">
      <alignment horizontal="left" vertical="center"/>
    </xf>
    <xf numFmtId="0" fontId="23" fillId="0" borderId="2" xfId="34" applyNumberFormat="1" applyFont="1" applyBorder="1" applyAlignment="1">
      <alignment horizontal="left" vertical="top" wrapText="1" indent="2"/>
    </xf>
    <xf numFmtId="0" fontId="23" fillId="0" borderId="2" xfId="34" applyNumberFormat="1" applyFont="1" applyBorder="1" applyAlignment="1">
      <alignment horizontal="left" vertical="top"/>
    </xf>
    <xf numFmtId="0" fontId="31" fillId="0" borderId="0" xfId="20" applyFont="1" applyAlignment="1">
      <alignment horizontal="right" vertical="center"/>
    </xf>
    <xf numFmtId="0" fontId="31" fillId="0" borderId="14" xfId="20" applyFont="1" applyBorder="1" applyAlignment="1">
      <alignment horizontal="right" vertical="center"/>
    </xf>
    <xf numFmtId="173" fontId="35" fillId="0" borderId="48" xfId="20" applyNumberFormat="1" applyFont="1" applyBorder="1" applyAlignment="1">
      <alignment horizontal="center" vertical="center"/>
    </xf>
    <xf numFmtId="173" fontId="35" fillId="0" borderId="50" xfId="20" applyNumberFormat="1" applyFont="1" applyBorder="1" applyAlignment="1">
      <alignment horizontal="center" vertical="center"/>
    </xf>
    <xf numFmtId="0" fontId="35" fillId="0" borderId="48" xfId="20" applyFont="1" applyBorder="1" applyAlignment="1">
      <alignment horizontal="left" vertical="center"/>
    </xf>
    <xf numFmtId="0" fontId="35" fillId="0" borderId="49" xfId="20" applyFont="1" applyBorder="1" applyAlignment="1">
      <alignment horizontal="left" vertical="center"/>
    </xf>
    <xf numFmtId="0" fontId="35" fillId="0" borderId="50" xfId="20" applyFont="1" applyBorder="1" applyAlignment="1">
      <alignment horizontal="left" vertical="center"/>
    </xf>
    <xf numFmtId="0" fontId="31" fillId="0" borderId="51" xfId="20" applyFont="1" applyBorder="1" applyAlignment="1">
      <alignment horizontal="right" vertical="center"/>
    </xf>
    <xf numFmtId="0" fontId="31" fillId="0" borderId="52" xfId="20" applyFont="1" applyBorder="1" applyAlignment="1">
      <alignment horizontal="right" vertical="center"/>
    </xf>
    <xf numFmtId="173" fontId="35" fillId="0" borderId="29" xfId="20" applyNumberFormat="1" applyFont="1" applyBorder="1" applyAlignment="1">
      <alignment horizontal="center" vertical="center"/>
    </xf>
    <xf numFmtId="173" fontId="35" fillId="0" borderId="11" xfId="20" applyNumberFormat="1" applyFont="1" applyBorder="1" applyAlignment="1">
      <alignment horizontal="center" vertical="center"/>
    </xf>
    <xf numFmtId="0" fontId="23" fillId="0" borderId="2" xfId="21" applyNumberFormat="1" applyFont="1" applyBorder="1" applyAlignment="1">
      <alignment horizontal="left" vertical="top" wrapText="1" indent="2"/>
    </xf>
    <xf numFmtId="0" fontId="26" fillId="0" borderId="4" xfId="20" applyFont="1" applyBorder="1" applyAlignment="1">
      <alignment horizontal="center" vertical="center"/>
    </xf>
    <xf numFmtId="0" fontId="26" fillId="0" borderId="40" xfId="20" applyFont="1" applyBorder="1" applyAlignment="1">
      <alignment horizontal="center" vertical="center"/>
    </xf>
    <xf numFmtId="0" fontId="26" fillId="0" borderId="5" xfId="20" applyFont="1" applyBorder="1" applyAlignment="1">
      <alignment horizontal="center" vertical="center"/>
    </xf>
    <xf numFmtId="0" fontId="26" fillId="0" borderId="6" xfId="20" applyFont="1" applyBorder="1" applyAlignment="1">
      <alignment horizontal="center" vertical="center"/>
    </xf>
    <xf numFmtId="0" fontId="26" fillId="0" borderId="7" xfId="20" applyFont="1" applyBorder="1" applyAlignment="1">
      <alignment horizontal="center" vertical="center"/>
    </xf>
    <xf numFmtId="0" fontId="26" fillId="0" borderId="41" xfId="20" applyFont="1" applyBorder="1" applyAlignment="1">
      <alignment horizontal="center" vertical="center"/>
    </xf>
    <xf numFmtId="0" fontId="26" fillId="0" borderId="42" xfId="20" applyFont="1" applyBorder="1" applyAlignment="1">
      <alignment horizontal="center" vertical="center"/>
    </xf>
    <xf numFmtId="0" fontId="26" fillId="0" borderId="43" xfId="20" applyFont="1" applyBorder="1" applyAlignment="1">
      <alignment horizontal="center" vertical="center"/>
    </xf>
    <xf numFmtId="3" fontId="26" fillId="0" borderId="5" xfId="20" applyNumberFormat="1" applyFont="1" applyBorder="1" applyAlignment="1">
      <alignment horizontal="center" vertical="center"/>
    </xf>
    <xf numFmtId="3" fontId="26" fillId="0" borderId="7" xfId="20" applyNumberFormat="1" applyFont="1" applyBorder="1" applyAlignment="1">
      <alignment horizontal="center" vertical="center"/>
    </xf>
    <xf numFmtId="3" fontId="26" fillId="0" borderId="41" xfId="20" applyNumberFormat="1" applyFont="1" applyBorder="1" applyAlignment="1">
      <alignment horizontal="center" vertical="center"/>
    </xf>
    <xf numFmtId="3" fontId="26" fillId="0" borderId="43" xfId="20" applyNumberFormat="1" applyFont="1" applyBorder="1" applyAlignment="1">
      <alignment horizontal="center" vertical="center"/>
    </xf>
    <xf numFmtId="0" fontId="26" fillId="0" borderId="44" xfId="20" applyFont="1" applyBorder="1" applyAlignment="1">
      <alignment horizontal="left" vertical="center"/>
    </xf>
    <xf numFmtId="0" fontId="26" fillId="0" borderId="45" xfId="20" applyFont="1" applyBorder="1" applyAlignment="1">
      <alignment horizontal="left" vertical="center"/>
    </xf>
    <xf numFmtId="0" fontId="26" fillId="0" borderId="46" xfId="20" applyFont="1" applyBorder="1" applyAlignment="1">
      <alignment horizontal="left" vertical="center"/>
    </xf>
    <xf numFmtId="173" fontId="26" fillId="0" borderId="44" xfId="20" applyNumberFormat="1" applyFont="1" applyBorder="1" applyAlignment="1">
      <alignment horizontal="center" vertical="center"/>
    </xf>
    <xf numFmtId="173" fontId="26" fillId="0" borderId="46" xfId="20" applyNumberFormat="1" applyFont="1" applyBorder="1" applyAlignment="1">
      <alignment horizontal="center" vertical="center"/>
    </xf>
    <xf numFmtId="0" fontId="23" fillId="0" borderId="2" xfId="21" applyNumberFormat="1" applyFont="1" applyBorder="1" applyAlignment="1">
      <alignment horizontal="left" vertical="top"/>
    </xf>
    <xf numFmtId="0" fontId="26" fillId="0" borderId="29" xfId="20" applyFont="1" applyBorder="1" applyAlignment="1">
      <alignment horizontal="left" vertical="center"/>
    </xf>
    <xf numFmtId="0" fontId="26" fillId="0" borderId="2" xfId="20" applyFont="1" applyBorder="1" applyAlignment="1">
      <alignment horizontal="left" vertical="center"/>
    </xf>
    <xf numFmtId="0" fontId="26" fillId="0" borderId="11" xfId="20" applyFont="1" applyBorder="1" applyAlignment="1">
      <alignment horizontal="left" vertical="center"/>
    </xf>
    <xf numFmtId="0" fontId="37" fillId="0" borderId="0" xfId="20" applyFont="1" applyAlignment="1">
      <alignment horizontal="center" vertical="center" wrapText="1"/>
    </xf>
    <xf numFmtId="0" fontId="37" fillId="0" borderId="0" xfId="20" applyFont="1" applyAlignment="1">
      <alignment horizontal="center" vertical="center"/>
    </xf>
    <xf numFmtId="164" fontId="12" fillId="0" borderId="0" xfId="1" applyFont="1" applyAlignment="1">
      <alignment horizontal="left"/>
    </xf>
    <xf numFmtId="175" fontId="12" fillId="0" borderId="0" xfId="1" applyNumberFormat="1" applyFont="1" applyAlignment="1">
      <alignment horizontal="left"/>
    </xf>
    <xf numFmtId="173" fontId="59" fillId="0" borderId="6" xfId="20" applyNumberFormat="1" applyFont="1" applyBorder="1" applyAlignment="1">
      <alignment horizontal="center"/>
    </xf>
    <xf numFmtId="10" fontId="12" fillId="0" borderId="0" xfId="20" applyNumberFormat="1" applyFont="1" applyAlignment="1">
      <alignment horizontal="right"/>
    </xf>
    <xf numFmtId="170" fontId="17" fillId="0" borderId="11" xfId="9" applyNumberFormat="1" applyFont="1" applyBorder="1" applyAlignment="1">
      <alignment horizontal="center" vertical="center"/>
    </xf>
    <xf numFmtId="164" fontId="17" fillId="0" borderId="11" xfId="1" applyFont="1" applyFill="1" applyBorder="1" applyAlignment="1">
      <alignment horizontal="left" vertical="center"/>
    </xf>
    <xf numFmtId="166" fontId="17" fillId="4" borderId="0" xfId="0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164" fontId="17" fillId="0" borderId="39" xfId="9" applyNumberFormat="1" applyFont="1" applyBorder="1" applyAlignment="1">
      <alignment horizontal="center"/>
    </xf>
  </cellXfs>
  <cellStyles count="60">
    <cellStyle name="Comma" xfId="1" builtinId="3"/>
    <cellStyle name="Comma 10 10" xfId="12" xr:uid="{00000000-0005-0000-0000-000001000000}"/>
    <cellStyle name="Comma 11" xfId="3" xr:uid="{00000000-0005-0000-0000-000002000000}"/>
    <cellStyle name="Comma 11 2" xfId="39" xr:uid="{00000000-0005-0000-0000-000003000000}"/>
    <cellStyle name="Comma 12 2" xfId="30" xr:uid="{00000000-0005-0000-0000-000004000000}"/>
    <cellStyle name="Comma 2" xfId="17" xr:uid="{00000000-0005-0000-0000-000005000000}"/>
    <cellStyle name="Comma 2 19" xfId="32" xr:uid="{00000000-0005-0000-0000-000006000000}"/>
    <cellStyle name="Comma 2 2" xfId="10" xr:uid="{00000000-0005-0000-0000-000007000000}"/>
    <cellStyle name="Comma 2 3" xfId="21" xr:uid="{00000000-0005-0000-0000-000008000000}"/>
    <cellStyle name="Comma 2 3 2" xfId="34" xr:uid="{00000000-0005-0000-0000-000009000000}"/>
    <cellStyle name="Comma 20" xfId="7" xr:uid="{00000000-0005-0000-0000-00000A000000}"/>
    <cellStyle name="Comma 21" xfId="4" xr:uid="{00000000-0005-0000-0000-00000B000000}"/>
    <cellStyle name="Comma 3" xfId="22" xr:uid="{00000000-0005-0000-0000-00000C000000}"/>
    <cellStyle name="Comma 3 5" xfId="9" xr:uid="{00000000-0005-0000-0000-00000D000000}"/>
    <cellStyle name="Comma 3 5 2" xfId="31" xr:uid="{00000000-0005-0000-0000-00000E000000}"/>
    <cellStyle name="Comma 4" xfId="25" xr:uid="{00000000-0005-0000-0000-00000F000000}"/>
    <cellStyle name="Comma 4 2" xfId="59" xr:uid="{18BC2ABF-EFFD-4347-933E-87E35D03E26E}"/>
    <cellStyle name="Comma 5" xfId="33" xr:uid="{00000000-0005-0000-0000-000010000000}"/>
    <cellStyle name="Comma 56" xfId="54" xr:uid="{94A2DE89-240B-4E85-ADE0-4F53F392472B}"/>
    <cellStyle name="Comma 56 2" xfId="56" xr:uid="{47CF362B-D72F-4993-A687-F87B0D5070AB}"/>
    <cellStyle name="Comma 56 2 2" xfId="28" xr:uid="{00000000-0005-0000-0000-000011000000}"/>
    <cellStyle name="Comma 56 2 2 2" xfId="37" xr:uid="{00000000-0005-0000-0000-000012000000}"/>
    <cellStyle name="Comma 56 2 2 3" xfId="40" xr:uid="{00000000-0005-0000-0000-000013000000}"/>
    <cellStyle name="Comma 56 2 2 4" xfId="42" xr:uid="{00000000-0005-0000-0000-000014000000}"/>
    <cellStyle name="Comma 56 2 2 4 2" xfId="45" xr:uid="{708B699F-2CCF-4824-8B1D-7BFB585D65C9}"/>
    <cellStyle name="Comma 56 2 2 4 3" xfId="47" xr:uid="{A6F64906-2AB4-47AA-949D-8A36C866DD81}"/>
    <cellStyle name="Comma 56 2 2 4 3 2" xfId="49" xr:uid="{8E7CF951-D9E2-4AE8-B05E-7197E9B9E69E}"/>
    <cellStyle name="Comma 56 2 2 4 3 2 2" xfId="51" xr:uid="{AB892F82-FC93-41F6-9F25-584E159FF989}"/>
    <cellStyle name="Normal" xfId="0" builtinId="0"/>
    <cellStyle name="Normal 132" xfId="55" xr:uid="{DCAFDB93-0E2A-488E-9F25-99540FDBDD69}"/>
    <cellStyle name="Normal 132 2" xfId="57" xr:uid="{7319133D-50E4-4466-A000-C6B45864AD89}"/>
    <cellStyle name="Normal 132 2 2" xfId="29" xr:uid="{00000000-0005-0000-0000-000016000000}"/>
    <cellStyle name="Normal 132 2 2 2" xfId="38" xr:uid="{00000000-0005-0000-0000-000017000000}"/>
    <cellStyle name="Normal 132 2 2 3" xfId="41" xr:uid="{00000000-0005-0000-0000-000018000000}"/>
    <cellStyle name="Normal 132 2 2 4" xfId="43" xr:uid="{00000000-0005-0000-0000-000019000000}"/>
    <cellStyle name="Normal 132 2 2 4 2" xfId="46" xr:uid="{486730D8-B2A2-40D8-9199-38FC12C6C20A}"/>
    <cellStyle name="Normal 132 2 2 4 3" xfId="48" xr:uid="{3150279F-4DFC-4421-BEAA-978CCB8DCA65}"/>
    <cellStyle name="Normal 132 2 2 4 3 2" xfId="50" xr:uid="{FEEDEC0D-365E-47C5-8CBB-36353CB00679}"/>
    <cellStyle name="Normal 132 2 2 4 3 2 2" xfId="52" xr:uid="{73800023-A0D6-498D-BF78-D4AD1356BF47}"/>
    <cellStyle name="Normal 17 2" xfId="18" xr:uid="{00000000-0005-0000-0000-00001A000000}"/>
    <cellStyle name="Normal 2" xfId="16" xr:uid="{00000000-0005-0000-0000-00001B000000}"/>
    <cellStyle name="Normal 2 2" xfId="53" xr:uid="{29C39F2C-A80C-43C0-BA3E-2B95E93838E2}"/>
    <cellStyle name="Normal 2 2 2" xfId="58" xr:uid="{CBEBAB5E-9725-49F9-9D41-7FA8489CBA88}"/>
    <cellStyle name="Normal 20" xfId="6" xr:uid="{00000000-0005-0000-0000-00001C000000}"/>
    <cellStyle name="Normal 3" xfId="19" xr:uid="{00000000-0005-0000-0000-00001D000000}"/>
    <cellStyle name="Normal 3 2" xfId="20" xr:uid="{00000000-0005-0000-0000-00001E000000}"/>
    <cellStyle name="Normal 3 2 2" xfId="35" xr:uid="{00000000-0005-0000-0000-00001F000000}"/>
    <cellStyle name="Normal 30" xfId="5" xr:uid="{00000000-0005-0000-0000-000020000000}"/>
    <cellStyle name="Normal 4" xfId="24" xr:uid="{00000000-0005-0000-0000-000021000000}"/>
    <cellStyle name="Normal_BOQ-M&amp;E" xfId="44" xr:uid="{00000000-0005-0000-0000-000022000000}"/>
    <cellStyle name="Percent" xfId="26" builtinId="5"/>
    <cellStyle name="Percent 2" xfId="23" xr:uid="{00000000-0005-0000-0000-000024000000}"/>
    <cellStyle name="Percent 2 27" xfId="36" xr:uid="{00000000-0005-0000-0000-000025000000}"/>
    <cellStyle name="เครื่องหมายจุลภาค 2 2 2" xfId="11" xr:uid="{00000000-0005-0000-0000-000026000000}"/>
    <cellStyle name="เครื่องหมายจุลภาค 9" xfId="14" xr:uid="{00000000-0005-0000-0000-000027000000}"/>
    <cellStyle name="ปกติ 2 2" xfId="13" xr:uid="{00000000-0005-0000-0000-000028000000}"/>
    <cellStyle name="ปกติ 4" xfId="15" xr:uid="{00000000-0005-0000-0000-000029000000}"/>
    <cellStyle name="ปกติ_BOQ_Blankform_S_A_REV(1)._1_M" xfId="8" xr:uid="{00000000-0005-0000-0000-00002A000000}"/>
    <cellStyle name="ปกติ_STR BOQ" xfId="2" xr:uid="{00000000-0005-0000-0000-00002B000000}"/>
    <cellStyle name="ปกติ_ตัวอย่างการคำนวณ FACTOR F" xfId="27" xr:uid="{00000000-0005-0000-0000-00002C000000}"/>
  </cellStyles>
  <dxfs count="300"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48.xml"/><Relationship Id="rId107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2.xml"/><Relationship Id="rId123" Type="http://schemas.openxmlformats.org/officeDocument/2006/relationships/externalLink" Target="externalLinks/externalLink33.xml"/><Relationship Id="rId128" Type="http://schemas.openxmlformats.org/officeDocument/2006/relationships/externalLink" Target="externalLinks/externalLink38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3.xml"/><Relationship Id="rId118" Type="http://schemas.openxmlformats.org/officeDocument/2006/relationships/externalLink" Target="externalLinks/externalLink28.xml"/><Relationship Id="rId134" Type="http://schemas.openxmlformats.org/officeDocument/2006/relationships/externalLink" Target="externalLinks/externalLink44.xml"/><Relationship Id="rId139" Type="http://schemas.openxmlformats.org/officeDocument/2006/relationships/externalLink" Target="externalLinks/externalLink4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3.xml"/><Relationship Id="rId108" Type="http://schemas.openxmlformats.org/officeDocument/2006/relationships/externalLink" Target="externalLinks/externalLink18.xml"/><Relationship Id="rId124" Type="http://schemas.openxmlformats.org/officeDocument/2006/relationships/externalLink" Target="externalLinks/externalLink34.xml"/><Relationship Id="rId129" Type="http://schemas.openxmlformats.org/officeDocument/2006/relationships/externalLink" Target="externalLinks/externalLink3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.xml"/><Relationship Id="rId96" Type="http://schemas.openxmlformats.org/officeDocument/2006/relationships/externalLink" Target="externalLinks/externalLink6.xml"/><Relationship Id="rId140" Type="http://schemas.openxmlformats.org/officeDocument/2006/relationships/externalLink" Target="externalLinks/externalLink5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4.xml"/><Relationship Id="rId119" Type="http://schemas.openxmlformats.org/officeDocument/2006/relationships/externalLink" Target="externalLinks/externalLink2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40.xml"/><Relationship Id="rId135" Type="http://schemas.openxmlformats.org/officeDocument/2006/relationships/externalLink" Target="externalLinks/externalLink4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7.xml"/><Relationship Id="rId104" Type="http://schemas.openxmlformats.org/officeDocument/2006/relationships/externalLink" Target="externalLinks/externalLink14.xml"/><Relationship Id="rId120" Type="http://schemas.openxmlformats.org/officeDocument/2006/relationships/externalLink" Target="externalLinks/externalLink30.xml"/><Relationship Id="rId125" Type="http://schemas.openxmlformats.org/officeDocument/2006/relationships/externalLink" Target="externalLinks/externalLink35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0.xml"/><Relationship Id="rId115" Type="http://schemas.openxmlformats.org/officeDocument/2006/relationships/externalLink" Target="externalLinks/externalLink25.xml"/><Relationship Id="rId131" Type="http://schemas.openxmlformats.org/officeDocument/2006/relationships/externalLink" Target="externalLinks/externalLink41.xml"/><Relationship Id="rId136" Type="http://schemas.openxmlformats.org/officeDocument/2006/relationships/externalLink" Target="externalLinks/externalLink4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0.xml"/><Relationship Id="rId105" Type="http://schemas.openxmlformats.org/officeDocument/2006/relationships/externalLink" Target="externalLinks/externalLink15.xml"/><Relationship Id="rId126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3.xml"/><Relationship Id="rId98" Type="http://schemas.openxmlformats.org/officeDocument/2006/relationships/externalLink" Target="externalLinks/externalLink8.xml"/><Relationship Id="rId121" Type="http://schemas.openxmlformats.org/officeDocument/2006/relationships/externalLink" Target="externalLinks/externalLink31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6.xml"/><Relationship Id="rId137" Type="http://schemas.openxmlformats.org/officeDocument/2006/relationships/externalLink" Target="externalLinks/externalLink4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21.xml"/><Relationship Id="rId132" Type="http://schemas.openxmlformats.org/officeDocument/2006/relationships/externalLink" Target="externalLinks/externalLink4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6.xml"/><Relationship Id="rId127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4.xml"/><Relationship Id="rId99" Type="http://schemas.openxmlformats.org/officeDocument/2006/relationships/externalLink" Target="externalLinks/externalLink9.xml"/><Relationship Id="rId101" Type="http://schemas.openxmlformats.org/officeDocument/2006/relationships/externalLink" Target="externalLinks/externalLink11.xml"/><Relationship Id="rId122" Type="http://schemas.openxmlformats.org/officeDocument/2006/relationships/externalLink" Target="externalLinks/externalLink32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2.xml"/><Relationship Id="rId133" Type="http://schemas.openxmlformats.org/officeDocument/2006/relationships/externalLink" Target="externalLinks/externalLink43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prachuab\Library\Mail%20Downloads\Salaya2\d_salaya2\WINDOWS\TEMP\Cost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19;&#3634;&#3618;&#3585;&#3634;&#3619;&#3611;&#3619;&#3632;&#3617;&#3634;&#3603;&#3619;&#3634;&#3588;&#3634;%2048\&#3591;&#3634;&#3609;&#3612;&#3633;&#3591;&#3648;&#3617;&#3639;&#3629;&#3591;\&#3648;&#3621;&#3637;&#3656;&#3618;&#3591;&#3648;&#3617;&#3639;&#3629;&#3591;&#3648;&#3610;&#3605;&#3591;\05-06-20%20BOQ_Update-&#3649;&#3585;&#3657;&#3652;&#3586;\06%20-%20&#3591;&#3634;&#3609;&#3611;&#3657;&#3629;&#3591;&#3585;&#3633;&#3609;&#3648;&#3594;&#3636;&#3591;&#3621;&#3634;&#3604;&#3649;&#3621;&#3632;&#3619;&#3632;&#3610;&#3610;&#3619;&#3632;&#3610;&#3634;&#3618;&#3609;&#3657;&#3635;\Retaing%20wall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5_Cost%20&amp;%20BOQ\BOQ_Pung_Nga-AP_Update(30-01-50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19;&#3634;&#3618;&#3585;&#3634;&#3619;&#3611;&#3619;&#3632;&#3617;&#3634;&#3603;&#3619;&#3634;&#3588;&#3634;%2048\&#3591;&#3634;&#3609;&#3612;&#3633;&#3591;&#3648;&#3617;&#3639;&#3629;&#3591;\&#3648;&#3621;&#3637;&#3656;&#3618;&#3591;&#3648;&#3617;&#3639;&#3629;&#3591;&#3648;&#3610;&#3605;&#3591;\05-06-20%20BOQ_Update-&#3649;&#3585;&#3657;&#3652;&#3586;\09%20-%20BOQ\BOQ-UPDATE&#3648;&#3610;&#3605;&#359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9BPN2_Cost%20&amp;%20BOQ\02_BOQ\01_Mainline\BOQ_UPDATE_mainline&#3594;&#3656;&#3623;&#3591;&#3607;&#3637;&#3656;1(&#3588;&#3656;&#3634;&#3586;&#3609;&#3626;&#3656;&#3591;&#3611;&#3634;&#3585;&#3594;&#3656;&#3629;&#3591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9BPN2_Cost%20&amp;%20BOQ\BOQ\&#3605;&#3633;&#3623;&#3629;&#3618;&#3656;&#3634;&#3591;&#3611;&#3619;&#3632;&#3617;&#3634;&#3603;&#3619;&#3634;&#3588;&#3634;&#3592;&#3634;&#3585;%20A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ork\Project\2008\MotorWay\Backup%20From%20MAA\BOQ_UPD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nisarat_y\Desktop\&#3591;&#3634;&#3609;BOOTH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50;&#3588;&#3619;&#3591;&#3585;&#3634;&#3619;&#3592;&#3634;&#3585;%20&#3626;&#3626;&#3629;\&#3616;&#3634;&#3588;&#3605;&#3632;&#3623;&#3633;&#3609;&#3629;&#3629;&#3585;&#3648;&#3593;&#3637;&#3618;&#3591;&#3648;&#3627;&#3609;&#3639;&#3629;\&#3626;&#3634;&#3618;&#3609;&#3635;&#3605;&#3585;&#3605;&#3634;&#3604;&#3650;&#3605;&#3609;%20&#3592;.&#3586;&#3629;&#3609;&#3649;&#3585;&#3656;&#3609;\&#3612;&#3641;&#3657;&#3651;&#3594;&#3657;&#3607;&#3656;&#3634;&#3609;&#3629;&#3639;&#3656;&#3609;\&#3648;&#3593;&#3636;&#3604;-&#3648;&#3593;&#3636;&#3604;\P%200233\&#3648;&#3629;&#3585;&#3626;&#3634;&#3619;&#3611;&#3619;&#3632;&#3617;&#3634;&#3603;&#3619;&#3634;&#3588;&#363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&#3623;&#3591;&#3649;&#3627;&#3623;&#3609;&#3619;&#3629;&#3610;&#3609;&#3629;&#3585;\&#3594;&#3633;&#3618;&#3616;&#3641;&#3617;&#3636;%20%20-%20%20&#3649;&#3585;&#3657;&#3591;&#3588;&#3621;&#3657;&#3629;%20&#3626;&#3656;&#3623;&#3609;&#3607;&#3637;&#3656;%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Administrator\Desktop\&#3619;&#3634;&#3588;&#3634;&#3623;&#3633;&#3626;&#3604;&#3640;&#3585;&#3656;&#3629;&#3626;&#3619;&#3657;&#3634;&#3591;\&#3619;&#3623;&#3610;&#3619;&#3623;&#3617;&#3591;&#3634;&#3609;\&#3611;&#3619;&#3632;&#3648;&#3617;&#3636;&#3609;&#3619;&#3634;&#3588;&#3634;&#3605;&#3657;&#3609;&#3607;&#3640;&#3609;\&#3611;&#3619;&#3632;&#3617;&#3641;&#3621;50\&#3614;&#3633;&#3591;&#3591;&#3634;-&#3585;&#3619;&#3632;&#3610;&#3637;&#3656;2.2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prachuab/Library/Mail%20Downloads/Salaya2/d_salaya2/WINDOWS/TEMP/Cost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Administrator\Desktop\&#3619;&#3634;&#3588;&#3634;&#3623;&#3633;&#3626;&#3604;&#3640;&#3585;&#3656;&#3629;&#3626;&#3619;&#3657;&#3634;&#3591;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_29\01_BOQ_UPDATE_HW4006(REV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pareena.c.WISEPROJECT\Desktop\&#3585;&#3634;&#3597;&#3592;&#3609;&#3634;&#3616;&#3636;&#3648;&#3625;&#3585;\&#3650;&#3588;&#3619;&#3591;&#3585;&#3634;&#3619;&#3585;&#3634;&#3597;&#3592;&#3609;&#3634;&#3616;&#3636;&#3648;&#3625;&#3585;-&#3610;&#3634;&#3591;&#3649;&#3585;&#3657;&#3623;\CostBreakDown_Civil_0508255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DOR-TOUR1\03%20DOR-TOUR1_Myteam\Cost_Estimate\04_&#3611;&#3619;&#3632;&#3617;&#3634;&#3603;&#3619;&#3634;&#3588;&#3634;%20&#3588;&#3607;&#3593;-2.1\01_&#3649;&#3627;&#3621;&#3617;&#3626;&#3609;\&#3611;&#3619;&#3632;&#3617;&#3634;&#3603;&#3619;&#3634;&#3588;&#3634;%20&#3588;&#3607;&#3593;-2\&#3611;&#3619;&#3632;&#3617;&#3634;&#3603;&#3619;&#3634;&#3588;&#3634;&#3594;&#3656;&#3623;&#3591;&#3606;&#3609;&#3609;&#3648;&#3594;&#3639;&#3656;&#3629;&#3617;%20&#3610;.&#3606;&#3609;&#3609;&#3585;&#3619;&#3632;&#3648;&#3614;&#3619;&#3634;-&#3627;&#3634;&#3604;&#3649;&#3627;&#3621;&#3617;&#3626;&#3609;\Backup\&#3592;&#3640;&#3604;&#3614;&#3633;&#3585;&#3619;&#3606;%20&#3594;&#3617;&#3623;&#3636;&#3623;&#3649;&#3621;&#3632;&#3616;&#3641;&#3617;&#3636;&#3626;&#3606;&#3634;&#3611;&#3633;&#3605;&#3618;&#3585;&#3619;&#3619;&#361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24;&#3619;&#3637;&#3619;&#3633;&#3594;\Copy%20of%20BOQ_STREET%20LIGHTING%23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H-MW7-PATTAYA\07_DOH-MW7-PATTAYA_Cost\00_&#3611;&#3619;&#3632;&#3617;&#3634;&#3603;&#3619;&#3634;&#3588;&#3634;\01_BOQ\01_BOQ_MW7%20PATAYA_Rev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H-MW7-PATTAYA/07_DOH-MW7-PATTAYA_Cost/00_&#3611;&#3619;&#3632;&#3617;&#3634;&#3603;&#3619;&#3634;&#3588;&#3634;/01_BOQ/01_BOQ_MW7%20PATAYA_Re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H-MW7-PATTAYA\07_DOH-MW7-PATTAYA_Cost\00_&#3611;&#3619;&#3632;&#3617;&#3634;&#3603;&#3619;&#3634;&#3588;&#3634;\01_BOQ\01_BOQ_MW7%20PATAYA_Rev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Desktop\&#3608;&#3637;&#3619;&#3624;&#3633;&#3585;&#3604;&#3636;&#3660;\&#3619;&#3634;&#3588;&#3634;&#3585;&#3621;&#3634;&#3591;&#3619;&#3623;&#3617;&#3626;&#3634;&#3618;&#3607;&#3634;&#3591;%20&#3611;&#3637;&#3591;&#3610;&#3611;&#3619;&#3632;&#3617;&#3634;&#3603;%202547\&#3626;&#3634;&#3618;&#3649;&#3617;&#3656;&#3619;&#3636;&#3617;-&#3649;&#3617;&#3656;&#3649;&#3605;&#3591;%20&#3605;&#3629;&#3609;2%20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626;&#3634;&#3618;&#3649;&#3617;&#3656;&#3649;&#3605;&#3591;-&#3613;&#3634;&#3591;(&#3624;&#3641;&#3609;&#3618;&#3660;&#3613;&#3638;&#3585;&#3621;&#3641;&#3585;&#3594;&#3657;&#3634;&#3591;)%20&#3605;&#3629;&#3609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oprachuab\Library\Mail%20Downloads\Salaya2\d_salaya2\WINDOWS\TEMP\Cost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My%20Apainukool%20Addwork\(8)&#3649;&#3615;&#3657;&#3617;&#3591;&#3634;&#3609;&#3606;&#3609;&#3609;&#3648;&#3621;&#3637;&#3656;&#3618;&#3591;&#3648;&#3617;&#3639;&#3629;&#3591;(&#3612;&#3633;&#3591;&#3648;&#3617;&#3639;&#3629;&#3591;&#3619;&#3623;&#3617;),&#3629;&#3639;&#3656;&#3609;&#3654;\(2)&#3605;&#3633;&#3623;&#3629;&#3618;&#3656;&#3634;&#3591;&#3591;&#3634;&#3609;&#3605;&#3657;&#3609;&#3607;&#3640;&#3609;&#3591;&#3634;&#3609;&#3606;&#3609;&#3609;&#3612;&#3633;&#3591;&#3648;&#3617;&#3639;&#3629;&#3591;&#3619;&#3623;&#3617;\form_backup%23&#3591;&#3634;&#3609;&#3585;&#3656;&#3629;&#3626;&#3619;&#3657;&#3634;&#3591;,&#3611;&#3619;&#3633;&#3610;&#3611;&#3619;&#3640;&#3591;&#3607;&#3634;&#3591;&#3619;&#3606;&#3652;&#3615;&#3626;&#3634;&#3618;&#3648;&#3585;&#3656;&#3634;\Cost_&#3626;&#3617;&#3640;&#3607;&#3619;&#3611;&#3619;&#3634;&#3585;&#3634;&#3619;V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rattana_m\AppData\Local\Microsoft\Windows\Temporary%20Internet%20Files\Content.Outlook\AJ8CF3MB\01_BOQ_UPDATE_HW4006(REV2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626;&#3635;&#3648;&#3609;&#3634;&#3586;&#3629;&#3591;%20Pier%20Box%20Girder%20Bridge%20Height%2020%20m%20max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BPN2\09BPN2_Cost%20&amp;%20BOQ\02_BOQ\01_Mainline\BOQ_UPDATE_mainline&#3594;&#3656;&#3623;&#3591;&#3607;&#3637;&#3656;1(Mainline&amp;Relocate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New%20folder\CBB_7RoofofCarpark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19;&#3634;&#3588;&#3634;&#3585;&#3621;&#3634;&#3591;&#3611;&#3637;&#3591;&#3610;&#3611;&#3619;&#3632;&#3617;&#3634;&#3603;%202551\&#3627;&#3609;&#3629;&#3591;&#3617;&#3609;\&#3627;&#3609;&#3629;&#3591;&#3617;&#3609;&#3605;&#3629;&#3609;%202&#3651;&#3627;&#3617;&#3656;\&#3627;&#3609;&#3629;&#3591;&#3617;&#3609;%20%20&#3605;&#3629;&#3609;2%20%20(31-07-51)&#3609;&#3657;&#3635;&#3617;&#3633;&#3609;37(&#3648;&#3586;&#3655;&#3617;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608;&#3637;&#3619;&#3624;&#3633;&#3585;&#3604;&#3636;&#3660;\&#3619;&#3634;&#3588;&#3634;&#3585;&#3621;&#3634;&#3591;&#3619;&#3623;&#3617;&#3626;&#3634;&#3618;&#3607;&#3634;&#3591;%20&#3611;&#3637;&#3591;&#3610;&#3611;&#3619;&#3632;&#3617;&#3634;&#3603;%202547\&#3626;&#3634;&#3618;&#3649;&#3617;&#3656;&#3619;&#3636;&#3617;-&#3649;&#3617;&#3656;&#3649;&#3605;&#3591;%20&#3605;&#3629;&#3609;2%20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BANGPING\09DOH-BANGPING_Cost%20&amp;%20BOQ\02_BOQ\02_InterChange\&#3611;&#3619;&#3632;&#3617;&#3634;&#3603;&#3619;&#3634;&#3588;&#3634;&#3588;&#3656;&#3634;&#3585;&#3656;&#3629;&#3626;&#3619;&#3657;&#3634;&#3591;&#3607;&#3634;&#3591;&#3649;&#3618;&#3585;&#3618;&#3585;&#3619;&#3632;&#3604;&#3633;&#3610;&#3649;&#3614;&#3619;&#3585;&#3625;&#3634;%20update%2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M-ESTM\PROJECT\2005\200-239%20(&#3601;&#3633;&#3609;&#3605;&#3585;&#3619;&#3619;&#3617;)\BOQ1\BOQ-LIF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19;&#3634;&#3618;&#3585;&#3634;&#3619;&#3611;&#3619;&#3632;&#3617;&#3634;&#3603;&#3619;&#3634;&#3588;&#3634;%2048\&#3591;&#3634;&#3609;&#3612;&#3633;&#3591;&#3648;&#3617;&#3639;&#3629;&#3591;\&#3648;&#3621;&#3637;&#3656;&#3618;&#3591;&#3648;&#3617;&#3639;&#3629;&#3591;&#3648;&#3610;&#3605;&#3591;\05-06-20%20BOQ_Update-&#3649;&#3585;&#3657;&#3652;&#3586;\09%20-%20BOQ\BOQ-UPDATE%20(%20&#3607;&#3640;&#3656;&#3591;&#3609;&#3634;&#3591;&#3604;&#3635;)%20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0.88.88.2\Users\Administrator\Desktop\&#3619;&#3634;&#3588;&#3634;&#3623;&#3633;&#3626;&#3604;&#3640;&#3585;&#3656;&#3629;&#3626;&#3619;&#3657;&#3634;&#3591;\Documents%20and%20Settings\Administrator\Desktop\&#3611;&#3634;&#3585;&#3607;&#3656;&#3629;&#3588;&#3636;&#3604;&#3651;&#3627;&#3617;&#3656;\KRABI%20-%20HUAYYOD%20-%201\KRABI-HUAYYOD%20-%201\Documents%20and%20Settings\user\My%20Documents\WorkZ\&#3594;&#3633;&#3618;&#3609;&#3634;&#3607;-&#3607;&#3621;%2032%20&#3605;&#3629;&#3609;%201%20&#3626;&#3656;&#3623;&#3609;&#3607;&#3637;&#3656;%202.xls?4B30511E" TargetMode="External"/><Relationship Id="rId1" Type="http://schemas.openxmlformats.org/officeDocument/2006/relationships/externalLinkPath" Target="file:///\\4B30511E\&#3594;&#3633;&#3618;&#3609;&#3634;&#3607;-&#3607;&#3621;%2032%20&#3605;&#3629;&#3609;%201%20&#3626;&#3656;&#3623;&#3609;&#3607;&#3637;&#3656;%2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74_KKU-ENG50\10-12-07%20Cost%20&amp;%20BOQ\&#3591;&#3634;&#3609;BOOTH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wat\zsomsak-1\ESTIMAT\HOUSE-G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9BPN2_Cost%20&amp;%20BOQ\02_BOQ\04_CIVIL\BOQ_update(19_11_50)\BOQ\UnitPric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74_KKU-ENG50\10-12-07%20Cost%20&amp;%20BOQ\KKU50-Cost-Estimate%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6_D238%20DOR-PNG_Estimate\01%20&#3611;&#3619;&#3632;&#3617;&#3634;&#3603;&#3619;&#3634;&#3588;&#3634;&#3606;&#3609;&#3609;&#3626;&#3634;&#3618;&#3607;&#3637;&#3656;1%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3%20DOR-TOUR1_Myteam\Cost_Estimate\-----------------------------&#3649;&#3585;&#3657;%20estimate%2029-05-06%20MAA\&#3611;&#3619;&#3632;&#3617;&#3634;&#3603;&#3619;&#3634;&#3588;&#3634;%20&#3626;&#3634;&#3618;&#3592;&#3633;&#3609;&#3607;&#3610;&#3640;&#3619;&#363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08%20DOR48-G5_Cost-Estimate\01_&#3585;&#3634;&#3597;&#3592;&#3609;&#3610;&#3640;&#3619;&#3637;-&#3649;&#3617;&#3656;&#3609;&#3657;&#3635;&#3649;&#3617;&#3656;&#3585;&#3621;&#3629;&#3591;\09%20-%20BOQ\BOQ-UPDATE1%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nukul\My%20Documents\&#3585;&#3619;&#3619;&#3617;&#3585;&#3634;&#3619;&#3585;&#3635;&#3627;&#3609;&#3604;&#3619;&#3634;&#3588;&#3634;&#3585;&#3621;&#3634;&#3591;%20&#3592;.&#3629;&#3640;&#3610;&#3621;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9\pop_temp\DOR-TOUR1\01%20DOR-TOUR1_Doc%20In\06-19-06%20&#3592;&#3634;&#3585;&#3614;&#3637;&#3656;&#3618;&#3640;&#3607;&#3608;&#3624;&#3633;&#3585;&#3604;&#3636;&#3660;\&#3619;&#3634;&#3588;&#3634;&#3585;&#3621;&#3634;&#3591;\&#3619;&#3634;&#3588;&#3634;&#3585;&#3621;&#3634;&#3591;%20&#3619;&#3632;&#3618;&#3629;&#3591;-&#3592;&#3633;&#3609;&#3607;&#3610;&#3640;&#3619;&#3637;\&#3619;&#3632;&#3618;&#3629;&#3591;_&#3626;&#3640;&#3609;&#3607;&#3619;&#3616;&#3641;&#3656;_&#3605;&#3633;&#3604;&#3626;&#3634;&#3618;&#3607;&#3637;&#3656;%202\Cost_DOR-TOUR1_&#3616;&#3641;&#3617;&#3636;&#3626;&#3606;&#3634;&#3611;&#3633;&#3605;-&#3626;&#3640;&#3609;&#3607;&#3619;&#3616;&#3641;&#3656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5_Cost%20&amp;%20BOQ\BOQ_Pung_Nga-AP_VSMO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B30511E\&#3594;&#3633;&#3618;&#3609;&#3634;&#3607;-&#3607;&#3621;%2032%20&#3605;&#3629;&#3609;%201%20&#3626;&#3656;&#3623;&#3609;&#3607;&#3637;&#3656;%2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BOQ-B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file:///Y:\Users\Administrator\Desktop\&#3619;&#3634;&#3588;&#3634;&#3623;&#3633;&#3626;&#3604;&#3640;&#3585;&#3656;&#3629;&#3626;&#3619;&#3657;&#3634;&#3591;\Documents%20and%20Settings\Administrator\Desktop\&#3611;&#3634;&#3585;&#3607;&#3656;&#3629;&#3588;&#3636;&#3604;&#3651;&#3627;&#3617;&#3656;\KRABI%20-%20HUAYYOD%20-%201\KRABI-HUAYYOD%20-%201\Documents%20and%20Settings\user\My%20Documents\WorkZ\&#3594;&#3633;&#3618;&#3609;&#3634;&#3607;-&#3607;&#3621;%2032%20&#3605;&#3629;&#3609;%201%20&#3626;&#3656;&#3623;&#3609;&#3607;&#3637;&#3656;%202.xls?8871786D" TargetMode="External"/><Relationship Id="rId1" Type="http://schemas.openxmlformats.org/officeDocument/2006/relationships/externalLinkPath" Target="file:///\\8871786D\&#3594;&#3633;&#3618;&#3609;&#3634;&#3607;-&#3607;&#3621;%2032%20&#3605;&#3629;&#3609;%201%20&#3626;&#3656;&#3623;&#3609;&#3607;&#3637;&#3656;%2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871786D\&#3594;&#3633;&#3618;&#3609;&#3634;&#3607;-&#3607;&#3621;%2032%20&#3605;&#3629;&#3609;%201%20&#3626;&#3656;&#3623;&#3609;&#3607;&#3637;&#3656;%2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9BPN2_Cost%20&amp;%20BOQ\02_BOQ\01_Mainline\BOQ_UPDATE_mainlin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Administrator\Desktop\&#3619;&#3634;&#3588;&#3634;&#3623;&#3633;&#3626;&#3604;&#3640;&#3585;&#3656;&#3629;&#3626;&#3619;&#3657;&#3634;&#3591;\toon\&#3611;&#3619;&#3632;&#3617;&#3641;&#3621;50\&#3611;&#3634;&#3585;&#3607;&#3656;&#3629;1.1(REBIDDING)\KRABI%20-%20HUAYYOD%20-%201\KRABI-HUAYYOD%20-%201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FConclude"/>
      <sheetName val="FCalSH"/>
      <sheetName val="FCalSH (2)"/>
      <sheetName val="FBarList"/>
      <sheetName val="FInput"/>
      <sheetName val="FResult"/>
      <sheetName val="Sheet1"/>
      <sheetName val="อาคาร 2 11Boots"/>
      <sheetName val="อาคาร 2 14Boots"/>
      <sheetName val="อาคาร 2 5Boots"/>
      <sheetName val="อาคาร 2 6Boots"/>
      <sheetName val="boq"/>
      <sheetName val="ปร5"/>
      <sheetName val="4"/>
      <sheetName val="6"/>
      <sheetName val="3"/>
      <sheetName val="2"/>
      <sheetName val="1"/>
      <sheetName val="รายละเอียดโครงการ"/>
      <sheetName val="5-2"/>
    </sheetNames>
    <sheetDataSet>
      <sheetData sheetId="0" refreshError="1"/>
      <sheetData sheetId="1" refreshError="1"/>
      <sheetData sheetId="2" refreshError="1">
        <row r="18">
          <cell r="G18">
            <v>1.1549999999999998</v>
          </cell>
        </row>
        <row r="19">
          <cell r="G19">
            <v>6.91</v>
          </cell>
        </row>
        <row r="21">
          <cell r="G21">
            <v>0.185</v>
          </cell>
        </row>
        <row r="27">
          <cell r="G27">
            <v>3.7049999999999996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สรุป_ปร4"/>
      <sheetName val="ปร4"/>
      <sheetName val="หมวด 1"/>
      <sheetName val="หมวด 2"/>
      <sheetName val="หมวด 3"/>
      <sheetName val="หมวด 4"/>
      <sheetName val="หมวด 5"/>
      <sheetName val="หมวด 5-1"/>
      <sheetName val="หมวด 6"/>
      <sheetName val="หมวด 6(1)"/>
      <sheetName val="หมวด 6(2)"/>
      <sheetName val="หมวด 9"/>
      <sheetName val="หมวด 9-1"/>
      <sheetName val="หมวด 10"/>
      <sheetName val="ราคาต้นไม้"/>
      <sheetName val="ตาราง Factor F งานทาง"/>
      <sheetName val="ตาราง Factor F อาคาร"/>
      <sheetName val="ตาราง Factor F สะพาน_ท่อเหลี่ยม"/>
      <sheetName val="ค่าดำเนินการ+ค่าเสื่อมราคา"/>
      <sheetName val="ส่วนขยายและค่ายุบตัว"/>
      <sheetName val="ตารางค่าขนส่ง"/>
      <sheetName val="ค่าขนส่ง-1"/>
      <sheetName val="สรุปค่าขนส่ง"/>
      <sheetName val="ราคาวัสดุ"/>
      <sheetName val="ค่าแรงต่อหน่วย"/>
      <sheetName val="ลวดผูกเหล็ก&amp;เหล็กเสริมคอนกรีต"/>
      <sheetName val="งาน R.C.BOX CULVERT"/>
      <sheetName val="Sheet1"/>
      <sheetName val="Sheet2"/>
      <sheetName val="Sheet3"/>
      <sheetName val="Sheet4"/>
      <sheetName val="Sheet5"/>
      <sheetName val="(BANK)BOQ"/>
      <sheetName val="ปร5 (2)"/>
      <sheetName val="งานอาคาร"/>
      <sheetName val="Worksheet"/>
      <sheetName val="5-2"/>
      <sheetName val="10 ข้อมูลวัสดุ-ค่าดำเนิ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46">
          <cell r="D46">
            <v>20.38785</v>
          </cell>
        </row>
        <row r="47">
          <cell r="D47">
            <v>18.695329999999998</v>
          </cell>
        </row>
        <row r="48">
          <cell r="D48">
            <v>18.081779999999998</v>
          </cell>
        </row>
        <row r="49">
          <cell r="D49">
            <v>17.800470000000001</v>
          </cell>
        </row>
        <row r="50">
          <cell r="D50">
            <v>17.800470000000001</v>
          </cell>
        </row>
        <row r="51">
          <cell r="D51">
            <v>17.383179999999999</v>
          </cell>
        </row>
        <row r="53">
          <cell r="D53">
            <v>17.757010000000001</v>
          </cell>
        </row>
        <row r="54">
          <cell r="D54">
            <v>17.383179999999999</v>
          </cell>
        </row>
        <row r="55">
          <cell r="D55">
            <v>17.383179999999999</v>
          </cell>
        </row>
        <row r="56">
          <cell r="D56">
            <v>17.383179999999999</v>
          </cell>
        </row>
        <row r="57">
          <cell r="D57">
            <v>17.383179999999999</v>
          </cell>
        </row>
        <row r="62">
          <cell r="D62">
            <v>37.166670000000003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5"/>
      <sheetName val="ปร4"/>
      <sheetName val="ปร4.1"/>
      <sheetName val="การหาค่า factor F"/>
      <sheetName val="BOQ"/>
      <sheetName val="งานทั่วไปฯ"/>
      <sheetName val="ราคาต้นทุนต่อหน่วย"/>
      <sheetName val="BOQ Arch"/>
      <sheetName val="ค่าดำเนินการ+ค่าเสื่อมราคา"/>
      <sheetName val="ค่าขนส่ง"/>
      <sheetName val="ค่าขนส่งที่ราคาน้ำมัน 19.99 บาท"/>
      <sheetName val="ราคาวัสดุ"/>
      <sheetName val="ราคาวัสดุที่จว.ยะลา"/>
      <sheetName val="ค่าขนส่ง-1"/>
      <sheetName val="F-งานสะพาน"/>
      <sheetName val="F-งานทาง"/>
      <sheetName val="F ฝนตกชุก"/>
      <sheetName val="F-งานอาคาร"/>
      <sheetName val="ราคาค่าก่อสร้าง"/>
      <sheetName val="รายการสรุปผล"/>
      <sheetName val="ต้นทุนงานทาง"/>
      <sheetName val="ราคาคอนกรีตต่อหน่วย"/>
      <sheetName val="ค่าดำเนินการ+เสื่อมราคา"/>
      <sheetName val="Sheet1"/>
      <sheetName val="งานถมดินใหม่"/>
      <sheetName val="ต้นทุนต่อหน่วย-ปร.1"/>
      <sheetName val="สรุปผล"/>
      <sheetName val="สรุป"/>
      <sheetName val="หา FACTOR F"/>
      <sheetName val="unitcost"/>
      <sheetName val="summary"/>
      <sheetName val="Std."/>
      <sheetName val="FCal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0">
          <cell r="F40">
            <v>388.96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คาของพี่วีระ"/>
      <sheetName val="ส่งพี่วินัย"/>
      <sheetName val="รายละเอียดโครงการ"/>
      <sheetName val="ปร5"/>
      <sheetName val="สรุปรายงาน"/>
      <sheetName val="สารบัญ"/>
      <sheetName val="Summary"/>
      <sheetName val="รายการงานของโครงการ"/>
      <sheetName val="รายการทั้งหมด"/>
      <sheetName val="ข้อมูลเบื้องต้น"/>
      <sheetName val="1"/>
      <sheetName val="2"/>
      <sheetName val="3"/>
      <sheetName val="4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ราคาวัสดุ"/>
      <sheetName val="ข้อมูลวัสดุค่าดำเนินการ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BOQ_UPDATE_mainlineช่วงที่1(ค่า"/>
      <sheetName val="สรุป"/>
      <sheetName val="pl"/>
      <sheetName val="หมวด 6(2)"/>
      <sheetName val="หมวด 2"/>
    </sheetNames>
    <sheetDataSet>
      <sheetData sheetId="0" refreshError="1"/>
      <sheetData sheetId="1" refreshError="1"/>
      <sheetData sheetId="2" refreshError="1">
        <row r="4">
          <cell r="B4" t="str">
            <v>ประมาณราคา วันที่  1  พฤศจิกายน พ.ศ. 2550</v>
          </cell>
        </row>
        <row r="29">
          <cell r="B29" t="str">
            <v>ค่าขนส่งวัสดุก่อสร้างพิจารณาตามราคาน้ำมันดีเซลของปตท  (แหล่งกทม.)   ที่ราคา     28.00 - 28.99  บาท/ลิตร</v>
          </cell>
        </row>
        <row r="35">
          <cell r="B35" t="str">
            <v xml:space="preserve">ที่ ราคา 28.00 - 28.99 บาท/ลิตร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53">
          <cell r="M53">
            <v>56.31</v>
          </cell>
        </row>
        <row r="54">
          <cell r="M54">
            <v>172.64</v>
          </cell>
        </row>
        <row r="55">
          <cell r="M55">
            <v>128.32</v>
          </cell>
        </row>
        <row r="57">
          <cell r="L57">
            <v>222.23</v>
          </cell>
        </row>
        <row r="58">
          <cell r="L58">
            <v>277.63</v>
          </cell>
        </row>
        <row r="59">
          <cell r="L59">
            <v>119.36</v>
          </cell>
        </row>
        <row r="60">
          <cell r="L60">
            <v>40.22</v>
          </cell>
        </row>
        <row r="61">
          <cell r="L61">
            <v>6.5</v>
          </cell>
          <cell r="M61">
            <v>9.11</v>
          </cell>
        </row>
        <row r="62">
          <cell r="L62">
            <v>40.22</v>
          </cell>
          <cell r="M62">
            <v>56.31</v>
          </cell>
        </row>
        <row r="63">
          <cell r="L63">
            <v>222.23</v>
          </cell>
          <cell r="M63">
            <v>311.12</v>
          </cell>
        </row>
        <row r="70">
          <cell r="M70">
            <v>39.200000000000003</v>
          </cell>
        </row>
        <row r="71">
          <cell r="M71">
            <v>121.98</v>
          </cell>
        </row>
        <row r="72">
          <cell r="M72">
            <v>90.28</v>
          </cell>
        </row>
        <row r="74">
          <cell r="L74">
            <v>156.33000000000001</v>
          </cell>
        </row>
        <row r="75">
          <cell r="L75">
            <v>195.33</v>
          </cell>
        </row>
        <row r="76">
          <cell r="L76">
            <v>84.62</v>
          </cell>
        </row>
        <row r="77">
          <cell r="L77">
            <v>28</v>
          </cell>
        </row>
        <row r="78">
          <cell r="L78">
            <v>3.93</v>
          </cell>
          <cell r="M78">
            <v>5.5</v>
          </cell>
        </row>
        <row r="79">
          <cell r="L79">
            <v>28</v>
          </cell>
          <cell r="M79">
            <v>39.200000000000003</v>
          </cell>
        </row>
      </sheetData>
      <sheetData sheetId="23" refreshError="1">
        <row r="57">
          <cell r="I57">
            <v>11.44</v>
          </cell>
        </row>
      </sheetData>
      <sheetData sheetId="24" refreshError="1">
        <row r="8">
          <cell r="B8">
            <v>4.88</v>
          </cell>
          <cell r="C8">
            <v>6.83</v>
          </cell>
          <cell r="H8">
            <v>2.76</v>
          </cell>
          <cell r="I8">
            <v>3.87</v>
          </cell>
        </row>
        <row r="9">
          <cell r="B9">
            <v>6.5</v>
          </cell>
          <cell r="C9">
            <v>9.11</v>
          </cell>
          <cell r="H9">
            <v>3.93</v>
          </cell>
          <cell r="I9">
            <v>5.5</v>
          </cell>
        </row>
        <row r="10">
          <cell r="B10">
            <v>8.1300000000000008</v>
          </cell>
          <cell r="C10">
            <v>11.38</v>
          </cell>
          <cell r="H10">
            <v>5.09</v>
          </cell>
          <cell r="I10">
            <v>7.12</v>
          </cell>
        </row>
        <row r="11">
          <cell r="B11">
            <v>9.75</v>
          </cell>
          <cell r="C11">
            <v>13.65</v>
          </cell>
          <cell r="H11">
            <v>6.25</v>
          </cell>
          <cell r="I11">
            <v>8.75</v>
          </cell>
        </row>
        <row r="12">
          <cell r="B12">
            <v>11.37</v>
          </cell>
          <cell r="C12">
            <v>15.92</v>
          </cell>
          <cell r="H12">
            <v>7.41</v>
          </cell>
          <cell r="I12">
            <v>10.38</v>
          </cell>
        </row>
        <row r="13">
          <cell r="B13">
            <v>13</v>
          </cell>
          <cell r="C13">
            <v>18.190000000000001</v>
          </cell>
          <cell r="H13">
            <v>8.58</v>
          </cell>
          <cell r="I13">
            <v>12.01</v>
          </cell>
        </row>
        <row r="14">
          <cell r="B14">
            <v>14.62</v>
          </cell>
          <cell r="C14">
            <v>20.47</v>
          </cell>
          <cell r="H14">
            <v>9.74</v>
          </cell>
          <cell r="I14">
            <v>13.64</v>
          </cell>
        </row>
        <row r="15">
          <cell r="B15">
            <v>16.48</v>
          </cell>
          <cell r="C15">
            <v>23.07</v>
          </cell>
          <cell r="H15">
            <v>10.9</v>
          </cell>
          <cell r="I15">
            <v>15.26</v>
          </cell>
        </row>
        <row r="16">
          <cell r="B16">
            <v>18.46</v>
          </cell>
          <cell r="C16">
            <v>25.84</v>
          </cell>
          <cell r="H16">
            <v>12.07</v>
          </cell>
          <cell r="I16">
            <v>16.89</v>
          </cell>
        </row>
        <row r="17">
          <cell r="B17">
            <v>20.440000000000001</v>
          </cell>
          <cell r="C17">
            <v>28.61</v>
          </cell>
          <cell r="H17">
            <v>13.23</v>
          </cell>
          <cell r="I17">
            <v>18.52</v>
          </cell>
        </row>
        <row r="18">
          <cell r="B18">
            <v>22.41</v>
          </cell>
          <cell r="C18">
            <v>31.38</v>
          </cell>
          <cell r="H18">
            <v>14.39</v>
          </cell>
          <cell r="I18">
            <v>20.149999999999999</v>
          </cell>
        </row>
        <row r="19">
          <cell r="B19">
            <v>24.39</v>
          </cell>
          <cell r="C19">
            <v>34.15</v>
          </cell>
          <cell r="H19">
            <v>15.56</v>
          </cell>
          <cell r="I19">
            <v>21.78</v>
          </cell>
        </row>
        <row r="20">
          <cell r="B20">
            <v>26.37</v>
          </cell>
          <cell r="C20">
            <v>36.92</v>
          </cell>
          <cell r="H20">
            <v>16.72</v>
          </cell>
          <cell r="I20">
            <v>23.41</v>
          </cell>
        </row>
        <row r="21">
          <cell r="B21">
            <v>28.35</v>
          </cell>
          <cell r="C21">
            <v>39.69</v>
          </cell>
          <cell r="H21">
            <v>17.88</v>
          </cell>
          <cell r="I21">
            <v>25.03</v>
          </cell>
        </row>
        <row r="22">
          <cell r="B22">
            <v>30.33</v>
          </cell>
          <cell r="C22">
            <v>42.46</v>
          </cell>
          <cell r="H22">
            <v>19.190000000000001</v>
          </cell>
          <cell r="I22">
            <v>26.87</v>
          </cell>
        </row>
        <row r="23">
          <cell r="B23">
            <v>32.31</v>
          </cell>
          <cell r="C23">
            <v>45.23</v>
          </cell>
          <cell r="H23">
            <v>20.45</v>
          </cell>
          <cell r="I23">
            <v>28.63</v>
          </cell>
        </row>
        <row r="24">
          <cell r="B24">
            <v>34.28</v>
          </cell>
          <cell r="C24">
            <v>48</v>
          </cell>
          <cell r="H24">
            <v>21.71</v>
          </cell>
          <cell r="I24">
            <v>30.39</v>
          </cell>
        </row>
        <row r="25">
          <cell r="B25">
            <v>36.26</v>
          </cell>
          <cell r="C25">
            <v>50.77</v>
          </cell>
          <cell r="H25">
            <v>22.97</v>
          </cell>
          <cell r="I25">
            <v>32.15</v>
          </cell>
        </row>
        <row r="26">
          <cell r="B26">
            <v>38.24</v>
          </cell>
          <cell r="C26">
            <v>53.54</v>
          </cell>
          <cell r="H26">
            <v>24.22</v>
          </cell>
          <cell r="I26">
            <v>33.909999999999997</v>
          </cell>
        </row>
        <row r="27">
          <cell r="B27">
            <v>40.22</v>
          </cell>
          <cell r="C27">
            <v>56.31</v>
          </cell>
          <cell r="H27">
            <v>25.48</v>
          </cell>
          <cell r="I27">
            <v>35.68</v>
          </cell>
        </row>
        <row r="28">
          <cell r="B28">
            <v>42.2</v>
          </cell>
          <cell r="C28">
            <v>59.08</v>
          </cell>
          <cell r="H28">
            <v>26.74</v>
          </cell>
          <cell r="I28">
            <v>37.44</v>
          </cell>
        </row>
        <row r="29">
          <cell r="B29">
            <v>44.18</v>
          </cell>
          <cell r="C29">
            <v>61.85</v>
          </cell>
          <cell r="H29">
            <v>28</v>
          </cell>
          <cell r="I29">
            <v>39.200000000000003</v>
          </cell>
        </row>
        <row r="30">
          <cell r="B30">
            <v>46.15</v>
          </cell>
          <cell r="C30">
            <v>64.62</v>
          </cell>
          <cell r="H30">
            <v>29.26</v>
          </cell>
          <cell r="I30">
            <v>40.96</v>
          </cell>
        </row>
        <row r="31">
          <cell r="B31">
            <v>48.13</v>
          </cell>
          <cell r="C31">
            <v>67.39</v>
          </cell>
          <cell r="H31">
            <v>30.52</v>
          </cell>
          <cell r="I31">
            <v>42.72</v>
          </cell>
        </row>
        <row r="32">
          <cell r="B32">
            <v>50.11</v>
          </cell>
          <cell r="C32">
            <v>70.16</v>
          </cell>
          <cell r="H32">
            <v>31.77</v>
          </cell>
          <cell r="I32">
            <v>44.48</v>
          </cell>
        </row>
        <row r="33">
          <cell r="B33">
            <v>52.09</v>
          </cell>
          <cell r="C33">
            <v>72.930000000000007</v>
          </cell>
          <cell r="H33">
            <v>33.03</v>
          </cell>
          <cell r="I33">
            <v>46.24</v>
          </cell>
        </row>
        <row r="34">
          <cell r="B34">
            <v>54.07</v>
          </cell>
          <cell r="C34">
            <v>75.7</v>
          </cell>
          <cell r="H34">
            <v>34.29</v>
          </cell>
          <cell r="I34">
            <v>48.01</v>
          </cell>
        </row>
        <row r="35">
          <cell r="B35">
            <v>56.05</v>
          </cell>
          <cell r="C35">
            <v>78.47</v>
          </cell>
          <cell r="H35">
            <v>35.549999999999997</v>
          </cell>
          <cell r="I35">
            <v>49.77</v>
          </cell>
        </row>
        <row r="36">
          <cell r="B36">
            <v>58.03</v>
          </cell>
          <cell r="C36">
            <v>81.239999999999995</v>
          </cell>
          <cell r="H36">
            <v>36.81</v>
          </cell>
          <cell r="I36">
            <v>51.53</v>
          </cell>
        </row>
        <row r="37">
          <cell r="B37">
            <v>60</v>
          </cell>
          <cell r="C37">
            <v>84</v>
          </cell>
          <cell r="H37">
            <v>38.06</v>
          </cell>
          <cell r="I37">
            <v>53.29</v>
          </cell>
        </row>
        <row r="38">
          <cell r="B38">
            <v>61.98</v>
          </cell>
          <cell r="C38">
            <v>86.77</v>
          </cell>
          <cell r="H38">
            <v>39.32</v>
          </cell>
          <cell r="I38">
            <v>55.05</v>
          </cell>
        </row>
        <row r="39">
          <cell r="B39">
            <v>63.96</v>
          </cell>
          <cell r="C39">
            <v>89.54</v>
          </cell>
          <cell r="H39">
            <v>40.58</v>
          </cell>
          <cell r="I39">
            <v>56.81</v>
          </cell>
        </row>
        <row r="40">
          <cell r="B40">
            <v>65.94</v>
          </cell>
          <cell r="C40">
            <v>92.31</v>
          </cell>
          <cell r="H40">
            <v>41.84</v>
          </cell>
          <cell r="I40">
            <v>58.57</v>
          </cell>
        </row>
        <row r="41">
          <cell r="B41">
            <v>67.92</v>
          </cell>
          <cell r="C41">
            <v>95.08</v>
          </cell>
          <cell r="H41">
            <v>43.1</v>
          </cell>
          <cell r="I41">
            <v>60.34</v>
          </cell>
        </row>
        <row r="42">
          <cell r="B42">
            <v>69.900000000000006</v>
          </cell>
          <cell r="C42">
            <v>97.85</v>
          </cell>
          <cell r="H42">
            <v>44.35</v>
          </cell>
          <cell r="I42">
            <v>62.1</v>
          </cell>
        </row>
        <row r="43">
          <cell r="B43">
            <v>71.87</v>
          </cell>
          <cell r="C43">
            <v>100.62</v>
          </cell>
          <cell r="H43">
            <v>45.61</v>
          </cell>
          <cell r="I43">
            <v>63.86</v>
          </cell>
        </row>
        <row r="44">
          <cell r="B44">
            <v>73.849999999999994</v>
          </cell>
          <cell r="C44">
            <v>103.39</v>
          </cell>
          <cell r="H44">
            <v>46.87</v>
          </cell>
          <cell r="I44">
            <v>65.62</v>
          </cell>
        </row>
        <row r="45">
          <cell r="B45">
            <v>75.83</v>
          </cell>
          <cell r="C45">
            <v>106.16</v>
          </cell>
          <cell r="H45">
            <v>48.13</v>
          </cell>
          <cell r="I45">
            <v>67.38</v>
          </cell>
        </row>
        <row r="46">
          <cell r="B46">
            <v>77.81</v>
          </cell>
          <cell r="C46">
            <v>108.93</v>
          </cell>
          <cell r="H46">
            <v>49.39</v>
          </cell>
          <cell r="I46">
            <v>69.14</v>
          </cell>
        </row>
        <row r="47">
          <cell r="B47">
            <v>79.790000000000006</v>
          </cell>
          <cell r="C47">
            <v>111.7</v>
          </cell>
          <cell r="H47">
            <v>50.65</v>
          </cell>
          <cell r="I47">
            <v>70.900000000000006</v>
          </cell>
        </row>
        <row r="48">
          <cell r="B48">
            <v>81.77</v>
          </cell>
          <cell r="C48">
            <v>114.47</v>
          </cell>
          <cell r="H48">
            <v>51.9</v>
          </cell>
          <cell r="I48">
            <v>72.67</v>
          </cell>
        </row>
        <row r="49">
          <cell r="B49">
            <v>83.74</v>
          </cell>
          <cell r="C49">
            <v>117.24</v>
          </cell>
          <cell r="H49">
            <v>53.16</v>
          </cell>
          <cell r="I49">
            <v>74.430000000000007</v>
          </cell>
        </row>
        <row r="50">
          <cell r="B50">
            <v>85.72</v>
          </cell>
          <cell r="C50">
            <v>120.01</v>
          </cell>
          <cell r="H50">
            <v>54.42</v>
          </cell>
          <cell r="I50">
            <v>76.19</v>
          </cell>
        </row>
        <row r="51">
          <cell r="B51">
            <v>87.7</v>
          </cell>
          <cell r="C51">
            <v>122.78</v>
          </cell>
          <cell r="H51">
            <v>55.68</v>
          </cell>
          <cell r="I51">
            <v>77.95</v>
          </cell>
        </row>
        <row r="52">
          <cell r="B52">
            <v>89.68</v>
          </cell>
          <cell r="C52">
            <v>125.55</v>
          </cell>
          <cell r="H52">
            <v>56.94</v>
          </cell>
          <cell r="I52">
            <v>79.709999999999994</v>
          </cell>
        </row>
        <row r="53">
          <cell r="B53">
            <v>91.66</v>
          </cell>
          <cell r="C53">
            <v>128.32</v>
          </cell>
          <cell r="H53">
            <v>58.19</v>
          </cell>
          <cell r="I53">
            <v>81.47</v>
          </cell>
        </row>
        <row r="54">
          <cell r="B54">
            <v>93.64</v>
          </cell>
          <cell r="C54">
            <v>131.09</v>
          </cell>
          <cell r="H54">
            <v>59.45</v>
          </cell>
          <cell r="I54">
            <v>83.23</v>
          </cell>
        </row>
        <row r="55">
          <cell r="B55">
            <v>95.61</v>
          </cell>
          <cell r="C55">
            <v>133.86000000000001</v>
          </cell>
          <cell r="H55">
            <v>60.71</v>
          </cell>
          <cell r="I55">
            <v>85</v>
          </cell>
        </row>
        <row r="56">
          <cell r="B56">
            <v>97.59</v>
          </cell>
          <cell r="C56">
            <v>136.63</v>
          </cell>
          <cell r="H56">
            <v>61.97</v>
          </cell>
          <cell r="I56">
            <v>86.76</v>
          </cell>
        </row>
        <row r="57">
          <cell r="B57">
            <v>99.57</v>
          </cell>
          <cell r="C57">
            <v>139.4</v>
          </cell>
          <cell r="H57">
            <v>63.23</v>
          </cell>
          <cell r="I57">
            <v>88.52</v>
          </cell>
        </row>
        <row r="58">
          <cell r="B58">
            <v>101.55</v>
          </cell>
          <cell r="C58">
            <v>142.16999999999999</v>
          </cell>
          <cell r="H58">
            <v>64.489999999999995</v>
          </cell>
          <cell r="I58">
            <v>90.28</v>
          </cell>
        </row>
        <row r="59">
          <cell r="B59">
            <v>103.53</v>
          </cell>
          <cell r="C59">
            <v>144.94</v>
          </cell>
          <cell r="H59">
            <v>65.739999999999995</v>
          </cell>
          <cell r="I59">
            <v>92.04</v>
          </cell>
        </row>
        <row r="60">
          <cell r="B60">
            <v>105.51</v>
          </cell>
          <cell r="C60">
            <v>147.71</v>
          </cell>
          <cell r="H60">
            <v>67</v>
          </cell>
          <cell r="I60">
            <v>93.8</v>
          </cell>
        </row>
        <row r="61">
          <cell r="B61">
            <v>107.48</v>
          </cell>
          <cell r="C61">
            <v>150.47999999999999</v>
          </cell>
          <cell r="H61">
            <v>68.260000000000005</v>
          </cell>
          <cell r="I61">
            <v>95.56</v>
          </cell>
        </row>
        <row r="62">
          <cell r="B62">
            <v>109.46</v>
          </cell>
          <cell r="C62">
            <v>153.25</v>
          </cell>
          <cell r="H62">
            <v>69.52</v>
          </cell>
          <cell r="I62">
            <v>97.33</v>
          </cell>
        </row>
        <row r="63">
          <cell r="B63">
            <v>111.44</v>
          </cell>
          <cell r="C63">
            <v>156.02000000000001</v>
          </cell>
          <cell r="H63">
            <v>70.78</v>
          </cell>
          <cell r="I63">
            <v>99.09</v>
          </cell>
        </row>
        <row r="64">
          <cell r="B64">
            <v>113.42</v>
          </cell>
          <cell r="C64">
            <v>158.79</v>
          </cell>
          <cell r="H64">
            <v>72.03</v>
          </cell>
          <cell r="I64">
            <v>100.85</v>
          </cell>
        </row>
        <row r="65">
          <cell r="B65">
            <v>115.4</v>
          </cell>
          <cell r="C65">
            <v>161.56</v>
          </cell>
          <cell r="H65">
            <v>73.290000000000006</v>
          </cell>
          <cell r="I65">
            <v>102.61</v>
          </cell>
        </row>
        <row r="66">
          <cell r="B66">
            <v>117.38</v>
          </cell>
          <cell r="C66">
            <v>164.33</v>
          </cell>
          <cell r="H66">
            <v>74.55</v>
          </cell>
          <cell r="I66">
            <v>104.37</v>
          </cell>
        </row>
        <row r="67">
          <cell r="B67">
            <v>119.36</v>
          </cell>
          <cell r="C67">
            <v>167.1</v>
          </cell>
          <cell r="H67">
            <v>75.81</v>
          </cell>
          <cell r="I67">
            <v>106.13</v>
          </cell>
        </row>
        <row r="68">
          <cell r="B68">
            <v>121.33</v>
          </cell>
          <cell r="C68">
            <v>169.87</v>
          </cell>
          <cell r="H68">
            <v>77.069999999999993</v>
          </cell>
          <cell r="I68">
            <v>107.89</v>
          </cell>
        </row>
        <row r="69">
          <cell r="B69">
            <v>123.31</v>
          </cell>
          <cell r="C69">
            <v>172.64</v>
          </cell>
          <cell r="H69">
            <v>78.319999999999993</v>
          </cell>
          <cell r="I69">
            <v>109.65</v>
          </cell>
        </row>
        <row r="70">
          <cell r="B70">
            <v>125.29</v>
          </cell>
          <cell r="C70">
            <v>175.41</v>
          </cell>
          <cell r="H70">
            <v>79.58</v>
          </cell>
          <cell r="I70">
            <v>111.42</v>
          </cell>
        </row>
        <row r="71">
          <cell r="B71">
            <v>127.27</v>
          </cell>
          <cell r="C71">
            <v>178.18</v>
          </cell>
          <cell r="H71">
            <v>80.84</v>
          </cell>
          <cell r="I71">
            <v>113.18</v>
          </cell>
        </row>
        <row r="72">
          <cell r="B72">
            <v>129.25</v>
          </cell>
          <cell r="C72">
            <v>180.95</v>
          </cell>
          <cell r="H72">
            <v>82.1</v>
          </cell>
          <cell r="I72">
            <v>114.94</v>
          </cell>
        </row>
        <row r="73">
          <cell r="B73">
            <v>131.22999999999999</v>
          </cell>
          <cell r="C73">
            <v>183.72</v>
          </cell>
          <cell r="H73">
            <v>83.36</v>
          </cell>
          <cell r="I73">
            <v>116.7</v>
          </cell>
        </row>
        <row r="74">
          <cell r="B74">
            <v>133.19999999999999</v>
          </cell>
          <cell r="C74">
            <v>186.49</v>
          </cell>
          <cell r="H74">
            <v>84.62</v>
          </cell>
          <cell r="I74">
            <v>118.46</v>
          </cell>
        </row>
        <row r="75">
          <cell r="B75">
            <v>135.18</v>
          </cell>
          <cell r="C75">
            <v>189.26</v>
          </cell>
          <cell r="H75">
            <v>85.87</v>
          </cell>
          <cell r="I75">
            <v>120.22</v>
          </cell>
        </row>
        <row r="76">
          <cell r="B76">
            <v>137.16</v>
          </cell>
          <cell r="C76">
            <v>192.02</v>
          </cell>
          <cell r="H76">
            <v>87.13</v>
          </cell>
          <cell r="I76">
            <v>121.98</v>
          </cell>
        </row>
        <row r="77">
          <cell r="B77">
            <v>139.13999999999999</v>
          </cell>
          <cell r="C77">
            <v>194.79</v>
          </cell>
          <cell r="H77">
            <v>88.39</v>
          </cell>
          <cell r="I77">
            <v>123.75</v>
          </cell>
        </row>
        <row r="78">
          <cell r="B78">
            <v>141.12</v>
          </cell>
          <cell r="C78">
            <v>197.56</v>
          </cell>
          <cell r="H78">
            <v>89.65</v>
          </cell>
          <cell r="I78">
            <v>125.51</v>
          </cell>
        </row>
        <row r="79">
          <cell r="B79">
            <v>143.1</v>
          </cell>
          <cell r="C79">
            <v>200.33</v>
          </cell>
          <cell r="H79">
            <v>90.91</v>
          </cell>
          <cell r="I79">
            <v>127.27</v>
          </cell>
        </row>
        <row r="80">
          <cell r="B80">
            <v>145.07</v>
          </cell>
          <cell r="C80">
            <v>203.1</v>
          </cell>
          <cell r="H80">
            <v>92.16</v>
          </cell>
          <cell r="I80">
            <v>129.03</v>
          </cell>
        </row>
        <row r="81">
          <cell r="B81">
            <v>147.05000000000001</v>
          </cell>
          <cell r="C81">
            <v>205.87</v>
          </cell>
          <cell r="H81">
            <v>93.42</v>
          </cell>
          <cell r="I81">
            <v>130.79</v>
          </cell>
        </row>
        <row r="82">
          <cell r="B82">
            <v>149.03</v>
          </cell>
          <cell r="C82">
            <v>208.64</v>
          </cell>
          <cell r="H82">
            <v>94.68</v>
          </cell>
          <cell r="I82">
            <v>132.55000000000001</v>
          </cell>
        </row>
        <row r="83">
          <cell r="B83">
            <v>151.01</v>
          </cell>
          <cell r="C83">
            <v>211.41</v>
          </cell>
          <cell r="H83">
            <v>95.94</v>
          </cell>
          <cell r="I83">
            <v>134.31</v>
          </cell>
        </row>
        <row r="84">
          <cell r="B84">
            <v>152.99</v>
          </cell>
          <cell r="C84">
            <v>214.18</v>
          </cell>
          <cell r="H84">
            <v>97.2</v>
          </cell>
          <cell r="I84">
            <v>136.08000000000001</v>
          </cell>
        </row>
        <row r="85">
          <cell r="B85">
            <v>154.97</v>
          </cell>
          <cell r="C85">
            <v>216.95</v>
          </cell>
          <cell r="H85">
            <v>98.46</v>
          </cell>
          <cell r="I85">
            <v>137.84</v>
          </cell>
        </row>
        <row r="86">
          <cell r="B86">
            <v>156.94</v>
          </cell>
          <cell r="C86">
            <v>219.72</v>
          </cell>
          <cell r="H86">
            <v>99.71</v>
          </cell>
          <cell r="I86">
            <v>139.6</v>
          </cell>
        </row>
        <row r="87">
          <cell r="B87">
            <v>158.91999999999999</v>
          </cell>
          <cell r="C87">
            <v>222.49</v>
          </cell>
          <cell r="H87">
            <v>100.97</v>
          </cell>
          <cell r="I87">
            <v>141.36000000000001</v>
          </cell>
        </row>
        <row r="88">
          <cell r="B88">
            <v>160.9</v>
          </cell>
          <cell r="C88">
            <v>225.26</v>
          </cell>
          <cell r="H88">
            <v>102.23</v>
          </cell>
          <cell r="I88">
            <v>143.12</v>
          </cell>
        </row>
        <row r="89">
          <cell r="B89">
            <v>162.88</v>
          </cell>
          <cell r="C89">
            <v>228.03</v>
          </cell>
          <cell r="H89">
            <v>103.49</v>
          </cell>
          <cell r="I89">
            <v>144.88</v>
          </cell>
        </row>
        <row r="90">
          <cell r="B90">
            <v>164.86</v>
          </cell>
          <cell r="C90">
            <v>230.8</v>
          </cell>
          <cell r="H90">
            <v>104.75</v>
          </cell>
          <cell r="I90">
            <v>146.63999999999999</v>
          </cell>
        </row>
        <row r="91">
          <cell r="B91">
            <v>166.84</v>
          </cell>
          <cell r="C91">
            <v>233.57</v>
          </cell>
          <cell r="H91">
            <v>106</v>
          </cell>
          <cell r="I91">
            <v>148.41</v>
          </cell>
        </row>
        <row r="92">
          <cell r="B92">
            <v>168.81</v>
          </cell>
          <cell r="C92">
            <v>236.34</v>
          </cell>
          <cell r="H92">
            <v>107.26</v>
          </cell>
          <cell r="I92">
            <v>150.16999999999999</v>
          </cell>
        </row>
        <row r="93">
          <cell r="B93">
            <v>170.79</v>
          </cell>
          <cell r="C93">
            <v>239.11</v>
          </cell>
          <cell r="H93">
            <v>108.52</v>
          </cell>
          <cell r="I93">
            <v>151.93</v>
          </cell>
        </row>
        <row r="94">
          <cell r="B94">
            <v>172.77</v>
          </cell>
          <cell r="C94">
            <v>241.88</v>
          </cell>
          <cell r="H94">
            <v>109.78</v>
          </cell>
          <cell r="I94">
            <v>153.69</v>
          </cell>
        </row>
        <row r="95">
          <cell r="B95">
            <v>174.75</v>
          </cell>
          <cell r="C95">
            <v>244.65</v>
          </cell>
          <cell r="H95">
            <v>111.04</v>
          </cell>
          <cell r="I95">
            <v>155.44999999999999</v>
          </cell>
        </row>
        <row r="96">
          <cell r="B96">
            <v>176.73</v>
          </cell>
          <cell r="C96">
            <v>247.42</v>
          </cell>
          <cell r="H96">
            <v>112.29</v>
          </cell>
          <cell r="I96">
            <v>157.21</v>
          </cell>
        </row>
        <row r="97">
          <cell r="B97">
            <v>178.71</v>
          </cell>
          <cell r="C97">
            <v>250.19</v>
          </cell>
          <cell r="H97">
            <v>113.55</v>
          </cell>
          <cell r="I97">
            <v>158.97</v>
          </cell>
        </row>
        <row r="98">
          <cell r="B98">
            <v>180.69</v>
          </cell>
          <cell r="C98">
            <v>252.96</v>
          </cell>
          <cell r="H98">
            <v>114.81</v>
          </cell>
          <cell r="I98">
            <v>160.74</v>
          </cell>
        </row>
        <row r="99">
          <cell r="B99">
            <v>182.66</v>
          </cell>
          <cell r="C99">
            <v>255.73</v>
          </cell>
          <cell r="H99">
            <v>116.07</v>
          </cell>
          <cell r="I99">
            <v>162.5</v>
          </cell>
        </row>
        <row r="100">
          <cell r="B100">
            <v>184.64</v>
          </cell>
          <cell r="C100">
            <v>258.5</v>
          </cell>
          <cell r="H100">
            <v>117.33</v>
          </cell>
          <cell r="I100">
            <v>164.26</v>
          </cell>
        </row>
        <row r="101">
          <cell r="B101">
            <v>186.62</v>
          </cell>
          <cell r="C101">
            <v>261.27</v>
          </cell>
          <cell r="H101">
            <v>118.59</v>
          </cell>
          <cell r="I101">
            <v>166.02</v>
          </cell>
        </row>
        <row r="102">
          <cell r="B102">
            <v>188.6</v>
          </cell>
          <cell r="C102">
            <v>264.04000000000002</v>
          </cell>
          <cell r="H102">
            <v>119.84</v>
          </cell>
          <cell r="I102">
            <v>167.78</v>
          </cell>
        </row>
        <row r="103">
          <cell r="B103">
            <v>190.58</v>
          </cell>
          <cell r="C103">
            <v>266.81</v>
          </cell>
          <cell r="H103">
            <v>121.1</v>
          </cell>
          <cell r="I103">
            <v>169.54</v>
          </cell>
        </row>
        <row r="104">
          <cell r="B104">
            <v>192.56</v>
          </cell>
          <cell r="C104">
            <v>269.58</v>
          </cell>
          <cell r="H104">
            <v>122.36</v>
          </cell>
          <cell r="I104">
            <v>171.3</v>
          </cell>
        </row>
        <row r="105">
          <cell r="B105">
            <v>194.53</v>
          </cell>
          <cell r="C105">
            <v>272.35000000000002</v>
          </cell>
          <cell r="H105">
            <v>123.62</v>
          </cell>
          <cell r="I105">
            <v>173.07</v>
          </cell>
        </row>
        <row r="106">
          <cell r="B106">
            <v>196.51</v>
          </cell>
          <cell r="C106">
            <v>275.12</v>
          </cell>
          <cell r="H106">
            <v>124.88</v>
          </cell>
          <cell r="I106">
            <v>174.83</v>
          </cell>
        </row>
        <row r="107">
          <cell r="B107">
            <v>198.49</v>
          </cell>
          <cell r="C107">
            <v>277.89</v>
          </cell>
          <cell r="H107">
            <v>126.13</v>
          </cell>
          <cell r="I107">
            <v>176.59</v>
          </cell>
        </row>
        <row r="108">
          <cell r="B108">
            <v>200.47</v>
          </cell>
          <cell r="C108">
            <v>280.66000000000003</v>
          </cell>
          <cell r="H108">
            <v>127.39</v>
          </cell>
          <cell r="I108">
            <v>178.35</v>
          </cell>
        </row>
        <row r="109">
          <cell r="B109">
            <v>202.45</v>
          </cell>
          <cell r="C109">
            <v>283.43</v>
          </cell>
          <cell r="H109">
            <v>128.65</v>
          </cell>
          <cell r="I109">
            <v>180.11</v>
          </cell>
        </row>
        <row r="110">
          <cell r="B110">
            <v>204.43</v>
          </cell>
          <cell r="C110">
            <v>286.2</v>
          </cell>
          <cell r="H110">
            <v>129.91</v>
          </cell>
          <cell r="I110">
            <v>181.87</v>
          </cell>
        </row>
        <row r="111">
          <cell r="B111">
            <v>206.4</v>
          </cell>
          <cell r="C111">
            <v>288.97000000000003</v>
          </cell>
          <cell r="H111">
            <v>131.16999999999999</v>
          </cell>
          <cell r="I111">
            <v>183.63</v>
          </cell>
        </row>
        <row r="112">
          <cell r="B112">
            <v>208.38</v>
          </cell>
          <cell r="C112">
            <v>291.74</v>
          </cell>
          <cell r="H112">
            <v>132.43</v>
          </cell>
          <cell r="I112">
            <v>185.4</v>
          </cell>
        </row>
        <row r="113">
          <cell r="B113">
            <v>210.36</v>
          </cell>
          <cell r="C113">
            <v>294.51</v>
          </cell>
          <cell r="H113">
            <v>133.68</v>
          </cell>
          <cell r="I113">
            <v>187.16</v>
          </cell>
        </row>
        <row r="114">
          <cell r="B114">
            <v>212.34</v>
          </cell>
          <cell r="C114">
            <v>297.27999999999997</v>
          </cell>
          <cell r="H114">
            <v>134.94</v>
          </cell>
          <cell r="I114">
            <v>188.92</v>
          </cell>
        </row>
        <row r="115">
          <cell r="B115">
            <v>214.32</v>
          </cell>
          <cell r="C115">
            <v>300.05</v>
          </cell>
          <cell r="H115">
            <v>136.19999999999999</v>
          </cell>
          <cell r="I115">
            <v>190.68</v>
          </cell>
        </row>
        <row r="116">
          <cell r="B116">
            <v>216.3</v>
          </cell>
          <cell r="C116">
            <v>302.81</v>
          </cell>
          <cell r="H116">
            <v>137.46</v>
          </cell>
          <cell r="I116">
            <v>192.44</v>
          </cell>
        </row>
        <row r="117">
          <cell r="B117">
            <v>218.27</v>
          </cell>
          <cell r="C117">
            <v>305.58</v>
          </cell>
          <cell r="H117">
            <v>138.72</v>
          </cell>
          <cell r="I117">
            <v>194.2</v>
          </cell>
        </row>
        <row r="118">
          <cell r="B118">
            <v>220.25</v>
          </cell>
          <cell r="C118">
            <v>308.35000000000002</v>
          </cell>
          <cell r="H118">
            <v>139.97</v>
          </cell>
          <cell r="I118">
            <v>195.96</v>
          </cell>
        </row>
        <row r="119">
          <cell r="B119">
            <v>222.23</v>
          </cell>
          <cell r="C119">
            <v>311.12</v>
          </cell>
          <cell r="H119">
            <v>141.22999999999999</v>
          </cell>
          <cell r="I119">
            <v>197.73</v>
          </cell>
        </row>
        <row r="120">
          <cell r="B120">
            <v>224.21</v>
          </cell>
          <cell r="C120">
            <v>313.89</v>
          </cell>
          <cell r="H120">
            <v>142.49</v>
          </cell>
          <cell r="I120">
            <v>199.49</v>
          </cell>
        </row>
        <row r="121">
          <cell r="B121">
            <v>226.19</v>
          </cell>
          <cell r="C121">
            <v>316.66000000000003</v>
          </cell>
          <cell r="H121">
            <v>143.75</v>
          </cell>
          <cell r="I121">
            <v>201.25</v>
          </cell>
        </row>
        <row r="122">
          <cell r="B122">
            <v>228.17</v>
          </cell>
          <cell r="C122">
            <v>319.43</v>
          </cell>
          <cell r="H122">
            <v>145.01</v>
          </cell>
          <cell r="I122">
            <v>203.01</v>
          </cell>
        </row>
        <row r="123">
          <cell r="B123">
            <v>230.14</v>
          </cell>
          <cell r="C123">
            <v>322.2</v>
          </cell>
          <cell r="H123">
            <v>146.26</v>
          </cell>
          <cell r="I123">
            <v>204.77</v>
          </cell>
        </row>
        <row r="124">
          <cell r="B124">
            <v>232.12</v>
          </cell>
          <cell r="C124">
            <v>324.97000000000003</v>
          </cell>
          <cell r="H124">
            <v>147.52000000000001</v>
          </cell>
          <cell r="I124">
            <v>206.53</v>
          </cell>
        </row>
        <row r="125">
          <cell r="B125">
            <v>234.1</v>
          </cell>
          <cell r="C125">
            <v>327.74</v>
          </cell>
          <cell r="H125">
            <v>148.78</v>
          </cell>
          <cell r="I125">
            <v>208.29</v>
          </cell>
        </row>
        <row r="126">
          <cell r="B126">
            <v>236.08</v>
          </cell>
          <cell r="C126">
            <v>330.51</v>
          </cell>
          <cell r="H126">
            <v>150.04</v>
          </cell>
          <cell r="I126">
            <v>210.05</v>
          </cell>
        </row>
        <row r="127">
          <cell r="B127">
            <v>238.06</v>
          </cell>
          <cell r="C127">
            <v>333.28</v>
          </cell>
          <cell r="H127">
            <v>151.30000000000001</v>
          </cell>
          <cell r="I127">
            <v>211.82</v>
          </cell>
        </row>
        <row r="128">
          <cell r="B128">
            <v>240.04</v>
          </cell>
          <cell r="C128">
            <v>336.05</v>
          </cell>
          <cell r="H128">
            <v>152.56</v>
          </cell>
          <cell r="I128">
            <v>213.58</v>
          </cell>
        </row>
        <row r="129">
          <cell r="B129">
            <v>242.02</v>
          </cell>
          <cell r="C129">
            <v>338.82</v>
          </cell>
          <cell r="H129">
            <v>153.81</v>
          </cell>
          <cell r="I129">
            <v>215.34</v>
          </cell>
        </row>
        <row r="130">
          <cell r="B130">
            <v>243.99</v>
          </cell>
          <cell r="C130">
            <v>31.59</v>
          </cell>
          <cell r="H130">
            <v>155.07</v>
          </cell>
          <cell r="I130">
            <v>217.1</v>
          </cell>
        </row>
        <row r="131">
          <cell r="B131">
            <v>245.97</v>
          </cell>
          <cell r="C131">
            <v>344.36</v>
          </cell>
          <cell r="H131">
            <v>156.33000000000001</v>
          </cell>
          <cell r="I131">
            <v>218.86</v>
          </cell>
        </row>
        <row r="132">
          <cell r="B132">
            <v>247.95</v>
          </cell>
          <cell r="C132">
            <v>347.13</v>
          </cell>
          <cell r="H132">
            <v>157.59</v>
          </cell>
          <cell r="I132">
            <v>220.62</v>
          </cell>
        </row>
        <row r="133">
          <cell r="B133">
            <v>249.93</v>
          </cell>
          <cell r="C133">
            <v>349.9</v>
          </cell>
          <cell r="H133">
            <v>158.85</v>
          </cell>
          <cell r="I133">
            <v>222.38</v>
          </cell>
        </row>
        <row r="134">
          <cell r="B134">
            <v>251.91</v>
          </cell>
          <cell r="C134">
            <v>352.67</v>
          </cell>
          <cell r="H134">
            <v>160.1</v>
          </cell>
          <cell r="I134">
            <v>224.15</v>
          </cell>
        </row>
        <row r="135">
          <cell r="B135">
            <v>253.89</v>
          </cell>
          <cell r="C135">
            <v>355.44</v>
          </cell>
          <cell r="H135">
            <v>161.36000000000001</v>
          </cell>
          <cell r="I135">
            <v>225.91</v>
          </cell>
        </row>
        <row r="136">
          <cell r="B136">
            <v>255.86</v>
          </cell>
          <cell r="C136">
            <v>358.21</v>
          </cell>
          <cell r="H136">
            <v>162.62</v>
          </cell>
          <cell r="I136">
            <v>227.67</v>
          </cell>
        </row>
        <row r="137">
          <cell r="B137">
            <v>257.83999999999997</v>
          </cell>
          <cell r="C137">
            <v>360.98</v>
          </cell>
          <cell r="H137">
            <v>163.88</v>
          </cell>
          <cell r="I137">
            <v>229.43</v>
          </cell>
        </row>
        <row r="138">
          <cell r="B138">
            <v>259.82</v>
          </cell>
          <cell r="C138">
            <v>363.75</v>
          </cell>
          <cell r="H138">
            <v>165.14</v>
          </cell>
          <cell r="I138">
            <v>231.19</v>
          </cell>
        </row>
        <row r="139">
          <cell r="B139">
            <v>261.8</v>
          </cell>
          <cell r="C139">
            <v>366.52</v>
          </cell>
          <cell r="H139">
            <v>166.4</v>
          </cell>
          <cell r="I139">
            <v>232.95</v>
          </cell>
        </row>
        <row r="140">
          <cell r="B140">
            <v>263.77999999999997</v>
          </cell>
          <cell r="C140">
            <v>369.29</v>
          </cell>
          <cell r="H140">
            <v>167.65</v>
          </cell>
          <cell r="I140">
            <v>234.71</v>
          </cell>
        </row>
        <row r="141">
          <cell r="B141">
            <v>265.76</v>
          </cell>
          <cell r="C141">
            <v>372.06</v>
          </cell>
          <cell r="H141">
            <v>168.97</v>
          </cell>
          <cell r="I141">
            <v>236.48</v>
          </cell>
        </row>
        <row r="142">
          <cell r="B142">
            <v>267.73</v>
          </cell>
          <cell r="C142">
            <v>374.83</v>
          </cell>
          <cell r="H142">
            <v>170.17</v>
          </cell>
          <cell r="I142">
            <v>238.24</v>
          </cell>
        </row>
        <row r="143">
          <cell r="B143">
            <v>269.70999999999998</v>
          </cell>
          <cell r="C143">
            <v>377.6</v>
          </cell>
          <cell r="H143">
            <v>171.43</v>
          </cell>
          <cell r="I143">
            <v>240</v>
          </cell>
        </row>
        <row r="144">
          <cell r="B144">
            <v>271.69</v>
          </cell>
          <cell r="C144">
            <v>380.37</v>
          </cell>
          <cell r="H144">
            <v>172.69</v>
          </cell>
          <cell r="I144">
            <v>241.76</v>
          </cell>
        </row>
        <row r="145">
          <cell r="B145">
            <v>273.67</v>
          </cell>
          <cell r="C145">
            <v>383.14</v>
          </cell>
          <cell r="H145">
            <v>173.94</v>
          </cell>
          <cell r="I145">
            <v>243.52</v>
          </cell>
        </row>
        <row r="146">
          <cell r="B146">
            <v>275.64999999999998</v>
          </cell>
          <cell r="C146">
            <v>385.91</v>
          </cell>
          <cell r="H146">
            <v>175.2</v>
          </cell>
          <cell r="I146">
            <v>245.28</v>
          </cell>
        </row>
        <row r="147">
          <cell r="B147">
            <v>277.63</v>
          </cell>
          <cell r="C147">
            <v>388.68</v>
          </cell>
          <cell r="H147">
            <v>176.46</v>
          </cell>
          <cell r="I147">
            <v>247.04</v>
          </cell>
        </row>
        <row r="148">
          <cell r="B148">
            <v>279.60000000000002</v>
          </cell>
          <cell r="C148">
            <v>391.45</v>
          </cell>
          <cell r="H148">
            <v>177.72</v>
          </cell>
          <cell r="I148">
            <v>248.81</v>
          </cell>
        </row>
        <row r="149">
          <cell r="B149">
            <v>281.58</v>
          </cell>
          <cell r="C149">
            <v>394.22</v>
          </cell>
          <cell r="H149">
            <v>178.98</v>
          </cell>
          <cell r="I149">
            <v>250.57</v>
          </cell>
        </row>
        <row r="150">
          <cell r="B150">
            <v>283.56</v>
          </cell>
          <cell r="C150">
            <v>396.99</v>
          </cell>
          <cell r="H150">
            <v>180.23</v>
          </cell>
          <cell r="I150">
            <v>252.33</v>
          </cell>
        </row>
        <row r="151">
          <cell r="B151">
            <v>285.54000000000002</v>
          </cell>
          <cell r="C151">
            <v>399.76</v>
          </cell>
          <cell r="H151">
            <v>181.49</v>
          </cell>
          <cell r="I151">
            <v>254.09</v>
          </cell>
        </row>
        <row r="152">
          <cell r="B152">
            <v>287.52</v>
          </cell>
          <cell r="C152">
            <v>402.53</v>
          </cell>
          <cell r="H152">
            <v>182.75</v>
          </cell>
          <cell r="I152">
            <v>255.85</v>
          </cell>
        </row>
        <row r="153">
          <cell r="B153">
            <v>289.5</v>
          </cell>
          <cell r="C153">
            <v>405.3</v>
          </cell>
          <cell r="H153">
            <v>184.01</v>
          </cell>
          <cell r="I153">
            <v>257.61</v>
          </cell>
        </row>
        <row r="154">
          <cell r="B154">
            <v>291.48</v>
          </cell>
          <cell r="C154">
            <v>408.07</v>
          </cell>
          <cell r="H154">
            <v>185.27</v>
          </cell>
          <cell r="I154">
            <v>259.37</v>
          </cell>
        </row>
        <row r="155">
          <cell r="B155">
            <v>293.45</v>
          </cell>
          <cell r="C155">
            <v>410.83</v>
          </cell>
          <cell r="H155">
            <v>186.53</v>
          </cell>
          <cell r="I155">
            <v>261.14</v>
          </cell>
        </row>
        <row r="156">
          <cell r="B156">
            <v>295.43</v>
          </cell>
          <cell r="C156">
            <v>413.6</v>
          </cell>
          <cell r="H156">
            <v>187.78</v>
          </cell>
          <cell r="I156">
            <v>262.89999999999998</v>
          </cell>
        </row>
        <row r="157">
          <cell r="B157">
            <v>297.41000000000003</v>
          </cell>
          <cell r="C157">
            <v>416.37</v>
          </cell>
          <cell r="H157">
            <v>189.04</v>
          </cell>
          <cell r="I157">
            <v>264.66000000000003</v>
          </cell>
        </row>
        <row r="158">
          <cell r="B158">
            <v>299.39</v>
          </cell>
          <cell r="C158">
            <v>419.14</v>
          </cell>
          <cell r="H158">
            <v>190.3</v>
          </cell>
          <cell r="I158">
            <v>266.42</v>
          </cell>
        </row>
        <row r="159">
          <cell r="B159">
            <v>301.37</v>
          </cell>
          <cell r="C159">
            <v>421.91</v>
          </cell>
          <cell r="H159">
            <v>191.56</v>
          </cell>
          <cell r="I159">
            <v>268.18</v>
          </cell>
        </row>
        <row r="160">
          <cell r="B160">
            <v>303.35000000000002</v>
          </cell>
          <cell r="C160">
            <v>424.68</v>
          </cell>
          <cell r="H160">
            <v>192.82</v>
          </cell>
          <cell r="I160">
            <v>269.94</v>
          </cell>
        </row>
        <row r="161">
          <cell r="B161">
            <v>305.32</v>
          </cell>
          <cell r="C161">
            <v>427.45</v>
          </cell>
          <cell r="H161">
            <v>194.07</v>
          </cell>
          <cell r="I161">
            <v>271.7</v>
          </cell>
        </row>
        <row r="162">
          <cell r="B162">
            <v>307.3</v>
          </cell>
          <cell r="C162">
            <v>430.22</v>
          </cell>
          <cell r="H162">
            <v>195.33</v>
          </cell>
          <cell r="I162">
            <v>273.47000000000003</v>
          </cell>
        </row>
        <row r="163">
          <cell r="B163">
            <v>309.27999999999997</v>
          </cell>
          <cell r="C163">
            <v>432.99</v>
          </cell>
          <cell r="H163">
            <v>196.59</v>
          </cell>
          <cell r="I163">
            <v>275.23</v>
          </cell>
        </row>
        <row r="164">
          <cell r="B164">
            <v>311.26</v>
          </cell>
          <cell r="C164">
            <v>435.76</v>
          </cell>
          <cell r="H164">
            <v>197.85</v>
          </cell>
          <cell r="I164">
            <v>276.99</v>
          </cell>
        </row>
        <row r="165">
          <cell r="B165">
            <v>313.24</v>
          </cell>
          <cell r="C165">
            <v>438.53</v>
          </cell>
          <cell r="H165">
            <v>199.11</v>
          </cell>
          <cell r="I165">
            <v>278.75</v>
          </cell>
        </row>
        <row r="166">
          <cell r="B166">
            <v>315.22000000000003</v>
          </cell>
          <cell r="C166">
            <v>441.3</v>
          </cell>
          <cell r="H166">
            <v>200.37</v>
          </cell>
          <cell r="I166">
            <v>280.51</v>
          </cell>
        </row>
        <row r="167">
          <cell r="B167">
            <v>317.19</v>
          </cell>
          <cell r="C167">
            <v>444.07</v>
          </cell>
          <cell r="H167">
            <v>201.62</v>
          </cell>
          <cell r="I167">
            <v>282.27</v>
          </cell>
        </row>
        <row r="168">
          <cell r="B168">
            <v>319.17</v>
          </cell>
          <cell r="C168">
            <v>446.84</v>
          </cell>
          <cell r="H168">
            <v>202.88</v>
          </cell>
          <cell r="I168">
            <v>284.02999999999997</v>
          </cell>
        </row>
        <row r="169">
          <cell r="B169">
            <v>321.14999999999998</v>
          </cell>
          <cell r="C169">
            <v>449.61</v>
          </cell>
          <cell r="H169">
            <v>204.14</v>
          </cell>
          <cell r="I169">
            <v>285.8</v>
          </cell>
        </row>
        <row r="170">
          <cell r="B170">
            <v>323.13</v>
          </cell>
          <cell r="C170">
            <v>452.38</v>
          </cell>
          <cell r="H170">
            <v>205.4</v>
          </cell>
          <cell r="I170">
            <v>287.56</v>
          </cell>
        </row>
        <row r="171">
          <cell r="B171">
            <v>325.11</v>
          </cell>
          <cell r="C171">
            <v>455.15</v>
          </cell>
          <cell r="H171">
            <v>206.66</v>
          </cell>
          <cell r="I171">
            <v>289.32</v>
          </cell>
        </row>
        <row r="172">
          <cell r="B172">
            <v>327.08999999999997</v>
          </cell>
          <cell r="C172">
            <v>457.92</v>
          </cell>
          <cell r="H172">
            <v>207.91</v>
          </cell>
          <cell r="I172">
            <v>291.08</v>
          </cell>
        </row>
        <row r="173">
          <cell r="B173">
            <v>329.06</v>
          </cell>
          <cell r="C173">
            <v>460.69</v>
          </cell>
          <cell r="H173">
            <v>209.17</v>
          </cell>
          <cell r="I173">
            <v>292.83999999999997</v>
          </cell>
        </row>
        <row r="174">
          <cell r="B174">
            <v>331.04</v>
          </cell>
          <cell r="C174">
            <v>463.46</v>
          </cell>
          <cell r="H174">
            <v>210.43</v>
          </cell>
          <cell r="I174">
            <v>294.60000000000002</v>
          </cell>
        </row>
        <row r="175">
          <cell r="B175">
            <v>333.02</v>
          </cell>
          <cell r="C175">
            <v>466.23</v>
          </cell>
          <cell r="H175">
            <v>211.69</v>
          </cell>
          <cell r="I175">
            <v>296.36</v>
          </cell>
        </row>
        <row r="176">
          <cell r="B176">
            <v>335</v>
          </cell>
          <cell r="C176">
            <v>469</v>
          </cell>
          <cell r="H176">
            <v>212.95</v>
          </cell>
          <cell r="I176">
            <v>298.13</v>
          </cell>
        </row>
        <row r="177">
          <cell r="B177">
            <v>336.98</v>
          </cell>
          <cell r="C177">
            <v>471.77</v>
          </cell>
          <cell r="H177">
            <v>214.2</v>
          </cell>
          <cell r="I177">
            <v>299.89</v>
          </cell>
        </row>
        <row r="178">
          <cell r="B178">
            <v>338.96</v>
          </cell>
          <cell r="C178">
            <v>474.54</v>
          </cell>
          <cell r="H178">
            <v>215.46</v>
          </cell>
          <cell r="I178">
            <v>301.64999999999998</v>
          </cell>
        </row>
        <row r="179">
          <cell r="B179">
            <v>340.93</v>
          </cell>
          <cell r="C179">
            <v>477.31</v>
          </cell>
          <cell r="H179">
            <v>216.72</v>
          </cell>
          <cell r="I179">
            <v>303.41000000000003</v>
          </cell>
        </row>
        <row r="180">
          <cell r="B180">
            <v>342.91</v>
          </cell>
          <cell r="C180">
            <v>480.08</v>
          </cell>
          <cell r="H180">
            <v>217.98</v>
          </cell>
          <cell r="I180">
            <v>305.17</v>
          </cell>
        </row>
        <row r="181">
          <cell r="B181">
            <v>344.89</v>
          </cell>
          <cell r="C181">
            <v>482.85</v>
          </cell>
          <cell r="H181">
            <v>219.24</v>
          </cell>
          <cell r="I181">
            <v>306.93</v>
          </cell>
        </row>
        <row r="182">
          <cell r="B182">
            <v>346.87</v>
          </cell>
          <cell r="C182">
            <v>485.62</v>
          </cell>
          <cell r="H182">
            <v>220.5</v>
          </cell>
          <cell r="I182">
            <v>308.69</v>
          </cell>
        </row>
        <row r="183">
          <cell r="B183">
            <v>348.85</v>
          </cell>
          <cell r="C183">
            <v>488.39</v>
          </cell>
          <cell r="H183">
            <v>221.75</v>
          </cell>
          <cell r="I183">
            <v>310.45999999999998</v>
          </cell>
        </row>
        <row r="184">
          <cell r="B184">
            <v>350.83</v>
          </cell>
          <cell r="C184">
            <v>491.16</v>
          </cell>
          <cell r="H184">
            <v>223.01</v>
          </cell>
          <cell r="I184">
            <v>312.22000000000003</v>
          </cell>
        </row>
        <row r="185">
          <cell r="B185">
            <v>352.81</v>
          </cell>
          <cell r="C185">
            <v>493.93</v>
          </cell>
          <cell r="H185">
            <v>224.27</v>
          </cell>
          <cell r="I185">
            <v>313.98</v>
          </cell>
        </row>
        <row r="186">
          <cell r="B186">
            <v>354.78</v>
          </cell>
          <cell r="C186">
            <v>496.7</v>
          </cell>
          <cell r="H186">
            <v>225.53</v>
          </cell>
          <cell r="I186">
            <v>315.74</v>
          </cell>
        </row>
        <row r="187">
          <cell r="B187">
            <v>356.76</v>
          </cell>
          <cell r="C187">
            <v>499.47</v>
          </cell>
          <cell r="H187">
            <v>226.79</v>
          </cell>
          <cell r="I187">
            <v>317.5</v>
          </cell>
        </row>
        <row r="188">
          <cell r="B188">
            <v>358.74</v>
          </cell>
          <cell r="C188">
            <v>502.24</v>
          </cell>
          <cell r="H188">
            <v>228.04</v>
          </cell>
          <cell r="I188">
            <v>319.26</v>
          </cell>
        </row>
        <row r="189">
          <cell r="B189">
            <v>360.72</v>
          </cell>
          <cell r="C189">
            <v>505.01</v>
          </cell>
          <cell r="H189">
            <v>229.3</v>
          </cell>
          <cell r="I189">
            <v>321.02</v>
          </cell>
        </row>
        <row r="190">
          <cell r="B190">
            <v>362.7</v>
          </cell>
          <cell r="C190">
            <v>507.78</v>
          </cell>
          <cell r="H190">
            <v>230.56</v>
          </cell>
          <cell r="I190">
            <v>322.77999999999997</v>
          </cell>
        </row>
        <row r="191">
          <cell r="B191">
            <v>364.68</v>
          </cell>
          <cell r="C191">
            <v>510.55</v>
          </cell>
          <cell r="H191">
            <v>231.82</v>
          </cell>
          <cell r="I191">
            <v>324.55</v>
          </cell>
        </row>
        <row r="192">
          <cell r="B192">
            <v>366.65</v>
          </cell>
          <cell r="C192">
            <v>513.32000000000005</v>
          </cell>
          <cell r="H192">
            <v>233.08</v>
          </cell>
          <cell r="I192">
            <v>326.31</v>
          </cell>
        </row>
        <row r="193">
          <cell r="B193">
            <v>368.63</v>
          </cell>
          <cell r="C193">
            <v>516.09</v>
          </cell>
          <cell r="H193">
            <v>234.34</v>
          </cell>
          <cell r="I193">
            <v>328.07</v>
          </cell>
        </row>
        <row r="194">
          <cell r="B194">
            <v>370.61</v>
          </cell>
          <cell r="C194">
            <v>518.85</v>
          </cell>
          <cell r="H194">
            <v>235.59</v>
          </cell>
          <cell r="I194">
            <v>329.83</v>
          </cell>
        </row>
        <row r="195">
          <cell r="B195">
            <v>372.59</v>
          </cell>
          <cell r="C195">
            <v>521.62</v>
          </cell>
          <cell r="H195">
            <v>236.85</v>
          </cell>
          <cell r="I195">
            <v>331.59</v>
          </cell>
        </row>
        <row r="196">
          <cell r="B196">
            <v>374.57</v>
          </cell>
          <cell r="C196">
            <v>524.39</v>
          </cell>
          <cell r="H196">
            <v>238.11</v>
          </cell>
          <cell r="I196">
            <v>333.35</v>
          </cell>
        </row>
        <row r="197">
          <cell r="B197">
            <v>376.55</v>
          </cell>
          <cell r="C197">
            <v>527.16</v>
          </cell>
          <cell r="H197">
            <v>239.37</v>
          </cell>
          <cell r="I197">
            <v>335.11</v>
          </cell>
        </row>
        <row r="198">
          <cell r="B198">
            <v>378.52</v>
          </cell>
          <cell r="C198">
            <v>529.92999999999995</v>
          </cell>
          <cell r="H198">
            <v>240.63</v>
          </cell>
          <cell r="I198">
            <v>336.88</v>
          </cell>
        </row>
        <row r="199">
          <cell r="B199">
            <v>380.5</v>
          </cell>
          <cell r="C199">
            <v>532.70000000000005</v>
          </cell>
          <cell r="H199">
            <v>241.88</v>
          </cell>
          <cell r="I199">
            <v>338.64</v>
          </cell>
        </row>
        <row r="200">
          <cell r="B200">
            <v>382.48</v>
          </cell>
          <cell r="C200">
            <v>535.47</v>
          </cell>
          <cell r="H200">
            <v>243.14</v>
          </cell>
          <cell r="I200">
            <v>340.4</v>
          </cell>
        </row>
        <row r="201">
          <cell r="B201">
            <v>384.46</v>
          </cell>
          <cell r="C201">
            <v>538.24</v>
          </cell>
          <cell r="H201">
            <v>244.4</v>
          </cell>
          <cell r="I201">
            <v>342.16</v>
          </cell>
        </row>
        <row r="202">
          <cell r="B202">
            <v>386.44</v>
          </cell>
          <cell r="C202">
            <v>541.01</v>
          </cell>
          <cell r="H202">
            <v>245.66</v>
          </cell>
          <cell r="I202">
            <v>343.92</v>
          </cell>
        </row>
        <row r="203">
          <cell r="B203">
            <v>388.42</v>
          </cell>
          <cell r="C203">
            <v>543.78</v>
          </cell>
          <cell r="H203">
            <v>246.92</v>
          </cell>
          <cell r="I203">
            <v>345.68</v>
          </cell>
        </row>
        <row r="204">
          <cell r="B204">
            <v>390.39</v>
          </cell>
          <cell r="C204">
            <v>546.54999999999995</v>
          </cell>
          <cell r="H204">
            <v>248.17</v>
          </cell>
          <cell r="I204">
            <v>347.44</v>
          </cell>
        </row>
        <row r="205">
          <cell r="B205">
            <v>392.37</v>
          </cell>
          <cell r="C205">
            <v>549.32000000000005</v>
          </cell>
          <cell r="H205">
            <v>249.43</v>
          </cell>
          <cell r="I205">
            <v>349.21</v>
          </cell>
        </row>
        <row r="206">
          <cell r="B206">
            <v>394.35</v>
          </cell>
          <cell r="C206">
            <v>552.09</v>
          </cell>
          <cell r="H206">
            <v>250.69</v>
          </cell>
          <cell r="I206">
            <v>350.97</v>
          </cell>
        </row>
        <row r="207">
          <cell r="B207">
            <v>396.33</v>
          </cell>
          <cell r="C207">
            <v>554.86</v>
          </cell>
          <cell r="H207">
            <v>251.95</v>
          </cell>
          <cell r="I207">
            <v>352.73</v>
          </cell>
        </row>
        <row r="208">
          <cell r="B208">
            <v>1.98</v>
          </cell>
          <cell r="C208">
            <v>2.77</v>
          </cell>
          <cell r="H208">
            <v>1.26</v>
          </cell>
          <cell r="I208">
            <v>1.76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ทั้งโครงการ"/>
      <sheetName val="ปร5"/>
      <sheetName val="ปร4"/>
      <sheetName val="ปร4.1"/>
      <sheetName val="BOQ"/>
      <sheetName val="การหาค่า factor F (2)"/>
      <sheetName val="งานทั่วไป "/>
      <sheetName val="หมวด 2"/>
      <sheetName val="หมวด 3"/>
      <sheetName val="หมวด 4"/>
      <sheetName val="หมวด 5"/>
      <sheetName val="หัวข้อ 6"/>
      <sheetName val="หัวข้อ 7"/>
      <sheetName val="หัวข้อ 9"/>
      <sheetName val="ค่าดำเนินการ+ค่าเสื่อมราคา"/>
      <sheetName val="สรุปค่าขนส่ง"/>
      <sheetName val="ตารางค่าขนส่ง"/>
      <sheetName val="ค่าขนส่ง-1"/>
      <sheetName val="F ฝนตกชุก"/>
      <sheetName val="Bank form ปร4 "/>
      <sheetName val="ราคาวัสดุ"/>
      <sheetName val="ราคาคอนกรีตต่อหน่วย"/>
      <sheetName val="สรุปเข็ม"/>
      <sheetName val="รายละเอียดโครงการ"/>
      <sheetName val="ตารางค่าขนส่ง 10ล้อ (11)"/>
      <sheetName val="Sheet2"/>
      <sheetName val="Sheet3"/>
      <sheetName val="ASPHALT CONCRETE"/>
      <sheetName val="unitcost"/>
      <sheetName val="8unsui+soft"/>
      <sheetName val="25-27rc. pipe(3หน้า)"/>
      <sheetName val="42หลักกิโล"/>
      <sheetName val="52ป้ายชั่วคราว+ด่าน"/>
      <sheetName val="3ข้อมูลวัสดุ-ค่าดำเนิน"/>
      <sheetName val="FCal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1">
          <cell r="M51">
            <v>12.71</v>
          </cell>
        </row>
        <row r="52">
          <cell r="M52">
            <v>18.82</v>
          </cell>
        </row>
        <row r="53">
          <cell r="M53">
            <v>12.71</v>
          </cell>
        </row>
        <row r="54">
          <cell r="M54">
            <v>0</v>
          </cell>
        </row>
        <row r="55">
          <cell r="L55">
            <v>45.91</v>
          </cell>
        </row>
        <row r="56">
          <cell r="L56">
            <v>362.73</v>
          </cell>
        </row>
        <row r="57">
          <cell r="L57">
            <v>27.81</v>
          </cell>
        </row>
        <row r="58">
          <cell r="L58">
            <v>27.81</v>
          </cell>
        </row>
        <row r="59">
          <cell r="L59">
            <v>6.17</v>
          </cell>
          <cell r="M59">
            <v>8.64</v>
          </cell>
        </row>
        <row r="68">
          <cell r="M68">
            <v>9.58</v>
          </cell>
        </row>
        <row r="69">
          <cell r="M69">
            <v>13.98</v>
          </cell>
        </row>
        <row r="70">
          <cell r="M70">
            <v>9.58</v>
          </cell>
        </row>
        <row r="72">
          <cell r="L72">
            <v>32.340000000000003</v>
          </cell>
        </row>
        <row r="73">
          <cell r="L73">
            <v>255.29999999999998</v>
          </cell>
        </row>
        <row r="74">
          <cell r="L74">
            <v>19.760000000000002</v>
          </cell>
          <cell r="M74">
            <v>27.66</v>
          </cell>
        </row>
        <row r="75">
          <cell r="L75">
            <v>19.760000000000002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สารบัญ"/>
      <sheetName val="Summary"/>
      <sheetName val="รายการงานของโครงการ"/>
      <sheetName val="รายการทั้งหมด"/>
      <sheetName val="ข้อมูลเบื้องต้น"/>
      <sheetName val="1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ราคาวัสดุ"/>
      <sheetName val="ข้อมูลวัสดุค่าดำเนินการ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unitcostรวม"/>
      <sheetName val="ค่าขนส่ง"/>
      <sheetName val="Unit_cost"/>
      <sheetName val="6_(2)"/>
      <sheetName val="back_up"/>
      <sheetName val="7_1"/>
      <sheetName val="7_2"/>
      <sheetName val="ตาราง_Factor_F_งานทาง"/>
      <sheetName val="ตาราง_Factor_F_สะพาน_ท่อเหลี่ยม"/>
      <sheetName val="ตาราง_Factor_F_อาคาร"/>
      <sheetName val="Factor_F"/>
      <sheetName val="F_ฝนตกชุก"/>
      <sheetName val="backup_ค่าของงานโครงสร้าง"/>
      <sheetName val="Unit_cost1"/>
      <sheetName val="6_(2)1"/>
      <sheetName val="back_up1"/>
      <sheetName val="7_11"/>
      <sheetName val="7_21"/>
      <sheetName val="ตาราง_Factor_F_งานทาง1"/>
      <sheetName val="ตาราง_Factor_F_สะพาน_ท่อเหลี่ย1"/>
      <sheetName val="ตาราง_Factor_F_อาคาร1"/>
      <sheetName val="Factor_F1"/>
      <sheetName val="F_ฝนตกชุก1"/>
      <sheetName val="backup_ค่าของงานโครงสร้าง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 2 5Boots"/>
      <sheetName val="อาคาร 2 6Boots"/>
      <sheetName val="อาคาร 2 11Boots"/>
      <sheetName val="อาคาร 2 14Boots"/>
      <sheetName val="Sum.No.02 (11 Boots)"/>
      <sheetName val="No.02 (11 Boots)"/>
      <sheetName val="Sum.No.02 (14 Boots)"/>
      <sheetName val="No.02 (14 Boots)"/>
      <sheetName val="Sum.No.02 (5 Boots)"/>
      <sheetName val="No.02 (5 Boots)"/>
      <sheetName val="Sum.No.02 (6 Boots)"/>
      <sheetName val="No.02 (6 Boots)"/>
      <sheetName val="Equipment"/>
      <sheetName val="detail"/>
      <sheetName val="สรุป"/>
      <sheetName val="รายละเอียดโครงการ"/>
      <sheetName val="ค่าขนส่ง-1"/>
      <sheetName val="ตารางค่าขนส่ง"/>
      <sheetName val="ค่าดำเนินการ+ค่าเสื่อมราคา"/>
      <sheetName val="arch"/>
      <sheetName val="10 ข้อมูลวัสดุ-ค่าดำเนิน"/>
      <sheetName val="อาคาร_2_5Boots"/>
      <sheetName val="อาคาร_2_6Boots"/>
      <sheetName val="อาคาร_2_11Boots"/>
      <sheetName val="อาคาร_2_14Boots"/>
      <sheetName val="Sum_No_02_(11_Boots)"/>
      <sheetName val="No_02_(11_Boots)"/>
      <sheetName val="Sum_No_02_(14_Boots)"/>
      <sheetName val="No_02_(14_Boots)"/>
      <sheetName val="Sum_No_02_(5_Boots)"/>
      <sheetName val="No_02_(5_Boots)"/>
      <sheetName val="Sum_No_02_(6_Boots)"/>
      <sheetName val="No_02_(6_Boots)"/>
      <sheetName val="10_ข้อมูลวัสดุ-ค่าดำเนิน"/>
      <sheetName val="อาคาร_2_5Boots1"/>
      <sheetName val="อาคาร_2_6Boots1"/>
      <sheetName val="อาคาร_2_11Boots1"/>
      <sheetName val="อาคาร_2_14Boots1"/>
      <sheetName val="Sum_No_02_(11_Boots)1"/>
      <sheetName val="No_02_(11_Boots)1"/>
      <sheetName val="Sum_No_02_(14_Boots)1"/>
      <sheetName val="No_02_(14_Boots)1"/>
      <sheetName val="Sum_No_02_(5_Boots)1"/>
      <sheetName val="No_02_(5_Boots)1"/>
      <sheetName val="Sum_No_02_(6_Boots)1"/>
      <sheetName val="No_02_(6_Boots)1"/>
      <sheetName val="10_ข้อมูลวัสดุ-ค่าดำเนิน1"/>
      <sheetName val="FCalSH"/>
      <sheetName val="BOQ"/>
      <sheetName val="ปร5"/>
    </sheetNames>
    <sheetDataSet>
      <sheetData sheetId="0" refreshError="1">
        <row r="4">
          <cell r="I4" t="e">
            <v>#REF!</v>
          </cell>
        </row>
      </sheetData>
      <sheetData sheetId="1" refreshError="1">
        <row r="4">
          <cell r="I4" t="e">
            <v>#REF!</v>
          </cell>
        </row>
      </sheetData>
      <sheetData sheetId="2" refreshError="1">
        <row r="4">
          <cell r="I4" t="e">
            <v>#REF!</v>
          </cell>
        </row>
      </sheetData>
      <sheetData sheetId="3" refreshError="1">
        <row r="4">
          <cell r="I4" t="e">
            <v>#REF!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สารบัญ"/>
      <sheetName val="ปะหน้า"/>
      <sheetName val="ปร5"/>
      <sheetName val="ปร4"/>
      <sheetName val="ปร4.1"/>
      <sheetName val="หา FACTOR F"/>
      <sheetName val="unitcost"/>
      <sheetName val="กราฟทำงาน"/>
      <sheetName val="Worktime"/>
      <sheetName val="อัตราทำงาน"/>
      <sheetName val="sorce"/>
      <sheetName val="ค่าเครื่องจักร"/>
      <sheetName val="ค่าขนส่ง"/>
      <sheetName val="สรุปOHCทาง"/>
      <sheetName val="สรุปOHCโครงสร้าง"/>
      <sheetName val="Factor ดิน"/>
      <sheetName val="สรุปค่าเครื่องจักร+อะไหล่สึกหรอ"/>
      <sheetName val="เริ่มต้น"/>
      <sheetName val="บทที่1"/>
      <sheetName val="DetailOHCโครงสร้าง"/>
      <sheetName val="ตารางขนส่ง"/>
      <sheetName val="วิธีคิดค่าขนส่ง"/>
      <sheetName val="Detailค่าเครื่องจักร"/>
      <sheetName val="บทที่3"/>
      <sheetName val="บทที่3(2)"/>
      <sheetName val="บทที่2(3)"/>
      <sheetName val="DetailOHCทาง"/>
      <sheetName val="จัดเครื่องจักรทาง"/>
      <sheetName val="อ้างอิง"/>
      <sheetName val="เอกสารหมายเลข 3 (1)"/>
      <sheetName val="2 (3)"/>
      <sheetName val="8"/>
      <sheetName val="คำนำ"/>
      <sheetName val="หัวเรื่อง"/>
      <sheetName val="ปก"/>
      <sheetName val="เอกสารสัมพันธ์"/>
      <sheetName val="ขั้นตอน"/>
      <sheetName val="สรุป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J11">
            <v>1.0783</v>
          </cell>
        </row>
        <row r="31">
          <cell r="J31">
            <v>1.1619999999999999</v>
          </cell>
        </row>
      </sheetData>
      <sheetData sheetId="7" refreshError="1">
        <row r="512">
          <cell r="Q512">
            <v>9429.1967999999997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(ของเรา)"/>
      <sheetName val="ราคาเบื้องต้น"/>
      <sheetName val="เวลาทำการ"/>
      <sheetName val="10 ข้อมูลวัสดุ-ค่าดำเนิน (2)"/>
      <sheetName val="ระยะขนส่ง"/>
      <sheetName val="11 ข้อมูลงานCon"/>
      <sheetName val="12 ข้อมูลงานไม้แบบ"/>
      <sheetName val="หมายเหตุ"/>
      <sheetName val="ประชาสัมพันธ์"/>
      <sheetName val="8 ข้อมูลเบื้องต้น"/>
      <sheetName val="1"/>
      <sheetName val="2"/>
      <sheetName val="3"/>
      <sheetName val="4"/>
      <sheetName val="44 (2)"/>
      <sheetName val="5"/>
      <sheetName val="6 "/>
      <sheetName val="48"/>
      <sheetName val="51"/>
      <sheetName val="53.2"/>
      <sheetName val="48 (3)"/>
      <sheetName val="62 (3)"/>
      <sheetName val="64 (3)"/>
      <sheetName val="62 (4)"/>
      <sheetName val="64 (4)"/>
      <sheetName val="66"/>
      <sheetName val="71"/>
      <sheetName val="68"/>
      <sheetName val="72 (2)"/>
      <sheetName val="73"/>
      <sheetName val="113"/>
      <sheetName val="113 (2)"/>
      <sheetName val="114 (2)"/>
      <sheetName val="114"/>
      <sheetName val="115"/>
      <sheetName val="115 (2)"/>
      <sheetName val="115 (3)"/>
      <sheetName val="116 (2)"/>
      <sheetName val="128"/>
      <sheetName val="148"/>
      <sheetName val="150"/>
      <sheetName val="151"/>
      <sheetName val="152"/>
      <sheetName val="171"/>
      <sheetName val="174 (2)"/>
      <sheetName val="172"/>
      <sheetName val="178"/>
      <sheetName val="180"/>
      <sheetName val="183"/>
      <sheetName val="185"/>
      <sheetName val="FACTOR F"/>
      <sheetName val="ราคากลาง"/>
      <sheetName val="62"/>
      <sheetName val="64"/>
      <sheetName val="62 (2)"/>
      <sheetName val="64 (2)"/>
      <sheetName val="29"/>
      <sheetName val="44"/>
      <sheetName val="77"/>
      <sheetName val="128 (2)"/>
      <sheetName val="81"/>
      <sheetName val="91"/>
      <sheetName val="116"/>
      <sheetName val="120"/>
      <sheetName val="129"/>
      <sheetName val="130"/>
      <sheetName val="135 (2)"/>
      <sheetName val="137"/>
      <sheetName val="139"/>
      <sheetName val="182"/>
      <sheetName val="146"/>
      <sheetName val="153"/>
      <sheetName val="154"/>
      <sheetName val="159"/>
      <sheetName val="160"/>
      <sheetName val="173"/>
      <sheetName val="181"/>
      <sheetName val="184"/>
      <sheetName val="187"/>
      <sheetName val="48 (2)"/>
      <sheetName val="ราคากลางหักค่าควบคุมงาน"/>
      <sheetName val="ใบเสนอราคา"/>
      <sheetName val="ราคากลางหลังปรับลด"/>
      <sheetName val="หา FACTOR F"/>
      <sheetName val="unitcost"/>
      <sheetName val="ตัดแบ่งกม.ส่งพี่หนุ่ม"/>
      <sheetName val="boq"/>
      <sheetName val="10_ข้อมูลวัสดุ-ค่าดำเนิน_(2)"/>
      <sheetName val="11_ข้อมูลงานCon"/>
      <sheetName val="12_ข้อมูลงานไม้แบบ"/>
      <sheetName val="8_ข้อมูลเบื้องต้น"/>
      <sheetName val="44_(2)"/>
      <sheetName val="6_"/>
      <sheetName val="53_2"/>
      <sheetName val="48_(3)"/>
      <sheetName val="62_(3)"/>
      <sheetName val="64_(3)"/>
      <sheetName val="62_(4)"/>
      <sheetName val="64_(4)"/>
      <sheetName val="72_(2)"/>
      <sheetName val="113_(2)"/>
      <sheetName val="114_(2)"/>
      <sheetName val="115_(2)"/>
      <sheetName val="115_(3)"/>
      <sheetName val="116_(2)"/>
      <sheetName val="174_(2)"/>
      <sheetName val="FACTOR_F"/>
      <sheetName val="62_(2)"/>
      <sheetName val="64_(2)"/>
      <sheetName val="128_(2)"/>
      <sheetName val="135_(2)"/>
      <sheetName val="48_(2)"/>
      <sheetName val="หา_FACTOR_F"/>
      <sheetName val="ตัดแบ่งกม_ส่งพี่หนุ่ม"/>
      <sheetName val="10_ข้อมูลวัสดุ-ค่าดำเนิน_(2)1"/>
      <sheetName val="11_ข้อมูลงานCon1"/>
      <sheetName val="12_ข้อมูลงานไม้แบบ1"/>
      <sheetName val="8_ข้อมูลเบื้องต้น1"/>
      <sheetName val="44_(2)1"/>
      <sheetName val="6_1"/>
      <sheetName val="53_21"/>
      <sheetName val="48_(3)1"/>
      <sheetName val="62_(3)1"/>
      <sheetName val="64_(3)1"/>
      <sheetName val="62_(4)1"/>
      <sheetName val="64_(4)1"/>
      <sheetName val="72_(2)1"/>
      <sheetName val="113_(2)1"/>
      <sheetName val="114_(2)1"/>
      <sheetName val="115_(2)1"/>
      <sheetName val="115_(3)1"/>
      <sheetName val="116_(2)1"/>
      <sheetName val="174_(2)1"/>
      <sheetName val="FACTOR_F1"/>
      <sheetName val="62_(2)1"/>
      <sheetName val="64_(2)1"/>
      <sheetName val="128_(2)1"/>
      <sheetName val="135_(2)1"/>
      <sheetName val="48_(2)1"/>
      <sheetName val="หา_FACTOR_F1"/>
      <sheetName val="ตัดแบ่งกม_ส่งพี่หนุ่ม1"/>
      <sheetName val="หมวด 6(2)"/>
      <sheetName val="หมวด 2"/>
      <sheetName val="อาคาร 2 11Boots"/>
      <sheetName val="อาคาร 2 14Boots"/>
      <sheetName val="อาคาร 2 5Boots"/>
      <sheetName val="อาคาร 2 6Boots"/>
    </sheetNames>
    <sheetDataSet>
      <sheetData sheetId="0" refreshError="1">
        <row r="27">
          <cell r="G27">
            <v>1.2416378400000001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หา FACTOR F"/>
      <sheetName val="boq"/>
      <sheetName val="ปร5"/>
      <sheetName val="unitcost"/>
    </sheetNames>
    <sheetDataSet>
      <sheetData sheetId="0" refreshError="1"/>
      <sheetData sheetId="1" refreshError="1"/>
      <sheetData sheetId="2" refreshError="1"/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4"/>
      <sheetName val="6"/>
      <sheetName val="3"/>
      <sheetName val="2"/>
      <sheetName val="1"/>
      <sheetName val="รายละเอียดโครงการ"/>
      <sheetName val="5-2"/>
      <sheetName val="หมวด 6(2)"/>
      <sheetName val="หมวด 2"/>
      <sheetName val="F(ของเรา)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>
        <row r="30">
          <cell r="AB30">
            <v>182.41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ข้อมูลเบื้องต้น"/>
      <sheetName val="รายการทั้งหมด"/>
      <sheetName val="สารบัญ"/>
      <sheetName val="Summary (SUM)"/>
      <sheetName val="ค่าแรงงาน,ดำเนินการต่อหน่วย"/>
      <sheetName val="รายการงานของโครงการ (SUM)"/>
      <sheetName val="UNIT COST (2)"/>
      <sheetName val="General"/>
      <sheetName val="ราคาต่อหน่วย1.1_1"/>
      <sheetName val="ราคาต่อหน่วย 1.1_2"/>
      <sheetName val="ราคาต่อหน่วย 1.2"/>
      <sheetName val="ราคาต่อหน่วย 1.3-1.8"/>
      <sheetName val="ราคาวัสดุหมวด 1"/>
      <sheetName val="EWork"/>
      <sheetName val="REMOVAL"/>
      <sheetName val="2"/>
      <sheetName val="3"/>
      <sheetName val="4"/>
      <sheetName val="5-2"/>
      <sheetName val="Unit Cost"/>
      <sheetName val="6"/>
      <sheetName val="7"/>
      <sheetName val="8"/>
      <sheetName val="ค่าดำเนินการ+ค่าเสื่อมราคา"/>
      <sheetName val="ตารางค่าขนส่ง"/>
      <sheetName val="การหาค่า factor F (2)"/>
      <sheetName val="Factor F ฝนตกชุก"/>
      <sheetName val="ข้อมูลวัสดุและค่าดำเนินการ"/>
      <sheetName val="concrete&amp;งานไม้แบบ"/>
      <sheetName val="ราคาวัสดุ"/>
      <sheetName val="สรุปค่าขนส่ง"/>
      <sheetName val="ค่าขนส่ง-1"/>
      <sheetName val="DRAINAGE(KM)"/>
      <sheetName val="Barrier"/>
      <sheetName val="Bk Traffic"/>
      <sheetName val="6.12(1)"/>
      <sheetName val="6.12(2)"/>
      <sheetName val="6.12(2-a)"/>
      <sheetName val="6.12(2-b)"/>
      <sheetName val="6.12(2-c)"/>
      <sheetName val="6.12(6)"/>
      <sheetName val="6.12(7)"/>
      <sheetName val="6.12 (10)"/>
      <sheetName val="7.1"/>
      <sheetName val="Sheet3"/>
      <sheetName val="7.2"/>
      <sheetName val="6.13.1"/>
      <sheetName val="back up"/>
      <sheetName val="back up2"/>
      <sheetName val="back up3"/>
      <sheetName val="Soil Cement Column"/>
      <sheetName val="ค่าแรงต่อหน่วย"/>
      <sheetName val="ส่วนขยายและค่ายุบตัว"/>
      <sheetName val="รายชื่อสะพาน"/>
      <sheetName val="งานรื้อถอนสะพาน"/>
      <sheetName val="ท่อระบายน้ำ"/>
      <sheetName val="Traffic"/>
      <sheetName val="งานผิวจราจร"/>
      <sheetName val="ทางเชื่อม"/>
      <sheetName val="LOCAL ROAD"/>
      <sheetName val="UNIT_COST"/>
      <sheetName val="GIRDER"/>
      <sheetName val="STRUTURE _UNIT COST"/>
      <sheetName val="Piling"/>
      <sheetName val="Bor pile"/>
      <sheetName val="G"/>
      <sheetName val="backup ค่าของงานโครงสร้าง"/>
      <sheetName val="ค่าขนส่งทางทะเล"/>
      <sheetName val="หิน"/>
      <sheetName val="Summary"/>
      <sheetName val="รายการงานของโครงการ"/>
      <sheetName val="1"/>
      <sheetName val="5"/>
      <sheetName val="7.General-new"/>
      <sheetName val="Back Bill 4"/>
      <sheetName val="วัสดุคัดเลือก"/>
      <sheetName val="ดินถม ลูกรัง"/>
      <sheetName val="ทราย"/>
      <sheetName val="ป้อมยาม"/>
      <sheetName val="โรงจอดรถ"/>
      <sheetName val="Sheet1"/>
      <sheetName val="BILLS (edit)"/>
      <sheetName val="BILLS (2)"/>
      <sheetName val="เปรียบเทียบ"/>
      <sheetName val="SUM-CS"/>
      <sheetName val="Bill No.1"/>
      <sheetName val="Back Bill.1"/>
      <sheetName val="Bill No.2"/>
      <sheetName val="Back Bill.2"/>
      <sheetName val="Back Bill.2 (2)"/>
      <sheetName val="Bill No.3"/>
      <sheetName val="Back Bill.3 (Access Rd)REV"/>
      <sheetName val="Back Bill.3"/>
      <sheetName val="Back Bill.3 (Access Rd)"/>
      <sheetName val="atgrade"/>
      <sheetName val="Bill No.4"/>
      <sheetName val="Back Bill.4"/>
      <sheetName val="ความยาวสะพาน"/>
      <sheetName val="Back Bill.4 (Bearing Slab)"/>
      <sheetName val="Sum Bill No.5(sta)"/>
      <sheetName val="Bill No.5"/>
      <sheetName val="Sum Bill No.5(Sum)"/>
      <sheetName val="Sum Bill No.5(Building)"/>
      <sheetName val="Back Bill.5-AR"/>
      <sheetName val="Back Bill.5-AC"/>
      <sheetName val="Back Bill.5-SN"/>
      <sheetName val="Back Bill.5-EE"/>
      <sheetName val="Back Bill.5-EE (2)"/>
      <sheetName val="Bill No.6"/>
      <sheetName val="Back Bill.6"/>
      <sheetName val="Bill No.7"/>
      <sheetName val="Bill No.8"/>
      <sheetName val="8201"/>
      <sheetName val="8503"/>
      <sheetName val="8506"/>
      <sheetName val="Bill No.9"/>
      <sheetName val="เก่าBill No.10"/>
      <sheetName val="Bill No.10 "/>
      <sheetName val="เก่าBackBill No.10"/>
      <sheetName val="ราคาวัสดุก่อสร้าง"/>
      <sheetName val="ราคาคอนกรีต&amp;ไม้แบบ"/>
      <sheetName val="ราคาเหล็ก"/>
      <sheetName val="ลูกรัง"/>
      <sheetName val="ดินถม"/>
      <sheetName val="หินโรยทาง"/>
      <sheetName val="กทม."/>
      <sheetName val="ขอนแก่น"/>
      <sheetName val="มหาสารคาม"/>
      <sheetName val="ร้อยเอ็ด"/>
      <sheetName val="มุกดาหาร"/>
      <sheetName val="นครพนม"/>
      <sheetName val="กรุงเทพมหานคร(เก่า)"/>
      <sheetName val="นครปฐม"/>
      <sheetName val="ราชบุรี"/>
      <sheetName val="เพชรบุรี"/>
      <sheetName val="SUM-CS (2)"/>
      <sheetName val="ค่าแรงงาน"/>
      <sheetName val="ส่วนขยายและยุบตัว"/>
      <sheetName val="F_ทาง"/>
      <sheetName val="FactorF-Bill1"/>
      <sheetName val="FactorF-Bill8"/>
      <sheetName val="FactorF-Bill10"/>
      <sheetName val="ค่าดำเนินการและค่าเสื่อมราคา"/>
      <sheetName val="Detour"/>
      <sheetName val="รั้ว"/>
      <sheetName val="11 ข้อมูลงานCon"/>
      <sheetName val="10 ข้อมูลวัสดุ-ค่าดำเนิน"/>
      <sheetName val="หมวด 6(2)"/>
      <sheetName val="หมวด 2"/>
      <sheetName val="Summary_(SUM)"/>
      <sheetName val="รายการงานของโครงการ_(SUM)"/>
      <sheetName val="UNIT_COST_(2)"/>
      <sheetName val="ราคาต่อหน่วย1_1_1"/>
      <sheetName val="ราคาต่อหน่วย_1_1_2"/>
      <sheetName val="ราคาต่อหน่วย_1_2"/>
      <sheetName val="ราคาต่อหน่วย_1_3-1_8"/>
      <sheetName val="ราคาวัสดุหมวด_1"/>
      <sheetName val="การหาค่า_factor_F_(2)"/>
      <sheetName val="Factor_F_ฝนตกชุก"/>
      <sheetName val="Bk_Traffic"/>
      <sheetName val="6_12(1)"/>
      <sheetName val="6_12(2)"/>
      <sheetName val="6_12(2-a)"/>
      <sheetName val="6_12(2-b)"/>
      <sheetName val="6_12(2-c)"/>
      <sheetName val="6_12(6)"/>
      <sheetName val="6_12(7)"/>
      <sheetName val="6_12_(10)"/>
      <sheetName val="7_1"/>
      <sheetName val="7_2"/>
      <sheetName val="6_13_1"/>
      <sheetName val="back_up"/>
      <sheetName val="back_up2"/>
      <sheetName val="back_up3"/>
      <sheetName val="Soil_Cement_Column"/>
      <sheetName val="LOCAL_ROAD"/>
      <sheetName val="STRUTURE__UNIT_COST"/>
      <sheetName val="Bor_pile"/>
      <sheetName val="backup_ค่าของงานโครงสร้าง"/>
      <sheetName val="7_General-new"/>
      <sheetName val="Back_Bill_4"/>
      <sheetName val="ดินถม_ลูกรัง"/>
      <sheetName val="BILLS_(edit)"/>
      <sheetName val="BILLS_(2)"/>
      <sheetName val="Bill_No_1"/>
      <sheetName val="Back_Bill_1"/>
      <sheetName val="Bill_No_2"/>
      <sheetName val="Back_Bill_2"/>
      <sheetName val="Back_Bill_2_(2)"/>
      <sheetName val="Bill_No_3"/>
      <sheetName val="Back_Bill_3_(Access_Rd)REV"/>
      <sheetName val="Back_Bill_3"/>
      <sheetName val="Back_Bill_3_(Access_Rd)"/>
      <sheetName val="Bill_No_4"/>
      <sheetName val="Back_Bill_41"/>
      <sheetName val="Back_Bill_4_(Bearing_Slab)"/>
      <sheetName val="Sum_Bill_No_5(sta)"/>
      <sheetName val="Bill_No_5"/>
      <sheetName val="Sum_Bill_No_5(Sum)"/>
      <sheetName val="Sum_Bill_No_5(Building)"/>
      <sheetName val="Back_Bill_5-AR"/>
      <sheetName val="Back_Bill_5-AC"/>
      <sheetName val="Back_Bill_5-SN"/>
      <sheetName val="Back_Bill_5-EE"/>
      <sheetName val="Back_Bill_5-EE_(2)"/>
      <sheetName val="Bill_No_6"/>
      <sheetName val="Back_Bill_6"/>
      <sheetName val="Bill_No_7"/>
      <sheetName val="Bill_No_8"/>
      <sheetName val="Bill_No_9"/>
      <sheetName val="เก่าBill_No_10"/>
      <sheetName val="Bill_No_10_"/>
      <sheetName val="เก่าBackBill_No_10"/>
      <sheetName val="กทม_"/>
      <sheetName val="SUM-CS_(2)"/>
      <sheetName val="11_ข้อมูลงานCon"/>
      <sheetName val="10_ข้อมูลวัสดุ-ค่าดำเนิน"/>
      <sheetName val="หมวด_6(2)"/>
      <sheetName val="หมวด_2"/>
      <sheetName val="Summary_(SUM)1"/>
      <sheetName val="รายการงานของโครงการ_(SUM)1"/>
      <sheetName val="UNIT_COST_(2)1"/>
      <sheetName val="ราคาต่อหน่วย1_1_11"/>
      <sheetName val="ราคาต่อหน่วย_1_1_21"/>
      <sheetName val="ราคาต่อหน่วย_1_21"/>
      <sheetName val="ราคาต่อหน่วย_1_3-1_81"/>
      <sheetName val="ราคาวัสดุหมวด_11"/>
      <sheetName val="Unit_Cost1"/>
      <sheetName val="การหาค่า_factor_F_(2)1"/>
      <sheetName val="Factor_F_ฝนตกชุก1"/>
      <sheetName val="Bk_Traffic1"/>
      <sheetName val="6_12(1)1"/>
      <sheetName val="6_12(2)1"/>
      <sheetName val="6_12(2-a)1"/>
      <sheetName val="6_12(2-b)1"/>
      <sheetName val="6_12(2-c)1"/>
      <sheetName val="6_12(6)1"/>
      <sheetName val="6_12(7)1"/>
      <sheetName val="6_12_(10)1"/>
      <sheetName val="7_11"/>
      <sheetName val="7_21"/>
      <sheetName val="6_13_11"/>
      <sheetName val="back_up1"/>
      <sheetName val="back_up21"/>
      <sheetName val="back_up31"/>
      <sheetName val="Soil_Cement_Column1"/>
      <sheetName val="LOCAL_ROAD1"/>
      <sheetName val="STRUTURE__UNIT_COST1"/>
      <sheetName val="Bor_pile1"/>
      <sheetName val="backup_ค่าของงานโครงสร้าง1"/>
      <sheetName val="7_General-new1"/>
      <sheetName val="Back_Bill_42"/>
      <sheetName val="ดินถม_ลูกรัง1"/>
      <sheetName val="BILLS_(edit)1"/>
      <sheetName val="BILLS_(2)1"/>
      <sheetName val="Bill_No_11"/>
      <sheetName val="Back_Bill_11"/>
      <sheetName val="Bill_No_21"/>
      <sheetName val="Back_Bill_21"/>
      <sheetName val="Back_Bill_2_(2)1"/>
      <sheetName val="Bill_No_31"/>
      <sheetName val="Back_Bill_3_(Access_Rd)REV1"/>
      <sheetName val="Back_Bill_31"/>
      <sheetName val="Back_Bill_3_(Access_Rd)1"/>
      <sheetName val="Bill_No_41"/>
      <sheetName val="Back_Bill_43"/>
      <sheetName val="Back_Bill_4_(Bearing_Slab)1"/>
      <sheetName val="Sum_Bill_No_5(sta)1"/>
      <sheetName val="Bill_No_51"/>
      <sheetName val="Sum_Bill_No_5(Sum)1"/>
      <sheetName val="Sum_Bill_No_5(Building)1"/>
      <sheetName val="Back_Bill_5-AR1"/>
      <sheetName val="Back_Bill_5-AC1"/>
      <sheetName val="Back_Bill_5-SN1"/>
      <sheetName val="Back_Bill_5-EE1"/>
      <sheetName val="Back_Bill_5-EE_(2)1"/>
      <sheetName val="Bill_No_61"/>
      <sheetName val="Back_Bill_61"/>
      <sheetName val="Bill_No_71"/>
      <sheetName val="Bill_No_81"/>
      <sheetName val="Bill_No_91"/>
      <sheetName val="เก่าBill_No_101"/>
      <sheetName val="Bill_No_10_1"/>
      <sheetName val="เก่าBackBill_No_101"/>
      <sheetName val="กทม_1"/>
      <sheetName val="SUM-CS_(2)1"/>
      <sheetName val="11_ข้อมูลงานCon1"/>
      <sheetName val="10_ข้อมูลวัสดุ-ค่าดำเนิน1"/>
      <sheetName val="หมวด_6(2)1"/>
      <sheetName val="หมวด_21"/>
      <sheetName val="UnitCost"/>
      <sheetName val="Data"/>
      <sheetName val="back up สตัด"/>
      <sheetName val="12 ข้อมูลงานไม้แบบ"/>
    </sheetNames>
    <sheetDataSet>
      <sheetData sheetId="0">
        <row r="2">
          <cell r="B2" t="str">
            <v>HIGHTWAY ROUTE NO.4006 BAN RATCHAKRUT - AMPHOE LANG SUAN SECTION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69">
          <cell r="W269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3">
          <cell r="J13">
            <v>16.100000000000001</v>
          </cell>
        </row>
        <row r="376">
          <cell r="J376">
            <v>230</v>
          </cell>
        </row>
      </sheetData>
      <sheetData sheetId="16">
        <row r="10">
          <cell r="J10">
            <v>3.15</v>
          </cell>
        </row>
      </sheetData>
      <sheetData sheetId="17">
        <row r="12">
          <cell r="J12">
            <v>614</v>
          </cell>
        </row>
      </sheetData>
      <sheetData sheetId="18">
        <row r="8">
          <cell r="J8">
            <v>25.19036273</v>
          </cell>
        </row>
      </sheetData>
      <sheetData sheetId="19">
        <row r="1244">
          <cell r="J1244">
            <v>2290</v>
          </cell>
        </row>
        <row r="1832">
          <cell r="J1832">
            <v>6070</v>
          </cell>
        </row>
        <row r="1844">
          <cell r="J1844">
            <v>5473</v>
          </cell>
        </row>
        <row r="1856">
          <cell r="J1856">
            <v>5093</v>
          </cell>
        </row>
        <row r="1916">
          <cell r="J1916">
            <v>6927</v>
          </cell>
        </row>
        <row r="1928">
          <cell r="J1928">
            <v>6240</v>
          </cell>
        </row>
        <row r="1940">
          <cell r="J1940">
            <v>5769</v>
          </cell>
        </row>
        <row r="1952">
          <cell r="J1952">
            <v>5087</v>
          </cell>
        </row>
        <row r="1964">
          <cell r="J1964">
            <v>4405</v>
          </cell>
        </row>
        <row r="1976">
          <cell r="J1976">
            <v>3723</v>
          </cell>
        </row>
        <row r="1988">
          <cell r="J1988">
            <v>3041</v>
          </cell>
        </row>
        <row r="2291">
          <cell r="J2291">
            <v>2269</v>
          </cell>
        </row>
        <row r="2304">
          <cell r="J2304">
            <v>3521</v>
          </cell>
        </row>
        <row r="2317">
          <cell r="J2317">
            <v>3784</v>
          </cell>
        </row>
        <row r="2431">
          <cell r="K2431">
            <v>4049110.3614220666</v>
          </cell>
        </row>
      </sheetData>
      <sheetData sheetId="20">
        <row r="137">
          <cell r="M137">
            <v>3430</v>
          </cell>
        </row>
        <row r="169">
          <cell r="M169">
            <v>26270</v>
          </cell>
        </row>
        <row r="180">
          <cell r="M180">
            <v>26270</v>
          </cell>
        </row>
      </sheetData>
      <sheetData sheetId="21">
        <row r="17">
          <cell r="J17">
            <v>393.22724104308389</v>
          </cell>
        </row>
        <row r="93">
          <cell r="J93">
            <v>1786.12</v>
          </cell>
        </row>
        <row r="167">
          <cell r="J167">
            <v>393.13953105625001</v>
          </cell>
        </row>
        <row r="259">
          <cell r="J259">
            <v>18799.219044657289</v>
          </cell>
        </row>
        <row r="286">
          <cell r="J286">
            <v>41805.125164500001</v>
          </cell>
        </row>
        <row r="298">
          <cell r="J298">
            <v>0</v>
          </cell>
        </row>
        <row r="382">
          <cell r="J382">
            <v>5711.8166987500008</v>
          </cell>
        </row>
        <row r="409">
          <cell r="J409">
            <v>5423.3511817500012</v>
          </cell>
        </row>
        <row r="451">
          <cell r="J451">
            <v>4008.7370714999997</v>
          </cell>
        </row>
        <row r="472">
          <cell r="J472">
            <v>4561.9896724999999</v>
          </cell>
        </row>
        <row r="493">
          <cell r="J493">
            <v>4966.2083984999999</v>
          </cell>
        </row>
        <row r="514">
          <cell r="J514">
            <v>5627.7405945</v>
          </cell>
        </row>
        <row r="1284">
          <cell r="J1284">
            <v>23524.437306666667</v>
          </cell>
        </row>
        <row r="1289">
          <cell r="J1289">
            <v>21009.293924999998</v>
          </cell>
        </row>
        <row r="1625">
          <cell r="J1625">
            <v>3009.2732797500003</v>
          </cell>
        </row>
        <row r="1825">
          <cell r="J1825">
            <v>23041</v>
          </cell>
        </row>
        <row r="1835">
          <cell r="J1835">
            <v>42808</v>
          </cell>
        </row>
        <row r="1847">
          <cell r="J1847">
            <v>34958</v>
          </cell>
        </row>
        <row r="1881">
          <cell r="J1881">
            <v>374.48207812500004</v>
          </cell>
        </row>
        <row r="2091">
          <cell r="J2091">
            <v>803.28399999999999</v>
          </cell>
        </row>
        <row r="2104">
          <cell r="J2104">
            <v>839.73039999999992</v>
          </cell>
        </row>
        <row r="2116">
          <cell r="J2116">
            <v>1425.3217050000001</v>
          </cell>
        </row>
        <row r="2128">
          <cell r="J2128">
            <v>1955.516705</v>
          </cell>
        </row>
        <row r="2142">
          <cell r="J2142">
            <v>632.21899999999994</v>
          </cell>
        </row>
        <row r="2154">
          <cell r="J2154">
            <v>617.30099999999993</v>
          </cell>
        </row>
        <row r="2297">
          <cell r="J2297">
            <v>12438.158693250001</v>
          </cell>
        </row>
        <row r="2309">
          <cell r="J2309">
            <v>17662.785125875002</v>
          </cell>
        </row>
      </sheetData>
      <sheetData sheetId="22">
        <row r="26">
          <cell r="J26">
            <v>1700980</v>
          </cell>
        </row>
      </sheetData>
      <sheetData sheetId="23" refreshError="1"/>
      <sheetData sheetId="24"/>
      <sheetData sheetId="25"/>
      <sheetData sheetId="26"/>
      <sheetData sheetId="27" refreshError="1"/>
      <sheetData sheetId="28">
        <row r="8">
          <cell r="J8">
            <v>24885.75</v>
          </cell>
        </row>
      </sheetData>
      <sheetData sheetId="29"/>
      <sheetData sheetId="30">
        <row r="11">
          <cell r="D11">
            <v>2.7570000000000001</v>
          </cell>
        </row>
      </sheetData>
      <sheetData sheetId="31"/>
      <sheetData sheetId="32">
        <row r="53">
          <cell r="M53">
            <v>285.69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5">
          <cell r="D5">
            <v>1.45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32">
          <cell r="C32">
            <v>0.62</v>
          </cell>
        </row>
      </sheetData>
      <sheetData sheetId="69">
        <row r="32">
          <cell r="C32">
            <v>0.62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>
        <row r="137">
          <cell r="M137">
            <v>3430</v>
          </cell>
        </row>
      </sheetData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1.GENERAL "/>
      <sheetName val="2.EARTHWORK "/>
      <sheetName val="2'.SHEET PILE"/>
      <sheetName val="3.SUBBASE"/>
      <sheetName val="4.SURFACE"/>
      <sheetName val="STRUCTURES, UNITCOST"/>
      <sheetName val="5.BRIDGE"/>
      <sheetName val="5.PILING"/>
      <sheetName val="5.PRESTRESSED"/>
      <sheetName val="5'.PILING Test"/>
      <sheetName val="MISCELLANEOUS-01"/>
      <sheetName val="6.MISCELLANEOUS-01 for print"/>
      <sheetName val="7.INCIDENTALS-1"/>
      <sheetName val="7.INCIDENTALS-2"/>
      <sheetName val="7.INCIDENTALS-3"/>
      <sheetName val="INCIDENTALS (1)-not use"/>
      <sheetName val="7'.INCIDENTALS"/>
      <sheetName val="9.BUILDING"/>
      <sheetName val="FURNITURES"/>
      <sheetName val="ROOF CARPARK"/>
      <sheetName val="TOLL+CANOPY"/>
      <sheetName val="WEIGHTING"/>
      <sheetName val="SANITARY&amp;FIGHTING"/>
      <sheetName val="AIR&amp;FAN"/>
      <sheetName val="Paint not use"/>
      <sheetName val="Build-Light"/>
      <sheetName val="9'ค่าใช้จ่ายพิเศษ"/>
      <sheetName val="9M.ครุภัณฑ์"/>
      <sheetName val="10.Street Lighting"/>
      <sheetName val="C1.ไม้แบบ"/>
      <sheetName val="C2.sand"/>
      <sheetName val="C3.ทาสี"/>
      <sheetName val="C4.ค่าวัสดุมวลรวมที่ใฃ้"/>
      <sheetName val="C5.Roof Steel"/>
      <sheetName val="C6.Toll Steel"/>
      <sheetName val="C7.แผ่นเหล็กดำ"/>
      <sheetName val="C8.Door"/>
      <sheetName val="ค่าวัสดุมวลรวม"/>
      <sheetName val="ค่าแรงขั้นต่ำ"/>
      <sheetName val="backup"/>
      <sheetName val="10 ข้อมูลวัสดุ-ค่าดำเนิน"/>
      <sheetName val="12 ข้อมูลงานไม้แบบ"/>
      <sheetName val="11 ข้อมูลงานCon"/>
      <sheetName val="summary"/>
      <sheetName val="Std."/>
    </sheetNames>
    <sheetDataSet>
      <sheetData sheetId="0">
        <row r="4">
          <cell r="E4">
            <v>20000</v>
          </cell>
        </row>
        <row r="6">
          <cell r="E6">
            <v>0</v>
          </cell>
        </row>
      </sheetData>
      <sheetData sheetId="1">
        <row r="2">
          <cell r="Q2">
            <v>29.99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5"/>
      <sheetName val="ปร4"/>
      <sheetName val="ปร4.1"/>
      <sheetName val="ที่จอดรถและถนนในจุดพักรถ"/>
      <sheetName val="อาคารจุดพักรถ"/>
      <sheetName val="โครงสร้างศาลาพักคอย"/>
      <sheetName val="งานสถาปัตยกรรม"/>
      <sheetName val="งานทางเท้าและภูมิสถาปัตยกรรม"/>
      <sheetName val="ไฟฟ้าอาคารย่อย"/>
      <sheetName val="ไฟฟ้าผังบริเวณจุดพักรถ"/>
      <sheetName val="ระบบระบายน้ำผังบริจุดพักรถชมวิว"/>
      <sheetName val="backup"/>
      <sheetName val="สุนทรภู่"/>
      <sheetName val="แหลมสน"/>
      <sheetName val="ประแสร์"/>
      <sheetName val="พังราด"/>
      <sheetName val="หาดค้งวิมาน"/>
      <sheetName val="สนามไชย"/>
      <sheetName val="จ้าวหลาว"/>
      <sheetName val="เฉลิมพระเกียรติ"/>
      <sheetName val="แหลมสิงห์"/>
      <sheetName val="บางชัน"/>
      <sheetName val="ปรับปรุงสะพานพังราด"/>
      <sheetName val="ปรับปรุงสะพานเฉลิมฯ"/>
      <sheetName val="Riprap"/>
      <sheetName val="fr"/>
      <sheetName val="REF ONLY2"/>
      <sheetName val="6"/>
      <sheetName val="5-2"/>
      <sheetName val="REMOVAL"/>
      <sheetName val="Uni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2">
          <cell r="K72">
            <v>40</v>
          </cell>
        </row>
        <row r="77">
          <cell r="K77">
            <v>85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-Main road Contract No.1"/>
      <sheetName val="EE-Main road Contract No.2"/>
      <sheetName val="EE-Main road Contract No.3"/>
      <sheetName val="EE-Main road Contract No.4"/>
      <sheetName val="Main road Backup"/>
      <sheetName val="EE-Local road Contract No.1"/>
      <sheetName val="EE-Local road Contract No.2"/>
      <sheetName val="EE-Local road Contract No.3"/>
      <sheetName val="EE-Local road Contract No.4"/>
      <sheetName val="Local road Backup"/>
      <sheetName val="10 ข้อมูลวัสดุ-ค่าดำเนิน"/>
      <sheetName val="5-2"/>
      <sheetName val="2"/>
      <sheetName val="F(ของเรา)"/>
      <sheetName val="ราคาวัสดุ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J5">
            <v>3750</v>
          </cell>
        </row>
        <row r="7">
          <cell r="J7">
            <v>9900</v>
          </cell>
        </row>
        <row r="10">
          <cell r="I10">
            <v>75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รายการทั้งหมด"/>
      <sheetName val="สารบัญ"/>
      <sheetName val="Summary"/>
      <sheetName val="รายการงานของโครงการ"/>
      <sheetName val="SumBridge"/>
      <sheetName val="Price Bridge"/>
      <sheetName val="ปริมาณ Bridge"/>
      <sheetName val="SumIntersection"/>
      <sheetName val="Price Intersection"/>
      <sheetName val="ปริมาณ Intersection"/>
      <sheetName val="SUMunderpass"/>
      <sheetName val="Price Underpass"/>
      <sheetName val="ปริมาณ Underpass"/>
      <sheetName val="SUMoverpass"/>
      <sheetName val="Price Overpass"/>
      <sheetName val="ปริมาณ Overpass"/>
      <sheetName val="SUMinterchange"/>
      <sheetName val="Price Interchange"/>
      <sheetName val="ปริมาณ Interchange"/>
      <sheetName val="SumSpur Road"/>
      <sheetName val="Price Spur Road"/>
      <sheetName val="ปริมาณ Spur Road"/>
      <sheetName val="SumService Road"/>
      <sheetName val="Price Service road"/>
      <sheetName val="ปริมาณ Service road"/>
      <sheetName val="INTERCHANGE"/>
      <sheetName val="ข้อมูลเบื้องต้น"/>
      <sheetName val="ราคาวัสดุหมวด 1"/>
      <sheetName val="1"/>
      <sheetName val="2"/>
      <sheetName val="3"/>
      <sheetName val="4"/>
      <sheetName val="5"/>
      <sheetName val="UNIT COST (2)"/>
      <sheetName val="6"/>
      <sheetName val="6 (2)"/>
      <sheetName val="back up"/>
      <sheetName val="7.1"/>
      <sheetName val="7.2"/>
      <sheetName val="7"/>
      <sheetName val="7.General-new"/>
      <sheetName val="UNIT COST"/>
      <sheetName val="concrete&amp;งานไม้แบบ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ข้อมูลวัสดุค่าดำเนินการ"/>
      <sheetName val="ราคาวัสดุ"/>
      <sheetName val="ค่าแรงต่อหน่วย"/>
      <sheetName val="ค่าแรงต่อหน่วย(เดิม)"/>
      <sheetName val="ส่วนขยายและค่ายุบตัว"/>
      <sheetName val="Factor F ฝนตกชุก"/>
      <sheetName val="การหาค่า factor F (2)"/>
      <sheetName val="ป้อมยาม"/>
      <sheetName val="โรงจอดรถ"/>
      <sheetName val="backup ค่าของงานโครงสร้าง"/>
      <sheetName val="ค่าขนส่งทางทะเล"/>
    </sheetNames>
    <sheetDataSet>
      <sheetData sheetId="0">
        <row r="2">
          <cell r="B2" t="str">
            <v>โครงการทางหลวงพิเศษระหว่างเมืองพัทยา - มาบตาพุด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0">
          <cell r="J10">
            <v>3.06</v>
          </cell>
        </row>
      </sheetData>
      <sheetData sheetId="32">
        <row r="12">
          <cell r="J12">
            <v>171</v>
          </cell>
        </row>
      </sheetData>
      <sheetData sheetId="33">
        <row r="8">
          <cell r="J8">
            <v>31.740949999999998</v>
          </cell>
        </row>
      </sheetData>
      <sheetData sheetId="34">
        <row r="34">
          <cell r="J34">
            <v>374</v>
          </cell>
        </row>
        <row r="48">
          <cell r="J48">
            <v>518</v>
          </cell>
        </row>
        <row r="61">
          <cell r="J61">
            <v>946</v>
          </cell>
        </row>
        <row r="74">
          <cell r="J74">
            <v>1418</v>
          </cell>
        </row>
        <row r="87">
          <cell r="J87">
            <v>1994</v>
          </cell>
        </row>
        <row r="100">
          <cell r="J100">
            <v>2492</v>
          </cell>
        </row>
        <row r="113">
          <cell r="J113">
            <v>3482</v>
          </cell>
        </row>
      </sheetData>
      <sheetData sheetId="35" refreshError="1"/>
      <sheetData sheetId="36">
        <row r="17">
          <cell r="I17">
            <v>412.02484186666669</v>
          </cell>
        </row>
        <row r="278">
          <cell r="I278">
            <v>8091.0054263999991</v>
          </cell>
        </row>
        <row r="305">
          <cell r="I305">
            <v>14420.760288999998</v>
          </cell>
        </row>
        <row r="333">
          <cell r="I333">
            <v>17937.823880399999</v>
          </cell>
        </row>
        <row r="361">
          <cell r="I361">
            <v>20227.061449000001</v>
          </cell>
        </row>
        <row r="554">
          <cell r="I554">
            <v>21801.861416096523</v>
          </cell>
        </row>
        <row r="582">
          <cell r="I582">
            <v>22499.414984666666</v>
          </cell>
        </row>
        <row r="749">
          <cell r="I749">
            <v>40614.575913000008</v>
          </cell>
        </row>
        <row r="1226">
          <cell r="I1226">
            <v>15763</v>
          </cell>
        </row>
        <row r="1236">
          <cell r="I1236">
            <v>19553</v>
          </cell>
        </row>
        <row r="1246">
          <cell r="I1246">
            <v>21221</v>
          </cell>
        </row>
        <row r="1256">
          <cell r="I1256">
            <v>26292</v>
          </cell>
        </row>
        <row r="1492">
          <cell r="I1492">
            <v>4005.4521921657333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67">
          <cell r="W267">
            <v>1</v>
          </cell>
        </row>
      </sheetData>
      <sheetData sheetId="43" refreshError="1"/>
      <sheetData sheetId="44">
        <row r="9">
          <cell r="C9">
            <v>1840</v>
          </cell>
        </row>
      </sheetData>
      <sheetData sheetId="45">
        <row r="6">
          <cell r="D6" t="str">
            <v>บ่อลูกรังบ้านห้วยใหญ่</v>
          </cell>
        </row>
      </sheetData>
      <sheetData sheetId="46">
        <row r="53">
          <cell r="M53">
            <v>28.39</v>
          </cell>
        </row>
      </sheetData>
      <sheetData sheetId="47">
        <row r="6">
          <cell r="I6">
            <v>1.28</v>
          </cell>
        </row>
      </sheetData>
      <sheetData sheetId="48">
        <row r="8">
          <cell r="B8">
            <v>5.25</v>
          </cell>
        </row>
      </sheetData>
      <sheetData sheetId="49" refreshError="1"/>
      <sheetData sheetId="50" refreshError="1"/>
      <sheetData sheetId="51" refreshError="1"/>
      <sheetData sheetId="52">
        <row r="6">
          <cell r="H6">
            <v>3459012403.0093694</v>
          </cell>
        </row>
      </sheetData>
      <sheetData sheetId="53" refreshError="1"/>
      <sheetData sheetId="54">
        <row r="7">
          <cell r="J7">
            <v>26986.680000000004</v>
          </cell>
        </row>
      </sheetData>
      <sheetData sheetId="55" refreshError="1"/>
      <sheetData sheetId="56">
        <row r="11">
          <cell r="D11">
            <v>2.194</v>
          </cell>
        </row>
      </sheetData>
      <sheetData sheetId="57" refreshError="1"/>
      <sheetData sheetId="58" refreshError="1"/>
      <sheetData sheetId="59">
        <row r="5">
          <cell r="D5">
            <v>1.45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32">
          <cell r="C32">
            <v>0.62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รายการทั้งหมด"/>
      <sheetName val="สารบัญ"/>
      <sheetName val="Summary"/>
      <sheetName val="รายการงานของโครงการ"/>
      <sheetName val="SumBridge"/>
      <sheetName val="Price Bridge"/>
      <sheetName val="ปริมาณ Bridge"/>
      <sheetName val="SumIntersection"/>
      <sheetName val="Price Intersection"/>
      <sheetName val="ปริมาณ Intersection"/>
      <sheetName val="SUMunderpass"/>
      <sheetName val="Price Underpass"/>
      <sheetName val="ปริมาณ Underpass"/>
      <sheetName val="SUMoverpass"/>
      <sheetName val="Price Overpass"/>
      <sheetName val="ปริมาณ Overpass"/>
      <sheetName val="SUMinterchange"/>
      <sheetName val="Price Interchange"/>
      <sheetName val="ปริมาณ Interchange"/>
      <sheetName val="SumSpur Road"/>
      <sheetName val="Price Spur Road"/>
      <sheetName val="ปริมาณ Spur Road"/>
      <sheetName val="SumService Road"/>
      <sheetName val="Price Service road"/>
      <sheetName val="ปริมาณ Service road"/>
      <sheetName val="INTERCHANGE"/>
      <sheetName val="ข้อมูลเบื้องต้น"/>
      <sheetName val="ราคาวัสดุหมวด 1"/>
      <sheetName val="1"/>
      <sheetName val="2"/>
      <sheetName val="3"/>
      <sheetName val="4"/>
      <sheetName val="5"/>
      <sheetName val="UNIT COST (2)"/>
      <sheetName val="6"/>
      <sheetName val="6 (2)"/>
      <sheetName val="back up"/>
      <sheetName val="7.1"/>
      <sheetName val="7.2"/>
      <sheetName val="7"/>
      <sheetName val="7.General-new"/>
      <sheetName val="UNIT COST"/>
      <sheetName val="concrete&amp;งานไม้แบบ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ข้อมูลวัสดุค่าดำเนินการ"/>
      <sheetName val="ราคาวัสดุ"/>
      <sheetName val="ค่าแรงต่อหน่วย"/>
      <sheetName val="ค่าแรงต่อหน่วย(เดิม)"/>
      <sheetName val="ส่วนขยายและค่ายุบตัว"/>
      <sheetName val="Factor F ฝนตกชุก"/>
      <sheetName val="การหาค่า factor F (2)"/>
      <sheetName val="ป้อมยาม"/>
      <sheetName val="โรงจอดรถ"/>
      <sheetName val="backup ค่าของงานโครงสร้าง"/>
      <sheetName val="ค่าขนส่งทางทะเล"/>
    </sheetNames>
    <sheetDataSet>
      <sheetData sheetId="0">
        <row r="2">
          <cell r="B2" t="str">
            <v>โครงการทางหลวงพิเศษระหว่างเมืองพัทยา - มาบตาพุด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0">
          <cell r="J10">
            <v>3.06</v>
          </cell>
        </row>
      </sheetData>
      <sheetData sheetId="32">
        <row r="12">
          <cell r="J12">
            <v>171</v>
          </cell>
        </row>
      </sheetData>
      <sheetData sheetId="33">
        <row r="8">
          <cell r="J8">
            <v>31.740949999999998</v>
          </cell>
        </row>
      </sheetData>
      <sheetData sheetId="34">
        <row r="34">
          <cell r="J34">
            <v>374</v>
          </cell>
        </row>
        <row r="48">
          <cell r="J48">
            <v>518</v>
          </cell>
        </row>
        <row r="61">
          <cell r="J61">
            <v>946</v>
          </cell>
        </row>
        <row r="74">
          <cell r="J74">
            <v>1418</v>
          </cell>
        </row>
        <row r="87">
          <cell r="J87">
            <v>1994</v>
          </cell>
        </row>
        <row r="100">
          <cell r="J100">
            <v>2492</v>
          </cell>
        </row>
        <row r="113">
          <cell r="J113">
            <v>3482</v>
          </cell>
        </row>
      </sheetData>
      <sheetData sheetId="35" refreshError="1"/>
      <sheetData sheetId="36">
        <row r="17">
          <cell r="I17">
            <v>412.02484186666669</v>
          </cell>
        </row>
        <row r="278">
          <cell r="I278">
            <v>8091.0054263999991</v>
          </cell>
        </row>
        <row r="305">
          <cell r="I305">
            <v>14420.760288999998</v>
          </cell>
        </row>
        <row r="333">
          <cell r="I333">
            <v>17937.823880399999</v>
          </cell>
        </row>
        <row r="361">
          <cell r="I361">
            <v>20227.061449000001</v>
          </cell>
        </row>
        <row r="554">
          <cell r="I554">
            <v>21801.861416096523</v>
          </cell>
        </row>
        <row r="582">
          <cell r="I582">
            <v>22499.414984666666</v>
          </cell>
        </row>
        <row r="749">
          <cell r="I749">
            <v>40614.575913000008</v>
          </cell>
        </row>
        <row r="1226">
          <cell r="I1226">
            <v>15763</v>
          </cell>
        </row>
        <row r="1236">
          <cell r="I1236">
            <v>19553</v>
          </cell>
        </row>
        <row r="1246">
          <cell r="I1246">
            <v>21221</v>
          </cell>
        </row>
        <row r="1256">
          <cell r="I1256">
            <v>26292</v>
          </cell>
        </row>
        <row r="1492">
          <cell r="I1492">
            <v>4005.4521921657333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67">
          <cell r="W267">
            <v>1</v>
          </cell>
        </row>
      </sheetData>
      <sheetData sheetId="43" refreshError="1"/>
      <sheetData sheetId="44">
        <row r="9">
          <cell r="C9">
            <v>1840</v>
          </cell>
        </row>
      </sheetData>
      <sheetData sheetId="45">
        <row r="6">
          <cell r="D6" t="str">
            <v>บ่อลูกรังบ้านห้วยใหญ่</v>
          </cell>
        </row>
      </sheetData>
      <sheetData sheetId="46">
        <row r="53">
          <cell r="M53">
            <v>28.39</v>
          </cell>
        </row>
      </sheetData>
      <sheetData sheetId="47">
        <row r="6">
          <cell r="I6">
            <v>1.28</v>
          </cell>
        </row>
      </sheetData>
      <sheetData sheetId="48">
        <row r="8">
          <cell r="B8">
            <v>5.25</v>
          </cell>
        </row>
      </sheetData>
      <sheetData sheetId="49" refreshError="1"/>
      <sheetData sheetId="50" refreshError="1"/>
      <sheetData sheetId="51" refreshError="1"/>
      <sheetData sheetId="52">
        <row r="6">
          <cell r="H6">
            <v>3459012403.0093694</v>
          </cell>
        </row>
      </sheetData>
      <sheetData sheetId="53" refreshError="1"/>
      <sheetData sheetId="54">
        <row r="7">
          <cell r="J7">
            <v>26986.680000000004</v>
          </cell>
        </row>
      </sheetData>
      <sheetData sheetId="55" refreshError="1"/>
      <sheetData sheetId="56">
        <row r="11">
          <cell r="D11">
            <v>2.194</v>
          </cell>
        </row>
      </sheetData>
      <sheetData sheetId="57" refreshError="1"/>
      <sheetData sheetId="58" refreshError="1"/>
      <sheetData sheetId="59">
        <row r="5">
          <cell r="D5">
            <v>1.45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32">
          <cell r="C32">
            <v>0.62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รายการทั้งหมด"/>
      <sheetName val="สารบัญ"/>
      <sheetName val="Summary"/>
      <sheetName val="รายการงานของโครงการ"/>
      <sheetName val="SumBridge"/>
      <sheetName val="Price Bridge"/>
      <sheetName val="ปริมาณ Bridge"/>
      <sheetName val="SumIntersection"/>
      <sheetName val="Price Intersection"/>
      <sheetName val="ปริมาณ Intersection"/>
      <sheetName val="SUMunderpass"/>
      <sheetName val="Price Underpass"/>
      <sheetName val="ปริมาณ Underpass"/>
      <sheetName val="SUMoverpass"/>
      <sheetName val="Price Overpass"/>
      <sheetName val="ปริมาณ Overpass"/>
      <sheetName val="SUMinterchange"/>
      <sheetName val="Price Interchange"/>
      <sheetName val="ปริมาณ Interchange"/>
      <sheetName val="SumSpur Road"/>
      <sheetName val="Price Spur Road"/>
      <sheetName val="ปริมาณ Spur Road"/>
      <sheetName val="SumService Road"/>
      <sheetName val="Price Service road"/>
      <sheetName val="ปริมาณ Service road"/>
      <sheetName val="INTERCHANGE"/>
      <sheetName val="ข้อมูลเบื้องต้น"/>
      <sheetName val="ราคาวัสดุหมวด 1"/>
      <sheetName val="1"/>
      <sheetName val="2"/>
      <sheetName val="3"/>
      <sheetName val="4"/>
      <sheetName val="5"/>
      <sheetName val="UNIT COST (2)"/>
      <sheetName val="6"/>
      <sheetName val="6 (2)"/>
      <sheetName val="back up"/>
      <sheetName val="7.1"/>
      <sheetName val="7.2"/>
      <sheetName val="7"/>
      <sheetName val="7.General-new"/>
      <sheetName val="UNIT COST"/>
      <sheetName val="concrete&amp;งานไม้แบบ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ข้อมูลวัสดุค่าดำเนินการ"/>
      <sheetName val="ราคาวัสดุ"/>
      <sheetName val="ค่าแรงต่อหน่วย"/>
      <sheetName val="ค่าแรงต่อหน่วย(เดิม)"/>
      <sheetName val="ส่วนขยายและค่ายุบตัว"/>
      <sheetName val="Factor F ฝนตกชุก"/>
      <sheetName val="การหาค่า factor F (2)"/>
      <sheetName val="ป้อมยาม"/>
      <sheetName val="โรงจอดรถ"/>
      <sheetName val="backup ค่าของงานโครงสร้าง"/>
      <sheetName val="ค่าขนส่งทางทะเล"/>
    </sheetNames>
    <sheetDataSet>
      <sheetData sheetId="0">
        <row r="2">
          <cell r="B2" t="str">
            <v>โครงการทางหลวงพิเศษระหว่างเมืองพัทยา - มาบตาพุด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0">
          <cell r="J10">
            <v>3.06</v>
          </cell>
        </row>
      </sheetData>
      <sheetData sheetId="32">
        <row r="12">
          <cell r="J12">
            <v>171</v>
          </cell>
        </row>
      </sheetData>
      <sheetData sheetId="33">
        <row r="8">
          <cell r="J8">
            <v>31.740949999999998</v>
          </cell>
        </row>
      </sheetData>
      <sheetData sheetId="34">
        <row r="34">
          <cell r="J34">
            <v>374</v>
          </cell>
        </row>
        <row r="48">
          <cell r="J48">
            <v>518</v>
          </cell>
        </row>
        <row r="61">
          <cell r="J61">
            <v>946</v>
          </cell>
        </row>
        <row r="74">
          <cell r="J74">
            <v>1418</v>
          </cell>
        </row>
        <row r="87">
          <cell r="J87">
            <v>1994</v>
          </cell>
        </row>
        <row r="100">
          <cell r="J100">
            <v>2492</v>
          </cell>
        </row>
        <row r="113">
          <cell r="J113">
            <v>3482</v>
          </cell>
        </row>
      </sheetData>
      <sheetData sheetId="35" refreshError="1"/>
      <sheetData sheetId="36">
        <row r="17">
          <cell r="I17">
            <v>412.02484186666669</v>
          </cell>
        </row>
        <row r="278">
          <cell r="I278">
            <v>8091.0054263999991</v>
          </cell>
        </row>
        <row r="305">
          <cell r="I305">
            <v>14420.760288999998</v>
          </cell>
        </row>
        <row r="333">
          <cell r="I333">
            <v>17937.823880399999</v>
          </cell>
        </row>
        <row r="361">
          <cell r="I361">
            <v>20227.061449000001</v>
          </cell>
        </row>
        <row r="554">
          <cell r="I554">
            <v>21801.861416096523</v>
          </cell>
        </row>
        <row r="582">
          <cell r="I582">
            <v>22499.414984666666</v>
          </cell>
        </row>
        <row r="749">
          <cell r="I749">
            <v>40614.575913000008</v>
          </cell>
        </row>
        <row r="1226">
          <cell r="I1226">
            <v>15763</v>
          </cell>
        </row>
        <row r="1236">
          <cell r="I1236">
            <v>19553</v>
          </cell>
        </row>
        <row r="1246">
          <cell r="I1246">
            <v>21221</v>
          </cell>
        </row>
        <row r="1256">
          <cell r="I1256">
            <v>26292</v>
          </cell>
        </row>
        <row r="1492">
          <cell r="I1492">
            <v>4005.4521921657333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67">
          <cell r="W267">
            <v>1</v>
          </cell>
        </row>
      </sheetData>
      <sheetData sheetId="43" refreshError="1"/>
      <sheetData sheetId="44">
        <row r="9">
          <cell r="C9">
            <v>1840</v>
          </cell>
        </row>
      </sheetData>
      <sheetData sheetId="45">
        <row r="6">
          <cell r="D6" t="str">
            <v>บ่อลูกรังบ้านห้วยใหญ่</v>
          </cell>
        </row>
      </sheetData>
      <sheetData sheetId="46">
        <row r="53">
          <cell r="M53">
            <v>28.39</v>
          </cell>
        </row>
      </sheetData>
      <sheetData sheetId="47">
        <row r="6">
          <cell r="I6">
            <v>1.28</v>
          </cell>
        </row>
      </sheetData>
      <sheetData sheetId="48">
        <row r="8">
          <cell r="B8">
            <v>5.25</v>
          </cell>
        </row>
      </sheetData>
      <sheetData sheetId="49" refreshError="1"/>
      <sheetData sheetId="50" refreshError="1"/>
      <sheetData sheetId="51" refreshError="1"/>
      <sheetData sheetId="52">
        <row r="6">
          <cell r="H6">
            <v>3459012403.0093694</v>
          </cell>
        </row>
      </sheetData>
      <sheetData sheetId="53" refreshError="1"/>
      <sheetData sheetId="54">
        <row r="7">
          <cell r="J7">
            <v>26986.680000000004</v>
          </cell>
        </row>
      </sheetData>
      <sheetData sheetId="55" refreshError="1"/>
      <sheetData sheetId="56">
        <row r="11">
          <cell r="D11">
            <v>2.194</v>
          </cell>
        </row>
      </sheetData>
      <sheetData sheetId="57" refreshError="1"/>
      <sheetData sheetId="58" refreshError="1"/>
      <sheetData sheetId="59">
        <row r="5">
          <cell r="D5">
            <v>1.45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32">
          <cell r="C32">
            <v>0.62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บัญชีฯ(ทุน)"/>
      <sheetName val="ค่า F"/>
      <sheetName val="ระยะขนส่งวัสดุ"/>
      <sheetName val="ข้อมูลวัสดุก่อสร้างทาง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40"/>
      <sheetName val="41.EXCAVATION"/>
      <sheetName val="42.1"/>
      <sheetName val="42.2 EMBANKMENT"/>
      <sheetName val="44"/>
      <sheetName val="45. SELECTED,SUBBASE"/>
      <sheetName val="48.BASE,Recyciing"/>
      <sheetName val="51.ASPHALT,PRIME,TACK"/>
      <sheetName val="53.2"/>
      <sheetName val="56"/>
      <sheetName val="62. BRIDGE"/>
      <sheetName val="63"/>
      <sheetName val="64"/>
      <sheetName val="64.1(อัดแรง)"/>
      <sheetName val="คานอัดแรง"/>
      <sheetName val="Approach"/>
      <sheetName val="67"/>
      <sheetName val="68"/>
      <sheetName val="69"/>
      <sheetName val="70.RC. BOX"/>
      <sheetName val="71.RC. PIPE (3)"/>
      <sheetName val="72"/>
      <sheetName val="73"/>
      <sheetName val="83.RC.MANHOLE"/>
      <sheetName val="116 (1)"/>
      <sheetName val="123"/>
      <sheetName val="130"/>
      <sheetName val="130.1"/>
      <sheetName val="149"/>
      <sheetName val="149.1"/>
      <sheetName val="150"/>
      <sheetName val="152"/>
      <sheetName val="154 "/>
      <sheetName val="156"/>
      <sheetName val="157"/>
      <sheetName val="158"/>
      <sheetName val="166"/>
      <sheetName val="167"/>
      <sheetName val="168"/>
      <sheetName val="173 "/>
      <sheetName val="173(1) "/>
      <sheetName val="173(2)"/>
      <sheetName val="180"/>
      <sheetName val="176"/>
      <sheetName val="182 "/>
      <sheetName val="183 "/>
      <sheetName val="TRAFFIC"/>
      <sheetName val="192"/>
      <sheetName val="6"/>
      <sheetName val="5"/>
      <sheetName val="2"/>
      <sheetName val="1.1RE. ASPHAL-1.5 RE. PIPE +1.7"/>
      <sheetName val="2.4.2 SELECTED"/>
      <sheetName val="3.1.1 SUBBASE - 3.7 RECYCLING"/>
      <sheetName val="5.1(13) TEST"/>
      <sheetName val="5.1.4 BRIDGE APPRO"/>
      <sheetName val="5.2.1  NEW  R.C. BOX  "/>
      <sheetName val="6.3(15.5)SUBSOIL"/>
      <sheetName val="6.3(15.4)GABION "/>
      <sheetName val="6.3(16.8)SUBSOIL (2)"/>
      <sheetName val="6.3(17.1)SOIL NAIL"/>
      <sheetName val="6.3.2 CATCH BASIN"/>
      <sheetName val="6.8.1 W-GUARD"/>
      <sheetName val="6.8.3.2 BARRIER HIGH  FILL"/>
      <sheetName val="B.O.Q"/>
      <sheetName val="ค่า_F"/>
      <sheetName val="8_ข้อมูลเบื้องต้น"/>
      <sheetName val="10_ข้อมูลวัสดุ-ค่าดำเนิน"/>
      <sheetName val="11_ข้อมูลงานCon"/>
      <sheetName val="12_ข้อมูลงานไม้แบบ"/>
      <sheetName val="41_EXCAVATION"/>
      <sheetName val="42_1"/>
      <sheetName val="42_2_EMBANKMENT"/>
      <sheetName val="45__SELECTED,SUBBASE"/>
      <sheetName val="48_BASE,Recyciing"/>
      <sheetName val="51_ASPHALT,PRIME,TACK"/>
      <sheetName val="53_2"/>
      <sheetName val="62__BRIDGE"/>
      <sheetName val="64_1(อัดแรง)"/>
      <sheetName val="70_RC__BOX"/>
      <sheetName val="71_RC__PIPE_(3)"/>
      <sheetName val="83_RC_MANHOLE"/>
      <sheetName val="116_(1)"/>
      <sheetName val="130_1"/>
      <sheetName val="149_1"/>
      <sheetName val="154_"/>
      <sheetName val="173_"/>
      <sheetName val="173(1)_"/>
      <sheetName val="182_"/>
      <sheetName val="183_"/>
      <sheetName val="1_1RE__ASPHAL-1_5_RE__PIPE_+1_7"/>
      <sheetName val="2_4_2_SELECTED"/>
      <sheetName val="3_1_1_SUBBASE_-_3_7_RECYCLING"/>
      <sheetName val="5_1(13)_TEST"/>
      <sheetName val="5_1_4_BRIDGE_APPRO"/>
      <sheetName val="5_2_1__NEW__R_C__BOX__"/>
      <sheetName val="6_3(15_5)SUBSOIL"/>
      <sheetName val="6_3(15_4)GABION_"/>
      <sheetName val="6_3(16_8)SUBSOIL_(2)"/>
      <sheetName val="6_3(17_1)SOIL_NAIL"/>
      <sheetName val="6_3_2_CATCH_BASIN"/>
      <sheetName val="6_8_1_W-GUARD"/>
      <sheetName val="6_8_3_2_BARRIER_HIGH__FILL"/>
      <sheetName val="B_O_Q"/>
      <sheetName val="ค่า_F1"/>
      <sheetName val="8_ข้อมูลเบื้องต้น1"/>
      <sheetName val="10_ข้อมูลวัสดุ-ค่าดำเนิน1"/>
      <sheetName val="11_ข้อมูลงานCon1"/>
      <sheetName val="12_ข้อมูลงานไม้แบบ1"/>
      <sheetName val="41_EXCAVATION1"/>
      <sheetName val="42_11"/>
      <sheetName val="42_2_EMBANKMENT1"/>
      <sheetName val="45__SELECTED,SUBBASE1"/>
      <sheetName val="48_BASE,Recyciing1"/>
      <sheetName val="51_ASPHALT,PRIME,TACK1"/>
      <sheetName val="53_21"/>
      <sheetName val="62__BRIDGE1"/>
      <sheetName val="64_1(อัดแรง)1"/>
      <sheetName val="70_RC__BOX1"/>
      <sheetName val="71_RC__PIPE_(3)1"/>
      <sheetName val="83_RC_MANHOLE1"/>
      <sheetName val="116_(1)1"/>
      <sheetName val="130_11"/>
      <sheetName val="149_11"/>
      <sheetName val="154_1"/>
      <sheetName val="173_1"/>
      <sheetName val="173(1)_1"/>
      <sheetName val="182_1"/>
      <sheetName val="183_1"/>
      <sheetName val="1_1RE__ASPHAL-1_5_RE__PIPE_+1_1"/>
      <sheetName val="2_4_2_SELECTED1"/>
      <sheetName val="3_1_1_SUBBASE_-_3_7_RECYCLING1"/>
      <sheetName val="5_1(13)_TEST1"/>
      <sheetName val="5_1_4_BRIDGE_APPRO1"/>
      <sheetName val="5_2_1__NEW__R_C__BOX__1"/>
      <sheetName val="6_3(15_5)SUBSOIL1"/>
      <sheetName val="6_3(15_4)GABION_1"/>
      <sheetName val="6_3(16_8)SUBSOIL_(2)1"/>
      <sheetName val="6_3(17_1)SOIL_NAIL1"/>
      <sheetName val="6_3_2_CATCH_BASIN1"/>
      <sheetName val="6_8_1_W-GUARD1"/>
      <sheetName val="6_8_3_2_BARRIER_HIGH__FILL1"/>
      <sheetName val="B_O_Q1"/>
      <sheetName val="Local road Bac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ลักเกณฑ์(2หน้า)"/>
      <sheetName val="ต้นทุน(10หน้า)"/>
      <sheetName val="BOQ.(10 หน้า)"/>
      <sheetName val="ค่า F"/>
      <sheetName val="1ระยะขนส่ง"/>
      <sheetName val="2ข้อมูลเบื้องต้น"/>
      <sheetName val="3ข้อมูลวัสดุ-ค่าดำเนิน"/>
      <sheetName val="4ข้อมูลงานCon"/>
      <sheetName val="5ข้อมูลงานไม้แบบ"/>
      <sheetName val="6Remove+Clear"/>
      <sheetName val="7Cut+Soft.R+Hart.R+Uns"/>
      <sheetName val="8Unsui+Soft"/>
      <sheetName val="9EMB."/>
      <sheetName val="10Fil.Islandl+Side"/>
      <sheetName val="11P.B.Fill"/>
      <sheetName val="12Selec+Subbase"/>
      <sheetName val="13Base+Recyc+Scari"/>
      <sheetName val="14Prime+Tack"/>
      <sheetName val="15ASP.Lev."/>
      <sheetName val="16Asphaltic"/>
      <sheetName val="17สะพาน"/>
      <sheetName val="(ไม่เอา)ทางเบี่ยง"/>
      <sheetName val="18สะพาน.ราคารวม"/>
      <sheetName val="19คานอัดแรง"/>
      <sheetName val="20สะพานต่อ"/>
      <sheetName val="21สะพานต่อราคารวม"/>
      <sheetName val="22B.Appro"/>
      <sheetName val="23,24R.C.BOX (2ตัว)"/>
      <sheetName val="25-27RC. PIPE(3หน้า)"/>
      <sheetName val="28,29Slope.Pro+Shot(2หน้า)"/>
      <sheetName val="30Per.Pipe+R.Fill"/>
      <sheetName val="31,32Catch.Baแบบพิเศษ"/>
      <sheetName val="33R.C.Ditch"/>
      <sheetName val="34D.Lining"/>
      <sheetName val="35Retain"/>
      <sheetName val="36Crub"/>
      <sheetName val="37ทางเท้า"/>
      <sheetName val="38SODDING"/>
      <sheetName val="39,40Barr.(2หน้า)"/>
      <sheetName val="41G.POST"/>
      <sheetName val="42หลักกิโล"/>
      <sheetName val="43แผ่นป้าย+เสา"/>
      <sheetName val="44เสาไฟกิ่งคู่"/>
      <sheetName val="45ไฟนีออน"/>
      <sheetName val="46,47ย้ายเสาไฟ(2หน้า)"/>
      <sheetName val="48ไฟ เขียว-แดง"/>
      <sheetName val="49สีตีเส้น+R.Stu+C.Mak"/>
      <sheetName val="50C.mark+Barricade"/>
      <sheetName val="51BUS STOP"/>
      <sheetName val="52ป้ายชั่วคราว+ด่าน"/>
      <sheetName val="Input"/>
      <sheetName val="Form1"/>
      <sheetName val="41.EXCAVATION"/>
      <sheetName val="BOQ_(10_หน้า)"/>
      <sheetName val="ค่า_F"/>
      <sheetName val="7Cut+Soft_R+Hart_R+Uns"/>
      <sheetName val="9EMB_"/>
      <sheetName val="10Fil_Islandl+Side"/>
      <sheetName val="11P_B_Fill"/>
      <sheetName val="15ASP_Lev_"/>
      <sheetName val="18สะพาน_ราคารวม"/>
      <sheetName val="22B_Appro"/>
      <sheetName val="23,24R_C_BOX_(2ตัว)"/>
      <sheetName val="25-27RC__PIPE(3หน้า)"/>
      <sheetName val="28,29Slope_Pro+Shot(2หน้า)"/>
      <sheetName val="30Per_Pipe+R_Fill"/>
      <sheetName val="31,32Catch_Baแบบพิเศษ"/>
      <sheetName val="33R_C_Ditch"/>
      <sheetName val="34D_Lining"/>
      <sheetName val="39,40Barr_(2หน้า)"/>
      <sheetName val="41G_POST"/>
      <sheetName val="48ไฟ_เขียว-แดง"/>
      <sheetName val="49สีตีเส้น+R_Stu+C_Mak"/>
      <sheetName val="50C_mark+Barricade"/>
      <sheetName val="51BUS_STOP"/>
      <sheetName val="41_EXCAVATION"/>
      <sheetName val="BOQ_(10_หน้า)1"/>
      <sheetName val="ค่า_F1"/>
      <sheetName val="7Cut+Soft_R+Hart_R+Uns1"/>
      <sheetName val="9EMB_1"/>
      <sheetName val="10Fil_Islandl+Side1"/>
      <sheetName val="11P_B_Fill1"/>
      <sheetName val="15ASP_Lev_1"/>
      <sheetName val="18สะพาน_ราคารวม1"/>
      <sheetName val="22B_Appro1"/>
      <sheetName val="23,24R_C_BOX_(2ตัว)1"/>
      <sheetName val="25-27RC__PIPE(3หน้า)1"/>
      <sheetName val="28,29Slope_Pro+Shot(2หน้า)1"/>
      <sheetName val="30Per_Pipe+R_Fill1"/>
      <sheetName val="31,32Catch_Baแบบพิเศษ1"/>
      <sheetName val="33R_C_Ditch1"/>
      <sheetName val="34D_Lining1"/>
      <sheetName val="39,40Barr_(2หน้า)1"/>
      <sheetName val="41G_POST1"/>
      <sheetName val="48ไฟ_เขียว-แดง1"/>
      <sheetName val="49สีตีเส้น+R_Stu+C_Mak1"/>
      <sheetName val="50C_mark+Barricade1"/>
      <sheetName val="51BUS_STOP1"/>
      <sheetName val="41_EXCAVATION1"/>
      <sheetName val="6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X16">
            <v>21978.43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ทั่วไป"/>
      <sheetName val="INPUT"/>
      <sheetName val="สารบัญ"/>
      <sheetName val="ปะหน้า"/>
      <sheetName val="สารบัญหัวข้อการเบิกจ่าย"/>
      <sheetName val="ปร5"/>
      <sheetName val="ปร4"/>
      <sheetName val="ปร4-1"/>
      <sheetName val="หา FACTOR F"/>
      <sheetName val="ตารางFACTOR Fทาง"/>
      <sheetName val="ตารางFACTOR Fโครงสร้าง"/>
      <sheetName val="unitcost"/>
      <sheetName val="FACTOR - F"/>
      <sheetName val="กราฟทำงาน"/>
      <sheetName val="เวลาทำงาน (1)"/>
      <sheetName val="อัตราทำงาน"/>
      <sheetName val="แหล่งวัสดุ"/>
      <sheetName val="ค่าดำเนินการ"/>
      <sheetName val="ค่าขนส่ง 1"/>
      <sheetName val="ค่าขนส่ง 1(ต่อ)"/>
      <sheetName val="ดำเนินการ"/>
      <sheetName val="ดำเนินการ (เดิม)"/>
      <sheetName val="Factor ดิน"/>
      <sheetName val="bf"/>
      <sheetName val="boq-bf"/>
      <sheetName val="การคิดค่า"/>
      <sheetName val="ตารางขนส่ง"/>
      <sheetName val="ขนส่งพ่วง"/>
      <sheetName val="ขนส่งพ่วง(ต่อ)"/>
      <sheetName val="เริ่มต้น"/>
      <sheetName val="บทที่1"/>
      <sheetName val="บทที่2(1)"/>
      <sheetName val="วิธีคิดค่าขนส่ง"/>
      <sheetName val="Detailค่าเครื่องจักร"/>
      <sheetName val="สรุปค่าเครื่องจักร+อะไหล่สึกหรอ"/>
      <sheetName val="บทที่2(2)"/>
      <sheetName val="บทที่2(3)"/>
      <sheetName val="บทที่2(4)"/>
      <sheetName val="บทที่2(6)"/>
      <sheetName val="บทที่2(7)"/>
      <sheetName val="บทที่3"/>
      <sheetName val="บทที่3(2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ข้อมูลเบื้องต้น"/>
      <sheetName val="รายการทั้งหมด"/>
      <sheetName val="สารบัญ"/>
      <sheetName val="Summary (SUM)"/>
      <sheetName val="ค่าแรงงาน,ดำเนินการต่อหน่วย"/>
      <sheetName val="รายการงานของโครงการ (SUM)"/>
      <sheetName val="UNIT COST (2)"/>
      <sheetName val="General"/>
      <sheetName val="ราคาต่อหน่วย1.1_1"/>
      <sheetName val="ราคาต่อหน่วย 1.1_2"/>
      <sheetName val="ราคาต่อหน่วย 1.2"/>
      <sheetName val="ราคาต่อหน่วย 1.3-1.8"/>
      <sheetName val="ราคาวัสดุหมวด 1"/>
      <sheetName val="EWork"/>
      <sheetName val="REMOVAL"/>
      <sheetName val="2"/>
      <sheetName val="3"/>
      <sheetName val="4"/>
      <sheetName val="5-2"/>
      <sheetName val="Unit Cost"/>
      <sheetName val="6"/>
      <sheetName val="7"/>
      <sheetName val="8"/>
      <sheetName val="ค่าดำเนินการ+ค่าเสื่อมราคา"/>
      <sheetName val="ตารางค่าขนส่ง"/>
      <sheetName val="การหาค่า factor F (2)"/>
      <sheetName val="Factor F ฝนตกชุก"/>
      <sheetName val="ข้อมูลวัสดุและค่าดำเนินการ"/>
      <sheetName val="concrete&amp;งานไม้แบบ"/>
      <sheetName val="ราคาวัสดุ"/>
      <sheetName val="สรุปค่าขนส่ง"/>
      <sheetName val="ค่าขนส่ง-1"/>
      <sheetName val="DRAINAGE(KM)"/>
      <sheetName val="Barrier"/>
      <sheetName val="Bk Traffic"/>
      <sheetName val="6.12(1)"/>
      <sheetName val="6.12(2)"/>
      <sheetName val="6.12(2-a)"/>
      <sheetName val="6.12(2-b)"/>
      <sheetName val="6.12(2-c)"/>
      <sheetName val="6.12(6)"/>
      <sheetName val="6.12(7)"/>
      <sheetName val="6.12 (10)"/>
      <sheetName val="7.1"/>
      <sheetName val="Sheet3"/>
      <sheetName val="7.2"/>
      <sheetName val="6.13.1"/>
      <sheetName val="back up"/>
      <sheetName val="back up2"/>
      <sheetName val="back up3"/>
      <sheetName val="Soil Cement Column"/>
      <sheetName val="ค่าแรงต่อหน่วย"/>
      <sheetName val="ส่วนขยายและค่ายุบตัว"/>
      <sheetName val="รายชื่อสะพาน"/>
      <sheetName val="งานรื้อถอนสะพาน"/>
      <sheetName val="ท่อระบายน้ำ"/>
      <sheetName val="Traffic"/>
      <sheetName val="งานผิวจราจร"/>
      <sheetName val="ทางเชื่อม"/>
      <sheetName val="LOCAL ROAD"/>
      <sheetName val="UNIT_COST"/>
      <sheetName val="GIRDER"/>
      <sheetName val="STRUTURE _UNIT COST"/>
      <sheetName val="Piling"/>
      <sheetName val="Bor pile"/>
      <sheetName val="G"/>
      <sheetName val="backup ค่าของงานโครงสร้าง"/>
      <sheetName val="ค่าขนส่งทางทะเล"/>
      <sheetName val="หิน"/>
      <sheetName val="Summary"/>
      <sheetName val="รายการงานของโครงการ"/>
      <sheetName val="1"/>
      <sheetName val="5"/>
      <sheetName val="7.General-new"/>
      <sheetName val="Back Bill 4"/>
      <sheetName val="วัสดุคัดเลือก"/>
      <sheetName val="ดินถม ลูกรัง"/>
      <sheetName val="ทราย"/>
      <sheetName val="ป้อมยาม"/>
      <sheetName val="โรงจอดรถ"/>
      <sheetName val="Sheet1"/>
      <sheetName val="8Unsui+Soft"/>
      <sheetName val="25-27RC. PIPE(3หน้า)"/>
      <sheetName val="42หลักกิโล"/>
      <sheetName val="52ป้ายชั่วคราว+ด่าน"/>
      <sheetName val="3ข้อมูลวัสดุ-ค่าดำเนิน"/>
    </sheetNames>
    <sheetDataSet>
      <sheetData sheetId="0">
        <row r="2">
          <cell r="B2" t="str">
            <v>HIGHTWAY ROUTE NO.4006 BAN RATCHAKRUT - AMPHOE LANG SUAN SECTION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69">
          <cell r="W269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3">
          <cell r="J13">
            <v>16.100000000000001</v>
          </cell>
        </row>
      </sheetData>
      <sheetData sheetId="16">
        <row r="10">
          <cell r="J10">
            <v>3.15</v>
          </cell>
        </row>
      </sheetData>
      <sheetData sheetId="17">
        <row r="12">
          <cell r="J12">
            <v>614</v>
          </cell>
        </row>
      </sheetData>
      <sheetData sheetId="18">
        <row r="8">
          <cell r="J8">
            <v>25.19036273</v>
          </cell>
        </row>
      </sheetData>
      <sheetData sheetId="19">
        <row r="1244">
          <cell r="J1244">
            <v>2290</v>
          </cell>
        </row>
      </sheetData>
      <sheetData sheetId="20">
        <row r="137">
          <cell r="M137">
            <v>3430</v>
          </cell>
        </row>
      </sheetData>
      <sheetData sheetId="21">
        <row r="17">
          <cell r="J17">
            <v>393.22724104308389</v>
          </cell>
        </row>
      </sheetData>
      <sheetData sheetId="22">
        <row r="26">
          <cell r="J26">
            <v>1700980</v>
          </cell>
        </row>
      </sheetData>
      <sheetData sheetId="23" refreshError="1"/>
      <sheetData sheetId="24"/>
      <sheetData sheetId="25"/>
      <sheetData sheetId="26"/>
      <sheetData sheetId="27" refreshError="1"/>
      <sheetData sheetId="28">
        <row r="8">
          <cell r="J8">
            <v>24885.75</v>
          </cell>
        </row>
      </sheetData>
      <sheetData sheetId="29"/>
      <sheetData sheetId="30">
        <row r="11">
          <cell r="D11">
            <v>2.7570000000000001</v>
          </cell>
        </row>
      </sheetData>
      <sheetData sheetId="31"/>
      <sheetData sheetId="32">
        <row r="53">
          <cell r="M53">
            <v>285.69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5">
          <cell r="D5">
            <v>1.45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32">
          <cell r="C32">
            <v>0.62</v>
          </cell>
        </row>
      </sheetData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orksheet"/>
      <sheetName val="data"/>
      <sheetName val="unitcost"/>
      <sheetName val="RUN เลขหน้า ITEM"/>
      <sheetName val="B.O.Q"/>
      <sheetName val="ค่าขนส่งวัสดุ"/>
      <sheetName val="ตารางค่าดำเนินการ"/>
      <sheetName val="11 ข้อมูลงานCon"/>
      <sheetName val="10 ข้อมูลวัสดุ-ค่าดำเนิน"/>
      <sheetName val="12 ข้อมูลงานไม้แบบ"/>
      <sheetName val="5-2"/>
      <sheetName val="3"/>
      <sheetName val="2"/>
      <sheetName val="6"/>
      <sheetName val="Factor F"/>
      <sheetName val="4.1.1 prime-4.2.2 double"/>
      <sheetName val="5.1.1.1-5.1.1.2 new bridge "/>
      <sheetName val="traff.manage"/>
      <sheetName val="4"/>
      <sheetName val="รายละเอียดโครงการ"/>
      <sheetName val="detail"/>
      <sheetName val="fr"/>
      <sheetName val="EEC"/>
      <sheetName val="RUN_เลขหน้า_ITEM"/>
      <sheetName val="B_O_Q"/>
      <sheetName val="11_ข้อมูลงานCon"/>
      <sheetName val="10_ข้อมูลวัสดุ-ค่าดำเนิน"/>
      <sheetName val="12_ข้อมูลงานไม้แบบ"/>
      <sheetName val="Factor_F"/>
      <sheetName val="4_1_1_prime-4_2_2_double"/>
      <sheetName val="5_1_1_1-5_1_1_2_new_bridge_"/>
      <sheetName val="traff_manage"/>
      <sheetName val="RUN_เลขหน้า_ITEM1"/>
      <sheetName val="B_O_Q1"/>
      <sheetName val="11_ข้อมูลงานCon1"/>
      <sheetName val="10_ข้อมูลวัสดุ-ค่าดำเนิน1"/>
      <sheetName val="12_ข้อมูลงานไม้แบบ1"/>
      <sheetName val="Factor_F1"/>
      <sheetName val="4_1_1_prime-4_2_2_double1"/>
      <sheetName val="5_1_1_1-5_1_1_2_new_bridge_1"/>
      <sheetName val="traff_manage1"/>
      <sheetName val="ข้อมูลงานและราคา"/>
    </sheetNames>
    <sheetDataSet>
      <sheetData sheetId="0" refreshError="1"/>
      <sheetData sheetId="1" refreshError="1">
        <row r="8">
          <cell r="L8">
            <v>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ดแบ่งกม.ส่งพี่หนุ่ม"/>
      <sheetName val="ตัดแบ่งกม.ส่งพี่หนุ่ม (2)"/>
      <sheetName val="สรุปราคาของพี่วีระ"/>
      <sheetName val="ส่งพี่วินัย"/>
      <sheetName val="รายละเอียดโครงการ"/>
      <sheetName val="ปร5"/>
      <sheetName val="สรุปรายงาน"/>
      <sheetName val="สารบัญ"/>
      <sheetName val="Summary"/>
      <sheetName val="รายการงานของโครงการ"/>
      <sheetName val="รายการทั้งหมด"/>
      <sheetName val="ข้อมูลเบื้องต้น"/>
      <sheetName val="1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ราคาวัสดุ"/>
      <sheetName val="ข้อมูลวัสดุค่าดำเนินการ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Worksheet"/>
      <sheetName val="ตัดแบ่งกม_ส่งพี่หนุ่ม"/>
      <sheetName val="ตัดแบ่งกม_ส่งพี่หนุ่ม_(2)"/>
      <sheetName val="Unit_cost"/>
      <sheetName val="6_(2)"/>
      <sheetName val="back_up"/>
      <sheetName val="7_1"/>
      <sheetName val="7_2"/>
      <sheetName val="ตาราง_Factor_F_งานทาง"/>
      <sheetName val="ตาราง_Factor_F_สะพาน_ท่อเหลี่ยม"/>
      <sheetName val="ตาราง_Factor_F_อาคาร"/>
      <sheetName val="Factor_F"/>
      <sheetName val="F_ฝนตกชุก"/>
      <sheetName val="backup_ค่าของงานโครงสร้าง"/>
      <sheetName val="ตัดแบ่งกม_ส่งพี่หนุ่ม1"/>
      <sheetName val="ตัดแบ่งกม_ส่งพี่หนุ่ม_(2)1"/>
      <sheetName val="Unit_cost1"/>
      <sheetName val="6_(2)1"/>
      <sheetName val="back_up1"/>
      <sheetName val="7_11"/>
      <sheetName val="7_21"/>
      <sheetName val="ตาราง_Factor_F_งานทาง1"/>
      <sheetName val="ตาราง_Factor_F_สะพาน_ท่อเหลี่ย1"/>
      <sheetName val="ตาราง_Factor_F_อาคาร1"/>
      <sheetName val="Factor_F1"/>
      <sheetName val="F_ฝนตกชุก1"/>
      <sheetName val="backup_ค่าของงานโครงสร้าง1"/>
    </sheetNames>
    <sheetDataSet>
      <sheetData sheetId="0" refreshError="1">
        <row r="4">
          <cell r="E4">
            <v>183908246.11031938</v>
          </cell>
        </row>
        <row r="33">
          <cell r="D33">
            <v>54349540</v>
          </cell>
        </row>
        <row r="34">
          <cell r="D34">
            <v>52793420</v>
          </cell>
        </row>
        <row r="35">
          <cell r="D35">
            <v>160711090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ckup Data"/>
      <sheetName val="บัญชีรายการ"/>
      <sheetName val="ปร.4"/>
      <sheetName val="ปร.5"/>
      <sheetName val="ปร.6"/>
      <sheetName val="BOQ Form"/>
      <sheetName val="Break Down Cost"/>
      <sheetName val="Break Down Cost (2)"/>
      <sheetName val="Appendix"/>
      <sheetName val="Steel Weight"/>
      <sheetName val="สืบราคา"/>
      <sheetName val="Take of material"/>
      <sheetName val="ใบปะหน้า"/>
      <sheetName val="Paint"/>
      <sheetName val="10 ข้อมูลวัสดุ-ค่าดำเนิน"/>
      <sheetName val="pl"/>
      <sheetName val="EEC"/>
      <sheetName val="ค่าขนส่ง-1"/>
      <sheetName val="5-2"/>
      <sheetName val="Worksheet"/>
    </sheetNames>
    <sheetDataSet>
      <sheetData sheetId="0">
        <row r="3">
          <cell r="B3" t="str">
            <v>โครงการก่อสร้างทางเชื่อมต่อทางพิเศษสายบางพลี - สุขสวัสดิ์ กับทางพิเศษบูรพาวิถี</v>
          </cell>
        </row>
        <row r="4">
          <cell r="B4" t="str">
            <v>งานก่อสร้างหลังคาลานจอดรถที่อาคารควบคุมด่านเก็บค่าผ่านทาง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">
          <cell r="H22">
            <v>91.240000000000009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วัสดุก่อสร้างทั่วไป"/>
      <sheetName val="ค่าขนส่งวัสดุ"/>
      <sheetName val="ตารางค่า F"/>
      <sheetName val="ตารางค่าดำเนินการ"/>
      <sheetName val="1.รายละเอียด"/>
      <sheetName val="2.แผนที่แหล่งวัสดุ"/>
      <sheetName val="3.หลักเกณฑ์ (3)"/>
      <sheetName val="3.หลักเกณฑ์"/>
      <sheetName val="4.ข้อมูลเบื้องต้น"/>
      <sheetName val="5.ระยะขนส่ง"/>
      <sheetName val="ตัวแปรค่าขนส่ง"/>
      <sheetName val="6.ข้อมูลวัสดุ-ค่าดำเนิน"/>
      <sheetName val="ตารางเปรียบเทียบราคาไม้"/>
      <sheetName val="7.ข้อมูลงานCon+ไม้แบบ"/>
      <sheetName val="8.ข้อมูลงานไม้แบบ+งานทั่วไป"/>
      <sheetName val="ราคาต้นทุนกรรมการ"/>
      <sheetName val="ราคากลาง"/>
      <sheetName val="Fกรรมการ"/>
      <sheetName val="9.ค่า F"/>
      <sheetName val="B.O.Q"/>
      <sheetName val="หมายเหตุ."/>
      <sheetName val="1.1RE. ASPHAL-1.7RE.V-Ditch"/>
      <sheetName val="2.1CLEAR-2.2.4 UNSUIT."/>
      <sheetName val="2.3.1 EARTH EMB.-2.3.6 POROUS"/>
      <sheetName val="2.4.1SE.B. - 2.4.4SE.GRANULAR"/>
      <sheetName val="3.1.1 SUBBASE - 3.5 SCAR."/>
      <sheetName val="4.1.1 PRIME-4.1.2 TACK"/>
      <sheetName val="4.4.3 BIN.-4.4.4 WEAR."/>
      <sheetName val="4.4(4.3)overly wearing"/>
      <sheetName val="4.9.1PORTLAND"/>
      <sheetName val="4.9(3-6)EXPAN JIONT"/>
      <sheetName val="BOX G.+I G.+PLANK G."/>
      <sheetName val="ราวสะพาน"/>
      <sheetName val="เสาเข็ม65x65+fin"/>
      <sheetName val="DRAINAGE"/>
      <sheetName val="PRECAST FORM"/>
      <sheetName val="สะพานเบี่ยง +MULTI BEAM"/>
      <sheetName val="5.1.2.1สะพาน"/>
      <sheetName val="5.1.4 APPRO+5.1.6 ABUT.PROJEC"/>
      <sheetName val="BEARING U-REINFORCED -R.C."/>
      <sheetName val="5.1.7.1 สะพานคนเดินข้าม 113,123"/>
      <sheetName val="รายละเอียด สะพานคนเดินข้าม (2)"/>
      <sheetName val="5.2.2  EXTENSION  R.C. BOX "/>
      <sheetName val="เพิ่มเติมทุบย้ายBOX"/>
      <sheetName val="5.3RC. PIPE"/>
      <sheetName val="6.1.1 SLOPE-6.1.17"/>
      <sheetName val="6.3.1.3. MH. TYPE C 1.20"/>
      <sheetName val="6.3.1.4MH TYPE D  0.60"/>
      <sheetName val="6.3.1.3.เสริม TYPE C 1.20 "/>
      <sheetName val="6.3.1.4.1เสริม  MH. TYPE D 1.20"/>
      <sheetName val="6.3.2 CATCH BASIN"/>
      <sheetName val="6.3.3.2.4 DROP TYPE II"/>
      <sheetName val="6.3.4REC. PIPE+6.3.5.1+6.3. (2)"/>
      <sheetName val="6.3.12.1TYPE I-6.3.15MSE WALL"/>
      <sheetName val="6.4.1CURB &amp; GUTTER -6.4.4MOUNTA"/>
      <sheetName val="6.5.1 SLAB BLOCK 0.4 X 0.4"/>
      <sheetName val="6.5.3 IMPROVEM SLAB BLOCK "/>
      <sheetName val="6.6.1 B. SODDING"/>
      <sheetName val="6.8.1 W-GUARD"/>
      <sheetName val="6.8.1RE W-GUARD (2)"/>
      <sheetName val="6.8.3.1BARRIER TYPE 1"/>
      <sheetName val="6.8.3.3 BARRIER TYPE II"/>
      <sheetName val="6.8.4.1 APP. TYPE A-6.8.4.5 SPE"/>
      <sheetName val="6.10.1GUIDE P.-6.10.4.3 REFLEX."/>
      <sheetName val="6.11.1แผ่นป้าย - 6.11.2.2เสา"/>
      <sheetName val="6.11.3.1 MOUNTING ON STEEL TRUS"/>
      <sheetName val="6.11.4.1 STEEL POLE52800 "/>
      <sheetName val="6.11.4.2 STEEL POLE108000"/>
      <sheetName val="6.11.5.1.1STEEL TRUSS I"/>
      <sheetName val="6.11.5.2.1FOUNDATION I"/>
      <sheetName val="6.11.5.1 STEEL TRUSS II(2)"/>
      <sheetName val="6.11.5.2 PILE FOUNDATION II (2)"/>
      <sheetName val="6.12.1เสาไฟกิ่งเดี่ยว"/>
      <sheetName val="6.12.2 เสาไฟฟ้ากิ่งคู่"/>
      <sheetName val="2-40  watt"/>
      <sheetName val="1-150watt soffit"/>
      <sheetName val="6.12.10.1 RE. SINGLE BRAC."/>
      <sheetName val="6.12.10.1 RE. DOUBLE BRAC."/>
      <sheetName val="6.13.1.1 TRAFFIC SIGNAL4 F"/>
      <sheetName val="6.13.1.1 TRAFFIC SIGNAL (3)3F"/>
      <sheetName val="รายละเอียดเสาไฟสัญญาณ10ม. "/>
      <sheetName val="FLASHIS SIGHL"/>
      <sheetName val="6.15สีตีเส้น+6.15.4.1 STUD (2)"/>
      <sheetName val="6.15+6.15.4.1 STUD"/>
      <sheetName val="6.17.1BUS STOP A-F"/>
      <sheetName val="6.18 B. GASSING (2)-DRAINAGE"/>
      <sheetName val="ป้าย"/>
      <sheetName val="RUN เลขหน้า ITEM"/>
      <sheetName val="boq"/>
      <sheetName val="FCalSH"/>
      <sheetName val="4"/>
      <sheetName val="6"/>
      <sheetName val="3"/>
      <sheetName val="2"/>
      <sheetName val="1"/>
      <sheetName val="รายละเอียดโครงการ"/>
      <sheetName val="5-2"/>
      <sheetName val="สรุป"/>
      <sheetName val="ตัดแบ่งกม.ส่งพี่หนุ่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8">
          <cell r="D3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บัญชีฯ(ทุน)"/>
      <sheetName val="ค่า F"/>
      <sheetName val="ระยะขนส่งวัสดุ"/>
      <sheetName val="ข้อมูลวัสดุก่อสร้างทาง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40"/>
      <sheetName val="41.EXCAVATION"/>
      <sheetName val="42.1"/>
      <sheetName val="42.2 EMBANKMENT"/>
      <sheetName val="44"/>
      <sheetName val="45. SELECTED,SUBBASE"/>
      <sheetName val="48.BASE,Recyciing"/>
      <sheetName val="51.ASPHALT,PRIME,TACK"/>
      <sheetName val="53.2"/>
      <sheetName val="56"/>
      <sheetName val="62. BRIDGE"/>
      <sheetName val="63"/>
      <sheetName val="64"/>
      <sheetName val="64.1(อัดแรง)"/>
      <sheetName val="คานอัดแรง"/>
      <sheetName val="Approach"/>
      <sheetName val="67"/>
      <sheetName val="68"/>
      <sheetName val="69"/>
      <sheetName val="70.RC. BOX"/>
      <sheetName val="71.RC. PIPE (3)"/>
      <sheetName val="72"/>
      <sheetName val="73"/>
      <sheetName val="83.RC.MANHOLE"/>
      <sheetName val="116 (1)"/>
      <sheetName val="123"/>
      <sheetName val="130"/>
      <sheetName val="130.1"/>
      <sheetName val="149"/>
      <sheetName val="149.1"/>
      <sheetName val="150"/>
      <sheetName val="152"/>
      <sheetName val="154 "/>
      <sheetName val="156"/>
      <sheetName val="157"/>
      <sheetName val="158"/>
      <sheetName val="166"/>
      <sheetName val="167"/>
      <sheetName val="168"/>
      <sheetName val="173 "/>
      <sheetName val="173(1) "/>
      <sheetName val="173(2)"/>
      <sheetName val="180"/>
      <sheetName val="176"/>
      <sheetName val="182 "/>
      <sheetName val="183 "/>
      <sheetName val="TRAFFIC"/>
      <sheetName val="192"/>
      <sheetName val="Bill No. 2 - Carpark"/>
      <sheetName val="สายแม่ริม-แม่แตง ตอน2 A"/>
      <sheetName val="ราคาคอนกรีตต่อหน่วย"/>
      <sheetName val="detail"/>
      <sheetName val="สรุป"/>
      <sheetName val="fr"/>
      <sheetName val="อาคาร 2 11Boots"/>
      <sheetName val="อาคาร 2 14Boots"/>
      <sheetName val="อาคาร 2 5Boots"/>
      <sheetName val="อาคาร 2 6Boots"/>
      <sheetName val="boq"/>
      <sheetName val="ปร5"/>
      <sheetName val="Backup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R11">
            <v>1705.86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วิธีการใช้งาน"/>
      <sheetName val="RUN เลขหน้า ITEM"/>
      <sheetName val="1.รายละเอียด"/>
      <sheetName val="2.แผนที่แหล่งวัสดุ"/>
      <sheetName val="3.หลักเกณฑ์"/>
      <sheetName val="3.หลักเกณฑ์ (3)"/>
      <sheetName val="GIRDER"/>
      <sheetName val="STRUTURE _UNIT COST"/>
      <sheetName val="4.ข้อมูลเบื้องต้น"/>
      <sheetName val="ราคาวัสดุก่อสร้างทั่วไป"/>
      <sheetName val="ตารางค่าดำเนินการ"/>
      <sheetName val="ค่าขนส่งวัสดุ"/>
      <sheetName val="5.ระยะขนส่ง"/>
      <sheetName val="ระยะทางเฉลี่ย"/>
      <sheetName val="ตารางเปรียบเทียบราคาไม้"/>
      <sheetName val="ตัวแปรค่าขนส่ง"/>
      <sheetName val="6.ข้อมูลวัสดุ-ค่าดำเนิน"/>
      <sheetName val="7.ข้อมูลงานCon+ไม้แบบ"/>
      <sheetName val="8.ข้อมูลงานไม้แบบ+งานทั่วไป"/>
      <sheetName val="ตารางค่า F"/>
      <sheetName val="9.ค่า F"/>
      <sheetName val="B.O.Q"/>
      <sheetName val="B5"/>
      <sheetName val="คอนกรีตสะพานข้ามแยก"/>
      <sheetName val="Piling"/>
      <sheetName val="Bor pile"/>
      <sheetName val="V2"/>
      <sheetName val="B5.1(2)"/>
      <sheetName val="ตีเส้น"/>
      <sheetName val="ป้ายจราจร"/>
      <sheetName val="6.4"/>
      <sheetName val="B6.12"/>
      <sheetName val="ดินตัด-ถม"/>
      <sheetName val="หมายเหตุ. (2)"/>
      <sheetName val="หมายเหตุ."/>
      <sheetName val="หมายเหตุ1"/>
      <sheetName val="1.1RE EXS.BRIDGE"/>
      <sheetName val="2.1CLEAR-2.2.5 SOFT MAT"/>
      <sheetName val="2.3.1 EARTH EMB.-2.3.6 POROUS"/>
      <sheetName val="2.4.1SE.B. - 2.4.2 SE.A"/>
      <sheetName val="2.3(10.2)CEMENT COLUMN"/>
      <sheetName val="3.1.1 SUBBASE - 3.7 RECYCLING"/>
      <sheetName val="4.1.1 PRIME-4.2.2 DOUBLE"/>
      <sheetName val="4.4.(3)BIND.-4.4.(4)WEAR"/>
      <sheetName val="5.1.1.1-5.1.1.2 NEW BRIDGE "/>
      <sheetName val="นั่งร้าน"/>
      <sheetName val="5.1.4 APPRO"/>
      <sheetName val="5.1.5 BEARING UNIT"/>
      <sheetName val="5.2.1.1-5.2.3.1 R.C. BOX"/>
      <sheetName val="5.3RC. PIPE(6)"/>
      <sheetName val="PLANK G.+เสาเข็มDIA 80"/>
      <sheetName val="6.1(1) SLOPE-6.1.20"/>
      <sheetName val="6.3.1.4 MH. TYPE D 0.80"/>
      <sheetName val="MH.E,B"/>
      <sheetName val="RE.WALLI,II,RA-RW"/>
      <sheetName val="6.3.8 R.C.DITCH TYPE A"/>
      <sheetName val="6.(4)REC.PIPE "/>
      <sheetName val="6.4.1CURB &amp; GUTTER -6.4.4MOUNTA"/>
      <sheetName val="R.STUD.CURBMARK"/>
      <sheetName val="6.5.1SLAB BLOCK-6.5.3HALLOW"/>
      <sheetName val="6.8.4.1 APP. TYPE A-6.8.4.5 SPE"/>
      <sheetName val="RC.STEELRAIL"/>
      <sheetName val="6.10.2KM.- 6.10.3ROW."/>
      <sheetName val="6.11.1แผ่นป้าย - 6.11.2.2เสา"/>
      <sheetName val="6.11.3.1 MOUNTING ON STEEL TRUS"/>
      <sheetName val="6.11.5.1 STEEL TRUSS"/>
      <sheetName val="6.11.5.2 PILE FOUNDATION"/>
      <sheetName val="6.12.3เสาไฟกิ่งเดี่ยว 9ม. "/>
      <sheetName val="เสาไฟกิ่งเดี่ยว 12 ม."/>
      <sheetName val="6.12.4เสาไฟกิ่งคู่ 9ม."/>
      <sheetName val="Deck Soffit"/>
      <sheetName val="SUPPLY PILLAR"/>
      <sheetName val="6.13.1.1 TRAFFIC SIGNAL (3)3F"/>
      <sheetName val="6.15สีตีเส้น"/>
      <sheetName val="Sheet1"/>
      <sheetName val="TRAFF.MANAGE"/>
      <sheetName val="ITEM ที่ยังไม่ได้ตรวจสอบปริมาณ"/>
      <sheetName val="11 ข้อมูลงานCon"/>
      <sheetName val="ปร4"/>
      <sheetName val="ราคาวัสดุ"/>
      <sheetName val="pl"/>
      <sheetName val="หา FACTOR F"/>
      <sheetName val="unitcost"/>
      <sheetName val="RUN_เลขหน้า_ITEM"/>
      <sheetName val="1_รายละเอียด"/>
      <sheetName val="2_แผนที่แหล่งวัสดุ"/>
      <sheetName val="3_หลักเกณฑ์"/>
      <sheetName val="3_หลักเกณฑ์_(3)"/>
      <sheetName val="STRUTURE__UNIT_COST"/>
      <sheetName val="4_ข้อมูลเบื้องต้น"/>
      <sheetName val="5_ระยะขนส่ง"/>
      <sheetName val="6_ข้อมูลวัสดุ-ค่าดำเนิน"/>
      <sheetName val="7_ข้อมูลงานCon+ไม้แบบ"/>
      <sheetName val="8_ข้อมูลงานไม้แบบ+งานทั่วไป"/>
      <sheetName val="ตารางค่า_F"/>
      <sheetName val="9_ค่า_F"/>
      <sheetName val="B_O_Q"/>
      <sheetName val="Bor_pile"/>
      <sheetName val="B5_1(2)"/>
      <sheetName val="6_4"/>
      <sheetName val="B6_12"/>
      <sheetName val="หมายเหตุ__(2)"/>
      <sheetName val="หมายเหตุ_"/>
      <sheetName val="1_1RE_EXS_BRIDGE"/>
      <sheetName val="2_1CLEAR-2_2_5_SOFT_MAT"/>
      <sheetName val="2_3_1_EARTH_EMB_-2_3_6_POROUS"/>
      <sheetName val="2_4_1SE_B__-_2_4_2_SE_A"/>
      <sheetName val="2_3(10_2)CEMENT_COLUMN"/>
      <sheetName val="3_1_1_SUBBASE_-_3_7_RECYCLING"/>
      <sheetName val="4_1_1_PRIME-4_2_2_DOUBLE"/>
      <sheetName val="4_4_(3)BIND_-4_4_(4)WEAR"/>
      <sheetName val="5_1_1_1-5_1_1_2_NEW_BRIDGE_"/>
      <sheetName val="5_1_4_APPRO"/>
      <sheetName val="5_1_5_BEARING_UNIT"/>
      <sheetName val="5_2_1_1-5_2_3_1_R_C__BOX"/>
      <sheetName val="5_3RC__PIPE(6)"/>
      <sheetName val="PLANK_G_+เสาเข็มDIA_80"/>
      <sheetName val="6_1(1)_SLOPE-6_1_20"/>
      <sheetName val="6_3_1_4_MH__TYPE_D_0_80"/>
      <sheetName val="MH_E,B"/>
      <sheetName val="RE_WALLI,II,RA-RW"/>
      <sheetName val="6_3_8_R_C_DITCH_TYPE_A"/>
      <sheetName val="6_(4)REC_PIPE_"/>
      <sheetName val="6_4_1CURB_&amp;_GUTTER_-6_4_4MOUNTA"/>
      <sheetName val="R_STUD_CURBMARK"/>
      <sheetName val="6_5_1SLAB_BLOCK-6_5_3HALLOW"/>
      <sheetName val="6_8_4_1_APP__TYPE_A-6_8_4_5_SPE"/>
      <sheetName val="RC_STEELRAIL"/>
      <sheetName val="6_10_2KM_-_6_10_3ROW_"/>
      <sheetName val="6_11_1แผ่นป้าย_-_6_11_2_2เสา"/>
      <sheetName val="6_11_3_1_MOUNTING_ON_STEEL_TRUS"/>
      <sheetName val="6_11_5_1_STEEL_TRUSS"/>
      <sheetName val="6_11_5_2_PILE_FOUNDATION"/>
      <sheetName val="6_12_3เสาไฟกิ่งเดี่ยว_9ม__"/>
      <sheetName val="เสาไฟกิ่งเดี่ยว_12_ม_"/>
      <sheetName val="6_12_4เสาไฟกิ่งคู่_9ม_"/>
      <sheetName val="Deck_Soffit"/>
      <sheetName val="SUPPLY_PILLAR"/>
      <sheetName val="6_13_1_1_TRAFFIC_SIGNAL_(3)3F"/>
      <sheetName val="6_15สีตีเส้น"/>
      <sheetName val="TRAFF_MANAGE"/>
      <sheetName val="ITEM_ที่ยังไม่ได้ตรวจสอบปริมาณ"/>
      <sheetName val="11_ข้อมูลงานCon"/>
      <sheetName val="หา_FACTOR_F"/>
      <sheetName val="RUN_เลขหน้า_ITEM1"/>
      <sheetName val="1_รายละเอียด1"/>
      <sheetName val="2_แผนที่แหล่งวัสดุ1"/>
      <sheetName val="3_หลักเกณฑ์1"/>
      <sheetName val="3_หลักเกณฑ์_(3)1"/>
      <sheetName val="STRUTURE__UNIT_COST1"/>
      <sheetName val="4_ข้อมูลเบื้องต้น1"/>
      <sheetName val="5_ระยะขนส่ง1"/>
      <sheetName val="6_ข้อมูลวัสดุ-ค่าดำเนิน1"/>
      <sheetName val="7_ข้อมูลงานCon+ไม้แบบ1"/>
      <sheetName val="8_ข้อมูลงานไม้แบบ+งานทั่วไป1"/>
      <sheetName val="ตารางค่า_F1"/>
      <sheetName val="9_ค่า_F1"/>
      <sheetName val="B_O_Q1"/>
      <sheetName val="Bor_pile1"/>
      <sheetName val="B5_1(2)1"/>
      <sheetName val="6_41"/>
      <sheetName val="B6_121"/>
      <sheetName val="หมายเหตุ__(2)1"/>
      <sheetName val="หมายเหตุ_1"/>
      <sheetName val="1_1RE_EXS_BRIDGE1"/>
      <sheetName val="2_1CLEAR-2_2_5_SOFT_MAT1"/>
      <sheetName val="2_3_1_EARTH_EMB_-2_3_6_POROUS1"/>
      <sheetName val="2_4_1SE_B__-_2_4_2_SE_A1"/>
      <sheetName val="2_3(10_2)CEMENT_COLUMN1"/>
      <sheetName val="3_1_1_SUBBASE_-_3_7_RECYCLING1"/>
      <sheetName val="4_1_1_PRIME-4_2_2_DOUBLE1"/>
      <sheetName val="4_4_(3)BIND_-4_4_(4)WEAR1"/>
      <sheetName val="5_1_1_1-5_1_1_2_NEW_BRIDGE_1"/>
      <sheetName val="5_1_4_APPRO1"/>
      <sheetName val="5_1_5_BEARING_UNIT1"/>
      <sheetName val="5_2_1_1-5_2_3_1_R_C__BOX1"/>
      <sheetName val="5_3RC__PIPE(6)1"/>
      <sheetName val="PLANK_G_+เสาเข็มDIA_801"/>
      <sheetName val="6_1(1)_SLOPE-6_1_201"/>
      <sheetName val="6_3_1_4_MH__TYPE_D_0_801"/>
      <sheetName val="MH_E,B1"/>
      <sheetName val="RE_WALLI,II,RA-RW1"/>
      <sheetName val="6_3_8_R_C_DITCH_TYPE_A1"/>
      <sheetName val="6_(4)REC_PIPE_1"/>
      <sheetName val="6_4_1CURB_&amp;_GUTTER_-6_4_4MOUNT1"/>
      <sheetName val="R_STUD_CURBMARK1"/>
      <sheetName val="6_5_1SLAB_BLOCK-6_5_3HALLOW1"/>
      <sheetName val="6_8_4_1_APP__TYPE_A-6_8_4_5_SP1"/>
      <sheetName val="RC_STEELRAIL1"/>
      <sheetName val="6_10_2KM_-_6_10_3ROW_1"/>
      <sheetName val="6_11_1แผ่นป้าย_-_6_11_2_2เสา1"/>
      <sheetName val="6_11_3_1_MOUNTING_ON_STEEL_TRU1"/>
      <sheetName val="6_11_5_1_STEEL_TRUSS1"/>
      <sheetName val="6_11_5_2_PILE_FOUNDATION1"/>
      <sheetName val="6_12_3เสาไฟกิ่งเดี่ยว_9ม__1"/>
      <sheetName val="เสาไฟกิ่งเดี่ยว_12_ม_1"/>
      <sheetName val="6_12_4เสาไฟกิ่งคู่_9ม_1"/>
      <sheetName val="Deck_Soffit1"/>
      <sheetName val="SUPPLY_PILLAR1"/>
      <sheetName val="6_13_1_1_TRAFFIC_SIGNAL_(3)3F1"/>
      <sheetName val="6_15สีตีเส้น1"/>
      <sheetName val="TRAFF_MANAGE1"/>
      <sheetName val="ITEM_ที่ยังไม่ได้ตรวจสอบปริมาณ1"/>
      <sheetName val="11_ข้อมูลงานCon1"/>
      <sheetName val="หา_FACTOR_F1"/>
      <sheetName val="summary"/>
      <sheetName val="Std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5">
          <cell r="X15">
            <v>47846.41</v>
          </cell>
        </row>
        <row r="31">
          <cell r="X31">
            <v>601.53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"/>
      <sheetName val="LITF"/>
      <sheetName val="EE-SIMC (2)"/>
      <sheetName val="ภูมิทัศน์"/>
      <sheetName val="boq"/>
      <sheetName val="Bill No. 2 - Carpark"/>
      <sheetName val="Form"/>
      <sheetName val="Structure"/>
      <sheetName val="11 ข้อมูลงานC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่าดำเนินการ+เสื่อมราคา"/>
      <sheetName val="ราคาคอนกรีตต่อหน่วย"/>
      <sheetName val="ราคาวัสดุ"/>
      <sheetName val="ต้นทุนงานทาง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รายละเอียดโครงการ"/>
      <sheetName val="ค่าขนส่ง-1"/>
      <sheetName val="ตารางค่าขนส่ง"/>
      <sheetName val="ค่าดำเนินการ+ค่าเสื่อมราคา"/>
      <sheetName val="boq"/>
      <sheetName val="pl"/>
      <sheetName val="10 ข้อมูลวัสดุ-ค่าดำเนิน"/>
      <sheetName val="6.ข้อมูลวัสดุ-ค่าดำเนิน"/>
    </sheetNames>
    <sheetDataSet>
      <sheetData sheetId="0" refreshError="1"/>
      <sheetData sheetId="1" refreshError="1"/>
      <sheetData sheetId="2" refreshError="1">
        <row r="61">
          <cell r="F61">
            <v>35.1779996</v>
          </cell>
        </row>
        <row r="63">
          <cell r="F63">
            <v>35.1779996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EEC"/>
    </sheetNames>
    <sheetDataSet>
      <sheetData sheetId="0" refreshError="1"/>
      <sheetData sheetId="1" refreshError="1"/>
      <sheetData sheetId="2" refreshError="1"/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 2 5Boots"/>
      <sheetName val="อาคาร 2 6Boots"/>
      <sheetName val="อาคาร 2 11Boots"/>
      <sheetName val="อาคาร 2 14Boots"/>
      <sheetName val="Sum.No.02 (11 Boots)"/>
      <sheetName val="No.02 (11 Boots)"/>
      <sheetName val="Sum.No.02 (14 Boots)"/>
      <sheetName val="No.02 (14 Boots)"/>
      <sheetName val="Sum.No.02 (5 Boots)"/>
      <sheetName val="No.02 (5 Boots)"/>
      <sheetName val="Sum.No.02 (6 Boots)"/>
      <sheetName val="No.02 (6 Boots)"/>
      <sheetName val="ค่าขนส่ง-1"/>
      <sheetName val="5-2"/>
      <sheetName val="FCalSH"/>
      <sheetName val="boq"/>
      <sheetName val="4"/>
      <sheetName val="6"/>
      <sheetName val="3"/>
      <sheetName val="2"/>
      <sheetName val="1"/>
      <sheetName val="รายละเอียดโครงการ"/>
      <sheetName val="12 ข้อมูลงานไม้แบบ"/>
      <sheetName val="11 ข้อมูลงานCon"/>
      <sheetName val="LITF"/>
    </sheetNames>
    <sheetDataSet>
      <sheetData sheetId="0">
        <row r="4">
          <cell r="I4" t="e">
            <v>#REF!</v>
          </cell>
        </row>
      </sheetData>
      <sheetData sheetId="1">
        <row r="4">
          <cell r="I4" t="e">
            <v>#REF!</v>
          </cell>
        </row>
      </sheetData>
      <sheetData sheetId="2">
        <row r="4">
          <cell r="I4" t="e">
            <v>#REF!</v>
          </cell>
        </row>
      </sheetData>
      <sheetData sheetId="3">
        <row r="4">
          <cell r="I4" t="e">
            <v>#REF!</v>
          </cell>
        </row>
      </sheetData>
      <sheetData sheetId="4">
        <row r="27">
          <cell r="F27" t="e">
            <v>#REF!</v>
          </cell>
        </row>
      </sheetData>
      <sheetData sheetId="5" refreshError="1"/>
      <sheetData sheetId="6">
        <row r="27">
          <cell r="F27" t="e">
            <v>#REF!</v>
          </cell>
        </row>
      </sheetData>
      <sheetData sheetId="7" refreshError="1"/>
      <sheetData sheetId="8">
        <row r="27">
          <cell r="F27" t="e">
            <v>#REF!</v>
          </cell>
        </row>
      </sheetData>
      <sheetData sheetId="9" refreshError="1"/>
      <sheetData sheetId="10">
        <row r="27">
          <cell r="F27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-FOOTING (G)"/>
      <sheetName val="EST_FOOTING _G_"/>
      <sheetName val="Bill No. 2 - Carpark"/>
      <sheetName val="Invoice"/>
      <sheetName val="Sum"/>
      <sheetName val="HOUSE-G"/>
      <sheetName val="Take-off stru"/>
      <sheetName val="QUANTITY COMPARISON"/>
      <sheetName val="BK Unit Rate"/>
      <sheetName val="SH-B"/>
      <sheetName val="SH-D"/>
      <sheetName val="SH-E"/>
      <sheetName val="SH-G"/>
      <sheetName val="SH-C"/>
      <sheetName val="SAN REDUCED 1"/>
      <sheetName val="โครงสร้าง"/>
      <sheetName val="LITF"/>
      <sheetName val="sheetNO"/>
      <sheetName val="Cover  Blank Form  B.O.Q  "/>
      <sheetName val="H1.0"/>
      <sheetName val="EST-FOOTING_(G)"/>
      <sheetName val="EST_FOOTING__G_"/>
      <sheetName val="Bill_No__2_-_Carpark"/>
      <sheetName val="Take-off_stru"/>
      <sheetName val="BK_Unit_Rate"/>
      <sheetName val="sum 1-4"/>
      <sheetName val="Sch 2 bu"/>
      <sheetName val="rate"/>
      <sheetName val="Material"/>
      <sheetName val="Sheet1"/>
      <sheetName val="รวมราคาทั้งสิ้น"/>
      <sheetName val="สรุปการประมาณราคา"/>
      <sheetName val="ปริมาณ-ราคา งาน"/>
      <sheetName val="EST-TOTAL (G)"/>
      <sheetName val="ÊÃØ»¡ÒÃ»ÃÐÁÒ³ÃÒ¤Ò"/>
      <sheetName val="»ÃÔÁÒ³-ÃÒ¤Ò §Ò¹"/>
      <sheetName val="Cal Fto"/>
      <sheetName val="BOQ1 (2)"/>
      <sheetName val="Summary"/>
      <sheetName val="I-slab"/>
      <sheetName val="Syntec Summary_B_C_F"/>
      <sheetName val="bq"/>
      <sheetName val="2.0"/>
      <sheetName val="3.0"/>
      <sheetName val="4.0"/>
      <sheetName val="5.0"/>
      <sheetName val="6.0"/>
      <sheetName val="7.0"/>
      <sheetName val="8.0"/>
      <sheetName val="สรุป"/>
      <sheetName val="Beam (b1)"/>
      <sheetName val="Criteria"/>
      <sheetName val="Interial"/>
      <sheetName val="TOSHIBA-Structure"/>
      <sheetName val="Cavity Inputs"/>
      <sheetName val="Rpt Qld"/>
      <sheetName val="ราคาวัสดุ"/>
    </sheetNames>
    <sheetDataSet>
      <sheetData sheetId="0" refreshError="1">
        <row r="1">
          <cell r="A1" t="str">
            <v>Program Estimate Footing</v>
          </cell>
        </row>
        <row r="2">
          <cell r="A2" t="str">
            <v>Project</v>
          </cell>
        </row>
        <row r="4">
          <cell r="R4" t="str">
            <v xml:space="preserve">   ด้านสั้น</v>
          </cell>
          <cell r="AP4" t="str">
            <v xml:space="preserve">   ด้านยาว</v>
          </cell>
        </row>
        <row r="5">
          <cell r="G5" t="str">
            <v>เหล็กบน</v>
          </cell>
          <cell r="S5" t="str">
            <v>เหล็กล่างด้านสั้น</v>
          </cell>
          <cell r="AE5" t="str">
            <v>เหล็กบน</v>
          </cell>
          <cell r="AQ5" t="str">
            <v>เหล็กล่างด้านยาว</v>
          </cell>
          <cell r="BJ5" t="str">
            <v>บดอัด</v>
          </cell>
          <cell r="BK5" t="str">
            <v>ทราย</v>
          </cell>
          <cell r="BO5" t="str">
            <v>REINFORCEMENT BAR</v>
          </cell>
        </row>
        <row r="6">
          <cell r="A6" t="str">
            <v>NAME</v>
          </cell>
          <cell r="B6" t="str">
            <v>กว้าง</v>
          </cell>
          <cell r="C6" t="str">
            <v>ยาว</v>
          </cell>
          <cell r="D6" t="str">
            <v>หนา</v>
          </cell>
          <cell r="E6" t="str">
            <v>ลึก</v>
          </cell>
          <cell r="F6" t="str">
            <v>จำนวน</v>
          </cell>
          <cell r="G6" t="str">
            <v>จำนวน(เส้น)</v>
          </cell>
          <cell r="M6" t="str">
            <v>ระยะ( @ )</v>
          </cell>
          <cell r="S6" t="str">
            <v>จำนวน(เส้น)</v>
          </cell>
          <cell r="Y6" t="str">
            <v>ระยะ( @ ) (ม.)</v>
          </cell>
          <cell r="AE6" t="str">
            <v>จำนวน(เส้น)</v>
          </cell>
          <cell r="AK6" t="str">
            <v>ระยะ( @ )</v>
          </cell>
          <cell r="AQ6" t="str">
            <v>จำนวน(เส้น)</v>
          </cell>
          <cell r="AW6" t="str">
            <v>ระยะ( @ ) (ม.)</v>
          </cell>
          <cell r="BE6" t="str">
            <v>รัดรอบ</v>
          </cell>
          <cell r="BH6" t="str">
            <v>ขุดดิน</v>
          </cell>
          <cell r="BI6" t="str">
            <v>ถมดินกลับ</v>
          </cell>
          <cell r="BJ6" t="str">
            <v>ดินเดิม</v>
          </cell>
          <cell r="BK6" t="str">
            <v>รองพื้น</v>
          </cell>
          <cell r="BL6" t="str">
            <v>Lean</v>
          </cell>
          <cell r="BM6" t="str">
            <v>FW</v>
          </cell>
          <cell r="BN6" t="str">
            <v>CONC</v>
          </cell>
          <cell r="BO6" t="str">
            <v>Dia.6 mm.</v>
          </cell>
          <cell r="BP6" t="str">
            <v>Dia.9 mm.</v>
          </cell>
          <cell r="BQ6" t="str">
            <v>Dia.12 mm.</v>
          </cell>
          <cell r="BR6" t="str">
            <v>Dia.16 mm.</v>
          </cell>
          <cell r="BS6" t="str">
            <v>Dia.20 mm.</v>
          </cell>
          <cell r="BT6" t="str">
            <v>Dia.25 mm.</v>
          </cell>
          <cell r="BU6" t="str">
            <v>REMARK</v>
          </cell>
        </row>
        <row r="7">
          <cell r="B7" t="str">
            <v>(m.)</v>
          </cell>
          <cell r="C7" t="str">
            <v>(m.)</v>
          </cell>
          <cell r="D7" t="str">
            <v>(m.)</v>
          </cell>
          <cell r="E7" t="str">
            <v>(m.)</v>
          </cell>
          <cell r="F7" t="str">
            <v>(Set)</v>
          </cell>
          <cell r="G7">
            <v>9</v>
          </cell>
          <cell r="H7">
            <v>12</v>
          </cell>
          <cell r="I7">
            <v>16</v>
          </cell>
          <cell r="J7">
            <v>20</v>
          </cell>
          <cell r="K7">
            <v>25</v>
          </cell>
          <cell r="L7">
            <v>28</v>
          </cell>
          <cell r="M7">
            <v>9</v>
          </cell>
          <cell r="N7">
            <v>12</v>
          </cell>
          <cell r="O7">
            <v>16</v>
          </cell>
          <cell r="P7">
            <v>20</v>
          </cell>
          <cell r="Q7">
            <v>25</v>
          </cell>
          <cell r="R7">
            <v>28</v>
          </cell>
          <cell r="S7">
            <v>9</v>
          </cell>
          <cell r="T7">
            <v>12</v>
          </cell>
          <cell r="U7">
            <v>16</v>
          </cell>
          <cell r="V7">
            <v>20</v>
          </cell>
          <cell r="W7">
            <v>25</v>
          </cell>
          <cell r="X7">
            <v>28</v>
          </cell>
          <cell r="Y7">
            <v>9</v>
          </cell>
          <cell r="Z7">
            <v>12</v>
          </cell>
          <cell r="AA7">
            <v>16</v>
          </cell>
          <cell r="AB7">
            <v>20</v>
          </cell>
          <cell r="AC7">
            <v>25</v>
          </cell>
          <cell r="AD7">
            <v>28</v>
          </cell>
          <cell r="AE7">
            <v>9</v>
          </cell>
          <cell r="AF7">
            <v>12</v>
          </cell>
          <cell r="AG7">
            <v>16</v>
          </cell>
          <cell r="AH7">
            <v>20</v>
          </cell>
          <cell r="AI7">
            <v>25</v>
          </cell>
          <cell r="AJ7">
            <v>28</v>
          </cell>
          <cell r="AK7">
            <v>9</v>
          </cell>
          <cell r="AL7">
            <v>12</v>
          </cell>
          <cell r="AM7">
            <v>16</v>
          </cell>
          <cell r="AN7">
            <v>20</v>
          </cell>
          <cell r="AO7">
            <v>25</v>
          </cell>
          <cell r="AP7">
            <v>28</v>
          </cell>
          <cell r="AQ7">
            <v>9</v>
          </cell>
          <cell r="AR7">
            <v>12</v>
          </cell>
          <cell r="AS7">
            <v>16</v>
          </cell>
          <cell r="AT7">
            <v>20</v>
          </cell>
          <cell r="AU7">
            <v>25</v>
          </cell>
          <cell r="AV7">
            <v>28</v>
          </cell>
          <cell r="AW7">
            <v>9</v>
          </cell>
          <cell r="AX7">
            <v>12</v>
          </cell>
          <cell r="AY7">
            <v>16</v>
          </cell>
          <cell r="AZ7">
            <v>20</v>
          </cell>
          <cell r="BA7">
            <v>25</v>
          </cell>
          <cell r="BB7">
            <v>28</v>
          </cell>
          <cell r="BC7">
            <v>6</v>
          </cell>
          <cell r="BD7">
            <v>9</v>
          </cell>
          <cell r="BE7">
            <v>12</v>
          </cell>
          <cell r="BF7">
            <v>16</v>
          </cell>
          <cell r="BG7">
            <v>20</v>
          </cell>
          <cell r="BH7" t="str">
            <v>(Cu.m.)</v>
          </cell>
          <cell r="BI7" t="str">
            <v>(Cu.m.)</v>
          </cell>
          <cell r="BJ7" t="str">
            <v>(Sq.m.)</v>
          </cell>
          <cell r="BK7" t="str">
            <v>(Sq.m.)</v>
          </cell>
          <cell r="BL7" t="str">
            <v>(Sq.m.)</v>
          </cell>
          <cell r="BM7" t="str">
            <v>(Sq.m.)</v>
          </cell>
          <cell r="BN7" t="str">
            <v>(Cu.m.)</v>
          </cell>
          <cell r="BO7" t="str">
            <v>(kg.)</v>
          </cell>
          <cell r="BP7" t="str">
            <v>(kg.)</v>
          </cell>
          <cell r="BQ7" t="str">
            <v>(kg.)</v>
          </cell>
          <cell r="BR7" t="str">
            <v>(kg.)</v>
          </cell>
          <cell r="BS7" t="str">
            <v>(kg.)</v>
          </cell>
          <cell r="BT7" t="str">
            <v>(kg.)</v>
          </cell>
        </row>
        <row r="8">
          <cell r="A8" t="str">
            <v>F1</v>
          </cell>
          <cell r="B8">
            <v>0.4</v>
          </cell>
          <cell r="C8">
            <v>0.4</v>
          </cell>
          <cell r="D8">
            <v>0.4</v>
          </cell>
          <cell r="E8">
            <v>0.8</v>
          </cell>
          <cell r="F8">
            <v>10</v>
          </cell>
        </row>
        <row r="9">
          <cell r="A9" t="str">
            <v>F2</v>
          </cell>
          <cell r="B9">
            <v>0.4</v>
          </cell>
          <cell r="C9">
            <v>1</v>
          </cell>
          <cell r="D9">
            <v>0.4</v>
          </cell>
          <cell r="E9">
            <v>0.8</v>
          </cell>
          <cell r="F9">
            <v>2</v>
          </cell>
        </row>
        <row r="26">
          <cell r="A26" t="str">
            <v>TOTAL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cost"/>
      <sheetName val="Doors-Windows"/>
      <sheetName val="mirror"/>
      <sheetName val="Sanitary Ware"/>
      <sheetName val="ราคาวัสดุ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Sum.No.02 (11 Boots)"/>
      <sheetName val="Sum.No.02 (14 Boots)"/>
      <sheetName val="Sum.No.02 (5 Boots)"/>
      <sheetName val="Sum.No.02 (6 Boot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6"/>
      <sheetName val="ปร.5"/>
      <sheetName val="ปร.5-ข้อ1"/>
      <sheetName val="ปร.4-ข้อ1"/>
      <sheetName val="ข้อ1.1"/>
      <sheetName val="ข้อ1.1 (2)"/>
      <sheetName val="ข้อ1.2"/>
      <sheetName val="ข้อ1.2 (2)"/>
      <sheetName val="ข้อ1.3"/>
      <sheetName val="ข้อ1.3(2)"/>
      <sheetName val="ข้อ1.4"/>
      <sheetName val="ข้อ1.4(2)"/>
      <sheetName val="ข้อ1.5"/>
      <sheetName val="ข้อ1.5(2)"/>
      <sheetName val="ข้อ1.6"/>
      <sheetName val="ข้อ1.6(2)"/>
      <sheetName val="ปร.5-ข้อ2"/>
      <sheetName val="ปร.4-ข้อ2"/>
      <sheetName val="ข้อ2.1"/>
      <sheetName val="ข้อ2.1(2)"/>
      <sheetName val="ข้อ2.2"/>
      <sheetName val="ข้อ2.2(2)"/>
      <sheetName val="ข้อ2.3"/>
      <sheetName val="ข้อ2.3(2)"/>
      <sheetName val="ปร.5-ข้อ3"/>
      <sheetName val="ปร.4-ข้อ3"/>
      <sheetName val="ข้อ3.1"/>
      <sheetName val="ข้อ3.1(2)"/>
      <sheetName val="ปร.5-ข้อ4"/>
      <sheetName val="ปร.4-ข้อ4"/>
      <sheetName val="ข้อ4.1"/>
      <sheetName val="ข้อ4.1(2)"/>
      <sheetName val="ข้อ4.2"/>
      <sheetName val="ข้อ4.2(2)"/>
      <sheetName val="ข้อ4.3"/>
      <sheetName val="ข้อ4.3(2)"/>
      <sheetName val="ปร.5-ข้อ5"/>
      <sheetName val="ปร.4-ข้อ5"/>
      <sheetName val="ข้อ5.1"/>
      <sheetName val="ปร.5-ข้อ6"/>
      <sheetName val="ปร.4-ข้อ6"/>
      <sheetName val="ข้อ6.1"/>
      <sheetName val="FActorFอาคาร"/>
      <sheetName val="EST-FOOTING (G)"/>
    </sheetNames>
    <sheetDataSet>
      <sheetData sheetId="0"/>
      <sheetData sheetId="1">
        <row r="44">
          <cell r="I44">
            <v>6932250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ทั้งโครงการ"/>
      <sheetName val="ปร5"/>
      <sheetName val="ปร4"/>
      <sheetName val="ปร4.1"/>
      <sheetName val="BOQ"/>
      <sheetName val="การหาค่า factor F (2)"/>
      <sheetName val="1.1"/>
      <sheetName val="ราคาต่อหน่วย1.1"/>
      <sheetName val="1.2"/>
      <sheetName val="1.3-1.7"/>
      <sheetName val="หมวด 2"/>
      <sheetName val="หมวด 3"/>
      <sheetName val="หมวด 4"/>
      <sheetName val="หมวด 5"/>
      <sheetName val="หัวข้อ 6"/>
      <sheetName val="หัวข้อ 7"/>
      <sheetName val="backup รื้อย้าย"/>
      <sheetName val="หัวข้อ 9"/>
      <sheetName val="หมวด 10"/>
      <sheetName val="ราคาต้นไม้"/>
      <sheetName val="Unit-Rateภูมิสถาปัต"/>
      <sheetName val="7a"/>
      <sheetName val="7b"/>
      <sheetName val="ราคาวัสดุ"/>
      <sheetName val="ราคาคอนกรีตต่อหน่วย"/>
      <sheetName val="ค่าขนส่งทางทะเล"/>
      <sheetName val="สรุปค่าขนส่ง"/>
      <sheetName val="ค่าขนส่ง-1"/>
      <sheetName val="ตารางค่าขนส่ง"/>
      <sheetName val="ค่าดำเนินการ+ค่าเสื่อมราคา"/>
      <sheetName val="F ฝนตกชุก"/>
      <sheetName val="Traffic sign"/>
      <sheetName val="งานรื้อย้าย"/>
      <sheetName val="Bank form ปร4 "/>
      <sheetName val="CUT_FILL_Route1"/>
      <sheetName val="TEMP_ROUTE1"/>
      <sheetName val="ไฟฟ้า"/>
      <sheetName val="ระบบระบายน้ำ"/>
      <sheetName val="สรุปปริมาณจราจร"/>
      <sheetName val="ปลูกต้นไม้"/>
      <sheetName val="งานผิวจราจร"/>
      <sheetName val="ปลูกหญ้า+คันหิน+คันหินเกาะกลาง"/>
      <sheetName val="ปริมาณท่อลอดเกาะ"/>
      <sheetName val="ปลูกต้นไม้ (2)"/>
      <sheetName val="BOQ (ไฟฟ้า)"/>
      <sheetName val="uni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5"/>
      <sheetName val="ปร4"/>
      <sheetName val="ปร4.1"/>
      <sheetName val="ปลูกต้นไม้"/>
      <sheetName val="BOQ"/>
      <sheetName val="การหาค่า factor F (2)"/>
      <sheetName val="งานทั่วไป "/>
      <sheetName val="หมวด 2"/>
      <sheetName val="หมวด 3"/>
      <sheetName val="หมวด 5"/>
      <sheetName val="หัวข้อ 6"/>
      <sheetName val="หัวข้อ 7"/>
      <sheetName val="หัวข้อ 9"/>
      <sheetName val="backup รื้อย้าย"/>
      <sheetName val="หมวด 10"/>
      <sheetName val="ราคาต้นไม้"/>
      <sheetName val="Unit-Rate"/>
      <sheetName val="ค่าดำเนินการ+ค่าเสื่อมราคา"/>
      <sheetName val="ราคาวัสดุ"/>
      <sheetName val="สรุปค่าขนส่ง"/>
      <sheetName val="ค่าขนส่ง-1"/>
      <sheetName val="ตารางค่าขนส่ง"/>
      <sheetName val="F-งานสะพาน"/>
      <sheetName val="F-งานทาง"/>
      <sheetName val="F ฝนตกชุก"/>
      <sheetName val="F-งานอาคาร"/>
      <sheetName val="Bank Form ปร4"/>
      <sheetName val="ข้อ1.1"/>
      <sheetName val="ปร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วัสดุ"/>
      <sheetName val="ราคาคอนกรีตต่อหน่วย"/>
      <sheetName val="ตางรางค่าดำเนินการ"/>
      <sheetName val="ต้นทุนงานทาง,อื่นๆ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รถ 10 ล้อ23.00-23.99 "/>
      <sheetName val="รถพ่วง 23.00-23.99"/>
      <sheetName val="BOQ-UPDATE1 "/>
      <sheetName val="ปร4.1"/>
      <sheetName val="Poject name"/>
      <sheetName val="สรุปค่าขนส่ง"/>
      <sheetName val="ค่าขนส่ง-1"/>
      <sheetName val="ตารางค่าขนส่ง"/>
      <sheetName val="สรุปทั้งโครงการ"/>
      <sheetName val="ปร5"/>
      <sheetName val="ปร4"/>
      <sheetName val="BOQ"/>
      <sheetName val="ปลูกต้นไม้"/>
      <sheetName val="การหาค่า factor F (2)"/>
      <sheetName val="1.1"/>
      <sheetName val="ราคาต่อหน่วย1.1"/>
      <sheetName val="1.2"/>
      <sheetName val="1.3-1.7"/>
      <sheetName val="หมวด 2"/>
      <sheetName val="หมวด 3"/>
      <sheetName val="หมวด 4"/>
      <sheetName val="หมวด 5"/>
      <sheetName val="หัวข้อ 6"/>
      <sheetName val="หัวข้อ 7"/>
      <sheetName val="backup รื้อย้าย"/>
      <sheetName val="หมวด 10"/>
      <sheetName val="หัวข้อ 9"/>
      <sheetName val="ราคาต้นไม้"/>
      <sheetName val="Unit-Rateภูมิสถาปัต"/>
      <sheetName val="ค่าขนส่งทางทะเล"/>
      <sheetName val="ค่าดำเนินการ+ค่าเสื่อมราคา"/>
      <sheetName val="งานผิวจราจร"/>
      <sheetName val="Traffic sign"/>
      <sheetName val="งานรื้อย้าย"/>
      <sheetName val="ปลูกหญ้า+คันหิน+คันหินเกาะกลาง"/>
      <sheetName val="ปริมาณท่อลอดเกาะ"/>
      <sheetName val="ปลูกต้นไม้ (2)"/>
      <sheetName val="Bank form ปร4 "/>
      <sheetName val="unitcost"/>
      <sheetName val="กทม กันยา 55"/>
      <sheetName val="5-2"/>
      <sheetName val="EEC"/>
      <sheetName val="Local road Backup"/>
      <sheetName val="ต้นทุนต่อหน่วย-ปร_1"/>
      <sheetName val="F_ฝนตกชุก"/>
      <sheetName val="รถ_10_ล้อ23_00-23_99_"/>
      <sheetName val="รถพ่วง_23_00-23_99"/>
      <sheetName val="BOQ-UPDATE1_"/>
      <sheetName val="ปร4_1"/>
      <sheetName val="Poject_name"/>
      <sheetName val="การหาค่า_factor_F_(2)"/>
      <sheetName val="1_1"/>
      <sheetName val="ราคาต่อหน่วย1_1"/>
      <sheetName val="1_2"/>
      <sheetName val="1_3-1_7"/>
      <sheetName val="หมวด_2"/>
      <sheetName val="หมวด_3"/>
      <sheetName val="หมวด_4"/>
      <sheetName val="หมวด_5"/>
      <sheetName val="หัวข้อ_6"/>
      <sheetName val="หัวข้อ_7"/>
      <sheetName val="backup_รื้อย้าย"/>
      <sheetName val="หมวด_10"/>
      <sheetName val="หัวข้อ_9"/>
      <sheetName val="Traffic_sign"/>
      <sheetName val="ปลูกต้นไม้_(2)"/>
      <sheetName val="Bank_form_ปร4_"/>
      <sheetName val="กทม_กันยา_55"/>
      <sheetName val="Local_road_Backup"/>
      <sheetName val="ต้นทุนต่อหน่วย-ปร_11"/>
      <sheetName val="F_ฝนตกชุก1"/>
      <sheetName val="รถ_10_ล้อ23_00-23_99_1"/>
      <sheetName val="รถพ่วง_23_00-23_991"/>
      <sheetName val="BOQ-UPDATE1_1"/>
      <sheetName val="ปร4_11"/>
      <sheetName val="Poject_name1"/>
      <sheetName val="การหาค่า_factor_F_(2)1"/>
      <sheetName val="1_11"/>
      <sheetName val="ราคาต่อหน่วย1_11"/>
      <sheetName val="1_21"/>
      <sheetName val="1_3-1_71"/>
      <sheetName val="หมวด_21"/>
      <sheetName val="หมวด_31"/>
      <sheetName val="หมวด_41"/>
      <sheetName val="หมวด_51"/>
      <sheetName val="หัวข้อ_61"/>
      <sheetName val="หัวข้อ_71"/>
      <sheetName val="backup_รื้อย้าย1"/>
      <sheetName val="หมวด_101"/>
      <sheetName val="หัวข้อ_91"/>
      <sheetName val="Traffic_sign1"/>
      <sheetName val="ปลูกต้นไม้_(2)1"/>
      <sheetName val="Bank_form_ปร4_1"/>
      <sheetName val="กทม_กันยา_551"/>
      <sheetName val="Local_road_Backup1"/>
      <sheetName val="F(ของเรา)"/>
    </sheetNames>
    <sheetDataSet>
      <sheetData sheetId="0" refreshError="1"/>
      <sheetData sheetId="1" refreshError="1">
        <row r="2">
          <cell r="A2" t="str">
            <v>สะพานข้ามแม่น้ำแม่กลอง ต. ท่าตะคร้อ/วังศาลา  อ. ท่าม่วง  จ. กาญจนบุรี</v>
          </cell>
        </row>
        <row r="3">
          <cell r="B3" t="str">
            <v>สะพาน ผิวจราจรกว้าง 9.00 เมตร ทางเท้ากว้างข้างละ 1.00 เมตร ความยาว 280.00 เมตร ถนนต่อเชื่อมผิวทางคอนกรีต กว้าง 8.00 เมตร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  <sheetName val="EST-FOOTING (G)"/>
      <sheetName val="LITF"/>
      <sheetName val="sheetNO"/>
      <sheetName val="หมวด 1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ต้นทุนต่อหน่วย"/>
      <sheetName val="ระบบกรองน้ำและน้ำพุ"/>
      <sheetName val="ภูมิสถาปัต"/>
      <sheetName val="ราคาต้นไม้"/>
      <sheetName val="Unit-Rateภูมิสถาปัต"/>
      <sheetName val="ราคาวัสดุ"/>
      <sheetName val="ค่าดำเนินการ+ค่าเสื่อมราคา"/>
      <sheetName val="ค่าขนส่ง"/>
      <sheetName val="ค่าขนส่ง-1"/>
      <sheetName val="อาคารจุดพักรถ"/>
      <sheetName val="unit cost"/>
      <sheetName val="5"/>
      <sheetName val="4 ข้อมูลงานไม้แบบ"/>
      <sheetName val="แบบเดิม"/>
      <sheetName val="unit_cost"/>
      <sheetName val="4_ข้อมูลงานไม้แบบ"/>
      <sheetName val="unit_cost1"/>
      <sheetName val="4_ข้อมูลงานไม้แบบ1"/>
      <sheetName val="6"/>
      <sheetName val="5-2"/>
      <sheetName val="REMOVAL"/>
      <sheetName val="ราคาคอนกรีตต่อหน่วย"/>
    </sheetNames>
    <sheetDataSet>
      <sheetData sheetId="0" refreshError="1"/>
      <sheetData sheetId="1" refreshError="1"/>
      <sheetData sheetId="2" refreshError="1"/>
      <sheetData sheetId="3" refreshError="1">
        <row r="21">
          <cell r="H21">
            <v>450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ปร4"/>
      <sheetName val="ปร4_1"/>
      <sheetName val="BOQ"/>
      <sheetName val="Blank ปร5"/>
      <sheetName val="BLANK BOQ"/>
      <sheetName val="หมวด 1"/>
      <sheetName val="หมวด 2"/>
      <sheetName val="หมวด 3"/>
      <sheetName val="หมวด 4"/>
      <sheetName val="หมวด 5"/>
      <sheetName val="หมวด 6"/>
      <sheetName val="หมวด 7"/>
      <sheetName val="หมวด 8"/>
      <sheetName val="หมวด 9"/>
      <sheetName val="หมวด 10"/>
      <sheetName val="backup รื้อย้าย"/>
      <sheetName val="การหาค่า factor F"/>
      <sheetName val="F-งานสะพาน"/>
      <sheetName val="F-งานทาง"/>
      <sheetName val="F ฝนตกชุก"/>
      <sheetName val="F-งานอาคาร"/>
      <sheetName val="ค่าดำเนินการ+ค่าเสื่อมราคา"/>
      <sheetName val="ส่วนขยายและค่ายุบตัว"/>
      <sheetName val="ตารางค่าขนส่ง"/>
      <sheetName val="ค่าขนส่ง-1"/>
      <sheetName val="สรุปค่าขนส่ง"/>
      <sheetName val="ราคาวัสดุ"/>
      <sheetName val="ราคาต้นไม้"/>
      <sheetName val="Backup งานต้นไม้"/>
      <sheetName val="Traffic sign"/>
      <sheetName val="Unit-Rateภูมิสถาปัต"/>
      <sheetName val="ปลูกหญ้า+คันหิน+คันหินเกาะกลาง"/>
      <sheetName val="Sheet1"/>
      <sheetName val="Sheet2"/>
      <sheetName val="Sheet3"/>
      <sheetName val="Sheet4"/>
      <sheetName val="Sheet5"/>
      <sheetName val="ภูมิทัศน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EEC"/>
    </sheetNames>
    <sheetDataSet>
      <sheetData sheetId="0" refreshError="1"/>
      <sheetData sheetId="1" refreshError="1"/>
      <sheetData sheetId="2" refreshError="1"/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่าดำเนินการ+เสื่อมราคา"/>
      <sheetName val="ราคาคอนกรีตต่อหน่วย"/>
      <sheetName val="ราคาวัสดุ"/>
      <sheetName val="ต้นทุนงานทาง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BOQ-B"/>
      <sheetName val="ปร4"/>
      <sheetName val="ราคาต้นไม้"/>
    </sheetNames>
    <sheetDataSet>
      <sheetData sheetId="0" refreshError="1"/>
      <sheetData sheetId="1" refreshError="1"/>
      <sheetData sheetId="2" refreshError="1">
        <row r="28">
          <cell r="F28">
            <v>422.14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summary"/>
      <sheetName val="Std."/>
      <sheetName val="หมวด 6(2)"/>
      <sheetName val="หมวด 2"/>
      <sheetName val="Factor F งาน DB.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summary"/>
      <sheetName val="Std."/>
      <sheetName val="หมวด 6(2)"/>
      <sheetName val="หมวด 2"/>
      <sheetName val="Factor F งาน DB.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่งพี่หนุ่ม"/>
      <sheetName val="ตัดแบ่งกม."/>
      <sheetName val="รายละเอียดโครงการ"/>
      <sheetName val="ปร5"/>
      <sheetName val="สารบัญ"/>
      <sheetName val="Summary"/>
      <sheetName val="รายการงานของโครงการ"/>
      <sheetName val="รายการทั้งหมด"/>
      <sheetName val="ราคาต่อกม."/>
      <sheetName val="ข้อมูลเบื้องต้น"/>
      <sheetName val="1"/>
      <sheetName val="6.15_Remote lighting control"/>
      <sheetName val="1)105+825 to 106+850"/>
      <sheetName val="2)ee106+900 to 108+675"/>
      <sheetName val="3)ee120+675 to 122+650"/>
      <sheetName val="4)ee125+000 to 143+700"/>
      <sheetName val="5)ee145+600 to 146+625"/>
      <sheetName val="6)ee146+650 to 147+900"/>
      <sheetName val="7)ee147+900 to 149+100"/>
      <sheetName val="8)ee171+700 to 172+700"/>
      <sheetName val="9)ee173+500 to 174+500"/>
      <sheetName val="10)ee183+300 to 186+950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ข้อมูลวัสดุค่าดำเนินการ"/>
      <sheetName val="ราคาวัสดุ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การหาค่า factor F"/>
      <sheetName val="ปร4.1"/>
      <sheetName val="11 ข้อมูลงานCon"/>
      <sheetName val="10 ข้อมูลวัสดุ-ค่าดำเนิน"/>
      <sheetName val="อาคาร 2 11Boots"/>
      <sheetName val="อาคาร 2 14Boots"/>
      <sheetName val="อาคาร 2 5Boots"/>
      <sheetName val="อาคาร 2 6Boots"/>
      <sheetName val="BOQ_UPDATE_mainline"/>
      <sheetName val="ปร4"/>
    </sheetNames>
    <sheetDataSet>
      <sheetData sheetId="0" refreshError="1"/>
      <sheetData sheetId="1" refreshError="1"/>
      <sheetData sheetId="2" refreshError="1">
        <row r="9">
          <cell r="B9" t="str">
            <v>โครงการทางหลวงพิเศษระหว่างเมืองหมายเลข 6 สายบางปะอิน - นครราชสีมา  ตอน 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3">
          <cell r="J13">
            <v>11.8</v>
          </cell>
        </row>
        <row r="24">
          <cell r="J24">
            <v>196.2</v>
          </cell>
        </row>
        <row r="36">
          <cell r="J36">
            <v>146000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J7">
            <v>1.02</v>
          </cell>
        </row>
        <row r="10">
          <cell r="J10">
            <v>2.2400000000000002</v>
          </cell>
        </row>
        <row r="13">
          <cell r="J13">
            <v>3.3</v>
          </cell>
        </row>
        <row r="25">
          <cell r="J25">
            <v>37</v>
          </cell>
        </row>
        <row r="36">
          <cell r="J36">
            <v>93</v>
          </cell>
        </row>
        <row r="44">
          <cell r="J44">
            <v>181</v>
          </cell>
        </row>
        <row r="49">
          <cell r="J49">
            <v>40.700000000000003</v>
          </cell>
        </row>
        <row r="54">
          <cell r="J54">
            <v>40.700000000000003</v>
          </cell>
        </row>
        <row r="64">
          <cell r="J64">
            <v>114</v>
          </cell>
        </row>
        <row r="75">
          <cell r="J75">
            <v>512</v>
          </cell>
        </row>
        <row r="102">
          <cell r="J102">
            <v>474</v>
          </cell>
        </row>
        <row r="143">
          <cell r="J143">
            <v>478</v>
          </cell>
        </row>
      </sheetData>
      <sheetData sheetId="23" refreshError="1">
        <row r="12">
          <cell r="J12">
            <v>497</v>
          </cell>
        </row>
        <row r="59">
          <cell r="J59">
            <v>647</v>
          </cell>
        </row>
        <row r="138">
          <cell r="J138">
            <v>610</v>
          </cell>
        </row>
      </sheetData>
      <sheetData sheetId="24" refreshError="1">
        <row r="8">
          <cell r="J8">
            <v>17.952729999999999</v>
          </cell>
        </row>
        <row r="14">
          <cell r="J14">
            <v>8.508818999999999</v>
          </cell>
        </row>
        <row r="42">
          <cell r="J42">
            <v>35.002743000000002</v>
          </cell>
        </row>
        <row r="51">
          <cell r="J51">
            <v>56.179526000000003</v>
          </cell>
        </row>
        <row r="62">
          <cell r="J62">
            <v>1540.6019499999998</v>
          </cell>
        </row>
        <row r="75">
          <cell r="J75">
            <v>188</v>
          </cell>
        </row>
        <row r="88">
          <cell r="J88">
            <v>185</v>
          </cell>
        </row>
        <row r="103">
          <cell r="J103">
            <v>188</v>
          </cell>
        </row>
        <row r="143">
          <cell r="J143">
            <v>4055.5</v>
          </cell>
        </row>
        <row r="222">
          <cell r="J222">
            <v>370.19550657142861</v>
          </cell>
        </row>
        <row r="248">
          <cell r="J248">
            <v>218.91836371428573</v>
          </cell>
        </row>
        <row r="278">
          <cell r="J278">
            <v>41.28</v>
          </cell>
        </row>
        <row r="290">
          <cell r="J290">
            <v>20.96</v>
          </cell>
        </row>
      </sheetData>
      <sheetData sheetId="25" refreshError="1"/>
      <sheetData sheetId="26" refreshError="1">
        <row r="34">
          <cell r="J34">
            <v>0</v>
          </cell>
        </row>
      </sheetData>
      <sheetData sheetId="27" refreshError="1"/>
      <sheetData sheetId="28" refreshError="1">
        <row r="17">
          <cell r="J17">
            <v>459.55858047222227</v>
          </cell>
        </row>
        <row r="777">
          <cell r="J777">
            <v>8508</v>
          </cell>
        </row>
        <row r="1150">
          <cell r="J1150">
            <v>867.92541468000002</v>
          </cell>
        </row>
        <row r="1236">
          <cell r="J1236">
            <v>13734.05679147</v>
          </cell>
        </row>
        <row r="1272">
          <cell r="J1272">
            <v>117.10066494640726</v>
          </cell>
        </row>
        <row r="1286">
          <cell r="J1286">
            <v>207.29726771205503</v>
          </cell>
        </row>
        <row r="1296">
          <cell r="J1296">
            <v>216.03399999999999</v>
          </cell>
        </row>
        <row r="1433">
          <cell r="J1433">
            <v>523.78</v>
          </cell>
        </row>
        <row r="1445">
          <cell r="J1445">
            <v>364.84499999999997</v>
          </cell>
        </row>
        <row r="1484">
          <cell r="J1484">
            <v>1451.3455918100001</v>
          </cell>
        </row>
        <row r="1504">
          <cell r="J1504">
            <v>1728.8028725600002</v>
          </cell>
        </row>
        <row r="1524">
          <cell r="J1524">
            <v>1705.9485574800005</v>
          </cell>
        </row>
        <row r="1599">
          <cell r="J1599">
            <v>18377.905120800002</v>
          </cell>
        </row>
        <row r="1616">
          <cell r="J1616">
            <v>20543.125606199999</v>
          </cell>
        </row>
        <row r="1633">
          <cell r="J1633">
            <v>26714.301579399998</v>
          </cell>
        </row>
        <row r="1651">
          <cell r="J1651">
            <v>23649.9583853</v>
          </cell>
        </row>
        <row r="1670">
          <cell r="J1670">
            <v>24044.153453300001</v>
          </cell>
        </row>
        <row r="1715">
          <cell r="J1715">
            <v>314.84334000000001</v>
          </cell>
        </row>
        <row r="1721">
          <cell r="J1721">
            <v>19</v>
          </cell>
        </row>
        <row r="1727">
          <cell r="J1727">
            <v>12</v>
          </cell>
        </row>
        <row r="1736">
          <cell r="J1736">
            <v>107.01750000000001</v>
          </cell>
        </row>
        <row r="1745">
          <cell r="J1745">
            <v>151.7715</v>
          </cell>
        </row>
        <row r="1763">
          <cell r="J1763">
            <v>1003.63375</v>
          </cell>
        </row>
        <row r="1787">
          <cell r="J1787">
            <v>1331.0400000000002</v>
          </cell>
        </row>
        <row r="2669">
          <cell r="J2669">
            <v>74</v>
          </cell>
        </row>
        <row r="2699">
          <cell r="J2699">
            <v>316</v>
          </cell>
        </row>
        <row r="2705">
          <cell r="J2705">
            <v>302.89999999999998</v>
          </cell>
        </row>
        <row r="2710">
          <cell r="J2710">
            <v>302.89999999999998</v>
          </cell>
        </row>
        <row r="2716">
          <cell r="J2716">
            <v>16.899999999999999</v>
          </cell>
        </row>
        <row r="2721">
          <cell r="J2721">
            <v>16.899999999999999</v>
          </cell>
        </row>
        <row r="2732">
          <cell r="J2732">
            <v>80</v>
          </cell>
        </row>
        <row r="2748">
          <cell r="J2748">
            <v>1074.7243686933334</v>
          </cell>
        </row>
        <row r="2778">
          <cell r="J2778">
            <v>53957</v>
          </cell>
        </row>
        <row r="2800">
          <cell r="J2800">
            <v>50362</v>
          </cell>
        </row>
        <row r="2824">
          <cell r="J2824">
            <v>85305</v>
          </cell>
        </row>
        <row r="2845">
          <cell r="J2845">
            <v>100427</v>
          </cell>
        </row>
        <row r="2869">
          <cell r="J2869">
            <v>30422</v>
          </cell>
        </row>
        <row r="2899">
          <cell r="J2899">
            <v>33300</v>
          </cell>
        </row>
        <row r="3004">
          <cell r="J3004">
            <v>17</v>
          </cell>
        </row>
        <row r="3019">
          <cell r="J3019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2"/>
  <sheetViews>
    <sheetView view="pageBreakPreview" topLeftCell="A25" zoomScale="85" zoomScaleNormal="85" zoomScaleSheetLayoutView="85" workbookViewId="0">
      <selection activeCell="J36" sqref="J36"/>
    </sheetView>
  </sheetViews>
  <sheetFormatPr defaultColWidth="9" defaultRowHeight="24"/>
  <cols>
    <col min="1" max="1" width="12.703125" style="213" customWidth="1"/>
    <col min="2" max="2" width="5.703125" style="213" customWidth="1"/>
    <col min="3" max="3" width="12.703125" style="213" customWidth="1"/>
    <col min="4" max="4" width="37.703125" style="213" customWidth="1"/>
    <col min="5" max="5" width="15.703125" style="213" customWidth="1"/>
    <col min="6" max="6" width="40.703125" style="213" customWidth="1"/>
    <col min="7" max="7" width="15.703125" style="213" customWidth="1"/>
    <col min="8" max="17" width="9" style="212"/>
    <col min="18" max="16384" width="9" style="213"/>
  </cols>
  <sheetData>
    <row r="1" spans="1:17" ht="24" customHeight="1">
      <c r="A1" s="208"/>
      <c r="B1" s="209"/>
      <c r="C1" s="208"/>
      <c r="D1" s="208"/>
      <c r="E1" s="208"/>
      <c r="F1" s="210" t="s">
        <v>91</v>
      </c>
      <c r="G1" s="211" t="s">
        <v>92</v>
      </c>
    </row>
    <row r="2" spans="1:17" s="214" customFormat="1" ht="24" customHeight="1">
      <c r="A2" s="2188" t="s">
        <v>93</v>
      </c>
      <c r="B2" s="2188"/>
      <c r="C2" s="2188"/>
      <c r="D2" s="2188"/>
      <c r="E2" s="2188"/>
      <c r="F2" s="2188"/>
      <c r="G2" s="2188"/>
      <c r="H2" s="212"/>
      <c r="I2" s="212"/>
      <c r="J2" s="212"/>
      <c r="K2" s="212"/>
      <c r="L2" s="212"/>
      <c r="M2" s="212"/>
      <c r="N2" s="212"/>
      <c r="O2" s="212"/>
      <c r="P2" s="212"/>
      <c r="Q2" s="212"/>
    </row>
    <row r="3" spans="1:17" s="221" customFormat="1" ht="24" customHeight="1">
      <c r="A3" s="215" t="s">
        <v>94</v>
      </c>
      <c r="B3" s="216"/>
      <c r="C3" s="217"/>
      <c r="D3" s="218" t="s">
        <v>95</v>
      </c>
      <c r="E3" s="218"/>
      <c r="F3" s="219"/>
      <c r="G3" s="219"/>
      <c r="H3" s="220"/>
      <c r="I3" s="220"/>
      <c r="J3" s="220"/>
      <c r="K3" s="220"/>
      <c r="L3" s="220"/>
      <c r="M3" s="220"/>
      <c r="N3" s="220"/>
      <c r="O3" s="220"/>
      <c r="P3" s="220"/>
      <c r="Q3" s="220"/>
    </row>
    <row r="4" spans="1:17" s="221" customFormat="1" ht="24" customHeight="1">
      <c r="A4" s="215"/>
      <c r="B4" s="216"/>
      <c r="C4" s="217"/>
      <c r="D4" s="44" t="s">
        <v>1068</v>
      </c>
      <c r="E4" s="218"/>
      <c r="F4" s="219"/>
      <c r="G4" s="219"/>
      <c r="H4" s="220"/>
      <c r="I4" s="220"/>
      <c r="J4" s="220"/>
      <c r="K4" s="220"/>
      <c r="L4" s="220"/>
      <c r="M4" s="220"/>
      <c r="N4" s="220"/>
      <c r="O4" s="220"/>
      <c r="P4" s="220"/>
      <c r="Q4" s="220"/>
    </row>
    <row r="5" spans="1:17" s="221" customFormat="1" ht="24" customHeight="1">
      <c r="A5" s="222" t="s">
        <v>53</v>
      </c>
      <c r="B5" s="216"/>
      <c r="C5" s="217"/>
      <c r="D5" s="223" t="s">
        <v>54</v>
      </c>
      <c r="E5" s="224"/>
      <c r="F5" s="225"/>
      <c r="G5" s="219"/>
      <c r="H5" s="220"/>
      <c r="I5" s="220"/>
      <c r="J5" s="220"/>
      <c r="K5" s="220"/>
      <c r="L5" s="220"/>
      <c r="M5" s="220"/>
      <c r="N5" s="220"/>
      <c r="O5" s="220"/>
      <c r="P5" s="220"/>
      <c r="Q5" s="220"/>
    </row>
    <row r="6" spans="1:17" s="230" customFormat="1" ht="24" customHeight="1">
      <c r="A6" s="222" t="s">
        <v>55</v>
      </c>
      <c r="B6" s="226"/>
      <c r="C6" s="223"/>
      <c r="D6" s="227"/>
      <c r="E6" s="227"/>
      <c r="F6" s="228"/>
      <c r="G6" s="228"/>
      <c r="H6" s="229"/>
      <c r="I6" s="229"/>
      <c r="J6" s="229"/>
      <c r="K6" s="229"/>
      <c r="L6" s="229"/>
      <c r="M6" s="229"/>
      <c r="N6" s="229"/>
      <c r="O6" s="229"/>
      <c r="P6" s="229"/>
      <c r="Q6" s="229"/>
    </row>
    <row r="7" spans="1:17" s="221" customFormat="1" ht="24" customHeight="1">
      <c r="A7" s="215" t="s">
        <v>96</v>
      </c>
      <c r="B7" s="231"/>
      <c r="C7" s="232"/>
      <c r="D7" s="233"/>
      <c r="E7" s="233"/>
      <c r="F7" s="234"/>
      <c r="G7" s="234"/>
      <c r="H7" s="220"/>
      <c r="I7" s="220"/>
      <c r="J7" s="220"/>
      <c r="K7" s="220"/>
      <c r="L7" s="220"/>
      <c r="M7" s="220"/>
      <c r="N7" s="220"/>
      <c r="O7" s="220"/>
      <c r="P7" s="220"/>
      <c r="Q7" s="220"/>
    </row>
    <row r="8" spans="1:17" s="221" customFormat="1" ht="24" customHeight="1">
      <c r="A8" s="222" t="s">
        <v>97</v>
      </c>
      <c r="B8" s="231"/>
      <c r="C8" s="235"/>
      <c r="D8" s="232"/>
      <c r="E8" s="232"/>
      <c r="F8" s="234"/>
      <c r="G8" s="234"/>
      <c r="H8" s="220"/>
      <c r="I8" s="220"/>
      <c r="J8" s="220"/>
      <c r="K8" s="220"/>
      <c r="L8" s="220"/>
      <c r="M8" s="220"/>
      <c r="N8" s="220"/>
      <c r="O8" s="220"/>
      <c r="P8" s="220"/>
      <c r="Q8" s="220"/>
    </row>
    <row r="9" spans="1:17" s="221" customFormat="1" ht="24" customHeight="1">
      <c r="A9" s="236" t="s">
        <v>98</v>
      </c>
      <c r="B9" s="231"/>
      <c r="C9" s="237"/>
      <c r="D9" s="238"/>
      <c r="E9" s="238" t="s">
        <v>99</v>
      </c>
      <c r="F9" s="234"/>
      <c r="G9" s="239"/>
      <c r="H9" s="220"/>
      <c r="I9" s="220"/>
      <c r="J9" s="220"/>
      <c r="K9" s="220"/>
      <c r="L9" s="220"/>
      <c r="M9" s="220"/>
      <c r="N9" s="220"/>
      <c r="O9" s="220"/>
      <c r="P9" s="220"/>
      <c r="Q9" s="220"/>
    </row>
    <row r="10" spans="1:17" s="214" customFormat="1" ht="24" customHeight="1">
      <c r="A10" s="5"/>
      <c r="B10" s="240"/>
      <c r="C10" s="241"/>
      <c r="D10" s="242"/>
      <c r="E10" s="242"/>
      <c r="F10" s="243"/>
      <c r="G10" s="2189" t="s">
        <v>59</v>
      </c>
      <c r="H10" s="212"/>
      <c r="I10" s="212"/>
      <c r="J10" s="212"/>
      <c r="K10" s="212"/>
      <c r="L10" s="212"/>
      <c r="M10" s="212"/>
      <c r="N10" s="212"/>
      <c r="O10" s="212"/>
      <c r="P10" s="212"/>
      <c r="Q10" s="212"/>
    </row>
    <row r="11" spans="1:17" ht="9" customHeight="1">
      <c r="A11" s="244"/>
      <c r="B11" s="245"/>
      <c r="C11" s="246"/>
      <c r="D11" s="247"/>
      <c r="E11" s="247"/>
      <c r="F11" s="248"/>
      <c r="G11" s="2190"/>
    </row>
    <row r="12" spans="1:17" s="221" customFormat="1" ht="22.15" customHeight="1">
      <c r="A12" s="2191" t="s">
        <v>8</v>
      </c>
      <c r="B12" s="2193" t="s">
        <v>9</v>
      </c>
      <c r="C12" s="2194"/>
      <c r="D12" s="2194"/>
      <c r="E12" s="2195"/>
      <c r="F12" s="2199" t="s">
        <v>100</v>
      </c>
      <c r="G12" s="2199" t="s">
        <v>15</v>
      </c>
      <c r="H12" s="220"/>
      <c r="I12" s="220"/>
      <c r="J12" s="220"/>
      <c r="K12" s="220"/>
      <c r="L12" s="220"/>
      <c r="M12" s="220"/>
      <c r="N12" s="220"/>
      <c r="O12" s="220"/>
      <c r="P12" s="220"/>
      <c r="Q12" s="220"/>
    </row>
    <row r="13" spans="1:17" s="221" customFormat="1" ht="22.15" customHeight="1">
      <c r="A13" s="2192"/>
      <c r="B13" s="2196"/>
      <c r="C13" s="2197"/>
      <c r="D13" s="2197"/>
      <c r="E13" s="2198"/>
      <c r="F13" s="2200"/>
      <c r="G13" s="2200"/>
      <c r="H13" s="220"/>
      <c r="I13" s="220"/>
      <c r="J13" s="220"/>
      <c r="K13" s="220"/>
      <c r="L13" s="220"/>
      <c r="M13" s="220"/>
      <c r="N13" s="220"/>
      <c r="O13" s="220"/>
      <c r="P13" s="220"/>
      <c r="Q13" s="220"/>
    </row>
    <row r="14" spans="1:17" s="221" customFormat="1" ht="24" customHeight="1">
      <c r="A14" s="249" t="s">
        <v>101</v>
      </c>
      <c r="B14" s="2182" t="s">
        <v>102</v>
      </c>
      <c r="C14" s="2183"/>
      <c r="D14" s="2183"/>
      <c r="E14" s="250"/>
      <c r="F14" s="251"/>
      <c r="G14" s="252"/>
      <c r="H14" s="220"/>
      <c r="I14" s="220"/>
      <c r="J14" s="220"/>
      <c r="K14" s="220"/>
      <c r="L14" s="220"/>
      <c r="M14" s="220"/>
      <c r="N14" s="220"/>
      <c r="O14" s="220"/>
      <c r="P14" s="220"/>
      <c r="Q14" s="220"/>
    </row>
    <row r="15" spans="1:17" s="221" customFormat="1" ht="24" customHeight="1">
      <c r="A15" s="253"/>
      <c r="B15" s="254" t="s">
        <v>103</v>
      </c>
      <c r="C15" s="255" t="s">
        <v>104</v>
      </c>
      <c r="D15" s="255"/>
      <c r="E15" s="256"/>
      <c r="F15" s="257"/>
      <c r="G15" s="258"/>
      <c r="H15" s="220"/>
      <c r="I15" s="220"/>
      <c r="J15" s="220"/>
      <c r="K15" s="220"/>
      <c r="L15" s="220"/>
      <c r="M15" s="220"/>
      <c r="N15" s="220"/>
      <c r="O15" s="220"/>
      <c r="P15" s="220"/>
      <c r="Q15" s="220"/>
    </row>
    <row r="16" spans="1:17" s="221" customFormat="1" ht="24" customHeight="1">
      <c r="A16" s="259"/>
      <c r="B16" s="260" t="s">
        <v>105</v>
      </c>
      <c r="C16" s="261" t="s">
        <v>167</v>
      </c>
      <c r="D16" s="262"/>
      <c r="E16" s="262"/>
      <c r="F16" s="263">
        <f>SUM('ปร.5(ก)อาคาร'!H19:H26)</f>
        <v>1229203725.1199999</v>
      </c>
      <c r="G16" s="264"/>
      <c r="H16" s="220"/>
      <c r="I16" s="220"/>
      <c r="J16" s="220"/>
      <c r="K16" s="220"/>
      <c r="L16" s="220"/>
      <c r="M16" s="220"/>
      <c r="N16" s="220"/>
      <c r="O16" s="220"/>
      <c r="P16" s="220"/>
      <c r="Q16" s="220"/>
    </row>
    <row r="17" spans="1:17" s="221" customFormat="1" ht="24" customHeight="1">
      <c r="A17" s="259"/>
      <c r="B17" s="260"/>
      <c r="C17" s="261"/>
      <c r="D17" s="262"/>
      <c r="E17" s="262"/>
      <c r="F17" s="263"/>
      <c r="G17" s="264"/>
      <c r="H17" s="220"/>
      <c r="I17" s="220"/>
      <c r="J17" s="220"/>
      <c r="K17" s="220"/>
      <c r="L17" s="220"/>
      <c r="M17" s="220"/>
      <c r="N17" s="220"/>
      <c r="O17" s="220"/>
      <c r="P17" s="220"/>
      <c r="Q17" s="220"/>
    </row>
    <row r="18" spans="1:17" s="221" customFormat="1" ht="24" customHeight="1">
      <c r="A18" s="259"/>
      <c r="B18" s="260"/>
      <c r="C18" s="261"/>
      <c r="D18" s="262"/>
      <c r="E18" s="262"/>
      <c r="F18" s="263"/>
      <c r="G18" s="264"/>
      <c r="H18" s="220"/>
      <c r="I18" s="220"/>
      <c r="J18" s="220"/>
      <c r="K18" s="220"/>
      <c r="L18" s="220"/>
      <c r="M18" s="220"/>
      <c r="N18" s="220"/>
      <c r="O18" s="220"/>
      <c r="P18" s="220"/>
      <c r="Q18" s="220"/>
    </row>
    <row r="19" spans="1:17" s="221" customFormat="1" ht="24" customHeight="1">
      <c r="A19" s="259"/>
      <c r="B19" s="260"/>
      <c r="C19" s="261"/>
      <c r="D19" s="262"/>
      <c r="E19" s="262"/>
      <c r="F19" s="263"/>
      <c r="G19" s="264"/>
      <c r="H19" s="220"/>
      <c r="I19" s="220"/>
      <c r="J19" s="220"/>
      <c r="K19" s="220"/>
      <c r="L19" s="220"/>
      <c r="M19" s="220"/>
      <c r="N19" s="220"/>
      <c r="O19" s="220"/>
      <c r="P19" s="220"/>
      <c r="Q19" s="220"/>
    </row>
    <row r="20" spans="1:17" s="221" customFormat="1" ht="24" customHeight="1">
      <c r="A20" s="259"/>
      <c r="B20" s="260"/>
      <c r="C20" s="261"/>
      <c r="D20" s="262"/>
      <c r="E20" s="262"/>
      <c r="F20" s="263"/>
      <c r="G20" s="264"/>
      <c r="H20" s="220"/>
      <c r="I20" s="220"/>
      <c r="J20" s="220"/>
      <c r="K20" s="220"/>
      <c r="L20" s="220"/>
      <c r="M20" s="220"/>
      <c r="N20" s="220"/>
      <c r="O20" s="220"/>
      <c r="P20" s="220"/>
      <c r="Q20" s="220"/>
    </row>
    <row r="21" spans="1:17" s="221" customFormat="1" ht="24" customHeight="1">
      <c r="A21" s="259"/>
      <c r="B21" s="260"/>
      <c r="C21" s="261"/>
      <c r="D21" s="262"/>
      <c r="E21" s="262"/>
      <c r="F21" s="263"/>
      <c r="G21" s="264"/>
      <c r="H21" s="220"/>
      <c r="I21" s="220"/>
      <c r="J21" s="220"/>
      <c r="K21" s="220"/>
      <c r="L21" s="220"/>
      <c r="M21" s="220"/>
      <c r="N21" s="220"/>
      <c r="O21" s="220"/>
      <c r="P21" s="220"/>
      <c r="Q21" s="220"/>
    </row>
    <row r="22" spans="1:17" ht="24" customHeight="1">
      <c r="A22" s="265"/>
      <c r="B22" s="266"/>
      <c r="C22" s="267"/>
      <c r="D22" s="268"/>
      <c r="E22" s="268"/>
      <c r="F22" s="269"/>
      <c r="G22" s="270"/>
    </row>
    <row r="23" spans="1:17" ht="24" customHeight="1">
      <c r="A23" s="271"/>
      <c r="B23" s="272"/>
      <c r="C23" s="273"/>
      <c r="D23" s="274"/>
      <c r="E23" s="274"/>
      <c r="F23" s="275"/>
      <c r="G23" s="276"/>
    </row>
    <row r="24" spans="1:17" s="221" customFormat="1" ht="24" customHeight="1">
      <c r="A24" s="259"/>
      <c r="B24" s="277" t="s">
        <v>106</v>
      </c>
      <c r="C24" s="262" t="s">
        <v>107</v>
      </c>
      <c r="D24" s="278"/>
      <c r="E24" s="278"/>
      <c r="F24" s="263"/>
      <c r="G24" s="264"/>
      <c r="H24" s="220"/>
      <c r="I24" s="220"/>
      <c r="J24" s="220"/>
      <c r="K24" s="220"/>
      <c r="L24" s="220"/>
      <c r="M24" s="220"/>
      <c r="N24" s="220"/>
      <c r="O24" s="220"/>
      <c r="P24" s="220"/>
      <c r="Q24" s="220"/>
    </row>
    <row r="25" spans="1:17" s="221" customFormat="1" ht="24" customHeight="1">
      <c r="A25" s="259"/>
      <c r="B25" s="260" t="s">
        <v>105</v>
      </c>
      <c r="C25" s="261" t="s">
        <v>108</v>
      </c>
      <c r="D25" s="261"/>
      <c r="E25" s="279"/>
      <c r="F25" s="263">
        <f>'ปร.5(ก)อาคาร'!H28</f>
        <v>0</v>
      </c>
      <c r="G25" s="280"/>
      <c r="H25" s="220"/>
      <c r="I25" s="220"/>
      <c r="J25" s="220"/>
      <c r="K25" s="220"/>
      <c r="L25" s="220"/>
      <c r="M25" s="220"/>
      <c r="N25" s="220"/>
      <c r="O25" s="220"/>
      <c r="P25" s="220"/>
      <c r="Q25" s="220"/>
    </row>
    <row r="26" spans="1:17" s="221" customFormat="1" ht="24" customHeight="1">
      <c r="A26" s="281"/>
      <c r="B26" s="282" t="s">
        <v>105</v>
      </c>
      <c r="C26" s="283" t="s">
        <v>109</v>
      </c>
      <c r="D26" s="283"/>
      <c r="E26" s="284"/>
      <c r="F26" s="285"/>
      <c r="G26" s="286"/>
      <c r="H26" s="220"/>
      <c r="I26" s="220"/>
      <c r="J26" s="220"/>
      <c r="K26" s="220"/>
      <c r="L26" s="220"/>
      <c r="M26" s="220"/>
      <c r="N26" s="220"/>
      <c r="O26" s="220"/>
      <c r="P26" s="220"/>
      <c r="Q26" s="220"/>
    </row>
    <row r="27" spans="1:17" s="221" customFormat="1" ht="24" customHeight="1">
      <c r="A27" s="259"/>
      <c r="B27" s="287" t="s">
        <v>110</v>
      </c>
      <c r="C27" s="262" t="s">
        <v>111</v>
      </c>
      <c r="D27" s="278"/>
      <c r="E27" s="279"/>
      <c r="F27" s="263"/>
      <c r="G27" s="264"/>
      <c r="H27" s="220"/>
      <c r="I27" s="220"/>
      <c r="J27" s="220"/>
      <c r="K27" s="220"/>
      <c r="L27" s="220"/>
      <c r="M27" s="220"/>
      <c r="N27" s="220"/>
      <c r="O27" s="220"/>
      <c r="P27" s="220"/>
      <c r="Q27" s="220"/>
    </row>
    <row r="28" spans="1:17" s="221" customFormat="1" ht="24" customHeight="1">
      <c r="A28" s="253"/>
      <c r="B28" s="260" t="s">
        <v>105</v>
      </c>
      <c r="C28" s="261" t="s">
        <v>112</v>
      </c>
      <c r="D28" s="261"/>
      <c r="E28" s="288"/>
      <c r="F28" s="289">
        <f>'ปร.5(ก)อาคาร'!H31</f>
        <v>15699195.92</v>
      </c>
      <c r="G28" s="290"/>
      <c r="H28" s="220"/>
      <c r="I28" s="220"/>
      <c r="J28" s="220"/>
      <c r="K28" s="220"/>
      <c r="L28" s="220"/>
      <c r="M28" s="220"/>
      <c r="N28" s="220"/>
      <c r="O28" s="220"/>
      <c r="P28" s="220"/>
      <c r="Q28" s="220"/>
    </row>
    <row r="29" spans="1:17" s="221" customFormat="1" ht="24" customHeight="1">
      <c r="A29" s="291"/>
      <c r="B29" s="292" t="s">
        <v>105</v>
      </c>
      <c r="C29" s="293" t="s">
        <v>113</v>
      </c>
      <c r="D29" s="293"/>
      <c r="E29" s="294"/>
      <c r="F29" s="295"/>
      <c r="G29" s="296"/>
      <c r="H29" s="220"/>
      <c r="I29" s="220"/>
      <c r="J29" s="220"/>
      <c r="K29" s="220"/>
      <c r="L29" s="220"/>
      <c r="M29" s="220"/>
      <c r="N29" s="220"/>
      <c r="O29" s="220"/>
      <c r="P29" s="220"/>
      <c r="Q29" s="220"/>
    </row>
    <row r="30" spans="1:17" s="221" customFormat="1" ht="24" customHeight="1">
      <c r="A30" s="297" t="s">
        <v>114</v>
      </c>
      <c r="B30" s="2184" t="s">
        <v>115</v>
      </c>
      <c r="C30" s="2185"/>
      <c r="D30" s="2185"/>
      <c r="E30" s="298"/>
      <c r="F30" s="299"/>
      <c r="G30" s="300"/>
      <c r="H30" s="220"/>
      <c r="I30" s="220"/>
      <c r="J30" s="220"/>
      <c r="K30" s="220"/>
      <c r="L30" s="220"/>
      <c r="M30" s="220"/>
      <c r="N30" s="220"/>
      <c r="O30" s="220"/>
      <c r="P30" s="220"/>
      <c r="Q30" s="220"/>
    </row>
    <row r="31" spans="1:17" s="221" customFormat="1" ht="24" customHeight="1">
      <c r="A31" s="303"/>
      <c r="B31" s="260" t="s">
        <v>105</v>
      </c>
      <c r="C31" s="304" t="s">
        <v>116</v>
      </c>
      <c r="D31" s="293"/>
      <c r="E31" s="288"/>
      <c r="F31" s="263"/>
      <c r="G31" s="290"/>
      <c r="H31" s="220"/>
      <c r="I31" s="220"/>
      <c r="J31" s="220"/>
      <c r="K31" s="220"/>
      <c r="L31" s="220"/>
      <c r="M31" s="220"/>
      <c r="N31" s="220"/>
      <c r="O31" s="220"/>
      <c r="P31" s="220"/>
      <c r="Q31" s="220"/>
    </row>
    <row r="32" spans="1:17" s="221" customFormat="1" ht="24" customHeight="1">
      <c r="A32" s="305"/>
      <c r="B32" s="306" t="s">
        <v>105</v>
      </c>
      <c r="C32" s="307" t="s">
        <v>117</v>
      </c>
      <c r="D32" s="283"/>
      <c r="E32" s="284"/>
      <c r="F32" s="285"/>
      <c r="G32" s="308"/>
      <c r="H32" s="220"/>
      <c r="I32" s="220"/>
      <c r="J32" s="220"/>
      <c r="K32" s="220"/>
      <c r="L32" s="220"/>
      <c r="M32" s="220"/>
      <c r="N32" s="220"/>
      <c r="O32" s="220"/>
      <c r="P32" s="220"/>
      <c r="Q32" s="220"/>
    </row>
    <row r="33" spans="1:17" s="221" customFormat="1" ht="24" customHeight="1">
      <c r="A33" s="309" t="s">
        <v>118</v>
      </c>
      <c r="B33" s="2182" t="s">
        <v>44</v>
      </c>
      <c r="C33" s="2183"/>
      <c r="D33" s="2183"/>
      <c r="E33" s="250"/>
      <c r="F33" s="263">
        <f>'ปร.4 (พ)'!G35</f>
        <v>21372681.199999999</v>
      </c>
      <c r="G33" s="310"/>
      <c r="H33" s="220"/>
      <c r="I33" s="220"/>
      <c r="J33" s="220"/>
      <c r="K33" s="220"/>
      <c r="L33" s="220"/>
      <c r="M33" s="220"/>
      <c r="N33" s="220"/>
      <c r="O33" s="220"/>
      <c r="P33" s="220"/>
      <c r="Q33" s="220"/>
    </row>
    <row r="34" spans="1:17" s="221" customFormat="1" ht="24" customHeight="1">
      <c r="A34" s="311"/>
      <c r="B34" s="302"/>
      <c r="C34" s="302"/>
      <c r="D34" s="302"/>
      <c r="E34" s="312"/>
      <c r="F34" s="313"/>
      <c r="G34" s="314"/>
      <c r="H34" s="220"/>
      <c r="I34" s="220"/>
      <c r="J34" s="220"/>
      <c r="K34" s="220"/>
      <c r="L34" s="220"/>
      <c r="M34" s="220"/>
      <c r="N34" s="220"/>
      <c r="O34" s="220"/>
      <c r="P34" s="220"/>
      <c r="Q34" s="220"/>
    </row>
    <row r="35" spans="1:17" s="221" customFormat="1" ht="35.1" customHeight="1">
      <c r="A35" s="301"/>
      <c r="B35" s="315"/>
      <c r="C35" s="316" t="s">
        <v>119</v>
      </c>
      <c r="D35" s="316"/>
      <c r="E35" s="317"/>
      <c r="F35" s="318"/>
      <c r="G35" s="319"/>
      <c r="H35" s="220"/>
      <c r="I35" s="220"/>
      <c r="J35" s="220"/>
      <c r="K35" s="220"/>
      <c r="L35" s="220"/>
      <c r="M35" s="220"/>
      <c r="N35" s="220"/>
      <c r="O35" s="220"/>
      <c r="P35" s="220"/>
      <c r="Q35" s="220"/>
    </row>
    <row r="36" spans="1:17" s="221" customFormat="1" ht="35.1" customHeight="1">
      <c r="A36" s="320" t="s">
        <v>120</v>
      </c>
      <c r="B36" s="321"/>
      <c r="C36" s="322"/>
      <c r="D36" s="323" t="s">
        <v>121</v>
      </c>
      <c r="E36" s="324"/>
      <c r="F36" s="325">
        <f>SUM(F16:F34)</f>
        <v>1266275602.24</v>
      </c>
      <c r="G36" s="326"/>
      <c r="H36" s="220"/>
      <c r="I36" s="220"/>
      <c r="J36" s="220"/>
      <c r="K36" s="220"/>
      <c r="L36" s="220"/>
      <c r="M36" s="220"/>
      <c r="N36" s="220"/>
      <c r="O36" s="220"/>
      <c r="P36" s="220"/>
      <c r="Q36" s="220"/>
    </row>
    <row r="37" spans="1:17" s="221" customFormat="1" ht="35.1" customHeight="1">
      <c r="A37" s="327"/>
      <c r="B37" s="2186" t="s">
        <v>122</v>
      </c>
      <c r="C37" s="2187"/>
      <c r="D37" s="328" t="str">
        <f>"("&amp;BAHTTEXT(F36)&amp;")"</f>
        <v>(หนึ่งพันสองร้อยหกสิบหกล้านสองแสนเจ็ดหมื่นห้าพันหกร้อยสองบาทยี่สิบสี่สตางค์)</v>
      </c>
      <c r="E37" s="329"/>
      <c r="F37" s="329"/>
      <c r="G37" s="330"/>
      <c r="H37" s="220"/>
      <c r="I37" s="220"/>
      <c r="J37" s="220"/>
      <c r="K37" s="220"/>
      <c r="L37" s="220"/>
      <c r="M37" s="220"/>
      <c r="N37" s="220"/>
      <c r="O37" s="220"/>
      <c r="P37" s="220"/>
      <c r="Q37" s="220"/>
    </row>
    <row r="38" spans="1:17">
      <c r="A38" s="331"/>
      <c r="B38" s="331"/>
      <c r="C38" s="331"/>
      <c r="D38" s="331"/>
      <c r="E38" s="331"/>
      <c r="F38" s="331"/>
      <c r="G38" s="331"/>
    </row>
    <row r="39" spans="1:17">
      <c r="A39" s="54"/>
      <c r="B39" s="54"/>
      <c r="C39" s="54"/>
      <c r="D39" s="54"/>
      <c r="E39" s="54"/>
      <c r="F39" s="54"/>
      <c r="G39" s="54"/>
    </row>
    <row r="40" spans="1:17">
      <c r="A40" s="54"/>
      <c r="B40" s="54"/>
      <c r="C40" s="54"/>
      <c r="D40" s="480"/>
      <c r="E40" s="481"/>
      <c r="F40" s="482"/>
      <c r="G40" s="54"/>
    </row>
    <row r="41" spans="1:17">
      <c r="A41" s="54"/>
      <c r="B41" s="54"/>
      <c r="C41" s="54"/>
      <c r="D41" s="480"/>
      <c r="E41" s="483"/>
      <c r="G41" s="54"/>
    </row>
    <row r="42" spans="1:17">
      <c r="A42" s="54"/>
      <c r="B42" s="54"/>
      <c r="C42" s="54"/>
      <c r="D42" s="54"/>
      <c r="E42" s="54"/>
      <c r="F42" s="54"/>
      <c r="G42" s="54"/>
    </row>
  </sheetData>
  <mergeCells count="10">
    <mergeCell ref="B14:D14"/>
    <mergeCell ref="B30:D30"/>
    <mergeCell ref="B33:D33"/>
    <mergeCell ref="B37:C37"/>
    <mergeCell ref="A2:G2"/>
    <mergeCell ref="G10:G11"/>
    <mergeCell ref="A12:A13"/>
    <mergeCell ref="B12:E13"/>
    <mergeCell ref="F12:F13"/>
    <mergeCell ref="G12:G13"/>
  </mergeCells>
  <pageMargins left="0.70866141732283472" right="0.39370078740157483" top="0.94488188976377963" bottom="0.39370078740157483" header="0.31496062992125984" footer="0.31496062992125984"/>
  <pageSetup paperSize="9" scale="7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DE12-9833-4764-9C54-9D5B46F0EF3B}">
  <sheetPr>
    <tabColor rgb="FF92D050"/>
  </sheetPr>
  <dimension ref="A1:U442"/>
  <sheetViews>
    <sheetView view="pageBreakPreview" topLeftCell="A412" zoomScale="85" zoomScaleNormal="100" zoomScaleSheetLayoutView="85" workbookViewId="0">
      <selection activeCell="A416" sqref="A416:L42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" customWidth="1"/>
    <col min="13" max="95" width="7.703125" style="1" customWidth="1"/>
    <col min="96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1589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29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H82</f>
        <v>317140</v>
      </c>
      <c r="I12" s="1197"/>
      <c r="J12" s="1196">
        <f>J82</f>
        <v>24000</v>
      </c>
      <c r="K12" s="1196">
        <f>K82</f>
        <v>341140</v>
      </c>
      <c r="L12" s="1430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H138</f>
        <v>177830</v>
      </c>
      <c r="I13" s="1197"/>
      <c r="J13" s="1196">
        <f>J138</f>
        <v>16440</v>
      </c>
      <c r="K13" s="1196">
        <f>K138</f>
        <v>194270</v>
      </c>
      <c r="L13" s="1430"/>
    </row>
    <row r="14" spans="1:12" s="1199" customFormat="1" ht="24" customHeight="1">
      <c r="A14" s="1204" t="str">
        <f>A139</f>
        <v>3.3</v>
      </c>
      <c r="B14" s="1190" t="str">
        <f>B139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H202</f>
        <v>62036</v>
      </c>
      <c r="I14" s="1197"/>
      <c r="J14" s="1196">
        <f>J202</f>
        <v>9000</v>
      </c>
      <c r="K14" s="1196">
        <f t="shared" ref="K14:K21" si="0">SUM(H14:J14)</f>
        <v>71036</v>
      </c>
      <c r="L14" s="1430"/>
    </row>
    <row r="15" spans="1:12" s="1199" customFormat="1" ht="24" customHeight="1">
      <c r="A15" s="1204">
        <f>A203</f>
        <v>3.4</v>
      </c>
      <c r="B15" s="1190" t="str">
        <f>B203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H233</f>
        <v>197610</v>
      </c>
      <c r="I15" s="1197"/>
      <c r="J15" s="1196">
        <f>J233</f>
        <v>80933</v>
      </c>
      <c r="K15" s="1196">
        <f t="shared" si="0"/>
        <v>278543</v>
      </c>
      <c r="L15" s="1430"/>
    </row>
    <row r="16" spans="1:12" s="1199" customFormat="1" ht="24" customHeight="1">
      <c r="A16" s="1204" t="str">
        <f>A234</f>
        <v>3.5</v>
      </c>
      <c r="B16" s="1190" t="str">
        <f>B234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H254</f>
        <v>107080</v>
      </c>
      <c r="I16" s="1197"/>
      <c r="J16" s="1196">
        <f>J254</f>
        <v>52164</v>
      </c>
      <c r="K16" s="1196">
        <f t="shared" si="0"/>
        <v>159244</v>
      </c>
      <c r="L16" s="1430"/>
    </row>
    <row r="17" spans="1:12" s="1199" customFormat="1" ht="24" customHeight="1">
      <c r="A17" s="1204" t="str">
        <f>A255</f>
        <v>3.6</v>
      </c>
      <c r="B17" s="1190" t="str">
        <f>B255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H274</f>
        <v>18524</v>
      </c>
      <c r="I17" s="1197"/>
      <c r="J17" s="1196">
        <f>J274</f>
        <v>5700</v>
      </c>
      <c r="K17" s="1196">
        <f t="shared" si="0"/>
        <v>24224</v>
      </c>
      <c r="L17" s="1430"/>
    </row>
    <row r="18" spans="1:12" s="1199" customFormat="1" ht="24" customHeight="1">
      <c r="A18" s="1204">
        <f>A275</f>
        <v>3.7</v>
      </c>
      <c r="B18" s="1190" t="str">
        <f>B275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H302</f>
        <v>53172</v>
      </c>
      <c r="I18" s="1197"/>
      <c r="J18" s="1196">
        <f>J302</f>
        <v>11295</v>
      </c>
      <c r="K18" s="1196">
        <f t="shared" si="0"/>
        <v>64467</v>
      </c>
      <c r="L18" s="1430"/>
    </row>
    <row r="19" spans="1:12" s="1199" customFormat="1" ht="24" customHeight="1">
      <c r="A19" s="1204">
        <f>A303</f>
        <v>3.8</v>
      </c>
      <c r="B19" s="2174" t="str">
        <f>B303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H346</f>
        <v>1631234</v>
      </c>
      <c r="I19" s="1197"/>
      <c r="J19" s="1196">
        <f>J346</f>
        <v>267256</v>
      </c>
      <c r="K19" s="1196">
        <f t="shared" si="0"/>
        <v>1898490</v>
      </c>
      <c r="L19" s="1430"/>
    </row>
    <row r="20" spans="1:12" s="1199" customFormat="1" ht="24" customHeight="1">
      <c r="A20" s="1204">
        <f>A347</f>
        <v>3.9</v>
      </c>
      <c r="B20" s="2174" t="str">
        <f>B347</f>
        <v>ระบบเสียงและประกาศเรียก (Public Address System)</v>
      </c>
      <c r="C20" s="1202"/>
      <c r="D20" s="1203"/>
      <c r="E20" s="1193">
        <v>1</v>
      </c>
      <c r="F20" s="1207" t="s">
        <v>19</v>
      </c>
      <c r="G20" s="1195"/>
      <c r="H20" s="1196">
        <f>H363</f>
        <v>101467</v>
      </c>
      <c r="I20" s="1197"/>
      <c r="J20" s="1196">
        <f>J363</f>
        <v>37871</v>
      </c>
      <c r="K20" s="1196">
        <f t="shared" si="0"/>
        <v>139338</v>
      </c>
      <c r="L20" s="1430"/>
    </row>
    <row r="21" spans="1:12" s="1199" customFormat="1" ht="24" customHeight="1">
      <c r="A21" s="1204" t="str">
        <f>A364</f>
        <v>3.10</v>
      </c>
      <c r="B21" s="2174" t="str">
        <f>B364</f>
        <v>ระบบควบคุมประตูอัตโนมัติ (Access Control System)</v>
      </c>
      <c r="C21" s="1202"/>
      <c r="D21" s="1203"/>
      <c r="E21" s="1193">
        <v>1</v>
      </c>
      <c r="F21" s="1207" t="s">
        <v>19</v>
      </c>
      <c r="G21" s="1195"/>
      <c r="H21" s="1196">
        <f>H385</f>
        <v>413624</v>
      </c>
      <c r="I21" s="1197"/>
      <c r="J21" s="1196">
        <f>J385</f>
        <v>18530</v>
      </c>
      <c r="K21" s="1196">
        <f t="shared" si="0"/>
        <v>432154</v>
      </c>
      <c r="L21" s="1430"/>
    </row>
    <row r="22" spans="1:12" s="1199" customFormat="1" ht="24" customHeight="1">
      <c r="A22" s="1204" t="str">
        <f>A386</f>
        <v>3.11</v>
      </c>
      <c r="B22" s="1431" t="str">
        <f>B386</f>
        <v>ระบบบริหารจัดการอาคาร (Building Management System : BMS)</v>
      </c>
      <c r="C22" s="1202"/>
      <c r="D22" s="1203"/>
      <c r="E22" s="1193">
        <v>1</v>
      </c>
      <c r="F22" s="1207" t="s">
        <v>19</v>
      </c>
      <c r="G22" s="1195"/>
      <c r="H22" s="1196">
        <f>H413</f>
        <v>899535</v>
      </c>
      <c r="I22" s="1197"/>
      <c r="J22" s="1196">
        <f>J413</f>
        <v>100694</v>
      </c>
      <c r="K22" s="1196">
        <f>K413</f>
        <v>1000229</v>
      </c>
      <c r="L22" s="1430"/>
    </row>
    <row r="23" spans="1:12" s="1199" customFormat="1" ht="24" customHeight="1">
      <c r="A23" s="1204" t="str">
        <f>A414</f>
        <v>3.12</v>
      </c>
      <c r="B23" s="1431" t="str">
        <f>B414</f>
        <v>ระบบแจ้งเหตุฉุกเฉิน (Panic Alarm System)</v>
      </c>
      <c r="C23" s="1202"/>
      <c r="D23" s="1203"/>
      <c r="E23" s="1193">
        <v>1</v>
      </c>
      <c r="F23" s="1207" t="s">
        <v>19</v>
      </c>
      <c r="G23" s="1195"/>
      <c r="H23" s="1196">
        <f>H442</f>
        <v>19482</v>
      </c>
      <c r="I23" s="1197"/>
      <c r="J23" s="1196">
        <f>J442</f>
        <v>4207</v>
      </c>
      <c r="K23" s="1196">
        <f>K442</f>
        <v>23689</v>
      </c>
      <c r="L23" s="1430"/>
    </row>
    <row r="24" spans="1:12" s="1199" customFormat="1" ht="24" customHeight="1">
      <c r="A24" s="1204"/>
      <c r="B24" s="2174"/>
      <c r="C24" s="1202"/>
      <c r="D24" s="1203"/>
      <c r="E24" s="1206"/>
      <c r="F24" s="1207"/>
      <c r="G24" s="1195"/>
      <c r="H24" s="1196"/>
      <c r="I24" s="1197"/>
      <c r="J24" s="1196"/>
      <c r="K24" s="1196"/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1</v>
      </c>
      <c r="C34" s="2258"/>
      <c r="D34" s="2259"/>
      <c r="E34" s="1244"/>
      <c r="F34" s="1245"/>
      <c r="G34" s="1246"/>
      <c r="H34" s="1247">
        <f>SUM(H11:H33)</f>
        <v>3998734</v>
      </c>
      <c r="I34" s="1246"/>
      <c r="J34" s="1247">
        <f>SUM(J11:J33)</f>
        <v>628090</v>
      </c>
      <c r="K34" s="1247">
        <f>SUM(K11:K33)</f>
        <v>4626824</v>
      </c>
      <c r="L34" s="1245"/>
      <c r="M34" s="1214"/>
      <c r="N34" s="1214"/>
      <c r="O34" s="1214"/>
      <c r="P34" s="1214"/>
      <c r="Q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1096</v>
      </c>
      <c r="B36" s="1362" t="s">
        <v>1208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1">ROUND(G38*E38,)</f>
        <v>0</v>
      </c>
      <c r="I38" s="1265"/>
      <c r="J38" s="1264"/>
      <c r="K38" s="1265">
        <f t="shared" ref="K38:K55" si="2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/>
      <c r="F39" s="1207" t="s">
        <v>363</v>
      </c>
      <c r="G39" s="2175">
        <v>2400</v>
      </c>
      <c r="H39" s="1264">
        <f t="shared" si="1"/>
        <v>0</v>
      </c>
      <c r="I39" s="1265"/>
      <c r="J39" s="1264"/>
      <c r="K39" s="1265">
        <f t="shared" si="2"/>
        <v>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>
        <v>1</v>
      </c>
      <c r="F40" s="1207" t="s">
        <v>363</v>
      </c>
      <c r="G40" s="2175">
        <v>2400</v>
      </c>
      <c r="H40" s="1264">
        <f t="shared" si="1"/>
        <v>2400</v>
      </c>
      <c r="I40" s="1265"/>
      <c r="J40" s="1264"/>
      <c r="K40" s="1265">
        <f t="shared" si="2"/>
        <v>2400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1"/>
        <v>0</v>
      </c>
      <c r="I41" s="1265"/>
      <c r="J41" s="1264"/>
      <c r="K41" s="1265">
        <f t="shared" si="2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1"/>
        <v>2400</v>
      </c>
      <c r="I42" s="1265"/>
      <c r="J42" s="1264"/>
      <c r="K42" s="1265">
        <f t="shared" si="2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1"/>
        <v>7200</v>
      </c>
      <c r="I43" s="1265"/>
      <c r="J43" s="1264"/>
      <c r="K43" s="1265">
        <f t="shared" si="2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1"/>
        <v>0</v>
      </c>
      <c r="I44" s="1265"/>
      <c r="J44" s="1264"/>
      <c r="K44" s="1265">
        <f t="shared" si="2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1"/>
        <v>0</v>
      </c>
      <c r="I45" s="1265"/>
      <c r="J45" s="1264"/>
      <c r="K45" s="1265">
        <f t="shared" si="2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1"/>
        <v>0</v>
      </c>
      <c r="I46" s="1265"/>
      <c r="J46" s="1264"/>
      <c r="K46" s="1265">
        <f t="shared" si="2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1"/>
        <v>0</v>
      </c>
      <c r="I47" s="1265"/>
      <c r="J47" s="1264"/>
      <c r="K47" s="1265">
        <f t="shared" si="2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>
        <v>1</v>
      </c>
      <c r="F48" s="1207" t="s">
        <v>363</v>
      </c>
      <c r="G48" s="2175">
        <v>11500</v>
      </c>
      <c r="H48" s="1264">
        <f t="shared" si="1"/>
        <v>11500</v>
      </c>
      <c r="I48" s="1265"/>
      <c r="J48" s="1264"/>
      <c r="K48" s="1265">
        <f t="shared" si="2"/>
        <v>11500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/>
      <c r="F49" s="1207" t="s">
        <v>363</v>
      </c>
      <c r="G49" s="2175">
        <v>20200</v>
      </c>
      <c r="H49" s="1264">
        <f t="shared" si="1"/>
        <v>0</v>
      </c>
      <c r="I49" s="1265"/>
      <c r="J49" s="1264"/>
      <c r="K49" s="1265">
        <f t="shared" si="2"/>
        <v>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1"/>
        <v>0</v>
      </c>
      <c r="I50" s="1265"/>
      <c r="J50" s="1264"/>
      <c r="K50" s="1265">
        <f t="shared" si="2"/>
        <v>0</v>
      </c>
      <c r="L50" s="1266"/>
    </row>
    <row r="51" spans="1:18" s="1199" customFormat="1" ht="24" customHeight="1">
      <c r="A51" s="1339"/>
      <c r="B51" s="1259" t="s">
        <v>1228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1"/>
        <v>1800</v>
      </c>
      <c r="I51" s="1265"/>
      <c r="J51" s="1264"/>
      <c r="K51" s="1265">
        <f t="shared" si="2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1"/>
        <v>360</v>
      </c>
      <c r="I52" s="1265"/>
      <c r="J52" s="1264"/>
      <c r="K52" s="1265">
        <f t="shared" si="2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1"/>
        <v>300</v>
      </c>
      <c r="I53" s="1265"/>
      <c r="J53" s="1264"/>
      <c r="K53" s="1265">
        <f t="shared" si="2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6</v>
      </c>
      <c r="F54" s="1207" t="s">
        <v>363</v>
      </c>
      <c r="G54" s="2175">
        <v>15435</v>
      </c>
      <c r="H54" s="1264">
        <f t="shared" si="1"/>
        <v>92610</v>
      </c>
      <c r="I54" s="1265"/>
      <c r="J54" s="1264"/>
      <c r="K54" s="1265">
        <f t="shared" si="2"/>
        <v>92610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40000</v>
      </c>
      <c r="H55" s="1264">
        <f t="shared" si="1"/>
        <v>40000</v>
      </c>
      <c r="I55" s="1265">
        <f>G55*0.3</f>
        <v>12000</v>
      </c>
      <c r="J55" s="1264">
        <f>ROUND(E55*I55,)</f>
        <v>12000</v>
      </c>
      <c r="K55" s="1265">
        <f t="shared" si="2"/>
        <v>52000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1243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3">ROUND(G61*E61,)</f>
        <v>0</v>
      </c>
      <c r="I61" s="1265"/>
      <c r="J61" s="1264"/>
      <c r="K61" s="1265">
        <f t="shared" ref="K61:K78" si="4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/>
      <c r="F62" s="1207" t="s">
        <v>363</v>
      </c>
      <c r="G62" s="2175">
        <v>2400</v>
      </c>
      <c r="H62" s="1264">
        <f t="shared" si="3"/>
        <v>0</v>
      </c>
      <c r="I62" s="1265"/>
      <c r="J62" s="1264"/>
      <c r="K62" s="1265">
        <f t="shared" si="4"/>
        <v>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>
        <v>1</v>
      </c>
      <c r="F63" s="1207" t="s">
        <v>363</v>
      </c>
      <c r="G63" s="2175">
        <v>2400</v>
      </c>
      <c r="H63" s="1264">
        <f t="shared" si="3"/>
        <v>2400</v>
      </c>
      <c r="I63" s="1265"/>
      <c r="J63" s="1264"/>
      <c r="K63" s="1265">
        <f t="shared" si="4"/>
        <v>2400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3"/>
        <v>0</v>
      </c>
      <c r="I64" s="1265"/>
      <c r="J64" s="1264"/>
      <c r="K64" s="1265">
        <f t="shared" si="4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3"/>
        <v>2400</v>
      </c>
      <c r="I65" s="1265"/>
      <c r="J65" s="1264"/>
      <c r="K65" s="1265">
        <f t="shared" si="4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3</v>
      </c>
      <c r="F66" s="1207" t="s">
        <v>363</v>
      </c>
      <c r="G66" s="2175">
        <v>2400</v>
      </c>
      <c r="H66" s="1264">
        <f t="shared" si="3"/>
        <v>7200</v>
      </c>
      <c r="I66" s="1265"/>
      <c r="J66" s="1264"/>
      <c r="K66" s="1265">
        <f t="shared" si="4"/>
        <v>7200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3"/>
        <v>0</v>
      </c>
      <c r="I67" s="1265"/>
      <c r="J67" s="1264"/>
      <c r="K67" s="1265">
        <f t="shared" si="4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3"/>
        <v>0</v>
      </c>
      <c r="I68" s="1265"/>
      <c r="J68" s="1264"/>
      <c r="K68" s="1265">
        <f t="shared" si="4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3"/>
        <v>0</v>
      </c>
      <c r="I69" s="1265"/>
      <c r="J69" s="1264"/>
      <c r="K69" s="1265">
        <f t="shared" si="4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3"/>
        <v>0</v>
      </c>
      <c r="I70" s="1265"/>
      <c r="J70" s="1264"/>
      <c r="K70" s="1265">
        <f t="shared" si="4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>
        <v>1</v>
      </c>
      <c r="F71" s="1207" t="s">
        <v>363</v>
      </c>
      <c r="G71" s="2175">
        <v>11500</v>
      </c>
      <c r="H71" s="1264">
        <f t="shared" si="3"/>
        <v>11500</v>
      </c>
      <c r="I71" s="1265"/>
      <c r="J71" s="1264"/>
      <c r="K71" s="1265">
        <f t="shared" si="4"/>
        <v>11500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/>
      <c r="F72" s="1207" t="s">
        <v>363</v>
      </c>
      <c r="G72" s="2175">
        <v>20200</v>
      </c>
      <c r="H72" s="1264">
        <f t="shared" si="3"/>
        <v>0</v>
      </c>
      <c r="I72" s="1265"/>
      <c r="J72" s="1264"/>
      <c r="K72" s="1265">
        <f t="shared" si="4"/>
        <v>0</v>
      </c>
      <c r="L72" s="1266"/>
    </row>
    <row r="73" spans="1:17" s="1199" customFormat="1" ht="24" customHeight="1">
      <c r="A73" s="1339" t="s">
        <v>2891</v>
      </c>
      <c r="B73" s="1259" t="s">
        <v>1143</v>
      </c>
      <c r="C73" s="1260"/>
      <c r="D73" s="1260"/>
      <c r="E73" s="1261"/>
      <c r="F73" s="1358"/>
      <c r="G73" s="2175"/>
      <c r="H73" s="1264">
        <f t="shared" si="3"/>
        <v>0</v>
      </c>
      <c r="I73" s="1265"/>
      <c r="J73" s="1264"/>
      <c r="K73" s="1265">
        <f t="shared" si="4"/>
        <v>0</v>
      </c>
      <c r="L73" s="1266"/>
    </row>
    <row r="74" spans="1:17" s="1199" customFormat="1" ht="24" customHeight="1">
      <c r="A74" s="1339"/>
      <c r="B74" s="1259" t="s">
        <v>1228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3"/>
        <v>1800</v>
      </c>
      <c r="I74" s="1265"/>
      <c r="J74" s="1264"/>
      <c r="K74" s="1265">
        <f t="shared" si="4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3"/>
        <v>360</v>
      </c>
      <c r="I75" s="1265"/>
      <c r="J75" s="1264"/>
      <c r="K75" s="1265">
        <f t="shared" si="4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3"/>
        <v>300</v>
      </c>
      <c r="I76" s="1265"/>
      <c r="J76" s="1264"/>
      <c r="K76" s="1265">
        <f t="shared" si="4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6</v>
      </c>
      <c r="F77" s="1207" t="s">
        <v>363</v>
      </c>
      <c r="G77" s="2175">
        <v>15435</v>
      </c>
      <c r="H77" s="1264">
        <f t="shared" si="3"/>
        <v>92610</v>
      </c>
      <c r="I77" s="1265"/>
      <c r="J77" s="1264"/>
      <c r="K77" s="1265">
        <f t="shared" si="4"/>
        <v>92610</v>
      </c>
      <c r="L77" s="1266"/>
    </row>
    <row r="78" spans="1:17" s="1199" customFormat="1" ht="24" customHeight="1">
      <c r="A78" s="1339" t="s">
        <v>2957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40000</v>
      </c>
      <c r="H78" s="1264">
        <f t="shared" si="3"/>
        <v>40000</v>
      </c>
      <c r="I78" s="1265">
        <f>G78*0.3</f>
        <v>12000</v>
      </c>
      <c r="J78" s="1264">
        <f>ROUND(E78*I78,)</f>
        <v>12000</v>
      </c>
      <c r="K78" s="1265">
        <f t="shared" si="4"/>
        <v>52000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8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8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SUM(H35:H78)</f>
        <v>317140</v>
      </c>
      <c r="I82" s="1246"/>
      <c r="J82" s="1247">
        <f>SUM(J35:J78)</f>
        <v>24000</v>
      </c>
      <c r="K82" s="1247">
        <f>SUM(K35:K78)</f>
        <v>341140</v>
      </c>
      <c r="L82" s="1245"/>
      <c r="M82" s="1214"/>
      <c r="N82" s="1214"/>
      <c r="O82" s="1214"/>
      <c r="P82" s="1214"/>
      <c r="Q82" s="1214"/>
    </row>
    <row r="83" spans="1:18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8" s="1199" customFormat="1" ht="24" customHeight="1">
      <c r="A84" s="1361" t="s">
        <v>1121</v>
      </c>
      <c r="B84" s="1362" t="s">
        <v>1266</v>
      </c>
      <c r="C84" s="1260"/>
      <c r="D84" s="1260"/>
      <c r="E84" s="1261"/>
      <c r="F84" s="1358"/>
      <c r="G84" s="2175"/>
      <c r="H84" s="1264"/>
      <c r="I84" s="1265"/>
      <c r="J84" s="1264"/>
      <c r="K84" s="1265"/>
      <c r="L84" s="1364"/>
    </row>
    <row r="85" spans="1:18" s="1199" customFormat="1" ht="24" customHeight="1">
      <c r="A85" s="1339" t="s">
        <v>1618</v>
      </c>
      <c r="B85" s="1259" t="s">
        <v>1210</v>
      </c>
      <c r="C85" s="1260"/>
      <c r="D85" s="1260"/>
      <c r="E85" s="1261"/>
      <c r="F85" s="1358"/>
      <c r="G85" s="2175"/>
      <c r="H85" s="1264"/>
      <c r="I85" s="1265"/>
      <c r="J85" s="1264"/>
      <c r="K85" s="1265"/>
      <c r="L85" s="1364"/>
    </row>
    <row r="86" spans="1:18" s="1199" customFormat="1" ht="24" customHeight="1">
      <c r="A86" s="1339"/>
      <c r="B86" s="1259" t="s">
        <v>1211</v>
      </c>
      <c r="C86" s="1260"/>
      <c r="D86" s="1260"/>
      <c r="E86" s="1261"/>
      <c r="F86" s="1207" t="s">
        <v>363</v>
      </c>
      <c r="G86" s="2175">
        <v>2400</v>
      </c>
      <c r="H86" s="1264">
        <f t="shared" ref="H86:H108" si="5">ROUND(G86*E86,)</f>
        <v>0</v>
      </c>
      <c r="I86" s="1265"/>
      <c r="J86" s="1264"/>
      <c r="K86" s="1265">
        <f t="shared" ref="K86:K108" si="6">J86+H86</f>
        <v>0</v>
      </c>
      <c r="L86" s="1266"/>
      <c r="N86" s="1363"/>
      <c r="O86" s="1363"/>
      <c r="P86" s="1363"/>
      <c r="Q86" s="1363"/>
      <c r="R86" s="1363"/>
    </row>
    <row r="87" spans="1:18" s="1199" customFormat="1" ht="24" customHeight="1">
      <c r="A87" s="1339"/>
      <c r="B87" s="1259" t="s">
        <v>1212</v>
      </c>
      <c r="C87" s="1260"/>
      <c r="D87" s="1260"/>
      <c r="E87" s="1261"/>
      <c r="F87" s="1207" t="s">
        <v>363</v>
      </c>
      <c r="G87" s="2175">
        <v>2400</v>
      </c>
      <c r="H87" s="1264">
        <f t="shared" si="5"/>
        <v>0</v>
      </c>
      <c r="I87" s="1265"/>
      <c r="J87" s="1264"/>
      <c r="K87" s="1265">
        <f t="shared" si="6"/>
        <v>0</v>
      </c>
      <c r="L87" s="1266"/>
      <c r="N87" s="1363"/>
      <c r="O87" s="1363"/>
      <c r="P87" s="1363"/>
      <c r="Q87" s="1363"/>
      <c r="R87" s="1363"/>
    </row>
    <row r="88" spans="1:18" s="1199" customFormat="1" ht="24" customHeight="1">
      <c r="A88" s="1339"/>
      <c r="B88" s="1259" t="s">
        <v>1213</v>
      </c>
      <c r="C88" s="1260"/>
      <c r="D88" s="1260"/>
      <c r="E88" s="1261"/>
      <c r="F88" s="1207" t="s">
        <v>363</v>
      </c>
      <c r="G88" s="2175">
        <v>2400</v>
      </c>
      <c r="H88" s="1264">
        <f t="shared" si="5"/>
        <v>0</v>
      </c>
      <c r="I88" s="1265"/>
      <c r="J88" s="1264"/>
      <c r="K88" s="1265">
        <f t="shared" si="6"/>
        <v>0</v>
      </c>
      <c r="L88" s="1266"/>
    </row>
    <row r="89" spans="1:18" s="1199" customFormat="1" ht="24" customHeight="1">
      <c r="A89" s="1339"/>
      <c r="B89" s="1259" t="s">
        <v>1214</v>
      </c>
      <c r="C89" s="1260"/>
      <c r="D89" s="1260"/>
      <c r="E89" s="1261">
        <v>2</v>
      </c>
      <c r="F89" s="1207" t="s">
        <v>363</v>
      </c>
      <c r="G89" s="2175">
        <v>2400</v>
      </c>
      <c r="H89" s="1264">
        <f t="shared" si="5"/>
        <v>4800</v>
      </c>
      <c r="I89" s="1265"/>
      <c r="J89" s="1264"/>
      <c r="K89" s="1265">
        <f t="shared" si="6"/>
        <v>4800</v>
      </c>
      <c r="L89" s="1266"/>
    </row>
    <row r="90" spans="1:18" s="1199" customFormat="1" ht="24" customHeight="1">
      <c r="A90" s="1339"/>
      <c r="B90" s="1259" t="s">
        <v>1215</v>
      </c>
      <c r="C90" s="1260"/>
      <c r="D90" s="1260"/>
      <c r="E90" s="1261">
        <v>1</v>
      </c>
      <c r="F90" s="1207" t="s">
        <v>363</v>
      </c>
      <c r="G90" s="2175">
        <v>2400</v>
      </c>
      <c r="H90" s="1264">
        <f t="shared" si="5"/>
        <v>2400</v>
      </c>
      <c r="I90" s="1265"/>
      <c r="J90" s="1264"/>
      <c r="K90" s="1265">
        <f t="shared" si="6"/>
        <v>2400</v>
      </c>
      <c r="L90" s="1266"/>
    </row>
    <row r="91" spans="1:18" s="1199" customFormat="1" ht="24" customHeight="1">
      <c r="A91" s="1339"/>
      <c r="B91" s="1259" t="s">
        <v>1216</v>
      </c>
      <c r="C91" s="1260"/>
      <c r="D91" s="1260"/>
      <c r="E91" s="1261"/>
      <c r="F91" s="1207" t="s">
        <v>363</v>
      </c>
      <c r="G91" s="2175">
        <v>2400</v>
      </c>
      <c r="H91" s="1264">
        <f t="shared" si="5"/>
        <v>0</v>
      </c>
      <c r="I91" s="1265"/>
      <c r="J91" s="1264"/>
      <c r="K91" s="1265">
        <f t="shared" si="6"/>
        <v>0</v>
      </c>
      <c r="L91" s="1266"/>
    </row>
    <row r="92" spans="1:18" s="1199" customFormat="1" ht="24" customHeight="1">
      <c r="A92" s="1339"/>
      <c r="B92" s="1259" t="s">
        <v>1257</v>
      </c>
      <c r="C92" s="1260"/>
      <c r="D92" s="1260"/>
      <c r="E92" s="1261"/>
      <c r="F92" s="1207" t="s">
        <v>363</v>
      </c>
      <c r="G92" s="2175">
        <v>2600</v>
      </c>
      <c r="H92" s="1264">
        <f t="shared" si="5"/>
        <v>0</v>
      </c>
      <c r="I92" s="1265"/>
      <c r="J92" s="1264"/>
      <c r="K92" s="1265">
        <f t="shared" si="6"/>
        <v>0</v>
      </c>
      <c r="L92" s="1266"/>
    </row>
    <row r="93" spans="1:18" s="1199" customFormat="1" ht="24" customHeight="1">
      <c r="A93" s="1339"/>
      <c r="B93" s="1259" t="s">
        <v>1217</v>
      </c>
      <c r="C93" s="1260"/>
      <c r="D93" s="1260"/>
      <c r="E93" s="1261">
        <v>1</v>
      </c>
      <c r="F93" s="1207" t="s">
        <v>363</v>
      </c>
      <c r="G93" s="2175">
        <v>3000</v>
      </c>
      <c r="H93" s="1264">
        <f t="shared" si="5"/>
        <v>3000</v>
      </c>
      <c r="I93" s="1265"/>
      <c r="J93" s="1264"/>
      <c r="K93" s="1265">
        <f t="shared" si="6"/>
        <v>3000</v>
      </c>
      <c r="L93" s="1266"/>
    </row>
    <row r="94" spans="1:18" s="1199" customFormat="1" ht="24" customHeight="1">
      <c r="A94" s="1339"/>
      <c r="B94" s="1259" t="s">
        <v>1218</v>
      </c>
      <c r="C94" s="1260"/>
      <c r="D94" s="1260"/>
      <c r="E94" s="1261"/>
      <c r="F94" s="1207" t="s">
        <v>363</v>
      </c>
      <c r="G94" s="2175">
        <v>5000</v>
      </c>
      <c r="H94" s="1264">
        <f t="shared" si="5"/>
        <v>0</v>
      </c>
      <c r="I94" s="1265"/>
      <c r="J94" s="1264"/>
      <c r="K94" s="1265">
        <f t="shared" si="6"/>
        <v>0</v>
      </c>
      <c r="L94" s="1266"/>
    </row>
    <row r="95" spans="1:18" s="1199" customFormat="1" ht="24" customHeight="1">
      <c r="A95" s="1339"/>
      <c r="B95" s="1259" t="s">
        <v>1258</v>
      </c>
      <c r="C95" s="1260"/>
      <c r="D95" s="1260"/>
      <c r="E95" s="1261"/>
      <c r="F95" s="1207" t="s">
        <v>363</v>
      </c>
      <c r="G95" s="2175">
        <v>5700</v>
      </c>
      <c r="H95" s="1264">
        <f t="shared" si="5"/>
        <v>0</v>
      </c>
      <c r="I95" s="1265"/>
      <c r="J95" s="1264"/>
      <c r="K95" s="1265">
        <f t="shared" si="6"/>
        <v>0</v>
      </c>
      <c r="L95" s="1266"/>
    </row>
    <row r="96" spans="1:18" s="1199" customFormat="1" ht="24" customHeight="1">
      <c r="A96" s="1339"/>
      <c r="B96" s="1259" t="s">
        <v>1259</v>
      </c>
      <c r="C96" s="1260"/>
      <c r="D96" s="1260"/>
      <c r="E96" s="1261"/>
      <c r="F96" s="1207" t="s">
        <v>363</v>
      </c>
      <c r="G96" s="2175">
        <v>5700</v>
      </c>
      <c r="H96" s="1264">
        <f t="shared" si="5"/>
        <v>0</v>
      </c>
      <c r="I96" s="1265"/>
      <c r="J96" s="1264"/>
      <c r="K96" s="1265">
        <f t="shared" si="6"/>
        <v>0</v>
      </c>
      <c r="L96" s="1266"/>
    </row>
    <row r="97" spans="1:18" s="1199" customFormat="1" ht="24" customHeight="1">
      <c r="A97" s="1339"/>
      <c r="B97" s="1259" t="s">
        <v>1220</v>
      </c>
      <c r="C97" s="1260"/>
      <c r="D97" s="1260"/>
      <c r="E97" s="1261"/>
      <c r="F97" s="1207" t="s">
        <v>363</v>
      </c>
      <c r="G97" s="2175">
        <v>8600</v>
      </c>
      <c r="H97" s="1264">
        <f t="shared" si="5"/>
        <v>0</v>
      </c>
      <c r="I97" s="1265"/>
      <c r="J97" s="1264"/>
      <c r="K97" s="1265">
        <f t="shared" si="6"/>
        <v>0</v>
      </c>
      <c r="L97" s="1266"/>
    </row>
    <row r="98" spans="1:18" s="1199" customFormat="1" ht="24" customHeight="1">
      <c r="A98" s="1339"/>
      <c r="B98" s="1259" t="s">
        <v>1260</v>
      </c>
      <c r="C98" s="1260"/>
      <c r="D98" s="1260"/>
      <c r="E98" s="1261"/>
      <c r="F98" s="1207" t="s">
        <v>363</v>
      </c>
      <c r="G98" s="2175">
        <v>8600</v>
      </c>
      <c r="H98" s="1264">
        <f t="shared" si="5"/>
        <v>0</v>
      </c>
      <c r="I98" s="1265"/>
      <c r="J98" s="1264"/>
      <c r="K98" s="1265">
        <f t="shared" si="6"/>
        <v>0</v>
      </c>
      <c r="L98" s="1266"/>
    </row>
    <row r="99" spans="1:18" s="1199" customFormat="1" ht="24" customHeight="1">
      <c r="A99" s="1339"/>
      <c r="B99" s="1259" t="s">
        <v>1261</v>
      </c>
      <c r="C99" s="1260"/>
      <c r="D99" s="1260"/>
      <c r="E99" s="1261"/>
      <c r="F99" s="1207" t="s">
        <v>363</v>
      </c>
      <c r="G99" s="2175">
        <v>8600</v>
      </c>
      <c r="H99" s="1264">
        <f t="shared" si="5"/>
        <v>0</v>
      </c>
      <c r="I99" s="1265"/>
      <c r="J99" s="1264"/>
      <c r="K99" s="1265">
        <f t="shared" si="6"/>
        <v>0</v>
      </c>
      <c r="L99" s="1266"/>
    </row>
    <row r="100" spans="1:18" s="1199" customFormat="1" ht="24" customHeight="1">
      <c r="A100" s="1339"/>
      <c r="B100" s="1259" t="s">
        <v>1221</v>
      </c>
      <c r="C100" s="1260"/>
      <c r="D100" s="1260"/>
      <c r="E100" s="1261"/>
      <c r="F100" s="1207" t="s">
        <v>363</v>
      </c>
      <c r="G100" s="2175">
        <v>11500</v>
      </c>
      <c r="H100" s="1264">
        <f t="shared" si="5"/>
        <v>0</v>
      </c>
      <c r="I100" s="1265"/>
      <c r="J100" s="1264"/>
      <c r="K100" s="1265">
        <f t="shared" si="6"/>
        <v>0</v>
      </c>
      <c r="L100" s="1266"/>
    </row>
    <row r="101" spans="1:18" s="1199" customFormat="1" ht="24" customHeight="1">
      <c r="A101" s="1339"/>
      <c r="B101" s="1259" t="s">
        <v>1262</v>
      </c>
      <c r="C101" s="1260"/>
      <c r="D101" s="1260"/>
      <c r="E101" s="1261"/>
      <c r="F101" s="1207" t="s">
        <v>363</v>
      </c>
      <c r="G101" s="2175">
        <v>20200</v>
      </c>
      <c r="H101" s="1264">
        <f t="shared" si="5"/>
        <v>0</v>
      </c>
      <c r="I101" s="1265"/>
      <c r="J101" s="1264"/>
      <c r="K101" s="1265">
        <f t="shared" si="6"/>
        <v>0</v>
      </c>
      <c r="L101" s="1266"/>
    </row>
    <row r="102" spans="1:18" s="1199" customFormat="1" ht="24" customHeight="1">
      <c r="A102" s="1339"/>
      <c r="B102" s="1259" t="s">
        <v>1263</v>
      </c>
      <c r="C102" s="1260"/>
      <c r="D102" s="1260"/>
      <c r="E102" s="1261"/>
      <c r="F102" s="1207" t="s">
        <v>363</v>
      </c>
      <c r="G102" s="2175">
        <v>20200</v>
      </c>
      <c r="H102" s="1264">
        <f t="shared" si="5"/>
        <v>0</v>
      </c>
      <c r="I102" s="1265"/>
      <c r="J102" s="1264"/>
      <c r="K102" s="1265">
        <f t="shared" si="6"/>
        <v>0</v>
      </c>
      <c r="L102" s="1266"/>
    </row>
    <row r="103" spans="1:18" s="1199" customFormat="1" ht="24" customHeight="1">
      <c r="A103" s="1339" t="s">
        <v>1619</v>
      </c>
      <c r="B103" s="1259" t="s">
        <v>1143</v>
      </c>
      <c r="C103" s="1260"/>
      <c r="D103" s="1260"/>
      <c r="E103" s="1261"/>
      <c r="F103" s="1358"/>
      <c r="G103" s="2175"/>
      <c r="H103" s="1264">
        <f t="shared" si="5"/>
        <v>0</v>
      </c>
      <c r="I103" s="1265"/>
      <c r="J103" s="1264"/>
      <c r="K103" s="1265">
        <f t="shared" si="6"/>
        <v>0</v>
      </c>
      <c r="L103" s="1364"/>
    </row>
    <row r="104" spans="1:18" s="1199" customFormat="1" ht="24" customHeight="1">
      <c r="A104" s="1339"/>
      <c r="B104" s="1259" t="s">
        <v>1267</v>
      </c>
      <c r="C104" s="1260"/>
      <c r="D104" s="1260"/>
      <c r="E104" s="1261">
        <v>3</v>
      </c>
      <c r="F104" s="1207" t="s">
        <v>363</v>
      </c>
      <c r="G104" s="2175">
        <v>600</v>
      </c>
      <c r="H104" s="1264">
        <f t="shared" si="5"/>
        <v>1800</v>
      </c>
      <c r="I104" s="1265"/>
      <c r="J104" s="1264"/>
      <c r="K104" s="1265">
        <f t="shared" si="6"/>
        <v>1800</v>
      </c>
      <c r="L104" s="1364"/>
    </row>
    <row r="105" spans="1:18" s="1199" customFormat="1" ht="24" customHeight="1">
      <c r="A105" s="1339"/>
      <c r="B105" s="1259" t="s">
        <v>1145</v>
      </c>
      <c r="C105" s="1260"/>
      <c r="D105" s="1260"/>
      <c r="E105" s="1261">
        <v>3</v>
      </c>
      <c r="F105" s="1207" t="s">
        <v>363</v>
      </c>
      <c r="G105" s="2175">
        <v>120</v>
      </c>
      <c r="H105" s="1264">
        <f t="shared" si="5"/>
        <v>360</v>
      </c>
      <c r="I105" s="1265"/>
      <c r="J105" s="1264"/>
      <c r="K105" s="1265">
        <f t="shared" si="6"/>
        <v>360</v>
      </c>
      <c r="L105" s="1364"/>
    </row>
    <row r="106" spans="1:18" s="1199" customFormat="1" ht="24" customHeight="1">
      <c r="A106" s="1339"/>
      <c r="B106" s="1259" t="s">
        <v>1146</v>
      </c>
      <c r="C106" s="1260"/>
      <c r="D106" s="1260"/>
      <c r="E106" s="1261">
        <v>3</v>
      </c>
      <c r="F106" s="1207" t="s">
        <v>363</v>
      </c>
      <c r="G106" s="2175">
        <v>100</v>
      </c>
      <c r="H106" s="1264">
        <f t="shared" si="5"/>
        <v>300</v>
      </c>
      <c r="I106" s="1265"/>
      <c r="J106" s="1264"/>
      <c r="K106" s="1265">
        <f t="shared" si="6"/>
        <v>300</v>
      </c>
      <c r="L106" s="1364"/>
    </row>
    <row r="107" spans="1:18" s="1199" customFormat="1" ht="24" customHeight="1">
      <c r="A107" s="1339"/>
      <c r="B107" s="1259" t="s">
        <v>1224</v>
      </c>
      <c r="C107" s="1260"/>
      <c r="D107" s="1260"/>
      <c r="E107" s="1261">
        <v>3</v>
      </c>
      <c r="F107" s="1207" t="s">
        <v>363</v>
      </c>
      <c r="G107" s="2175">
        <v>15435</v>
      </c>
      <c r="H107" s="1264">
        <f t="shared" si="5"/>
        <v>46305</v>
      </c>
      <c r="I107" s="1265"/>
      <c r="J107" s="1264"/>
      <c r="K107" s="1265">
        <f t="shared" si="6"/>
        <v>46305</v>
      </c>
      <c r="L107" s="1364"/>
    </row>
    <row r="108" spans="1:18" s="1199" customFormat="1" ht="24" customHeight="1">
      <c r="A108" s="1339" t="s">
        <v>1620</v>
      </c>
      <c r="B108" s="1259" t="s">
        <v>1226</v>
      </c>
      <c r="C108" s="1260"/>
      <c r="D108" s="1260"/>
      <c r="E108" s="1261">
        <v>1</v>
      </c>
      <c r="F108" s="1207" t="s">
        <v>1104</v>
      </c>
      <c r="G108" s="2175">
        <v>27400</v>
      </c>
      <c r="H108" s="1264">
        <f t="shared" si="5"/>
        <v>27400</v>
      </c>
      <c r="I108" s="1265">
        <f>G108*0.3</f>
        <v>8220</v>
      </c>
      <c r="J108" s="1264">
        <f>ROUND(E108*I108,)</f>
        <v>8220</v>
      </c>
      <c r="K108" s="1265">
        <f t="shared" si="6"/>
        <v>35620</v>
      </c>
      <c r="L108" s="1364"/>
    </row>
    <row r="109" spans="1:18" s="1199" customFormat="1" ht="24" customHeight="1">
      <c r="A109" s="1361" t="s">
        <v>1123</v>
      </c>
      <c r="B109" s="1362" t="s">
        <v>1281</v>
      </c>
      <c r="C109" s="1260"/>
      <c r="D109" s="1260"/>
      <c r="E109" s="1261"/>
      <c r="F109" s="1358"/>
      <c r="G109" s="2175"/>
      <c r="H109" s="1264"/>
      <c r="I109" s="1265"/>
      <c r="J109" s="1264"/>
      <c r="K109" s="1265"/>
      <c r="L109" s="1364"/>
    </row>
    <row r="110" spans="1:18" s="1199" customFormat="1" ht="24" customHeight="1">
      <c r="A110" s="1339" t="s">
        <v>2923</v>
      </c>
      <c r="B110" s="1259" t="s">
        <v>1210</v>
      </c>
      <c r="C110" s="1260"/>
      <c r="D110" s="1260"/>
      <c r="E110" s="1261"/>
      <c r="F110" s="1358"/>
      <c r="G110" s="2175"/>
      <c r="H110" s="1264"/>
      <c r="I110" s="1265"/>
      <c r="J110" s="1264"/>
      <c r="K110" s="1265"/>
      <c r="L110" s="1364"/>
    </row>
    <row r="111" spans="1:18" s="1199" customFormat="1" ht="24" customHeight="1">
      <c r="A111" s="1339"/>
      <c r="B111" s="1259" t="s">
        <v>1211</v>
      </c>
      <c r="C111" s="1260"/>
      <c r="D111" s="1260"/>
      <c r="E111" s="1261"/>
      <c r="F111" s="1207" t="s">
        <v>363</v>
      </c>
      <c r="G111" s="2175">
        <v>2400</v>
      </c>
      <c r="H111" s="1264">
        <f t="shared" ref="H111:H133" si="7">ROUND(G111*E111,)</f>
        <v>0</v>
      </c>
      <c r="I111" s="1265"/>
      <c r="J111" s="1264"/>
      <c r="K111" s="1265">
        <f t="shared" ref="K111:K133" si="8">J111+H111</f>
        <v>0</v>
      </c>
      <c r="L111" s="1266"/>
      <c r="N111" s="1363"/>
      <c r="O111" s="1363"/>
      <c r="P111" s="1363"/>
      <c r="Q111" s="1363"/>
      <c r="R111" s="1363"/>
    </row>
    <row r="112" spans="1:18" s="1199" customFormat="1" ht="24" customHeight="1">
      <c r="A112" s="1339"/>
      <c r="B112" s="1259" t="s">
        <v>1212</v>
      </c>
      <c r="C112" s="1260"/>
      <c r="D112" s="1260"/>
      <c r="E112" s="1261"/>
      <c r="F112" s="1207" t="s">
        <v>363</v>
      </c>
      <c r="G112" s="2175">
        <v>2400</v>
      </c>
      <c r="H112" s="1264">
        <f t="shared" si="7"/>
        <v>0</v>
      </c>
      <c r="I112" s="1265"/>
      <c r="J112" s="1264"/>
      <c r="K112" s="1265">
        <f t="shared" si="8"/>
        <v>0</v>
      </c>
      <c r="L112" s="1266"/>
      <c r="N112" s="1363"/>
      <c r="O112" s="1363"/>
      <c r="P112" s="1363"/>
      <c r="Q112" s="1363"/>
      <c r="R112" s="1363"/>
    </row>
    <row r="113" spans="1:12" s="1199" customFormat="1" ht="24" customHeight="1">
      <c r="A113" s="1339"/>
      <c r="B113" s="1259" t="s">
        <v>1213</v>
      </c>
      <c r="C113" s="1260"/>
      <c r="D113" s="1260"/>
      <c r="E113" s="1261"/>
      <c r="F113" s="1207" t="s">
        <v>363</v>
      </c>
      <c r="G113" s="2175">
        <v>2400</v>
      </c>
      <c r="H113" s="1264">
        <f t="shared" si="7"/>
        <v>0</v>
      </c>
      <c r="I113" s="1265"/>
      <c r="J113" s="1264"/>
      <c r="K113" s="1265">
        <f t="shared" si="8"/>
        <v>0</v>
      </c>
      <c r="L113" s="1266"/>
    </row>
    <row r="114" spans="1:12" s="1199" customFormat="1" ht="24" customHeight="1">
      <c r="A114" s="1339"/>
      <c r="B114" s="1259" t="s">
        <v>1214</v>
      </c>
      <c r="C114" s="1260"/>
      <c r="D114" s="1260"/>
      <c r="E114" s="1261">
        <v>3</v>
      </c>
      <c r="F114" s="1207" t="s">
        <v>363</v>
      </c>
      <c r="G114" s="2175">
        <v>2400</v>
      </c>
      <c r="H114" s="1264">
        <f t="shared" si="7"/>
        <v>7200</v>
      </c>
      <c r="I114" s="1265"/>
      <c r="J114" s="1264"/>
      <c r="K114" s="1265">
        <f t="shared" si="8"/>
        <v>7200</v>
      </c>
      <c r="L114" s="1266"/>
    </row>
    <row r="115" spans="1:12" s="1199" customFormat="1" ht="24" customHeight="1">
      <c r="A115" s="1339"/>
      <c r="B115" s="1259" t="s">
        <v>1215</v>
      </c>
      <c r="C115" s="1260"/>
      <c r="D115" s="1260"/>
      <c r="E115" s="1261">
        <v>1</v>
      </c>
      <c r="F115" s="1207" t="s">
        <v>363</v>
      </c>
      <c r="G115" s="2175">
        <v>2400</v>
      </c>
      <c r="H115" s="1264">
        <f t="shared" si="7"/>
        <v>2400</v>
      </c>
      <c r="I115" s="1265"/>
      <c r="J115" s="1264"/>
      <c r="K115" s="1265">
        <f t="shared" si="8"/>
        <v>2400</v>
      </c>
      <c r="L115" s="1266"/>
    </row>
    <row r="116" spans="1:12" s="1199" customFormat="1" ht="24" customHeight="1">
      <c r="A116" s="1339"/>
      <c r="B116" s="1259" t="s">
        <v>1216</v>
      </c>
      <c r="C116" s="1260"/>
      <c r="D116" s="1260"/>
      <c r="E116" s="1261"/>
      <c r="F116" s="1207" t="s">
        <v>363</v>
      </c>
      <c r="G116" s="2175">
        <v>2400</v>
      </c>
      <c r="H116" s="1264">
        <f t="shared" si="7"/>
        <v>0</v>
      </c>
      <c r="I116" s="1265"/>
      <c r="J116" s="1264"/>
      <c r="K116" s="1265">
        <f t="shared" si="8"/>
        <v>0</v>
      </c>
      <c r="L116" s="1266"/>
    </row>
    <row r="117" spans="1:12" s="1199" customFormat="1" ht="24" customHeight="1">
      <c r="A117" s="1339"/>
      <c r="B117" s="1259" t="s">
        <v>1257</v>
      </c>
      <c r="C117" s="1260"/>
      <c r="D117" s="1260"/>
      <c r="E117" s="1261"/>
      <c r="F117" s="1207" t="s">
        <v>363</v>
      </c>
      <c r="G117" s="2175">
        <v>2600</v>
      </c>
      <c r="H117" s="1264">
        <f t="shared" si="7"/>
        <v>0</v>
      </c>
      <c r="I117" s="1265"/>
      <c r="J117" s="1264"/>
      <c r="K117" s="1265">
        <f t="shared" si="8"/>
        <v>0</v>
      </c>
      <c r="L117" s="1266"/>
    </row>
    <row r="118" spans="1:12" s="1199" customFormat="1" ht="24" customHeight="1">
      <c r="A118" s="1339"/>
      <c r="B118" s="1259" t="s">
        <v>1217</v>
      </c>
      <c r="C118" s="1260"/>
      <c r="D118" s="1260"/>
      <c r="E118" s="1261"/>
      <c r="F118" s="1207" t="s">
        <v>363</v>
      </c>
      <c r="G118" s="2175">
        <v>3000</v>
      </c>
      <c r="H118" s="1264">
        <f t="shared" si="7"/>
        <v>0</v>
      </c>
      <c r="I118" s="1265"/>
      <c r="J118" s="1264"/>
      <c r="K118" s="1265">
        <f t="shared" si="8"/>
        <v>0</v>
      </c>
      <c r="L118" s="1266"/>
    </row>
    <row r="119" spans="1:12" s="1199" customFormat="1" ht="24" customHeight="1">
      <c r="A119" s="1339"/>
      <c r="B119" s="1259" t="s">
        <v>1218</v>
      </c>
      <c r="C119" s="1260"/>
      <c r="D119" s="1260"/>
      <c r="E119" s="1261"/>
      <c r="F119" s="1207" t="s">
        <v>363</v>
      </c>
      <c r="G119" s="2175">
        <v>5000</v>
      </c>
      <c r="H119" s="1264">
        <f t="shared" si="7"/>
        <v>0</v>
      </c>
      <c r="I119" s="1265"/>
      <c r="J119" s="1264"/>
      <c r="K119" s="1265">
        <f t="shared" si="8"/>
        <v>0</v>
      </c>
      <c r="L119" s="1266"/>
    </row>
    <row r="120" spans="1:12" s="1199" customFormat="1" ht="24" customHeight="1">
      <c r="A120" s="1339"/>
      <c r="B120" s="1259" t="s">
        <v>1258</v>
      </c>
      <c r="C120" s="1260"/>
      <c r="D120" s="1260"/>
      <c r="E120" s="1261">
        <v>1</v>
      </c>
      <c r="F120" s="1207" t="s">
        <v>363</v>
      </c>
      <c r="G120" s="2175">
        <v>5700</v>
      </c>
      <c r="H120" s="1264">
        <f t="shared" si="7"/>
        <v>5700</v>
      </c>
      <c r="I120" s="1265"/>
      <c r="J120" s="1264"/>
      <c r="K120" s="1265">
        <f t="shared" si="8"/>
        <v>5700</v>
      </c>
      <c r="L120" s="1266"/>
    </row>
    <row r="121" spans="1:12" s="1199" customFormat="1" ht="24" customHeight="1">
      <c r="A121" s="1339"/>
      <c r="B121" s="1259" t="s">
        <v>1259</v>
      </c>
      <c r="C121" s="1260"/>
      <c r="D121" s="1260"/>
      <c r="E121" s="1261"/>
      <c r="F121" s="1207" t="s">
        <v>363</v>
      </c>
      <c r="G121" s="2175">
        <v>5700</v>
      </c>
      <c r="H121" s="1264">
        <f t="shared" si="7"/>
        <v>0</v>
      </c>
      <c r="I121" s="1265"/>
      <c r="J121" s="1264"/>
      <c r="K121" s="1265">
        <f t="shared" si="8"/>
        <v>0</v>
      </c>
      <c r="L121" s="1266"/>
    </row>
    <row r="122" spans="1:12" s="1199" customFormat="1" ht="24" customHeight="1">
      <c r="A122" s="1339"/>
      <c r="B122" s="1259" t="s">
        <v>1220</v>
      </c>
      <c r="C122" s="1260"/>
      <c r="D122" s="1260"/>
      <c r="E122" s="1261"/>
      <c r="F122" s="1207" t="s">
        <v>363</v>
      </c>
      <c r="G122" s="2175">
        <v>8600</v>
      </c>
      <c r="H122" s="1264">
        <f t="shared" si="7"/>
        <v>0</v>
      </c>
      <c r="I122" s="1265"/>
      <c r="J122" s="1264"/>
      <c r="K122" s="1265">
        <f t="shared" si="8"/>
        <v>0</v>
      </c>
      <c r="L122" s="1266"/>
    </row>
    <row r="123" spans="1:12" s="1199" customFormat="1" ht="24" customHeight="1">
      <c r="A123" s="1339"/>
      <c r="B123" s="1259" t="s">
        <v>1260</v>
      </c>
      <c r="C123" s="1260"/>
      <c r="D123" s="1260"/>
      <c r="E123" s="1261"/>
      <c r="F123" s="1207" t="s">
        <v>363</v>
      </c>
      <c r="G123" s="2175">
        <v>8600</v>
      </c>
      <c r="H123" s="1264">
        <f t="shared" si="7"/>
        <v>0</v>
      </c>
      <c r="I123" s="1265"/>
      <c r="J123" s="1264"/>
      <c r="K123" s="1265">
        <f t="shared" si="8"/>
        <v>0</v>
      </c>
      <c r="L123" s="1266"/>
    </row>
    <row r="124" spans="1:12" s="1199" customFormat="1" ht="24" customHeight="1">
      <c r="A124" s="1339"/>
      <c r="B124" s="1259" t="s">
        <v>1261</v>
      </c>
      <c r="C124" s="1260"/>
      <c r="D124" s="1260"/>
      <c r="E124" s="1261"/>
      <c r="F124" s="1207" t="s">
        <v>363</v>
      </c>
      <c r="G124" s="2175">
        <v>8600</v>
      </c>
      <c r="H124" s="1264">
        <f t="shared" si="7"/>
        <v>0</v>
      </c>
      <c r="I124" s="1265"/>
      <c r="J124" s="1264"/>
      <c r="K124" s="1265">
        <f t="shared" si="8"/>
        <v>0</v>
      </c>
      <c r="L124" s="1266"/>
    </row>
    <row r="125" spans="1:12" s="1199" customFormat="1" ht="24" customHeight="1">
      <c r="A125" s="1339"/>
      <c r="B125" s="1259" t="s">
        <v>1221</v>
      </c>
      <c r="C125" s="1260"/>
      <c r="D125" s="1260"/>
      <c r="E125" s="1261"/>
      <c r="F125" s="1207" t="s">
        <v>363</v>
      </c>
      <c r="G125" s="2175">
        <v>11500</v>
      </c>
      <c r="H125" s="1264">
        <f t="shared" si="7"/>
        <v>0</v>
      </c>
      <c r="I125" s="1265"/>
      <c r="J125" s="1264"/>
      <c r="K125" s="1265">
        <f t="shared" si="8"/>
        <v>0</v>
      </c>
      <c r="L125" s="1266"/>
    </row>
    <row r="126" spans="1:12" s="1199" customFormat="1" ht="24" customHeight="1">
      <c r="A126" s="1339"/>
      <c r="B126" s="1259" t="s">
        <v>1262</v>
      </c>
      <c r="C126" s="1260"/>
      <c r="D126" s="1260"/>
      <c r="E126" s="1261"/>
      <c r="F126" s="1207" t="s">
        <v>363</v>
      </c>
      <c r="G126" s="2175">
        <v>20200</v>
      </c>
      <c r="H126" s="1264">
        <f t="shared" si="7"/>
        <v>0</v>
      </c>
      <c r="I126" s="1265"/>
      <c r="J126" s="1264"/>
      <c r="K126" s="1265">
        <f t="shared" si="8"/>
        <v>0</v>
      </c>
      <c r="L126" s="1266"/>
    </row>
    <row r="127" spans="1:12" s="1199" customFormat="1" ht="24" customHeight="1">
      <c r="A127" s="1339"/>
      <c r="B127" s="1259" t="s">
        <v>1263</v>
      </c>
      <c r="C127" s="1260"/>
      <c r="D127" s="1260"/>
      <c r="E127" s="1261"/>
      <c r="F127" s="1207" t="s">
        <v>363</v>
      </c>
      <c r="G127" s="2175">
        <v>20200</v>
      </c>
      <c r="H127" s="1264">
        <f t="shared" si="7"/>
        <v>0</v>
      </c>
      <c r="I127" s="1265"/>
      <c r="J127" s="1264"/>
      <c r="K127" s="1265">
        <f t="shared" si="8"/>
        <v>0</v>
      </c>
      <c r="L127" s="1266"/>
    </row>
    <row r="128" spans="1:12" s="1199" customFormat="1" ht="24" customHeight="1">
      <c r="A128" s="1339" t="s">
        <v>2924</v>
      </c>
      <c r="B128" s="1259" t="s">
        <v>1143</v>
      </c>
      <c r="C128" s="1260"/>
      <c r="D128" s="1260"/>
      <c r="E128" s="1261"/>
      <c r="F128" s="1358"/>
      <c r="G128" s="2175"/>
      <c r="H128" s="1264">
        <f t="shared" si="7"/>
        <v>0</v>
      </c>
      <c r="I128" s="1265"/>
      <c r="J128" s="1264"/>
      <c r="K128" s="1265">
        <f t="shared" si="8"/>
        <v>0</v>
      </c>
      <c r="L128" s="1364"/>
    </row>
    <row r="129" spans="1:18" s="1199" customFormat="1" ht="24" customHeight="1">
      <c r="A129" s="1339"/>
      <c r="B129" s="1259" t="s">
        <v>1267</v>
      </c>
      <c r="C129" s="1260"/>
      <c r="D129" s="1260"/>
      <c r="E129" s="1261">
        <v>3</v>
      </c>
      <c r="F129" s="1207" t="s">
        <v>363</v>
      </c>
      <c r="G129" s="2175">
        <v>600</v>
      </c>
      <c r="H129" s="1264">
        <f t="shared" si="7"/>
        <v>1800</v>
      </c>
      <c r="I129" s="1265"/>
      <c r="J129" s="1264"/>
      <c r="K129" s="1265">
        <f t="shared" si="8"/>
        <v>1800</v>
      </c>
      <c r="L129" s="1364"/>
    </row>
    <row r="130" spans="1:18" s="1199" customFormat="1" ht="24" customHeight="1">
      <c r="A130" s="1339"/>
      <c r="B130" s="1259" t="s">
        <v>1145</v>
      </c>
      <c r="C130" s="1260"/>
      <c r="D130" s="1260"/>
      <c r="E130" s="1261">
        <v>3</v>
      </c>
      <c r="F130" s="1207" t="s">
        <v>363</v>
      </c>
      <c r="G130" s="2175">
        <v>120</v>
      </c>
      <c r="H130" s="1264">
        <f t="shared" si="7"/>
        <v>360</v>
      </c>
      <c r="I130" s="1265"/>
      <c r="J130" s="1264"/>
      <c r="K130" s="1265">
        <f t="shared" si="8"/>
        <v>360</v>
      </c>
      <c r="L130" s="1364"/>
    </row>
    <row r="131" spans="1:18" s="1199" customFormat="1" ht="24" customHeight="1">
      <c r="A131" s="1339"/>
      <c r="B131" s="1259" t="s">
        <v>1146</v>
      </c>
      <c r="C131" s="1260"/>
      <c r="D131" s="1260"/>
      <c r="E131" s="1261">
        <v>3</v>
      </c>
      <c r="F131" s="1207" t="s">
        <v>363</v>
      </c>
      <c r="G131" s="2175">
        <v>100</v>
      </c>
      <c r="H131" s="1264">
        <f t="shared" si="7"/>
        <v>300</v>
      </c>
      <c r="I131" s="1265"/>
      <c r="J131" s="1264"/>
      <c r="K131" s="1265">
        <f t="shared" si="8"/>
        <v>300</v>
      </c>
      <c r="L131" s="1364"/>
    </row>
    <row r="132" spans="1:18" s="1199" customFormat="1" ht="24" customHeight="1">
      <c r="A132" s="1339"/>
      <c r="B132" s="1259" t="s">
        <v>1224</v>
      </c>
      <c r="C132" s="1260"/>
      <c r="D132" s="1260"/>
      <c r="E132" s="1261">
        <v>3</v>
      </c>
      <c r="F132" s="1207" t="s">
        <v>363</v>
      </c>
      <c r="G132" s="2175">
        <v>15435</v>
      </c>
      <c r="H132" s="1264">
        <f t="shared" si="7"/>
        <v>46305</v>
      </c>
      <c r="I132" s="1265"/>
      <c r="J132" s="1264"/>
      <c r="K132" s="1265">
        <f t="shared" si="8"/>
        <v>46305</v>
      </c>
      <c r="L132" s="1364"/>
    </row>
    <row r="133" spans="1:18" s="1199" customFormat="1" ht="24" customHeight="1">
      <c r="A133" s="1339" t="s">
        <v>2925</v>
      </c>
      <c r="B133" s="1259" t="s">
        <v>1226</v>
      </c>
      <c r="C133" s="1260"/>
      <c r="D133" s="1260"/>
      <c r="E133" s="1261">
        <v>1</v>
      </c>
      <c r="F133" s="1207" t="s">
        <v>1104</v>
      </c>
      <c r="G133" s="2175">
        <v>27400</v>
      </c>
      <c r="H133" s="1264">
        <f t="shared" si="7"/>
        <v>27400</v>
      </c>
      <c r="I133" s="1265">
        <f>G133*0.3</f>
        <v>8220</v>
      </c>
      <c r="J133" s="1264">
        <f>ROUND(E133*I133,)</f>
        <v>8220</v>
      </c>
      <c r="K133" s="1265">
        <f t="shared" si="8"/>
        <v>35620</v>
      </c>
      <c r="L133" s="1364"/>
    </row>
    <row r="134" spans="1:18" s="1199" customFormat="1" ht="24" customHeight="1">
      <c r="A134" s="1331"/>
      <c r="B134" s="2174" t="s">
        <v>1117</v>
      </c>
      <c r="C134" s="1275"/>
      <c r="D134" s="1275"/>
      <c r="E134" s="1276"/>
      <c r="F134" s="1358"/>
      <c r="G134" s="2175"/>
      <c r="H134" s="1264"/>
      <c r="I134" s="1265"/>
      <c r="J134" s="1264"/>
      <c r="K134" s="1265"/>
      <c r="L134" s="1364"/>
    </row>
    <row r="135" spans="1:18" s="1199" customFormat="1" ht="24" customHeight="1">
      <c r="A135" s="1331"/>
      <c r="B135" s="2174" t="s">
        <v>1118</v>
      </c>
      <c r="C135" s="1275"/>
      <c r="D135" s="1275"/>
      <c r="E135" s="1276"/>
      <c r="F135" s="1358"/>
      <c r="G135" s="2175"/>
      <c r="H135" s="1264"/>
      <c r="I135" s="1265"/>
      <c r="J135" s="1264"/>
      <c r="K135" s="1265"/>
      <c r="L135" s="1364"/>
    </row>
    <row r="136" spans="1:18" s="1199" customFormat="1" ht="24" customHeight="1">
      <c r="A136" s="1331"/>
      <c r="B136" s="2174" t="s">
        <v>1118</v>
      </c>
      <c r="C136" s="1275"/>
      <c r="D136" s="1275"/>
      <c r="E136" s="1276"/>
      <c r="F136" s="1358"/>
      <c r="G136" s="2175"/>
      <c r="H136" s="1264"/>
      <c r="I136" s="1265"/>
      <c r="J136" s="1264"/>
      <c r="K136" s="1265"/>
      <c r="L136" s="1364"/>
    </row>
    <row r="137" spans="1:18" s="1199" customFormat="1" ht="24" customHeight="1">
      <c r="A137" s="1331"/>
      <c r="B137" s="2174"/>
      <c r="C137" s="1275"/>
      <c r="D137" s="1275"/>
      <c r="E137" s="1276"/>
      <c r="F137" s="1358"/>
      <c r="G137" s="2175"/>
      <c r="H137" s="1264"/>
      <c r="I137" s="1265"/>
      <c r="J137" s="1264"/>
      <c r="K137" s="1265"/>
      <c r="L137" s="1364"/>
    </row>
    <row r="138" spans="1:18" s="1199" customFormat="1" ht="24" customHeight="1">
      <c r="A138" s="1243"/>
      <c r="B138" s="2257" t="str">
        <f>"รวมราคารายการที่ "&amp;A83</f>
        <v>รวมราคารายการที่ 3.2</v>
      </c>
      <c r="C138" s="2258"/>
      <c r="D138" s="2259"/>
      <c r="E138" s="1244"/>
      <c r="F138" s="1245"/>
      <c r="G138" s="1246"/>
      <c r="H138" s="1247">
        <f>SUM(H83:H133)</f>
        <v>177830</v>
      </c>
      <c r="I138" s="1246"/>
      <c r="J138" s="1247">
        <f t="shared" ref="J138:K138" si="9">SUM(J83:J133)</f>
        <v>16440</v>
      </c>
      <c r="K138" s="1247">
        <f t="shared" si="9"/>
        <v>194270</v>
      </c>
      <c r="L138" s="1245"/>
      <c r="M138" s="1214"/>
      <c r="N138" s="1214"/>
      <c r="O138" s="1214"/>
      <c r="P138" s="1214"/>
      <c r="Q138" s="1214"/>
    </row>
    <row r="139" spans="1:18" s="1199" customFormat="1" ht="24" customHeight="1">
      <c r="A139" s="1483" t="s">
        <v>1445</v>
      </c>
      <c r="B139" s="1249" t="s">
        <v>1427</v>
      </c>
      <c r="C139" s="1251"/>
      <c r="D139" s="1251"/>
      <c r="E139" s="1252"/>
      <c r="F139" s="1253"/>
      <c r="G139" s="1254"/>
      <c r="H139" s="1255"/>
      <c r="I139" s="1256"/>
      <c r="J139" s="1255"/>
      <c r="K139" s="1256"/>
      <c r="L139" s="1484"/>
      <c r="M139" s="1214"/>
      <c r="N139" s="1214"/>
      <c r="O139" s="1214"/>
      <c r="P139" s="1214"/>
      <c r="Q139" s="1214"/>
    </row>
    <row r="140" spans="1:18" s="1199" customFormat="1" ht="24" customHeight="1">
      <c r="A140" s="1308" t="s">
        <v>1128</v>
      </c>
      <c r="B140" s="1433" t="s">
        <v>1428</v>
      </c>
      <c r="C140" s="1260"/>
      <c r="D140" s="1260"/>
      <c r="E140" s="1261"/>
      <c r="F140" s="1262"/>
      <c r="G140" s="2178"/>
      <c r="H140" s="1264">
        <f t="shared" ref="H140" si="10">ROUND(E140*G140,)</f>
        <v>0</v>
      </c>
      <c r="I140" s="1265"/>
      <c r="J140" s="1264">
        <f t="shared" ref="J140" si="11">ROUND(E140*I140,)</f>
        <v>0</v>
      </c>
      <c r="K140" s="1265">
        <f t="shared" ref="K140" si="12">H140+J140</f>
        <v>0</v>
      </c>
      <c r="L140" s="1434"/>
      <c r="M140" s="1214"/>
      <c r="N140" s="1214"/>
      <c r="O140" s="1214"/>
      <c r="P140" s="1214"/>
      <c r="Q140" s="1214"/>
      <c r="R140" s="1214"/>
    </row>
    <row r="141" spans="1:18" s="1199" customFormat="1" ht="24" customHeight="1">
      <c r="A141" s="1339"/>
      <c r="B141" s="1259" t="s">
        <v>2573</v>
      </c>
      <c r="C141" s="1260"/>
      <c r="D141" s="1260"/>
      <c r="E141" s="1261">
        <v>1</v>
      </c>
      <c r="F141" s="1267" t="s">
        <v>363</v>
      </c>
      <c r="G141" s="2178">
        <v>5800</v>
      </c>
      <c r="H141" s="1343">
        <f>ROUND(E141*G141,)</f>
        <v>5800</v>
      </c>
      <c r="I141" s="1344">
        <v>1500</v>
      </c>
      <c r="J141" s="1343">
        <f>ROUND(E141*I141,)</f>
        <v>1500</v>
      </c>
      <c r="K141" s="1344">
        <f>H141+J141</f>
        <v>7300</v>
      </c>
      <c r="L141" s="1434"/>
      <c r="M141" s="1214"/>
      <c r="N141" s="1214"/>
      <c r="O141" s="1214"/>
      <c r="P141" s="1214"/>
      <c r="Q141" s="1214"/>
    </row>
    <row r="142" spans="1:18" s="1199" customFormat="1" ht="24" customHeight="1">
      <c r="A142" s="1339"/>
      <c r="B142" s="1259" t="s">
        <v>1440</v>
      </c>
      <c r="C142" s="1260"/>
      <c r="D142" s="1260"/>
      <c r="E142" s="1261">
        <v>1</v>
      </c>
      <c r="F142" s="1267" t="s">
        <v>363</v>
      </c>
      <c r="G142" s="2178">
        <v>2400</v>
      </c>
      <c r="H142" s="1343">
        <f t="shared" ref="H142:H150" si="13">ROUND(E142*G142,)</f>
        <v>2400</v>
      </c>
      <c r="I142" s="1344"/>
      <c r="J142" s="1343">
        <f t="shared" ref="J142:J150" si="14">ROUND(E142*I142,)</f>
        <v>0</v>
      </c>
      <c r="K142" s="1344">
        <f t="shared" ref="K142:K150" si="15">H142+J142</f>
        <v>2400</v>
      </c>
      <c r="L142" s="1434"/>
      <c r="M142" s="1214"/>
      <c r="N142" s="1214"/>
      <c r="O142" s="1214"/>
      <c r="P142" s="1214"/>
      <c r="Q142" s="1214"/>
      <c r="R142" s="1214"/>
    </row>
    <row r="143" spans="1:18" s="1199" customFormat="1" ht="24" customHeight="1">
      <c r="A143" s="1339"/>
      <c r="B143" s="1259" t="s">
        <v>1431</v>
      </c>
      <c r="C143" s="1260"/>
      <c r="D143" s="1260"/>
      <c r="E143" s="1261">
        <v>24</v>
      </c>
      <c r="F143" s="1267" t="s">
        <v>363</v>
      </c>
      <c r="G143" s="2178">
        <v>138</v>
      </c>
      <c r="H143" s="1343">
        <f t="shared" si="13"/>
        <v>3312</v>
      </c>
      <c r="I143" s="1344"/>
      <c r="J143" s="1343">
        <f t="shared" si="14"/>
        <v>0</v>
      </c>
      <c r="K143" s="1344">
        <f t="shared" si="15"/>
        <v>3312</v>
      </c>
      <c r="L143" s="1434"/>
      <c r="M143" s="1214"/>
      <c r="N143" s="1214"/>
      <c r="O143" s="1214"/>
      <c r="P143" s="1214"/>
    </row>
    <row r="144" spans="1:18" s="1199" customFormat="1" ht="24" customHeight="1">
      <c r="A144" s="1339"/>
      <c r="B144" s="1259" t="s">
        <v>1432</v>
      </c>
      <c r="C144" s="1260"/>
      <c r="D144" s="1260"/>
      <c r="E144" s="1261"/>
      <c r="F144" s="1267" t="s">
        <v>363</v>
      </c>
      <c r="G144" s="2178">
        <v>138</v>
      </c>
      <c r="H144" s="1343">
        <f t="shared" si="13"/>
        <v>0</v>
      </c>
      <c r="I144" s="1344"/>
      <c r="J144" s="1343">
        <f t="shared" si="14"/>
        <v>0</v>
      </c>
      <c r="K144" s="1344">
        <f t="shared" si="15"/>
        <v>0</v>
      </c>
      <c r="L144" s="1434"/>
      <c r="M144" s="1214"/>
      <c r="N144" s="1214"/>
      <c r="O144" s="1214"/>
      <c r="P144" s="1214"/>
    </row>
    <row r="145" spans="1:18" s="1199" customFormat="1" ht="24" customHeight="1">
      <c r="A145" s="1339"/>
      <c r="B145" s="1259" t="s">
        <v>1433</v>
      </c>
      <c r="C145" s="1260"/>
      <c r="D145" s="1260"/>
      <c r="E145" s="1261"/>
      <c r="F145" s="1267" t="s">
        <v>363</v>
      </c>
      <c r="G145" s="2178">
        <v>138</v>
      </c>
      <c r="H145" s="1343">
        <f t="shared" si="13"/>
        <v>0</v>
      </c>
      <c r="I145" s="1344"/>
      <c r="J145" s="1343">
        <f t="shared" si="14"/>
        <v>0</v>
      </c>
      <c r="K145" s="1344">
        <f t="shared" si="15"/>
        <v>0</v>
      </c>
      <c r="L145" s="1434"/>
      <c r="M145" s="1214"/>
      <c r="N145" s="1214"/>
      <c r="O145" s="1214"/>
      <c r="P145" s="1214"/>
    </row>
    <row r="146" spans="1:18" s="1199" customFormat="1" ht="24" customHeight="1">
      <c r="A146" s="1339"/>
      <c r="B146" s="1259" t="s">
        <v>1434</v>
      </c>
      <c r="C146" s="1260"/>
      <c r="D146" s="1260"/>
      <c r="E146" s="1261"/>
      <c r="F146" s="1267" t="s">
        <v>363</v>
      </c>
      <c r="G146" s="2178">
        <v>880</v>
      </c>
      <c r="H146" s="1343">
        <f t="shared" si="13"/>
        <v>0</v>
      </c>
      <c r="I146" s="1344"/>
      <c r="J146" s="1343">
        <f t="shared" si="14"/>
        <v>0</v>
      </c>
      <c r="K146" s="1344">
        <f t="shared" si="15"/>
        <v>0</v>
      </c>
      <c r="L146" s="1434"/>
      <c r="M146" s="1214"/>
      <c r="N146" s="1214"/>
      <c r="O146" s="1214"/>
      <c r="P146" s="1214"/>
    </row>
    <row r="147" spans="1:18" s="1199" customFormat="1" ht="24" customHeight="1">
      <c r="A147" s="1339"/>
      <c r="B147" s="1259" t="s">
        <v>1435</v>
      </c>
      <c r="C147" s="1260"/>
      <c r="D147" s="1260"/>
      <c r="E147" s="1261"/>
      <c r="F147" s="1267" t="s">
        <v>363</v>
      </c>
      <c r="G147" s="2178">
        <v>880</v>
      </c>
      <c r="H147" s="1343">
        <f t="shared" si="13"/>
        <v>0</v>
      </c>
      <c r="I147" s="1344"/>
      <c r="J147" s="1343">
        <f t="shared" si="14"/>
        <v>0</v>
      </c>
      <c r="K147" s="1344">
        <f t="shared" si="15"/>
        <v>0</v>
      </c>
      <c r="L147" s="1434"/>
      <c r="M147" s="1214"/>
      <c r="N147" s="1214"/>
      <c r="O147" s="1214"/>
      <c r="P147" s="1214"/>
    </row>
    <row r="148" spans="1:18" s="1199" customFormat="1" ht="24" customHeight="1">
      <c r="A148" s="1339"/>
      <c r="B148" s="1259" t="s">
        <v>1436</v>
      </c>
      <c r="C148" s="1260"/>
      <c r="D148" s="1260"/>
      <c r="E148" s="1261"/>
      <c r="F148" s="1267" t="s">
        <v>363</v>
      </c>
      <c r="G148" s="2178">
        <v>2400</v>
      </c>
      <c r="H148" s="1343">
        <f t="shared" si="13"/>
        <v>0</v>
      </c>
      <c r="I148" s="1344"/>
      <c r="J148" s="1343">
        <f t="shared" si="14"/>
        <v>0</v>
      </c>
      <c r="K148" s="1344">
        <f t="shared" si="15"/>
        <v>0</v>
      </c>
      <c r="L148" s="1434"/>
      <c r="M148" s="1214"/>
      <c r="N148" s="1214"/>
      <c r="O148" s="1214"/>
      <c r="P148" s="1214"/>
    </row>
    <row r="149" spans="1:18" s="1199" customFormat="1" ht="24" customHeight="1">
      <c r="A149" s="1339"/>
      <c r="B149" s="1259" t="s">
        <v>1437</v>
      </c>
      <c r="C149" s="1260"/>
      <c r="D149" s="1260"/>
      <c r="E149" s="1261"/>
      <c r="F149" s="1267" t="s">
        <v>363</v>
      </c>
      <c r="G149" s="2178">
        <v>1288</v>
      </c>
      <c r="H149" s="1343">
        <f t="shared" si="13"/>
        <v>0</v>
      </c>
      <c r="I149" s="1344"/>
      <c r="J149" s="1343">
        <f t="shared" si="14"/>
        <v>0</v>
      </c>
      <c r="K149" s="1344">
        <f t="shared" si="15"/>
        <v>0</v>
      </c>
      <c r="L149" s="1364"/>
      <c r="M149" s="1214"/>
      <c r="N149" s="1214"/>
      <c r="O149" s="1214"/>
      <c r="P149" s="1214"/>
      <c r="Q149" s="1214"/>
    </row>
    <row r="150" spans="1:18" s="1199" customFormat="1" ht="24" customHeight="1">
      <c r="A150" s="1339"/>
      <c r="B150" s="1259" t="s">
        <v>1438</v>
      </c>
      <c r="C150" s="1260"/>
      <c r="D150" s="1260"/>
      <c r="E150" s="1261"/>
      <c r="F150" s="1267" t="s">
        <v>363</v>
      </c>
      <c r="G150" s="2178">
        <v>1288</v>
      </c>
      <c r="H150" s="1343">
        <f t="shared" si="13"/>
        <v>0</v>
      </c>
      <c r="I150" s="1344"/>
      <c r="J150" s="1343">
        <f t="shared" si="14"/>
        <v>0</v>
      </c>
      <c r="K150" s="1344">
        <f t="shared" si="15"/>
        <v>0</v>
      </c>
      <c r="L150" s="1364"/>
      <c r="M150" s="1214"/>
      <c r="N150" s="1214"/>
      <c r="O150" s="1214"/>
      <c r="P150" s="1214"/>
      <c r="Q150" s="1214"/>
    </row>
    <row r="151" spans="1:18" s="1199" customFormat="1" ht="24" customHeight="1">
      <c r="A151" s="1331"/>
      <c r="B151" s="1259" t="s">
        <v>1590</v>
      </c>
      <c r="C151" s="1260"/>
      <c r="D151" s="1260"/>
      <c r="E151" s="1261">
        <v>1</v>
      </c>
      <c r="F151" s="1267" t="s">
        <v>363</v>
      </c>
      <c r="G151" s="2178">
        <v>5800</v>
      </c>
      <c r="H151" s="1264">
        <f>ROUND(E151*G151,)</f>
        <v>5800</v>
      </c>
      <c r="I151" s="1265">
        <v>1500</v>
      </c>
      <c r="J151" s="1264">
        <f>ROUND(E151*I151,)</f>
        <v>1500</v>
      </c>
      <c r="K151" s="1265">
        <f>H151+J151</f>
        <v>7300</v>
      </c>
      <c r="L151" s="1434"/>
      <c r="M151" s="1214"/>
      <c r="N151" s="1214"/>
      <c r="O151" s="1214"/>
      <c r="P151" s="1214"/>
      <c r="Q151" s="1214"/>
    </row>
    <row r="152" spans="1:18" s="1199" customFormat="1" ht="24" customHeight="1">
      <c r="A152" s="1331"/>
      <c r="B152" s="1259" t="s">
        <v>1591</v>
      </c>
      <c r="C152" s="1260"/>
      <c r="D152" s="1260"/>
      <c r="E152" s="1261">
        <v>1</v>
      </c>
      <c r="F152" s="1267" t="s">
        <v>363</v>
      </c>
      <c r="G152" s="2178">
        <v>2400</v>
      </c>
      <c r="H152" s="1264">
        <f t="shared" ref="H152:H160" si="16">ROUND(E152*G152,)</f>
        <v>2400</v>
      </c>
      <c r="I152" s="1265"/>
      <c r="J152" s="1264">
        <f t="shared" ref="J152:J160" si="17">ROUND(E152*I152,)</f>
        <v>0</v>
      </c>
      <c r="K152" s="1265">
        <f t="shared" ref="K152:K160" si="18">H152+J152</f>
        <v>2400</v>
      </c>
      <c r="L152" s="1434"/>
      <c r="M152" s="1214"/>
      <c r="N152" s="1214"/>
      <c r="O152" s="1214"/>
      <c r="P152" s="1214"/>
      <c r="Q152" s="1214"/>
      <c r="R152" s="1214"/>
    </row>
    <row r="153" spans="1:18" s="1199" customFormat="1" ht="24" customHeight="1">
      <c r="A153" s="1331"/>
      <c r="B153" s="1259" t="s">
        <v>1431</v>
      </c>
      <c r="C153" s="1260"/>
      <c r="D153" s="1260"/>
      <c r="E153" s="1261">
        <v>18</v>
      </c>
      <c r="F153" s="1267" t="s">
        <v>363</v>
      </c>
      <c r="G153" s="2178">
        <v>138</v>
      </c>
      <c r="H153" s="1264">
        <f t="shared" si="16"/>
        <v>2484</v>
      </c>
      <c r="I153" s="1265"/>
      <c r="J153" s="1264">
        <f t="shared" si="17"/>
        <v>0</v>
      </c>
      <c r="K153" s="1265">
        <f t="shared" si="18"/>
        <v>2484</v>
      </c>
      <c r="L153" s="1434"/>
      <c r="M153" s="1214"/>
      <c r="N153" s="1214"/>
      <c r="O153" s="1214"/>
      <c r="P153" s="1214"/>
    </row>
    <row r="154" spans="1:18" s="1199" customFormat="1" ht="24" customHeight="1">
      <c r="A154" s="1331"/>
      <c r="B154" s="1259" t="s">
        <v>1432</v>
      </c>
      <c r="C154" s="1260"/>
      <c r="D154" s="1260"/>
      <c r="E154" s="1261"/>
      <c r="F154" s="1267" t="s">
        <v>363</v>
      </c>
      <c r="G154" s="2178">
        <v>138</v>
      </c>
      <c r="H154" s="1264">
        <f t="shared" si="16"/>
        <v>0</v>
      </c>
      <c r="I154" s="1265"/>
      <c r="J154" s="1264">
        <f t="shared" si="17"/>
        <v>0</v>
      </c>
      <c r="K154" s="1265">
        <f t="shared" si="18"/>
        <v>0</v>
      </c>
      <c r="L154" s="1434"/>
      <c r="M154" s="1214"/>
      <c r="N154" s="1214"/>
      <c r="O154" s="1214"/>
      <c r="P154" s="1214"/>
    </row>
    <row r="155" spans="1:18" s="1199" customFormat="1" ht="24" customHeight="1">
      <c r="A155" s="1331"/>
      <c r="B155" s="1259" t="s">
        <v>1433</v>
      </c>
      <c r="C155" s="1260"/>
      <c r="D155" s="1260"/>
      <c r="E155" s="1261"/>
      <c r="F155" s="1267" t="s">
        <v>363</v>
      </c>
      <c r="G155" s="2178">
        <v>138</v>
      </c>
      <c r="H155" s="1264">
        <f t="shared" si="16"/>
        <v>0</v>
      </c>
      <c r="I155" s="1265"/>
      <c r="J155" s="1264">
        <f t="shared" si="17"/>
        <v>0</v>
      </c>
      <c r="K155" s="1265">
        <f t="shared" si="18"/>
        <v>0</v>
      </c>
      <c r="L155" s="1434"/>
      <c r="M155" s="1214"/>
      <c r="N155" s="1214"/>
      <c r="O155" s="1214"/>
      <c r="P155" s="1214"/>
    </row>
    <row r="156" spans="1:18" s="1199" customFormat="1" ht="24" customHeight="1">
      <c r="A156" s="1331"/>
      <c r="B156" s="1259" t="s">
        <v>1434</v>
      </c>
      <c r="C156" s="1260"/>
      <c r="D156" s="1260"/>
      <c r="E156" s="1261"/>
      <c r="F156" s="1267" t="s">
        <v>363</v>
      </c>
      <c r="G156" s="2178">
        <v>880</v>
      </c>
      <c r="H156" s="1264">
        <f t="shared" si="16"/>
        <v>0</v>
      </c>
      <c r="I156" s="1265"/>
      <c r="J156" s="1264">
        <f t="shared" si="17"/>
        <v>0</v>
      </c>
      <c r="K156" s="1265">
        <f t="shared" si="18"/>
        <v>0</v>
      </c>
      <c r="L156" s="1434"/>
      <c r="M156" s="1214"/>
      <c r="N156" s="1214"/>
      <c r="O156" s="1214"/>
      <c r="P156" s="1214"/>
    </row>
    <row r="157" spans="1:18" s="1199" customFormat="1" ht="24" customHeight="1">
      <c r="A157" s="1331"/>
      <c r="B157" s="1259" t="s">
        <v>1435</v>
      </c>
      <c r="C157" s="1260"/>
      <c r="D157" s="1260"/>
      <c r="E157" s="1261"/>
      <c r="F157" s="1267" t="s">
        <v>363</v>
      </c>
      <c r="G157" s="2178">
        <v>880</v>
      </c>
      <c r="H157" s="1264">
        <f t="shared" si="16"/>
        <v>0</v>
      </c>
      <c r="I157" s="1265"/>
      <c r="J157" s="1264">
        <f t="shared" si="17"/>
        <v>0</v>
      </c>
      <c r="K157" s="1265">
        <f t="shared" si="18"/>
        <v>0</v>
      </c>
      <c r="L157" s="1434"/>
      <c r="M157" s="1214"/>
      <c r="N157" s="1214"/>
      <c r="O157" s="1214"/>
      <c r="P157" s="1214"/>
    </row>
    <row r="158" spans="1:18" s="1199" customFormat="1" ht="24" customHeight="1">
      <c r="A158" s="1331"/>
      <c r="B158" s="1259" t="s">
        <v>1436</v>
      </c>
      <c r="C158" s="1260"/>
      <c r="D158" s="1260"/>
      <c r="E158" s="1261"/>
      <c r="F158" s="1267" t="s">
        <v>363</v>
      </c>
      <c r="G158" s="2178">
        <v>2400</v>
      </c>
      <c r="H158" s="1264">
        <f t="shared" si="16"/>
        <v>0</v>
      </c>
      <c r="I158" s="1265"/>
      <c r="J158" s="1264">
        <f t="shared" si="17"/>
        <v>0</v>
      </c>
      <c r="K158" s="1265">
        <f t="shared" si="18"/>
        <v>0</v>
      </c>
      <c r="L158" s="1434"/>
      <c r="M158" s="1214"/>
      <c r="N158" s="1214"/>
      <c r="O158" s="1214"/>
      <c r="P158" s="1214"/>
    </row>
    <row r="159" spans="1:18" s="1199" customFormat="1" ht="24" customHeight="1">
      <c r="A159" s="1331"/>
      <c r="B159" s="2174" t="s">
        <v>1437</v>
      </c>
      <c r="C159" s="1275"/>
      <c r="D159" s="1275"/>
      <c r="E159" s="1276"/>
      <c r="F159" s="1207" t="s">
        <v>363</v>
      </c>
      <c r="G159" s="2175">
        <v>1288</v>
      </c>
      <c r="H159" s="1264">
        <f t="shared" si="16"/>
        <v>0</v>
      </c>
      <c r="I159" s="1265"/>
      <c r="J159" s="1264">
        <f t="shared" si="17"/>
        <v>0</v>
      </c>
      <c r="K159" s="1265">
        <f t="shared" si="18"/>
        <v>0</v>
      </c>
      <c r="L159" s="1364"/>
      <c r="M159" s="1214"/>
      <c r="N159" s="1214"/>
      <c r="O159" s="1214"/>
      <c r="P159" s="1214"/>
      <c r="Q159" s="1214"/>
    </row>
    <row r="160" spans="1:18" s="1199" customFormat="1" ht="24" customHeight="1">
      <c r="A160" s="1331"/>
      <c r="B160" s="2174" t="s">
        <v>1438</v>
      </c>
      <c r="C160" s="1275"/>
      <c r="D160" s="1275"/>
      <c r="E160" s="1276"/>
      <c r="F160" s="1207" t="s">
        <v>363</v>
      </c>
      <c r="G160" s="2175">
        <v>1288</v>
      </c>
      <c r="H160" s="1264">
        <f t="shared" si="16"/>
        <v>0</v>
      </c>
      <c r="I160" s="1265"/>
      <c r="J160" s="1264">
        <f t="shared" si="17"/>
        <v>0</v>
      </c>
      <c r="K160" s="1265">
        <f t="shared" si="18"/>
        <v>0</v>
      </c>
      <c r="L160" s="1364"/>
      <c r="M160" s="1214"/>
      <c r="N160" s="1214"/>
      <c r="O160" s="1214"/>
      <c r="P160" s="1214"/>
      <c r="Q160" s="1214"/>
    </row>
    <row r="161" spans="1:18" s="1199" customFormat="1" ht="24" customHeight="1">
      <c r="A161" s="1331"/>
      <c r="B161" s="1259" t="s">
        <v>1592</v>
      </c>
      <c r="C161" s="1260"/>
      <c r="D161" s="1260"/>
      <c r="E161" s="1261">
        <v>1</v>
      </c>
      <c r="F161" s="1267" t="s">
        <v>363</v>
      </c>
      <c r="G161" s="2178">
        <v>5800</v>
      </c>
      <c r="H161" s="1264">
        <f>ROUND(E161*G161,)</f>
        <v>5800</v>
      </c>
      <c r="I161" s="1265">
        <v>1500</v>
      </c>
      <c r="J161" s="1264">
        <f>ROUND(E161*I161,)</f>
        <v>1500</v>
      </c>
      <c r="K161" s="1265">
        <f>H161+J161</f>
        <v>7300</v>
      </c>
      <c r="L161" s="1434"/>
      <c r="M161" s="1214"/>
      <c r="N161" s="1214"/>
      <c r="O161" s="1214"/>
      <c r="P161" s="1214"/>
      <c r="Q161" s="1214"/>
    </row>
    <row r="162" spans="1:18" s="1199" customFormat="1" ht="24" customHeight="1">
      <c r="A162" s="1331"/>
      <c r="B162" s="1259" t="s">
        <v>1591</v>
      </c>
      <c r="C162" s="1260"/>
      <c r="D162" s="1260"/>
      <c r="E162" s="1261">
        <v>1</v>
      </c>
      <c r="F162" s="1267" t="s">
        <v>363</v>
      </c>
      <c r="G162" s="2178">
        <v>2400</v>
      </c>
      <c r="H162" s="1264">
        <f t="shared" ref="H162:H170" si="19">ROUND(E162*G162,)</f>
        <v>2400</v>
      </c>
      <c r="I162" s="1265"/>
      <c r="J162" s="1264">
        <f t="shared" ref="J162:J170" si="20">ROUND(E162*I162,)</f>
        <v>0</v>
      </c>
      <c r="K162" s="1265">
        <f t="shared" ref="K162:K170" si="21">H162+J162</f>
        <v>2400</v>
      </c>
      <c r="L162" s="1434"/>
      <c r="M162" s="1214"/>
      <c r="N162" s="1214"/>
      <c r="O162" s="1214"/>
      <c r="P162" s="1214"/>
      <c r="Q162" s="1214"/>
      <c r="R162" s="1214"/>
    </row>
    <row r="163" spans="1:18" s="1199" customFormat="1" ht="24" customHeight="1">
      <c r="A163" s="1331"/>
      <c r="B163" s="1259" t="s">
        <v>1431</v>
      </c>
      <c r="C163" s="1260"/>
      <c r="D163" s="1260"/>
      <c r="E163" s="1261">
        <v>18</v>
      </c>
      <c r="F163" s="1267" t="s">
        <v>363</v>
      </c>
      <c r="G163" s="2178">
        <v>138</v>
      </c>
      <c r="H163" s="1264">
        <f t="shared" si="19"/>
        <v>2484</v>
      </c>
      <c r="I163" s="1265"/>
      <c r="J163" s="1264">
        <f t="shared" si="20"/>
        <v>0</v>
      </c>
      <c r="K163" s="1265">
        <f t="shared" si="21"/>
        <v>2484</v>
      </c>
      <c r="L163" s="1434"/>
      <c r="M163" s="1214"/>
      <c r="N163" s="1214"/>
      <c r="O163" s="1214"/>
      <c r="P163" s="1214"/>
    </row>
    <row r="164" spans="1:18" s="1199" customFormat="1" ht="24" customHeight="1">
      <c r="A164" s="1331"/>
      <c r="B164" s="1259" t="s">
        <v>1432</v>
      </c>
      <c r="C164" s="1260"/>
      <c r="D164" s="1260"/>
      <c r="E164" s="1261"/>
      <c r="F164" s="1267" t="s">
        <v>363</v>
      </c>
      <c r="G164" s="2178">
        <v>138</v>
      </c>
      <c r="H164" s="1264">
        <f t="shared" si="19"/>
        <v>0</v>
      </c>
      <c r="I164" s="1265"/>
      <c r="J164" s="1264">
        <f t="shared" si="20"/>
        <v>0</v>
      </c>
      <c r="K164" s="1265">
        <f t="shared" si="21"/>
        <v>0</v>
      </c>
      <c r="L164" s="1434"/>
      <c r="M164" s="1214"/>
      <c r="N164" s="1214"/>
      <c r="O164" s="1214"/>
      <c r="P164" s="1214"/>
    </row>
    <row r="165" spans="1:18" s="1199" customFormat="1" ht="24" customHeight="1">
      <c r="A165" s="1331"/>
      <c r="B165" s="1259" t="s">
        <v>1433</v>
      </c>
      <c r="C165" s="1260"/>
      <c r="D165" s="1260"/>
      <c r="E165" s="1261"/>
      <c r="F165" s="1267" t="s">
        <v>363</v>
      </c>
      <c r="G165" s="2178">
        <v>138</v>
      </c>
      <c r="H165" s="1264">
        <f t="shared" si="19"/>
        <v>0</v>
      </c>
      <c r="I165" s="1265"/>
      <c r="J165" s="1264">
        <f t="shared" si="20"/>
        <v>0</v>
      </c>
      <c r="K165" s="1265">
        <f t="shared" si="21"/>
        <v>0</v>
      </c>
      <c r="L165" s="1434"/>
      <c r="M165" s="1214"/>
      <c r="N165" s="1214"/>
      <c r="O165" s="1214"/>
      <c r="P165" s="1214"/>
    </row>
    <row r="166" spans="1:18" s="1199" customFormat="1" ht="24" customHeight="1">
      <c r="A166" s="1331"/>
      <c r="B166" s="1259" t="s">
        <v>1434</v>
      </c>
      <c r="C166" s="1260"/>
      <c r="D166" s="1260"/>
      <c r="E166" s="1261"/>
      <c r="F166" s="1267" t="s">
        <v>363</v>
      </c>
      <c r="G166" s="2178">
        <v>880</v>
      </c>
      <c r="H166" s="1264">
        <f t="shared" si="19"/>
        <v>0</v>
      </c>
      <c r="I166" s="1265"/>
      <c r="J166" s="1264">
        <f t="shared" si="20"/>
        <v>0</v>
      </c>
      <c r="K166" s="1265">
        <f t="shared" si="21"/>
        <v>0</v>
      </c>
      <c r="L166" s="1434"/>
      <c r="M166" s="1214"/>
      <c r="N166" s="1214"/>
      <c r="O166" s="1214"/>
      <c r="P166" s="1214"/>
    </row>
    <row r="167" spans="1:18" s="1199" customFormat="1" ht="24" customHeight="1">
      <c r="A167" s="1331"/>
      <c r="B167" s="1259" t="s">
        <v>1435</v>
      </c>
      <c r="C167" s="1260"/>
      <c r="D167" s="1260"/>
      <c r="E167" s="1261">
        <v>2</v>
      </c>
      <c r="F167" s="1267" t="s">
        <v>363</v>
      </c>
      <c r="G167" s="2178">
        <v>880</v>
      </c>
      <c r="H167" s="1264">
        <f t="shared" si="19"/>
        <v>1760</v>
      </c>
      <c r="I167" s="1265"/>
      <c r="J167" s="1264">
        <f t="shared" si="20"/>
        <v>0</v>
      </c>
      <c r="K167" s="1265">
        <f t="shared" si="21"/>
        <v>1760</v>
      </c>
      <c r="L167" s="1434"/>
      <c r="M167" s="1214"/>
      <c r="N167" s="1214"/>
      <c r="O167" s="1214"/>
      <c r="P167" s="1214"/>
    </row>
    <row r="168" spans="1:18" s="1199" customFormat="1" ht="24" customHeight="1">
      <c r="A168" s="1331"/>
      <c r="B168" s="1259" t="s">
        <v>1436</v>
      </c>
      <c r="C168" s="1260"/>
      <c r="D168" s="1260"/>
      <c r="E168" s="1261"/>
      <c r="F168" s="1267" t="s">
        <v>363</v>
      </c>
      <c r="G168" s="2178">
        <v>2400</v>
      </c>
      <c r="H168" s="1264">
        <f t="shared" si="19"/>
        <v>0</v>
      </c>
      <c r="I168" s="1265"/>
      <c r="J168" s="1264">
        <f t="shared" si="20"/>
        <v>0</v>
      </c>
      <c r="K168" s="1265">
        <f t="shared" si="21"/>
        <v>0</v>
      </c>
      <c r="L168" s="1434"/>
      <c r="M168" s="1214"/>
      <c r="N168" s="1214"/>
      <c r="O168" s="1214"/>
      <c r="P168" s="1214"/>
    </row>
    <row r="169" spans="1:18" s="1199" customFormat="1" ht="24" customHeight="1">
      <c r="A169" s="1331"/>
      <c r="B169" s="2174" t="s">
        <v>1437</v>
      </c>
      <c r="C169" s="1275"/>
      <c r="D169" s="1275"/>
      <c r="E169" s="1276"/>
      <c r="F169" s="1207" t="s">
        <v>363</v>
      </c>
      <c r="G169" s="2175">
        <v>1288</v>
      </c>
      <c r="H169" s="1264">
        <f t="shared" si="19"/>
        <v>0</v>
      </c>
      <c r="I169" s="1265"/>
      <c r="J169" s="1264">
        <f t="shared" si="20"/>
        <v>0</v>
      </c>
      <c r="K169" s="1265">
        <f t="shared" si="21"/>
        <v>0</v>
      </c>
      <c r="L169" s="1364"/>
      <c r="M169" s="1214"/>
      <c r="N169" s="1214"/>
      <c r="O169" s="1214"/>
      <c r="P169" s="1214"/>
      <c r="Q169" s="1214"/>
    </row>
    <row r="170" spans="1:18" s="1199" customFormat="1" ht="24" customHeight="1">
      <c r="A170" s="1331"/>
      <c r="B170" s="2174" t="s">
        <v>1438</v>
      </c>
      <c r="C170" s="1275"/>
      <c r="D170" s="1275"/>
      <c r="E170" s="1276"/>
      <c r="F170" s="1207" t="s">
        <v>363</v>
      </c>
      <c r="G170" s="2175">
        <v>1288</v>
      </c>
      <c r="H170" s="1264">
        <f t="shared" si="19"/>
        <v>0</v>
      </c>
      <c r="I170" s="1265"/>
      <c r="J170" s="1264">
        <f t="shared" si="20"/>
        <v>0</v>
      </c>
      <c r="K170" s="1265">
        <f t="shared" si="21"/>
        <v>0</v>
      </c>
      <c r="L170" s="1364"/>
      <c r="M170" s="1214"/>
      <c r="N170" s="1214"/>
      <c r="O170" s="1214"/>
      <c r="P170" s="1214"/>
      <c r="Q170" s="1214"/>
    </row>
    <row r="171" spans="1:18" s="1199" customFormat="1" ht="24" customHeight="1">
      <c r="A171" s="1331"/>
      <c r="B171" s="1259" t="s">
        <v>1593</v>
      </c>
      <c r="C171" s="1260"/>
      <c r="D171" s="1260"/>
      <c r="E171" s="1261">
        <v>1</v>
      </c>
      <c r="F171" s="1267" t="s">
        <v>363</v>
      </c>
      <c r="G171" s="2178">
        <v>4800</v>
      </c>
      <c r="H171" s="1264">
        <f>ROUND(E171*G171,)</f>
        <v>4800</v>
      </c>
      <c r="I171" s="1265">
        <v>1500</v>
      </c>
      <c r="J171" s="1264">
        <f>ROUND(E171*I171,)</f>
        <v>1500</v>
      </c>
      <c r="K171" s="1265">
        <f>H171+J171</f>
        <v>6300</v>
      </c>
      <c r="L171" s="1434"/>
      <c r="M171" s="1214"/>
      <c r="N171" s="1214"/>
      <c r="O171" s="1214"/>
      <c r="P171" s="1214"/>
      <c r="Q171" s="1214"/>
    </row>
    <row r="172" spans="1:18" s="1199" customFormat="1" ht="24" customHeight="1">
      <c r="A172" s="1331"/>
      <c r="B172" s="1259" t="s">
        <v>1594</v>
      </c>
      <c r="C172" s="1260"/>
      <c r="D172" s="1260"/>
      <c r="E172" s="1261">
        <v>1</v>
      </c>
      <c r="F172" s="1267" t="s">
        <v>363</v>
      </c>
      <c r="G172" s="2178">
        <v>2400</v>
      </c>
      <c r="H172" s="1264">
        <f t="shared" ref="H172:H180" si="22">ROUND(E172*G172,)</f>
        <v>2400</v>
      </c>
      <c r="I172" s="1265"/>
      <c r="J172" s="1264">
        <f t="shared" ref="J172:J180" si="23">ROUND(E172*I172,)</f>
        <v>0</v>
      </c>
      <c r="K172" s="1265">
        <f t="shared" ref="K172:K180" si="24">H172+J172</f>
        <v>2400</v>
      </c>
      <c r="L172" s="1434"/>
      <c r="M172" s="1214"/>
      <c r="N172" s="1214"/>
      <c r="O172" s="1214"/>
      <c r="P172" s="1214"/>
      <c r="Q172" s="1214"/>
      <c r="R172" s="1214"/>
    </row>
    <row r="173" spans="1:18" s="1199" customFormat="1" ht="24" customHeight="1">
      <c r="A173" s="1331"/>
      <c r="B173" s="1259" t="s">
        <v>1431</v>
      </c>
      <c r="C173" s="1260"/>
      <c r="D173" s="1260"/>
      <c r="E173" s="1261">
        <v>6</v>
      </c>
      <c r="F173" s="1267" t="s">
        <v>363</v>
      </c>
      <c r="G173" s="2178">
        <v>138</v>
      </c>
      <c r="H173" s="1264">
        <f t="shared" si="22"/>
        <v>828</v>
      </c>
      <c r="I173" s="1265"/>
      <c r="J173" s="1264">
        <f t="shared" si="23"/>
        <v>0</v>
      </c>
      <c r="K173" s="1265">
        <f t="shared" si="24"/>
        <v>828</v>
      </c>
      <c r="L173" s="1434"/>
      <c r="M173" s="1214"/>
      <c r="N173" s="1214"/>
      <c r="O173" s="1214"/>
      <c r="P173" s="1214"/>
    </row>
    <row r="174" spans="1:18" s="1199" customFormat="1" ht="24" customHeight="1">
      <c r="A174" s="1331"/>
      <c r="B174" s="1259" t="s">
        <v>1432</v>
      </c>
      <c r="C174" s="1260"/>
      <c r="D174" s="1260"/>
      <c r="E174" s="1261"/>
      <c r="F174" s="1267" t="s">
        <v>363</v>
      </c>
      <c r="G174" s="2178">
        <v>138</v>
      </c>
      <c r="H174" s="1264">
        <f t="shared" si="22"/>
        <v>0</v>
      </c>
      <c r="I174" s="1265"/>
      <c r="J174" s="1264">
        <f t="shared" si="23"/>
        <v>0</v>
      </c>
      <c r="K174" s="1265">
        <f t="shared" si="24"/>
        <v>0</v>
      </c>
      <c r="L174" s="1434"/>
      <c r="M174" s="1214"/>
      <c r="N174" s="1214"/>
      <c r="O174" s="1214"/>
      <c r="P174" s="1214"/>
    </row>
    <row r="175" spans="1:18" s="1199" customFormat="1" ht="24" customHeight="1">
      <c r="A175" s="1331"/>
      <c r="B175" s="1259" t="s">
        <v>1433</v>
      </c>
      <c r="C175" s="1260"/>
      <c r="D175" s="1260"/>
      <c r="E175" s="1261"/>
      <c r="F175" s="1267" t="s">
        <v>363</v>
      </c>
      <c r="G175" s="2178">
        <v>138</v>
      </c>
      <c r="H175" s="1264">
        <f t="shared" si="22"/>
        <v>0</v>
      </c>
      <c r="I175" s="1265"/>
      <c r="J175" s="1264">
        <f t="shared" si="23"/>
        <v>0</v>
      </c>
      <c r="K175" s="1265">
        <f t="shared" si="24"/>
        <v>0</v>
      </c>
      <c r="L175" s="1434"/>
      <c r="M175" s="1214"/>
      <c r="N175" s="1214"/>
      <c r="O175" s="1214"/>
      <c r="P175" s="1214"/>
    </row>
    <row r="176" spans="1:18" s="1199" customFormat="1" ht="24" customHeight="1">
      <c r="A176" s="1331"/>
      <c r="B176" s="1259" t="s">
        <v>1434</v>
      </c>
      <c r="C176" s="1260"/>
      <c r="D176" s="1260"/>
      <c r="E176" s="1261"/>
      <c r="F176" s="1267" t="s">
        <v>363</v>
      </c>
      <c r="G176" s="2178">
        <v>880</v>
      </c>
      <c r="H176" s="1264">
        <f t="shared" si="22"/>
        <v>0</v>
      </c>
      <c r="I176" s="1265"/>
      <c r="J176" s="1264">
        <f t="shared" si="23"/>
        <v>0</v>
      </c>
      <c r="K176" s="1265">
        <f t="shared" si="24"/>
        <v>0</v>
      </c>
      <c r="L176" s="1434"/>
      <c r="M176" s="1214"/>
      <c r="N176" s="1214"/>
      <c r="O176" s="1214"/>
      <c r="P176" s="1214"/>
    </row>
    <row r="177" spans="1:18" s="1199" customFormat="1" ht="24" customHeight="1">
      <c r="A177" s="1331"/>
      <c r="B177" s="1259" t="s">
        <v>1435</v>
      </c>
      <c r="C177" s="1260"/>
      <c r="D177" s="1260"/>
      <c r="E177" s="1261"/>
      <c r="F177" s="1267" t="s">
        <v>363</v>
      </c>
      <c r="G177" s="2178">
        <v>880</v>
      </c>
      <c r="H177" s="1264">
        <f t="shared" si="22"/>
        <v>0</v>
      </c>
      <c r="I177" s="1265"/>
      <c r="J177" s="1264">
        <f t="shared" si="23"/>
        <v>0</v>
      </c>
      <c r="K177" s="1265">
        <f t="shared" si="24"/>
        <v>0</v>
      </c>
      <c r="L177" s="1434"/>
      <c r="M177" s="1214"/>
      <c r="N177" s="1214"/>
      <c r="O177" s="1214"/>
      <c r="P177" s="1214"/>
    </row>
    <row r="178" spans="1:18" s="1199" customFormat="1" ht="24" customHeight="1">
      <c r="A178" s="1331"/>
      <c r="B178" s="1259" t="s">
        <v>1436</v>
      </c>
      <c r="C178" s="1260"/>
      <c r="D178" s="1260"/>
      <c r="E178" s="1261"/>
      <c r="F178" s="1267" t="s">
        <v>363</v>
      </c>
      <c r="G178" s="2178">
        <v>2400</v>
      </c>
      <c r="H178" s="1264">
        <f t="shared" si="22"/>
        <v>0</v>
      </c>
      <c r="I178" s="1265"/>
      <c r="J178" s="1264">
        <f t="shared" si="23"/>
        <v>0</v>
      </c>
      <c r="K178" s="1265">
        <f t="shared" si="24"/>
        <v>0</v>
      </c>
      <c r="L178" s="1434"/>
      <c r="M178" s="1214"/>
      <c r="N178" s="1214"/>
      <c r="O178" s="1214"/>
      <c r="P178" s="1214"/>
    </row>
    <row r="179" spans="1:18" s="1199" customFormat="1" ht="24" customHeight="1">
      <c r="A179" s="1331"/>
      <c r="B179" s="2174" t="s">
        <v>1437</v>
      </c>
      <c r="C179" s="1275"/>
      <c r="D179" s="1275"/>
      <c r="E179" s="1276"/>
      <c r="F179" s="1207" t="s">
        <v>363</v>
      </c>
      <c r="G179" s="2175">
        <v>1288</v>
      </c>
      <c r="H179" s="1264">
        <f t="shared" si="22"/>
        <v>0</v>
      </c>
      <c r="I179" s="1265"/>
      <c r="J179" s="1264">
        <f t="shared" si="23"/>
        <v>0</v>
      </c>
      <c r="K179" s="1265">
        <f t="shared" si="24"/>
        <v>0</v>
      </c>
      <c r="L179" s="1364"/>
      <c r="M179" s="1214"/>
      <c r="N179" s="1214"/>
      <c r="O179" s="1214"/>
      <c r="P179" s="1214"/>
      <c r="Q179" s="1214"/>
    </row>
    <row r="180" spans="1:18" s="1199" customFormat="1" ht="24" customHeight="1">
      <c r="A180" s="1331"/>
      <c r="B180" s="2174" t="s">
        <v>1438</v>
      </c>
      <c r="C180" s="1275"/>
      <c r="D180" s="1275"/>
      <c r="E180" s="1276"/>
      <c r="F180" s="1207" t="s">
        <v>363</v>
      </c>
      <c r="G180" s="2175">
        <v>1288</v>
      </c>
      <c r="H180" s="1264">
        <f t="shared" si="22"/>
        <v>0</v>
      </c>
      <c r="I180" s="1265"/>
      <c r="J180" s="1264">
        <f t="shared" si="23"/>
        <v>0</v>
      </c>
      <c r="K180" s="1265">
        <f t="shared" si="24"/>
        <v>0</v>
      </c>
      <c r="L180" s="1364"/>
      <c r="M180" s="1214"/>
      <c r="N180" s="1214"/>
      <c r="O180" s="1214"/>
      <c r="P180" s="1214"/>
      <c r="Q180" s="1214"/>
    </row>
    <row r="181" spans="1:18" s="1199" customFormat="1" ht="24" customHeight="1">
      <c r="A181" s="1331"/>
      <c r="B181" s="1259" t="s">
        <v>1595</v>
      </c>
      <c r="C181" s="1260"/>
      <c r="D181" s="1260"/>
      <c r="E181" s="1261">
        <v>1</v>
      </c>
      <c r="F181" s="1267" t="s">
        <v>363</v>
      </c>
      <c r="G181" s="2178">
        <v>4800</v>
      </c>
      <c r="H181" s="1264">
        <f>ROUND(E181*G181,)</f>
        <v>4800</v>
      </c>
      <c r="I181" s="1265">
        <v>1500</v>
      </c>
      <c r="J181" s="1264">
        <f>ROUND(E181*I181,)</f>
        <v>1500</v>
      </c>
      <c r="K181" s="1265">
        <f>H181+J181</f>
        <v>6300</v>
      </c>
      <c r="L181" s="1434"/>
      <c r="M181" s="1214"/>
      <c r="N181" s="1214"/>
      <c r="O181" s="1214"/>
      <c r="P181" s="1214"/>
      <c r="Q181" s="1214"/>
    </row>
    <row r="182" spans="1:18" s="1199" customFormat="1" ht="24" customHeight="1">
      <c r="A182" s="1331"/>
      <c r="B182" s="1259" t="s">
        <v>1440</v>
      </c>
      <c r="C182" s="1260"/>
      <c r="D182" s="1260"/>
      <c r="E182" s="1261">
        <v>1</v>
      </c>
      <c r="F182" s="1267" t="s">
        <v>363</v>
      </c>
      <c r="G182" s="2178">
        <v>2400</v>
      </c>
      <c r="H182" s="1264">
        <f t="shared" ref="H182:H190" si="25">ROUND(E182*G182,)</f>
        <v>2400</v>
      </c>
      <c r="I182" s="1265"/>
      <c r="J182" s="1264">
        <f t="shared" ref="J182:J190" si="26">ROUND(E182*I182,)</f>
        <v>0</v>
      </c>
      <c r="K182" s="1265">
        <f t="shared" ref="K182:K190" si="27">H182+J182</f>
        <v>2400</v>
      </c>
      <c r="L182" s="1434"/>
      <c r="M182" s="1214"/>
      <c r="N182" s="1214"/>
      <c r="O182" s="1214"/>
      <c r="P182" s="1214"/>
      <c r="Q182" s="1214"/>
      <c r="R182" s="1214"/>
    </row>
    <row r="183" spans="1:18" s="1199" customFormat="1" ht="24" customHeight="1">
      <c r="A183" s="1331"/>
      <c r="B183" s="1259" t="s">
        <v>1431</v>
      </c>
      <c r="C183" s="1260"/>
      <c r="D183" s="1260"/>
      <c r="E183" s="1261">
        <v>18</v>
      </c>
      <c r="F183" s="1267" t="s">
        <v>363</v>
      </c>
      <c r="G183" s="2178">
        <v>138</v>
      </c>
      <c r="H183" s="1264">
        <f t="shared" si="25"/>
        <v>2484</v>
      </c>
      <c r="I183" s="1265"/>
      <c r="J183" s="1264">
        <f t="shared" si="26"/>
        <v>0</v>
      </c>
      <c r="K183" s="1265">
        <f t="shared" si="27"/>
        <v>2484</v>
      </c>
      <c r="L183" s="1434"/>
      <c r="M183" s="1214"/>
      <c r="N183" s="1214"/>
      <c r="O183" s="1214"/>
      <c r="P183" s="1214"/>
    </row>
    <row r="184" spans="1:18" s="1199" customFormat="1" ht="24" customHeight="1">
      <c r="A184" s="1331"/>
      <c r="B184" s="1259" t="s">
        <v>1432</v>
      </c>
      <c r="C184" s="1260"/>
      <c r="D184" s="1260"/>
      <c r="E184" s="1261"/>
      <c r="F184" s="1267" t="s">
        <v>363</v>
      </c>
      <c r="G184" s="2178">
        <v>138</v>
      </c>
      <c r="H184" s="1264">
        <f t="shared" si="25"/>
        <v>0</v>
      </c>
      <c r="I184" s="1265"/>
      <c r="J184" s="1264">
        <f t="shared" si="26"/>
        <v>0</v>
      </c>
      <c r="K184" s="1265">
        <f t="shared" si="27"/>
        <v>0</v>
      </c>
      <c r="L184" s="1434"/>
      <c r="M184" s="1214"/>
      <c r="N184" s="1214"/>
      <c r="O184" s="1214"/>
      <c r="P184" s="1214"/>
    </row>
    <row r="185" spans="1:18" s="1199" customFormat="1" ht="24" customHeight="1">
      <c r="A185" s="1331"/>
      <c r="B185" s="1259" t="s">
        <v>1433</v>
      </c>
      <c r="C185" s="1260"/>
      <c r="D185" s="1260"/>
      <c r="E185" s="1261"/>
      <c r="F185" s="1267" t="s">
        <v>363</v>
      </c>
      <c r="G185" s="2178">
        <v>138</v>
      </c>
      <c r="H185" s="1264">
        <f t="shared" si="25"/>
        <v>0</v>
      </c>
      <c r="I185" s="1265"/>
      <c r="J185" s="1264">
        <f t="shared" si="26"/>
        <v>0</v>
      </c>
      <c r="K185" s="1265">
        <f t="shared" si="27"/>
        <v>0</v>
      </c>
      <c r="L185" s="1434"/>
      <c r="M185" s="1214"/>
      <c r="N185" s="1214"/>
      <c r="O185" s="1214"/>
      <c r="P185" s="1214"/>
    </row>
    <row r="186" spans="1:18" s="1199" customFormat="1" ht="24" customHeight="1">
      <c r="A186" s="1331"/>
      <c r="B186" s="1259" t="s">
        <v>1434</v>
      </c>
      <c r="C186" s="1260"/>
      <c r="D186" s="1260"/>
      <c r="E186" s="1261"/>
      <c r="F186" s="1267" t="s">
        <v>363</v>
      </c>
      <c r="G186" s="2178">
        <v>880</v>
      </c>
      <c r="H186" s="1264">
        <f t="shared" si="25"/>
        <v>0</v>
      </c>
      <c r="I186" s="1265"/>
      <c r="J186" s="1264">
        <f t="shared" si="26"/>
        <v>0</v>
      </c>
      <c r="K186" s="1265">
        <f t="shared" si="27"/>
        <v>0</v>
      </c>
      <c r="L186" s="1434"/>
      <c r="M186" s="1214"/>
      <c r="N186" s="1214"/>
      <c r="O186" s="1214"/>
      <c r="P186" s="1214"/>
    </row>
    <row r="187" spans="1:18" s="1199" customFormat="1" ht="24" customHeight="1">
      <c r="A187" s="1331"/>
      <c r="B187" s="1259" t="s">
        <v>1435</v>
      </c>
      <c r="C187" s="1260"/>
      <c r="D187" s="1260"/>
      <c r="E187" s="1261"/>
      <c r="F187" s="1267" t="s">
        <v>363</v>
      </c>
      <c r="G187" s="2178">
        <v>880</v>
      </c>
      <c r="H187" s="1264">
        <f t="shared" si="25"/>
        <v>0</v>
      </c>
      <c r="I187" s="1265"/>
      <c r="J187" s="1264">
        <f t="shared" si="26"/>
        <v>0</v>
      </c>
      <c r="K187" s="1265">
        <f t="shared" si="27"/>
        <v>0</v>
      </c>
      <c r="L187" s="1434"/>
      <c r="M187" s="1214"/>
      <c r="N187" s="1214"/>
      <c r="O187" s="1214"/>
      <c r="P187" s="1214"/>
    </row>
    <row r="188" spans="1:18" s="1199" customFormat="1" ht="24" customHeight="1">
      <c r="A188" s="1331"/>
      <c r="B188" s="1259" t="s">
        <v>1436</v>
      </c>
      <c r="C188" s="1260"/>
      <c r="D188" s="1260"/>
      <c r="E188" s="1261"/>
      <c r="F188" s="1267" t="s">
        <v>363</v>
      </c>
      <c r="G188" s="2178">
        <v>2400</v>
      </c>
      <c r="H188" s="1264">
        <f t="shared" si="25"/>
        <v>0</v>
      </c>
      <c r="I188" s="1265"/>
      <c r="J188" s="1264">
        <f t="shared" si="26"/>
        <v>0</v>
      </c>
      <c r="K188" s="1265">
        <f t="shared" si="27"/>
        <v>0</v>
      </c>
      <c r="L188" s="1434"/>
      <c r="M188" s="1214"/>
      <c r="N188" s="1214"/>
      <c r="O188" s="1214"/>
      <c r="P188" s="1214"/>
    </row>
    <row r="189" spans="1:18" s="1199" customFormat="1" ht="24" customHeight="1">
      <c r="A189" s="1331"/>
      <c r="B189" s="2174" t="s">
        <v>1437</v>
      </c>
      <c r="C189" s="1275"/>
      <c r="D189" s="1275"/>
      <c r="E189" s="1276"/>
      <c r="F189" s="1207" t="s">
        <v>363</v>
      </c>
      <c r="G189" s="2175">
        <v>1288</v>
      </c>
      <c r="H189" s="1264">
        <f t="shared" si="25"/>
        <v>0</v>
      </c>
      <c r="I189" s="1265"/>
      <c r="J189" s="1264">
        <f t="shared" si="26"/>
        <v>0</v>
      </c>
      <c r="K189" s="1265">
        <f t="shared" si="27"/>
        <v>0</v>
      </c>
      <c r="L189" s="1364"/>
      <c r="M189" s="1214"/>
      <c r="N189" s="1214"/>
      <c r="O189" s="1214"/>
      <c r="P189" s="1214"/>
      <c r="Q189" s="1214"/>
    </row>
    <row r="190" spans="1:18" s="1199" customFormat="1" ht="24" customHeight="1">
      <c r="A190" s="1331"/>
      <c r="B190" s="2174" t="s">
        <v>1438</v>
      </c>
      <c r="C190" s="1275"/>
      <c r="D190" s="1275"/>
      <c r="E190" s="1276"/>
      <c r="F190" s="1207" t="s">
        <v>363</v>
      </c>
      <c r="G190" s="2175">
        <v>1288</v>
      </c>
      <c r="H190" s="1264">
        <f t="shared" si="25"/>
        <v>0</v>
      </c>
      <c r="I190" s="1265"/>
      <c r="J190" s="1264">
        <f t="shared" si="26"/>
        <v>0</v>
      </c>
      <c r="K190" s="1265">
        <f t="shared" si="27"/>
        <v>0</v>
      </c>
      <c r="L190" s="1364"/>
      <c r="M190" s="1214"/>
      <c r="N190" s="1214"/>
      <c r="O190" s="1214"/>
      <c r="P190" s="1214"/>
      <c r="Q190" s="1214"/>
    </row>
    <row r="191" spans="1:18" s="1199" customFormat="1" ht="24" customHeight="1">
      <c r="A191" s="1331"/>
      <c r="B191" s="1259" t="s">
        <v>1596</v>
      </c>
      <c r="C191" s="1260"/>
      <c r="D191" s="1260"/>
      <c r="E191" s="1261">
        <v>1</v>
      </c>
      <c r="F191" s="1267" t="s">
        <v>363</v>
      </c>
      <c r="G191" s="2178">
        <v>4800</v>
      </c>
      <c r="H191" s="1264">
        <f>ROUND(E191*G191,)</f>
        <v>4800</v>
      </c>
      <c r="I191" s="1265">
        <v>1500</v>
      </c>
      <c r="J191" s="1264">
        <f>ROUND(E191*I191,)</f>
        <v>1500</v>
      </c>
      <c r="K191" s="1265">
        <f>H191+J191</f>
        <v>6300</v>
      </c>
      <c r="L191" s="1434"/>
      <c r="M191" s="1214"/>
      <c r="N191" s="1214"/>
      <c r="O191" s="1214"/>
      <c r="P191" s="1214"/>
      <c r="Q191" s="1214"/>
    </row>
    <row r="192" spans="1:18" s="1199" customFormat="1" ht="24" customHeight="1">
      <c r="A192" s="1331"/>
      <c r="B192" s="1259" t="s">
        <v>1440</v>
      </c>
      <c r="C192" s="1260"/>
      <c r="D192" s="1260"/>
      <c r="E192" s="1261">
        <v>1</v>
      </c>
      <c r="F192" s="1267" t="s">
        <v>363</v>
      </c>
      <c r="G192" s="2178">
        <v>2400</v>
      </c>
      <c r="H192" s="1264">
        <f t="shared" ref="H192:H200" si="28">ROUND(E192*G192,)</f>
        <v>2400</v>
      </c>
      <c r="I192" s="1265"/>
      <c r="J192" s="1264">
        <f t="shared" ref="J192:J200" si="29">ROUND(E192*I192,)</f>
        <v>0</v>
      </c>
      <c r="K192" s="1265">
        <f t="shared" ref="K192:K200" si="30">H192+J192</f>
        <v>2400</v>
      </c>
      <c r="L192" s="1434"/>
      <c r="M192" s="1214"/>
      <c r="N192" s="1214"/>
      <c r="O192" s="1214"/>
      <c r="P192" s="1214"/>
      <c r="Q192" s="1214"/>
      <c r="R192" s="1214"/>
    </row>
    <row r="193" spans="1:17" s="1199" customFormat="1" ht="24" customHeight="1">
      <c r="A193" s="1331"/>
      <c r="B193" s="1259" t="s">
        <v>1431</v>
      </c>
      <c r="C193" s="1260"/>
      <c r="D193" s="1260"/>
      <c r="E193" s="1261">
        <v>18</v>
      </c>
      <c r="F193" s="1267" t="s">
        <v>363</v>
      </c>
      <c r="G193" s="2178">
        <v>138</v>
      </c>
      <c r="H193" s="1264">
        <f t="shared" si="28"/>
        <v>2484</v>
      </c>
      <c r="I193" s="1265"/>
      <c r="J193" s="1264">
        <f t="shared" si="29"/>
        <v>0</v>
      </c>
      <c r="K193" s="1265">
        <f t="shared" si="30"/>
        <v>2484</v>
      </c>
      <c r="L193" s="1434"/>
      <c r="M193" s="1214"/>
      <c r="N193" s="1214"/>
      <c r="O193" s="1214"/>
      <c r="P193" s="1214"/>
    </row>
    <row r="194" spans="1:17" s="1199" customFormat="1" ht="24" customHeight="1">
      <c r="A194" s="1331"/>
      <c r="B194" s="1259" t="s">
        <v>1432</v>
      </c>
      <c r="C194" s="1260"/>
      <c r="D194" s="1260"/>
      <c r="E194" s="1261"/>
      <c r="F194" s="1267" t="s">
        <v>363</v>
      </c>
      <c r="G194" s="2178">
        <v>138</v>
      </c>
      <c r="H194" s="1264">
        <f t="shared" si="28"/>
        <v>0</v>
      </c>
      <c r="I194" s="1265"/>
      <c r="J194" s="1264">
        <f t="shared" si="29"/>
        <v>0</v>
      </c>
      <c r="K194" s="1265">
        <f t="shared" si="30"/>
        <v>0</v>
      </c>
      <c r="L194" s="1434"/>
      <c r="M194" s="1214"/>
      <c r="N194" s="1214"/>
      <c r="O194" s="1214"/>
      <c r="P194" s="1214"/>
    </row>
    <row r="195" spans="1:17" s="1199" customFormat="1" ht="24" customHeight="1">
      <c r="A195" s="1331"/>
      <c r="B195" s="1259" t="s">
        <v>1433</v>
      </c>
      <c r="C195" s="1260"/>
      <c r="D195" s="1260"/>
      <c r="E195" s="1261"/>
      <c r="F195" s="1267" t="s">
        <v>363</v>
      </c>
      <c r="G195" s="2178">
        <v>138</v>
      </c>
      <c r="H195" s="1264">
        <f t="shared" si="28"/>
        <v>0</v>
      </c>
      <c r="I195" s="1265"/>
      <c r="J195" s="1264">
        <f t="shared" si="29"/>
        <v>0</v>
      </c>
      <c r="K195" s="1265">
        <f t="shared" si="30"/>
        <v>0</v>
      </c>
      <c r="L195" s="1434"/>
      <c r="M195" s="1214"/>
      <c r="N195" s="1214"/>
      <c r="O195" s="1214"/>
      <c r="P195" s="1214"/>
    </row>
    <row r="196" spans="1:17" s="1199" customFormat="1" ht="24" customHeight="1">
      <c r="A196" s="1331"/>
      <c r="B196" s="1259" t="s">
        <v>1434</v>
      </c>
      <c r="C196" s="1260"/>
      <c r="D196" s="1260"/>
      <c r="E196" s="1261"/>
      <c r="F196" s="1267" t="s">
        <v>363</v>
      </c>
      <c r="G196" s="2178">
        <v>880</v>
      </c>
      <c r="H196" s="1264">
        <f t="shared" si="28"/>
        <v>0</v>
      </c>
      <c r="I196" s="1265"/>
      <c r="J196" s="1264">
        <f t="shared" si="29"/>
        <v>0</v>
      </c>
      <c r="K196" s="1265">
        <f t="shared" si="30"/>
        <v>0</v>
      </c>
      <c r="L196" s="1434"/>
      <c r="M196" s="1214"/>
      <c r="N196" s="1214"/>
      <c r="O196" s="1214"/>
      <c r="P196" s="1214"/>
    </row>
    <row r="197" spans="1:17" s="1199" customFormat="1" ht="24" customHeight="1">
      <c r="A197" s="1331"/>
      <c r="B197" s="1259" t="s">
        <v>1435</v>
      </c>
      <c r="C197" s="1260"/>
      <c r="D197" s="1260"/>
      <c r="E197" s="1261"/>
      <c r="F197" s="1267" t="s">
        <v>363</v>
      </c>
      <c r="G197" s="2178">
        <v>880</v>
      </c>
      <c r="H197" s="1264">
        <f t="shared" si="28"/>
        <v>0</v>
      </c>
      <c r="I197" s="1265"/>
      <c r="J197" s="1264">
        <f t="shared" si="29"/>
        <v>0</v>
      </c>
      <c r="K197" s="1265">
        <f t="shared" si="30"/>
        <v>0</v>
      </c>
      <c r="L197" s="1434"/>
      <c r="M197" s="1214"/>
      <c r="N197" s="1214"/>
      <c r="O197" s="1214"/>
      <c r="P197" s="1214"/>
    </row>
    <row r="198" spans="1:17" s="1199" customFormat="1" ht="24" customHeight="1">
      <c r="A198" s="1331"/>
      <c r="B198" s="1259" t="s">
        <v>1436</v>
      </c>
      <c r="C198" s="1260"/>
      <c r="D198" s="1260"/>
      <c r="E198" s="1261"/>
      <c r="F198" s="1267" t="s">
        <v>363</v>
      </c>
      <c r="G198" s="2178">
        <v>2400</v>
      </c>
      <c r="H198" s="1264">
        <f t="shared" si="28"/>
        <v>0</v>
      </c>
      <c r="I198" s="1265"/>
      <c r="J198" s="1264">
        <f t="shared" si="29"/>
        <v>0</v>
      </c>
      <c r="K198" s="1265">
        <f t="shared" si="30"/>
        <v>0</v>
      </c>
      <c r="L198" s="1434"/>
      <c r="M198" s="1214"/>
      <c r="N198" s="1214"/>
      <c r="O198" s="1214"/>
      <c r="P198" s="1214"/>
    </row>
    <row r="199" spans="1:17" s="1199" customFormat="1" ht="24" customHeight="1">
      <c r="A199" s="1331"/>
      <c r="B199" s="2174" t="s">
        <v>1437</v>
      </c>
      <c r="C199" s="1275"/>
      <c r="D199" s="1275"/>
      <c r="E199" s="1276"/>
      <c r="F199" s="1207" t="s">
        <v>363</v>
      </c>
      <c r="G199" s="2175">
        <v>1288</v>
      </c>
      <c r="H199" s="1264">
        <f t="shared" si="28"/>
        <v>0</v>
      </c>
      <c r="I199" s="1265"/>
      <c r="J199" s="1264">
        <f t="shared" si="29"/>
        <v>0</v>
      </c>
      <c r="K199" s="1265">
        <f t="shared" si="30"/>
        <v>0</v>
      </c>
      <c r="L199" s="1364"/>
      <c r="M199" s="1214"/>
      <c r="N199" s="1214"/>
      <c r="O199" s="1214"/>
      <c r="P199" s="1214"/>
      <c r="Q199" s="1214"/>
    </row>
    <row r="200" spans="1:17" s="1199" customFormat="1" ht="24" customHeight="1">
      <c r="A200" s="1331"/>
      <c r="B200" s="2174" t="s">
        <v>1438</v>
      </c>
      <c r="C200" s="1275"/>
      <c r="D200" s="1275"/>
      <c r="E200" s="1276"/>
      <c r="F200" s="1207" t="s">
        <v>363</v>
      </c>
      <c r="G200" s="2175">
        <v>1288</v>
      </c>
      <c r="H200" s="1264">
        <f t="shared" si="28"/>
        <v>0</v>
      </c>
      <c r="I200" s="1265"/>
      <c r="J200" s="1264">
        <f t="shared" si="29"/>
        <v>0</v>
      </c>
      <c r="K200" s="1265">
        <f t="shared" si="30"/>
        <v>0</v>
      </c>
      <c r="L200" s="1364"/>
      <c r="M200" s="1214"/>
      <c r="N200" s="1214"/>
      <c r="O200" s="1214"/>
      <c r="P200" s="1214"/>
      <c r="Q200" s="1214"/>
    </row>
    <row r="201" spans="1:17" s="1199" customFormat="1" ht="24" customHeight="1">
      <c r="A201" s="1331"/>
      <c r="B201" s="2174" t="s">
        <v>1117</v>
      </c>
      <c r="C201" s="1275"/>
      <c r="D201" s="1275"/>
      <c r="E201" s="1276"/>
      <c r="F201" s="1358"/>
      <c r="G201" s="2175"/>
      <c r="H201" s="1264"/>
      <c r="I201" s="1265"/>
      <c r="J201" s="1264"/>
      <c r="K201" s="1265"/>
      <c r="L201" s="1434"/>
      <c r="M201" s="1214"/>
      <c r="N201" s="1214"/>
      <c r="O201" s="1214"/>
      <c r="P201" s="1214"/>
      <c r="Q201" s="1214"/>
    </row>
    <row r="202" spans="1:17" s="1199" customFormat="1" ht="24" customHeight="1">
      <c r="A202" s="1243"/>
      <c r="B202" s="2257" t="str">
        <f>"รวมราคารายการที่ "&amp;A139</f>
        <v>รวมราคารายการที่ 3.3</v>
      </c>
      <c r="C202" s="2258"/>
      <c r="D202" s="2259"/>
      <c r="E202" s="1244"/>
      <c r="F202" s="1245"/>
      <c r="G202" s="1246"/>
      <c r="H202" s="1247">
        <f>SUM(H140:H201)</f>
        <v>62036</v>
      </c>
      <c r="I202" s="1246"/>
      <c r="J202" s="1247">
        <f>SUM(J140:J201)</f>
        <v>9000</v>
      </c>
      <c r="K202" s="1247">
        <f>SUM(K140:K201)</f>
        <v>71036</v>
      </c>
      <c r="L202" s="1245"/>
      <c r="M202" s="1214"/>
      <c r="N202" s="1214"/>
      <c r="O202" s="1214"/>
      <c r="P202" s="1214"/>
      <c r="Q202" s="1214"/>
    </row>
    <row r="203" spans="1:17" s="1199" customFormat="1" ht="24" customHeight="1">
      <c r="A203" s="1331">
        <v>3.4</v>
      </c>
      <c r="B203" s="1292" t="s">
        <v>1312</v>
      </c>
      <c r="C203" s="1202"/>
      <c r="D203" s="1202"/>
      <c r="E203" s="1387"/>
      <c r="F203" s="1384"/>
      <c r="G203" s="2176"/>
      <c r="H203" s="1264">
        <f t="shared" ref="H203:H230" si="31">ROUND(E203*G203,)</f>
        <v>0</v>
      </c>
      <c r="I203" s="2177"/>
      <c r="J203" s="1264">
        <f t="shared" ref="J203:J230" si="32">ROUND(E203*I203,)</f>
        <v>0</v>
      </c>
      <c r="K203" s="1385"/>
      <c r="L203" s="1385"/>
      <c r="M203" s="1214"/>
      <c r="N203" s="1214"/>
      <c r="O203" s="1214"/>
      <c r="P203" s="1214"/>
      <c r="Q203" s="1214"/>
    </row>
    <row r="204" spans="1:17" s="1199" customFormat="1" ht="24" customHeight="1">
      <c r="A204" s="1331" t="s">
        <v>1135</v>
      </c>
      <c r="B204" s="2174" t="s">
        <v>1314</v>
      </c>
      <c r="C204" s="1275"/>
      <c r="D204" s="1275"/>
      <c r="E204" s="1276"/>
      <c r="F204" s="1358"/>
      <c r="G204" s="2175"/>
      <c r="H204" s="1264"/>
      <c r="I204" s="1265"/>
      <c r="J204" s="1264"/>
      <c r="K204" s="1273"/>
      <c r="L204" s="1269"/>
    </row>
    <row r="205" spans="1:17" s="1199" customFormat="1" ht="24" customHeight="1">
      <c r="A205" s="1331" t="s">
        <v>1137</v>
      </c>
      <c r="B205" s="2174" t="s">
        <v>1315</v>
      </c>
      <c r="C205" s="1275"/>
      <c r="D205" s="1275"/>
      <c r="E205" s="1276"/>
      <c r="F205" s="1358"/>
      <c r="G205" s="2176"/>
      <c r="H205" s="1264"/>
      <c r="I205" s="1265"/>
      <c r="J205" s="1264"/>
      <c r="K205" s="1273"/>
      <c r="L205" s="1269"/>
    </row>
    <row r="206" spans="1:17" s="1199" customFormat="1" ht="24" customHeight="1">
      <c r="A206" s="1331"/>
      <c r="B206" s="2174" t="s">
        <v>1316</v>
      </c>
      <c r="C206" s="1275"/>
      <c r="D206" s="1275"/>
      <c r="E206" s="1270"/>
      <c r="F206" s="1358" t="s">
        <v>226</v>
      </c>
      <c r="G206" s="2176">
        <v>14</v>
      </c>
      <c r="H206" s="1264">
        <f t="shared" ref="H206:H219" si="33">ROUND(E206*G206,)</f>
        <v>0</v>
      </c>
      <c r="I206" s="1265">
        <v>10</v>
      </c>
      <c r="J206" s="1264">
        <f t="shared" ref="J206:J219" si="34">ROUND(E206*I206,)</f>
        <v>0</v>
      </c>
      <c r="K206" s="1273">
        <f t="shared" ref="K206:K219" si="35">H206+J206</f>
        <v>0</v>
      </c>
      <c r="L206" s="2000" t="s">
        <v>2667</v>
      </c>
      <c r="N206" s="1199">
        <v>1375.8</v>
      </c>
      <c r="O206" s="1199">
        <f>ROUND(N206/100,)</f>
        <v>14</v>
      </c>
      <c r="P206" s="1199">
        <f>E206*1.1</f>
        <v>0</v>
      </c>
    </row>
    <row r="207" spans="1:17" s="1199" customFormat="1" ht="24" customHeight="1">
      <c r="A207" s="1331"/>
      <c r="B207" s="2174" t="s">
        <v>1317</v>
      </c>
      <c r="C207" s="1275"/>
      <c r="D207" s="1275"/>
      <c r="E207" s="1270">
        <v>230</v>
      </c>
      <c r="F207" s="1358" t="s">
        <v>226</v>
      </c>
      <c r="G207" s="2176">
        <v>23</v>
      </c>
      <c r="H207" s="1264">
        <f t="shared" si="33"/>
        <v>5290</v>
      </c>
      <c r="I207" s="1265">
        <v>12</v>
      </c>
      <c r="J207" s="1264">
        <f t="shared" si="34"/>
        <v>2760</v>
      </c>
      <c r="K207" s="1273">
        <f t="shared" si="35"/>
        <v>8050</v>
      </c>
      <c r="L207" s="2000" t="s">
        <v>2667</v>
      </c>
      <c r="N207" s="1199">
        <v>2264.1999999999998</v>
      </c>
      <c r="O207" s="1199">
        <f t="shared" ref="O207:O215" si="36">ROUND(N207/100,)</f>
        <v>23</v>
      </c>
      <c r="P207" s="1199">
        <f t="shared" ref="P207:P219" si="37">E207*1.1</f>
        <v>253.00000000000003</v>
      </c>
    </row>
    <row r="208" spans="1:17" s="1199" customFormat="1" ht="24" customHeight="1">
      <c r="A208" s="1331"/>
      <c r="B208" s="2174" t="s">
        <v>1318</v>
      </c>
      <c r="C208" s="1275"/>
      <c r="D208" s="1275"/>
      <c r="E208" s="1270"/>
      <c r="F208" s="1358" t="s">
        <v>226</v>
      </c>
      <c r="G208" s="2176">
        <v>39</v>
      </c>
      <c r="H208" s="1264">
        <f t="shared" si="33"/>
        <v>0</v>
      </c>
      <c r="I208" s="1265">
        <v>16</v>
      </c>
      <c r="J208" s="1264">
        <f t="shared" si="34"/>
        <v>0</v>
      </c>
      <c r="K208" s="1273">
        <f t="shared" si="35"/>
        <v>0</v>
      </c>
      <c r="L208" s="2000" t="s">
        <v>2667</v>
      </c>
      <c r="N208" s="1199">
        <v>3944.2</v>
      </c>
      <c r="O208" s="1199">
        <f t="shared" si="36"/>
        <v>39</v>
      </c>
      <c r="P208" s="1199">
        <f t="shared" si="37"/>
        <v>0</v>
      </c>
    </row>
    <row r="209" spans="1:17" s="1199" customFormat="1" ht="24" customHeight="1">
      <c r="A209" s="1331"/>
      <c r="B209" s="2174" t="s">
        <v>1319</v>
      </c>
      <c r="C209" s="1275"/>
      <c r="D209" s="1275"/>
      <c r="E209" s="1270"/>
      <c r="F209" s="1358" t="s">
        <v>226</v>
      </c>
      <c r="G209" s="2176">
        <v>61</v>
      </c>
      <c r="H209" s="1264">
        <f t="shared" si="33"/>
        <v>0</v>
      </c>
      <c r="I209" s="1265">
        <v>20</v>
      </c>
      <c r="J209" s="1264">
        <f t="shared" si="34"/>
        <v>0</v>
      </c>
      <c r="K209" s="1273">
        <f t="shared" si="35"/>
        <v>0</v>
      </c>
      <c r="L209" s="2000" t="s">
        <v>2667</v>
      </c>
      <c r="N209" s="1199">
        <v>6120</v>
      </c>
      <c r="O209" s="1199">
        <f t="shared" si="36"/>
        <v>61</v>
      </c>
      <c r="P209" s="1199">
        <f t="shared" si="37"/>
        <v>0</v>
      </c>
    </row>
    <row r="210" spans="1:17" s="1199" customFormat="1" ht="24" customHeight="1">
      <c r="A210" s="1331"/>
      <c r="B210" s="2174" t="s">
        <v>1320</v>
      </c>
      <c r="C210" s="1275"/>
      <c r="D210" s="1275"/>
      <c r="E210" s="1270">
        <v>920</v>
      </c>
      <c r="F210" s="1358" t="s">
        <v>226</v>
      </c>
      <c r="G210" s="2176">
        <v>96</v>
      </c>
      <c r="H210" s="1264">
        <f t="shared" si="33"/>
        <v>88320</v>
      </c>
      <c r="I210" s="1265">
        <v>25</v>
      </c>
      <c r="J210" s="1264">
        <f t="shared" si="34"/>
        <v>23000</v>
      </c>
      <c r="K210" s="1273">
        <f t="shared" si="35"/>
        <v>111320</v>
      </c>
      <c r="L210" s="2000" t="s">
        <v>2667</v>
      </c>
      <c r="N210" s="1199">
        <v>9600</v>
      </c>
      <c r="O210" s="1199">
        <f t="shared" si="36"/>
        <v>96</v>
      </c>
      <c r="P210" s="1199">
        <f t="shared" si="37"/>
        <v>1012.0000000000001</v>
      </c>
    </row>
    <row r="211" spans="1:17" s="1199" customFormat="1" ht="24" customHeight="1">
      <c r="A211" s="1331"/>
      <c r="B211" s="2174" t="s">
        <v>1321</v>
      </c>
      <c r="C211" s="1275"/>
      <c r="D211" s="1275"/>
      <c r="E211" s="1270"/>
      <c r="F211" s="1358" t="s">
        <v>226</v>
      </c>
      <c r="G211" s="2176">
        <v>127</v>
      </c>
      <c r="H211" s="1264">
        <f t="shared" si="33"/>
        <v>0</v>
      </c>
      <c r="I211" s="1265">
        <v>30</v>
      </c>
      <c r="J211" s="1264">
        <f t="shared" si="34"/>
        <v>0</v>
      </c>
      <c r="K211" s="1273">
        <f t="shared" si="35"/>
        <v>0</v>
      </c>
      <c r="L211" s="2000" t="s">
        <v>2667</v>
      </c>
      <c r="N211" s="1199">
        <v>12744.2</v>
      </c>
      <c r="O211" s="1199">
        <f t="shared" si="36"/>
        <v>127</v>
      </c>
      <c r="P211" s="1199">
        <f t="shared" si="37"/>
        <v>0</v>
      </c>
    </row>
    <row r="212" spans="1:17" s="1199" customFormat="1" ht="24" customHeight="1">
      <c r="A212" s="1331"/>
      <c r="B212" s="2174" t="s">
        <v>1322</v>
      </c>
      <c r="C212" s="1275"/>
      <c r="D212" s="1275"/>
      <c r="E212" s="1270"/>
      <c r="F212" s="1358" t="s">
        <v>226</v>
      </c>
      <c r="G212" s="2176">
        <v>183</v>
      </c>
      <c r="H212" s="1264">
        <f t="shared" si="33"/>
        <v>0</v>
      </c>
      <c r="I212" s="1265">
        <v>40</v>
      </c>
      <c r="J212" s="1264">
        <f t="shared" si="34"/>
        <v>0</v>
      </c>
      <c r="K212" s="1273">
        <f t="shared" si="35"/>
        <v>0</v>
      </c>
      <c r="L212" s="2000" t="s">
        <v>2667</v>
      </c>
      <c r="N212" s="1199">
        <v>18335.8</v>
      </c>
      <c r="O212" s="1199">
        <f t="shared" si="36"/>
        <v>183</v>
      </c>
      <c r="P212" s="1199">
        <f t="shared" si="37"/>
        <v>0</v>
      </c>
    </row>
    <row r="213" spans="1:17" s="1199" customFormat="1" ht="24" customHeight="1">
      <c r="A213" s="1331"/>
      <c r="B213" s="2174" t="s">
        <v>1323</v>
      </c>
      <c r="C213" s="1275"/>
      <c r="D213" s="1275"/>
      <c r="E213" s="1270"/>
      <c r="F213" s="1358" t="s">
        <v>226</v>
      </c>
      <c r="G213" s="2176">
        <v>262</v>
      </c>
      <c r="H213" s="1264">
        <f t="shared" si="33"/>
        <v>0</v>
      </c>
      <c r="I213" s="1265">
        <v>45</v>
      </c>
      <c r="J213" s="1264">
        <f t="shared" si="34"/>
        <v>0</v>
      </c>
      <c r="K213" s="1273">
        <f t="shared" si="35"/>
        <v>0</v>
      </c>
      <c r="L213" s="2000" t="s">
        <v>2667</v>
      </c>
      <c r="N213" s="1199">
        <v>26215.8</v>
      </c>
      <c r="O213" s="1199">
        <f t="shared" si="36"/>
        <v>262</v>
      </c>
      <c r="P213" s="1199">
        <f t="shared" si="37"/>
        <v>0</v>
      </c>
    </row>
    <row r="214" spans="1:17" s="1199" customFormat="1" ht="24" customHeight="1">
      <c r="A214" s="1331"/>
      <c r="B214" s="2174" t="s">
        <v>1324</v>
      </c>
      <c r="C214" s="1275"/>
      <c r="D214" s="1275"/>
      <c r="E214" s="1270"/>
      <c r="F214" s="1358" t="s">
        <v>226</v>
      </c>
      <c r="G214" s="2176">
        <v>361</v>
      </c>
      <c r="H214" s="1264">
        <f t="shared" si="33"/>
        <v>0</v>
      </c>
      <c r="I214" s="1265">
        <v>55</v>
      </c>
      <c r="J214" s="1264">
        <f t="shared" si="34"/>
        <v>0</v>
      </c>
      <c r="K214" s="1273">
        <f t="shared" si="35"/>
        <v>0</v>
      </c>
      <c r="L214" s="2000" t="s">
        <v>2667</v>
      </c>
      <c r="N214" s="1199">
        <v>36120</v>
      </c>
      <c r="O214" s="1199">
        <f t="shared" si="36"/>
        <v>361</v>
      </c>
      <c r="P214" s="1199">
        <f t="shared" si="37"/>
        <v>0</v>
      </c>
    </row>
    <row r="215" spans="1:17" s="1199" customFormat="1" ht="24" customHeight="1">
      <c r="A215" s="1331"/>
      <c r="B215" s="2174" t="s">
        <v>1325</v>
      </c>
      <c r="C215" s="1275"/>
      <c r="D215" s="1275"/>
      <c r="E215" s="1270"/>
      <c r="F215" s="1358" t="s">
        <v>226</v>
      </c>
      <c r="G215" s="2176">
        <v>458</v>
      </c>
      <c r="H215" s="1264">
        <f t="shared" si="33"/>
        <v>0</v>
      </c>
      <c r="I215" s="1265">
        <v>60</v>
      </c>
      <c r="J215" s="1264">
        <f t="shared" si="34"/>
        <v>0</v>
      </c>
      <c r="K215" s="1273">
        <f t="shared" si="35"/>
        <v>0</v>
      </c>
      <c r="L215" s="2000" t="s">
        <v>2667</v>
      </c>
      <c r="N215" s="1199">
        <v>45760</v>
      </c>
      <c r="O215" s="1199">
        <f t="shared" si="36"/>
        <v>458</v>
      </c>
      <c r="P215" s="1199">
        <f t="shared" si="37"/>
        <v>0</v>
      </c>
    </row>
    <row r="216" spans="1:17" s="1199" customFormat="1" ht="24" customHeight="1">
      <c r="A216" s="1331"/>
      <c r="B216" s="2174" t="s">
        <v>1326</v>
      </c>
      <c r="C216" s="1275"/>
      <c r="D216" s="1275"/>
      <c r="E216" s="1270"/>
      <c r="F216" s="1358" t="s">
        <v>226</v>
      </c>
      <c r="G216" s="2176">
        <v>525</v>
      </c>
      <c r="H216" s="1264">
        <f t="shared" si="33"/>
        <v>0</v>
      </c>
      <c r="I216" s="1265">
        <v>70</v>
      </c>
      <c r="J216" s="1264">
        <f t="shared" si="34"/>
        <v>0</v>
      </c>
      <c r="K216" s="1273">
        <f t="shared" si="35"/>
        <v>0</v>
      </c>
      <c r="L216" s="1269"/>
      <c r="P216" s="1199">
        <f t="shared" si="37"/>
        <v>0</v>
      </c>
    </row>
    <row r="217" spans="1:17" s="1199" customFormat="1" ht="24" customHeight="1">
      <c r="A217" s="1331"/>
      <c r="B217" s="2174" t="s">
        <v>1327</v>
      </c>
      <c r="C217" s="1275"/>
      <c r="D217" s="1275"/>
      <c r="E217" s="1270"/>
      <c r="F217" s="1358" t="s">
        <v>226</v>
      </c>
      <c r="G217" s="2176">
        <v>659</v>
      </c>
      <c r="H217" s="1264">
        <f t="shared" si="33"/>
        <v>0</v>
      </c>
      <c r="I217" s="1265">
        <v>85</v>
      </c>
      <c r="J217" s="1264">
        <f t="shared" si="34"/>
        <v>0</v>
      </c>
      <c r="K217" s="1273">
        <f t="shared" si="35"/>
        <v>0</v>
      </c>
      <c r="L217" s="1269"/>
      <c r="P217" s="1199">
        <f t="shared" si="37"/>
        <v>0</v>
      </c>
    </row>
    <row r="218" spans="1:17" s="1199" customFormat="1" ht="24" customHeight="1">
      <c r="A218" s="1331"/>
      <c r="B218" s="2174" t="s">
        <v>1328</v>
      </c>
      <c r="C218" s="1275"/>
      <c r="D218" s="1275"/>
      <c r="E218" s="1270"/>
      <c r="F218" s="1358" t="s">
        <v>226</v>
      </c>
      <c r="G218" s="2176">
        <v>865</v>
      </c>
      <c r="H218" s="1264">
        <f t="shared" si="33"/>
        <v>0</v>
      </c>
      <c r="I218" s="1265">
        <v>100</v>
      </c>
      <c r="J218" s="1264">
        <f t="shared" si="34"/>
        <v>0</v>
      </c>
      <c r="K218" s="1273">
        <f t="shared" si="35"/>
        <v>0</v>
      </c>
      <c r="L218" s="1269"/>
      <c r="P218" s="1199">
        <f t="shared" si="37"/>
        <v>0</v>
      </c>
    </row>
    <row r="219" spans="1:17" s="1199" customFormat="1" ht="24" customHeight="1">
      <c r="A219" s="1331"/>
      <c r="B219" s="2174" t="s">
        <v>1329</v>
      </c>
      <c r="C219" s="1275"/>
      <c r="D219" s="1275"/>
      <c r="E219" s="1270"/>
      <c r="F219" s="1358" t="s">
        <v>226</v>
      </c>
      <c r="G219" s="2176">
        <v>1084</v>
      </c>
      <c r="H219" s="1264">
        <f t="shared" si="33"/>
        <v>0</v>
      </c>
      <c r="I219" s="1265">
        <v>110</v>
      </c>
      <c r="J219" s="1264">
        <f t="shared" si="34"/>
        <v>0</v>
      </c>
      <c r="K219" s="1273">
        <f t="shared" si="35"/>
        <v>0</v>
      </c>
      <c r="L219" s="1269"/>
      <c r="P219" s="1199">
        <f t="shared" si="37"/>
        <v>0</v>
      </c>
    </row>
    <row r="220" spans="1:17" s="1199" customFormat="1" ht="24" customHeight="1">
      <c r="A220" s="1331" t="s">
        <v>1158</v>
      </c>
      <c r="B220" s="2174" t="s">
        <v>2897</v>
      </c>
      <c r="C220" s="1275"/>
      <c r="D220" s="1275"/>
      <c r="E220" s="1276"/>
      <c r="F220" s="1358"/>
      <c r="G220" s="2175"/>
      <c r="H220" s="1264"/>
      <c r="I220" s="1265"/>
      <c r="J220" s="1264"/>
      <c r="K220" s="1273"/>
      <c r="L220" s="1269"/>
    </row>
    <row r="221" spans="1:17" s="1199" customFormat="1" ht="24" customHeight="1">
      <c r="A221" s="1331" t="s">
        <v>2898</v>
      </c>
      <c r="B221" s="1190" t="s">
        <v>1597</v>
      </c>
      <c r="C221" s="1202"/>
      <c r="D221" s="1202"/>
      <c r="E221" s="1387"/>
      <c r="F221" s="1384"/>
      <c r="G221" s="2176"/>
      <c r="H221" s="1264">
        <f t="shared" si="31"/>
        <v>0</v>
      </c>
      <c r="I221" s="2177"/>
      <c r="J221" s="1264">
        <f t="shared" si="32"/>
        <v>0</v>
      </c>
      <c r="K221" s="1385"/>
      <c r="L221" s="1385"/>
      <c r="M221" s="1214"/>
      <c r="N221" s="1214"/>
      <c r="O221" s="1214"/>
      <c r="P221" s="1214"/>
      <c r="Q221" s="1214"/>
    </row>
    <row r="222" spans="1:17" s="1199" customFormat="1" ht="24" customHeight="1">
      <c r="A222" s="1331"/>
      <c r="B222" s="1190" t="s">
        <v>1443</v>
      </c>
      <c r="C222" s="1202"/>
      <c r="D222" s="1202"/>
      <c r="E222" s="1270">
        <v>2550</v>
      </c>
      <c r="F222" s="1358" t="s">
        <v>226</v>
      </c>
      <c r="G222" s="2176">
        <v>9</v>
      </c>
      <c r="H222" s="1264">
        <f t="shared" si="31"/>
        <v>22950</v>
      </c>
      <c r="I222" s="2177">
        <v>7</v>
      </c>
      <c r="J222" s="1264">
        <f t="shared" si="32"/>
        <v>17850</v>
      </c>
      <c r="K222" s="1273">
        <f>H222+J222</f>
        <v>40800</v>
      </c>
      <c r="L222" s="2001" t="s">
        <v>2667</v>
      </c>
      <c r="M222" s="1214"/>
      <c r="N222" s="1199">
        <v>912.1</v>
      </c>
      <c r="O222" s="1199">
        <f>ROUND(N222/100,)</f>
        <v>9</v>
      </c>
      <c r="P222" s="1214"/>
      <c r="Q222" s="1214"/>
    </row>
    <row r="223" spans="1:17" s="1199" customFormat="1" ht="24" customHeight="1">
      <c r="A223" s="1331"/>
      <c r="B223" s="1190" t="s">
        <v>1316</v>
      </c>
      <c r="C223" s="1202"/>
      <c r="D223" s="1202"/>
      <c r="E223" s="1270">
        <v>2110</v>
      </c>
      <c r="F223" s="1358" t="s">
        <v>226</v>
      </c>
      <c r="G223" s="2176">
        <v>14</v>
      </c>
      <c r="H223" s="1264">
        <f t="shared" si="31"/>
        <v>29540</v>
      </c>
      <c r="I223" s="2177">
        <v>10</v>
      </c>
      <c r="J223" s="1264">
        <f t="shared" si="32"/>
        <v>21100</v>
      </c>
      <c r="K223" s="1273">
        <f>H223+J223</f>
        <v>50640</v>
      </c>
      <c r="L223" s="2001" t="s">
        <v>2667</v>
      </c>
      <c r="M223" s="1214"/>
      <c r="N223" s="1199">
        <v>1375.8</v>
      </c>
      <c r="O223" s="1199">
        <f>ROUND(N223/100,)</f>
        <v>14</v>
      </c>
      <c r="P223" s="1214"/>
      <c r="Q223" s="1214"/>
    </row>
    <row r="224" spans="1:17" s="1199" customFormat="1" ht="24" customHeight="1">
      <c r="A224" s="1331"/>
      <c r="B224" s="2174" t="s">
        <v>1317</v>
      </c>
      <c r="C224" s="1275"/>
      <c r="D224" s="1275"/>
      <c r="E224" s="1270"/>
      <c r="F224" s="1358" t="s">
        <v>226</v>
      </c>
      <c r="G224" s="2176">
        <v>23</v>
      </c>
      <c r="H224" s="1264">
        <f t="shared" si="31"/>
        <v>0</v>
      </c>
      <c r="I224" s="1265">
        <v>12</v>
      </c>
      <c r="J224" s="1264">
        <f t="shared" si="32"/>
        <v>0</v>
      </c>
      <c r="K224" s="1273">
        <f t="shared" ref="K224:K225" si="38">H224+J224</f>
        <v>0</v>
      </c>
      <c r="L224" s="2001" t="s">
        <v>2667</v>
      </c>
      <c r="N224" s="1199">
        <v>2264.1999999999998</v>
      </c>
      <c r="O224" s="1199">
        <f t="shared" ref="O224:O225" si="39">ROUND(N224/100,)</f>
        <v>23</v>
      </c>
    </row>
    <row r="225" spans="1:18" s="1199" customFormat="1" ht="24" customHeight="1">
      <c r="A225" s="1331"/>
      <c r="B225" s="2174" t="s">
        <v>1318</v>
      </c>
      <c r="C225" s="1275"/>
      <c r="D225" s="1275"/>
      <c r="E225" s="1270">
        <v>400</v>
      </c>
      <c r="F225" s="1358" t="s">
        <v>226</v>
      </c>
      <c r="G225" s="2176">
        <v>39</v>
      </c>
      <c r="H225" s="1264">
        <f t="shared" si="31"/>
        <v>15600</v>
      </c>
      <c r="I225" s="1265">
        <v>16</v>
      </c>
      <c r="J225" s="1264">
        <f t="shared" si="32"/>
        <v>6400</v>
      </c>
      <c r="K225" s="1273">
        <f t="shared" si="38"/>
        <v>22000</v>
      </c>
      <c r="L225" s="2001" t="s">
        <v>2667</v>
      </c>
      <c r="N225" s="1199">
        <v>3944.2</v>
      </c>
      <c r="O225" s="1199">
        <f t="shared" si="39"/>
        <v>39</v>
      </c>
    </row>
    <row r="226" spans="1:18" s="1199" customFormat="1" ht="24" customHeight="1">
      <c r="A226" s="1331"/>
      <c r="B226" s="2174"/>
      <c r="C226" s="1275"/>
      <c r="D226" s="1275"/>
      <c r="E226" s="1270"/>
      <c r="F226" s="1358"/>
      <c r="G226" s="2176"/>
      <c r="H226" s="1264"/>
      <c r="I226" s="1265"/>
      <c r="J226" s="1264"/>
      <c r="K226" s="1273"/>
      <c r="L226" s="2172"/>
    </row>
    <row r="227" spans="1:18" s="1199" customFormat="1" ht="24" customHeight="1">
      <c r="A227" s="1331" t="s">
        <v>2899</v>
      </c>
      <c r="B227" s="2174" t="s">
        <v>1331</v>
      </c>
      <c r="C227" s="1202"/>
      <c r="D227" s="1202"/>
      <c r="E227" s="1404"/>
      <c r="F227" s="1384"/>
      <c r="G227" s="2176"/>
      <c r="H227" s="1264">
        <f t="shared" si="31"/>
        <v>0</v>
      </c>
      <c r="I227" s="2177"/>
      <c r="J227" s="1264">
        <f t="shared" si="32"/>
        <v>0</v>
      </c>
      <c r="K227" s="1385"/>
      <c r="L227" s="1385"/>
      <c r="M227" s="1214"/>
      <c r="N227" s="1214"/>
      <c r="O227" s="1214"/>
      <c r="P227" s="1214"/>
      <c r="Q227" s="1214"/>
    </row>
    <row r="228" spans="1:18" s="1199" customFormat="1" ht="24" customHeight="1">
      <c r="A228" s="1331"/>
      <c r="B228" s="2174" t="s">
        <v>1443</v>
      </c>
      <c r="C228" s="1202"/>
      <c r="D228" s="1202"/>
      <c r="E228" s="1270"/>
      <c r="F228" s="1358" t="s">
        <v>226</v>
      </c>
      <c r="G228" s="2176">
        <v>41</v>
      </c>
      <c r="H228" s="1264">
        <f t="shared" si="31"/>
        <v>0</v>
      </c>
      <c r="I228" s="2177">
        <v>12</v>
      </c>
      <c r="J228" s="1264">
        <f t="shared" si="32"/>
        <v>0</v>
      </c>
      <c r="K228" s="1273">
        <f>H228+J228</f>
        <v>0</v>
      </c>
      <c r="L228" s="1385"/>
      <c r="M228" s="1214"/>
      <c r="N228" s="1214"/>
      <c r="O228" s="1214"/>
      <c r="P228" s="1214"/>
      <c r="Q228" s="1214"/>
    </row>
    <row r="229" spans="1:18" s="1199" customFormat="1" ht="24" customHeight="1">
      <c r="A229" s="1331"/>
      <c r="B229" s="2174" t="s">
        <v>1316</v>
      </c>
      <c r="C229" s="1202"/>
      <c r="D229" s="1202"/>
      <c r="E229" s="1489">
        <v>500</v>
      </c>
      <c r="F229" s="1358" t="s">
        <v>226</v>
      </c>
      <c r="G229" s="2176">
        <v>53</v>
      </c>
      <c r="H229" s="1264">
        <f t="shared" si="31"/>
        <v>26500</v>
      </c>
      <c r="I229" s="2177">
        <v>14</v>
      </c>
      <c r="J229" s="1264">
        <f t="shared" si="32"/>
        <v>7000</v>
      </c>
      <c r="K229" s="1273">
        <f>H229+J229</f>
        <v>33500</v>
      </c>
      <c r="L229" s="1385"/>
      <c r="M229" s="1214"/>
      <c r="N229" s="1214"/>
      <c r="O229" s="1214"/>
      <c r="P229" s="1214"/>
      <c r="Q229" s="1214"/>
    </row>
    <row r="230" spans="1:18" s="1199" customFormat="1" ht="24" customHeight="1">
      <c r="A230" s="1406"/>
      <c r="B230" s="2174" t="s">
        <v>1444</v>
      </c>
      <c r="C230" s="1235"/>
      <c r="D230" s="1235"/>
      <c r="E230" s="1490">
        <v>1</v>
      </c>
      <c r="F230" s="1296" t="s">
        <v>1104</v>
      </c>
      <c r="G230" s="1399">
        <f>ROUND(SUM(H203:H229)*0.05,)</f>
        <v>9410</v>
      </c>
      <c r="H230" s="1264">
        <f t="shared" si="31"/>
        <v>9410</v>
      </c>
      <c r="I230" s="2177">
        <f>ROUND(G230*0.3,)</f>
        <v>2823</v>
      </c>
      <c r="J230" s="1264">
        <f t="shared" si="32"/>
        <v>2823</v>
      </c>
      <c r="K230" s="1273">
        <f>H230+J230</f>
        <v>12233</v>
      </c>
      <c r="L230" s="1402"/>
      <c r="M230" s="1214"/>
      <c r="N230" s="1214"/>
      <c r="O230" s="1214"/>
      <c r="P230" s="1214"/>
      <c r="Q230" s="1214"/>
    </row>
    <row r="231" spans="1:18" s="1199" customFormat="1" ht="24" customHeight="1">
      <c r="A231" s="1491"/>
      <c r="B231" s="1234" t="s">
        <v>1117</v>
      </c>
      <c r="C231" s="1235"/>
      <c r="D231" s="1235"/>
      <c r="E231" s="1397"/>
      <c r="F231" s="1398"/>
      <c r="G231" s="1399"/>
      <c r="H231" s="1400"/>
      <c r="I231" s="1401"/>
      <c r="J231" s="1402"/>
      <c r="K231" s="1402"/>
      <c r="L231" s="1402"/>
      <c r="M231" s="1214"/>
      <c r="N231" s="1214"/>
      <c r="O231" s="1214"/>
      <c r="P231" s="1214"/>
      <c r="Q231" s="1214"/>
    </row>
    <row r="232" spans="1:18" s="1199" customFormat="1" ht="24" customHeight="1">
      <c r="A232" s="1331"/>
      <c r="B232" s="2174" t="s">
        <v>1369</v>
      </c>
      <c r="C232" s="1202"/>
      <c r="D232" s="1202"/>
      <c r="E232" s="1387"/>
      <c r="F232" s="1407"/>
      <c r="G232" s="2176"/>
      <c r="H232" s="1388"/>
      <c r="I232" s="2177"/>
      <c r="J232" s="1385"/>
      <c r="K232" s="1385"/>
      <c r="L232" s="1385"/>
      <c r="M232" s="1214"/>
      <c r="N232" s="1214"/>
      <c r="O232" s="1214"/>
      <c r="P232" s="1214"/>
      <c r="Q232" s="1214"/>
      <c r="R232" s="1214"/>
    </row>
    <row r="233" spans="1:18" s="1199" customFormat="1" ht="24" customHeight="1">
      <c r="A233" s="1243"/>
      <c r="B233" s="2257" t="str">
        <f>"รวมราคารายการที่ "&amp;A203</f>
        <v>รวมราคารายการที่ 3.4</v>
      </c>
      <c r="C233" s="2258"/>
      <c r="D233" s="2259"/>
      <c r="E233" s="1244"/>
      <c r="F233" s="1245"/>
      <c r="G233" s="1246"/>
      <c r="H233" s="1247">
        <f>SUM(H203:H231)</f>
        <v>197610</v>
      </c>
      <c r="I233" s="1246"/>
      <c r="J233" s="1247">
        <f>SUM(J203:J231)</f>
        <v>80933</v>
      </c>
      <c r="K233" s="1247">
        <f>SUM(K203:K231)</f>
        <v>278543</v>
      </c>
      <c r="L233" s="1245"/>
      <c r="M233" s="1214"/>
      <c r="N233" s="1214"/>
      <c r="O233" s="1214"/>
      <c r="P233" s="1214"/>
      <c r="Q233" s="1214"/>
    </row>
    <row r="234" spans="1:18" s="1199" customFormat="1" ht="24" customHeight="1">
      <c r="A234" s="1381" t="s">
        <v>1461</v>
      </c>
      <c r="B234" s="1292" t="s">
        <v>1333</v>
      </c>
      <c r="C234" s="1235"/>
      <c r="D234" s="1235"/>
      <c r="E234" s="1397"/>
      <c r="F234" s="1398"/>
      <c r="G234" s="1399"/>
      <c r="H234" s="1400"/>
      <c r="I234" s="1401"/>
      <c r="J234" s="1402"/>
      <c r="K234" s="1402"/>
      <c r="L234" s="1402"/>
      <c r="M234" s="1214"/>
      <c r="N234" s="1214"/>
      <c r="O234" s="1214"/>
      <c r="P234" s="1214"/>
      <c r="Q234" s="1214"/>
    </row>
    <row r="235" spans="1:18" s="1199" customFormat="1" ht="24" customHeight="1">
      <c r="A235" s="1331" t="s">
        <v>1181</v>
      </c>
      <c r="B235" s="1190" t="s">
        <v>1446</v>
      </c>
      <c r="C235" s="1202"/>
      <c r="D235" s="1202"/>
      <c r="E235" s="1387"/>
      <c r="F235" s="1384"/>
      <c r="G235" s="2176"/>
      <c r="H235" s="1264">
        <f t="shared" ref="H235:H252" si="40">ROUND(E235*G235,)</f>
        <v>0</v>
      </c>
      <c r="I235" s="2177"/>
      <c r="J235" s="1264">
        <f t="shared" ref="J235:J252" si="41">ROUND(E235*I235,)</f>
        <v>0</v>
      </c>
      <c r="K235" s="1385"/>
      <c r="L235" s="1385"/>
      <c r="M235" s="1214"/>
      <c r="N235" s="1214"/>
      <c r="O235" s="1214"/>
      <c r="P235" s="1214"/>
      <c r="Q235" s="1214"/>
    </row>
    <row r="236" spans="1:18" s="1199" customFormat="1" ht="24" customHeight="1">
      <c r="A236" s="1331"/>
      <c r="B236" s="1190" t="s">
        <v>1350</v>
      </c>
      <c r="C236" s="1202"/>
      <c r="D236" s="1202"/>
      <c r="E236" s="1404">
        <v>1235</v>
      </c>
      <c r="F236" s="1358" t="s">
        <v>226</v>
      </c>
      <c r="G236" s="2176">
        <v>27</v>
      </c>
      <c r="H236" s="1264">
        <f t="shared" si="40"/>
        <v>33345</v>
      </c>
      <c r="I236" s="2177">
        <v>22</v>
      </c>
      <c r="J236" s="1264">
        <f t="shared" si="41"/>
        <v>27170</v>
      </c>
      <c r="K236" s="1273">
        <f>H236+J236</f>
        <v>60515</v>
      </c>
      <c r="L236" s="2001" t="s">
        <v>2667</v>
      </c>
      <c r="M236" s="1214"/>
      <c r="N236" s="1199">
        <v>79.8</v>
      </c>
      <c r="O236" s="1199">
        <f>ROUND(N236/3,)</f>
        <v>27</v>
      </c>
      <c r="P236" s="1214"/>
      <c r="Q236" s="1214"/>
    </row>
    <row r="237" spans="1:18" s="1199" customFormat="1" ht="24" customHeight="1">
      <c r="A237" s="1331"/>
      <c r="B237" s="1190" t="s">
        <v>1448</v>
      </c>
      <c r="C237" s="1202"/>
      <c r="D237" s="1202"/>
      <c r="E237" s="1404">
        <v>200</v>
      </c>
      <c r="F237" s="1358" t="s">
        <v>226</v>
      </c>
      <c r="G237" s="2176">
        <v>38</v>
      </c>
      <c r="H237" s="1264">
        <f t="shared" si="40"/>
        <v>7600</v>
      </c>
      <c r="I237" s="2177">
        <v>26</v>
      </c>
      <c r="J237" s="1264">
        <f t="shared" si="41"/>
        <v>5200</v>
      </c>
      <c r="K237" s="1273">
        <f>H237+J237</f>
        <v>12800</v>
      </c>
      <c r="L237" s="2001" t="s">
        <v>2667</v>
      </c>
      <c r="M237" s="1214"/>
      <c r="N237" s="1214">
        <v>115.2</v>
      </c>
      <c r="O237" s="1199">
        <f>ROUND(N237/3,)</f>
        <v>38</v>
      </c>
      <c r="P237" s="1214"/>
      <c r="Q237" s="1214"/>
    </row>
    <row r="238" spans="1:18" s="1199" customFormat="1" ht="24" customHeight="1">
      <c r="A238" s="1331"/>
      <c r="B238" s="1190" t="s">
        <v>1337</v>
      </c>
      <c r="C238" s="1202"/>
      <c r="D238" s="1202"/>
      <c r="E238" s="1404">
        <v>100</v>
      </c>
      <c r="F238" s="1358" t="s">
        <v>226</v>
      </c>
      <c r="G238" s="2176">
        <v>55</v>
      </c>
      <c r="H238" s="1264">
        <f t="shared" si="40"/>
        <v>5500</v>
      </c>
      <c r="I238" s="2177">
        <v>28</v>
      </c>
      <c r="J238" s="1264">
        <f t="shared" si="41"/>
        <v>2800</v>
      </c>
      <c r="K238" s="1273">
        <f>H238+J238</f>
        <v>8300</v>
      </c>
      <c r="L238" s="2001" t="s">
        <v>2667</v>
      </c>
      <c r="M238" s="1214"/>
      <c r="N238" s="1214">
        <v>163.80000000000001</v>
      </c>
      <c r="O238" s="1199">
        <f>ROUND(N238/3,)</f>
        <v>55</v>
      </c>
      <c r="P238" s="1214"/>
      <c r="Q238" s="1214"/>
    </row>
    <row r="239" spans="1:18" s="1199" customFormat="1" ht="24" customHeight="1">
      <c r="A239" s="1331"/>
      <c r="B239" s="1190" t="s">
        <v>1108</v>
      </c>
      <c r="C239" s="1202"/>
      <c r="D239" s="1202"/>
      <c r="E239" s="1404">
        <v>1</v>
      </c>
      <c r="F239" s="1384" t="s">
        <v>1104</v>
      </c>
      <c r="G239" s="2176">
        <f>SUM(H236:H238)*15%</f>
        <v>6966.75</v>
      </c>
      <c r="H239" s="1264">
        <f t="shared" si="40"/>
        <v>6967</v>
      </c>
      <c r="I239" s="2177">
        <f>ROUND(G239*0.3,)</f>
        <v>2090</v>
      </c>
      <c r="J239" s="1264">
        <f t="shared" si="41"/>
        <v>2090</v>
      </c>
      <c r="K239" s="1273">
        <f>H239+J239</f>
        <v>9057</v>
      </c>
      <c r="L239" s="1385"/>
      <c r="M239" s="1214"/>
      <c r="N239" s="1214"/>
      <c r="O239" s="1214"/>
      <c r="P239" s="1214"/>
      <c r="Q239" s="1214"/>
    </row>
    <row r="240" spans="1:18" s="1199" customFormat="1" ht="24" customHeight="1">
      <c r="A240" s="1331" t="s">
        <v>1197</v>
      </c>
      <c r="B240" s="1190" t="s">
        <v>1110</v>
      </c>
      <c r="C240" s="1202"/>
      <c r="D240" s="1202"/>
      <c r="E240" s="1404"/>
      <c r="F240" s="1384"/>
      <c r="G240" s="2176"/>
      <c r="H240" s="1264">
        <f t="shared" si="40"/>
        <v>0</v>
      </c>
      <c r="I240" s="2177"/>
      <c r="J240" s="1264">
        <f t="shared" si="41"/>
        <v>0</v>
      </c>
      <c r="K240" s="1385"/>
      <c r="L240" s="1385"/>
      <c r="M240" s="1214"/>
      <c r="N240" s="1214"/>
      <c r="O240" s="1214"/>
      <c r="P240" s="1214"/>
      <c r="Q240" s="1214"/>
    </row>
    <row r="241" spans="1:17" s="1199" customFormat="1" ht="24" customHeight="1">
      <c r="A241" s="1331"/>
      <c r="B241" s="1190" t="s">
        <v>1350</v>
      </c>
      <c r="C241" s="1202"/>
      <c r="D241" s="1202"/>
      <c r="E241" s="1404"/>
      <c r="F241" s="1358" t="s">
        <v>226</v>
      </c>
      <c r="G241" s="2176">
        <v>56</v>
      </c>
      <c r="H241" s="1264">
        <f t="shared" si="40"/>
        <v>0</v>
      </c>
      <c r="I241" s="2177">
        <v>26</v>
      </c>
      <c r="J241" s="1264">
        <f t="shared" si="41"/>
        <v>0</v>
      </c>
      <c r="K241" s="1273">
        <f>H241+J241</f>
        <v>0</v>
      </c>
      <c r="L241" s="2001" t="s">
        <v>2667</v>
      </c>
      <c r="M241" s="1214"/>
      <c r="N241" s="1199">
        <v>169.2</v>
      </c>
      <c r="O241" s="1199">
        <f t="shared" ref="O241:O246" si="42">ROUND(N241/3,)</f>
        <v>56</v>
      </c>
      <c r="P241" s="1214"/>
      <c r="Q241" s="1214"/>
    </row>
    <row r="242" spans="1:17" s="1199" customFormat="1" ht="24" customHeight="1">
      <c r="A242" s="1331"/>
      <c r="B242" s="2174" t="s">
        <v>1448</v>
      </c>
      <c r="C242" s="1202"/>
      <c r="D242" s="1202"/>
      <c r="E242" s="1404"/>
      <c r="F242" s="1358" t="s">
        <v>226</v>
      </c>
      <c r="G242" s="2176">
        <v>75</v>
      </c>
      <c r="H242" s="1264">
        <f t="shared" si="40"/>
        <v>0</v>
      </c>
      <c r="I242" s="2177">
        <v>29</v>
      </c>
      <c r="J242" s="1264">
        <f t="shared" si="41"/>
        <v>0</v>
      </c>
      <c r="K242" s="1273">
        <f>H242+J242</f>
        <v>0</v>
      </c>
      <c r="L242" s="2001" t="s">
        <v>2667</v>
      </c>
      <c r="N242" s="1199">
        <v>225</v>
      </c>
      <c r="O242" s="1199">
        <f t="shared" si="42"/>
        <v>75</v>
      </c>
      <c r="P242" s="1214"/>
    </row>
    <row r="243" spans="1:17" s="1199" customFormat="1" ht="24" customHeight="1">
      <c r="A243" s="1331"/>
      <c r="B243" s="1190" t="s">
        <v>1337</v>
      </c>
      <c r="C243" s="1202"/>
      <c r="D243" s="1202"/>
      <c r="E243" s="1404">
        <v>160</v>
      </c>
      <c r="F243" s="1358" t="s">
        <v>226</v>
      </c>
      <c r="G243" s="2176">
        <v>101</v>
      </c>
      <c r="H243" s="1264">
        <f t="shared" si="40"/>
        <v>16160</v>
      </c>
      <c r="I243" s="2177">
        <v>32</v>
      </c>
      <c r="J243" s="1264">
        <f t="shared" si="41"/>
        <v>5120</v>
      </c>
      <c r="K243" s="1273">
        <f>H243+J243</f>
        <v>21280</v>
      </c>
      <c r="L243" s="2001" t="s">
        <v>2667</v>
      </c>
      <c r="N243" s="1199">
        <v>303.60000000000002</v>
      </c>
      <c r="O243" s="1199">
        <f t="shared" si="42"/>
        <v>101</v>
      </c>
      <c r="P243" s="1214"/>
      <c r="Q243" s="1214"/>
    </row>
    <row r="244" spans="1:17" s="1199" customFormat="1" ht="24" customHeight="1">
      <c r="A244" s="1331"/>
      <c r="B244" s="2174" t="s">
        <v>1338</v>
      </c>
      <c r="C244" s="1202"/>
      <c r="D244" s="1202"/>
      <c r="E244" s="1270">
        <v>230</v>
      </c>
      <c r="F244" s="1358" t="s">
        <v>226</v>
      </c>
      <c r="G244" s="2176">
        <v>131</v>
      </c>
      <c r="H244" s="1264">
        <f t="shared" si="40"/>
        <v>30130</v>
      </c>
      <c r="I244" s="2177">
        <v>32</v>
      </c>
      <c r="J244" s="1264">
        <f t="shared" si="41"/>
        <v>7360</v>
      </c>
      <c r="K244" s="1273">
        <f t="shared" ref="K244:K249" si="43">H244+J244</f>
        <v>37490</v>
      </c>
      <c r="L244" s="2000" t="s">
        <v>2667</v>
      </c>
      <c r="N244" s="1199">
        <v>391.8</v>
      </c>
      <c r="O244" s="1199">
        <f t="shared" si="42"/>
        <v>131</v>
      </c>
    </row>
    <row r="245" spans="1:17" s="1199" customFormat="1" ht="24" customHeight="1">
      <c r="A245" s="1331"/>
      <c r="B245" s="2174" t="s">
        <v>1339</v>
      </c>
      <c r="C245" s="1202"/>
      <c r="D245" s="1202"/>
      <c r="E245" s="1270"/>
      <c r="F245" s="1358" t="s">
        <v>226</v>
      </c>
      <c r="G245" s="2176">
        <v>160</v>
      </c>
      <c r="H245" s="1264">
        <f t="shared" si="40"/>
        <v>0</v>
      </c>
      <c r="I245" s="2177">
        <v>38</v>
      </c>
      <c r="J245" s="1264">
        <f t="shared" si="41"/>
        <v>0</v>
      </c>
      <c r="K245" s="1273">
        <f t="shared" si="43"/>
        <v>0</v>
      </c>
      <c r="L245" s="2000" t="s">
        <v>2667</v>
      </c>
      <c r="N245" s="1199">
        <v>481.2</v>
      </c>
      <c r="O245" s="1199">
        <f t="shared" si="42"/>
        <v>160</v>
      </c>
    </row>
    <row r="246" spans="1:17" s="1199" customFormat="1" ht="24" customHeight="1">
      <c r="A246" s="1331"/>
      <c r="B246" s="2174" t="s">
        <v>1340</v>
      </c>
      <c r="C246" s="1202"/>
      <c r="D246" s="1202"/>
      <c r="E246" s="1270"/>
      <c r="F246" s="1358" t="s">
        <v>226</v>
      </c>
      <c r="G246" s="2176">
        <v>219</v>
      </c>
      <c r="H246" s="1264">
        <f t="shared" si="40"/>
        <v>0</v>
      </c>
      <c r="I246" s="2177">
        <v>42</v>
      </c>
      <c r="J246" s="1264">
        <f t="shared" si="41"/>
        <v>0</v>
      </c>
      <c r="K246" s="1273">
        <f t="shared" si="43"/>
        <v>0</v>
      </c>
      <c r="L246" s="2000" t="s">
        <v>2667</v>
      </c>
      <c r="N246" s="1199">
        <v>657.6</v>
      </c>
      <c r="O246" s="1199">
        <f t="shared" si="42"/>
        <v>219</v>
      </c>
    </row>
    <row r="247" spans="1:17" s="1199" customFormat="1" ht="24" customHeight="1">
      <c r="A247" s="1331"/>
      <c r="B247" s="2174" t="s">
        <v>1341</v>
      </c>
      <c r="C247" s="1202"/>
      <c r="D247" s="1202"/>
      <c r="E247" s="1270"/>
      <c r="F247" s="1358" t="s">
        <v>226</v>
      </c>
      <c r="G247" s="2176">
        <v>352</v>
      </c>
      <c r="H247" s="1264">
        <f t="shared" si="40"/>
        <v>0</v>
      </c>
      <c r="I247" s="2177">
        <v>48</v>
      </c>
      <c r="J247" s="1264">
        <f t="shared" si="41"/>
        <v>0</v>
      </c>
      <c r="K247" s="1273">
        <f t="shared" si="43"/>
        <v>0</v>
      </c>
      <c r="L247" s="1269"/>
    </row>
    <row r="248" spans="1:17" s="1199" customFormat="1" ht="24" customHeight="1">
      <c r="A248" s="1331"/>
      <c r="B248" s="2174" t="s">
        <v>1342</v>
      </c>
      <c r="C248" s="1202"/>
      <c r="D248" s="1202"/>
      <c r="E248" s="1270"/>
      <c r="F248" s="1358" t="s">
        <v>226</v>
      </c>
      <c r="G248" s="2176">
        <v>434</v>
      </c>
      <c r="H248" s="1264">
        <f t="shared" si="40"/>
        <v>0</v>
      </c>
      <c r="I248" s="2177">
        <v>55</v>
      </c>
      <c r="J248" s="1264">
        <f t="shared" si="41"/>
        <v>0</v>
      </c>
      <c r="K248" s="1273">
        <f t="shared" si="43"/>
        <v>0</v>
      </c>
      <c r="L248" s="1269"/>
    </row>
    <row r="249" spans="1:17" s="1199" customFormat="1" ht="24" customHeight="1">
      <c r="A249" s="1331"/>
      <c r="B249" s="2174" t="s">
        <v>1111</v>
      </c>
      <c r="C249" s="1202"/>
      <c r="D249" s="1202"/>
      <c r="E249" s="1270"/>
      <c r="F249" s="1358" t="s">
        <v>226</v>
      </c>
      <c r="G249" s="2176">
        <v>572</v>
      </c>
      <c r="H249" s="1264">
        <f t="shared" si="40"/>
        <v>0</v>
      </c>
      <c r="I249" s="2177">
        <v>65</v>
      </c>
      <c r="J249" s="1264">
        <f t="shared" si="41"/>
        <v>0</v>
      </c>
      <c r="K249" s="1273">
        <f t="shared" si="43"/>
        <v>0</v>
      </c>
      <c r="L249" s="1269"/>
    </row>
    <row r="250" spans="1:17" s="1199" customFormat="1" ht="24" customHeight="1">
      <c r="A250" s="1331"/>
      <c r="B250" s="2174" t="s">
        <v>1108</v>
      </c>
      <c r="C250" s="1202"/>
      <c r="D250" s="1202"/>
      <c r="E250" s="1404">
        <v>1</v>
      </c>
      <c r="F250" s="1384" t="s">
        <v>1104</v>
      </c>
      <c r="G250" s="2176">
        <f>ROUND(SUM(H241:H249)*15%,0)</f>
        <v>6944</v>
      </c>
      <c r="H250" s="1264">
        <f t="shared" si="40"/>
        <v>6944</v>
      </c>
      <c r="I250" s="2177">
        <f>ROUND(ROUND(G250*0.3,),0)</f>
        <v>2083</v>
      </c>
      <c r="J250" s="1264">
        <f t="shared" si="41"/>
        <v>2083</v>
      </c>
      <c r="K250" s="1273">
        <f>H250+J250</f>
        <v>9027</v>
      </c>
      <c r="L250" s="1385"/>
      <c r="M250" s="1214"/>
      <c r="N250" s="1214"/>
      <c r="O250" s="1214"/>
      <c r="P250" s="1214"/>
      <c r="Q250" s="1214"/>
    </row>
    <row r="251" spans="1:17" s="1199" customFormat="1" ht="24" customHeight="1">
      <c r="A251" s="1331" t="s">
        <v>1621</v>
      </c>
      <c r="B251" s="2174" t="s">
        <v>1449</v>
      </c>
      <c r="C251" s="1202"/>
      <c r="D251" s="1202"/>
      <c r="E251" s="1404"/>
      <c r="F251" s="1384"/>
      <c r="G251" s="2176"/>
      <c r="H251" s="1264">
        <f t="shared" si="40"/>
        <v>0</v>
      </c>
      <c r="I251" s="2177"/>
      <c r="J251" s="1264">
        <f t="shared" si="41"/>
        <v>0</v>
      </c>
      <c r="K251" s="1385"/>
      <c r="L251" s="1385"/>
      <c r="M251" s="1214"/>
      <c r="N251" s="1214"/>
      <c r="O251" s="1214"/>
      <c r="P251" s="1214"/>
      <c r="Q251" s="1214"/>
    </row>
    <row r="252" spans="1:17" s="1199" customFormat="1" ht="24" customHeight="1">
      <c r="A252" s="1331"/>
      <c r="B252" s="2174" t="s">
        <v>1350</v>
      </c>
      <c r="C252" s="1202"/>
      <c r="D252" s="1202"/>
      <c r="E252" s="1404">
        <v>31</v>
      </c>
      <c r="F252" s="1358" t="s">
        <v>226</v>
      </c>
      <c r="G252" s="2176">
        <v>14</v>
      </c>
      <c r="H252" s="1264">
        <f t="shared" si="40"/>
        <v>434</v>
      </c>
      <c r="I252" s="2177">
        <v>11</v>
      </c>
      <c r="J252" s="1264">
        <f t="shared" si="41"/>
        <v>341</v>
      </c>
      <c r="K252" s="1273">
        <f>H252+J252</f>
        <v>775</v>
      </c>
      <c r="L252" s="1385"/>
      <c r="M252" s="1214"/>
      <c r="N252" s="1214"/>
      <c r="O252" s="1214"/>
      <c r="P252" s="1214"/>
      <c r="Q252" s="1214"/>
    </row>
    <row r="253" spans="1:17" s="1199" customFormat="1" ht="24" customHeight="1">
      <c r="A253" s="1331"/>
      <c r="B253" s="1190" t="s">
        <v>1117</v>
      </c>
      <c r="C253" s="1202"/>
      <c r="D253" s="1202"/>
      <c r="E253" s="1387"/>
      <c r="F253" s="1384"/>
      <c r="G253" s="2176"/>
      <c r="H253" s="1388"/>
      <c r="I253" s="2177"/>
      <c r="J253" s="1385"/>
      <c r="K253" s="1385"/>
      <c r="L253" s="1385"/>
      <c r="M253" s="1214"/>
      <c r="N253" s="1214"/>
      <c r="O253" s="1214"/>
      <c r="P253" s="1214"/>
      <c r="Q253" s="1214"/>
    </row>
    <row r="254" spans="1:17" s="1199" customFormat="1" ht="24" customHeight="1">
      <c r="A254" s="1243"/>
      <c r="B254" s="2257" t="str">
        <f>"รวมราคารายการที่ "&amp;A234</f>
        <v>รวมราคารายการที่ 3.5</v>
      </c>
      <c r="C254" s="2258"/>
      <c r="D254" s="2259"/>
      <c r="E254" s="1244"/>
      <c r="F254" s="1245"/>
      <c r="G254" s="1246"/>
      <c r="H254" s="1247">
        <f>SUM(H235:H253)</f>
        <v>107080</v>
      </c>
      <c r="I254" s="1246"/>
      <c r="J254" s="1247">
        <f>SUM(J235:J253)</f>
        <v>52164</v>
      </c>
      <c r="K254" s="1247">
        <f>SUM(K235:K253)</f>
        <v>159244</v>
      </c>
      <c r="L254" s="1245"/>
      <c r="M254" s="1214"/>
      <c r="N254" s="1214"/>
      <c r="O254" s="1214"/>
      <c r="P254" s="1214"/>
      <c r="Q254" s="1214"/>
    </row>
    <row r="255" spans="1:17" s="1199" customFormat="1" ht="24" customHeight="1">
      <c r="A255" s="1483" t="s">
        <v>1465</v>
      </c>
      <c r="B255" s="1249" t="s">
        <v>1451</v>
      </c>
      <c r="C255" s="1492"/>
      <c r="D255" s="1492"/>
      <c r="E255" s="1493"/>
      <c r="F255" s="1494"/>
      <c r="G255" s="1495"/>
      <c r="H255" s="1496"/>
      <c r="I255" s="1497"/>
      <c r="J255" s="1498"/>
      <c r="K255" s="1498"/>
      <c r="L255" s="1498"/>
      <c r="M255" s="1214"/>
      <c r="N255" s="1214"/>
      <c r="O255" s="1214"/>
      <c r="P255" s="1214"/>
      <c r="Q255" s="1214"/>
    </row>
    <row r="256" spans="1:17" s="1199" customFormat="1" ht="24" customHeight="1">
      <c r="A256" s="1331" t="s">
        <v>1207</v>
      </c>
      <c r="B256" s="2174" t="s">
        <v>1451</v>
      </c>
      <c r="C256" s="1202"/>
      <c r="D256" s="1202"/>
      <c r="E256" s="1387"/>
      <c r="F256" s="1384"/>
      <c r="G256" s="2176"/>
      <c r="H256" s="1388"/>
      <c r="I256" s="2177"/>
      <c r="J256" s="1385"/>
      <c r="K256" s="1385"/>
      <c r="L256" s="1385"/>
      <c r="M256" s="1214"/>
      <c r="N256" s="1214"/>
      <c r="O256" s="1214"/>
      <c r="P256" s="1214"/>
      <c r="Q256" s="1214"/>
    </row>
    <row r="257" spans="1:17" s="1199" customFormat="1" ht="24" customHeight="1">
      <c r="A257" s="1331"/>
      <c r="B257" s="2174" t="s">
        <v>1452</v>
      </c>
      <c r="C257" s="1202"/>
      <c r="D257" s="1202"/>
      <c r="E257" s="1387">
        <v>16</v>
      </c>
      <c r="F257" s="1207" t="s">
        <v>363</v>
      </c>
      <c r="G257" s="2176">
        <v>90</v>
      </c>
      <c r="H257" s="1264">
        <f t="shared" ref="H257:H264" si="44">ROUND(E257*G257,)</f>
        <v>1440</v>
      </c>
      <c r="I257" s="2177">
        <v>80</v>
      </c>
      <c r="J257" s="1264">
        <f t="shared" ref="J257:J264" si="45">ROUND(E257*I257,)</f>
        <v>1280</v>
      </c>
      <c r="K257" s="1273">
        <f t="shared" ref="K257:K264" si="46">H257+J257</f>
        <v>2720</v>
      </c>
      <c r="L257" s="1389"/>
      <c r="M257" s="1214"/>
      <c r="N257" s="1214"/>
      <c r="O257" s="1214"/>
    </row>
    <row r="258" spans="1:17" s="1199" customFormat="1" ht="24" customHeight="1">
      <c r="A258" s="1331"/>
      <c r="B258" s="2174" t="s">
        <v>1453</v>
      </c>
      <c r="C258" s="1202"/>
      <c r="D258" s="1202"/>
      <c r="E258" s="1387"/>
      <c r="F258" s="1207" t="s">
        <v>363</v>
      </c>
      <c r="G258" s="2176">
        <v>130</v>
      </c>
      <c r="H258" s="1264">
        <f t="shared" si="44"/>
        <v>0</v>
      </c>
      <c r="I258" s="2177">
        <v>90</v>
      </c>
      <c r="J258" s="1264">
        <f t="shared" si="45"/>
        <v>0</v>
      </c>
      <c r="K258" s="1273">
        <f t="shared" si="46"/>
        <v>0</v>
      </c>
      <c r="L258" s="1389"/>
      <c r="M258" s="1214"/>
      <c r="N258" s="1214"/>
      <c r="O258" s="1214"/>
    </row>
    <row r="259" spans="1:17" s="1199" customFormat="1" ht="24" customHeight="1">
      <c r="A259" s="1331"/>
      <c r="B259" s="2174" t="s">
        <v>1454</v>
      </c>
      <c r="C259" s="1202"/>
      <c r="D259" s="1202"/>
      <c r="E259" s="1387"/>
      <c r="F259" s="1207" t="s">
        <v>363</v>
      </c>
      <c r="G259" s="2176">
        <v>240</v>
      </c>
      <c r="H259" s="1264">
        <f t="shared" si="44"/>
        <v>0</v>
      </c>
      <c r="I259" s="2177">
        <v>90</v>
      </c>
      <c r="J259" s="1264">
        <f t="shared" si="45"/>
        <v>0</v>
      </c>
      <c r="K259" s="1273">
        <f t="shared" si="46"/>
        <v>0</v>
      </c>
      <c r="L259" s="1389"/>
      <c r="M259" s="1214"/>
      <c r="N259" s="1214"/>
      <c r="O259" s="1214"/>
    </row>
    <row r="260" spans="1:17" s="1199" customFormat="1" ht="24" customHeight="1">
      <c r="A260" s="1331"/>
      <c r="B260" s="2174" t="s">
        <v>1455</v>
      </c>
      <c r="C260" s="1202"/>
      <c r="D260" s="1202"/>
      <c r="E260" s="1387"/>
      <c r="F260" s="1207" t="s">
        <v>363</v>
      </c>
      <c r="G260" s="2176">
        <v>162</v>
      </c>
      <c r="H260" s="1264">
        <f t="shared" si="44"/>
        <v>0</v>
      </c>
      <c r="I260" s="2177">
        <v>90</v>
      </c>
      <c r="J260" s="1264">
        <f t="shared" si="45"/>
        <v>0</v>
      </c>
      <c r="K260" s="1273">
        <f t="shared" si="46"/>
        <v>0</v>
      </c>
      <c r="L260" s="1389"/>
      <c r="M260" s="1214"/>
      <c r="N260" s="1214"/>
      <c r="O260" s="1214"/>
    </row>
    <row r="261" spans="1:17" s="1199" customFormat="1" ht="24" customHeight="1">
      <c r="A261" s="1331"/>
      <c r="B261" s="2174" t="s">
        <v>1456</v>
      </c>
      <c r="C261" s="1202"/>
      <c r="D261" s="1202"/>
      <c r="E261" s="1387">
        <v>32</v>
      </c>
      <c r="F261" s="1207" t="s">
        <v>363</v>
      </c>
      <c r="G261" s="2176">
        <v>197</v>
      </c>
      <c r="H261" s="1264">
        <f t="shared" si="44"/>
        <v>6304</v>
      </c>
      <c r="I261" s="2177">
        <v>90</v>
      </c>
      <c r="J261" s="1264">
        <f t="shared" si="45"/>
        <v>2880</v>
      </c>
      <c r="K261" s="1273">
        <f t="shared" si="46"/>
        <v>9184</v>
      </c>
      <c r="L261" s="1389"/>
      <c r="M261" s="1214"/>
      <c r="N261" s="1214"/>
      <c r="O261" s="1214"/>
    </row>
    <row r="262" spans="1:17" s="1199" customFormat="1" ht="24" customHeight="1">
      <c r="A262" s="1331"/>
      <c r="B262" s="2174" t="s">
        <v>1457</v>
      </c>
      <c r="C262" s="1202"/>
      <c r="D262" s="1202"/>
      <c r="E262" s="1387"/>
      <c r="F262" s="1207" t="s">
        <v>363</v>
      </c>
      <c r="G262" s="2176">
        <v>1500</v>
      </c>
      <c r="H262" s="1264">
        <f t="shared" si="44"/>
        <v>0</v>
      </c>
      <c r="I262" s="2177">
        <v>265</v>
      </c>
      <c r="J262" s="1264">
        <f t="shared" si="45"/>
        <v>0</v>
      </c>
      <c r="K262" s="1385">
        <f t="shared" si="46"/>
        <v>0</v>
      </c>
      <c r="L262" s="1389"/>
      <c r="M262" s="1214"/>
      <c r="N262" s="1214"/>
      <c r="O262" s="1214"/>
    </row>
    <row r="263" spans="1:17" s="1199" customFormat="1" ht="24" customHeight="1">
      <c r="A263" s="1331"/>
      <c r="B263" s="2174" t="s">
        <v>1458</v>
      </c>
      <c r="C263" s="1202"/>
      <c r="D263" s="1202"/>
      <c r="E263" s="1387"/>
      <c r="F263" s="1207" t="s">
        <v>363</v>
      </c>
      <c r="G263" s="2176">
        <v>518</v>
      </c>
      <c r="H263" s="1264">
        <f t="shared" si="44"/>
        <v>0</v>
      </c>
      <c r="I263" s="2177">
        <v>115</v>
      </c>
      <c r="J263" s="1264">
        <f t="shared" si="45"/>
        <v>0</v>
      </c>
      <c r="K263" s="1273">
        <f t="shared" si="46"/>
        <v>0</v>
      </c>
      <c r="L263" s="1389"/>
      <c r="M263" s="1214"/>
      <c r="N263" s="1214"/>
      <c r="O263" s="1214"/>
    </row>
    <row r="264" spans="1:17" s="1199" customFormat="1" ht="24" customHeight="1">
      <c r="A264" s="1331"/>
      <c r="B264" s="2174" t="s">
        <v>1459</v>
      </c>
      <c r="C264" s="1202"/>
      <c r="D264" s="1202"/>
      <c r="E264" s="1387"/>
      <c r="F264" s="1207" t="s">
        <v>363</v>
      </c>
      <c r="G264" s="2176">
        <v>850</v>
      </c>
      <c r="H264" s="1264">
        <f t="shared" si="44"/>
        <v>0</v>
      </c>
      <c r="I264" s="2177">
        <v>265</v>
      </c>
      <c r="J264" s="1264">
        <f t="shared" si="45"/>
        <v>0</v>
      </c>
      <c r="K264" s="1273">
        <f t="shared" si="46"/>
        <v>0</v>
      </c>
      <c r="L264" s="1389"/>
      <c r="M264" s="1214"/>
      <c r="N264" s="1214"/>
      <c r="O264" s="1214"/>
    </row>
    <row r="265" spans="1:17" s="1199" customFormat="1" ht="24" customHeight="1">
      <c r="A265" s="1331" t="s">
        <v>1229</v>
      </c>
      <c r="B265" s="2174" t="s">
        <v>1460</v>
      </c>
      <c r="C265" s="1202"/>
      <c r="D265" s="1202"/>
      <c r="E265" s="1404">
        <v>6</v>
      </c>
      <c r="F265" s="1207" t="s">
        <v>363</v>
      </c>
      <c r="G265" s="2176">
        <v>130</v>
      </c>
      <c r="H265" s="1264">
        <f>ROUND(E265*G265,)</f>
        <v>780</v>
      </c>
      <c r="I265" s="2177">
        <v>90</v>
      </c>
      <c r="J265" s="1264">
        <f>ROUND(E265*I265,)</f>
        <v>540</v>
      </c>
      <c r="K265" s="1273">
        <f>H265+J265</f>
        <v>1320</v>
      </c>
      <c r="L265" s="1385"/>
      <c r="M265" s="1214"/>
      <c r="N265" s="1214"/>
      <c r="O265" s="1214"/>
      <c r="P265" s="1214"/>
    </row>
    <row r="266" spans="1:17" s="1199" customFormat="1" ht="24" customHeight="1">
      <c r="A266" s="1331" t="s">
        <v>1234</v>
      </c>
      <c r="B266" s="2174" t="s">
        <v>1598</v>
      </c>
      <c r="C266" s="1202"/>
      <c r="D266" s="1202"/>
      <c r="E266" s="1404"/>
      <c r="F266" s="1207"/>
      <c r="G266" s="2176"/>
      <c r="H266" s="1264"/>
      <c r="I266" s="2177"/>
      <c r="J266" s="1264"/>
      <c r="K266" s="1273"/>
      <c r="L266" s="1385"/>
      <c r="M266" s="1214"/>
      <c r="N266" s="1214"/>
      <c r="O266" s="1214"/>
      <c r="P266" s="1214"/>
    </row>
    <row r="267" spans="1:17" s="1199" customFormat="1" ht="24" customHeight="1">
      <c r="A267" s="1331"/>
      <c r="B267" s="2174" t="s">
        <v>1599</v>
      </c>
      <c r="C267" s="1202"/>
      <c r="D267" s="1202"/>
      <c r="E267" s="1404"/>
      <c r="F267" s="1207" t="s">
        <v>363</v>
      </c>
      <c r="G267" s="2176">
        <v>5000</v>
      </c>
      <c r="H267" s="1264">
        <f t="shared" ref="H267:H269" si="47">ROUND(E267*G267,)</f>
        <v>0</v>
      </c>
      <c r="I267" s="2177">
        <v>500</v>
      </c>
      <c r="J267" s="1264">
        <f t="shared" ref="J267:J269" si="48">ROUND(E267*I267,)</f>
        <v>0</v>
      </c>
      <c r="K267" s="1273">
        <f t="shared" ref="K267:K269" si="49">H267+J267</f>
        <v>0</v>
      </c>
      <c r="L267" s="1385"/>
      <c r="M267" s="1214"/>
      <c r="N267" s="1214"/>
      <c r="O267" s="1214"/>
      <c r="P267" s="1214"/>
    </row>
    <row r="268" spans="1:17" s="1199" customFormat="1" ht="24" customHeight="1">
      <c r="A268" s="1331"/>
      <c r="B268" s="2174" t="s">
        <v>1600</v>
      </c>
      <c r="C268" s="1202"/>
      <c r="D268" s="1202"/>
      <c r="E268" s="1404"/>
      <c r="F268" s="1207" t="s">
        <v>363</v>
      </c>
      <c r="G268" s="2176">
        <v>5000</v>
      </c>
      <c r="H268" s="1264">
        <f t="shared" si="47"/>
        <v>0</v>
      </c>
      <c r="I268" s="2177">
        <v>500</v>
      </c>
      <c r="J268" s="1264">
        <f t="shared" si="48"/>
        <v>0</v>
      </c>
      <c r="K268" s="1273">
        <f t="shared" si="49"/>
        <v>0</v>
      </c>
      <c r="L268" s="1385"/>
      <c r="M268" s="1214"/>
      <c r="N268" s="1214"/>
      <c r="O268" s="1214"/>
      <c r="P268" s="1214"/>
    </row>
    <row r="269" spans="1:17" s="1199" customFormat="1" ht="24" customHeight="1">
      <c r="A269" s="1331"/>
      <c r="B269" s="2174" t="s">
        <v>1601</v>
      </c>
      <c r="C269" s="1202"/>
      <c r="D269" s="1202"/>
      <c r="E269" s="1404">
        <v>2</v>
      </c>
      <c r="F269" s="1207" t="s">
        <v>363</v>
      </c>
      <c r="G269" s="2176">
        <v>5000</v>
      </c>
      <c r="H269" s="1264">
        <f t="shared" si="47"/>
        <v>10000</v>
      </c>
      <c r="I269" s="2177">
        <v>500</v>
      </c>
      <c r="J269" s="1264">
        <f t="shared" si="48"/>
        <v>1000</v>
      </c>
      <c r="K269" s="1273">
        <f t="shared" si="49"/>
        <v>11000</v>
      </c>
      <c r="L269" s="1385"/>
      <c r="M269" s="1214"/>
      <c r="N269" s="1214"/>
      <c r="O269" s="1214"/>
      <c r="P269" s="1214"/>
    </row>
    <row r="270" spans="1:17" s="1199" customFormat="1" ht="24" customHeight="1">
      <c r="A270" s="1331"/>
      <c r="B270" s="2174" t="s">
        <v>1117</v>
      </c>
      <c r="C270" s="1202"/>
      <c r="D270" s="1202"/>
      <c r="E270" s="1387"/>
      <c r="F270" s="1384"/>
      <c r="G270" s="2176"/>
      <c r="H270" s="1388"/>
      <c r="I270" s="2177"/>
      <c r="J270" s="1385"/>
      <c r="K270" s="1385"/>
      <c r="L270" s="1385"/>
      <c r="M270" s="1214"/>
      <c r="N270" s="1214"/>
      <c r="O270" s="1214"/>
      <c r="P270" s="1214"/>
      <c r="Q270" s="1214"/>
    </row>
    <row r="271" spans="1:17" s="1199" customFormat="1" ht="24" customHeight="1">
      <c r="A271" s="1331"/>
      <c r="B271" s="2174" t="s">
        <v>1118</v>
      </c>
      <c r="C271" s="1202"/>
      <c r="D271" s="1202"/>
      <c r="E271" s="1387"/>
      <c r="F271" s="1384"/>
      <c r="G271" s="2176"/>
      <c r="H271" s="1388"/>
      <c r="I271" s="2177"/>
      <c r="J271" s="1385"/>
      <c r="K271" s="1385"/>
      <c r="L271" s="1385"/>
      <c r="M271" s="1214"/>
      <c r="N271" s="1214"/>
      <c r="O271" s="1214"/>
      <c r="P271" s="1214"/>
      <c r="Q271" s="1214"/>
    </row>
    <row r="272" spans="1:17" s="1199" customFormat="1" ht="24" customHeight="1">
      <c r="A272" s="1331"/>
      <c r="B272" s="2174" t="s">
        <v>1118</v>
      </c>
      <c r="C272" s="1202"/>
      <c r="D272" s="1202"/>
      <c r="E272" s="1387"/>
      <c r="F272" s="1384"/>
      <c r="G272" s="2176"/>
      <c r="H272" s="1388"/>
      <c r="I272" s="2177"/>
      <c r="J272" s="1385"/>
      <c r="K272" s="1385"/>
      <c r="L272" s="1385"/>
      <c r="M272" s="1214"/>
      <c r="N272" s="1214"/>
      <c r="O272" s="1214"/>
      <c r="P272" s="1214"/>
      <c r="Q272" s="1214"/>
    </row>
    <row r="273" spans="1:17" s="1199" customFormat="1" ht="24" customHeight="1">
      <c r="A273" s="1417"/>
      <c r="B273" s="1499"/>
      <c r="C273" s="1419"/>
      <c r="D273" s="1419"/>
      <c r="E273" s="1420"/>
      <c r="F273" s="1421"/>
      <c r="G273" s="1422"/>
      <c r="H273" s="1423"/>
      <c r="I273" s="1424"/>
      <c r="J273" s="1500"/>
      <c r="K273" s="1500"/>
      <c r="L273" s="1500"/>
      <c r="M273" s="1214"/>
      <c r="N273" s="1214"/>
      <c r="O273" s="1214"/>
      <c r="P273" s="1214"/>
      <c r="Q273" s="1214"/>
    </row>
    <row r="274" spans="1:17" s="1199" customFormat="1" ht="24" customHeight="1">
      <c r="A274" s="1243"/>
      <c r="B274" s="2257" t="str">
        <f>"รวมราคารายการที่ "&amp;A255</f>
        <v>รวมราคารายการที่ 3.6</v>
      </c>
      <c r="C274" s="2258"/>
      <c r="D274" s="2259"/>
      <c r="E274" s="1244"/>
      <c r="F274" s="1245"/>
      <c r="G274" s="1246"/>
      <c r="H274" s="1247">
        <f>SUM(H256:H273)</f>
        <v>18524</v>
      </c>
      <c r="I274" s="1246"/>
      <c r="J274" s="1247">
        <f t="shared" ref="J274:K274" si="50">SUM(J256:J273)</f>
        <v>5700</v>
      </c>
      <c r="K274" s="1247">
        <f t="shared" si="50"/>
        <v>24224</v>
      </c>
      <c r="L274" s="1245"/>
      <c r="M274" s="1214"/>
      <c r="N274" s="1214"/>
      <c r="O274" s="1214"/>
      <c r="P274" s="1214"/>
      <c r="Q274" s="1214"/>
    </row>
    <row r="275" spans="1:17" s="1199" customFormat="1" ht="24" customHeight="1">
      <c r="A275" s="1483">
        <v>3.7</v>
      </c>
      <c r="B275" s="1249" t="s">
        <v>1466</v>
      </c>
      <c r="C275" s="1492"/>
      <c r="D275" s="1492"/>
      <c r="E275" s="1493"/>
      <c r="F275" s="1501"/>
      <c r="G275" s="1495"/>
      <c r="H275" s="1255"/>
      <c r="I275" s="1497"/>
      <c r="J275" s="1255"/>
      <c r="K275" s="1502"/>
      <c r="L275" s="1498"/>
      <c r="M275" s="1214"/>
      <c r="N275" s="1214"/>
      <c r="O275" s="1214"/>
      <c r="P275" s="1214"/>
      <c r="Q275" s="1214"/>
    </row>
    <row r="276" spans="1:17" s="1199" customFormat="1" ht="24" customHeight="1">
      <c r="A276" s="1339"/>
      <c r="B276" s="1259" t="s">
        <v>1467</v>
      </c>
      <c r="C276" s="1202"/>
      <c r="D276" s="1202"/>
      <c r="E276" s="1404">
        <v>12</v>
      </c>
      <c r="F276" s="1267" t="s">
        <v>363</v>
      </c>
      <c r="G276" s="1386">
        <v>420</v>
      </c>
      <c r="H276" s="1343">
        <f t="shared" ref="H276:H299" si="51">ROUND(E276*G276,)</f>
        <v>5040</v>
      </c>
      <c r="I276" s="1414">
        <v>115</v>
      </c>
      <c r="J276" s="1343">
        <f t="shared" ref="J276:J299" si="52">ROUND(E276*I276,)</f>
        <v>1380</v>
      </c>
      <c r="K276" s="1262">
        <f t="shared" ref="K276:K299" si="53">H276+J276</f>
        <v>6420</v>
      </c>
      <c r="L276" s="1415"/>
      <c r="M276" s="1214"/>
      <c r="N276" s="1214"/>
      <c r="O276" s="1214"/>
      <c r="P276" s="1214"/>
    </row>
    <row r="277" spans="1:17" s="1199" customFormat="1" ht="24" customHeight="1">
      <c r="A277" s="1339"/>
      <c r="B277" s="1259" t="s">
        <v>1468</v>
      </c>
      <c r="C277" s="1202"/>
      <c r="D277" s="1202"/>
      <c r="E277" s="1404">
        <v>31</v>
      </c>
      <c r="F277" s="1267" t="s">
        <v>363</v>
      </c>
      <c r="G277" s="1386">
        <v>500</v>
      </c>
      <c r="H277" s="1343">
        <f t="shared" si="51"/>
        <v>15500</v>
      </c>
      <c r="I277" s="1414">
        <v>115</v>
      </c>
      <c r="J277" s="1343">
        <f t="shared" si="52"/>
        <v>3565</v>
      </c>
      <c r="K277" s="1262">
        <f t="shared" si="53"/>
        <v>19065</v>
      </c>
      <c r="L277" s="1415"/>
      <c r="M277" s="1214"/>
      <c r="N277" s="1214"/>
      <c r="O277" s="1214"/>
      <c r="P277" s="1214"/>
    </row>
    <row r="278" spans="1:17" s="1199" customFormat="1" ht="24" customHeight="1">
      <c r="A278" s="1339"/>
      <c r="B278" s="1259" t="s">
        <v>1469</v>
      </c>
      <c r="C278" s="1202"/>
      <c r="D278" s="1202"/>
      <c r="E278" s="1404">
        <v>21</v>
      </c>
      <c r="F278" s="1267" t="s">
        <v>363</v>
      </c>
      <c r="G278" s="1386">
        <v>550</v>
      </c>
      <c r="H278" s="1343">
        <f t="shared" si="51"/>
        <v>11550</v>
      </c>
      <c r="I278" s="1414">
        <v>115</v>
      </c>
      <c r="J278" s="1343">
        <f t="shared" si="52"/>
        <v>2415</v>
      </c>
      <c r="K278" s="1262">
        <f t="shared" si="53"/>
        <v>13965</v>
      </c>
      <c r="L278" s="1415"/>
      <c r="M278" s="1214"/>
      <c r="N278" s="1214"/>
      <c r="O278" s="1214"/>
      <c r="P278" s="1214"/>
    </row>
    <row r="279" spans="1:17" s="1199" customFormat="1" ht="24" customHeight="1">
      <c r="A279" s="1339"/>
      <c r="B279" s="1259" t="s">
        <v>1470</v>
      </c>
      <c r="C279" s="1202"/>
      <c r="D279" s="1202"/>
      <c r="E279" s="1404"/>
      <c r="F279" s="1267" t="s">
        <v>363</v>
      </c>
      <c r="G279" s="1386">
        <v>750</v>
      </c>
      <c r="H279" s="1343">
        <f t="shared" si="51"/>
        <v>0</v>
      </c>
      <c r="I279" s="1414">
        <v>135</v>
      </c>
      <c r="J279" s="1343">
        <f t="shared" si="52"/>
        <v>0</v>
      </c>
      <c r="K279" s="1262">
        <f t="shared" si="53"/>
        <v>0</v>
      </c>
      <c r="L279" s="1415"/>
      <c r="M279" s="1214"/>
      <c r="N279" s="1214"/>
      <c r="O279" s="1214"/>
      <c r="P279" s="1214"/>
    </row>
    <row r="280" spans="1:17" s="1199" customFormat="1" ht="24" customHeight="1">
      <c r="A280" s="1339"/>
      <c r="B280" s="1259" t="s">
        <v>1471</v>
      </c>
      <c r="C280" s="1202"/>
      <c r="D280" s="1202"/>
      <c r="E280" s="1404"/>
      <c r="F280" s="1267" t="s">
        <v>363</v>
      </c>
      <c r="G280" s="1386">
        <v>1550</v>
      </c>
      <c r="H280" s="1343">
        <f t="shared" si="51"/>
        <v>0</v>
      </c>
      <c r="I280" s="1414">
        <v>135</v>
      </c>
      <c r="J280" s="1343">
        <f t="shared" si="52"/>
        <v>0</v>
      </c>
      <c r="K280" s="1262">
        <f t="shared" si="53"/>
        <v>0</v>
      </c>
      <c r="L280" s="1415"/>
      <c r="M280" s="1214"/>
      <c r="N280" s="1214"/>
      <c r="O280" s="1214"/>
      <c r="P280" s="1214"/>
    </row>
    <row r="281" spans="1:17" s="1199" customFormat="1" ht="24" customHeight="1">
      <c r="A281" s="1339"/>
      <c r="B281" s="1259" t="s">
        <v>1472</v>
      </c>
      <c r="C281" s="1202"/>
      <c r="D281" s="1202"/>
      <c r="E281" s="1404">
        <v>5</v>
      </c>
      <c r="F281" s="1267" t="s">
        <v>363</v>
      </c>
      <c r="G281" s="1386">
        <v>2090</v>
      </c>
      <c r="H281" s="1343">
        <f t="shared" si="51"/>
        <v>10450</v>
      </c>
      <c r="I281" s="1414">
        <v>135</v>
      </c>
      <c r="J281" s="1343">
        <f t="shared" si="52"/>
        <v>675</v>
      </c>
      <c r="K281" s="1262">
        <f t="shared" si="53"/>
        <v>11125</v>
      </c>
      <c r="L281" s="1415"/>
      <c r="M281" s="1214"/>
      <c r="N281" s="1214"/>
      <c r="O281" s="1214"/>
      <c r="P281" s="1214"/>
    </row>
    <row r="282" spans="1:17" s="1199" customFormat="1" ht="24" customHeight="1">
      <c r="A282" s="1339"/>
      <c r="B282" s="1259" t="s">
        <v>1473</v>
      </c>
      <c r="C282" s="1202"/>
      <c r="D282" s="1202"/>
      <c r="E282" s="1404"/>
      <c r="F282" s="1267" t="s">
        <v>363</v>
      </c>
      <c r="G282" s="1386">
        <v>3750</v>
      </c>
      <c r="H282" s="1343">
        <f t="shared" si="51"/>
        <v>0</v>
      </c>
      <c r="I282" s="1414">
        <v>135</v>
      </c>
      <c r="J282" s="1343">
        <f t="shared" si="52"/>
        <v>0</v>
      </c>
      <c r="K282" s="1262">
        <f t="shared" si="53"/>
        <v>0</v>
      </c>
      <c r="L282" s="1415"/>
      <c r="M282" s="1214"/>
      <c r="N282" s="1214"/>
      <c r="O282" s="1214"/>
      <c r="P282" s="1214"/>
    </row>
    <row r="283" spans="1:17" s="1199" customFormat="1" ht="24" customHeight="1">
      <c r="A283" s="1339"/>
      <c r="B283" s="1259" t="s">
        <v>1474</v>
      </c>
      <c r="C283" s="1202"/>
      <c r="D283" s="1202"/>
      <c r="E283" s="1404"/>
      <c r="F283" s="1267" t="s">
        <v>363</v>
      </c>
      <c r="G283" s="1386">
        <v>2450</v>
      </c>
      <c r="H283" s="1343">
        <f t="shared" si="51"/>
        <v>0</v>
      </c>
      <c r="I283" s="1414">
        <v>135</v>
      </c>
      <c r="J283" s="1343">
        <f t="shared" si="52"/>
        <v>0</v>
      </c>
      <c r="K283" s="1262">
        <f t="shared" si="53"/>
        <v>0</v>
      </c>
      <c r="L283" s="1415"/>
      <c r="M283" s="1214"/>
      <c r="N283" s="1214"/>
      <c r="O283" s="1214"/>
      <c r="P283" s="1214"/>
    </row>
    <row r="284" spans="1:17" s="1199" customFormat="1" ht="24" customHeight="1">
      <c r="A284" s="1339"/>
      <c r="B284" s="1259" t="s">
        <v>1475</v>
      </c>
      <c r="C284" s="1202"/>
      <c r="D284" s="1202"/>
      <c r="E284" s="1404"/>
      <c r="F284" s="1267" t="s">
        <v>363</v>
      </c>
      <c r="G284" s="1386">
        <v>1860</v>
      </c>
      <c r="H284" s="1343">
        <f t="shared" si="51"/>
        <v>0</v>
      </c>
      <c r="I284" s="1414">
        <v>135</v>
      </c>
      <c r="J284" s="1343">
        <f t="shared" si="52"/>
        <v>0</v>
      </c>
      <c r="K284" s="1262">
        <f t="shared" si="53"/>
        <v>0</v>
      </c>
      <c r="L284" s="1415"/>
      <c r="M284" s="1214"/>
      <c r="N284" s="1214"/>
      <c r="O284" s="1214"/>
      <c r="P284" s="1214"/>
    </row>
    <row r="285" spans="1:17" s="1199" customFormat="1" ht="24" customHeight="1">
      <c r="A285" s="1339"/>
      <c r="B285" s="1259" t="s">
        <v>1476</v>
      </c>
      <c r="C285" s="1202"/>
      <c r="D285" s="1202"/>
      <c r="E285" s="1404"/>
      <c r="F285" s="1267" t="s">
        <v>363</v>
      </c>
      <c r="G285" s="1386">
        <v>1200</v>
      </c>
      <c r="H285" s="1343">
        <f t="shared" si="51"/>
        <v>0</v>
      </c>
      <c r="I285" s="1414">
        <v>135</v>
      </c>
      <c r="J285" s="1343">
        <f t="shared" si="52"/>
        <v>0</v>
      </c>
      <c r="K285" s="1262">
        <f t="shared" si="53"/>
        <v>0</v>
      </c>
      <c r="L285" s="1415"/>
      <c r="M285" s="1214"/>
      <c r="N285" s="1214"/>
      <c r="O285" s="1214"/>
      <c r="P285" s="1214"/>
    </row>
    <row r="286" spans="1:17" s="1199" customFormat="1" ht="24" customHeight="1">
      <c r="A286" s="1339"/>
      <c r="B286" s="1259" t="s">
        <v>1477</v>
      </c>
      <c r="C286" s="1202"/>
      <c r="D286" s="1202"/>
      <c r="E286" s="1404"/>
      <c r="F286" s="1267" t="s">
        <v>363</v>
      </c>
      <c r="G286" s="1386">
        <v>1450</v>
      </c>
      <c r="H286" s="1343">
        <f t="shared" si="51"/>
        <v>0</v>
      </c>
      <c r="I286" s="1414">
        <v>135</v>
      </c>
      <c r="J286" s="1343">
        <f t="shared" si="52"/>
        <v>0</v>
      </c>
      <c r="K286" s="1262">
        <f t="shared" si="53"/>
        <v>0</v>
      </c>
      <c r="L286" s="1415"/>
      <c r="M286" s="1214"/>
      <c r="N286" s="1214"/>
      <c r="O286" s="1214"/>
      <c r="P286" s="1214"/>
    </row>
    <row r="287" spans="1:17" s="1199" customFormat="1" ht="24" customHeight="1">
      <c r="A287" s="1339"/>
      <c r="B287" s="1259" t="s">
        <v>1478</v>
      </c>
      <c r="C287" s="1202"/>
      <c r="D287" s="1202"/>
      <c r="E287" s="1404"/>
      <c r="F287" s="1267" t="s">
        <v>363</v>
      </c>
      <c r="G287" s="1386">
        <v>1250</v>
      </c>
      <c r="H287" s="1343">
        <f t="shared" si="51"/>
        <v>0</v>
      </c>
      <c r="I287" s="1414">
        <v>135</v>
      </c>
      <c r="J287" s="1343">
        <f t="shared" si="52"/>
        <v>0</v>
      </c>
      <c r="K287" s="1262">
        <f t="shared" si="53"/>
        <v>0</v>
      </c>
      <c r="L287" s="1415"/>
      <c r="M287" s="1214"/>
      <c r="N287" s="1214"/>
      <c r="O287" s="1214"/>
      <c r="P287" s="1214"/>
    </row>
    <row r="288" spans="1:17" s="1199" customFormat="1" ht="24" customHeight="1">
      <c r="A288" s="1339"/>
      <c r="B288" s="1259" t="s">
        <v>1479</v>
      </c>
      <c r="C288" s="1202"/>
      <c r="D288" s="1202"/>
      <c r="E288" s="1404"/>
      <c r="F288" s="1267" t="s">
        <v>363</v>
      </c>
      <c r="G288" s="1386">
        <v>650</v>
      </c>
      <c r="H288" s="1343">
        <f t="shared" si="51"/>
        <v>0</v>
      </c>
      <c r="I288" s="1414">
        <v>20</v>
      </c>
      <c r="J288" s="1343">
        <f t="shared" si="52"/>
        <v>0</v>
      </c>
      <c r="K288" s="1262">
        <f t="shared" si="53"/>
        <v>0</v>
      </c>
      <c r="L288" s="1415"/>
      <c r="M288" s="1214"/>
      <c r="N288" s="1214"/>
      <c r="O288" s="1214"/>
      <c r="P288" s="1214"/>
    </row>
    <row r="289" spans="1:17" s="1199" customFormat="1" ht="24" customHeight="1">
      <c r="A289" s="1339"/>
      <c r="B289" s="1259" t="s">
        <v>1480</v>
      </c>
      <c r="C289" s="1202"/>
      <c r="D289" s="1202"/>
      <c r="E289" s="1404"/>
      <c r="F289" s="1267" t="s">
        <v>363</v>
      </c>
      <c r="G289" s="1386">
        <v>2565</v>
      </c>
      <c r="H289" s="1343">
        <f t="shared" si="51"/>
        <v>0</v>
      </c>
      <c r="I289" s="1414">
        <v>135</v>
      </c>
      <c r="J289" s="1343">
        <f t="shared" si="52"/>
        <v>0</v>
      </c>
      <c r="K289" s="1262">
        <f t="shared" si="53"/>
        <v>0</v>
      </c>
      <c r="L289" s="1415"/>
      <c r="M289" s="1214"/>
      <c r="N289" s="1214"/>
      <c r="O289" s="1214"/>
      <c r="P289" s="1214"/>
    </row>
    <row r="290" spans="1:17" s="1199" customFormat="1" ht="24" customHeight="1">
      <c r="A290" s="1339"/>
      <c r="B290" s="1259" t="s">
        <v>1481</v>
      </c>
      <c r="C290" s="1202"/>
      <c r="D290" s="1202"/>
      <c r="E290" s="1404"/>
      <c r="F290" s="1267" t="s">
        <v>363</v>
      </c>
      <c r="G290" s="1386">
        <v>1200</v>
      </c>
      <c r="H290" s="1343">
        <f t="shared" si="51"/>
        <v>0</v>
      </c>
      <c r="I290" s="1414">
        <v>135</v>
      </c>
      <c r="J290" s="1343">
        <f t="shared" si="52"/>
        <v>0</v>
      </c>
      <c r="K290" s="1262">
        <f t="shared" si="53"/>
        <v>0</v>
      </c>
      <c r="L290" s="1415"/>
      <c r="M290" s="1214"/>
      <c r="N290" s="1214"/>
      <c r="O290" s="1214"/>
      <c r="P290" s="1214"/>
    </row>
    <row r="291" spans="1:17" s="1199" customFormat="1" ht="24" customHeight="1">
      <c r="A291" s="1339"/>
      <c r="B291" s="1259" t="s">
        <v>1482</v>
      </c>
      <c r="C291" s="1202"/>
      <c r="D291" s="1202"/>
      <c r="E291" s="1404"/>
      <c r="F291" s="1267" t="s">
        <v>363</v>
      </c>
      <c r="G291" s="1386">
        <v>1200</v>
      </c>
      <c r="H291" s="1343">
        <f t="shared" si="51"/>
        <v>0</v>
      </c>
      <c r="I291" s="1414">
        <v>135</v>
      </c>
      <c r="J291" s="1343">
        <f t="shared" si="52"/>
        <v>0</v>
      </c>
      <c r="K291" s="1262">
        <f t="shared" si="53"/>
        <v>0</v>
      </c>
      <c r="L291" s="1415"/>
      <c r="M291" s="1214"/>
      <c r="N291" s="1214"/>
      <c r="O291" s="1214"/>
      <c r="P291" s="1214"/>
    </row>
    <row r="292" spans="1:17" s="1199" customFormat="1" ht="24" customHeight="1">
      <c r="A292" s="1339"/>
      <c r="B292" s="1259" t="s">
        <v>1483</v>
      </c>
      <c r="C292" s="1202"/>
      <c r="D292" s="1202"/>
      <c r="E292" s="1404"/>
      <c r="F292" s="1267" t="s">
        <v>363</v>
      </c>
      <c r="G292" s="1386">
        <v>1860</v>
      </c>
      <c r="H292" s="1343">
        <f t="shared" si="51"/>
        <v>0</v>
      </c>
      <c r="I292" s="1414">
        <v>135</v>
      </c>
      <c r="J292" s="1343">
        <f t="shared" si="52"/>
        <v>0</v>
      </c>
      <c r="K292" s="1262">
        <f t="shared" si="53"/>
        <v>0</v>
      </c>
      <c r="L292" s="1415"/>
      <c r="M292" s="1214"/>
      <c r="N292" s="1214"/>
      <c r="O292" s="1214"/>
      <c r="P292" s="1214"/>
    </row>
    <row r="293" spans="1:17" s="1199" customFormat="1" ht="24" customHeight="1">
      <c r="A293" s="1339"/>
      <c r="B293" s="1259" t="s">
        <v>1484</v>
      </c>
      <c r="C293" s="1202"/>
      <c r="D293" s="1202"/>
      <c r="E293" s="1404"/>
      <c r="F293" s="1267" t="s">
        <v>363</v>
      </c>
      <c r="G293" s="1386">
        <v>1200</v>
      </c>
      <c r="H293" s="1343">
        <f t="shared" si="51"/>
        <v>0</v>
      </c>
      <c r="I293" s="1414">
        <v>135</v>
      </c>
      <c r="J293" s="1343">
        <f t="shared" si="52"/>
        <v>0</v>
      </c>
      <c r="K293" s="1262">
        <f t="shared" si="53"/>
        <v>0</v>
      </c>
      <c r="L293" s="1415"/>
      <c r="M293" s="1214"/>
      <c r="N293" s="1214"/>
      <c r="O293" s="1214"/>
      <c r="P293" s="1214"/>
    </row>
    <row r="294" spans="1:17" s="1199" customFormat="1" ht="24" customHeight="1">
      <c r="A294" s="1339"/>
      <c r="B294" s="1259" t="s">
        <v>1485</v>
      </c>
      <c r="C294" s="1202"/>
      <c r="D294" s="1202"/>
      <c r="E294" s="1404"/>
      <c r="F294" s="1267" t="s">
        <v>363</v>
      </c>
      <c r="G294" s="1386">
        <v>1200</v>
      </c>
      <c r="H294" s="1343">
        <f t="shared" si="51"/>
        <v>0</v>
      </c>
      <c r="I294" s="1414">
        <v>135</v>
      </c>
      <c r="J294" s="1343">
        <f t="shared" si="52"/>
        <v>0</v>
      </c>
      <c r="K294" s="1262">
        <f t="shared" si="53"/>
        <v>0</v>
      </c>
      <c r="L294" s="1415"/>
      <c r="M294" s="1214"/>
      <c r="N294" s="1214"/>
      <c r="O294" s="1214"/>
      <c r="P294" s="1214"/>
    </row>
    <row r="295" spans="1:17" s="1199" customFormat="1" ht="24" customHeight="1">
      <c r="A295" s="1339"/>
      <c r="B295" s="1259" t="s">
        <v>1486</v>
      </c>
      <c r="C295" s="1202"/>
      <c r="D295" s="1202"/>
      <c r="E295" s="1404"/>
      <c r="F295" s="1267" t="s">
        <v>363</v>
      </c>
      <c r="G295" s="1386">
        <v>1830</v>
      </c>
      <c r="H295" s="1343">
        <f t="shared" si="51"/>
        <v>0</v>
      </c>
      <c r="I295" s="1414">
        <v>500</v>
      </c>
      <c r="J295" s="1343">
        <f t="shared" si="52"/>
        <v>0</v>
      </c>
      <c r="K295" s="1262">
        <f t="shared" si="53"/>
        <v>0</v>
      </c>
      <c r="L295" s="1415"/>
      <c r="M295" s="1214"/>
      <c r="N295" s="1214"/>
      <c r="O295" s="1214"/>
      <c r="P295" s="1214"/>
      <c r="Q295" s="1214"/>
    </row>
    <row r="296" spans="1:17" s="1199" customFormat="1" ht="24" customHeight="1">
      <c r="A296" s="1339"/>
      <c r="B296" s="1259" t="s">
        <v>1487</v>
      </c>
      <c r="C296" s="1202"/>
      <c r="D296" s="1202"/>
      <c r="E296" s="1404">
        <v>5</v>
      </c>
      <c r="F296" s="1267" t="s">
        <v>363</v>
      </c>
      <c r="G296" s="1386">
        <v>1620</v>
      </c>
      <c r="H296" s="1343">
        <f t="shared" si="51"/>
        <v>8100</v>
      </c>
      <c r="I296" s="1414">
        <v>500</v>
      </c>
      <c r="J296" s="1343">
        <f t="shared" si="52"/>
        <v>2500</v>
      </c>
      <c r="K296" s="1262">
        <f t="shared" si="53"/>
        <v>10600</v>
      </c>
      <c r="L296" s="1415"/>
      <c r="M296" s="1214"/>
      <c r="N296" s="1214"/>
      <c r="O296" s="1214"/>
      <c r="P296" s="1214"/>
      <c r="Q296" s="1214"/>
    </row>
    <row r="297" spans="1:17" s="1199" customFormat="1" ht="24" customHeight="1">
      <c r="A297" s="1339"/>
      <c r="B297" s="1259" t="s">
        <v>1488</v>
      </c>
      <c r="C297" s="1202"/>
      <c r="D297" s="1202"/>
      <c r="E297" s="1404"/>
      <c r="F297" s="1267" t="s">
        <v>363</v>
      </c>
      <c r="G297" s="1386">
        <v>920</v>
      </c>
      <c r="H297" s="1343">
        <f t="shared" si="51"/>
        <v>0</v>
      </c>
      <c r="I297" s="1414">
        <v>250</v>
      </c>
      <c r="J297" s="1343">
        <f t="shared" si="52"/>
        <v>0</v>
      </c>
      <c r="K297" s="1262">
        <f t="shared" si="53"/>
        <v>0</v>
      </c>
      <c r="L297" s="1415"/>
      <c r="M297" s="1214"/>
      <c r="N297" s="1214"/>
      <c r="O297" s="1214"/>
      <c r="P297" s="1214"/>
      <c r="Q297" s="1214"/>
    </row>
    <row r="298" spans="1:17" s="1199" customFormat="1" ht="24" customHeight="1">
      <c r="A298" s="1339"/>
      <c r="B298" s="1259" t="s">
        <v>1489</v>
      </c>
      <c r="C298" s="1202"/>
      <c r="D298" s="1202"/>
      <c r="E298" s="1404"/>
      <c r="F298" s="1267" t="s">
        <v>363</v>
      </c>
      <c r="G298" s="1386">
        <v>2180</v>
      </c>
      <c r="H298" s="1343">
        <f t="shared" si="51"/>
        <v>0</v>
      </c>
      <c r="I298" s="1414">
        <v>500</v>
      </c>
      <c r="J298" s="1343">
        <f t="shared" si="52"/>
        <v>0</v>
      </c>
      <c r="K298" s="1262">
        <f t="shared" si="53"/>
        <v>0</v>
      </c>
      <c r="L298" s="1415"/>
      <c r="M298" s="1214"/>
      <c r="N298" s="1214"/>
      <c r="O298" s="1214"/>
      <c r="P298" s="1214"/>
    </row>
    <row r="299" spans="1:17" s="1199" customFormat="1" ht="24" customHeight="1">
      <c r="A299" s="1339"/>
      <c r="B299" s="1259" t="s">
        <v>1602</v>
      </c>
      <c r="C299" s="1202"/>
      <c r="D299" s="1202"/>
      <c r="E299" s="1404">
        <v>1</v>
      </c>
      <c r="F299" s="1267" t="s">
        <v>1104</v>
      </c>
      <c r="G299" s="1386">
        <f>SUM(H275:H297)*5%</f>
        <v>2532</v>
      </c>
      <c r="H299" s="1343">
        <f t="shared" si="51"/>
        <v>2532</v>
      </c>
      <c r="I299" s="2177">
        <f>ROUND(G299*0.3,)</f>
        <v>760</v>
      </c>
      <c r="J299" s="1343">
        <f t="shared" si="52"/>
        <v>760</v>
      </c>
      <c r="K299" s="1262">
        <f t="shared" si="53"/>
        <v>3292</v>
      </c>
      <c r="L299" s="1415"/>
      <c r="M299" s="1214"/>
      <c r="N299" s="1214"/>
      <c r="O299" s="1214"/>
      <c r="P299" s="1214"/>
      <c r="Q299" s="1214"/>
    </row>
    <row r="300" spans="1:17" s="1199" customFormat="1" ht="24" customHeight="1">
      <c r="A300" s="1331"/>
      <c r="B300" s="1259" t="s">
        <v>1117</v>
      </c>
      <c r="C300" s="1202"/>
      <c r="D300" s="1202"/>
      <c r="E300" s="1387"/>
      <c r="F300" s="1207"/>
      <c r="G300" s="2176"/>
      <c r="H300" s="1388"/>
      <c r="I300" s="2177"/>
      <c r="J300" s="1385"/>
      <c r="K300" s="1385"/>
      <c r="L300" s="1385"/>
      <c r="M300" s="1214"/>
      <c r="N300" s="1214"/>
      <c r="O300" s="1214"/>
      <c r="P300" s="1214"/>
      <c r="Q300" s="1214"/>
    </row>
    <row r="301" spans="1:17" s="1199" customFormat="1" ht="24" customHeight="1">
      <c r="A301" s="1331"/>
      <c r="B301" s="1259" t="s">
        <v>1369</v>
      </c>
      <c r="C301" s="1202"/>
      <c r="D301" s="1202"/>
      <c r="E301" s="1387"/>
      <c r="F301" s="1207"/>
      <c r="G301" s="2176"/>
      <c r="H301" s="1388"/>
      <c r="I301" s="2177"/>
      <c r="J301" s="1385"/>
      <c r="K301" s="1385"/>
      <c r="L301" s="1385"/>
      <c r="M301" s="1214"/>
      <c r="N301" s="1214"/>
      <c r="O301" s="1214"/>
      <c r="P301" s="1214"/>
      <c r="Q301" s="1214"/>
    </row>
    <row r="302" spans="1:17" s="1199" customFormat="1" ht="24" customHeight="1">
      <c r="A302" s="1243"/>
      <c r="B302" s="2257" t="str">
        <f>"รวมราคารายการที่ "&amp;A275</f>
        <v>รวมราคารายการที่ 3.7</v>
      </c>
      <c r="C302" s="2258"/>
      <c r="D302" s="2259"/>
      <c r="E302" s="1244"/>
      <c r="F302" s="1245"/>
      <c r="G302" s="1246"/>
      <c r="H302" s="1247">
        <f>SUM(H275:H301)</f>
        <v>53172</v>
      </c>
      <c r="I302" s="1246"/>
      <c r="J302" s="1247">
        <f>SUM(J275:J301)</f>
        <v>11295</v>
      </c>
      <c r="K302" s="1247">
        <f>SUM(K275:K301)</f>
        <v>64467</v>
      </c>
      <c r="L302" s="1245"/>
      <c r="M302" s="1214"/>
      <c r="N302" s="1214"/>
      <c r="O302" s="1214"/>
      <c r="P302" s="1214"/>
      <c r="Q302" s="1214"/>
    </row>
    <row r="303" spans="1:17" s="1199" customFormat="1" ht="24" customHeight="1">
      <c r="A303" s="1483">
        <v>3.8</v>
      </c>
      <c r="B303" s="1249" t="s">
        <v>1371</v>
      </c>
      <c r="C303" s="1492"/>
      <c r="D303" s="1492"/>
      <c r="E303" s="1493"/>
      <c r="F303" s="1494"/>
      <c r="G303" s="1495"/>
      <c r="H303" s="1496"/>
      <c r="I303" s="1497"/>
      <c r="J303" s="1498"/>
      <c r="K303" s="1498"/>
      <c r="L303" s="1498"/>
      <c r="M303" s="1214"/>
      <c r="N303" s="1214"/>
      <c r="O303" s="1214"/>
      <c r="P303" s="1214"/>
      <c r="Q303" s="1214"/>
    </row>
    <row r="304" spans="1:17" s="1199" customFormat="1" ht="24" customHeight="1">
      <c r="A304" s="1406" t="s">
        <v>1292</v>
      </c>
      <c r="B304" s="2174" t="s">
        <v>1491</v>
      </c>
      <c r="C304" s="1202"/>
      <c r="D304" s="1202"/>
      <c r="E304" s="1387">
        <v>2</v>
      </c>
      <c r="F304" s="1207" t="s">
        <v>363</v>
      </c>
      <c r="G304" s="2176">
        <f>30000+13500</f>
        <v>43500</v>
      </c>
      <c r="H304" s="1264">
        <f t="shared" ref="H304:H329" si="54">ROUND(E304*G304,)</f>
        <v>87000</v>
      </c>
      <c r="I304" s="2177">
        <f>G304*0.1</f>
        <v>4350</v>
      </c>
      <c r="J304" s="1264">
        <f t="shared" ref="J304:J339" si="55">ROUND(E304*I304,)</f>
        <v>8700</v>
      </c>
      <c r="K304" s="1273">
        <f t="shared" ref="K304:K339" si="56">H304+J304</f>
        <v>95700</v>
      </c>
      <c r="L304" s="1385"/>
      <c r="M304" s="1214"/>
      <c r="N304" s="1214"/>
      <c r="O304" s="1214"/>
      <c r="P304" s="1214"/>
      <c r="Q304" s="1214"/>
    </row>
    <row r="305" spans="1:17" s="1199" customFormat="1" ht="24" customHeight="1">
      <c r="A305" s="1406" t="s">
        <v>1299</v>
      </c>
      <c r="B305" s="2174" t="s">
        <v>1492</v>
      </c>
      <c r="C305" s="1202"/>
      <c r="D305" s="1202"/>
      <c r="E305" s="1387">
        <v>6</v>
      </c>
      <c r="F305" s="1207" t="s">
        <v>363</v>
      </c>
      <c r="G305" s="2176">
        <v>1850</v>
      </c>
      <c r="H305" s="1264">
        <f t="shared" si="54"/>
        <v>11100</v>
      </c>
      <c r="I305" s="2177">
        <v>250</v>
      </c>
      <c r="J305" s="1264">
        <f t="shared" si="55"/>
        <v>1500</v>
      </c>
      <c r="K305" s="1273">
        <f t="shared" si="56"/>
        <v>12600</v>
      </c>
      <c r="L305" s="1385"/>
      <c r="M305" s="1214"/>
      <c r="N305" s="1214"/>
      <c r="O305" s="1214"/>
      <c r="P305" s="1214"/>
      <c r="Q305" s="1214"/>
    </row>
    <row r="306" spans="1:17" s="1199" customFormat="1" ht="24" customHeight="1">
      <c r="A306" s="1406" t="s">
        <v>1301</v>
      </c>
      <c r="B306" s="2174" t="s">
        <v>1493</v>
      </c>
      <c r="C306" s="1202"/>
      <c r="D306" s="1202"/>
      <c r="E306" s="1387">
        <v>6</v>
      </c>
      <c r="F306" s="1207" t="s">
        <v>363</v>
      </c>
      <c r="G306" s="2176">
        <v>1850</v>
      </c>
      <c r="H306" s="1264">
        <f t="shared" si="54"/>
        <v>11100</v>
      </c>
      <c r="I306" s="2177">
        <v>250</v>
      </c>
      <c r="J306" s="1264">
        <f t="shared" si="55"/>
        <v>1500</v>
      </c>
      <c r="K306" s="1273">
        <f t="shared" si="56"/>
        <v>12600</v>
      </c>
      <c r="L306" s="1385"/>
      <c r="M306" s="1214"/>
      <c r="N306" s="1214"/>
      <c r="O306" s="1214"/>
      <c r="P306" s="1214"/>
      <c r="Q306" s="1214"/>
    </row>
    <row r="307" spans="1:17" s="1199" customFormat="1" ht="24" customHeight="1">
      <c r="A307" s="1406" t="s">
        <v>1309</v>
      </c>
      <c r="B307" s="2174" t="s">
        <v>1494</v>
      </c>
      <c r="C307" s="1202"/>
      <c r="D307" s="1202"/>
      <c r="E307" s="1387">
        <v>4</v>
      </c>
      <c r="F307" s="1207" t="s">
        <v>363</v>
      </c>
      <c r="G307" s="2176">
        <v>1850</v>
      </c>
      <c r="H307" s="1264">
        <f t="shared" si="54"/>
        <v>7400</v>
      </c>
      <c r="I307" s="2177">
        <v>250</v>
      </c>
      <c r="J307" s="1264">
        <f t="shared" si="55"/>
        <v>1000</v>
      </c>
      <c r="K307" s="1273">
        <f t="shared" si="56"/>
        <v>8400</v>
      </c>
      <c r="L307" s="1385"/>
      <c r="M307" s="1214"/>
      <c r="N307" s="1214"/>
      <c r="O307" s="1214"/>
      <c r="P307" s="1214"/>
      <c r="Q307" s="1214"/>
    </row>
    <row r="308" spans="1:17" s="1199" customFormat="1" ht="24" customHeight="1">
      <c r="A308" s="1406" t="s">
        <v>1533</v>
      </c>
      <c r="B308" s="2174" t="s">
        <v>1495</v>
      </c>
      <c r="C308" s="1202"/>
      <c r="D308" s="1202"/>
      <c r="E308" s="1387">
        <v>4</v>
      </c>
      <c r="F308" s="1207" t="s">
        <v>363</v>
      </c>
      <c r="G308" s="2176">
        <v>1850</v>
      </c>
      <c r="H308" s="1264">
        <f t="shared" si="54"/>
        <v>7400</v>
      </c>
      <c r="I308" s="2177">
        <v>250</v>
      </c>
      <c r="J308" s="1264">
        <f t="shared" si="55"/>
        <v>1000</v>
      </c>
      <c r="K308" s="1273">
        <f t="shared" si="56"/>
        <v>8400</v>
      </c>
      <c r="L308" s="1385"/>
      <c r="M308" s="1214"/>
      <c r="N308" s="1214"/>
      <c r="O308" s="1214"/>
      <c r="P308" s="1214"/>
      <c r="Q308" s="1214"/>
    </row>
    <row r="309" spans="1:17" s="1199" customFormat="1" ht="24" customHeight="1">
      <c r="A309" s="1406" t="s">
        <v>1536</v>
      </c>
      <c r="B309" s="2174" t="s">
        <v>1496</v>
      </c>
      <c r="C309" s="1202"/>
      <c r="D309" s="1202"/>
      <c r="E309" s="1387">
        <v>0</v>
      </c>
      <c r="F309" s="1207" t="s">
        <v>363</v>
      </c>
      <c r="G309" s="2176">
        <v>1850</v>
      </c>
      <c r="H309" s="1264">
        <f t="shared" si="54"/>
        <v>0</v>
      </c>
      <c r="I309" s="2177">
        <v>250</v>
      </c>
      <c r="J309" s="1264">
        <f t="shared" si="55"/>
        <v>0</v>
      </c>
      <c r="K309" s="1273">
        <f t="shared" si="56"/>
        <v>0</v>
      </c>
      <c r="L309" s="1385"/>
      <c r="M309" s="1214"/>
      <c r="N309" s="1214"/>
      <c r="O309" s="1214"/>
      <c r="P309" s="1214"/>
      <c r="Q309" s="1214"/>
    </row>
    <row r="310" spans="1:17" s="1199" customFormat="1" ht="24" customHeight="1">
      <c r="A310" s="1406" t="s">
        <v>1537</v>
      </c>
      <c r="B310" s="2174" t="s">
        <v>1497</v>
      </c>
      <c r="C310" s="1202"/>
      <c r="D310" s="1202"/>
      <c r="E310" s="1387">
        <v>2</v>
      </c>
      <c r="F310" s="1207" t="s">
        <v>363</v>
      </c>
      <c r="G310" s="2176">
        <v>2750</v>
      </c>
      <c r="H310" s="1264">
        <f t="shared" si="54"/>
        <v>5500</v>
      </c>
      <c r="I310" s="2177">
        <v>250</v>
      </c>
      <c r="J310" s="1264">
        <f t="shared" si="55"/>
        <v>500</v>
      </c>
      <c r="K310" s="1273">
        <f t="shared" si="56"/>
        <v>6000</v>
      </c>
      <c r="L310" s="1385"/>
      <c r="M310" s="1214"/>
      <c r="N310" s="1214"/>
      <c r="O310" s="1214"/>
      <c r="P310" s="1214"/>
      <c r="Q310" s="1214"/>
    </row>
    <row r="311" spans="1:17" s="1199" customFormat="1" ht="24" customHeight="1">
      <c r="A311" s="1406" t="s">
        <v>1538</v>
      </c>
      <c r="B311" s="2174" t="s">
        <v>1498</v>
      </c>
      <c r="C311" s="1202"/>
      <c r="D311" s="1202"/>
      <c r="E311" s="1387">
        <v>2</v>
      </c>
      <c r="F311" s="1207" t="s">
        <v>363</v>
      </c>
      <c r="G311" s="2176">
        <v>2750</v>
      </c>
      <c r="H311" s="1264">
        <f t="shared" si="54"/>
        <v>5500</v>
      </c>
      <c r="I311" s="2177">
        <v>250</v>
      </c>
      <c r="J311" s="1264">
        <f t="shared" si="55"/>
        <v>500</v>
      </c>
      <c r="K311" s="1273">
        <f t="shared" si="56"/>
        <v>6000</v>
      </c>
      <c r="L311" s="1385"/>
      <c r="M311" s="1214"/>
      <c r="N311" s="1214"/>
      <c r="O311" s="1214"/>
      <c r="P311" s="1214"/>
      <c r="Q311" s="1214"/>
    </row>
    <row r="312" spans="1:17" s="1199" customFormat="1" ht="24" customHeight="1">
      <c r="A312" s="1406" t="s">
        <v>2900</v>
      </c>
      <c r="B312" s="2174" t="s">
        <v>1500</v>
      </c>
      <c r="C312" s="1202"/>
      <c r="D312" s="1202"/>
      <c r="E312" s="1387">
        <v>2</v>
      </c>
      <c r="F312" s="1207" t="s">
        <v>363</v>
      </c>
      <c r="G312" s="2176">
        <v>2750</v>
      </c>
      <c r="H312" s="1264">
        <f t="shared" si="54"/>
        <v>5500</v>
      </c>
      <c r="I312" s="2177">
        <v>250</v>
      </c>
      <c r="J312" s="1264">
        <f t="shared" si="55"/>
        <v>500</v>
      </c>
      <c r="K312" s="1273">
        <f t="shared" si="56"/>
        <v>6000</v>
      </c>
      <c r="L312" s="1385"/>
      <c r="M312" s="1214"/>
      <c r="N312" s="1214"/>
      <c r="O312" s="1214"/>
      <c r="P312" s="1214"/>
      <c r="Q312" s="1214"/>
    </row>
    <row r="313" spans="1:17" s="1199" customFormat="1" ht="24" customHeight="1">
      <c r="A313" s="1406" t="s">
        <v>2901</v>
      </c>
      <c r="B313" s="2174" t="s">
        <v>1603</v>
      </c>
      <c r="C313" s="1202"/>
      <c r="D313" s="1202"/>
      <c r="E313" s="1387">
        <v>2</v>
      </c>
      <c r="F313" s="1207" t="s">
        <v>363</v>
      </c>
      <c r="G313" s="2176">
        <v>2750</v>
      </c>
      <c r="H313" s="1264">
        <f t="shared" si="54"/>
        <v>5500</v>
      </c>
      <c r="I313" s="2177">
        <v>250</v>
      </c>
      <c r="J313" s="1264">
        <f t="shared" si="55"/>
        <v>500</v>
      </c>
      <c r="K313" s="1273">
        <f t="shared" si="56"/>
        <v>6000</v>
      </c>
      <c r="L313" s="1385"/>
      <c r="M313" s="1214"/>
      <c r="N313" s="1214"/>
      <c r="O313" s="1214"/>
      <c r="P313" s="1214"/>
      <c r="Q313" s="1214"/>
    </row>
    <row r="314" spans="1:17" s="1199" customFormat="1" ht="24" customHeight="1">
      <c r="A314" s="1406" t="s">
        <v>2902</v>
      </c>
      <c r="B314" s="2174" t="s">
        <v>1502</v>
      </c>
      <c r="C314" s="1202"/>
      <c r="D314" s="1202"/>
      <c r="E314" s="1387">
        <v>2</v>
      </c>
      <c r="F314" s="1207" t="s">
        <v>363</v>
      </c>
      <c r="G314" s="2176">
        <v>2750</v>
      </c>
      <c r="H314" s="1264">
        <f t="shared" si="54"/>
        <v>5500</v>
      </c>
      <c r="I314" s="2177">
        <v>250</v>
      </c>
      <c r="J314" s="1264">
        <f t="shared" si="55"/>
        <v>500</v>
      </c>
      <c r="K314" s="1273">
        <f t="shared" si="56"/>
        <v>6000</v>
      </c>
      <c r="L314" s="1385"/>
      <c r="M314" s="1214"/>
      <c r="N314" s="1214"/>
      <c r="O314" s="1214"/>
      <c r="P314" s="1214"/>
      <c r="Q314" s="1214"/>
    </row>
    <row r="315" spans="1:17" s="1199" customFormat="1" ht="24" customHeight="1">
      <c r="A315" s="1406" t="s">
        <v>2903</v>
      </c>
      <c r="B315" s="2174" t="s">
        <v>1504</v>
      </c>
      <c r="C315" s="1202"/>
      <c r="D315" s="1202"/>
      <c r="E315" s="1387">
        <v>2</v>
      </c>
      <c r="F315" s="1207" t="s">
        <v>363</v>
      </c>
      <c r="G315" s="2176">
        <v>2750</v>
      </c>
      <c r="H315" s="1264">
        <f t="shared" si="54"/>
        <v>5500</v>
      </c>
      <c r="I315" s="2177">
        <v>250</v>
      </c>
      <c r="J315" s="1264">
        <f t="shared" si="55"/>
        <v>500</v>
      </c>
      <c r="K315" s="1273">
        <f t="shared" si="56"/>
        <v>6000</v>
      </c>
      <c r="L315" s="1385"/>
      <c r="M315" s="1214"/>
      <c r="N315" s="1214"/>
      <c r="O315" s="1214"/>
      <c r="P315" s="1214"/>
      <c r="Q315" s="1214"/>
    </row>
    <row r="316" spans="1:17" s="1199" customFormat="1" ht="24" customHeight="1">
      <c r="A316" s="1406" t="s">
        <v>2904</v>
      </c>
      <c r="B316" s="2174" t="s">
        <v>1506</v>
      </c>
      <c r="C316" s="1202"/>
      <c r="D316" s="1202"/>
      <c r="E316" s="1387">
        <v>4</v>
      </c>
      <c r="F316" s="1207" t="s">
        <v>363</v>
      </c>
      <c r="G316" s="2176">
        <v>2750</v>
      </c>
      <c r="H316" s="1264">
        <f t="shared" si="54"/>
        <v>11000</v>
      </c>
      <c r="I316" s="2177">
        <v>250</v>
      </c>
      <c r="J316" s="1264">
        <f t="shared" si="55"/>
        <v>1000</v>
      </c>
      <c r="K316" s="1273">
        <f t="shared" si="56"/>
        <v>12000</v>
      </c>
      <c r="L316" s="1385"/>
      <c r="M316" s="1214"/>
      <c r="N316" s="1214"/>
      <c r="O316" s="1214"/>
      <c r="P316" s="1214"/>
      <c r="Q316" s="1214"/>
    </row>
    <row r="317" spans="1:17" s="1199" customFormat="1" ht="24" customHeight="1">
      <c r="A317" s="1406" t="s">
        <v>2905</v>
      </c>
      <c r="B317" s="2174" t="s">
        <v>1508</v>
      </c>
      <c r="C317" s="1202"/>
      <c r="D317" s="1202"/>
      <c r="E317" s="1387">
        <v>4</v>
      </c>
      <c r="F317" s="1207" t="s">
        <v>363</v>
      </c>
      <c r="G317" s="2176">
        <v>2250</v>
      </c>
      <c r="H317" s="1264">
        <f t="shared" si="54"/>
        <v>9000</v>
      </c>
      <c r="I317" s="2177">
        <v>250</v>
      </c>
      <c r="J317" s="1264">
        <f t="shared" si="55"/>
        <v>1000</v>
      </c>
      <c r="K317" s="1273">
        <f t="shared" si="56"/>
        <v>10000</v>
      </c>
      <c r="L317" s="1385"/>
      <c r="M317" s="1214"/>
      <c r="N317" s="1214"/>
      <c r="O317" s="1214"/>
      <c r="P317" s="1214"/>
      <c r="Q317" s="1214"/>
    </row>
    <row r="318" spans="1:17" s="1199" customFormat="1" ht="24" customHeight="1">
      <c r="A318" s="1406" t="s">
        <v>2906</v>
      </c>
      <c r="B318" s="2174" t="s">
        <v>1510</v>
      </c>
      <c r="C318" s="1202"/>
      <c r="D318" s="1202"/>
      <c r="E318" s="1387">
        <v>203</v>
      </c>
      <c r="F318" s="1207" t="s">
        <v>363</v>
      </c>
      <c r="G318" s="2176">
        <f>3300+300</f>
        <v>3600</v>
      </c>
      <c r="H318" s="1264">
        <f t="shared" si="54"/>
        <v>730800</v>
      </c>
      <c r="I318" s="2177">
        <v>200</v>
      </c>
      <c r="J318" s="1264">
        <f t="shared" si="55"/>
        <v>40600</v>
      </c>
      <c r="K318" s="1273">
        <f t="shared" si="56"/>
        <v>771400</v>
      </c>
      <c r="L318" s="1385"/>
      <c r="M318" s="1214"/>
      <c r="N318" s="1214"/>
      <c r="O318" s="1214"/>
      <c r="P318" s="1214"/>
      <c r="Q318" s="1214"/>
    </row>
    <row r="319" spans="1:17" s="1199" customFormat="1" ht="24" customHeight="1">
      <c r="A319" s="1406" t="s">
        <v>2907</v>
      </c>
      <c r="B319" s="2174" t="s">
        <v>1512</v>
      </c>
      <c r="C319" s="1202"/>
      <c r="D319" s="1202"/>
      <c r="E319" s="1387">
        <v>11</v>
      </c>
      <c r="F319" s="1207" t="s">
        <v>363</v>
      </c>
      <c r="G319" s="2176">
        <v>5000</v>
      </c>
      <c r="H319" s="1264">
        <f t="shared" si="54"/>
        <v>55000</v>
      </c>
      <c r="I319" s="2177">
        <v>500</v>
      </c>
      <c r="J319" s="1264">
        <f t="shared" si="55"/>
        <v>5500</v>
      </c>
      <c r="K319" s="1273">
        <f t="shared" si="56"/>
        <v>60500</v>
      </c>
      <c r="L319" s="1385"/>
      <c r="M319" s="1214"/>
      <c r="N319" s="1214"/>
      <c r="O319" s="1214"/>
      <c r="P319" s="1214"/>
      <c r="Q319" s="1214"/>
    </row>
    <row r="320" spans="1:17" s="1199" customFormat="1" ht="24" customHeight="1">
      <c r="A320" s="1406" t="s">
        <v>2908</v>
      </c>
      <c r="B320" s="2174" t="s">
        <v>1514</v>
      </c>
      <c r="C320" s="1202"/>
      <c r="D320" s="1202"/>
      <c r="E320" s="1387">
        <v>7</v>
      </c>
      <c r="F320" s="1207" t="s">
        <v>363</v>
      </c>
      <c r="G320" s="2176">
        <v>350</v>
      </c>
      <c r="H320" s="1264">
        <f t="shared" si="54"/>
        <v>2450</v>
      </c>
      <c r="I320" s="2177">
        <v>200</v>
      </c>
      <c r="J320" s="1264">
        <f t="shared" si="55"/>
        <v>1400</v>
      </c>
      <c r="K320" s="1273">
        <f t="shared" si="56"/>
        <v>3850</v>
      </c>
      <c r="L320" s="1385"/>
      <c r="M320" s="1214"/>
      <c r="N320" s="1214"/>
      <c r="O320" s="1214"/>
      <c r="P320" s="1214"/>
      <c r="Q320" s="1214"/>
    </row>
    <row r="321" spans="1:17" s="1199" customFormat="1" ht="24" customHeight="1">
      <c r="A321" s="1406" t="s">
        <v>2909</v>
      </c>
      <c r="B321" s="2174" t="s">
        <v>1516</v>
      </c>
      <c r="C321" s="1202"/>
      <c r="D321" s="1202"/>
      <c r="E321" s="1387">
        <v>7</v>
      </c>
      <c r="F321" s="1207" t="s">
        <v>363</v>
      </c>
      <c r="G321" s="2176">
        <v>2200</v>
      </c>
      <c r="H321" s="1264">
        <f t="shared" si="54"/>
        <v>15400</v>
      </c>
      <c r="I321" s="2177">
        <v>200</v>
      </c>
      <c r="J321" s="1264">
        <f t="shared" si="55"/>
        <v>1400</v>
      </c>
      <c r="K321" s="1273">
        <f t="shared" si="56"/>
        <v>16800</v>
      </c>
      <c r="L321" s="1385"/>
      <c r="M321" s="1214"/>
      <c r="N321" s="1214"/>
      <c r="O321" s="1214"/>
      <c r="P321" s="1214"/>
      <c r="Q321" s="1214"/>
    </row>
    <row r="322" spans="1:17" s="1199" customFormat="1" ht="24" customHeight="1">
      <c r="A322" s="1406" t="s">
        <v>2910</v>
      </c>
      <c r="B322" s="2174" t="s">
        <v>1518</v>
      </c>
      <c r="C322" s="1202"/>
      <c r="D322" s="1202"/>
      <c r="E322" s="1387">
        <v>20</v>
      </c>
      <c r="F322" s="1207" t="s">
        <v>363</v>
      </c>
      <c r="G322" s="2176">
        <v>4200</v>
      </c>
      <c r="H322" s="1264">
        <f t="shared" si="54"/>
        <v>84000</v>
      </c>
      <c r="I322" s="2177">
        <v>200</v>
      </c>
      <c r="J322" s="1264">
        <f t="shared" si="55"/>
        <v>4000</v>
      </c>
      <c r="K322" s="1273">
        <f t="shared" si="56"/>
        <v>88000</v>
      </c>
      <c r="L322" s="1385"/>
      <c r="M322" s="1214"/>
      <c r="N322" s="1214"/>
      <c r="O322" s="1214"/>
      <c r="P322" s="1214"/>
      <c r="Q322" s="1214"/>
    </row>
    <row r="323" spans="1:17" s="1199" customFormat="1" ht="24" customHeight="1">
      <c r="A323" s="1406" t="s">
        <v>2911</v>
      </c>
      <c r="B323" s="2174" t="s">
        <v>1604</v>
      </c>
      <c r="C323" s="1202"/>
      <c r="D323" s="1202"/>
      <c r="E323" s="1387">
        <v>2</v>
      </c>
      <c r="F323" s="1207" t="s">
        <v>363</v>
      </c>
      <c r="G323" s="2176">
        <v>4785</v>
      </c>
      <c r="H323" s="1264">
        <f t="shared" si="54"/>
        <v>9570</v>
      </c>
      <c r="I323" s="2177">
        <v>100</v>
      </c>
      <c r="J323" s="1264">
        <f t="shared" si="55"/>
        <v>200</v>
      </c>
      <c r="K323" s="1273">
        <f t="shared" si="56"/>
        <v>9770</v>
      </c>
      <c r="L323" s="1385"/>
      <c r="M323" s="1214"/>
      <c r="N323" s="1214"/>
      <c r="O323" s="1214"/>
      <c r="P323" s="1214"/>
      <c r="Q323" s="1214"/>
    </row>
    <row r="324" spans="1:17" s="1199" customFormat="1" ht="24" customHeight="1">
      <c r="A324" s="1406" t="s">
        <v>2912</v>
      </c>
      <c r="B324" s="2174" t="s">
        <v>1521</v>
      </c>
      <c r="C324" s="1202"/>
      <c r="D324" s="1202"/>
      <c r="E324" s="1387">
        <v>2</v>
      </c>
      <c r="F324" s="1207" t="s">
        <v>363</v>
      </c>
      <c r="G324" s="2176">
        <v>5000</v>
      </c>
      <c r="H324" s="1264">
        <f t="shared" si="54"/>
        <v>10000</v>
      </c>
      <c r="I324" s="2177">
        <v>500</v>
      </c>
      <c r="J324" s="1264">
        <f t="shared" si="55"/>
        <v>1000</v>
      </c>
      <c r="K324" s="1273">
        <f t="shared" si="56"/>
        <v>11000</v>
      </c>
      <c r="L324" s="1385"/>
      <c r="M324" s="1214"/>
      <c r="N324" s="1214"/>
      <c r="O324" s="1214"/>
      <c r="P324" s="1214"/>
      <c r="Q324" s="1214"/>
    </row>
    <row r="325" spans="1:17" s="1199" customFormat="1" ht="24" customHeight="1">
      <c r="A325" s="1406" t="s">
        <v>2913</v>
      </c>
      <c r="B325" s="2174" t="s">
        <v>1312</v>
      </c>
      <c r="C325" s="1202"/>
      <c r="D325" s="1202"/>
      <c r="E325" s="1387"/>
      <c r="F325" s="1384"/>
      <c r="G325" s="2176"/>
      <c r="H325" s="1264">
        <f t="shared" si="54"/>
        <v>0</v>
      </c>
      <c r="I325" s="2177"/>
      <c r="J325" s="1264">
        <f t="shared" si="55"/>
        <v>0</v>
      </c>
      <c r="K325" s="1273">
        <f t="shared" si="56"/>
        <v>0</v>
      </c>
      <c r="L325" s="1385"/>
      <c r="M325" s="1214"/>
      <c r="N325" s="1214"/>
      <c r="O325" s="1214"/>
      <c r="P325" s="1214"/>
      <c r="Q325" s="1214"/>
    </row>
    <row r="326" spans="1:17" s="1199" customFormat="1" ht="24" customHeight="1">
      <c r="A326" s="1331"/>
      <c r="B326" s="2174" t="s">
        <v>1523</v>
      </c>
      <c r="C326" s="1202"/>
      <c r="D326" s="1202"/>
      <c r="E326" s="1404">
        <v>1920</v>
      </c>
      <c r="F326" s="1358" t="s">
        <v>226</v>
      </c>
      <c r="G326" s="2176">
        <v>82</v>
      </c>
      <c r="H326" s="1264">
        <f t="shared" si="54"/>
        <v>157440</v>
      </c>
      <c r="I326" s="2177">
        <v>12</v>
      </c>
      <c r="J326" s="1264">
        <f t="shared" si="55"/>
        <v>23040</v>
      </c>
      <c r="K326" s="1273">
        <f t="shared" si="56"/>
        <v>180480</v>
      </c>
      <c r="L326" s="1385"/>
      <c r="M326" s="1214"/>
      <c r="N326" s="1214"/>
      <c r="O326" s="1214"/>
      <c r="P326" s="1214"/>
      <c r="Q326" s="1214"/>
    </row>
    <row r="327" spans="1:17" s="1199" customFormat="1" ht="24" customHeight="1">
      <c r="A327" s="1331"/>
      <c r="B327" s="2174" t="s">
        <v>2553</v>
      </c>
      <c r="C327" s="1202"/>
      <c r="D327" s="1202"/>
      <c r="E327" s="1404">
        <v>2400</v>
      </c>
      <c r="F327" s="1358" t="s">
        <v>226</v>
      </c>
      <c r="G327" s="2176">
        <v>6</v>
      </c>
      <c r="H327" s="1264">
        <f t="shared" si="54"/>
        <v>14400</v>
      </c>
      <c r="I327" s="2177">
        <v>6</v>
      </c>
      <c r="J327" s="1264">
        <f t="shared" si="55"/>
        <v>14400</v>
      </c>
      <c r="K327" s="1273">
        <f t="shared" si="56"/>
        <v>28800</v>
      </c>
      <c r="L327" s="1385"/>
      <c r="M327" s="1214"/>
      <c r="N327" s="1214"/>
      <c r="O327" s="1214"/>
      <c r="P327" s="1214"/>
      <c r="Q327" s="1214"/>
    </row>
    <row r="328" spans="1:17" s="1199" customFormat="1" ht="24" customHeight="1">
      <c r="A328" s="1331"/>
      <c r="B328" s="2174" t="s">
        <v>1524</v>
      </c>
      <c r="C328" s="1202"/>
      <c r="D328" s="1202"/>
      <c r="E328" s="1404">
        <v>1530</v>
      </c>
      <c r="F328" s="1358" t="s">
        <v>226</v>
      </c>
      <c r="G328" s="2176">
        <v>18</v>
      </c>
      <c r="H328" s="1264">
        <f t="shared" si="54"/>
        <v>27540</v>
      </c>
      <c r="I328" s="2177">
        <v>8</v>
      </c>
      <c r="J328" s="1264">
        <f t="shared" si="55"/>
        <v>12240</v>
      </c>
      <c r="K328" s="1273">
        <f t="shared" si="56"/>
        <v>39780</v>
      </c>
      <c r="L328" s="1385"/>
      <c r="M328" s="1214"/>
      <c r="N328" s="1214"/>
      <c r="O328" s="1214"/>
      <c r="P328" s="1214"/>
      <c r="Q328" s="1214"/>
    </row>
    <row r="329" spans="1:17" s="1199" customFormat="1" ht="24" customHeight="1">
      <c r="A329" s="1331"/>
      <c r="B329" s="2174" t="s">
        <v>1525</v>
      </c>
      <c r="C329" s="1202"/>
      <c r="D329" s="1202"/>
      <c r="E329" s="1404">
        <v>1</v>
      </c>
      <c r="F329" s="1384" t="s">
        <v>1104</v>
      </c>
      <c r="G329" s="2176">
        <f>SUM(H326:H328)*5%</f>
        <v>9969</v>
      </c>
      <c r="H329" s="1264">
        <f t="shared" si="54"/>
        <v>9969</v>
      </c>
      <c r="I329" s="2177">
        <f>ROUND(G329*0.3,)</f>
        <v>2991</v>
      </c>
      <c r="J329" s="1264">
        <f t="shared" si="55"/>
        <v>2991</v>
      </c>
      <c r="K329" s="1273">
        <f t="shared" si="56"/>
        <v>12960</v>
      </c>
      <c r="L329" s="1385"/>
      <c r="M329" s="1214"/>
      <c r="N329" s="1214"/>
      <c r="O329" s="1214"/>
      <c r="P329" s="1214"/>
      <c r="Q329" s="1214"/>
    </row>
    <row r="330" spans="1:17" s="1199" customFormat="1" ht="24" customHeight="1">
      <c r="A330" s="1331"/>
      <c r="B330" s="2174"/>
      <c r="C330" s="1202"/>
      <c r="D330" s="1202"/>
      <c r="E330" s="1404"/>
      <c r="F330" s="1384"/>
      <c r="G330" s="2176"/>
      <c r="H330" s="1264"/>
      <c r="I330" s="2177"/>
      <c r="J330" s="1264"/>
      <c r="K330" s="1273"/>
      <c r="L330" s="1385"/>
      <c r="M330" s="1214"/>
      <c r="N330" s="1214"/>
      <c r="O330" s="1214"/>
      <c r="P330" s="1214"/>
      <c r="Q330" s="1214"/>
    </row>
    <row r="331" spans="1:17" s="1199" customFormat="1" ht="24" customHeight="1">
      <c r="A331" s="1406" t="s">
        <v>2914</v>
      </c>
      <c r="B331" s="2174" t="s">
        <v>1526</v>
      </c>
      <c r="C331" s="1202"/>
      <c r="D331" s="1202"/>
      <c r="E331" s="1404"/>
      <c r="F331" s="1384"/>
      <c r="G331" s="2176"/>
      <c r="H331" s="1264"/>
      <c r="I331" s="2177"/>
      <c r="J331" s="1264"/>
      <c r="K331" s="1273"/>
      <c r="L331" s="1385"/>
      <c r="M331" s="1214"/>
      <c r="N331" s="1214"/>
      <c r="O331" s="1214"/>
      <c r="P331" s="1214"/>
      <c r="Q331" s="1214"/>
    </row>
    <row r="332" spans="1:17" s="1199" customFormat="1" ht="24" customHeight="1">
      <c r="A332" s="1331"/>
      <c r="B332" s="2174" t="s">
        <v>1350</v>
      </c>
      <c r="C332" s="1202"/>
      <c r="D332" s="1202"/>
      <c r="E332" s="1387">
        <v>1200</v>
      </c>
      <c r="F332" s="1358" t="s">
        <v>226</v>
      </c>
      <c r="G332" s="2176">
        <v>27</v>
      </c>
      <c r="H332" s="1264">
        <f t="shared" ref="H332:H339" si="57">ROUND(E332*G332,)</f>
        <v>32400</v>
      </c>
      <c r="I332" s="2177">
        <v>22</v>
      </c>
      <c r="J332" s="1264">
        <f t="shared" ref="J332:J333" si="58">ROUND(E332*I332,)</f>
        <v>26400</v>
      </c>
      <c r="K332" s="1802">
        <f t="shared" ref="K332:K333" si="59">H332+J332</f>
        <v>58800</v>
      </c>
      <c r="L332" s="2001" t="s">
        <v>2667</v>
      </c>
      <c r="M332" s="1214"/>
      <c r="N332" s="1199">
        <v>79.8</v>
      </c>
      <c r="O332" s="1199">
        <f>ROUND(N332/3,)</f>
        <v>27</v>
      </c>
      <c r="P332" s="1214"/>
      <c r="Q332" s="1214"/>
    </row>
    <row r="333" spans="1:17" s="1199" customFormat="1" ht="24" customHeight="1">
      <c r="A333" s="1331"/>
      <c r="B333" s="2174" t="s">
        <v>1384</v>
      </c>
      <c r="C333" s="1202"/>
      <c r="D333" s="1202"/>
      <c r="E333" s="1387">
        <v>1</v>
      </c>
      <c r="F333" s="1384" t="s">
        <v>1104</v>
      </c>
      <c r="G333" s="2176">
        <f>SUM(H332)*15%</f>
        <v>4860</v>
      </c>
      <c r="H333" s="1264">
        <f t="shared" si="57"/>
        <v>4860</v>
      </c>
      <c r="I333" s="2177">
        <f>G333*0.3</f>
        <v>1458</v>
      </c>
      <c r="J333" s="1264">
        <f t="shared" si="58"/>
        <v>1458</v>
      </c>
      <c r="K333" s="1273">
        <f t="shared" si="59"/>
        <v>6318</v>
      </c>
      <c r="L333" s="1385"/>
      <c r="M333" s="1214"/>
      <c r="N333" s="1214"/>
      <c r="O333" s="1214"/>
      <c r="P333" s="1214"/>
      <c r="Q333" s="1214"/>
    </row>
    <row r="334" spans="1:17" s="1199" customFormat="1" ht="24" customHeight="1">
      <c r="A334" s="1406" t="s">
        <v>2915</v>
      </c>
      <c r="B334" s="2174" t="s">
        <v>1110</v>
      </c>
      <c r="C334" s="1202"/>
      <c r="D334" s="1202"/>
      <c r="E334" s="1387"/>
      <c r="F334" s="1384"/>
      <c r="G334" s="2176"/>
      <c r="H334" s="1264">
        <f t="shared" si="57"/>
        <v>0</v>
      </c>
      <c r="I334" s="2177"/>
      <c r="J334" s="1264">
        <f t="shared" si="55"/>
        <v>0</v>
      </c>
      <c r="K334" s="1273">
        <f t="shared" si="56"/>
        <v>0</v>
      </c>
      <c r="L334" s="1385"/>
      <c r="M334" s="1214"/>
      <c r="N334" s="1214"/>
      <c r="O334" s="1214"/>
      <c r="P334" s="1214"/>
    </row>
    <row r="335" spans="1:17" s="1199" customFormat="1" ht="24" customHeight="1">
      <c r="A335" s="1331"/>
      <c r="B335" s="2174" t="s">
        <v>1350</v>
      </c>
      <c r="C335" s="1202"/>
      <c r="D335" s="1202"/>
      <c r="E335" s="1387"/>
      <c r="F335" s="1358" t="s">
        <v>226</v>
      </c>
      <c r="G335" s="2176">
        <v>56</v>
      </c>
      <c r="H335" s="1264">
        <f t="shared" si="57"/>
        <v>0</v>
      </c>
      <c r="I335" s="2177">
        <v>26</v>
      </c>
      <c r="J335" s="1264">
        <f t="shared" si="55"/>
        <v>0</v>
      </c>
      <c r="K335" s="1273">
        <f t="shared" si="56"/>
        <v>0</v>
      </c>
      <c r="L335" s="2001" t="s">
        <v>2667</v>
      </c>
      <c r="M335" s="1214"/>
      <c r="N335" s="1199">
        <v>169.2</v>
      </c>
      <c r="O335" s="1199">
        <f>ROUND(N335/3,)</f>
        <v>56</v>
      </c>
      <c r="P335" s="1214"/>
    </row>
    <row r="336" spans="1:17" s="1199" customFormat="1" ht="24" customHeight="1">
      <c r="A336" s="1331"/>
      <c r="B336" s="2174" t="s">
        <v>1448</v>
      </c>
      <c r="C336" s="1202"/>
      <c r="D336" s="1202"/>
      <c r="E336" s="1404">
        <v>3450</v>
      </c>
      <c r="F336" s="1358" t="s">
        <v>226</v>
      </c>
      <c r="G336" s="2176">
        <v>75</v>
      </c>
      <c r="H336" s="1264">
        <f t="shared" si="57"/>
        <v>258750</v>
      </c>
      <c r="I336" s="2177">
        <v>29</v>
      </c>
      <c r="J336" s="1264">
        <f t="shared" si="55"/>
        <v>100050</v>
      </c>
      <c r="K336" s="1273">
        <f>H336+J336</f>
        <v>358800</v>
      </c>
      <c r="L336" s="2001" t="s">
        <v>2667</v>
      </c>
      <c r="N336" s="1199">
        <v>225</v>
      </c>
      <c r="O336" s="1199">
        <f>ROUND(N336/3,)</f>
        <v>75</v>
      </c>
      <c r="P336" s="1214"/>
    </row>
    <row r="337" spans="1:17" s="1199" customFormat="1" ht="24" customHeight="1">
      <c r="A337" s="1331"/>
      <c r="B337" s="2174" t="s">
        <v>1108</v>
      </c>
      <c r="C337" s="1202"/>
      <c r="D337" s="1202"/>
      <c r="E337" s="1387">
        <v>1</v>
      </c>
      <c r="F337" s="1384" t="s">
        <v>1104</v>
      </c>
      <c r="G337" s="2176">
        <f>ROUND(SUM(H335:H336)*15%,)</f>
        <v>38813</v>
      </c>
      <c r="H337" s="1264">
        <f t="shared" si="57"/>
        <v>38813</v>
      </c>
      <c r="I337" s="2177">
        <f>ROUND(G337*0.3,)</f>
        <v>11644</v>
      </c>
      <c r="J337" s="1264">
        <f t="shared" si="55"/>
        <v>11644</v>
      </c>
      <c r="K337" s="1273">
        <f t="shared" si="56"/>
        <v>50457</v>
      </c>
      <c r="L337" s="1385"/>
      <c r="M337" s="1214"/>
      <c r="N337" s="1214"/>
      <c r="O337" s="1214"/>
      <c r="P337" s="1214"/>
    </row>
    <row r="338" spans="1:17" s="1199" customFormat="1" ht="24" customHeight="1">
      <c r="A338" s="1406" t="s">
        <v>2916</v>
      </c>
      <c r="B338" s="2174" t="s">
        <v>1449</v>
      </c>
      <c r="C338" s="1202"/>
      <c r="D338" s="1202"/>
      <c r="E338" s="1387"/>
      <c r="F338" s="1384"/>
      <c r="G338" s="2176"/>
      <c r="H338" s="1264">
        <f t="shared" si="57"/>
        <v>0</v>
      </c>
      <c r="I338" s="2177"/>
      <c r="J338" s="1264">
        <f t="shared" si="55"/>
        <v>0</v>
      </c>
      <c r="K338" s="1273">
        <f t="shared" si="56"/>
        <v>0</v>
      </c>
      <c r="L338" s="1385"/>
      <c r="M338" s="1214"/>
      <c r="N338" s="1214"/>
      <c r="O338" s="1214"/>
      <c r="P338" s="1214"/>
    </row>
    <row r="339" spans="1:17" s="1199" customFormat="1" ht="24" customHeight="1">
      <c r="A339" s="1331"/>
      <c r="B339" s="2174" t="s">
        <v>1350</v>
      </c>
      <c r="C339" s="1202"/>
      <c r="D339" s="1202"/>
      <c r="E339" s="1387">
        <v>203</v>
      </c>
      <c r="F339" s="1358" t="s">
        <v>226</v>
      </c>
      <c r="G339" s="2176">
        <v>14</v>
      </c>
      <c r="H339" s="1264">
        <f t="shared" si="57"/>
        <v>2842</v>
      </c>
      <c r="I339" s="2177">
        <v>11</v>
      </c>
      <c r="J339" s="1264">
        <f t="shared" si="55"/>
        <v>2233</v>
      </c>
      <c r="K339" s="1273">
        <f t="shared" si="56"/>
        <v>5075</v>
      </c>
      <c r="L339" s="1385"/>
      <c r="M339" s="1214"/>
      <c r="N339" s="1214"/>
      <c r="O339" s="1214"/>
      <c r="P339" s="1214"/>
    </row>
    <row r="340" spans="1:17" s="1199" customFormat="1" ht="24" customHeight="1">
      <c r="A340" s="1331"/>
      <c r="B340" s="2174" t="s">
        <v>1117</v>
      </c>
      <c r="C340" s="1202"/>
      <c r="D340" s="1202"/>
      <c r="E340" s="1387"/>
      <c r="F340" s="1384"/>
      <c r="G340" s="2176"/>
      <c r="H340" s="1388"/>
      <c r="I340" s="2177"/>
      <c r="J340" s="1385"/>
      <c r="K340" s="1385"/>
      <c r="L340" s="1385"/>
      <c r="M340" s="1214"/>
      <c r="N340" s="1214"/>
      <c r="O340" s="1214"/>
      <c r="P340" s="1214"/>
      <c r="Q340" s="1214"/>
    </row>
    <row r="341" spans="1:17" s="1199" customFormat="1" ht="24" customHeight="1">
      <c r="A341" s="1331"/>
      <c r="B341" s="2174" t="s">
        <v>1369</v>
      </c>
      <c r="C341" s="1202"/>
      <c r="D341" s="1202"/>
      <c r="E341" s="1387"/>
      <c r="F341" s="1384"/>
      <c r="G341" s="2176"/>
      <c r="H341" s="1388"/>
      <c r="I341" s="2177"/>
      <c r="J341" s="1385"/>
      <c r="K341" s="1385"/>
      <c r="L341" s="1385"/>
      <c r="M341" s="1214"/>
      <c r="N341" s="1214"/>
      <c r="O341" s="1214"/>
      <c r="P341" s="1214"/>
      <c r="Q341" s="1214"/>
    </row>
    <row r="342" spans="1:17" s="1199" customFormat="1" ht="24" customHeight="1">
      <c r="A342" s="1331"/>
      <c r="B342" s="2174" t="s">
        <v>1369</v>
      </c>
      <c r="C342" s="1202"/>
      <c r="D342" s="1202"/>
      <c r="E342" s="1387"/>
      <c r="F342" s="1384"/>
      <c r="G342" s="2176"/>
      <c r="H342" s="1388"/>
      <c r="I342" s="2177"/>
      <c r="J342" s="1385"/>
      <c r="K342" s="1385"/>
      <c r="L342" s="1385"/>
      <c r="M342" s="1214"/>
      <c r="N342" s="1214"/>
      <c r="O342" s="1214"/>
      <c r="P342" s="1214"/>
      <c r="Q342" s="1214"/>
    </row>
    <row r="343" spans="1:17" s="1199" customFormat="1" ht="24" customHeight="1">
      <c r="A343" s="1359"/>
      <c r="B343" s="1190"/>
      <c r="C343" s="1225"/>
      <c r="D343" s="1225"/>
      <c r="E343" s="1390"/>
      <c r="F343" s="1391"/>
      <c r="G343" s="1392"/>
      <c r="H343" s="1393"/>
      <c r="I343" s="1394"/>
      <c r="J343" s="1395"/>
      <c r="K343" s="1395"/>
      <c r="L343" s="1395"/>
      <c r="M343" s="1214"/>
      <c r="N343" s="1214"/>
      <c r="O343" s="1214"/>
      <c r="P343" s="1214"/>
      <c r="Q343" s="1214"/>
    </row>
    <row r="344" spans="1:17" s="1199" customFormat="1" ht="24" customHeight="1">
      <c r="A344" s="1359"/>
      <c r="B344" s="1190"/>
      <c r="C344" s="1225"/>
      <c r="D344" s="1225"/>
      <c r="E344" s="1390"/>
      <c r="F344" s="1391"/>
      <c r="G344" s="1392"/>
      <c r="H344" s="1393"/>
      <c r="I344" s="1394"/>
      <c r="J344" s="1395"/>
      <c r="K344" s="1395"/>
      <c r="L344" s="1395"/>
      <c r="M344" s="1214"/>
      <c r="N344" s="1214"/>
      <c r="O344" s="1214"/>
      <c r="P344" s="1214"/>
      <c r="Q344" s="1214"/>
    </row>
    <row r="345" spans="1:17" s="1199" customFormat="1" ht="24" customHeight="1">
      <c r="A345" s="1417"/>
      <c r="B345" s="1418"/>
      <c r="C345" s="1419"/>
      <c r="D345" s="1419"/>
      <c r="E345" s="1420"/>
      <c r="F345" s="1421"/>
      <c r="G345" s="1422"/>
      <c r="H345" s="1423"/>
      <c r="I345" s="1424"/>
      <c r="J345" s="1500"/>
      <c r="K345" s="1500"/>
      <c r="L345" s="1500"/>
      <c r="M345" s="1214"/>
      <c r="N345" s="1214"/>
      <c r="O345" s="1214"/>
      <c r="P345" s="1214"/>
      <c r="Q345" s="1214"/>
    </row>
    <row r="346" spans="1:17" s="1199" customFormat="1" ht="24" customHeight="1">
      <c r="A346" s="1243"/>
      <c r="B346" s="2257" t="str">
        <f>"รวมราคารายการที่ "&amp;A303</f>
        <v>รวมราคารายการที่ 3.8</v>
      </c>
      <c r="C346" s="2258"/>
      <c r="D346" s="2259"/>
      <c r="E346" s="1244"/>
      <c r="F346" s="1245"/>
      <c r="G346" s="1246"/>
      <c r="H346" s="1247">
        <f>SUM(H304:H342)</f>
        <v>1631234</v>
      </c>
      <c r="I346" s="1246"/>
      <c r="J346" s="1247">
        <f t="shared" ref="J346:K346" si="60">SUM(J304:J342)</f>
        <v>267256</v>
      </c>
      <c r="K346" s="1247">
        <f t="shared" si="60"/>
        <v>1898490</v>
      </c>
      <c r="L346" s="1245"/>
      <c r="M346" s="1214"/>
      <c r="N346" s="1214"/>
      <c r="O346" s="1214"/>
      <c r="P346" s="1214"/>
      <c r="Q346" s="1214"/>
    </row>
    <row r="347" spans="1:17" s="1199" customFormat="1" ht="24" customHeight="1">
      <c r="A347" s="1483">
        <v>3.9</v>
      </c>
      <c r="B347" s="1249" t="s">
        <v>1404</v>
      </c>
      <c r="C347" s="1492"/>
      <c r="D347" s="1492"/>
      <c r="E347" s="1493"/>
      <c r="F347" s="1503"/>
      <c r="G347" s="1495"/>
      <c r="H347" s="1496"/>
      <c r="I347" s="1497"/>
      <c r="J347" s="1498"/>
      <c r="K347" s="1498"/>
      <c r="L347" s="1498"/>
      <c r="M347" s="1214"/>
      <c r="N347" s="1214"/>
      <c r="O347" s="1214"/>
      <c r="P347" s="1214"/>
      <c r="Q347" s="1214"/>
    </row>
    <row r="348" spans="1:17" s="1199" customFormat="1" ht="24" customHeight="1">
      <c r="A348" s="1406" t="s">
        <v>1313</v>
      </c>
      <c r="B348" s="2174" t="s">
        <v>1529</v>
      </c>
      <c r="C348" s="1202"/>
      <c r="D348" s="1202"/>
      <c r="E348" s="1387">
        <v>24</v>
      </c>
      <c r="F348" s="1207" t="s">
        <v>363</v>
      </c>
      <c r="G348" s="2176">
        <v>900</v>
      </c>
      <c r="H348" s="1264">
        <f t="shared" ref="H348:H354" si="61">ROUND(G348*E348,)</f>
        <v>21600</v>
      </c>
      <c r="I348" s="2177">
        <v>140</v>
      </c>
      <c r="J348" s="1264">
        <f t="shared" ref="J348:J361" si="62">ROUND(E348*I348,)</f>
        <v>3360</v>
      </c>
      <c r="K348" s="1273">
        <f t="shared" ref="K348:K361" si="63">H348+J348</f>
        <v>24960</v>
      </c>
      <c r="L348" s="1385"/>
      <c r="M348" s="1214"/>
      <c r="N348" s="1214"/>
      <c r="O348" s="1214"/>
      <c r="P348" s="1214"/>
      <c r="Q348" s="1214"/>
    </row>
    <row r="349" spans="1:17" s="1199" customFormat="1" ht="24" customHeight="1">
      <c r="A349" s="1406" t="s">
        <v>1547</v>
      </c>
      <c r="B349" s="2174" t="s">
        <v>1530</v>
      </c>
      <c r="C349" s="1202"/>
      <c r="D349" s="1202"/>
      <c r="E349" s="1387">
        <v>0</v>
      </c>
      <c r="F349" s="1207" t="s">
        <v>363</v>
      </c>
      <c r="G349" s="2176">
        <v>5700</v>
      </c>
      <c r="H349" s="1264">
        <f t="shared" si="61"/>
        <v>0</v>
      </c>
      <c r="I349" s="2177">
        <v>140</v>
      </c>
      <c r="J349" s="1264">
        <f t="shared" si="62"/>
        <v>0</v>
      </c>
      <c r="K349" s="1273">
        <f t="shared" si="63"/>
        <v>0</v>
      </c>
      <c r="L349" s="1385"/>
      <c r="M349" s="1214"/>
      <c r="N349" s="1214"/>
      <c r="O349" s="1214"/>
      <c r="P349" s="1214"/>
      <c r="Q349" s="1214"/>
    </row>
    <row r="350" spans="1:17" s="1199" customFormat="1" ht="24" customHeight="1">
      <c r="A350" s="1406" t="s">
        <v>1549</v>
      </c>
      <c r="B350" s="2174" t="s">
        <v>1531</v>
      </c>
      <c r="C350" s="1202"/>
      <c r="D350" s="1202"/>
      <c r="E350" s="1387">
        <v>2</v>
      </c>
      <c r="F350" s="1207" t="s">
        <v>363</v>
      </c>
      <c r="G350" s="2176">
        <v>3800</v>
      </c>
      <c r="H350" s="1264">
        <f t="shared" si="61"/>
        <v>7600</v>
      </c>
      <c r="I350" s="2177">
        <v>200</v>
      </c>
      <c r="J350" s="1264">
        <f t="shared" si="62"/>
        <v>400</v>
      </c>
      <c r="K350" s="1273">
        <f t="shared" si="63"/>
        <v>8000</v>
      </c>
      <c r="L350" s="1385"/>
      <c r="M350" s="1214"/>
      <c r="N350" s="1214"/>
      <c r="O350" s="1214"/>
      <c r="P350" s="1214"/>
      <c r="Q350" s="1214"/>
    </row>
    <row r="351" spans="1:17" s="1199" customFormat="1" ht="24" customHeight="1">
      <c r="A351" s="1406" t="s">
        <v>1631</v>
      </c>
      <c r="B351" s="2174" t="s">
        <v>1532</v>
      </c>
      <c r="C351" s="1202"/>
      <c r="D351" s="1202"/>
      <c r="E351" s="1387">
        <v>2</v>
      </c>
      <c r="F351" s="1207" t="s">
        <v>363</v>
      </c>
      <c r="G351" s="2176">
        <v>5000</v>
      </c>
      <c r="H351" s="1264">
        <f t="shared" si="61"/>
        <v>10000</v>
      </c>
      <c r="I351" s="2177">
        <f>G351*0.1</f>
        <v>500</v>
      </c>
      <c r="J351" s="1264">
        <f t="shared" si="62"/>
        <v>1000</v>
      </c>
      <c r="K351" s="1273">
        <f t="shared" si="63"/>
        <v>11000</v>
      </c>
      <c r="L351" s="1385"/>
      <c r="M351" s="1214"/>
      <c r="N351" s="1214"/>
      <c r="O351" s="1214"/>
      <c r="P351" s="1214"/>
      <c r="Q351" s="1214"/>
    </row>
    <row r="352" spans="1:17" s="1199" customFormat="1" ht="24" customHeight="1">
      <c r="A352" s="1406" t="s">
        <v>1610</v>
      </c>
      <c r="B352" s="2174" t="s">
        <v>1312</v>
      </c>
      <c r="C352" s="1202"/>
      <c r="D352" s="1202"/>
      <c r="E352" s="1387"/>
      <c r="F352" s="1384"/>
      <c r="G352" s="2176"/>
      <c r="H352" s="1264">
        <f t="shared" si="61"/>
        <v>0</v>
      </c>
      <c r="I352" s="2177"/>
      <c r="J352" s="1264">
        <f t="shared" si="62"/>
        <v>0</v>
      </c>
      <c r="K352" s="1273">
        <f t="shared" si="63"/>
        <v>0</v>
      </c>
      <c r="L352" s="1385"/>
      <c r="M352" s="1214"/>
      <c r="N352" s="1214"/>
      <c r="O352" s="1214"/>
      <c r="P352" s="1214"/>
      <c r="Q352" s="1214"/>
    </row>
    <row r="353" spans="1:21" s="1199" customFormat="1" ht="24" customHeight="1">
      <c r="A353" s="1331"/>
      <c r="B353" s="2174" t="s">
        <v>1534</v>
      </c>
      <c r="C353" s="1202"/>
      <c r="D353" s="1202"/>
      <c r="E353" s="1387">
        <v>827.99999999999989</v>
      </c>
      <c r="F353" s="1358" t="s">
        <v>226</v>
      </c>
      <c r="G353" s="2176">
        <v>32</v>
      </c>
      <c r="H353" s="1264">
        <f t="shared" si="61"/>
        <v>26496</v>
      </c>
      <c r="I353" s="2177">
        <v>11</v>
      </c>
      <c r="J353" s="1264">
        <f t="shared" si="62"/>
        <v>9108</v>
      </c>
      <c r="K353" s="1802">
        <f t="shared" si="63"/>
        <v>35604</v>
      </c>
      <c r="L353" s="2001" t="s">
        <v>2667</v>
      </c>
      <c r="M353" s="1214"/>
      <c r="N353" s="1199">
        <v>3183</v>
      </c>
      <c r="O353" s="1199">
        <f>ROUND(N353/100,)</f>
        <v>32</v>
      </c>
      <c r="P353" s="1214"/>
      <c r="Q353" s="1214"/>
    </row>
    <row r="354" spans="1:21" s="1199" customFormat="1" ht="24" customHeight="1">
      <c r="A354" s="1331"/>
      <c r="B354" s="2174" t="s">
        <v>1535</v>
      </c>
      <c r="C354" s="1202"/>
      <c r="D354" s="1202"/>
      <c r="E354" s="1387">
        <v>114.99999999999999</v>
      </c>
      <c r="F354" s="1358" t="s">
        <v>226</v>
      </c>
      <c r="G354" s="2176">
        <v>40</v>
      </c>
      <c r="H354" s="1264">
        <f t="shared" si="61"/>
        <v>4600</v>
      </c>
      <c r="I354" s="2177">
        <v>12</v>
      </c>
      <c r="J354" s="1264">
        <f t="shared" si="62"/>
        <v>1380</v>
      </c>
      <c r="K354" s="1802">
        <f t="shared" si="63"/>
        <v>5980</v>
      </c>
      <c r="L354" s="2001" t="s">
        <v>2667</v>
      </c>
      <c r="M354" s="1214"/>
      <c r="N354" s="1199">
        <v>4039</v>
      </c>
      <c r="O354" s="1199">
        <f>ROUND(N354/100,)</f>
        <v>40</v>
      </c>
      <c r="P354" s="1214"/>
      <c r="Q354" s="1214"/>
    </row>
    <row r="355" spans="1:21" s="1199" customFormat="1" ht="24" customHeight="1">
      <c r="A355" s="1331"/>
      <c r="B355" s="2174" t="s">
        <v>1525</v>
      </c>
      <c r="C355" s="1202"/>
      <c r="D355" s="1202"/>
      <c r="E355" s="1387">
        <v>1</v>
      </c>
      <c r="F355" s="1384" t="s">
        <v>1104</v>
      </c>
      <c r="G355" s="2176">
        <f>ROUND(SUM(H353:H354)*5%,)</f>
        <v>1555</v>
      </c>
      <c r="H355" s="1264">
        <f>ROUND(E355*G355,)</f>
        <v>1555</v>
      </c>
      <c r="I355" s="2177">
        <f>ROUND(G355*0.3,)</f>
        <v>467</v>
      </c>
      <c r="J355" s="1264">
        <f t="shared" si="62"/>
        <v>467</v>
      </c>
      <c r="K355" s="1273">
        <f t="shared" si="63"/>
        <v>2022</v>
      </c>
      <c r="L355" s="1385"/>
      <c r="M355" s="1214"/>
      <c r="N355" s="1214"/>
      <c r="O355" s="1214"/>
      <c r="P355" s="1214"/>
      <c r="Q355" s="1214"/>
    </row>
    <row r="356" spans="1:21" s="1199" customFormat="1" ht="24" customHeight="1">
      <c r="A356" s="1331"/>
      <c r="B356" s="2174"/>
      <c r="C356" s="1202"/>
      <c r="D356" s="1202"/>
      <c r="E356" s="1387"/>
      <c r="F356" s="1384"/>
      <c r="G356" s="2176"/>
      <c r="H356" s="1264"/>
      <c r="I356" s="2177"/>
      <c r="J356" s="1264"/>
      <c r="K356" s="1273"/>
      <c r="L356" s="1385"/>
      <c r="M356" s="1214"/>
      <c r="N356" s="1214"/>
      <c r="O356" s="1214"/>
      <c r="P356" s="1214"/>
      <c r="Q356" s="1214"/>
    </row>
    <row r="357" spans="1:21" s="1199" customFormat="1" ht="24" customHeight="1">
      <c r="A357" s="1331" t="s">
        <v>1632</v>
      </c>
      <c r="B357" s="2174" t="s">
        <v>1526</v>
      </c>
      <c r="C357" s="1202"/>
      <c r="D357" s="1202"/>
      <c r="E357" s="1387"/>
      <c r="F357" s="1384"/>
      <c r="G357" s="2176"/>
      <c r="H357" s="1264">
        <f>ROUND(G357*E357,)</f>
        <v>0</v>
      </c>
      <c r="I357" s="2177"/>
      <c r="J357" s="1264">
        <f t="shared" si="62"/>
        <v>0</v>
      </c>
      <c r="K357" s="1273">
        <f t="shared" si="63"/>
        <v>0</v>
      </c>
      <c r="L357" s="1385"/>
      <c r="M357" s="1214"/>
      <c r="N357" s="1214"/>
      <c r="O357" s="1214"/>
      <c r="P357" s="1214"/>
      <c r="Q357" s="1214"/>
    </row>
    <row r="358" spans="1:21" s="1199" customFormat="1" ht="24" customHeight="1">
      <c r="A358" s="1331"/>
      <c r="B358" s="2174" t="s">
        <v>1350</v>
      </c>
      <c r="C358" s="1202"/>
      <c r="D358" s="1202"/>
      <c r="E358" s="1387">
        <v>942.99999999999989</v>
      </c>
      <c r="F358" s="1358" t="s">
        <v>226</v>
      </c>
      <c r="G358" s="2176">
        <v>27</v>
      </c>
      <c r="H358" s="1264">
        <f t="shared" ref="H358" si="64">ROUND(G358*E358,)</f>
        <v>25461</v>
      </c>
      <c r="I358" s="2177">
        <v>22</v>
      </c>
      <c r="J358" s="1264">
        <f t="shared" si="62"/>
        <v>20746</v>
      </c>
      <c r="K358" s="1802">
        <f t="shared" si="63"/>
        <v>46207</v>
      </c>
      <c r="L358" s="2001" t="s">
        <v>2667</v>
      </c>
      <c r="M358" s="1214"/>
      <c r="N358" s="1199">
        <v>79.8</v>
      </c>
      <c r="O358" s="1199">
        <f>ROUND(N358/3,)</f>
        <v>27</v>
      </c>
      <c r="P358" s="1214"/>
      <c r="Q358" s="1214"/>
    </row>
    <row r="359" spans="1:21" s="1199" customFormat="1" ht="24" customHeight="1">
      <c r="A359" s="1331"/>
      <c r="B359" s="2174" t="s">
        <v>1384</v>
      </c>
      <c r="C359" s="1202"/>
      <c r="D359" s="1202"/>
      <c r="E359" s="1387">
        <v>1</v>
      </c>
      <c r="F359" s="1407" t="s">
        <v>1104</v>
      </c>
      <c r="G359" s="2176">
        <f>ROUND(SUM(H358:H358)*15%,)</f>
        <v>3819</v>
      </c>
      <c r="H359" s="1264">
        <f>ROUND(G359*E359,)</f>
        <v>3819</v>
      </c>
      <c r="I359" s="2177">
        <f>ROUND(G359*0.3,)</f>
        <v>1146</v>
      </c>
      <c r="J359" s="1264">
        <f t="shared" si="62"/>
        <v>1146</v>
      </c>
      <c r="K359" s="1273">
        <f t="shared" si="63"/>
        <v>4965</v>
      </c>
      <c r="L359" s="1385"/>
      <c r="M359" s="1214"/>
      <c r="N359" s="1214"/>
      <c r="O359" s="1214"/>
      <c r="P359" s="1214"/>
      <c r="Q359" s="1214"/>
    </row>
    <row r="360" spans="1:21" s="1199" customFormat="1" ht="24" customHeight="1">
      <c r="A360" s="1331" t="s">
        <v>2952</v>
      </c>
      <c r="B360" s="2174" t="s">
        <v>1449</v>
      </c>
      <c r="C360" s="1202"/>
      <c r="D360" s="1202"/>
      <c r="E360" s="1387"/>
      <c r="F360" s="1384"/>
      <c r="G360" s="2176"/>
      <c r="H360" s="1264">
        <f>ROUND(G360*E360,)</f>
        <v>0</v>
      </c>
      <c r="I360" s="2177"/>
      <c r="J360" s="1264">
        <f t="shared" si="62"/>
        <v>0</v>
      </c>
      <c r="K360" s="1273">
        <f t="shared" si="63"/>
        <v>0</v>
      </c>
      <c r="L360" s="1385"/>
      <c r="M360" s="1214"/>
      <c r="N360" s="1214"/>
      <c r="O360" s="1214"/>
      <c r="P360" s="1214"/>
      <c r="Q360" s="1214"/>
    </row>
    <row r="361" spans="1:21" s="1199" customFormat="1" ht="24" customHeight="1">
      <c r="A361" s="1331"/>
      <c r="B361" s="2174" t="s">
        <v>1350</v>
      </c>
      <c r="C361" s="1202"/>
      <c r="D361" s="1202"/>
      <c r="E361" s="1387">
        <v>24</v>
      </c>
      <c r="F361" s="1358" t="s">
        <v>226</v>
      </c>
      <c r="G361" s="2176">
        <v>14</v>
      </c>
      <c r="H361" s="1264">
        <f>ROUND(G361*E361,)</f>
        <v>336</v>
      </c>
      <c r="I361" s="2177">
        <v>11</v>
      </c>
      <c r="J361" s="1264">
        <f t="shared" si="62"/>
        <v>264</v>
      </c>
      <c r="K361" s="1273">
        <f t="shared" si="63"/>
        <v>600</v>
      </c>
      <c r="L361" s="1385"/>
      <c r="M361" s="1214"/>
      <c r="N361" s="1214"/>
      <c r="O361" s="1214"/>
      <c r="P361" s="1214"/>
      <c r="Q361" s="1214"/>
    </row>
    <row r="362" spans="1:21" s="1199" customFormat="1" ht="24" customHeight="1">
      <c r="A362" s="1331"/>
      <c r="B362" s="2174" t="s">
        <v>1117</v>
      </c>
      <c r="C362" s="1202"/>
      <c r="D362" s="1202"/>
      <c r="E362" s="1387"/>
      <c r="F362" s="1384"/>
      <c r="G362" s="2176"/>
      <c r="H362" s="1388"/>
      <c r="I362" s="2177"/>
      <c r="J362" s="1385"/>
      <c r="K362" s="1385"/>
      <c r="L362" s="1385"/>
      <c r="M362" s="1214"/>
      <c r="N362" s="1214"/>
      <c r="O362" s="1214"/>
      <c r="P362" s="1214"/>
      <c r="Q362" s="1214"/>
    </row>
    <row r="363" spans="1:21" s="1199" customFormat="1" ht="24" customHeight="1">
      <c r="A363" s="1243"/>
      <c r="B363" s="2257" t="str">
        <f>"รวมราคารายการที่ "&amp;A347</f>
        <v>รวมราคารายการที่ 3.9</v>
      </c>
      <c r="C363" s="2258"/>
      <c r="D363" s="2259"/>
      <c r="E363" s="1244"/>
      <c r="F363" s="1245"/>
      <c r="G363" s="1246"/>
      <c r="H363" s="1247">
        <f>SUM(H348:H362)</f>
        <v>101467</v>
      </c>
      <c r="I363" s="1246"/>
      <c r="J363" s="1247">
        <f>SUM(J348:J362)</f>
        <v>37871</v>
      </c>
      <c r="K363" s="1247">
        <f>SUM(K348:K362)</f>
        <v>139338</v>
      </c>
      <c r="L363" s="1245"/>
      <c r="M363" s="1214"/>
      <c r="N363" s="1214"/>
      <c r="O363" s="1214"/>
      <c r="P363" s="1214"/>
      <c r="Q363" s="1214"/>
    </row>
    <row r="364" spans="1:21" s="1199" customFormat="1" ht="24" customHeight="1">
      <c r="A364" s="1381" t="s">
        <v>1332</v>
      </c>
      <c r="B364" s="1292" t="s">
        <v>1419</v>
      </c>
      <c r="C364" s="1235"/>
      <c r="D364" s="1235"/>
      <c r="E364" s="1397"/>
      <c r="F364" s="1398"/>
      <c r="G364" s="1399"/>
      <c r="H364" s="1400"/>
      <c r="I364" s="1401"/>
      <c r="J364" s="1402"/>
      <c r="K364" s="1402"/>
      <c r="L364" s="1402"/>
      <c r="M364" s="1214"/>
      <c r="N364" s="1214"/>
      <c r="O364" s="1214"/>
      <c r="P364" s="1214"/>
      <c r="Q364" s="1214"/>
    </row>
    <row r="365" spans="1:21" s="1199" customFormat="1" ht="24" customHeight="1">
      <c r="A365" s="1474" t="s">
        <v>1334</v>
      </c>
      <c r="B365" s="2174" t="s">
        <v>2712</v>
      </c>
      <c r="C365" s="1191"/>
      <c r="D365" s="1471"/>
      <c r="E365" s="1206"/>
      <c r="F365" s="1207"/>
      <c r="G365" s="1541"/>
      <c r="H365" s="1273"/>
      <c r="I365" s="2177"/>
      <c r="J365" s="1264"/>
      <c r="K365" s="1265"/>
      <c r="L365" s="1473"/>
      <c r="M365" s="1214"/>
      <c r="N365" s="1214"/>
      <c r="O365" s="1214"/>
      <c r="P365" s="1214"/>
      <c r="Q365" s="1214"/>
      <c r="R365" s="1214"/>
      <c r="S365" s="1214"/>
      <c r="T365" s="1214"/>
      <c r="U365" s="1214"/>
    </row>
    <row r="366" spans="1:21" s="1199" customFormat="1" ht="24" customHeight="1">
      <c r="A366" s="1474"/>
      <c r="B366" s="2174" t="s">
        <v>1573</v>
      </c>
      <c r="C366" s="1191"/>
      <c r="D366" s="1471"/>
      <c r="E366" s="1206">
        <v>2</v>
      </c>
      <c r="F366" s="1207" t="s">
        <v>363</v>
      </c>
      <c r="G366" s="2179">
        <v>50000</v>
      </c>
      <c r="H366" s="1343">
        <f>ROUND(E366*G366,)</f>
        <v>100000</v>
      </c>
      <c r="I366" s="1344">
        <f>G366*0.01</f>
        <v>500</v>
      </c>
      <c r="J366" s="1343">
        <f>ROUND(I366*E366,)</f>
        <v>1000</v>
      </c>
      <c r="K366" s="1344">
        <f>H366+J366</f>
        <v>101000</v>
      </c>
      <c r="L366" s="1473"/>
      <c r="M366" s="1214"/>
      <c r="N366" s="1214"/>
      <c r="O366" s="1214"/>
      <c r="P366" s="1214"/>
      <c r="Q366" s="1214"/>
      <c r="R366" s="1214"/>
      <c r="S366" s="1214"/>
      <c r="T366" s="1214"/>
      <c r="U366" s="1214"/>
    </row>
    <row r="367" spans="1:21" s="1199" customFormat="1" ht="24" customHeight="1">
      <c r="A367" s="1474"/>
      <c r="B367" s="2174" t="s">
        <v>1574</v>
      </c>
      <c r="C367" s="1191"/>
      <c r="D367" s="1471"/>
      <c r="E367" s="1206">
        <v>2</v>
      </c>
      <c r="F367" s="1207" t="s">
        <v>363</v>
      </c>
      <c r="G367" s="2179">
        <v>25000</v>
      </c>
      <c r="H367" s="1343">
        <f>ROUND(E367*G367,)</f>
        <v>50000</v>
      </c>
      <c r="I367" s="1344">
        <f>ROUND(G367*0.01,)</f>
        <v>250</v>
      </c>
      <c r="J367" s="1343">
        <f>ROUND(I367*E367,)</f>
        <v>500</v>
      </c>
      <c r="K367" s="1344">
        <f>H367+J367</f>
        <v>50500</v>
      </c>
      <c r="L367" s="1473"/>
      <c r="M367" s="1214"/>
      <c r="N367" s="1214"/>
      <c r="O367" s="1214"/>
      <c r="P367" s="1214"/>
      <c r="Q367" s="1214"/>
      <c r="R367" s="1214"/>
      <c r="S367" s="1214"/>
      <c r="T367" s="1214"/>
      <c r="U367" s="1214"/>
    </row>
    <row r="368" spans="1:21" s="1199" customFormat="1" ht="24" customHeight="1">
      <c r="A368" s="1475"/>
      <c r="B368" s="2174" t="s">
        <v>1575</v>
      </c>
      <c r="C368" s="1191"/>
      <c r="D368" s="1471"/>
      <c r="E368" s="1206">
        <v>48</v>
      </c>
      <c r="F368" s="1207" t="s">
        <v>363</v>
      </c>
      <c r="G368" s="2179">
        <v>400</v>
      </c>
      <c r="H368" s="1343">
        <f>ROUND(E368*G368,)</f>
        <v>19200</v>
      </c>
      <c r="I368" s="1344">
        <f>ROUND(G368*0.01,)</f>
        <v>4</v>
      </c>
      <c r="J368" s="1343">
        <f>ROUND(I368*E368,)</f>
        <v>192</v>
      </c>
      <c r="K368" s="1344">
        <f>H368+J368</f>
        <v>19392</v>
      </c>
      <c r="L368" s="1473"/>
      <c r="M368" s="1214"/>
      <c r="N368" s="1214"/>
      <c r="O368" s="1214"/>
      <c r="P368" s="1214"/>
      <c r="Q368" s="1214"/>
      <c r="R368" s="1214"/>
      <c r="S368" s="1214"/>
      <c r="T368" s="1214"/>
      <c r="U368" s="1214"/>
    </row>
    <row r="369" spans="1:21" s="1199" customFormat="1" ht="24" customHeight="1">
      <c r="A369" s="1475"/>
      <c r="B369" s="2174" t="s">
        <v>2710</v>
      </c>
      <c r="C369" s="1191"/>
      <c r="D369" s="1471"/>
      <c r="E369" s="1206"/>
      <c r="F369" s="1207" t="s">
        <v>363</v>
      </c>
      <c r="G369" s="2179"/>
      <c r="H369" s="1273"/>
      <c r="I369" s="1265"/>
      <c r="J369" s="1264"/>
      <c r="K369" s="1265"/>
      <c r="L369" s="1473"/>
      <c r="M369" s="1214"/>
      <c r="N369" s="1214"/>
      <c r="O369" s="1214"/>
      <c r="P369" s="1214"/>
      <c r="Q369" s="1214"/>
      <c r="R369" s="1214"/>
      <c r="S369" s="1214"/>
      <c r="T369" s="1214"/>
      <c r="U369" s="1214"/>
    </row>
    <row r="370" spans="1:21" s="1199" customFormat="1" ht="24" customHeight="1">
      <c r="A370" s="1559"/>
      <c r="B370" s="2174" t="s">
        <v>1684</v>
      </c>
      <c r="C370" s="1191"/>
      <c r="D370" s="1471"/>
      <c r="E370" s="1206"/>
      <c r="F370" s="1207" t="s">
        <v>363</v>
      </c>
      <c r="G370" s="2179"/>
      <c r="H370" s="1273"/>
      <c r="I370" s="1265"/>
      <c r="J370" s="1264"/>
      <c r="K370" s="1265"/>
      <c r="L370" s="1469"/>
      <c r="M370" s="1214"/>
      <c r="N370" s="1214"/>
      <c r="O370" s="1214"/>
      <c r="P370" s="1214"/>
      <c r="Q370" s="1214"/>
      <c r="R370" s="1214"/>
      <c r="S370" s="1214"/>
      <c r="T370" s="1214"/>
      <c r="U370" s="1214"/>
    </row>
    <row r="371" spans="1:21" s="1199" customFormat="1" ht="24" customHeight="1">
      <c r="A371" s="1331" t="s">
        <v>1556</v>
      </c>
      <c r="B371" s="1190" t="s">
        <v>1539</v>
      </c>
      <c r="C371" s="1202"/>
      <c r="D371" s="1202"/>
      <c r="E371" s="1387"/>
      <c r="F371" s="1384"/>
      <c r="G371" s="2176"/>
      <c r="H371" s="1388"/>
      <c r="I371" s="2177"/>
      <c r="J371" s="1385"/>
      <c r="K371" s="1385"/>
      <c r="L371" s="1385"/>
      <c r="M371" s="1214"/>
      <c r="N371" s="1214"/>
      <c r="O371" s="1214"/>
      <c r="P371" s="1214"/>
      <c r="Q371" s="1214"/>
    </row>
    <row r="372" spans="1:21" s="1199" customFormat="1" ht="24" customHeight="1">
      <c r="A372" s="1331"/>
      <c r="B372" s="1190" t="s">
        <v>1540</v>
      </c>
      <c r="C372" s="1202"/>
      <c r="D372" s="1202"/>
      <c r="E372" s="1387">
        <v>2</v>
      </c>
      <c r="F372" s="1194" t="s">
        <v>363</v>
      </c>
      <c r="G372" s="2176">
        <v>46645</v>
      </c>
      <c r="H372" s="1388">
        <f t="shared" ref="H372:H377" si="65">ROUND(E372*G372,)</f>
        <v>93290</v>
      </c>
      <c r="I372" s="2177">
        <v>5000</v>
      </c>
      <c r="J372" s="1385">
        <f>ROUND(E372*I372,)</f>
        <v>10000</v>
      </c>
      <c r="K372" s="1385">
        <f t="shared" ref="K372:K377" si="66">H372+J372</f>
        <v>103290</v>
      </c>
      <c r="L372" s="1385"/>
      <c r="M372" s="1214"/>
      <c r="N372" s="1214"/>
      <c r="O372" s="1214"/>
      <c r="P372" s="1214"/>
      <c r="Q372" s="1214"/>
    </row>
    <row r="373" spans="1:21" s="1199" customFormat="1" ht="24" customHeight="1">
      <c r="A373" s="1331"/>
      <c r="B373" s="1190" t="s">
        <v>1541</v>
      </c>
      <c r="C373" s="1202"/>
      <c r="D373" s="1202"/>
      <c r="E373" s="1387">
        <v>4</v>
      </c>
      <c r="F373" s="1194" t="s">
        <v>363</v>
      </c>
      <c r="G373" s="2176">
        <v>21375</v>
      </c>
      <c r="H373" s="1388">
        <f t="shared" si="65"/>
        <v>85500</v>
      </c>
      <c r="I373" s="2177" t="s">
        <v>1542</v>
      </c>
      <c r="J373" s="1385"/>
      <c r="K373" s="1385">
        <f t="shared" si="66"/>
        <v>85500</v>
      </c>
      <c r="L373" s="1385"/>
      <c r="M373" s="1214"/>
      <c r="N373" s="1214"/>
      <c r="O373" s="1214"/>
      <c r="P373" s="1214"/>
      <c r="Q373" s="1214"/>
    </row>
    <row r="374" spans="1:21" s="1199" customFormat="1" ht="24" customHeight="1">
      <c r="A374" s="1331"/>
      <c r="B374" s="1190" t="s">
        <v>1543</v>
      </c>
      <c r="C374" s="1202"/>
      <c r="D374" s="1202"/>
      <c r="E374" s="1387">
        <v>4</v>
      </c>
      <c r="F374" s="1194" t="s">
        <v>363</v>
      </c>
      <c r="G374" s="2176">
        <v>9025</v>
      </c>
      <c r="H374" s="1388">
        <f t="shared" si="65"/>
        <v>36100</v>
      </c>
      <c r="I374" s="2177" t="s">
        <v>1542</v>
      </c>
      <c r="J374" s="1385"/>
      <c r="K374" s="1385">
        <f t="shared" si="66"/>
        <v>36100</v>
      </c>
      <c r="L374" s="1385"/>
      <c r="M374" s="1214"/>
      <c r="N374" s="1214"/>
      <c r="O374" s="1214"/>
      <c r="P374" s="1214"/>
      <c r="Q374" s="1214"/>
    </row>
    <row r="375" spans="1:21" s="1199" customFormat="1" ht="24" customHeight="1">
      <c r="A375" s="1331"/>
      <c r="B375" s="1190" t="s">
        <v>1544</v>
      </c>
      <c r="C375" s="1202"/>
      <c r="D375" s="1202"/>
      <c r="E375" s="1387">
        <v>4</v>
      </c>
      <c r="F375" s="1194" t="s">
        <v>363</v>
      </c>
      <c r="G375" s="2176">
        <v>1995</v>
      </c>
      <c r="H375" s="1388">
        <f t="shared" si="65"/>
        <v>7980</v>
      </c>
      <c r="I375" s="2177" t="s">
        <v>1542</v>
      </c>
      <c r="J375" s="1385"/>
      <c r="K375" s="1385">
        <f t="shared" si="66"/>
        <v>7980</v>
      </c>
      <c r="L375" s="1385"/>
      <c r="M375" s="1214"/>
      <c r="N375" s="1214"/>
      <c r="O375" s="1214"/>
      <c r="P375" s="1214"/>
      <c r="Q375" s="1214"/>
    </row>
    <row r="376" spans="1:21" s="1199" customFormat="1" ht="24" customHeight="1">
      <c r="A376" s="1331"/>
      <c r="B376" s="1190" t="s">
        <v>1545</v>
      </c>
      <c r="C376" s="1202"/>
      <c r="D376" s="1202"/>
      <c r="E376" s="1387">
        <v>4</v>
      </c>
      <c r="F376" s="1194" t="s">
        <v>363</v>
      </c>
      <c r="G376" s="2176">
        <v>427.5</v>
      </c>
      <c r="H376" s="1388">
        <f t="shared" si="65"/>
        <v>1710</v>
      </c>
      <c r="I376" s="2177" t="s">
        <v>1542</v>
      </c>
      <c r="J376" s="1385"/>
      <c r="K376" s="1385">
        <f t="shared" si="66"/>
        <v>1710</v>
      </c>
      <c r="L376" s="1385"/>
      <c r="M376" s="1214"/>
      <c r="N376" s="1214"/>
      <c r="O376" s="1214"/>
      <c r="P376" s="1214"/>
      <c r="Q376" s="1214"/>
    </row>
    <row r="377" spans="1:21" s="1199" customFormat="1" ht="24" customHeight="1">
      <c r="A377" s="1331"/>
      <c r="B377" s="1190" t="s">
        <v>1546</v>
      </c>
      <c r="C377" s="1202"/>
      <c r="D377" s="1202"/>
      <c r="E377" s="1387">
        <v>4</v>
      </c>
      <c r="F377" s="1194" t="s">
        <v>363</v>
      </c>
      <c r="G377" s="2176">
        <v>807.5</v>
      </c>
      <c r="H377" s="1388">
        <f t="shared" si="65"/>
        <v>3230</v>
      </c>
      <c r="I377" s="2177" t="s">
        <v>1542</v>
      </c>
      <c r="J377" s="1385"/>
      <c r="K377" s="1385">
        <f t="shared" si="66"/>
        <v>3230</v>
      </c>
      <c r="L377" s="1385"/>
      <c r="M377" s="1214"/>
      <c r="N377" s="1214"/>
      <c r="O377" s="1214"/>
      <c r="P377" s="1214"/>
      <c r="Q377" s="1214"/>
    </row>
    <row r="378" spans="1:21" s="1199" customFormat="1" ht="24" customHeight="1">
      <c r="A378" s="1406" t="s">
        <v>1566</v>
      </c>
      <c r="B378" s="1234" t="s">
        <v>1312</v>
      </c>
      <c r="C378" s="1235"/>
      <c r="D378" s="1235"/>
      <c r="E378" s="1397"/>
      <c r="F378" s="1398"/>
      <c r="G378" s="1399"/>
      <c r="H378" s="1400"/>
      <c r="I378" s="1401"/>
      <c r="J378" s="1402"/>
      <c r="K378" s="1402"/>
      <c r="L378" s="1385"/>
      <c r="M378" s="1214"/>
      <c r="N378" s="1214"/>
      <c r="O378" s="1214"/>
      <c r="P378" s="1214"/>
      <c r="Q378" s="1214"/>
    </row>
    <row r="379" spans="1:21" s="1199" customFormat="1" ht="24" customHeight="1">
      <c r="A379" s="1331"/>
      <c r="B379" s="1190" t="s">
        <v>1548</v>
      </c>
      <c r="C379" s="1202"/>
      <c r="D379" s="1202"/>
      <c r="E379" s="1404">
        <v>237.66666666666666</v>
      </c>
      <c r="F379" s="1358" t="s">
        <v>226</v>
      </c>
      <c r="G379" s="2176">
        <v>37</v>
      </c>
      <c r="H379" s="1388">
        <f>ROUND(E379*G379,)</f>
        <v>8794</v>
      </c>
      <c r="I379" s="2177">
        <v>5</v>
      </c>
      <c r="J379" s="1385">
        <f>ROUND(E379*I379,)</f>
        <v>1188</v>
      </c>
      <c r="K379" s="1385">
        <f>H379+J379</f>
        <v>9982</v>
      </c>
      <c r="L379" s="1385"/>
      <c r="M379" s="1214"/>
      <c r="N379" s="1214"/>
      <c r="O379" s="1214"/>
      <c r="P379" s="1214"/>
      <c r="Q379" s="1214"/>
    </row>
    <row r="380" spans="1:21" s="1199" customFormat="1" ht="24" customHeight="1">
      <c r="A380" s="1331"/>
      <c r="B380" s="1190" t="s">
        <v>1525</v>
      </c>
      <c r="C380" s="1202"/>
      <c r="D380" s="1202"/>
      <c r="E380" s="1404">
        <v>1</v>
      </c>
      <c r="F380" s="1384" t="s">
        <v>1104</v>
      </c>
      <c r="G380" s="2176">
        <f>ROUND(SUM(H379)*5%,)</f>
        <v>440</v>
      </c>
      <c r="H380" s="1264">
        <f>ROUND(E380*G380,)</f>
        <v>440</v>
      </c>
      <c r="I380" s="2177">
        <f>ROUND(G380*0.3,)</f>
        <v>132</v>
      </c>
      <c r="J380" s="1264">
        <f>ROUND(E380*I380,)</f>
        <v>132</v>
      </c>
      <c r="K380" s="1273">
        <f>H380+J380</f>
        <v>572</v>
      </c>
      <c r="L380" s="1402"/>
      <c r="M380" s="1214"/>
      <c r="N380" s="1214"/>
      <c r="O380" s="1214"/>
      <c r="P380" s="1214"/>
      <c r="Q380" s="1214"/>
    </row>
    <row r="381" spans="1:21" s="1199" customFormat="1" ht="24" customHeight="1">
      <c r="A381" s="1406" t="s">
        <v>1615</v>
      </c>
      <c r="B381" s="1190" t="s">
        <v>1526</v>
      </c>
      <c r="C381" s="1202"/>
      <c r="D381" s="1202"/>
      <c r="E381" s="1404"/>
      <c r="F381" s="1384"/>
      <c r="G381" s="2176"/>
      <c r="H381" s="1388"/>
      <c r="I381" s="2177"/>
      <c r="J381" s="1385"/>
      <c r="K381" s="1385"/>
      <c r="L381" s="1402"/>
      <c r="M381" s="1214"/>
      <c r="N381" s="1214"/>
      <c r="O381" s="1214"/>
      <c r="P381" s="1214"/>
      <c r="Q381" s="1214"/>
    </row>
    <row r="382" spans="1:21" s="1199" customFormat="1" ht="24" customHeight="1">
      <c r="A382" s="1331"/>
      <c r="B382" s="1190" t="s">
        <v>1350</v>
      </c>
      <c r="C382" s="1202"/>
      <c r="D382" s="1202"/>
      <c r="E382" s="1404">
        <v>237.66666666666666</v>
      </c>
      <c r="F382" s="1358" t="s">
        <v>226</v>
      </c>
      <c r="G382" s="2176">
        <v>27</v>
      </c>
      <c r="H382" s="1264">
        <f t="shared" ref="H382" si="67">ROUND(G382*E382,)</f>
        <v>6417</v>
      </c>
      <c r="I382" s="2177">
        <v>22</v>
      </c>
      <c r="J382" s="1264">
        <f t="shared" ref="J382" si="68">ROUND(E382*I382,)</f>
        <v>5229</v>
      </c>
      <c r="K382" s="1802">
        <f t="shared" ref="K382" si="69">H382+J382</f>
        <v>11646</v>
      </c>
      <c r="L382" s="2001" t="s">
        <v>2667</v>
      </c>
      <c r="M382" s="1214"/>
      <c r="N382" s="1199">
        <v>79.8</v>
      </c>
      <c r="O382" s="1199">
        <f>ROUND(N382/3,)</f>
        <v>27</v>
      </c>
      <c r="P382" s="1214"/>
      <c r="Q382" s="1214"/>
    </row>
    <row r="383" spans="1:21" s="1199" customFormat="1" ht="24" customHeight="1">
      <c r="A383" s="1331"/>
      <c r="B383" s="1190" t="s">
        <v>1384</v>
      </c>
      <c r="C383" s="1202"/>
      <c r="D383" s="1202"/>
      <c r="E383" s="1387">
        <v>1</v>
      </c>
      <c r="F383" s="1384" t="s">
        <v>1104</v>
      </c>
      <c r="G383" s="2176">
        <f>ROUND(H382*15%,)</f>
        <v>963</v>
      </c>
      <c r="H383" s="1264">
        <f>ROUND(G383*E383,)</f>
        <v>963</v>
      </c>
      <c r="I383" s="2177">
        <f>ROUND(G383*0.3,)</f>
        <v>289</v>
      </c>
      <c r="J383" s="1264">
        <f>ROUND(E383*I383,)</f>
        <v>289</v>
      </c>
      <c r="K383" s="1273">
        <f>H383+J383</f>
        <v>1252</v>
      </c>
      <c r="L383" s="1385"/>
      <c r="M383" s="1214"/>
      <c r="N383" s="1214"/>
      <c r="O383" s="1214"/>
      <c r="P383" s="1214"/>
      <c r="Q383" s="1214"/>
    </row>
    <row r="384" spans="1:21" s="1199" customFormat="1" ht="24" customHeight="1">
      <c r="A384" s="1331"/>
      <c r="B384" s="1190" t="s">
        <v>1117</v>
      </c>
      <c r="C384" s="1202"/>
      <c r="D384" s="1202"/>
      <c r="E384" s="1387"/>
      <c r="F384" s="1384"/>
      <c r="G384" s="2176"/>
      <c r="H384" s="1388"/>
      <c r="I384" s="2177"/>
      <c r="J384" s="1385"/>
      <c r="K384" s="1385"/>
      <c r="L384" s="1385"/>
      <c r="M384" s="1214"/>
      <c r="N384" s="1214"/>
      <c r="O384" s="1214"/>
      <c r="P384" s="1214"/>
      <c r="Q384" s="1214"/>
    </row>
    <row r="385" spans="1:21" s="1199" customFormat="1" ht="24" customHeight="1">
      <c r="A385" s="1243"/>
      <c r="B385" s="2257" t="str">
        <f>"รวมราคารายการที่ "&amp;A364</f>
        <v>รวมราคารายการที่ 3.10</v>
      </c>
      <c r="C385" s="2258"/>
      <c r="D385" s="2259"/>
      <c r="E385" s="1244"/>
      <c r="F385" s="1245"/>
      <c r="G385" s="1246"/>
      <c r="H385" s="1247">
        <f>SUM(H364:H384)</f>
        <v>413624</v>
      </c>
      <c r="I385" s="1246"/>
      <c r="J385" s="1247">
        <f t="shared" ref="J385:K385" si="70">SUM(J364:J384)</f>
        <v>18530</v>
      </c>
      <c r="K385" s="1247">
        <f t="shared" si="70"/>
        <v>432154</v>
      </c>
      <c r="L385" s="1245"/>
    </row>
    <row r="386" spans="1:21" s="1199" customFormat="1" ht="24" customHeight="1">
      <c r="A386" s="1367" t="s">
        <v>1570</v>
      </c>
      <c r="B386" s="1353" t="s">
        <v>1550</v>
      </c>
      <c r="C386" s="1452"/>
      <c r="D386" s="1452"/>
      <c r="E386" s="1453"/>
      <c r="F386" s="1454"/>
      <c r="G386" s="1455"/>
      <c r="H386" s="820"/>
      <c r="I386" s="1456"/>
      <c r="J386" s="1457"/>
      <c r="K386" s="1457"/>
      <c r="L386" s="1457"/>
      <c r="M386" s="1214"/>
      <c r="N386" s="1214"/>
      <c r="O386" s="1214"/>
      <c r="P386" s="1214"/>
    </row>
    <row r="387" spans="1:21" s="1199" customFormat="1" ht="24" customHeight="1">
      <c r="A387" s="1474" t="s">
        <v>1348</v>
      </c>
      <c r="B387" s="2174" t="s">
        <v>2713</v>
      </c>
      <c r="C387" s="1191"/>
      <c r="D387" s="1471"/>
      <c r="E387" s="1206"/>
      <c r="F387" s="1207"/>
      <c r="G387" s="1541"/>
      <c r="H387" s="1273"/>
      <c r="I387" s="2177"/>
      <c r="J387" s="1264"/>
      <c r="K387" s="1265"/>
      <c r="L387" s="1473"/>
      <c r="M387" s="1214"/>
      <c r="N387" s="1214"/>
      <c r="O387" s="1214"/>
      <c r="P387" s="1214"/>
      <c r="Q387" s="1214"/>
      <c r="R387" s="1214"/>
      <c r="S387" s="1214"/>
      <c r="T387" s="1214"/>
      <c r="U387" s="1214"/>
    </row>
    <row r="388" spans="1:21" s="1199" customFormat="1" ht="24" customHeight="1">
      <c r="A388" s="1474"/>
      <c r="B388" s="2174" t="s">
        <v>1573</v>
      </c>
      <c r="C388" s="1191"/>
      <c r="D388" s="1471"/>
      <c r="E388" s="1206">
        <v>1</v>
      </c>
      <c r="F388" s="1207" t="s">
        <v>363</v>
      </c>
      <c r="G388" s="2179">
        <v>28700</v>
      </c>
      <c r="H388" s="1343">
        <f>ROUND(E388*G388,)</f>
        <v>28700</v>
      </c>
      <c r="I388" s="1344">
        <f>G388*0.01</f>
        <v>287</v>
      </c>
      <c r="J388" s="1343">
        <f>ROUND(I388*E388,)</f>
        <v>287</v>
      </c>
      <c r="K388" s="1344">
        <f>H388+J388</f>
        <v>28987</v>
      </c>
      <c r="L388" s="1473"/>
      <c r="M388" s="1214"/>
      <c r="N388" s="1214"/>
      <c r="O388" s="1214"/>
      <c r="P388" s="1214"/>
      <c r="Q388" s="1214"/>
      <c r="R388" s="1214"/>
      <c r="S388" s="1214"/>
      <c r="T388" s="1214"/>
      <c r="U388" s="1214"/>
    </row>
    <row r="389" spans="1:21" s="1199" customFormat="1" ht="24" customHeight="1">
      <c r="A389" s="1474"/>
      <c r="B389" s="2174" t="s">
        <v>1574</v>
      </c>
      <c r="C389" s="1191"/>
      <c r="D389" s="1471"/>
      <c r="E389" s="1206">
        <v>1</v>
      </c>
      <c r="F389" s="1207" t="s">
        <v>363</v>
      </c>
      <c r="G389" s="2179">
        <v>25000</v>
      </c>
      <c r="H389" s="1343">
        <f>ROUND(E389*G389,)</f>
        <v>25000</v>
      </c>
      <c r="I389" s="1344">
        <f>ROUND(G389*0.01,)</f>
        <v>250</v>
      </c>
      <c r="J389" s="1343">
        <f>ROUND(I389*E389,)</f>
        <v>250</v>
      </c>
      <c r="K389" s="1344">
        <f>H389+J389</f>
        <v>25250</v>
      </c>
      <c r="L389" s="1473"/>
      <c r="M389" s="1214"/>
      <c r="N389" s="1214"/>
      <c r="O389" s="1214"/>
      <c r="P389" s="1214"/>
      <c r="Q389" s="1214"/>
      <c r="R389" s="1214"/>
      <c r="S389" s="1214"/>
      <c r="T389" s="1214"/>
      <c r="U389" s="1214"/>
    </row>
    <row r="390" spans="1:21" s="1199" customFormat="1" ht="24" customHeight="1">
      <c r="A390" s="1475"/>
      <c r="B390" s="2174" t="s">
        <v>1575</v>
      </c>
      <c r="C390" s="1191"/>
      <c r="D390" s="1471"/>
      <c r="E390" s="1206">
        <v>24</v>
      </c>
      <c r="F390" s="1207" t="s">
        <v>363</v>
      </c>
      <c r="G390" s="2179">
        <v>400</v>
      </c>
      <c r="H390" s="1343">
        <f>ROUND(E390*G390,)</f>
        <v>9600</v>
      </c>
      <c r="I390" s="1344">
        <f>ROUND(G390*0.01,)</f>
        <v>4</v>
      </c>
      <c r="J390" s="1343">
        <f>ROUND(I390*E390,)</f>
        <v>96</v>
      </c>
      <c r="K390" s="1344">
        <f>H390+J390</f>
        <v>9696</v>
      </c>
      <c r="L390" s="1473"/>
      <c r="M390" s="1214"/>
      <c r="N390" s="1214"/>
      <c r="O390" s="1214"/>
      <c r="P390" s="1214"/>
      <c r="Q390" s="1214"/>
      <c r="R390" s="1214"/>
      <c r="S390" s="1214"/>
      <c r="T390" s="1214"/>
      <c r="U390" s="1214"/>
    </row>
    <row r="391" spans="1:21" s="1199" customFormat="1" ht="24" customHeight="1">
      <c r="A391" s="1475"/>
      <c r="B391" s="2174" t="s">
        <v>2710</v>
      </c>
      <c r="C391" s="1191"/>
      <c r="D391" s="1471"/>
      <c r="E391" s="1206"/>
      <c r="F391" s="1207" t="s">
        <v>363</v>
      </c>
      <c r="G391" s="2179"/>
      <c r="H391" s="1273"/>
      <c r="I391" s="1265"/>
      <c r="J391" s="1264"/>
      <c r="K391" s="1265"/>
      <c r="L391" s="1473"/>
      <c r="M391" s="1214"/>
      <c r="N391" s="1214"/>
      <c r="O391" s="1214"/>
      <c r="P391" s="1214"/>
      <c r="Q391" s="1214"/>
      <c r="R391" s="1214"/>
      <c r="S391" s="1214"/>
      <c r="T391" s="1214"/>
      <c r="U391" s="1214"/>
    </row>
    <row r="392" spans="1:21" s="1199" customFormat="1" ht="24" customHeight="1">
      <c r="A392" s="1475"/>
      <c r="B392" s="2174" t="s">
        <v>1684</v>
      </c>
      <c r="C392" s="1191"/>
      <c r="D392" s="1471"/>
      <c r="E392" s="1206"/>
      <c r="F392" s="1207" t="s">
        <v>363</v>
      </c>
      <c r="G392" s="2179"/>
      <c r="H392" s="1273"/>
      <c r="I392" s="1265"/>
      <c r="J392" s="1264"/>
      <c r="K392" s="1265"/>
      <c r="L392" s="1473"/>
      <c r="M392" s="1214"/>
      <c r="N392" s="1214"/>
      <c r="O392" s="1214"/>
      <c r="P392" s="1214"/>
      <c r="Q392" s="1214"/>
      <c r="R392" s="1214"/>
      <c r="S392" s="1214"/>
      <c r="T392" s="1214"/>
      <c r="U392" s="1214"/>
    </row>
    <row r="393" spans="1:21" s="1199" customFormat="1" ht="24" customHeight="1">
      <c r="A393" s="1458" t="s">
        <v>1349</v>
      </c>
      <c r="B393" s="1259" t="s">
        <v>1551</v>
      </c>
      <c r="C393" s="1221"/>
      <c r="D393" s="1221"/>
      <c r="E393" s="1459"/>
      <c r="F393" s="1522"/>
      <c r="G393" s="1461"/>
      <c r="H393" s="1462"/>
      <c r="I393" s="1463"/>
      <c r="J393" s="1462"/>
      <c r="K393" s="1464"/>
      <c r="L393" s="1415"/>
      <c r="M393" s="1214"/>
      <c r="N393" s="1214"/>
      <c r="O393" s="1214"/>
      <c r="P393" s="1214"/>
    </row>
    <row r="394" spans="1:21" s="1199" customFormat="1" ht="24" customHeight="1">
      <c r="A394" s="1339"/>
      <c r="B394" s="1259" t="s">
        <v>2958</v>
      </c>
      <c r="C394" s="1221"/>
      <c r="D394" s="1221"/>
      <c r="E394" s="1404">
        <v>1</v>
      </c>
      <c r="F394" s="1267" t="s">
        <v>363</v>
      </c>
      <c r="G394" s="1386">
        <v>92400</v>
      </c>
      <c r="H394" s="1413">
        <f t="shared" ref="H394:H396" si="71">ROUND(E394*G394,)</f>
        <v>92400</v>
      </c>
      <c r="I394" s="1414">
        <f>G394*0.1</f>
        <v>9240</v>
      </c>
      <c r="J394" s="1415">
        <f>ROUND(E394*I394,)</f>
        <v>9240</v>
      </c>
      <c r="K394" s="1415">
        <f t="shared" ref="K394:K396" si="72">H394+J394</f>
        <v>101640</v>
      </c>
      <c r="L394" s="1415"/>
      <c r="M394" s="1214"/>
      <c r="N394" s="1214"/>
      <c r="O394" s="1214"/>
      <c r="P394" s="1214"/>
    </row>
    <row r="395" spans="1:21" s="1199" customFormat="1" ht="24" customHeight="1">
      <c r="A395" s="1339"/>
      <c r="B395" s="1259" t="s">
        <v>1605</v>
      </c>
      <c r="C395" s="1221"/>
      <c r="D395" s="1221"/>
      <c r="E395" s="1404">
        <v>1</v>
      </c>
      <c r="F395" s="1267" t="s">
        <v>363</v>
      </c>
      <c r="G395" s="1386">
        <v>291200</v>
      </c>
      <c r="H395" s="1413">
        <f t="shared" si="71"/>
        <v>291200</v>
      </c>
      <c r="I395" s="1414">
        <f>G395*0.1</f>
        <v>29120</v>
      </c>
      <c r="J395" s="1415">
        <f>ROUND(E395*I395,)</f>
        <v>29120</v>
      </c>
      <c r="K395" s="1415">
        <f t="shared" si="72"/>
        <v>320320</v>
      </c>
      <c r="L395" s="1415"/>
      <c r="M395" s="1214"/>
      <c r="N395" s="1214"/>
      <c r="O395" s="1214"/>
      <c r="P395" s="1214"/>
    </row>
    <row r="396" spans="1:21" s="1199" customFormat="1" ht="24" customHeight="1">
      <c r="A396" s="1339"/>
      <c r="B396" s="1259" t="s">
        <v>1606</v>
      </c>
      <c r="C396" s="1221"/>
      <c r="D396" s="1221"/>
      <c r="E396" s="1404">
        <v>1</v>
      </c>
      <c r="F396" s="1267" t="s">
        <v>363</v>
      </c>
      <c r="G396" s="1386">
        <v>257600</v>
      </c>
      <c r="H396" s="1413">
        <f t="shared" si="71"/>
        <v>257600</v>
      </c>
      <c r="I396" s="1414">
        <f t="shared" ref="I396" si="73">G396*0.1</f>
        <v>25760</v>
      </c>
      <c r="J396" s="1415">
        <f t="shared" ref="J396" si="74">ROUND(E396*I396,)</f>
        <v>25760</v>
      </c>
      <c r="K396" s="1415">
        <f t="shared" si="72"/>
        <v>283360</v>
      </c>
      <c r="L396" s="1415"/>
      <c r="M396" s="1214"/>
      <c r="N396" s="1214"/>
      <c r="O396" s="1214"/>
      <c r="P396" s="1214"/>
    </row>
    <row r="397" spans="1:21" s="1199" customFormat="1" ht="24" customHeight="1">
      <c r="A397" s="1458" t="s">
        <v>1577</v>
      </c>
      <c r="B397" s="1259" t="s">
        <v>1557</v>
      </c>
      <c r="C397" s="1221"/>
      <c r="D397" s="1221"/>
      <c r="E397" s="1459"/>
      <c r="F397" s="1522"/>
      <c r="G397" s="1461"/>
      <c r="H397" s="1462"/>
      <c r="I397" s="1463"/>
      <c r="J397" s="1462"/>
      <c r="K397" s="1464"/>
      <c r="L397" s="1415"/>
      <c r="M397" s="1214"/>
      <c r="N397" s="1214"/>
      <c r="O397" s="1214"/>
      <c r="P397" s="1214"/>
    </row>
    <row r="398" spans="1:21" s="1199" customFormat="1" ht="24" customHeight="1">
      <c r="A398" s="1339"/>
      <c r="B398" s="1259" t="s">
        <v>2959</v>
      </c>
      <c r="C398" s="1221"/>
      <c r="D398" s="1221"/>
      <c r="E398" s="1404">
        <v>1</v>
      </c>
      <c r="F398" s="1267" t="s">
        <v>363</v>
      </c>
      <c r="G398" s="1386">
        <v>3500</v>
      </c>
      <c r="H398" s="1413">
        <f t="shared" ref="H398:H401" si="75">ROUND(E398*G398,)</f>
        <v>3500</v>
      </c>
      <c r="I398" s="1414">
        <f t="shared" ref="I398:I401" si="76">G398*0.1</f>
        <v>350</v>
      </c>
      <c r="J398" s="1415">
        <f t="shared" ref="J398:J401" si="77">ROUND(E398*I398,)</f>
        <v>350</v>
      </c>
      <c r="K398" s="1415">
        <f t="shared" ref="K398:K401" si="78">H398+J398</f>
        <v>3850</v>
      </c>
      <c r="L398" s="1415"/>
      <c r="M398" s="1214"/>
      <c r="N398" s="1214"/>
      <c r="O398" s="1214"/>
      <c r="P398" s="1214"/>
    </row>
    <row r="399" spans="1:21" s="1199" customFormat="1" ht="24" customHeight="1">
      <c r="A399" s="1339"/>
      <c r="B399" s="1259" t="s">
        <v>1607</v>
      </c>
      <c r="C399" s="1221"/>
      <c r="D399" s="1221"/>
      <c r="E399" s="1404">
        <v>1</v>
      </c>
      <c r="F399" s="1267" t="s">
        <v>363</v>
      </c>
      <c r="G399" s="1386">
        <v>3500</v>
      </c>
      <c r="H399" s="1413">
        <f t="shared" si="75"/>
        <v>3500</v>
      </c>
      <c r="I399" s="1414">
        <f t="shared" si="76"/>
        <v>350</v>
      </c>
      <c r="J399" s="1415">
        <f t="shared" si="77"/>
        <v>350</v>
      </c>
      <c r="K399" s="1415">
        <f t="shared" si="78"/>
        <v>3850</v>
      </c>
      <c r="L399" s="1415"/>
      <c r="M399" s="1214"/>
      <c r="N399" s="1214"/>
      <c r="O399" s="1214"/>
      <c r="P399" s="1214"/>
    </row>
    <row r="400" spans="1:21" s="1199" customFormat="1" ht="24" customHeight="1">
      <c r="A400" s="1339"/>
      <c r="B400" s="1259" t="s">
        <v>1608</v>
      </c>
      <c r="C400" s="1221"/>
      <c r="D400" s="1221"/>
      <c r="E400" s="1404">
        <v>1</v>
      </c>
      <c r="F400" s="1267" t="s">
        <v>363</v>
      </c>
      <c r="G400" s="1386">
        <v>3500</v>
      </c>
      <c r="H400" s="1413">
        <f t="shared" si="75"/>
        <v>3500</v>
      </c>
      <c r="I400" s="1414">
        <f t="shared" si="76"/>
        <v>350</v>
      </c>
      <c r="J400" s="1415">
        <f t="shared" si="77"/>
        <v>350</v>
      </c>
      <c r="K400" s="1415">
        <f t="shared" si="78"/>
        <v>3850</v>
      </c>
      <c r="L400" s="1415"/>
      <c r="M400" s="1214"/>
      <c r="N400" s="1214"/>
      <c r="O400" s="1214"/>
      <c r="P400" s="1214"/>
    </row>
    <row r="401" spans="1:21" s="1199" customFormat="1" ht="24" customHeight="1">
      <c r="A401" s="1339"/>
      <c r="B401" s="1220" t="s">
        <v>1609</v>
      </c>
      <c r="C401" s="1221"/>
      <c r="D401" s="1221"/>
      <c r="E401" s="1404">
        <v>1</v>
      </c>
      <c r="F401" s="1223" t="s">
        <v>363</v>
      </c>
      <c r="G401" s="1386">
        <v>3500</v>
      </c>
      <c r="H401" s="1413">
        <f t="shared" si="75"/>
        <v>3500</v>
      </c>
      <c r="I401" s="1414">
        <f t="shared" si="76"/>
        <v>350</v>
      </c>
      <c r="J401" s="1415">
        <f t="shared" si="77"/>
        <v>350</v>
      </c>
      <c r="K401" s="1415">
        <f t="shared" si="78"/>
        <v>3850</v>
      </c>
      <c r="L401" s="1415"/>
      <c r="M401" s="1214"/>
      <c r="N401" s="1214"/>
      <c r="O401" s="1214"/>
      <c r="P401" s="1214"/>
    </row>
    <row r="402" spans="1:21" s="1199" customFormat="1" ht="24" customHeight="1">
      <c r="A402" s="1458" t="s">
        <v>1359</v>
      </c>
      <c r="B402" s="1465" t="s">
        <v>1312</v>
      </c>
      <c r="C402" s="1452"/>
      <c r="D402" s="1452"/>
      <c r="E402" s="1453"/>
      <c r="F402" s="1454"/>
      <c r="G402" s="1386"/>
      <c r="H402" s="1413"/>
      <c r="I402" s="1414"/>
      <c r="J402" s="1415"/>
      <c r="K402" s="1415"/>
      <c r="L402" s="1457"/>
      <c r="M402" s="1214"/>
      <c r="N402" s="1214"/>
      <c r="O402" s="1214"/>
      <c r="P402" s="1214"/>
    </row>
    <row r="403" spans="1:21" s="1199" customFormat="1" ht="24" customHeight="1">
      <c r="A403" s="1339"/>
      <c r="B403" s="1220" t="s">
        <v>1567</v>
      </c>
      <c r="C403" s="1221"/>
      <c r="D403" s="1221"/>
      <c r="E403" s="1404">
        <v>900</v>
      </c>
      <c r="F403" s="1262" t="s">
        <v>226</v>
      </c>
      <c r="G403" s="1386">
        <v>103</v>
      </c>
      <c r="H403" s="1413">
        <f>ROUND(E403*G403,)</f>
        <v>92700</v>
      </c>
      <c r="I403" s="1414">
        <v>21</v>
      </c>
      <c r="J403" s="1415">
        <f>ROUND(E403*I403,)</f>
        <v>18900</v>
      </c>
      <c r="K403" s="1415">
        <f>H403+J403</f>
        <v>111600</v>
      </c>
      <c r="L403" s="1415"/>
      <c r="M403" s="1214"/>
      <c r="N403" s="1214"/>
      <c r="O403" s="1214"/>
      <c r="P403" s="1214"/>
    </row>
    <row r="404" spans="1:21" s="1199" customFormat="1" ht="24" customHeight="1">
      <c r="A404" s="1339"/>
      <c r="B404" s="1220" t="s">
        <v>1568</v>
      </c>
      <c r="C404" s="1221"/>
      <c r="D404" s="1221"/>
      <c r="E404" s="1404">
        <v>200</v>
      </c>
      <c r="F404" s="1262" t="s">
        <v>226</v>
      </c>
      <c r="G404" s="1386">
        <v>139</v>
      </c>
      <c r="H404" s="1413">
        <f>ROUND(E404*G404,)</f>
        <v>27800</v>
      </c>
      <c r="I404" s="1414">
        <v>21</v>
      </c>
      <c r="J404" s="1415">
        <f>ROUND(E404*I404,)</f>
        <v>4200</v>
      </c>
      <c r="K404" s="1415">
        <f>H404+J404</f>
        <v>32000</v>
      </c>
      <c r="L404" s="1415"/>
      <c r="M404" s="1214"/>
      <c r="N404" s="1214"/>
      <c r="O404" s="1214"/>
      <c r="P404" s="1214"/>
    </row>
    <row r="405" spans="1:21" s="1199" customFormat="1" ht="24" customHeight="1">
      <c r="A405" s="1339"/>
      <c r="B405" s="1220" t="s">
        <v>1525</v>
      </c>
      <c r="C405" s="1221"/>
      <c r="D405" s="1221"/>
      <c r="E405" s="1404">
        <v>1</v>
      </c>
      <c r="F405" s="1412" t="s">
        <v>1104</v>
      </c>
      <c r="G405" s="1386">
        <f>SUM(H403:H404)*5%</f>
        <v>6025</v>
      </c>
      <c r="H405" s="1343">
        <f t="shared" ref="H405" si="79">ROUND(E405*G405,)</f>
        <v>6025</v>
      </c>
      <c r="I405" s="1414">
        <f>G405*0.3</f>
        <v>1807.5</v>
      </c>
      <c r="J405" s="1343">
        <f t="shared" ref="J405" si="80">ROUND(E405*I405,)</f>
        <v>1808</v>
      </c>
      <c r="K405" s="1262">
        <f t="shared" ref="K405" si="81">H405+J405</f>
        <v>7833</v>
      </c>
      <c r="L405" s="1415"/>
      <c r="M405" s="1214"/>
      <c r="N405" s="1214"/>
      <c r="O405" s="1214"/>
      <c r="P405" s="1214"/>
    </row>
    <row r="406" spans="1:21" s="1199" customFormat="1" ht="24" customHeight="1">
      <c r="A406" s="1339" t="s">
        <v>1361</v>
      </c>
      <c r="B406" s="1220" t="s">
        <v>1343</v>
      </c>
      <c r="C406" s="1221"/>
      <c r="D406" s="1221"/>
      <c r="E406" s="1404"/>
      <c r="F406" s="1412"/>
      <c r="G406" s="1386"/>
      <c r="H406" s="1343"/>
      <c r="I406" s="1414"/>
      <c r="J406" s="1343"/>
      <c r="K406" s="1262"/>
      <c r="L406" s="1466"/>
    </row>
    <row r="407" spans="1:21" s="1199" customFormat="1" ht="24" customHeight="1">
      <c r="A407" s="1339"/>
      <c r="B407" s="1220" t="s">
        <v>1344</v>
      </c>
      <c r="C407" s="1221"/>
      <c r="D407" s="1221"/>
      <c r="E407" s="1404">
        <v>150</v>
      </c>
      <c r="F407" s="1262" t="s">
        <v>226</v>
      </c>
      <c r="G407" s="1386">
        <v>316</v>
      </c>
      <c r="H407" s="1343">
        <f t="shared" ref="H407" si="82">ROUND(E407*G407,)</f>
        <v>47400</v>
      </c>
      <c r="I407" s="1414">
        <v>50</v>
      </c>
      <c r="J407" s="1343">
        <f t="shared" ref="J407:J408" si="83">ROUND(E407*I407,)</f>
        <v>7500</v>
      </c>
      <c r="K407" s="1262">
        <f t="shared" ref="K407:K408" si="84">H407+J407</f>
        <v>54900</v>
      </c>
      <c r="L407" s="1466"/>
    </row>
    <row r="408" spans="1:21" s="1199" customFormat="1" ht="24" customHeight="1">
      <c r="A408" s="1339"/>
      <c r="B408" s="1220" t="s">
        <v>1384</v>
      </c>
      <c r="C408" s="1221"/>
      <c r="D408" s="1221"/>
      <c r="E408" s="1404">
        <v>1</v>
      </c>
      <c r="F408" s="1412" t="s">
        <v>1104</v>
      </c>
      <c r="G408" s="1386">
        <f>SUM(H407)*15%</f>
        <v>7110</v>
      </c>
      <c r="H408" s="1343">
        <f t="shared" ref="H408" si="85">ROUND(G408*E408,)</f>
        <v>7110</v>
      </c>
      <c r="I408" s="1414">
        <f>G408*0.3</f>
        <v>2133</v>
      </c>
      <c r="J408" s="1343">
        <f t="shared" si="83"/>
        <v>2133</v>
      </c>
      <c r="K408" s="1262">
        <f t="shared" si="84"/>
        <v>9243</v>
      </c>
      <c r="L408" s="1466"/>
    </row>
    <row r="409" spans="1:21" s="1199" customFormat="1" ht="24" customHeight="1">
      <c r="A409" s="1339"/>
      <c r="B409" s="1220" t="s">
        <v>1117</v>
      </c>
      <c r="C409" s="1221"/>
      <c r="D409" s="1221"/>
      <c r="E409" s="1404"/>
      <c r="F409" s="1412"/>
      <c r="G409" s="1386"/>
      <c r="H409" s="1413"/>
      <c r="I409" s="1414"/>
      <c r="J409" s="1415"/>
      <c r="K409" s="1415"/>
      <c r="L409" s="1415"/>
      <c r="M409" s="1214"/>
      <c r="N409" s="1214"/>
      <c r="O409" s="1214"/>
      <c r="P409" s="1214"/>
    </row>
    <row r="410" spans="1:21" s="1199" customFormat="1" ht="24" customHeight="1">
      <c r="A410" s="1339"/>
      <c r="B410" s="1220" t="s">
        <v>1118</v>
      </c>
      <c r="C410" s="1221"/>
      <c r="D410" s="1221"/>
      <c r="E410" s="1404"/>
      <c r="F410" s="1412"/>
      <c r="G410" s="1386"/>
      <c r="H410" s="1413"/>
      <c r="I410" s="1414"/>
      <c r="J410" s="1415"/>
      <c r="K410" s="1415"/>
      <c r="L410" s="1415"/>
      <c r="M410" s="1214"/>
      <c r="N410" s="1214"/>
      <c r="O410" s="1214"/>
      <c r="P410" s="1214"/>
    </row>
    <row r="411" spans="1:21" s="1199" customFormat="1" ht="24" customHeight="1">
      <c r="A411" s="1339"/>
      <c r="B411" s="1220" t="s">
        <v>1118</v>
      </c>
      <c r="C411" s="1221"/>
      <c r="D411" s="1221"/>
      <c r="E411" s="1404"/>
      <c r="F411" s="1412"/>
      <c r="G411" s="1386"/>
      <c r="H411" s="1413"/>
      <c r="I411" s="1414"/>
      <c r="J411" s="1415"/>
      <c r="K411" s="1415"/>
      <c r="L411" s="1415"/>
      <c r="M411" s="1214"/>
      <c r="N411" s="1214"/>
      <c r="O411" s="1214"/>
      <c r="P411" s="1214"/>
    </row>
    <row r="412" spans="1:21" s="1199" customFormat="1" ht="24" customHeight="1">
      <c r="A412" s="1339"/>
      <c r="B412" s="1220"/>
      <c r="C412" s="1221"/>
      <c r="D412" s="1221"/>
      <c r="E412" s="1404"/>
      <c r="F412" s="1412"/>
      <c r="G412" s="1386"/>
      <c r="H412" s="1413"/>
      <c r="I412" s="1414"/>
      <c r="J412" s="1415"/>
      <c r="K412" s="1415"/>
      <c r="L412" s="1415"/>
      <c r="M412" s="1214"/>
      <c r="N412" s="1214"/>
      <c r="O412" s="1214"/>
      <c r="P412" s="1214"/>
    </row>
    <row r="413" spans="1:21" s="1199" customFormat="1" ht="24" customHeight="1">
      <c r="A413" s="1243"/>
      <c r="B413" s="2257" t="str">
        <f>"รวมราคารายการที่ "&amp;A386</f>
        <v>รวมราคารายการที่ 3.11</v>
      </c>
      <c r="C413" s="2258"/>
      <c r="D413" s="2259"/>
      <c r="E413" s="1244"/>
      <c r="F413" s="1245"/>
      <c r="G413" s="1246"/>
      <c r="H413" s="1247">
        <f>SUM(H386:H412)</f>
        <v>899535</v>
      </c>
      <c r="I413" s="1246"/>
      <c r="J413" s="1247">
        <f>SUM(J386:J412)</f>
        <v>100694</v>
      </c>
      <c r="K413" s="1247">
        <f>SUM(K386:K412)</f>
        <v>1000229</v>
      </c>
      <c r="L413" s="1245"/>
    </row>
    <row r="414" spans="1:21" s="1199" customFormat="1" ht="24" customHeight="1">
      <c r="A414" s="1467" t="s">
        <v>2917</v>
      </c>
      <c r="B414" s="1292" t="s">
        <v>1571</v>
      </c>
      <c r="C414" s="1468"/>
      <c r="D414" s="1192"/>
      <c r="E414" s="1193"/>
      <c r="F414" s="1194"/>
      <c r="G414" s="1297"/>
      <c r="H414" s="1298"/>
      <c r="I414" s="1299"/>
      <c r="J414" s="1298"/>
      <c r="K414" s="1299"/>
      <c r="L414" s="1469"/>
      <c r="M414" s="1214"/>
      <c r="N414" s="1214"/>
      <c r="O414" s="1214"/>
      <c r="P414" s="1214"/>
      <c r="Q414" s="1214"/>
      <c r="R414" s="1214"/>
      <c r="S414" s="1214"/>
      <c r="T414" s="1214"/>
      <c r="U414" s="1214"/>
    </row>
    <row r="415" spans="1:21" s="1199" customFormat="1" ht="24" customHeight="1">
      <c r="A415" s="1470" t="s">
        <v>1352</v>
      </c>
      <c r="B415" s="2174" t="s">
        <v>1611</v>
      </c>
      <c r="C415" s="1191"/>
      <c r="D415" s="1471"/>
      <c r="E415" s="1472">
        <v>2</v>
      </c>
      <c r="F415" s="1267" t="s">
        <v>363</v>
      </c>
      <c r="G415" s="2178">
        <v>3200</v>
      </c>
      <c r="H415" s="1343">
        <f>ROUND(E415*G415,)</f>
        <v>6400</v>
      </c>
      <c r="I415" s="1344">
        <v>150</v>
      </c>
      <c r="J415" s="1343">
        <f>ROUND(I415*E415,)</f>
        <v>300</v>
      </c>
      <c r="K415" s="1344">
        <f>H415+J415</f>
        <v>6700</v>
      </c>
      <c r="L415" s="1473"/>
      <c r="M415" s="1214"/>
      <c r="N415" s="1214"/>
      <c r="O415" s="1214"/>
      <c r="P415" s="1214"/>
      <c r="Q415" s="1214"/>
      <c r="R415" s="1214"/>
      <c r="S415" s="1214"/>
      <c r="T415" s="1214"/>
      <c r="U415" s="1214"/>
    </row>
    <row r="416" spans="1:21" s="1199" customFormat="1" ht="24" customHeight="1">
      <c r="A416" s="1474" t="s">
        <v>1354</v>
      </c>
      <c r="B416" s="2174" t="s">
        <v>1612</v>
      </c>
      <c r="C416" s="1191"/>
      <c r="D416" s="1471"/>
      <c r="E416" s="1472">
        <v>2</v>
      </c>
      <c r="F416" s="1267" t="s">
        <v>363</v>
      </c>
      <c r="G416" s="2178">
        <v>2640</v>
      </c>
      <c r="H416" s="1343">
        <f>ROUND(E416*G416,)</f>
        <v>5280</v>
      </c>
      <c r="I416" s="1344">
        <v>150</v>
      </c>
      <c r="J416" s="1343">
        <f>ROUND(I416*E416,)</f>
        <v>300</v>
      </c>
      <c r="K416" s="1344">
        <f>H416+J416</f>
        <v>5580</v>
      </c>
      <c r="L416" s="1473"/>
      <c r="M416" s="1214"/>
      <c r="N416" s="1214"/>
      <c r="O416" s="1214"/>
      <c r="P416" s="1214"/>
      <c r="Q416" s="1214"/>
      <c r="R416" s="1214"/>
      <c r="S416" s="1214"/>
      <c r="T416" s="1214"/>
      <c r="U416" s="1214"/>
    </row>
    <row r="417" spans="1:21" s="1199" customFormat="1" ht="24" customHeight="1">
      <c r="A417" s="1474" t="s">
        <v>1357</v>
      </c>
      <c r="B417" s="2174" t="s">
        <v>1613</v>
      </c>
      <c r="C417" s="1191"/>
      <c r="D417" s="1471"/>
      <c r="E417" s="1206"/>
      <c r="F417" s="1207"/>
      <c r="G417" s="2175"/>
      <c r="H417" s="1264"/>
      <c r="I417" s="1265"/>
      <c r="J417" s="1264"/>
      <c r="K417" s="1265"/>
      <c r="L417" s="1473"/>
      <c r="M417" s="1214"/>
      <c r="N417" s="1214"/>
      <c r="O417" s="1214"/>
      <c r="P417" s="1214"/>
      <c r="Q417" s="1214"/>
      <c r="R417" s="1214"/>
      <c r="S417" s="1214"/>
      <c r="T417" s="1214"/>
      <c r="U417" s="1214"/>
    </row>
    <row r="418" spans="1:21" s="1199" customFormat="1" ht="24" customHeight="1">
      <c r="A418" s="2070"/>
      <c r="B418" s="1259" t="s">
        <v>1614</v>
      </c>
      <c r="C418" s="1191"/>
      <c r="D418" s="1471"/>
      <c r="E418" s="1206">
        <v>265</v>
      </c>
      <c r="F418" s="1207" t="s">
        <v>226</v>
      </c>
      <c r="G418" s="2178">
        <v>10</v>
      </c>
      <c r="H418" s="1264">
        <f>ROUND(E418*G418,)</f>
        <v>2650</v>
      </c>
      <c r="I418" s="1265">
        <v>5</v>
      </c>
      <c r="J418" s="1264">
        <f>ROUND(I418*E418,)</f>
        <v>1325</v>
      </c>
      <c r="K418" s="1265">
        <f>H418+J418</f>
        <v>3975</v>
      </c>
      <c r="L418" s="1473"/>
      <c r="M418" s="1214"/>
      <c r="N418" s="1214"/>
      <c r="O418" s="1214"/>
      <c r="P418" s="1214"/>
      <c r="Q418" s="1214"/>
      <c r="R418" s="1214"/>
      <c r="S418" s="1214"/>
      <c r="T418" s="1214"/>
      <c r="U418" s="1214"/>
    </row>
    <row r="419" spans="1:21" s="1199" customFormat="1" ht="24" customHeight="1">
      <c r="A419" s="1474" t="s">
        <v>2677</v>
      </c>
      <c r="B419" s="2174" t="s">
        <v>1526</v>
      </c>
      <c r="C419" s="1191"/>
      <c r="D419" s="1471"/>
      <c r="E419" s="1206"/>
      <c r="F419" s="1207"/>
      <c r="G419" s="2175"/>
      <c r="H419" s="1264"/>
      <c r="I419" s="1265"/>
      <c r="J419" s="1264"/>
      <c r="K419" s="1265"/>
      <c r="L419" s="1473"/>
      <c r="M419" s="1214"/>
      <c r="N419" s="1214"/>
      <c r="O419" s="1214"/>
      <c r="P419" s="1214"/>
      <c r="Q419" s="1214"/>
      <c r="R419" s="1214"/>
      <c r="S419" s="1214"/>
      <c r="T419" s="1214"/>
      <c r="U419" s="1214"/>
    </row>
    <row r="420" spans="1:21" s="1199" customFormat="1" ht="24" customHeight="1">
      <c r="A420" s="1474"/>
      <c r="B420" s="2174" t="s">
        <v>1350</v>
      </c>
      <c r="C420" s="1191"/>
      <c r="D420" s="1471"/>
      <c r="E420" s="1387"/>
      <c r="F420" s="1358" t="s">
        <v>226</v>
      </c>
      <c r="G420" s="2176">
        <v>27</v>
      </c>
      <c r="H420" s="1264">
        <f>ROUND(G420*E420,)</f>
        <v>0</v>
      </c>
      <c r="I420" s="2177">
        <v>22</v>
      </c>
      <c r="J420" s="1264">
        <f>ROUND(E420*I420,)</f>
        <v>0</v>
      </c>
      <c r="K420" s="1801">
        <f t="shared" ref="K420" si="86">H420+J420</f>
        <v>0</v>
      </c>
      <c r="L420" s="2001" t="s">
        <v>2667</v>
      </c>
      <c r="M420" s="1214"/>
      <c r="N420" s="1199">
        <v>79.8</v>
      </c>
      <c r="O420" s="1199">
        <f>ROUND(N420/3,)</f>
        <v>27</v>
      </c>
      <c r="P420" s="1214"/>
      <c r="Q420" s="1214"/>
      <c r="R420" s="1214"/>
      <c r="S420" s="1214"/>
      <c r="T420" s="1214"/>
      <c r="U420" s="1214"/>
    </row>
    <row r="421" spans="1:21" s="1199" customFormat="1" ht="24" customHeight="1">
      <c r="A421" s="1474" t="s">
        <v>2679</v>
      </c>
      <c r="B421" s="2174" t="s">
        <v>1110</v>
      </c>
      <c r="C421" s="1191"/>
      <c r="D421" s="1471"/>
      <c r="E421" s="1206"/>
      <c r="F421" s="1207"/>
      <c r="G421" s="2175"/>
      <c r="H421" s="1264"/>
      <c r="I421" s="1265"/>
      <c r="J421" s="1264"/>
      <c r="K421" s="1265"/>
      <c r="L421" s="1473"/>
      <c r="M421" s="1214"/>
      <c r="N421" s="1214"/>
      <c r="O421" s="1214"/>
      <c r="P421" s="1214"/>
      <c r="Q421" s="1214"/>
      <c r="R421" s="1214"/>
      <c r="S421" s="1214"/>
      <c r="T421" s="1214"/>
      <c r="U421" s="1214"/>
    </row>
    <row r="422" spans="1:21" s="1199" customFormat="1" ht="24" customHeight="1">
      <c r="A422" s="1480"/>
      <c r="B422" s="2174" t="s">
        <v>1350</v>
      </c>
      <c r="C422" s="1191"/>
      <c r="D422" s="1471"/>
      <c r="E422" s="1387">
        <v>80</v>
      </c>
      <c r="F422" s="1358" t="s">
        <v>226</v>
      </c>
      <c r="G422" s="2176">
        <v>56</v>
      </c>
      <c r="H422" s="1264">
        <f>ROUND(E422*G422,)</f>
        <v>4480</v>
      </c>
      <c r="I422" s="2177">
        <v>26</v>
      </c>
      <c r="J422" s="1264">
        <f>ROUND(E422*I422,)</f>
        <v>2080</v>
      </c>
      <c r="K422" s="1801">
        <f t="shared" ref="K422" si="87">H422+J422</f>
        <v>6560</v>
      </c>
      <c r="L422" s="2001" t="s">
        <v>2667</v>
      </c>
      <c r="M422" s="1214"/>
      <c r="N422" s="1199">
        <v>169.2</v>
      </c>
      <c r="O422" s="1199">
        <f>ROUND(N422/3,)</f>
        <v>56</v>
      </c>
      <c r="P422" s="1214"/>
      <c r="Q422" s="1214"/>
      <c r="R422" s="1214"/>
      <c r="S422" s="1214"/>
      <c r="T422" s="1214"/>
      <c r="U422" s="1214"/>
    </row>
    <row r="423" spans="1:21" s="1199" customFormat="1" ht="24" customHeight="1">
      <c r="A423" s="1480"/>
      <c r="B423" s="2174" t="s">
        <v>1384</v>
      </c>
      <c r="C423" s="1191"/>
      <c r="D423" s="1471"/>
      <c r="E423" s="1206">
        <v>1</v>
      </c>
      <c r="F423" s="1207" t="s">
        <v>1104</v>
      </c>
      <c r="G423" s="2175">
        <f>ROUND(SUM(H420:H422)*15%,0)</f>
        <v>672</v>
      </c>
      <c r="H423" s="1264">
        <f>ROUND(E423*G423,)</f>
        <v>672</v>
      </c>
      <c r="I423" s="1265">
        <f>ROUND(G423*0.3,0)</f>
        <v>202</v>
      </c>
      <c r="J423" s="1264">
        <f>ROUND(I423*E423,)</f>
        <v>202</v>
      </c>
      <c r="K423" s="1265">
        <f>H423+I423</f>
        <v>874</v>
      </c>
      <c r="L423" s="1473"/>
      <c r="M423" s="1214"/>
      <c r="N423" s="1214"/>
      <c r="O423" s="1214"/>
      <c r="P423" s="1214"/>
      <c r="Q423" s="1214"/>
      <c r="R423" s="1214"/>
      <c r="S423" s="1214"/>
      <c r="T423" s="1214"/>
      <c r="U423" s="1214"/>
    </row>
    <row r="424" spans="1:21" s="1199" customFormat="1" ht="24" customHeight="1">
      <c r="A424" s="1474" t="s">
        <v>2918</v>
      </c>
      <c r="B424" s="2174" t="s">
        <v>1381</v>
      </c>
      <c r="C424" s="1191"/>
      <c r="D424" s="1471"/>
      <c r="E424" s="1206"/>
      <c r="F424" s="1207" t="s">
        <v>1104</v>
      </c>
      <c r="G424" s="2175"/>
      <c r="H424" s="1264"/>
      <c r="I424" s="1504"/>
      <c r="J424" s="1264"/>
      <c r="K424" s="1265"/>
      <c r="L424" s="1473"/>
      <c r="M424" s="1214"/>
      <c r="N424" s="1214"/>
      <c r="O424" s="1214"/>
      <c r="P424" s="1214"/>
      <c r="Q424" s="1214"/>
      <c r="R424" s="1214"/>
      <c r="S424" s="1214"/>
      <c r="T424" s="1214"/>
      <c r="U424" s="1214"/>
    </row>
    <row r="425" spans="1:21" s="1199" customFormat="1" ht="24" customHeight="1">
      <c r="A425" s="1480"/>
      <c r="B425" s="2174" t="s">
        <v>1117</v>
      </c>
      <c r="C425" s="1191"/>
      <c r="D425" s="1471"/>
      <c r="E425" s="1206"/>
      <c r="F425" s="1207"/>
      <c r="G425" s="2175"/>
      <c r="H425" s="1264"/>
      <c r="I425" s="1265"/>
      <c r="J425" s="1264"/>
      <c r="K425" s="1265"/>
      <c r="L425" s="1473"/>
      <c r="M425" s="1214"/>
      <c r="N425" s="1214"/>
      <c r="O425" s="1214"/>
      <c r="P425" s="1214"/>
      <c r="Q425" s="1214"/>
      <c r="R425" s="1214"/>
      <c r="S425" s="1214"/>
      <c r="T425" s="1214"/>
      <c r="U425" s="1214"/>
    </row>
    <row r="426" spans="1:21" s="1199" customFormat="1" ht="24" customHeight="1">
      <c r="A426" s="1339"/>
      <c r="B426" s="1220" t="s">
        <v>1118</v>
      </c>
      <c r="C426" s="1221"/>
      <c r="D426" s="1221"/>
      <c r="E426" s="1404"/>
      <c r="F426" s="1412"/>
      <c r="G426" s="1386"/>
      <c r="H426" s="1413"/>
      <c r="I426" s="1414"/>
      <c r="J426" s="1415"/>
      <c r="K426" s="1415"/>
      <c r="L426" s="1415"/>
      <c r="M426" s="1214"/>
      <c r="N426" s="1214"/>
      <c r="O426" s="1214"/>
      <c r="P426" s="1214"/>
    </row>
    <row r="427" spans="1:21" s="1199" customFormat="1" ht="24" customHeight="1">
      <c r="A427" s="1339"/>
      <c r="B427" s="1220" t="s">
        <v>1118</v>
      </c>
      <c r="C427" s="1221"/>
      <c r="D427" s="1221"/>
      <c r="E427" s="1404"/>
      <c r="F427" s="1412"/>
      <c r="G427" s="1386"/>
      <c r="H427" s="1413"/>
      <c r="I427" s="1414"/>
      <c r="J427" s="1415"/>
      <c r="K427" s="1415"/>
      <c r="L427" s="1415"/>
      <c r="M427" s="1214"/>
      <c r="N427" s="1214"/>
      <c r="O427" s="1214"/>
      <c r="P427" s="1214"/>
    </row>
    <row r="428" spans="1:21" s="1199" customFormat="1" ht="24" customHeight="1">
      <c r="A428" s="1339"/>
      <c r="B428" s="1505"/>
      <c r="C428" s="1221"/>
      <c r="D428" s="1221"/>
      <c r="E428" s="1404"/>
      <c r="F428" s="1412"/>
      <c r="G428" s="1386"/>
      <c r="H428" s="1413"/>
      <c r="I428" s="1414"/>
      <c r="J428" s="1415"/>
      <c r="K428" s="1415"/>
      <c r="L428" s="1415"/>
      <c r="M428" s="1214"/>
      <c r="N428" s="1214"/>
      <c r="O428" s="1214"/>
      <c r="P428" s="1214"/>
    </row>
    <row r="429" spans="1:21" s="1199" customFormat="1" ht="24" customHeight="1">
      <c r="A429" s="1339"/>
      <c r="B429" s="1505"/>
      <c r="C429" s="1221"/>
      <c r="D429" s="1221"/>
      <c r="E429" s="1404"/>
      <c r="F429" s="1412"/>
      <c r="G429" s="1386"/>
      <c r="H429" s="1413"/>
      <c r="I429" s="1414"/>
      <c r="J429" s="1415"/>
      <c r="K429" s="1415"/>
      <c r="L429" s="1415"/>
      <c r="M429" s="1214"/>
      <c r="N429" s="1214"/>
      <c r="O429" s="1214"/>
      <c r="P429" s="1214"/>
    </row>
    <row r="430" spans="1:21" s="1199" customFormat="1" ht="24" customHeight="1">
      <c r="A430" s="1339"/>
      <c r="B430" s="1505"/>
      <c r="C430" s="1221"/>
      <c r="D430" s="1221"/>
      <c r="E430" s="1404"/>
      <c r="F430" s="1412"/>
      <c r="G430" s="1386"/>
      <c r="H430" s="1413"/>
      <c r="I430" s="1414"/>
      <c r="J430" s="1415"/>
      <c r="K430" s="1415"/>
      <c r="L430" s="1415"/>
      <c r="M430" s="1214"/>
      <c r="N430" s="1214"/>
      <c r="O430" s="1214"/>
      <c r="P430" s="1214"/>
    </row>
    <row r="431" spans="1:21" s="1199" customFormat="1" ht="24" customHeight="1">
      <c r="A431" s="1339"/>
      <c r="B431" s="1505"/>
      <c r="C431" s="1221"/>
      <c r="D431" s="1221"/>
      <c r="E431" s="1404"/>
      <c r="F431" s="1412"/>
      <c r="G431" s="1386"/>
      <c r="H431" s="1413"/>
      <c r="I431" s="1414"/>
      <c r="J431" s="1415"/>
      <c r="K431" s="1415"/>
      <c r="L431" s="1415"/>
      <c r="M431" s="1214"/>
      <c r="N431" s="1214"/>
      <c r="O431" s="1214"/>
      <c r="P431" s="1214"/>
    </row>
    <row r="432" spans="1:21" s="1199" customFormat="1" ht="24" customHeight="1">
      <c r="A432" s="1339"/>
      <c r="B432" s="1505"/>
      <c r="C432" s="1221"/>
      <c r="D432" s="1221"/>
      <c r="E432" s="1404"/>
      <c r="F432" s="1412"/>
      <c r="G432" s="1386"/>
      <c r="H432" s="1413"/>
      <c r="I432" s="1414"/>
      <c r="J432" s="1415"/>
      <c r="K432" s="1415"/>
      <c r="L432" s="1415"/>
      <c r="M432" s="1214"/>
      <c r="N432" s="1214"/>
      <c r="O432" s="1214"/>
      <c r="P432" s="1214"/>
    </row>
    <row r="433" spans="1:21" s="1199" customFormat="1" ht="24" customHeight="1">
      <c r="A433" s="1339"/>
      <c r="B433" s="1505"/>
      <c r="C433" s="1221"/>
      <c r="D433" s="1221"/>
      <c r="E433" s="1404"/>
      <c r="F433" s="1412"/>
      <c r="G433" s="1386"/>
      <c r="H433" s="1413"/>
      <c r="I433" s="1414"/>
      <c r="J433" s="1415"/>
      <c r="K433" s="1415"/>
      <c r="L433" s="1415"/>
      <c r="M433" s="1214"/>
      <c r="N433" s="1214"/>
      <c r="O433" s="1214"/>
      <c r="P433" s="1214"/>
    </row>
    <row r="434" spans="1:21" s="1199" customFormat="1" ht="24" customHeight="1">
      <c r="A434" s="1339"/>
      <c r="B434" s="1505"/>
      <c r="C434" s="1221"/>
      <c r="D434" s="1221"/>
      <c r="E434" s="1404"/>
      <c r="F434" s="1412"/>
      <c r="G434" s="1386"/>
      <c r="H434" s="1413"/>
      <c r="I434" s="1414"/>
      <c r="J434" s="1415"/>
      <c r="K434" s="1415"/>
      <c r="L434" s="1415"/>
      <c r="M434" s="1214"/>
      <c r="N434" s="1214"/>
      <c r="O434" s="1214"/>
      <c r="P434" s="1214"/>
    </row>
    <row r="435" spans="1:21" s="1199" customFormat="1" ht="24" customHeight="1">
      <c r="A435" s="1339"/>
      <c r="B435" s="1505"/>
      <c r="C435" s="1221"/>
      <c r="D435" s="1221"/>
      <c r="E435" s="1404"/>
      <c r="F435" s="1412"/>
      <c r="G435" s="1386"/>
      <c r="H435" s="1413"/>
      <c r="I435" s="1414"/>
      <c r="J435" s="1415"/>
      <c r="K435" s="1415"/>
      <c r="L435" s="1415"/>
      <c r="M435" s="1214"/>
      <c r="N435" s="1214"/>
      <c r="O435" s="1214"/>
      <c r="P435" s="1214"/>
    </row>
    <row r="436" spans="1:21" s="1199" customFormat="1" ht="24" customHeight="1">
      <c r="A436" s="1339"/>
      <c r="B436" s="1505"/>
      <c r="C436" s="1221"/>
      <c r="D436" s="1221"/>
      <c r="E436" s="1404"/>
      <c r="F436" s="1412"/>
      <c r="G436" s="1386"/>
      <c r="H436" s="1413"/>
      <c r="I436" s="1414"/>
      <c r="J436" s="1415"/>
      <c r="K436" s="1415"/>
      <c r="L436" s="1415"/>
      <c r="M436" s="1214"/>
      <c r="N436" s="1214"/>
      <c r="O436" s="1214"/>
      <c r="P436" s="1214"/>
    </row>
    <row r="437" spans="1:21" s="1199" customFormat="1" ht="24" customHeight="1">
      <c r="A437" s="1339"/>
      <c r="B437" s="1505"/>
      <c r="C437" s="1221"/>
      <c r="D437" s="1221"/>
      <c r="E437" s="1404"/>
      <c r="F437" s="1412"/>
      <c r="G437" s="1386"/>
      <c r="H437" s="1413"/>
      <c r="I437" s="1414"/>
      <c r="J437" s="1415"/>
      <c r="K437" s="1415"/>
      <c r="L437" s="1415"/>
      <c r="M437" s="1214"/>
      <c r="N437" s="1214"/>
      <c r="O437" s="1214"/>
      <c r="P437" s="1214"/>
    </row>
    <row r="438" spans="1:21" s="1199" customFormat="1" ht="24" customHeight="1">
      <c r="A438" s="1339"/>
      <c r="B438" s="1505"/>
      <c r="C438" s="1221"/>
      <c r="D438" s="1221"/>
      <c r="E438" s="1404"/>
      <c r="F438" s="1412"/>
      <c r="G438" s="1386"/>
      <c r="H438" s="1413"/>
      <c r="I438" s="1414"/>
      <c r="J438" s="1415"/>
      <c r="K438" s="1415"/>
      <c r="L438" s="1415"/>
      <c r="M438" s="1214"/>
      <c r="N438" s="1214"/>
      <c r="O438" s="1214"/>
      <c r="P438" s="1214"/>
    </row>
    <row r="439" spans="1:21" s="1199" customFormat="1" ht="24" customHeight="1">
      <c r="A439" s="1339"/>
      <c r="B439" s="1505"/>
      <c r="C439" s="1221"/>
      <c r="D439" s="1221"/>
      <c r="E439" s="1404"/>
      <c r="F439" s="1412"/>
      <c r="G439" s="1386"/>
      <c r="H439" s="1413"/>
      <c r="I439" s="1414"/>
      <c r="J439" s="1415"/>
      <c r="K439" s="1415"/>
      <c r="L439" s="1415"/>
      <c r="M439" s="1214"/>
      <c r="N439" s="1214"/>
      <c r="O439" s="1214"/>
      <c r="P439" s="1214"/>
    </row>
    <row r="440" spans="1:21" s="1199" customFormat="1" ht="24" customHeight="1">
      <c r="A440" s="1339"/>
      <c r="B440" s="1505"/>
      <c r="C440" s="1221"/>
      <c r="D440" s="1221"/>
      <c r="E440" s="1404"/>
      <c r="F440" s="1412"/>
      <c r="G440" s="1386"/>
      <c r="H440" s="1413"/>
      <c r="I440" s="1414"/>
      <c r="J440" s="1415"/>
      <c r="K440" s="1415"/>
      <c r="L440" s="1415"/>
      <c r="M440" s="1214"/>
      <c r="N440" s="1214"/>
      <c r="O440" s="1214"/>
      <c r="P440" s="1214"/>
    </row>
    <row r="441" spans="1:21" s="1199" customFormat="1" ht="24" customHeight="1">
      <c r="A441" s="1331"/>
      <c r="B441" s="1416"/>
      <c r="C441" s="1202"/>
      <c r="D441" s="1202"/>
      <c r="E441" s="1387"/>
      <c r="F441" s="1384"/>
      <c r="G441" s="2176"/>
      <c r="H441" s="1388"/>
      <c r="I441" s="2177"/>
      <c r="J441" s="1385"/>
      <c r="K441" s="1385"/>
      <c r="L441" s="1385"/>
      <c r="M441" s="1214"/>
      <c r="N441" s="1214"/>
      <c r="O441" s="1214"/>
      <c r="P441" s="1214"/>
    </row>
    <row r="442" spans="1:21" s="1199" customFormat="1" ht="24" customHeight="1">
      <c r="A442" s="1245"/>
      <c r="B442" s="2257" t="str">
        <f>"รวมราคารายการที่ "&amp;A414</f>
        <v>รวมราคารายการที่ 3.12</v>
      </c>
      <c r="C442" s="2258"/>
      <c r="D442" s="2259"/>
      <c r="E442" s="1481"/>
      <c r="F442" s="1245"/>
      <c r="G442" s="1246"/>
      <c r="H442" s="1247">
        <f>SUM(H415:H425)</f>
        <v>19482</v>
      </c>
      <c r="I442" s="1246"/>
      <c r="J442" s="1247">
        <f t="shared" ref="J442:K442" si="88">SUM(J415:J425)</f>
        <v>4207</v>
      </c>
      <c r="K442" s="1247">
        <f t="shared" si="88"/>
        <v>23689</v>
      </c>
      <c r="L442" s="1245"/>
      <c r="M442" s="1214"/>
      <c r="N442" s="1214"/>
      <c r="O442" s="1214"/>
      <c r="P442" s="1214"/>
      <c r="Q442" s="1214"/>
      <c r="R442" s="1214"/>
      <c r="S442" s="1214"/>
      <c r="T442" s="1214"/>
      <c r="U442" s="1214"/>
    </row>
  </sheetData>
  <mergeCells count="21">
    <mergeCell ref="B254:D254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138:D138"/>
    <mergeCell ref="B202:D202"/>
    <mergeCell ref="B233:D233"/>
    <mergeCell ref="B442:D442"/>
    <mergeCell ref="B274:D274"/>
    <mergeCell ref="B302:D302"/>
    <mergeCell ref="B346:D346"/>
    <mergeCell ref="B363:D363"/>
    <mergeCell ref="B385:D385"/>
    <mergeCell ref="B413:D413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1-อาคารทิศตะวันตก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B9563-E707-4CC4-9107-A68D4AB4EC85}">
  <sheetPr>
    <tabColor rgb="FF92D050"/>
  </sheetPr>
  <dimension ref="A1:U346"/>
  <sheetViews>
    <sheetView view="pageBreakPreview" topLeftCell="A292" zoomScale="85" zoomScaleNormal="100" zoomScaleSheetLayoutView="85" workbookViewId="0">
      <selection activeCell="A297" sqref="A297:L307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" style="1" customWidth="1"/>
    <col min="13" max="96" width="7.703125" style="1" customWidth="1"/>
    <col min="97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1616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29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H82</f>
        <v>317140</v>
      </c>
      <c r="I12" s="1241"/>
      <c r="J12" s="1196">
        <f>J82</f>
        <v>24000</v>
      </c>
      <c r="K12" s="1196">
        <f>K82</f>
        <v>341140</v>
      </c>
      <c r="L12" s="1430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H91</f>
        <v>0</v>
      </c>
      <c r="I13" s="1241"/>
      <c r="J13" s="1196">
        <f>J91</f>
        <v>0</v>
      </c>
      <c r="K13" s="1196">
        <f>K91</f>
        <v>0</v>
      </c>
      <c r="L13" s="1430"/>
    </row>
    <row r="14" spans="1:12" s="1199" customFormat="1" ht="24" customHeight="1">
      <c r="A14" s="1204">
        <f>A92</f>
        <v>3.3</v>
      </c>
      <c r="B14" s="1431" t="str">
        <f>B92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H106</f>
        <v>0</v>
      </c>
      <c r="I14" s="1241"/>
      <c r="J14" s="1196">
        <f>J106</f>
        <v>0</v>
      </c>
      <c r="K14" s="1196">
        <f>K106</f>
        <v>0</v>
      </c>
      <c r="L14" s="1430"/>
    </row>
    <row r="15" spans="1:12" s="1199" customFormat="1" ht="24" customHeight="1">
      <c r="A15" s="1204">
        <f>A107</f>
        <v>3.4</v>
      </c>
      <c r="B15" s="1190" t="str">
        <f>B107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H139</f>
        <v>120992</v>
      </c>
      <c r="I15" s="1197"/>
      <c r="J15" s="1196">
        <f>J139</f>
        <v>38189</v>
      </c>
      <c r="K15" s="1196">
        <f t="shared" ref="K15:K21" si="0">SUM(H15:J15)</f>
        <v>159181</v>
      </c>
      <c r="L15" s="1430"/>
    </row>
    <row r="16" spans="1:12" s="1199" customFormat="1" ht="24" customHeight="1">
      <c r="A16" s="1204" t="str">
        <f>A140</f>
        <v>3.5</v>
      </c>
      <c r="B16" s="1190" t="str">
        <f>B140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H165</f>
        <v>59877</v>
      </c>
      <c r="I16" s="1197"/>
      <c r="J16" s="1196">
        <f>J165</f>
        <v>16079</v>
      </c>
      <c r="K16" s="1196">
        <f t="shared" si="0"/>
        <v>75956</v>
      </c>
      <c r="L16" s="1430"/>
    </row>
    <row r="17" spans="1:12" s="1199" customFormat="1" ht="24" customHeight="1">
      <c r="A17" s="1204" t="str">
        <f>A166</f>
        <v>3.6</v>
      </c>
      <c r="B17" s="1190" t="str">
        <f>B166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H187</f>
        <v>12376</v>
      </c>
      <c r="I17" s="1197"/>
      <c r="J17" s="1196">
        <f>J187</f>
        <v>2380</v>
      </c>
      <c r="K17" s="1196">
        <f t="shared" si="0"/>
        <v>14756</v>
      </c>
      <c r="L17" s="1430"/>
    </row>
    <row r="18" spans="1:12" s="1199" customFormat="1" ht="24" customHeight="1">
      <c r="A18" s="1204" t="str">
        <f>A188</f>
        <v>3.7</v>
      </c>
      <c r="B18" s="1190" t="str">
        <f>B188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H216</f>
        <v>14196</v>
      </c>
      <c r="I18" s="1197"/>
      <c r="J18" s="1196">
        <f>J216</f>
        <v>4043</v>
      </c>
      <c r="K18" s="1196">
        <f t="shared" si="0"/>
        <v>18239</v>
      </c>
      <c r="L18" s="1430"/>
    </row>
    <row r="19" spans="1:12" s="1199" customFormat="1" ht="24" customHeight="1">
      <c r="A19" s="1204">
        <f>A217</f>
        <v>3.8</v>
      </c>
      <c r="B19" s="2174" t="str">
        <f>B217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H258</f>
        <v>1552266</v>
      </c>
      <c r="I19" s="1197"/>
      <c r="J19" s="1196">
        <f>J258</f>
        <v>255270</v>
      </c>
      <c r="K19" s="1196">
        <f t="shared" si="0"/>
        <v>1807536</v>
      </c>
      <c r="L19" s="1430"/>
    </row>
    <row r="20" spans="1:12" s="1199" customFormat="1" ht="24" customHeight="1">
      <c r="A20" s="1233" t="str">
        <f>A259</f>
        <v>3.9</v>
      </c>
      <c r="B20" s="1234" t="str">
        <f>B259</f>
        <v>ระบบเสียงและประกาศเรียก (Public Address System)</v>
      </c>
      <c r="C20" s="1235"/>
      <c r="D20" s="1236"/>
      <c r="E20" s="1193">
        <v>1</v>
      </c>
      <c r="F20" s="1194" t="s">
        <v>19</v>
      </c>
      <c r="G20" s="1237"/>
      <c r="H20" s="1238">
        <f>H274</f>
        <v>101467</v>
      </c>
      <c r="I20" s="1239"/>
      <c r="J20" s="1238">
        <f>J274</f>
        <v>37871</v>
      </c>
      <c r="K20" s="1196">
        <f t="shared" si="0"/>
        <v>139338</v>
      </c>
      <c r="L20" s="1430"/>
    </row>
    <row r="21" spans="1:12" s="1199" customFormat="1" ht="24" customHeight="1">
      <c r="A21" s="1204" t="str">
        <f>A275</f>
        <v>3.10</v>
      </c>
      <c r="B21" s="1190" t="str">
        <f>B275</f>
        <v>ระบบควบคุมประตูอัตโนมัติ (Access Control System)</v>
      </c>
      <c r="C21" s="1202"/>
      <c r="D21" s="1203"/>
      <c r="E21" s="1193">
        <v>1</v>
      </c>
      <c r="F21" s="1194" t="s">
        <v>19</v>
      </c>
      <c r="G21" s="1195"/>
      <c r="H21" s="1196">
        <f>H294</f>
        <v>244424</v>
      </c>
      <c r="I21" s="1197"/>
      <c r="J21" s="1196">
        <f>J294</f>
        <v>16838</v>
      </c>
      <c r="K21" s="1196">
        <f t="shared" si="0"/>
        <v>261262</v>
      </c>
      <c r="L21" s="1430"/>
    </row>
    <row r="22" spans="1:12" s="1199" customFormat="1" ht="24" customHeight="1">
      <c r="A22" s="1204" t="str">
        <f>A295</f>
        <v>3.11</v>
      </c>
      <c r="B22" s="1431" t="str">
        <f>B295</f>
        <v>ระบบบริหารจัดการอาคาร (Building Management System : BMS)</v>
      </c>
      <c r="C22" s="1202"/>
      <c r="D22" s="1203"/>
      <c r="E22" s="1193">
        <v>1</v>
      </c>
      <c r="F22" s="1194" t="s">
        <v>19</v>
      </c>
      <c r="G22" s="1195"/>
      <c r="H22" s="1196">
        <f>H312</f>
        <v>245480</v>
      </c>
      <c r="I22" s="1197"/>
      <c r="J22" s="1196">
        <f t="shared" ref="J22:K22" si="1">J312</f>
        <v>29028</v>
      </c>
      <c r="K22" s="1196">
        <f t="shared" si="1"/>
        <v>274508</v>
      </c>
      <c r="L22" s="1430"/>
    </row>
    <row r="23" spans="1:12" s="1199" customFormat="1" ht="24" customHeight="1">
      <c r="A23" s="1204" t="str">
        <f>A313</f>
        <v>3.12</v>
      </c>
      <c r="B23" s="1431" t="str">
        <f>B313</f>
        <v>ระบบแจ้งเหตุฉุกเฉิน (Panic Alarm System)</v>
      </c>
      <c r="C23" s="1202"/>
      <c r="D23" s="1203"/>
      <c r="E23" s="1193">
        <v>1</v>
      </c>
      <c r="F23" s="1194" t="s">
        <v>19</v>
      </c>
      <c r="G23" s="1195"/>
      <c r="H23" s="1196">
        <f>H346</f>
        <v>22332</v>
      </c>
      <c r="I23" s="1241"/>
      <c r="J23" s="1196">
        <f t="shared" ref="J23:K23" si="2">J346</f>
        <v>5632</v>
      </c>
      <c r="K23" s="1196">
        <f t="shared" si="2"/>
        <v>27964</v>
      </c>
      <c r="L23" s="1430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195"/>
      <c r="H24" s="1196"/>
      <c r="I24" s="1241"/>
      <c r="J24" s="1229"/>
      <c r="K24" s="1242"/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2</v>
      </c>
      <c r="C34" s="2258"/>
      <c r="D34" s="2259"/>
      <c r="E34" s="1244"/>
      <c r="F34" s="1245"/>
      <c r="G34" s="1246"/>
      <c r="H34" s="1247">
        <f>SUM(H11:H33)</f>
        <v>2690550</v>
      </c>
      <c r="I34" s="1246"/>
      <c r="J34" s="1247">
        <f>SUM(J11:J33)</f>
        <v>429330</v>
      </c>
      <c r="K34" s="1247">
        <f>SUM(K11:K33)</f>
        <v>3119880</v>
      </c>
      <c r="L34" s="1245"/>
      <c r="M34" s="1214"/>
      <c r="N34" s="1214"/>
      <c r="O34" s="1214"/>
      <c r="P34" s="1214"/>
      <c r="Q34" s="1214"/>
      <c r="R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1096</v>
      </c>
      <c r="B36" s="1362" t="s">
        <v>1227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3">ROUND(G38*E38,)</f>
        <v>0</v>
      </c>
      <c r="I38" s="1265"/>
      <c r="J38" s="1264"/>
      <c r="K38" s="1265">
        <f t="shared" ref="K38:K55" si="4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/>
      <c r="F39" s="1207" t="s">
        <v>363</v>
      </c>
      <c r="G39" s="2175">
        <v>2400</v>
      </c>
      <c r="H39" s="1264">
        <f t="shared" si="3"/>
        <v>0</v>
      </c>
      <c r="I39" s="1265"/>
      <c r="J39" s="1264"/>
      <c r="K39" s="1265">
        <f t="shared" si="4"/>
        <v>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>
        <v>1</v>
      </c>
      <c r="F40" s="1207" t="s">
        <v>363</v>
      </c>
      <c r="G40" s="2175">
        <v>2400</v>
      </c>
      <c r="H40" s="1264">
        <f t="shared" si="3"/>
        <v>2400</v>
      </c>
      <c r="I40" s="1265"/>
      <c r="J40" s="1264"/>
      <c r="K40" s="1265">
        <f t="shared" si="4"/>
        <v>2400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3"/>
        <v>0</v>
      </c>
      <c r="I41" s="1265"/>
      <c r="J41" s="1264"/>
      <c r="K41" s="1265">
        <f t="shared" si="4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3"/>
        <v>2400</v>
      </c>
      <c r="I42" s="1265"/>
      <c r="J42" s="1264"/>
      <c r="K42" s="1265">
        <f t="shared" si="4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3"/>
        <v>7200</v>
      </c>
      <c r="I43" s="1265"/>
      <c r="J43" s="1264"/>
      <c r="K43" s="1265">
        <f t="shared" si="4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3"/>
        <v>0</v>
      </c>
      <c r="I44" s="1265"/>
      <c r="J44" s="1264"/>
      <c r="K44" s="1265">
        <f t="shared" si="4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3"/>
        <v>0</v>
      </c>
      <c r="I45" s="1265"/>
      <c r="J45" s="1264"/>
      <c r="K45" s="1265">
        <f t="shared" si="4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3"/>
        <v>0</v>
      </c>
      <c r="I46" s="1265"/>
      <c r="J46" s="1264"/>
      <c r="K46" s="1265">
        <f t="shared" si="4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3"/>
        <v>0</v>
      </c>
      <c r="I47" s="1265"/>
      <c r="J47" s="1264"/>
      <c r="K47" s="1265">
        <f t="shared" si="4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>
        <v>1</v>
      </c>
      <c r="F48" s="1207" t="s">
        <v>363</v>
      </c>
      <c r="G48" s="2175">
        <v>11500</v>
      </c>
      <c r="H48" s="1264">
        <f t="shared" si="3"/>
        <v>11500</v>
      </c>
      <c r="I48" s="1265"/>
      <c r="J48" s="1264"/>
      <c r="K48" s="1265">
        <f t="shared" si="4"/>
        <v>11500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/>
      <c r="F49" s="1207" t="s">
        <v>363</v>
      </c>
      <c r="G49" s="2175">
        <v>20200</v>
      </c>
      <c r="H49" s="1264">
        <f t="shared" si="3"/>
        <v>0</v>
      </c>
      <c r="I49" s="1265"/>
      <c r="J49" s="1264"/>
      <c r="K49" s="1265">
        <f t="shared" si="4"/>
        <v>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3"/>
        <v>0</v>
      </c>
      <c r="I50" s="1265"/>
      <c r="J50" s="1264"/>
      <c r="K50" s="1265">
        <f t="shared" si="4"/>
        <v>0</v>
      </c>
      <c r="L50" s="1266"/>
    </row>
    <row r="51" spans="1:18" s="1199" customFormat="1" ht="24" customHeight="1">
      <c r="A51" s="1339"/>
      <c r="B51" s="1259" t="s">
        <v>1228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3"/>
        <v>1800</v>
      </c>
      <c r="I51" s="1265"/>
      <c r="J51" s="1264"/>
      <c r="K51" s="1265">
        <f t="shared" si="4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3"/>
        <v>360</v>
      </c>
      <c r="I52" s="1265"/>
      <c r="J52" s="1264"/>
      <c r="K52" s="1265">
        <f t="shared" si="4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3"/>
        <v>300</v>
      </c>
      <c r="I53" s="1265"/>
      <c r="J53" s="1264"/>
      <c r="K53" s="1265">
        <f t="shared" si="4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6</v>
      </c>
      <c r="F54" s="1207" t="s">
        <v>363</v>
      </c>
      <c r="G54" s="2175">
        <v>15435</v>
      </c>
      <c r="H54" s="1264">
        <f t="shared" si="3"/>
        <v>92610</v>
      </c>
      <c r="I54" s="1265"/>
      <c r="J54" s="1264"/>
      <c r="K54" s="1265">
        <f t="shared" si="4"/>
        <v>92610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40000</v>
      </c>
      <c r="H55" s="1264">
        <f t="shared" si="3"/>
        <v>40000</v>
      </c>
      <c r="I55" s="1265">
        <f>G55*0.3</f>
        <v>12000</v>
      </c>
      <c r="J55" s="1264">
        <f>ROUND(E55*I55,)</f>
        <v>12000</v>
      </c>
      <c r="K55" s="1265">
        <f t="shared" si="4"/>
        <v>52000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1244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5">ROUND(G61*E61,)</f>
        <v>0</v>
      </c>
      <c r="I61" s="1265"/>
      <c r="J61" s="1264"/>
      <c r="K61" s="1265">
        <f t="shared" ref="K61:K78" si="6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/>
      <c r="F62" s="1207" t="s">
        <v>363</v>
      </c>
      <c r="G62" s="2175">
        <v>2400</v>
      </c>
      <c r="H62" s="1264">
        <f t="shared" si="5"/>
        <v>0</v>
      </c>
      <c r="I62" s="1265"/>
      <c r="J62" s="1264"/>
      <c r="K62" s="1265">
        <f t="shared" si="6"/>
        <v>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>
        <v>1</v>
      </c>
      <c r="F63" s="1207" t="s">
        <v>363</v>
      </c>
      <c r="G63" s="2175">
        <v>2400</v>
      </c>
      <c r="H63" s="1264">
        <f t="shared" si="5"/>
        <v>2400</v>
      </c>
      <c r="I63" s="1265"/>
      <c r="J63" s="1264"/>
      <c r="K63" s="1265">
        <f t="shared" si="6"/>
        <v>2400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5"/>
        <v>0</v>
      </c>
      <c r="I64" s="1265"/>
      <c r="J64" s="1264"/>
      <c r="K64" s="1265">
        <f t="shared" si="6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5"/>
        <v>2400</v>
      </c>
      <c r="I65" s="1265"/>
      <c r="J65" s="1264"/>
      <c r="K65" s="1265">
        <f t="shared" si="6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3</v>
      </c>
      <c r="F66" s="1207" t="s">
        <v>363</v>
      </c>
      <c r="G66" s="2175">
        <v>2400</v>
      </c>
      <c r="H66" s="1264">
        <f t="shared" si="5"/>
        <v>7200</v>
      </c>
      <c r="I66" s="1265"/>
      <c r="J66" s="1264"/>
      <c r="K66" s="1265">
        <f t="shared" si="6"/>
        <v>7200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5"/>
        <v>0</v>
      </c>
      <c r="I67" s="1265"/>
      <c r="J67" s="1264"/>
      <c r="K67" s="1265">
        <f t="shared" si="6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5"/>
        <v>0</v>
      </c>
      <c r="I68" s="1265"/>
      <c r="J68" s="1264"/>
      <c r="K68" s="1265">
        <f t="shared" si="6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5"/>
        <v>0</v>
      </c>
      <c r="I69" s="1265"/>
      <c r="J69" s="1264"/>
      <c r="K69" s="1265">
        <f t="shared" si="6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5"/>
        <v>0</v>
      </c>
      <c r="I70" s="1265"/>
      <c r="J70" s="1264"/>
      <c r="K70" s="1265">
        <f t="shared" si="6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>
        <v>1</v>
      </c>
      <c r="F71" s="1207" t="s">
        <v>363</v>
      </c>
      <c r="G71" s="2175">
        <v>11500</v>
      </c>
      <c r="H71" s="1264">
        <f t="shared" si="5"/>
        <v>11500</v>
      </c>
      <c r="I71" s="1265"/>
      <c r="J71" s="1264"/>
      <c r="K71" s="1265">
        <f t="shared" si="6"/>
        <v>11500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/>
      <c r="F72" s="1207" t="s">
        <v>363</v>
      </c>
      <c r="G72" s="2175">
        <v>20200</v>
      </c>
      <c r="H72" s="1264">
        <f t="shared" si="5"/>
        <v>0</v>
      </c>
      <c r="I72" s="1265"/>
      <c r="J72" s="1264"/>
      <c r="K72" s="1265">
        <f t="shared" si="6"/>
        <v>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5"/>
        <v>0</v>
      </c>
      <c r="I73" s="1265"/>
      <c r="J73" s="1264"/>
      <c r="K73" s="1265">
        <f t="shared" si="6"/>
        <v>0</v>
      </c>
      <c r="L73" s="1266"/>
    </row>
    <row r="74" spans="1:17" s="1199" customFormat="1" ht="24" customHeight="1">
      <c r="A74" s="1339"/>
      <c r="B74" s="1259" t="s">
        <v>1228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5"/>
        <v>1800</v>
      </c>
      <c r="I74" s="1265"/>
      <c r="J74" s="1264"/>
      <c r="K74" s="1265">
        <f t="shared" si="6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5"/>
        <v>360</v>
      </c>
      <c r="I75" s="1265"/>
      <c r="J75" s="1264"/>
      <c r="K75" s="1265">
        <f t="shared" si="6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5"/>
        <v>300</v>
      </c>
      <c r="I76" s="1265"/>
      <c r="J76" s="1264"/>
      <c r="K76" s="1265">
        <f t="shared" si="6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6</v>
      </c>
      <c r="F77" s="1207" t="s">
        <v>363</v>
      </c>
      <c r="G77" s="2175">
        <v>15435</v>
      </c>
      <c r="H77" s="1264">
        <f t="shared" si="5"/>
        <v>92610</v>
      </c>
      <c r="I77" s="1265"/>
      <c r="J77" s="1264"/>
      <c r="K77" s="1265">
        <f t="shared" si="6"/>
        <v>92610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40000</v>
      </c>
      <c r="H78" s="1264">
        <f t="shared" si="5"/>
        <v>40000</v>
      </c>
      <c r="I78" s="1265">
        <f>G78*0.3</f>
        <v>12000</v>
      </c>
      <c r="J78" s="1264">
        <f>ROUND(E78*I78,)</f>
        <v>12000</v>
      </c>
      <c r="K78" s="1265">
        <f t="shared" si="6"/>
        <v>52000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7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7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317140</v>
      </c>
      <c r="I82" s="1246"/>
      <c r="J82" s="1247">
        <f>SUM(J35:J81)</f>
        <v>24000</v>
      </c>
      <c r="K82" s="1247">
        <f>SUM(K35:K81)</f>
        <v>341140</v>
      </c>
      <c r="L82" s="1245"/>
      <c r="M82" s="1214"/>
      <c r="N82" s="1214"/>
      <c r="O82" s="1214"/>
      <c r="P82" s="1214"/>
      <c r="Q82" s="1214"/>
    </row>
    <row r="83" spans="1:17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7" s="1199" customFormat="1" ht="24" customHeight="1">
      <c r="A84" s="1189"/>
      <c r="B84" s="1451" t="s">
        <v>1118</v>
      </c>
      <c r="C84" s="1202"/>
      <c r="D84" s="1202"/>
      <c r="E84" s="1387"/>
      <c r="F84" s="1207" t="s">
        <v>363</v>
      </c>
      <c r="G84" s="2176"/>
      <c r="H84" s="1264">
        <f>ROUND(E84*G84,)</f>
        <v>0</v>
      </c>
      <c r="I84" s="2177">
        <f>G84*0.05</f>
        <v>0</v>
      </c>
      <c r="J84" s="1264">
        <f>ROUND(E84*I84,)</f>
        <v>0</v>
      </c>
      <c r="K84" s="1273">
        <f>H84+J84</f>
        <v>0</v>
      </c>
      <c r="L84" s="1385"/>
      <c r="M84" s="1214"/>
      <c r="N84" s="1214"/>
      <c r="O84" s="1214"/>
      <c r="P84" s="1214"/>
    </row>
    <row r="85" spans="1:17" s="1199" customFormat="1" ht="24" customHeight="1">
      <c r="A85" s="1189"/>
      <c r="B85" s="1451" t="s">
        <v>1118</v>
      </c>
      <c r="C85" s="1202"/>
      <c r="D85" s="1202"/>
      <c r="E85" s="1387"/>
      <c r="F85" s="1207" t="s">
        <v>363</v>
      </c>
      <c r="G85" s="2176"/>
      <c r="H85" s="1264">
        <f>ROUND(E85*G85,)</f>
        <v>0</v>
      </c>
      <c r="I85" s="2177">
        <f>G85*0.05</f>
        <v>0</v>
      </c>
      <c r="J85" s="1264">
        <f>ROUND(E85*I85,)</f>
        <v>0</v>
      </c>
      <c r="K85" s="1273">
        <f>H85+J85</f>
        <v>0</v>
      </c>
      <c r="L85" s="1385"/>
      <c r="M85" s="1214"/>
      <c r="N85" s="1214"/>
      <c r="O85" s="1214"/>
      <c r="P85" s="1214"/>
    </row>
    <row r="86" spans="1:17" s="1199" customFormat="1" ht="24" customHeight="1">
      <c r="A86" s="1189"/>
      <c r="B86" s="1451" t="s">
        <v>1118</v>
      </c>
      <c r="C86" s="1202"/>
      <c r="D86" s="1202"/>
      <c r="E86" s="1387"/>
      <c r="F86" s="1207" t="s">
        <v>363</v>
      </c>
      <c r="G86" s="2176"/>
      <c r="H86" s="1264">
        <f>ROUND(E86*G86,)</f>
        <v>0</v>
      </c>
      <c r="I86" s="2177">
        <f>G86*0.05</f>
        <v>0</v>
      </c>
      <c r="J86" s="1264">
        <f>ROUND(E86*I86,)</f>
        <v>0</v>
      </c>
      <c r="K86" s="1273">
        <f>H86+J86</f>
        <v>0</v>
      </c>
      <c r="L86" s="1385"/>
      <c r="M86" s="1214"/>
      <c r="N86" s="1214"/>
      <c r="O86" s="1214"/>
      <c r="P86" s="1214"/>
    </row>
    <row r="87" spans="1:17" s="1199" customFormat="1" ht="24" customHeight="1">
      <c r="A87" s="1331"/>
      <c r="B87" s="1190" t="s">
        <v>1117</v>
      </c>
      <c r="C87" s="1275"/>
      <c r="D87" s="1275"/>
      <c r="E87" s="2145"/>
      <c r="F87" s="1358"/>
      <c r="G87" s="2175"/>
      <c r="H87" s="1264"/>
      <c r="I87" s="1265"/>
      <c r="J87" s="1264"/>
      <c r="K87" s="1299"/>
      <c r="L87" s="1432"/>
    </row>
    <row r="88" spans="1:17" s="1199" customFormat="1" ht="24" customHeight="1">
      <c r="A88" s="1331"/>
      <c r="B88" s="1190" t="s">
        <v>1118</v>
      </c>
      <c r="C88" s="1275"/>
      <c r="D88" s="1275"/>
      <c r="E88" s="2145"/>
      <c r="F88" s="1358"/>
      <c r="G88" s="2175"/>
      <c r="H88" s="1264"/>
      <c r="I88" s="1265"/>
      <c r="J88" s="1264"/>
      <c r="K88" s="1299"/>
      <c r="L88" s="1432"/>
    </row>
    <row r="89" spans="1:17" s="1199" customFormat="1" ht="24" customHeight="1">
      <c r="A89" s="1331"/>
      <c r="B89" s="1190" t="s">
        <v>1118</v>
      </c>
      <c r="C89" s="1275"/>
      <c r="D89" s="1275"/>
      <c r="E89" s="2145"/>
      <c r="F89" s="1358"/>
      <c r="G89" s="2175"/>
      <c r="H89" s="1264"/>
      <c r="I89" s="1265"/>
      <c r="J89" s="1264"/>
      <c r="K89" s="1299"/>
      <c r="L89" s="1432"/>
    </row>
    <row r="90" spans="1:17" s="1199" customFormat="1" ht="24" customHeight="1">
      <c r="A90" s="1189"/>
      <c r="B90" s="1650"/>
      <c r="C90" s="1275"/>
      <c r="D90" s="1275"/>
      <c r="E90" s="2145"/>
      <c r="F90" s="1358"/>
      <c r="G90" s="2175"/>
      <c r="H90" s="1264"/>
      <c r="I90" s="1265"/>
      <c r="J90" s="1264"/>
      <c r="K90" s="1299"/>
      <c r="L90" s="1432"/>
    </row>
    <row r="91" spans="1:17" s="1199" customFormat="1" ht="24" customHeight="1">
      <c r="A91" s="1243"/>
      <c r="B91" s="2257" t="str">
        <f>"รวมราคารายการที่ "&amp;A83</f>
        <v>รวมราคารายการที่ 3.2</v>
      </c>
      <c r="C91" s="2258"/>
      <c r="D91" s="2259"/>
      <c r="E91" s="1244"/>
      <c r="F91" s="1245"/>
      <c r="G91" s="1246"/>
      <c r="H91" s="1247">
        <f>SUM(H83:H90)</f>
        <v>0</v>
      </c>
      <c r="I91" s="1246"/>
      <c r="J91" s="1247">
        <f>SUM(J83:J90)</f>
        <v>0</v>
      </c>
      <c r="K91" s="1247">
        <f>SUM(K83:K90)</f>
        <v>0</v>
      </c>
      <c r="L91" s="1245"/>
      <c r="M91" s="1214"/>
      <c r="N91" s="1214"/>
      <c r="O91" s="1214"/>
      <c r="P91" s="1214"/>
      <c r="Q91" s="1214"/>
    </row>
    <row r="92" spans="1:17" s="1199" customFormat="1" ht="24" customHeight="1">
      <c r="A92" s="1381">
        <v>3.3</v>
      </c>
      <c r="B92" s="1292" t="s">
        <v>1427</v>
      </c>
      <c r="C92" s="1294"/>
      <c r="D92" s="1294"/>
      <c r="E92" s="1295"/>
      <c r="F92" s="1296"/>
      <c r="G92" s="1297"/>
      <c r="H92" s="1298"/>
      <c r="I92" s="1299"/>
      <c r="J92" s="1298"/>
      <c r="K92" s="1299"/>
      <c r="L92" s="1432"/>
    </row>
    <row r="93" spans="1:17" s="1199" customFormat="1" ht="24" customHeight="1">
      <c r="A93" s="1331" t="s">
        <v>1128</v>
      </c>
      <c r="B93" s="1190" t="s">
        <v>2892</v>
      </c>
      <c r="C93" s="1275"/>
      <c r="D93" s="1275"/>
      <c r="E93" s="1276"/>
      <c r="F93" s="1358"/>
      <c r="G93" s="2175"/>
      <c r="H93" s="1264"/>
      <c r="I93" s="1265"/>
      <c r="J93" s="1264"/>
      <c r="K93" s="1299"/>
      <c r="L93" s="1432"/>
    </row>
    <row r="94" spans="1:17" s="1199" customFormat="1" ht="24" customHeight="1">
      <c r="A94" s="1331"/>
      <c r="B94" s="1190" t="s">
        <v>2893</v>
      </c>
      <c r="C94" s="1275"/>
      <c r="D94" s="1275"/>
      <c r="E94" s="1276"/>
      <c r="F94" s="1194" t="s">
        <v>363</v>
      </c>
      <c r="G94" s="2175">
        <v>6800</v>
      </c>
      <c r="H94" s="1264">
        <f>ROUND(E94*G94,)</f>
        <v>0</v>
      </c>
      <c r="I94" s="1265">
        <v>1500</v>
      </c>
      <c r="J94" s="1264">
        <f>ROUND(E94*I94,)</f>
        <v>0</v>
      </c>
      <c r="K94" s="1299">
        <f>H94+J94</f>
        <v>0</v>
      </c>
      <c r="L94" s="1432"/>
    </row>
    <row r="95" spans="1:17" s="1199" customFormat="1" ht="24" customHeight="1">
      <c r="A95" s="1331"/>
      <c r="B95" s="1190" t="s">
        <v>2894</v>
      </c>
      <c r="C95" s="1275"/>
      <c r="D95" s="1275"/>
      <c r="E95" s="1276"/>
      <c r="F95" s="1194" t="s">
        <v>363</v>
      </c>
      <c r="G95" s="2175">
        <v>2400</v>
      </c>
      <c r="H95" s="1264"/>
      <c r="I95" s="1265"/>
      <c r="J95" s="1264"/>
      <c r="K95" s="1299"/>
      <c r="L95" s="1432"/>
    </row>
    <row r="96" spans="1:17" s="1199" customFormat="1" ht="24" customHeight="1">
      <c r="A96" s="1331"/>
      <c r="B96" s="1190" t="s">
        <v>2895</v>
      </c>
      <c r="C96" s="1275"/>
      <c r="D96" s="1275"/>
      <c r="E96" s="1276"/>
      <c r="F96" s="1194" t="s">
        <v>363</v>
      </c>
      <c r="G96" s="2175">
        <v>138</v>
      </c>
      <c r="H96" s="1264">
        <f>ROUND(E96*G96,)</f>
        <v>0</v>
      </c>
      <c r="I96" s="1265"/>
      <c r="J96" s="1264">
        <f>ROUND(E96*I96,)</f>
        <v>0</v>
      </c>
      <c r="K96" s="1299">
        <f>H96+J96</f>
        <v>0</v>
      </c>
      <c r="L96" s="1432"/>
    </row>
    <row r="97" spans="1:18" s="1199" customFormat="1" ht="24" customHeight="1">
      <c r="A97" s="1331"/>
      <c r="B97" s="1190" t="s">
        <v>1432</v>
      </c>
      <c r="C97" s="1275"/>
      <c r="D97" s="1275"/>
      <c r="E97" s="1276"/>
      <c r="F97" s="1194" t="s">
        <v>363</v>
      </c>
      <c r="G97" s="2175">
        <v>138</v>
      </c>
      <c r="H97" s="1264">
        <f t="shared" ref="H97:H98" si="7">ROUND(E97*G97,)</f>
        <v>0</v>
      </c>
      <c r="I97" s="1265"/>
      <c r="J97" s="1264">
        <f t="shared" ref="J97:J98" si="8">ROUND(E97*I97,)</f>
        <v>0</v>
      </c>
      <c r="K97" s="1299">
        <f t="shared" ref="K97:K98" si="9">H97+J97</f>
        <v>0</v>
      </c>
      <c r="L97" s="1432"/>
    </row>
    <row r="98" spans="1:18" s="1199" customFormat="1" ht="24" customHeight="1">
      <c r="A98" s="1331"/>
      <c r="B98" s="1190" t="s">
        <v>2896</v>
      </c>
      <c r="C98" s="1275"/>
      <c r="D98" s="1275"/>
      <c r="E98" s="1276"/>
      <c r="F98" s="1194" t="s">
        <v>363</v>
      </c>
      <c r="G98" s="2175">
        <v>619</v>
      </c>
      <c r="H98" s="1264">
        <f t="shared" si="7"/>
        <v>0</v>
      </c>
      <c r="I98" s="1265"/>
      <c r="J98" s="1264">
        <f t="shared" si="8"/>
        <v>0</v>
      </c>
      <c r="K98" s="1299">
        <f t="shared" si="9"/>
        <v>0</v>
      </c>
      <c r="L98" s="1432"/>
    </row>
    <row r="99" spans="1:18" s="1199" customFormat="1" ht="24" customHeight="1">
      <c r="A99" s="1331"/>
      <c r="B99" s="1190" t="s">
        <v>1117</v>
      </c>
      <c r="C99" s="1275"/>
      <c r="D99" s="1275"/>
      <c r="E99" s="2145"/>
      <c r="F99" s="1358"/>
      <c r="G99" s="2175"/>
      <c r="H99" s="1264"/>
      <c r="I99" s="1265"/>
      <c r="J99" s="1264"/>
      <c r="K99" s="1299"/>
      <c r="L99" s="1432"/>
    </row>
    <row r="100" spans="1:18" s="1199" customFormat="1" ht="24" customHeight="1">
      <c r="A100" s="1331"/>
      <c r="B100" s="1190" t="s">
        <v>1118</v>
      </c>
      <c r="C100" s="1275"/>
      <c r="D100" s="1275"/>
      <c r="E100" s="2145"/>
      <c r="F100" s="1358"/>
      <c r="G100" s="2175"/>
      <c r="H100" s="1264"/>
      <c r="I100" s="1265"/>
      <c r="J100" s="1264"/>
      <c r="K100" s="1299"/>
      <c r="L100" s="1432"/>
    </row>
    <row r="101" spans="1:18" s="1199" customFormat="1" ht="24" customHeight="1">
      <c r="A101" s="1331"/>
      <c r="B101" s="1190" t="s">
        <v>1118</v>
      </c>
      <c r="C101" s="1275"/>
      <c r="D101" s="1275"/>
      <c r="E101" s="2145"/>
      <c r="F101" s="1358"/>
      <c r="G101" s="2175"/>
      <c r="H101" s="1264"/>
      <c r="I101" s="1265"/>
      <c r="J101" s="1264"/>
      <c r="K101" s="1299"/>
      <c r="L101" s="1432"/>
    </row>
    <row r="102" spans="1:18" s="1199" customFormat="1" ht="24" customHeight="1">
      <c r="A102" s="1331"/>
      <c r="B102" s="1190"/>
      <c r="C102" s="1275"/>
      <c r="D102" s="1275"/>
      <c r="E102" s="2145"/>
      <c r="F102" s="1358"/>
      <c r="G102" s="2175"/>
      <c r="H102" s="1264"/>
      <c r="I102" s="1265"/>
      <c r="J102" s="1264"/>
      <c r="K102" s="1299"/>
      <c r="L102" s="1432"/>
    </row>
    <row r="103" spans="1:18" s="1199" customFormat="1" ht="24" customHeight="1">
      <c r="A103" s="1331"/>
      <c r="B103" s="1190"/>
      <c r="C103" s="1275"/>
      <c r="D103" s="1275"/>
      <c r="E103" s="2145"/>
      <c r="F103" s="1358"/>
      <c r="G103" s="2175"/>
      <c r="H103" s="1264"/>
      <c r="I103" s="1265"/>
      <c r="J103" s="1264"/>
      <c r="K103" s="1299"/>
      <c r="L103" s="1432"/>
    </row>
    <row r="104" spans="1:18" s="1199" customFormat="1" ht="24" customHeight="1">
      <c r="A104" s="1331"/>
      <c r="B104" s="1190"/>
      <c r="C104" s="1275"/>
      <c r="D104" s="1275"/>
      <c r="E104" s="2145"/>
      <c r="F104" s="1358"/>
      <c r="G104" s="2175"/>
      <c r="H104" s="1264"/>
      <c r="I104" s="1265"/>
      <c r="J104" s="1264"/>
      <c r="K104" s="1299"/>
      <c r="L104" s="1432"/>
    </row>
    <row r="105" spans="1:18" s="1199" customFormat="1" ht="24" customHeight="1">
      <c r="A105" s="1189"/>
      <c r="B105" s="1650"/>
      <c r="C105" s="1275"/>
      <c r="D105" s="1275"/>
      <c r="E105" s="2145"/>
      <c r="F105" s="1358"/>
      <c r="G105" s="2175"/>
      <c r="H105" s="1264"/>
      <c r="I105" s="1265"/>
      <c r="J105" s="1264"/>
      <c r="K105" s="1299"/>
      <c r="L105" s="1432"/>
    </row>
    <row r="106" spans="1:18" s="1199" customFormat="1" ht="24" customHeight="1">
      <c r="A106" s="1243"/>
      <c r="B106" s="2257" t="str">
        <f>"รวมราคารายการที่ "&amp;A92</f>
        <v>รวมราคารายการที่ 3.3</v>
      </c>
      <c r="C106" s="2258"/>
      <c r="D106" s="2259"/>
      <c r="E106" s="1244"/>
      <c r="F106" s="1245"/>
      <c r="G106" s="1246"/>
      <c r="H106" s="1247">
        <f>SUM(H93:H98)</f>
        <v>0</v>
      </c>
      <c r="I106" s="1246"/>
      <c r="J106" s="1247">
        <f>SUM(J93:J98)</f>
        <v>0</v>
      </c>
      <c r="K106" s="1245">
        <f>SUM(K93:K98)</f>
        <v>0</v>
      </c>
      <c r="L106" s="1245"/>
    </row>
    <row r="107" spans="1:18" s="1199" customFormat="1" ht="24" customHeight="1">
      <c r="A107" s="1321">
        <v>3.4</v>
      </c>
      <c r="B107" s="1292" t="s">
        <v>1312</v>
      </c>
      <c r="C107" s="1235"/>
      <c r="D107" s="1235"/>
      <c r="E107" s="1397"/>
      <c r="F107" s="1398"/>
      <c r="G107" s="1399"/>
      <c r="H107" s="1298">
        <f>ROUND(E107*G107,)</f>
        <v>0</v>
      </c>
      <c r="I107" s="1401"/>
      <c r="J107" s="1298">
        <f>ROUND(E107*I107,)</f>
        <v>0</v>
      </c>
      <c r="K107" s="1402"/>
      <c r="L107" s="1402"/>
      <c r="M107" s="1214"/>
      <c r="N107" s="1214"/>
      <c r="O107" s="1214"/>
      <c r="P107" s="1214"/>
      <c r="Q107" s="1214"/>
      <c r="R107" s="1214"/>
    </row>
    <row r="108" spans="1:18" s="1199" customFormat="1" ht="24" customHeight="1">
      <c r="A108" s="1331" t="s">
        <v>1135</v>
      </c>
      <c r="B108" s="2174" t="s">
        <v>1314</v>
      </c>
      <c r="C108" s="1275"/>
      <c r="D108" s="1275"/>
      <c r="E108" s="1276"/>
      <c r="F108" s="1358"/>
      <c r="G108" s="2175"/>
      <c r="H108" s="1264"/>
      <c r="I108" s="1265"/>
      <c r="J108" s="1264"/>
      <c r="K108" s="1273"/>
      <c r="L108" s="1269"/>
    </row>
    <row r="109" spans="1:18" s="1199" customFormat="1" ht="24" customHeight="1">
      <c r="A109" s="1331" t="s">
        <v>1137</v>
      </c>
      <c r="B109" s="2174" t="s">
        <v>1315</v>
      </c>
      <c r="C109" s="1275"/>
      <c r="D109" s="1275"/>
      <c r="E109" s="1276"/>
      <c r="F109" s="1358"/>
      <c r="G109" s="2176"/>
      <c r="H109" s="1264"/>
      <c r="I109" s="1265"/>
      <c r="J109" s="1264"/>
      <c r="K109" s="1273"/>
      <c r="L109" s="1269"/>
    </row>
    <row r="110" spans="1:18" s="1199" customFormat="1" ht="24" customHeight="1">
      <c r="A110" s="1331"/>
      <c r="B110" s="2174" t="s">
        <v>1316</v>
      </c>
      <c r="C110" s="1275"/>
      <c r="D110" s="1275"/>
      <c r="E110" s="1270"/>
      <c r="F110" s="1358" t="s">
        <v>226</v>
      </c>
      <c r="G110" s="2176">
        <v>14</v>
      </c>
      <c r="H110" s="1264">
        <f t="shared" ref="H110:H123" si="10">ROUND(E110*G110,)</f>
        <v>0</v>
      </c>
      <c r="I110" s="1265">
        <v>10</v>
      </c>
      <c r="J110" s="1264">
        <f t="shared" ref="J110:J123" si="11">ROUND(E110*I110,)</f>
        <v>0</v>
      </c>
      <c r="K110" s="1273">
        <f t="shared" ref="K110:K123" si="12">H110+J110</f>
        <v>0</v>
      </c>
      <c r="L110" s="2000" t="s">
        <v>2667</v>
      </c>
      <c r="N110" s="1199">
        <v>1375.8</v>
      </c>
      <c r="O110" s="1199">
        <f>ROUND(N110/100,)</f>
        <v>14</v>
      </c>
      <c r="P110" s="1199">
        <f>E110*1.1</f>
        <v>0</v>
      </c>
    </row>
    <row r="111" spans="1:18" s="1199" customFormat="1" ht="24" customHeight="1">
      <c r="A111" s="1331"/>
      <c r="B111" s="2174" t="s">
        <v>1317</v>
      </c>
      <c r="C111" s="1275"/>
      <c r="D111" s="1275"/>
      <c r="E111" s="1270">
        <v>230</v>
      </c>
      <c r="F111" s="1358" t="s">
        <v>226</v>
      </c>
      <c r="G111" s="2176">
        <v>23</v>
      </c>
      <c r="H111" s="1264">
        <f t="shared" si="10"/>
        <v>5290</v>
      </c>
      <c r="I111" s="1265">
        <v>12</v>
      </c>
      <c r="J111" s="1264">
        <f t="shared" si="11"/>
        <v>2760</v>
      </c>
      <c r="K111" s="1273">
        <f t="shared" si="12"/>
        <v>8050</v>
      </c>
      <c r="L111" s="2000" t="s">
        <v>2667</v>
      </c>
      <c r="N111" s="1199">
        <v>2264.1999999999998</v>
      </c>
      <c r="O111" s="1199">
        <f t="shared" ref="O111:O119" si="13">ROUND(N111/100,)</f>
        <v>23</v>
      </c>
      <c r="P111" s="1199">
        <f t="shared" ref="P111:P123" si="14">E111*1.1</f>
        <v>253.00000000000003</v>
      </c>
    </row>
    <row r="112" spans="1:18" s="1199" customFormat="1" ht="24" customHeight="1">
      <c r="A112" s="1331"/>
      <c r="B112" s="2174" t="s">
        <v>1318</v>
      </c>
      <c r="C112" s="1275"/>
      <c r="D112" s="1275"/>
      <c r="E112" s="1270"/>
      <c r="F112" s="1358" t="s">
        <v>226</v>
      </c>
      <c r="G112" s="2176">
        <v>39</v>
      </c>
      <c r="H112" s="1264">
        <f t="shared" si="10"/>
        <v>0</v>
      </c>
      <c r="I112" s="1265">
        <v>16</v>
      </c>
      <c r="J112" s="1264">
        <f t="shared" si="11"/>
        <v>0</v>
      </c>
      <c r="K112" s="1273">
        <f t="shared" si="12"/>
        <v>0</v>
      </c>
      <c r="L112" s="2000" t="s">
        <v>2667</v>
      </c>
      <c r="N112" s="1199">
        <v>3944.2</v>
      </c>
      <c r="O112" s="1199">
        <f t="shared" si="13"/>
        <v>39</v>
      </c>
      <c r="P112" s="1199">
        <f t="shared" si="14"/>
        <v>0</v>
      </c>
    </row>
    <row r="113" spans="1:17" s="1199" customFormat="1" ht="24" customHeight="1">
      <c r="A113" s="1331"/>
      <c r="B113" s="2174" t="s">
        <v>1319</v>
      </c>
      <c r="C113" s="1275"/>
      <c r="D113" s="1275"/>
      <c r="E113" s="1270"/>
      <c r="F113" s="1358" t="s">
        <v>226</v>
      </c>
      <c r="G113" s="2176">
        <v>61</v>
      </c>
      <c r="H113" s="1264">
        <f t="shared" si="10"/>
        <v>0</v>
      </c>
      <c r="I113" s="1265">
        <v>20</v>
      </c>
      <c r="J113" s="1264">
        <f t="shared" si="11"/>
        <v>0</v>
      </c>
      <c r="K113" s="1273">
        <f t="shared" si="12"/>
        <v>0</v>
      </c>
      <c r="L113" s="2000" t="s">
        <v>2667</v>
      </c>
      <c r="N113" s="1199">
        <v>6120</v>
      </c>
      <c r="O113" s="1199">
        <f t="shared" si="13"/>
        <v>61</v>
      </c>
      <c r="P113" s="1199">
        <f t="shared" si="14"/>
        <v>0</v>
      </c>
    </row>
    <row r="114" spans="1:17" s="1199" customFormat="1" ht="24" customHeight="1">
      <c r="A114" s="1331"/>
      <c r="B114" s="2174" t="s">
        <v>1320</v>
      </c>
      <c r="C114" s="1275"/>
      <c r="D114" s="1275"/>
      <c r="E114" s="1270">
        <v>920</v>
      </c>
      <c r="F114" s="1358" t="s">
        <v>226</v>
      </c>
      <c r="G114" s="2176">
        <v>96</v>
      </c>
      <c r="H114" s="1264">
        <f t="shared" si="10"/>
        <v>88320</v>
      </c>
      <c r="I114" s="1265">
        <v>25</v>
      </c>
      <c r="J114" s="1264">
        <f t="shared" si="11"/>
        <v>23000</v>
      </c>
      <c r="K114" s="1273">
        <f t="shared" si="12"/>
        <v>111320</v>
      </c>
      <c r="L114" s="2000" t="s">
        <v>2667</v>
      </c>
      <c r="N114" s="1199">
        <v>9600</v>
      </c>
      <c r="O114" s="1199">
        <f t="shared" si="13"/>
        <v>96</v>
      </c>
      <c r="P114" s="1199">
        <f t="shared" si="14"/>
        <v>1012.0000000000001</v>
      </c>
    </row>
    <row r="115" spans="1:17" s="1199" customFormat="1" ht="24" customHeight="1">
      <c r="A115" s="1331"/>
      <c r="B115" s="2174" t="s">
        <v>1321</v>
      </c>
      <c r="C115" s="1275"/>
      <c r="D115" s="1275"/>
      <c r="E115" s="1270"/>
      <c r="F115" s="1358" t="s">
        <v>226</v>
      </c>
      <c r="G115" s="2176">
        <v>127</v>
      </c>
      <c r="H115" s="1264">
        <f t="shared" si="10"/>
        <v>0</v>
      </c>
      <c r="I115" s="1265">
        <v>30</v>
      </c>
      <c r="J115" s="1264">
        <f t="shared" si="11"/>
        <v>0</v>
      </c>
      <c r="K115" s="1273">
        <f t="shared" si="12"/>
        <v>0</v>
      </c>
      <c r="L115" s="2000" t="s">
        <v>2667</v>
      </c>
      <c r="N115" s="1199">
        <v>12744.2</v>
      </c>
      <c r="O115" s="1199">
        <f t="shared" si="13"/>
        <v>127</v>
      </c>
      <c r="P115" s="1199">
        <f t="shared" si="14"/>
        <v>0</v>
      </c>
    </row>
    <row r="116" spans="1:17" s="1199" customFormat="1" ht="24" customHeight="1">
      <c r="A116" s="1331"/>
      <c r="B116" s="2174" t="s">
        <v>1322</v>
      </c>
      <c r="C116" s="1275"/>
      <c r="D116" s="1275"/>
      <c r="E116" s="1270"/>
      <c r="F116" s="1358" t="s">
        <v>226</v>
      </c>
      <c r="G116" s="2176">
        <v>183</v>
      </c>
      <c r="H116" s="1264">
        <f t="shared" si="10"/>
        <v>0</v>
      </c>
      <c r="I116" s="1265">
        <v>40</v>
      </c>
      <c r="J116" s="1264">
        <f t="shared" si="11"/>
        <v>0</v>
      </c>
      <c r="K116" s="1273">
        <f t="shared" si="12"/>
        <v>0</v>
      </c>
      <c r="L116" s="2000" t="s">
        <v>2667</v>
      </c>
      <c r="N116" s="1199">
        <v>18335.8</v>
      </c>
      <c r="O116" s="1199">
        <f t="shared" si="13"/>
        <v>183</v>
      </c>
      <c r="P116" s="1199">
        <f t="shared" si="14"/>
        <v>0</v>
      </c>
    </row>
    <row r="117" spans="1:17" s="1199" customFormat="1" ht="24" customHeight="1">
      <c r="A117" s="1331"/>
      <c r="B117" s="2174" t="s">
        <v>1323</v>
      </c>
      <c r="C117" s="1275"/>
      <c r="D117" s="1275"/>
      <c r="E117" s="1270"/>
      <c r="F117" s="1358" t="s">
        <v>226</v>
      </c>
      <c r="G117" s="2176">
        <v>262</v>
      </c>
      <c r="H117" s="1264">
        <f t="shared" si="10"/>
        <v>0</v>
      </c>
      <c r="I117" s="1265">
        <v>45</v>
      </c>
      <c r="J117" s="1264">
        <f t="shared" si="11"/>
        <v>0</v>
      </c>
      <c r="K117" s="1273">
        <f t="shared" si="12"/>
        <v>0</v>
      </c>
      <c r="L117" s="2000" t="s">
        <v>2667</v>
      </c>
      <c r="N117" s="1199">
        <v>26215.8</v>
      </c>
      <c r="O117" s="1199">
        <f t="shared" si="13"/>
        <v>262</v>
      </c>
      <c r="P117" s="1199">
        <f t="shared" si="14"/>
        <v>0</v>
      </c>
    </row>
    <row r="118" spans="1:17" s="1199" customFormat="1" ht="24" customHeight="1">
      <c r="A118" s="1331"/>
      <c r="B118" s="2174" t="s">
        <v>1324</v>
      </c>
      <c r="C118" s="1275"/>
      <c r="D118" s="1275"/>
      <c r="E118" s="1270"/>
      <c r="F118" s="1358" t="s">
        <v>226</v>
      </c>
      <c r="G118" s="2176">
        <v>361</v>
      </c>
      <c r="H118" s="1264">
        <f t="shared" si="10"/>
        <v>0</v>
      </c>
      <c r="I118" s="1265">
        <v>55</v>
      </c>
      <c r="J118" s="1264">
        <f t="shared" si="11"/>
        <v>0</v>
      </c>
      <c r="K118" s="1273">
        <f t="shared" si="12"/>
        <v>0</v>
      </c>
      <c r="L118" s="2000" t="s">
        <v>2667</v>
      </c>
      <c r="N118" s="1199">
        <v>36120</v>
      </c>
      <c r="O118" s="1199">
        <f t="shared" si="13"/>
        <v>361</v>
      </c>
      <c r="P118" s="1199">
        <f t="shared" si="14"/>
        <v>0</v>
      </c>
    </row>
    <row r="119" spans="1:17" s="1199" customFormat="1" ht="24" customHeight="1">
      <c r="A119" s="1331"/>
      <c r="B119" s="2174" t="s">
        <v>1325</v>
      </c>
      <c r="C119" s="1275"/>
      <c r="D119" s="1275"/>
      <c r="E119" s="1270"/>
      <c r="F119" s="1358" t="s">
        <v>226</v>
      </c>
      <c r="G119" s="2176">
        <v>458</v>
      </c>
      <c r="H119" s="1264">
        <f t="shared" si="10"/>
        <v>0</v>
      </c>
      <c r="I119" s="1265">
        <v>60</v>
      </c>
      <c r="J119" s="1264">
        <f t="shared" si="11"/>
        <v>0</v>
      </c>
      <c r="K119" s="1273">
        <f t="shared" si="12"/>
        <v>0</v>
      </c>
      <c r="L119" s="2000" t="s">
        <v>2667</v>
      </c>
      <c r="N119" s="1199">
        <v>45760</v>
      </c>
      <c r="O119" s="1199">
        <f t="shared" si="13"/>
        <v>458</v>
      </c>
      <c r="P119" s="1199">
        <f t="shared" si="14"/>
        <v>0</v>
      </c>
    </row>
    <row r="120" spans="1:17" s="1199" customFormat="1" ht="24" customHeight="1">
      <c r="A120" s="1331"/>
      <c r="B120" s="2174" t="s">
        <v>1326</v>
      </c>
      <c r="C120" s="1275"/>
      <c r="D120" s="1275"/>
      <c r="E120" s="1270"/>
      <c r="F120" s="1358" t="s">
        <v>226</v>
      </c>
      <c r="G120" s="2176">
        <v>525</v>
      </c>
      <c r="H120" s="1264">
        <f t="shared" si="10"/>
        <v>0</v>
      </c>
      <c r="I120" s="1265">
        <v>70</v>
      </c>
      <c r="J120" s="1264">
        <f t="shared" si="11"/>
        <v>0</v>
      </c>
      <c r="K120" s="1273">
        <f t="shared" si="12"/>
        <v>0</v>
      </c>
      <c r="L120" s="1269"/>
      <c r="P120" s="1199">
        <f t="shared" si="14"/>
        <v>0</v>
      </c>
    </row>
    <row r="121" spans="1:17" s="1199" customFormat="1" ht="24" customHeight="1">
      <c r="A121" s="1331"/>
      <c r="B121" s="2174" t="s">
        <v>1327</v>
      </c>
      <c r="C121" s="1275"/>
      <c r="D121" s="1275"/>
      <c r="E121" s="1270"/>
      <c r="F121" s="1358" t="s">
        <v>226</v>
      </c>
      <c r="G121" s="2176">
        <v>659</v>
      </c>
      <c r="H121" s="1264">
        <f t="shared" si="10"/>
        <v>0</v>
      </c>
      <c r="I121" s="1265">
        <v>85</v>
      </c>
      <c r="J121" s="1264">
        <f t="shared" si="11"/>
        <v>0</v>
      </c>
      <c r="K121" s="1273">
        <f t="shared" si="12"/>
        <v>0</v>
      </c>
      <c r="L121" s="1269"/>
      <c r="P121" s="1199">
        <f t="shared" si="14"/>
        <v>0</v>
      </c>
    </row>
    <row r="122" spans="1:17" s="1199" customFormat="1" ht="24" customHeight="1">
      <c r="A122" s="1331"/>
      <c r="B122" s="2174" t="s">
        <v>1328</v>
      </c>
      <c r="C122" s="1275"/>
      <c r="D122" s="1275"/>
      <c r="E122" s="1270"/>
      <c r="F122" s="1358" t="s">
        <v>226</v>
      </c>
      <c r="G122" s="2176">
        <v>865</v>
      </c>
      <c r="H122" s="1264">
        <f t="shared" si="10"/>
        <v>0</v>
      </c>
      <c r="I122" s="1265">
        <v>100</v>
      </c>
      <c r="J122" s="1264">
        <f t="shared" si="11"/>
        <v>0</v>
      </c>
      <c r="K122" s="1273">
        <f t="shared" si="12"/>
        <v>0</v>
      </c>
      <c r="L122" s="1269"/>
      <c r="P122" s="1199">
        <f t="shared" si="14"/>
        <v>0</v>
      </c>
    </row>
    <row r="123" spans="1:17" s="1199" customFormat="1" ht="24" customHeight="1">
      <c r="A123" s="1331"/>
      <c r="B123" s="2174" t="s">
        <v>1329</v>
      </c>
      <c r="C123" s="1275"/>
      <c r="D123" s="1275"/>
      <c r="E123" s="1270"/>
      <c r="F123" s="1358" t="s">
        <v>226</v>
      </c>
      <c r="G123" s="2176">
        <v>1084</v>
      </c>
      <c r="H123" s="1264">
        <f t="shared" si="10"/>
        <v>0</v>
      </c>
      <c r="I123" s="1265">
        <v>110</v>
      </c>
      <c r="J123" s="1264">
        <f t="shared" si="11"/>
        <v>0</v>
      </c>
      <c r="K123" s="1273">
        <f t="shared" si="12"/>
        <v>0</v>
      </c>
      <c r="L123" s="1269"/>
      <c r="P123" s="1199">
        <f t="shared" si="14"/>
        <v>0</v>
      </c>
    </row>
    <row r="124" spans="1:17" s="1199" customFormat="1" ht="24" customHeight="1">
      <c r="A124" s="1331" t="s">
        <v>1158</v>
      </c>
      <c r="B124" s="2174" t="s">
        <v>2897</v>
      </c>
      <c r="C124" s="1275"/>
      <c r="D124" s="1275"/>
      <c r="E124" s="1276"/>
      <c r="F124" s="1358"/>
      <c r="G124" s="2175"/>
      <c r="H124" s="1264"/>
      <c r="I124" s="1265"/>
      <c r="J124" s="1264"/>
      <c r="K124" s="1273"/>
      <c r="L124" s="1269"/>
    </row>
    <row r="125" spans="1:17" s="1199" customFormat="1" ht="24" customHeight="1">
      <c r="A125" s="1331" t="s">
        <v>2898</v>
      </c>
      <c r="B125" s="1190" t="s">
        <v>1597</v>
      </c>
      <c r="C125" s="1202"/>
      <c r="D125" s="1202"/>
      <c r="E125" s="1387"/>
      <c r="F125" s="1384"/>
      <c r="G125" s="2176"/>
      <c r="H125" s="1264">
        <f t="shared" ref="H125:H134" si="15">ROUND(E125*G125,)</f>
        <v>0</v>
      </c>
      <c r="I125" s="2177"/>
      <c r="J125" s="1264">
        <f t="shared" ref="J125:J134" si="16">ROUND(E125*I125,)</f>
        <v>0</v>
      </c>
      <c r="K125" s="1385"/>
      <c r="L125" s="1385"/>
      <c r="M125" s="1214"/>
      <c r="N125" s="1214"/>
      <c r="O125" s="1214"/>
      <c r="P125" s="1214"/>
      <c r="Q125" s="1214"/>
    </row>
    <row r="126" spans="1:17" s="1199" customFormat="1" ht="24" customHeight="1">
      <c r="A126" s="1331"/>
      <c r="B126" s="2174" t="s">
        <v>1443</v>
      </c>
      <c r="C126" s="1202"/>
      <c r="D126" s="1202"/>
      <c r="E126" s="1270"/>
      <c r="F126" s="1358" t="s">
        <v>226</v>
      </c>
      <c r="G126" s="2176">
        <v>9</v>
      </c>
      <c r="H126" s="1264">
        <f t="shared" si="15"/>
        <v>0</v>
      </c>
      <c r="I126" s="2177">
        <v>7</v>
      </c>
      <c r="J126" s="1264">
        <f t="shared" si="16"/>
        <v>0</v>
      </c>
      <c r="K126" s="1273">
        <f>H126+J126</f>
        <v>0</v>
      </c>
      <c r="L126" s="2001" t="s">
        <v>2667</v>
      </c>
      <c r="M126" s="1214"/>
      <c r="N126" s="1199">
        <v>912.1</v>
      </c>
      <c r="O126" s="1199">
        <f>ROUND(N126/100,)</f>
        <v>9</v>
      </c>
      <c r="P126" s="1214"/>
      <c r="Q126" s="1214"/>
    </row>
    <row r="127" spans="1:17" s="1199" customFormat="1" ht="24" customHeight="1">
      <c r="A127" s="1331"/>
      <c r="B127" s="2174" t="s">
        <v>1316</v>
      </c>
      <c r="C127" s="1202"/>
      <c r="D127" s="1202"/>
      <c r="E127" s="1270">
        <v>430</v>
      </c>
      <c r="F127" s="1358" t="s">
        <v>226</v>
      </c>
      <c r="G127" s="2176">
        <v>14</v>
      </c>
      <c r="H127" s="1264">
        <f t="shared" si="15"/>
        <v>6020</v>
      </c>
      <c r="I127" s="2177">
        <v>10</v>
      </c>
      <c r="J127" s="1264">
        <f t="shared" si="16"/>
        <v>4300</v>
      </c>
      <c r="K127" s="1273">
        <f>H127+J127</f>
        <v>10320</v>
      </c>
      <c r="L127" s="2001" t="s">
        <v>2667</v>
      </c>
      <c r="M127" s="1214"/>
      <c r="N127" s="1199">
        <v>1375.8</v>
      </c>
      <c r="O127" s="1199">
        <f>ROUND(N127/100,)</f>
        <v>14</v>
      </c>
      <c r="P127" s="1214"/>
      <c r="Q127" s="1214"/>
    </row>
    <row r="128" spans="1:17" s="1199" customFormat="1" ht="24" customHeight="1">
      <c r="A128" s="1331"/>
      <c r="B128" s="2174" t="s">
        <v>1317</v>
      </c>
      <c r="C128" s="1275"/>
      <c r="D128" s="1275"/>
      <c r="E128" s="1270"/>
      <c r="F128" s="1358" t="s">
        <v>226</v>
      </c>
      <c r="G128" s="2176">
        <v>23</v>
      </c>
      <c r="H128" s="1264">
        <f t="shared" si="15"/>
        <v>0</v>
      </c>
      <c r="I128" s="1265">
        <v>12</v>
      </c>
      <c r="J128" s="1264">
        <f t="shared" si="16"/>
        <v>0</v>
      </c>
      <c r="K128" s="1273">
        <f t="shared" ref="K128:K129" si="17">H128+J128</f>
        <v>0</v>
      </c>
      <c r="L128" s="2001" t="s">
        <v>2667</v>
      </c>
      <c r="N128" s="1199">
        <v>2264.1999999999998</v>
      </c>
      <c r="O128" s="1199">
        <f t="shared" ref="O128:O129" si="18">ROUND(N128/100,)</f>
        <v>23</v>
      </c>
    </row>
    <row r="129" spans="1:18" s="1199" customFormat="1" ht="24" customHeight="1">
      <c r="A129" s="1331"/>
      <c r="B129" s="2174" t="s">
        <v>1318</v>
      </c>
      <c r="C129" s="1275"/>
      <c r="D129" s="1275"/>
      <c r="E129" s="1270">
        <v>400</v>
      </c>
      <c r="F129" s="1358" t="s">
        <v>226</v>
      </c>
      <c r="G129" s="2176">
        <v>39</v>
      </c>
      <c r="H129" s="1264">
        <f t="shared" si="15"/>
        <v>15600</v>
      </c>
      <c r="I129" s="1265">
        <v>16</v>
      </c>
      <c r="J129" s="1264">
        <f t="shared" si="16"/>
        <v>6400</v>
      </c>
      <c r="K129" s="1273">
        <f t="shared" si="17"/>
        <v>22000</v>
      </c>
      <c r="L129" s="2001" t="s">
        <v>2667</v>
      </c>
      <c r="N129" s="1199">
        <v>3944.2</v>
      </c>
      <c r="O129" s="1199">
        <f t="shared" si="18"/>
        <v>39</v>
      </c>
    </row>
    <row r="130" spans="1:18" s="1199" customFormat="1" ht="24" customHeight="1">
      <c r="A130" s="1331"/>
      <c r="B130" s="2174"/>
      <c r="C130" s="1275"/>
      <c r="D130" s="1275"/>
      <c r="E130" s="1270"/>
      <c r="F130" s="1358"/>
      <c r="G130" s="2176"/>
      <c r="H130" s="1264"/>
      <c r="I130" s="1265"/>
      <c r="J130" s="1264"/>
      <c r="K130" s="1273"/>
      <c r="L130" s="2172"/>
    </row>
    <row r="131" spans="1:18" s="1199" customFormat="1" ht="24" customHeight="1">
      <c r="A131" s="1331" t="s">
        <v>2899</v>
      </c>
      <c r="B131" s="2174" t="s">
        <v>1331</v>
      </c>
      <c r="C131" s="1202"/>
      <c r="D131" s="1202"/>
      <c r="E131" s="1404"/>
      <c r="F131" s="1384"/>
      <c r="G131" s="2176"/>
      <c r="H131" s="1264">
        <f t="shared" si="15"/>
        <v>0</v>
      </c>
      <c r="I131" s="2177"/>
      <c r="J131" s="1264">
        <f t="shared" si="16"/>
        <v>0</v>
      </c>
      <c r="K131" s="1385"/>
      <c r="L131" s="1385"/>
      <c r="M131" s="1214"/>
      <c r="N131" s="1214"/>
      <c r="O131" s="1214"/>
      <c r="P131" s="1214"/>
      <c r="Q131" s="1214"/>
    </row>
    <row r="132" spans="1:18" s="1199" customFormat="1" ht="24" customHeight="1">
      <c r="A132" s="1331"/>
      <c r="B132" s="2174" t="s">
        <v>1443</v>
      </c>
      <c r="C132" s="1202"/>
      <c r="D132" s="1202"/>
      <c r="E132" s="1270"/>
      <c r="F132" s="1358" t="s">
        <v>226</v>
      </c>
      <c r="G132" s="2176">
        <v>41</v>
      </c>
      <c r="H132" s="1264">
        <f t="shared" si="15"/>
        <v>0</v>
      </c>
      <c r="I132" s="2177">
        <v>12</v>
      </c>
      <c r="J132" s="1264">
        <f t="shared" si="16"/>
        <v>0</v>
      </c>
      <c r="K132" s="1273">
        <f>H132+J132</f>
        <v>0</v>
      </c>
      <c r="L132" s="1385"/>
      <c r="M132" s="1214"/>
      <c r="N132" s="1214"/>
      <c r="O132" s="1214"/>
      <c r="P132" s="1214"/>
      <c r="Q132" s="1214"/>
    </row>
    <row r="133" spans="1:18" s="1199" customFormat="1" ht="24" customHeight="1">
      <c r="A133" s="1331"/>
      <c r="B133" s="2174" t="s">
        <v>1316</v>
      </c>
      <c r="C133" s="1202"/>
      <c r="D133" s="1202"/>
      <c r="E133" s="1506"/>
      <c r="F133" s="1358" t="s">
        <v>226</v>
      </c>
      <c r="G133" s="2176">
        <v>53</v>
      </c>
      <c r="H133" s="1264">
        <f t="shared" si="15"/>
        <v>0</v>
      </c>
      <c r="I133" s="2177">
        <v>14</v>
      </c>
      <c r="J133" s="1264">
        <f t="shared" si="16"/>
        <v>0</v>
      </c>
      <c r="K133" s="1273">
        <f>H133+J133</f>
        <v>0</v>
      </c>
      <c r="L133" s="1385"/>
      <c r="M133" s="1214"/>
      <c r="N133" s="1214"/>
      <c r="O133" s="1214"/>
      <c r="P133" s="1214"/>
      <c r="Q133" s="1214"/>
    </row>
    <row r="134" spans="1:18" s="1199" customFormat="1" ht="24" customHeight="1">
      <c r="A134" s="1406"/>
      <c r="B134" s="2174" t="s">
        <v>1444</v>
      </c>
      <c r="C134" s="1202"/>
      <c r="D134" s="1202"/>
      <c r="E134" s="1490">
        <v>1</v>
      </c>
      <c r="F134" s="1358" t="s">
        <v>1104</v>
      </c>
      <c r="G134" s="2176">
        <f>ROUND(SUM(H108:H133)*0.05,)</f>
        <v>5762</v>
      </c>
      <c r="H134" s="1264">
        <f t="shared" si="15"/>
        <v>5762</v>
      </c>
      <c r="I134" s="2177">
        <f>ROUND(G134*0.3,)</f>
        <v>1729</v>
      </c>
      <c r="J134" s="1264">
        <f t="shared" si="16"/>
        <v>1729</v>
      </c>
      <c r="K134" s="1273">
        <f>H134+J134</f>
        <v>7491</v>
      </c>
      <c r="L134" s="1385"/>
      <c r="M134" s="1214"/>
      <c r="N134" s="1214"/>
      <c r="O134" s="1214"/>
      <c r="P134" s="1214"/>
      <c r="Q134" s="1214"/>
    </row>
    <row r="135" spans="1:18" s="1199" customFormat="1" ht="24" customHeight="1">
      <c r="A135" s="1331"/>
      <c r="B135" s="2174" t="s">
        <v>1117</v>
      </c>
      <c r="C135" s="1202"/>
      <c r="D135" s="1202"/>
      <c r="E135" s="1387"/>
      <c r="F135" s="1384"/>
      <c r="G135" s="2176"/>
      <c r="H135" s="1388"/>
      <c r="I135" s="2177"/>
      <c r="J135" s="1385"/>
      <c r="K135" s="1385"/>
      <c r="L135" s="1385"/>
      <c r="M135" s="1214"/>
      <c r="N135" s="1214"/>
      <c r="O135" s="1214"/>
      <c r="P135" s="1214"/>
      <c r="Q135" s="1214"/>
      <c r="R135" s="1214"/>
    </row>
    <row r="136" spans="1:18" s="1199" customFormat="1" ht="24" customHeight="1">
      <c r="A136" s="1331"/>
      <c r="B136" s="2174" t="s">
        <v>1118</v>
      </c>
      <c r="C136" s="1202"/>
      <c r="D136" s="1202"/>
      <c r="E136" s="1387"/>
      <c r="F136" s="1384"/>
      <c r="G136" s="2176"/>
      <c r="H136" s="1388"/>
      <c r="I136" s="2177"/>
      <c r="J136" s="1385"/>
      <c r="K136" s="1385"/>
      <c r="L136" s="1385"/>
      <c r="M136" s="1214"/>
      <c r="N136" s="1214"/>
      <c r="O136" s="1214"/>
      <c r="P136" s="1214"/>
      <c r="Q136" s="1214"/>
      <c r="R136" s="1214"/>
    </row>
    <row r="137" spans="1:18" s="1199" customFormat="1" ht="24" customHeight="1">
      <c r="A137" s="1331"/>
      <c r="B137" s="2174" t="s">
        <v>1118</v>
      </c>
      <c r="C137" s="1202"/>
      <c r="D137" s="1202"/>
      <c r="E137" s="1387"/>
      <c r="F137" s="1384"/>
      <c r="G137" s="2176"/>
      <c r="H137" s="1388"/>
      <c r="I137" s="2177"/>
      <c r="J137" s="1385"/>
      <c r="K137" s="1385"/>
      <c r="L137" s="1385"/>
      <c r="M137" s="1214"/>
      <c r="N137" s="1214"/>
      <c r="O137" s="1214"/>
      <c r="P137" s="1214"/>
      <c r="Q137" s="1214"/>
      <c r="R137" s="1214"/>
    </row>
    <row r="138" spans="1:18" s="1199" customFormat="1" ht="24" customHeight="1">
      <c r="A138" s="1440"/>
      <c r="B138" s="1441"/>
      <c r="C138" s="1442"/>
      <c r="D138" s="1442"/>
      <c r="E138" s="1443"/>
      <c r="F138" s="1444"/>
      <c r="G138" s="1445"/>
      <c r="H138" s="1446"/>
      <c r="I138" s="1447"/>
      <c r="J138" s="1448"/>
      <c r="K138" s="1448"/>
      <c r="L138" s="1448"/>
      <c r="M138" s="1214"/>
      <c r="N138" s="1214"/>
      <c r="O138" s="1214"/>
      <c r="P138" s="1214"/>
      <c r="Q138" s="1214"/>
      <c r="R138" s="1214"/>
    </row>
    <row r="139" spans="1:18" s="1199" customFormat="1" ht="24" customHeight="1">
      <c r="A139" s="1243"/>
      <c r="B139" s="2257" t="str">
        <f>"รวมราคารายการที่ "&amp;A107</f>
        <v>รวมราคารายการที่ 3.4</v>
      </c>
      <c r="C139" s="2258"/>
      <c r="D139" s="2259"/>
      <c r="E139" s="1244"/>
      <c r="F139" s="1245"/>
      <c r="G139" s="1246"/>
      <c r="H139" s="1247">
        <f>SUM(H107:H136)</f>
        <v>120992</v>
      </c>
      <c r="I139" s="1246"/>
      <c r="J139" s="1247">
        <f>SUM(J107:J136)</f>
        <v>38189</v>
      </c>
      <c r="K139" s="1247">
        <f>SUM(K107:K136)</f>
        <v>159181</v>
      </c>
      <c r="L139" s="1245"/>
      <c r="M139" s="1214"/>
      <c r="N139" s="1214"/>
      <c r="O139" s="1214"/>
      <c r="P139" s="1214"/>
      <c r="Q139" s="1214"/>
      <c r="R139" s="1214"/>
    </row>
    <row r="140" spans="1:18" s="1199" customFormat="1" ht="24" customHeight="1">
      <c r="A140" s="1483" t="s">
        <v>1461</v>
      </c>
      <c r="B140" s="1249" t="s">
        <v>1333</v>
      </c>
      <c r="C140" s="1492"/>
      <c r="D140" s="1492"/>
      <c r="E140" s="1493"/>
      <c r="F140" s="1494"/>
      <c r="G140" s="1495"/>
      <c r="H140" s="1496"/>
      <c r="I140" s="1497"/>
      <c r="J140" s="1498"/>
      <c r="K140" s="1498"/>
      <c r="L140" s="1498"/>
      <c r="M140" s="1214"/>
      <c r="N140" s="1214"/>
      <c r="O140" s="1214"/>
      <c r="P140" s="1214"/>
      <c r="Q140" s="1214"/>
      <c r="R140" s="1214"/>
    </row>
    <row r="141" spans="1:18" s="1199" customFormat="1" ht="24" customHeight="1">
      <c r="A141" s="1331" t="s">
        <v>1183</v>
      </c>
      <c r="B141" s="2174" t="s">
        <v>1446</v>
      </c>
      <c r="C141" s="1202"/>
      <c r="D141" s="1202"/>
      <c r="E141" s="1404"/>
      <c r="F141" s="1384"/>
      <c r="G141" s="2176"/>
      <c r="H141" s="1264">
        <f t="shared" ref="H141:H156" si="19">ROUND(E141*G141,)</f>
        <v>0</v>
      </c>
      <c r="I141" s="2177"/>
      <c r="J141" s="1264">
        <f t="shared" ref="J141:J156" si="20">ROUND(E141*I141,)</f>
        <v>0</v>
      </c>
      <c r="K141" s="1385"/>
      <c r="L141" s="1385"/>
      <c r="M141" s="1214"/>
      <c r="N141" s="1214"/>
      <c r="O141" s="1214"/>
      <c r="P141" s="1214"/>
      <c r="Q141" s="1214"/>
      <c r="R141" s="1214"/>
    </row>
    <row r="142" spans="1:18" s="1199" customFormat="1" ht="24" customHeight="1">
      <c r="A142" s="1331"/>
      <c r="B142" s="2174" t="s">
        <v>1350</v>
      </c>
      <c r="C142" s="1202"/>
      <c r="D142" s="1202"/>
      <c r="E142" s="1404">
        <v>110</v>
      </c>
      <c r="F142" s="1358" t="s">
        <v>226</v>
      </c>
      <c r="G142" s="2176">
        <v>27</v>
      </c>
      <c r="H142" s="1264">
        <f t="shared" si="19"/>
        <v>2970</v>
      </c>
      <c r="I142" s="2177">
        <v>22</v>
      </c>
      <c r="J142" s="1264">
        <f t="shared" si="20"/>
        <v>2420</v>
      </c>
      <c r="K142" s="1802">
        <f t="shared" ref="K142" si="21">H142+J142</f>
        <v>5390</v>
      </c>
      <c r="L142" s="2001" t="s">
        <v>2667</v>
      </c>
      <c r="M142" s="1214"/>
      <c r="N142" s="1199">
        <v>79.8</v>
      </c>
      <c r="O142" s="1199">
        <f>ROUND(N142/3,)</f>
        <v>27</v>
      </c>
      <c r="P142" s="1214"/>
      <c r="Q142" s="1214"/>
      <c r="R142" s="1214"/>
    </row>
    <row r="143" spans="1:18" s="1199" customFormat="1" ht="24" customHeight="1">
      <c r="A143" s="1331"/>
      <c r="B143" s="2174" t="s">
        <v>1108</v>
      </c>
      <c r="C143" s="1202"/>
      <c r="D143" s="1202"/>
      <c r="E143" s="1404">
        <v>1</v>
      </c>
      <c r="F143" s="1384" t="s">
        <v>1104</v>
      </c>
      <c r="G143" s="2176">
        <f>ROUND(SUM(H142:H142)*15%,)</f>
        <v>446</v>
      </c>
      <c r="H143" s="1264">
        <f t="shared" si="19"/>
        <v>446</v>
      </c>
      <c r="I143" s="2177">
        <f>ROUND(G143*0.3,)</f>
        <v>134</v>
      </c>
      <c r="J143" s="1264">
        <f t="shared" si="20"/>
        <v>134</v>
      </c>
      <c r="K143" s="1273">
        <f>H143+J143</f>
        <v>580</v>
      </c>
      <c r="L143" s="1385"/>
      <c r="M143" s="1214"/>
      <c r="N143" s="1214"/>
      <c r="O143" s="1214"/>
      <c r="P143" s="1214"/>
      <c r="Q143" s="1214"/>
      <c r="R143" s="1214"/>
    </row>
    <row r="144" spans="1:18" s="1199" customFormat="1" ht="24" customHeight="1">
      <c r="A144" s="1331" t="s">
        <v>1191</v>
      </c>
      <c r="B144" s="2174" t="s">
        <v>1110</v>
      </c>
      <c r="C144" s="1202"/>
      <c r="D144" s="1202"/>
      <c r="E144" s="1404"/>
      <c r="F144" s="1384"/>
      <c r="G144" s="2176"/>
      <c r="H144" s="1264">
        <f t="shared" si="19"/>
        <v>0</v>
      </c>
      <c r="I144" s="2177"/>
      <c r="J144" s="1264">
        <f t="shared" si="20"/>
        <v>0</v>
      </c>
      <c r="K144" s="1385"/>
      <c r="L144" s="1385"/>
      <c r="M144" s="1214"/>
      <c r="N144" s="1214"/>
      <c r="O144" s="1214"/>
      <c r="P144" s="1214"/>
      <c r="Q144" s="1214"/>
      <c r="R144" s="1214"/>
    </row>
    <row r="145" spans="1:18" s="1199" customFormat="1" ht="24" customHeight="1">
      <c r="A145" s="1331"/>
      <c r="B145" s="2174" t="s">
        <v>1350</v>
      </c>
      <c r="C145" s="1202"/>
      <c r="D145" s="1202"/>
      <c r="E145" s="1404"/>
      <c r="F145" s="1358" t="s">
        <v>226</v>
      </c>
      <c r="G145" s="2176">
        <v>56</v>
      </c>
      <c r="H145" s="1264">
        <f t="shared" si="19"/>
        <v>0</v>
      </c>
      <c r="I145" s="2177">
        <v>26</v>
      </c>
      <c r="J145" s="1264">
        <f t="shared" si="20"/>
        <v>0</v>
      </c>
      <c r="K145" s="1273">
        <f>H145+J145</f>
        <v>0</v>
      </c>
      <c r="L145" s="2001" t="s">
        <v>2667</v>
      </c>
      <c r="M145" s="1214"/>
      <c r="N145" s="1199">
        <v>169.2</v>
      </c>
      <c r="O145" s="1199">
        <f t="shared" ref="O145:O150" si="22">ROUND(N145/3,)</f>
        <v>56</v>
      </c>
      <c r="P145" s="1214"/>
      <c r="Q145" s="1214"/>
      <c r="R145" s="1214"/>
    </row>
    <row r="146" spans="1:18" s="1199" customFormat="1" ht="24" customHeight="1">
      <c r="A146" s="1331"/>
      <c r="B146" s="2174" t="s">
        <v>1448</v>
      </c>
      <c r="C146" s="1202"/>
      <c r="D146" s="1202"/>
      <c r="E146" s="1404"/>
      <c r="F146" s="1358" t="s">
        <v>226</v>
      </c>
      <c r="G146" s="2176">
        <v>75</v>
      </c>
      <c r="H146" s="1264">
        <f t="shared" si="19"/>
        <v>0</v>
      </c>
      <c r="I146" s="2177">
        <v>29</v>
      </c>
      <c r="J146" s="1264">
        <f t="shared" si="20"/>
        <v>0</v>
      </c>
      <c r="K146" s="1273">
        <f>H146+J146</f>
        <v>0</v>
      </c>
      <c r="L146" s="2001" t="s">
        <v>2667</v>
      </c>
      <c r="N146" s="1199">
        <v>225</v>
      </c>
      <c r="O146" s="1199">
        <f t="shared" si="22"/>
        <v>75</v>
      </c>
      <c r="P146" s="1214"/>
    </row>
    <row r="147" spans="1:18" s="1199" customFormat="1" ht="24" customHeight="1">
      <c r="A147" s="1331"/>
      <c r="B147" s="2174" t="s">
        <v>1337</v>
      </c>
      <c r="C147" s="1202"/>
      <c r="D147" s="1202"/>
      <c r="E147" s="1404">
        <v>100</v>
      </c>
      <c r="F147" s="1358" t="s">
        <v>226</v>
      </c>
      <c r="G147" s="2176">
        <v>101</v>
      </c>
      <c r="H147" s="1264">
        <f t="shared" si="19"/>
        <v>10100</v>
      </c>
      <c r="I147" s="2177">
        <v>32</v>
      </c>
      <c r="J147" s="1264">
        <f t="shared" si="20"/>
        <v>3200</v>
      </c>
      <c r="K147" s="1273">
        <f>H147+J147</f>
        <v>13300</v>
      </c>
      <c r="L147" s="2001" t="s">
        <v>2667</v>
      </c>
      <c r="N147" s="1199">
        <v>303.60000000000002</v>
      </c>
      <c r="O147" s="1199">
        <f t="shared" si="22"/>
        <v>101</v>
      </c>
      <c r="P147" s="1214"/>
      <c r="Q147" s="1214"/>
      <c r="R147" s="1214"/>
    </row>
    <row r="148" spans="1:18" s="1199" customFormat="1" ht="24" customHeight="1">
      <c r="A148" s="1331"/>
      <c r="B148" s="2174" t="s">
        <v>1338</v>
      </c>
      <c r="C148" s="1202"/>
      <c r="D148" s="1202"/>
      <c r="E148" s="1439">
        <v>230</v>
      </c>
      <c r="F148" s="1358" t="s">
        <v>226</v>
      </c>
      <c r="G148" s="2176">
        <v>131</v>
      </c>
      <c r="H148" s="1264">
        <f t="shared" si="19"/>
        <v>30130</v>
      </c>
      <c r="I148" s="2177">
        <v>32</v>
      </c>
      <c r="J148" s="1264">
        <f t="shared" si="20"/>
        <v>7360</v>
      </c>
      <c r="K148" s="1273">
        <f t="shared" ref="K148:K153" si="23">H148+J148</f>
        <v>37490</v>
      </c>
      <c r="L148" s="2000" t="s">
        <v>2667</v>
      </c>
      <c r="N148" s="1199">
        <v>391.8</v>
      </c>
      <c r="O148" s="1199">
        <f t="shared" si="22"/>
        <v>131</v>
      </c>
    </row>
    <row r="149" spans="1:18" s="1199" customFormat="1" ht="24" customHeight="1">
      <c r="A149" s="1331"/>
      <c r="B149" s="2174" t="s">
        <v>1339</v>
      </c>
      <c r="C149" s="1202"/>
      <c r="D149" s="1202"/>
      <c r="E149" s="1270"/>
      <c r="F149" s="1358" t="s">
        <v>226</v>
      </c>
      <c r="G149" s="2176">
        <v>160</v>
      </c>
      <c r="H149" s="1264">
        <f t="shared" si="19"/>
        <v>0</v>
      </c>
      <c r="I149" s="2177">
        <v>38</v>
      </c>
      <c r="J149" s="1264">
        <f t="shared" si="20"/>
        <v>0</v>
      </c>
      <c r="K149" s="1273">
        <f t="shared" si="23"/>
        <v>0</v>
      </c>
      <c r="L149" s="2000" t="s">
        <v>2667</v>
      </c>
      <c r="N149" s="1199">
        <v>481.2</v>
      </c>
      <c r="O149" s="1199">
        <f t="shared" si="22"/>
        <v>160</v>
      </c>
    </row>
    <row r="150" spans="1:18" s="1199" customFormat="1" ht="24" customHeight="1">
      <c r="A150" s="1331"/>
      <c r="B150" s="2174" t="s">
        <v>1340</v>
      </c>
      <c r="C150" s="1202"/>
      <c r="D150" s="1202"/>
      <c r="E150" s="1270"/>
      <c r="F150" s="1358" t="s">
        <v>226</v>
      </c>
      <c r="G150" s="2176">
        <v>219</v>
      </c>
      <c r="H150" s="1264">
        <f t="shared" si="19"/>
        <v>0</v>
      </c>
      <c r="I150" s="2177">
        <v>42</v>
      </c>
      <c r="J150" s="1264">
        <f t="shared" si="20"/>
        <v>0</v>
      </c>
      <c r="K150" s="1273">
        <f t="shared" si="23"/>
        <v>0</v>
      </c>
      <c r="L150" s="2000" t="s">
        <v>2667</v>
      </c>
      <c r="N150" s="1199">
        <v>657.6</v>
      </c>
      <c r="O150" s="1199">
        <f t="shared" si="22"/>
        <v>219</v>
      </c>
    </row>
    <row r="151" spans="1:18" s="1199" customFormat="1" ht="24" customHeight="1">
      <c r="A151" s="1331"/>
      <c r="B151" s="2174" t="s">
        <v>1341</v>
      </c>
      <c r="C151" s="1202"/>
      <c r="D151" s="1202"/>
      <c r="E151" s="1270"/>
      <c r="F151" s="1358" t="s">
        <v>226</v>
      </c>
      <c r="G151" s="2176">
        <v>352</v>
      </c>
      <c r="H151" s="1264">
        <f t="shared" si="19"/>
        <v>0</v>
      </c>
      <c r="I151" s="2177">
        <v>48</v>
      </c>
      <c r="J151" s="1264">
        <f t="shared" si="20"/>
        <v>0</v>
      </c>
      <c r="K151" s="1273">
        <f t="shared" si="23"/>
        <v>0</v>
      </c>
      <c r="L151" s="1269"/>
    </row>
    <row r="152" spans="1:18" s="1199" customFormat="1" ht="24" customHeight="1">
      <c r="A152" s="1331"/>
      <c r="B152" s="2174" t="s">
        <v>1342</v>
      </c>
      <c r="C152" s="1202"/>
      <c r="D152" s="1202"/>
      <c r="E152" s="1270"/>
      <c r="F152" s="1358" t="s">
        <v>226</v>
      </c>
      <c r="G152" s="2176">
        <v>434</v>
      </c>
      <c r="H152" s="1264">
        <f t="shared" si="19"/>
        <v>0</v>
      </c>
      <c r="I152" s="2177">
        <v>55</v>
      </c>
      <c r="J152" s="1264">
        <f t="shared" si="20"/>
        <v>0</v>
      </c>
      <c r="K152" s="1273">
        <f t="shared" si="23"/>
        <v>0</v>
      </c>
      <c r="L152" s="1269"/>
    </row>
    <row r="153" spans="1:18" s="1199" customFormat="1" ht="24" customHeight="1">
      <c r="A153" s="1331"/>
      <c r="B153" s="2174" t="s">
        <v>1111</v>
      </c>
      <c r="C153" s="1202"/>
      <c r="D153" s="1202"/>
      <c r="E153" s="1270"/>
      <c r="F153" s="1358" t="s">
        <v>226</v>
      </c>
      <c r="G153" s="2176">
        <v>572</v>
      </c>
      <c r="H153" s="1264">
        <f t="shared" si="19"/>
        <v>0</v>
      </c>
      <c r="I153" s="2177">
        <v>65</v>
      </c>
      <c r="J153" s="1264">
        <f t="shared" si="20"/>
        <v>0</v>
      </c>
      <c r="K153" s="1273">
        <f t="shared" si="23"/>
        <v>0</v>
      </c>
      <c r="L153" s="1269"/>
    </row>
    <row r="154" spans="1:18" s="1199" customFormat="1" ht="24" customHeight="1">
      <c r="A154" s="1331"/>
      <c r="B154" s="2174" t="s">
        <v>1108</v>
      </c>
      <c r="C154" s="1202"/>
      <c r="D154" s="1202"/>
      <c r="E154" s="1404">
        <v>1</v>
      </c>
      <c r="F154" s="1384" t="s">
        <v>1104</v>
      </c>
      <c r="G154" s="2176">
        <f>ROUND(SUM(H145:H153)*15%,0)</f>
        <v>6035</v>
      </c>
      <c r="H154" s="1264">
        <f t="shared" si="19"/>
        <v>6035</v>
      </c>
      <c r="I154" s="2177">
        <f>ROUND(ROUND(G154*0.3,),0)</f>
        <v>1811</v>
      </c>
      <c r="J154" s="1264">
        <f t="shared" si="20"/>
        <v>1811</v>
      </c>
      <c r="K154" s="1273">
        <f>H154+J154</f>
        <v>7846</v>
      </c>
      <c r="L154" s="1385"/>
      <c r="M154" s="1214"/>
      <c r="N154" s="1214"/>
      <c r="O154" s="1214"/>
      <c r="P154" s="1214"/>
      <c r="Q154" s="1214"/>
    </row>
    <row r="155" spans="1:18" s="1199" customFormat="1" ht="24" customHeight="1">
      <c r="A155" s="1331" t="s">
        <v>1193</v>
      </c>
      <c r="B155" s="2174" t="s">
        <v>1449</v>
      </c>
      <c r="C155" s="1202"/>
      <c r="D155" s="1202"/>
      <c r="E155" s="1404"/>
      <c r="F155" s="1384"/>
      <c r="G155" s="2176"/>
      <c r="H155" s="1264">
        <f t="shared" si="19"/>
        <v>0</v>
      </c>
      <c r="I155" s="2177"/>
      <c r="J155" s="1264">
        <f t="shared" si="20"/>
        <v>0</v>
      </c>
      <c r="K155" s="1385"/>
      <c r="L155" s="1385"/>
      <c r="M155" s="1214"/>
      <c r="N155" s="1214"/>
      <c r="O155" s="1214"/>
      <c r="P155" s="1214"/>
      <c r="Q155" s="1214"/>
      <c r="R155" s="1214"/>
    </row>
    <row r="156" spans="1:18" s="1199" customFormat="1" ht="24" customHeight="1">
      <c r="A156" s="1331"/>
      <c r="B156" s="2174" t="s">
        <v>1350</v>
      </c>
      <c r="C156" s="1202"/>
      <c r="D156" s="1202"/>
      <c r="E156" s="1404">
        <v>14</v>
      </c>
      <c r="F156" s="1358" t="s">
        <v>226</v>
      </c>
      <c r="G156" s="2176">
        <v>14</v>
      </c>
      <c r="H156" s="1264">
        <f t="shared" si="19"/>
        <v>196</v>
      </c>
      <c r="I156" s="2177">
        <v>11</v>
      </c>
      <c r="J156" s="1264">
        <f t="shared" si="20"/>
        <v>154</v>
      </c>
      <c r="K156" s="1273">
        <f>H156+J156</f>
        <v>350</v>
      </c>
      <c r="L156" s="1385"/>
      <c r="M156" s="1214"/>
      <c r="N156" s="1214"/>
      <c r="O156" s="1214"/>
      <c r="P156" s="1214"/>
      <c r="Q156" s="1214"/>
      <c r="R156" s="1214"/>
    </row>
    <row r="157" spans="1:18" s="1199" customFormat="1" ht="24" customHeight="1">
      <c r="A157" s="1331" t="s">
        <v>1621</v>
      </c>
      <c r="B157" s="2174" t="s">
        <v>1598</v>
      </c>
      <c r="C157" s="1202"/>
      <c r="D157" s="1202"/>
      <c r="E157" s="1404"/>
      <c r="F157" s="1207"/>
      <c r="G157" s="2176"/>
      <c r="H157" s="1264"/>
      <c r="I157" s="2177"/>
      <c r="J157" s="1264"/>
      <c r="K157" s="1273"/>
      <c r="L157" s="1385"/>
      <c r="M157" s="1214"/>
      <c r="N157" s="1214"/>
      <c r="O157" s="1214"/>
      <c r="P157" s="1214"/>
    </row>
    <row r="158" spans="1:18" s="1199" customFormat="1" ht="24" customHeight="1">
      <c r="A158" s="1331"/>
      <c r="B158" s="2174" t="s">
        <v>1599</v>
      </c>
      <c r="C158" s="1202"/>
      <c r="D158" s="1202"/>
      <c r="E158" s="1404"/>
      <c r="F158" s="1207" t="s">
        <v>363</v>
      </c>
      <c r="G158" s="2176">
        <v>5000</v>
      </c>
      <c r="H158" s="1264">
        <f t="shared" ref="H158:H160" si="24">ROUND(E158*G158,)</f>
        <v>0</v>
      </c>
      <c r="I158" s="2177">
        <v>500</v>
      </c>
      <c r="J158" s="1264">
        <f t="shared" ref="J158:J160" si="25">ROUND(E158*I158,)</f>
        <v>0</v>
      </c>
      <c r="K158" s="1273">
        <f t="shared" ref="K158:K160" si="26">H158+J158</f>
        <v>0</v>
      </c>
      <c r="L158" s="1385"/>
      <c r="M158" s="1214"/>
      <c r="N158" s="1214"/>
      <c r="O158" s="1214"/>
      <c r="P158" s="1214"/>
    </row>
    <row r="159" spans="1:18" s="1199" customFormat="1" ht="24" customHeight="1">
      <c r="A159" s="1331"/>
      <c r="B159" s="2174" t="s">
        <v>1600</v>
      </c>
      <c r="C159" s="1202"/>
      <c r="D159" s="1202"/>
      <c r="E159" s="1404"/>
      <c r="F159" s="1207" t="s">
        <v>363</v>
      </c>
      <c r="G159" s="2176">
        <v>5000</v>
      </c>
      <c r="H159" s="1264">
        <f t="shared" si="24"/>
        <v>0</v>
      </c>
      <c r="I159" s="2177">
        <v>500</v>
      </c>
      <c r="J159" s="1264">
        <f t="shared" si="25"/>
        <v>0</v>
      </c>
      <c r="K159" s="1273">
        <f t="shared" si="26"/>
        <v>0</v>
      </c>
      <c r="L159" s="1385"/>
      <c r="M159" s="1214"/>
      <c r="N159" s="1214"/>
      <c r="O159" s="1214"/>
      <c r="P159" s="1214"/>
    </row>
    <row r="160" spans="1:18" s="1199" customFormat="1" ht="24" customHeight="1">
      <c r="A160" s="1331"/>
      <c r="B160" s="2174" t="s">
        <v>1601</v>
      </c>
      <c r="C160" s="1202"/>
      <c r="D160" s="1202"/>
      <c r="E160" s="1404">
        <v>2</v>
      </c>
      <c r="F160" s="1358" t="s">
        <v>363</v>
      </c>
      <c r="G160" s="2176">
        <v>5000</v>
      </c>
      <c r="H160" s="1264">
        <f t="shared" si="24"/>
        <v>10000</v>
      </c>
      <c r="I160" s="2177">
        <v>500</v>
      </c>
      <c r="J160" s="1264">
        <f t="shared" si="25"/>
        <v>1000</v>
      </c>
      <c r="K160" s="1273">
        <f t="shared" si="26"/>
        <v>11000</v>
      </c>
      <c r="L160" s="1385"/>
      <c r="M160" s="1214"/>
      <c r="N160" s="1214"/>
      <c r="O160" s="1214"/>
      <c r="P160" s="1214"/>
    </row>
    <row r="161" spans="1:18" s="1199" customFormat="1" ht="24" customHeight="1">
      <c r="A161" s="1331"/>
      <c r="B161" s="2174" t="s">
        <v>1117</v>
      </c>
      <c r="C161" s="1202"/>
      <c r="D161" s="1202"/>
      <c r="E161" s="1404"/>
      <c r="F161" s="1207"/>
      <c r="G161" s="2176"/>
      <c r="H161" s="1264"/>
      <c r="I161" s="2177"/>
      <c r="J161" s="1264"/>
      <c r="K161" s="1273"/>
      <c r="L161" s="1385"/>
      <c r="M161" s="1214"/>
      <c r="N161" s="1214"/>
      <c r="O161" s="1214"/>
      <c r="P161" s="1214"/>
      <c r="Q161" s="1214"/>
      <c r="R161" s="1214"/>
    </row>
    <row r="162" spans="1:18" s="1199" customFormat="1" ht="24" customHeight="1">
      <c r="A162" s="1331"/>
      <c r="B162" s="2174" t="s">
        <v>1118</v>
      </c>
      <c r="C162" s="1202"/>
      <c r="D162" s="1202"/>
      <c r="E162" s="1404"/>
      <c r="F162" s="1207"/>
      <c r="G162" s="2176"/>
      <c r="H162" s="1264"/>
      <c r="I162" s="2177"/>
      <c r="J162" s="1264"/>
      <c r="K162" s="1273"/>
      <c r="L162" s="1385"/>
      <c r="M162" s="1214"/>
      <c r="N162" s="1214"/>
      <c r="O162" s="1214"/>
      <c r="P162" s="1214"/>
      <c r="Q162" s="1214"/>
      <c r="R162" s="1214"/>
    </row>
    <row r="163" spans="1:18" s="1199" customFormat="1" ht="24" customHeight="1">
      <c r="A163" s="1331"/>
      <c r="B163" s="2174" t="s">
        <v>1118</v>
      </c>
      <c r="C163" s="1202"/>
      <c r="D163" s="1202"/>
      <c r="E163" s="1404"/>
      <c r="F163" s="1358"/>
      <c r="G163" s="2176"/>
      <c r="H163" s="1264"/>
      <c r="I163" s="2177"/>
      <c r="J163" s="1264"/>
      <c r="K163" s="1273"/>
      <c r="L163" s="1385"/>
      <c r="M163" s="1214"/>
      <c r="N163" s="1214"/>
      <c r="O163" s="1214"/>
      <c r="P163" s="1214"/>
      <c r="Q163" s="1214"/>
      <c r="R163" s="1214"/>
    </row>
    <row r="164" spans="1:18" s="1199" customFormat="1" ht="24" customHeight="1">
      <c r="A164" s="1440"/>
      <c r="B164" s="1441"/>
      <c r="C164" s="1442"/>
      <c r="D164" s="1442"/>
      <c r="E164" s="1443"/>
      <c r="F164" s="1444"/>
      <c r="G164" s="1445"/>
      <c r="H164" s="1446"/>
      <c r="I164" s="1447"/>
      <c r="J164" s="1448"/>
      <c r="K164" s="1448"/>
      <c r="L164" s="1448"/>
      <c r="M164" s="1214"/>
      <c r="N164" s="1214"/>
      <c r="O164" s="1214"/>
      <c r="P164" s="1214"/>
      <c r="Q164" s="1214"/>
      <c r="R164" s="1214"/>
    </row>
    <row r="165" spans="1:18" s="1199" customFormat="1" ht="24" customHeight="1">
      <c r="A165" s="1243"/>
      <c r="B165" s="2257" t="str">
        <f>"รวมราคารายการที่ "&amp;A140</f>
        <v>รวมราคารายการที่ 3.5</v>
      </c>
      <c r="C165" s="2258"/>
      <c r="D165" s="2259"/>
      <c r="E165" s="1244"/>
      <c r="F165" s="1245"/>
      <c r="G165" s="1246"/>
      <c r="H165" s="1247">
        <f>SUM(H141:H161)</f>
        <v>59877</v>
      </c>
      <c r="I165" s="1246"/>
      <c r="J165" s="1247">
        <f>SUM(J141:J161)</f>
        <v>16079</v>
      </c>
      <c r="K165" s="1247">
        <f>SUM(K141:K161)</f>
        <v>75956</v>
      </c>
      <c r="L165" s="1245"/>
      <c r="M165" s="1214"/>
      <c r="N165" s="1214"/>
      <c r="O165" s="1214"/>
      <c r="P165" s="1214"/>
      <c r="Q165" s="1214"/>
      <c r="R165" s="1214"/>
    </row>
    <row r="166" spans="1:18" s="1199" customFormat="1" ht="24" customHeight="1">
      <c r="A166" s="1435" t="s">
        <v>1465</v>
      </c>
      <c r="B166" s="1436" t="s">
        <v>1451</v>
      </c>
      <c r="C166" s="1202"/>
      <c r="D166" s="1202"/>
      <c r="E166" s="1387"/>
      <c r="F166" s="1384"/>
      <c r="G166" s="2176"/>
      <c r="H166" s="1388"/>
      <c r="I166" s="2177"/>
      <c r="J166" s="1385"/>
      <c r="K166" s="1385"/>
      <c r="L166" s="1385"/>
      <c r="M166" s="1214"/>
      <c r="N166" s="1214"/>
      <c r="O166" s="1214"/>
      <c r="P166" s="1214"/>
      <c r="Q166" s="1214"/>
      <c r="R166" s="1214"/>
    </row>
    <row r="167" spans="1:18" s="1199" customFormat="1" ht="24" customHeight="1">
      <c r="A167" s="1331" t="s">
        <v>1207</v>
      </c>
      <c r="B167" s="2174" t="s">
        <v>1451</v>
      </c>
      <c r="C167" s="1202"/>
      <c r="D167" s="1202"/>
      <c r="E167" s="1387"/>
      <c r="F167" s="1384"/>
      <c r="G167" s="2176"/>
      <c r="H167" s="1388"/>
      <c r="I167" s="2177"/>
      <c r="J167" s="1385"/>
      <c r="K167" s="1385"/>
      <c r="L167" s="1385"/>
      <c r="M167" s="1214"/>
      <c r="N167" s="1214"/>
      <c r="O167" s="1214"/>
      <c r="P167" s="1214"/>
      <c r="Q167" s="1214"/>
      <c r="R167" s="1214"/>
    </row>
    <row r="168" spans="1:18" s="1199" customFormat="1" ht="24" customHeight="1">
      <c r="A168" s="1331"/>
      <c r="B168" s="2174" t="s">
        <v>1452</v>
      </c>
      <c r="C168" s="1202"/>
      <c r="D168" s="1202"/>
      <c r="E168" s="1387">
        <v>6</v>
      </c>
      <c r="F168" s="1207" t="s">
        <v>363</v>
      </c>
      <c r="G168" s="2176">
        <v>90</v>
      </c>
      <c r="H168" s="1264">
        <f t="shared" ref="H168:H175" si="27">ROUND(E168*G168,)</f>
        <v>540</v>
      </c>
      <c r="I168" s="2177">
        <v>80</v>
      </c>
      <c r="J168" s="1264">
        <f t="shared" ref="J168:J175" si="28">ROUND(E168*I168,)</f>
        <v>480</v>
      </c>
      <c r="K168" s="1273">
        <f t="shared" ref="K168:K175" si="29">H168+J168</f>
        <v>1020</v>
      </c>
      <c r="L168" s="1389"/>
      <c r="M168" s="1214"/>
      <c r="N168" s="1214"/>
      <c r="O168" s="1214"/>
    </row>
    <row r="169" spans="1:18" s="1199" customFormat="1" ht="24" customHeight="1">
      <c r="A169" s="1331"/>
      <c r="B169" s="2174" t="s">
        <v>1453</v>
      </c>
      <c r="C169" s="1202"/>
      <c r="D169" s="1202"/>
      <c r="E169" s="1387"/>
      <c r="F169" s="1207" t="s">
        <v>363</v>
      </c>
      <c r="G169" s="2176">
        <v>130</v>
      </c>
      <c r="H169" s="1264">
        <f t="shared" si="27"/>
        <v>0</v>
      </c>
      <c r="I169" s="2177">
        <v>90</v>
      </c>
      <c r="J169" s="1264">
        <f t="shared" si="28"/>
        <v>0</v>
      </c>
      <c r="K169" s="1273">
        <f t="shared" si="29"/>
        <v>0</v>
      </c>
      <c r="L169" s="1389"/>
      <c r="M169" s="1214"/>
      <c r="N169" s="1214"/>
      <c r="O169" s="1214"/>
    </row>
    <row r="170" spans="1:18" s="1199" customFormat="1" ht="24" customHeight="1">
      <c r="A170" s="1331"/>
      <c r="B170" s="2174" t="s">
        <v>1454</v>
      </c>
      <c r="C170" s="1202"/>
      <c r="D170" s="1202"/>
      <c r="E170" s="1387"/>
      <c r="F170" s="1207" t="s">
        <v>363</v>
      </c>
      <c r="G170" s="2176">
        <v>240</v>
      </c>
      <c r="H170" s="1264">
        <f t="shared" si="27"/>
        <v>0</v>
      </c>
      <c r="I170" s="2177">
        <v>90</v>
      </c>
      <c r="J170" s="1264">
        <f t="shared" si="28"/>
        <v>0</v>
      </c>
      <c r="K170" s="1273">
        <f t="shared" si="29"/>
        <v>0</v>
      </c>
      <c r="L170" s="1389"/>
      <c r="M170" s="1214"/>
      <c r="N170" s="1214"/>
      <c r="O170" s="1214"/>
    </row>
    <row r="171" spans="1:18" s="1199" customFormat="1" ht="24" customHeight="1">
      <c r="A171" s="1331"/>
      <c r="B171" s="2174" t="s">
        <v>1455</v>
      </c>
      <c r="C171" s="1202"/>
      <c r="D171" s="1202"/>
      <c r="E171" s="1387"/>
      <c r="F171" s="1207" t="s">
        <v>363</v>
      </c>
      <c r="G171" s="2176">
        <v>162</v>
      </c>
      <c r="H171" s="1264">
        <f t="shared" si="27"/>
        <v>0</v>
      </c>
      <c r="I171" s="2177">
        <v>90</v>
      </c>
      <c r="J171" s="1264">
        <f t="shared" si="28"/>
        <v>0</v>
      </c>
      <c r="K171" s="1273">
        <f t="shared" si="29"/>
        <v>0</v>
      </c>
      <c r="L171" s="1389"/>
      <c r="M171" s="1214"/>
      <c r="N171" s="1214"/>
      <c r="O171" s="1214"/>
    </row>
    <row r="172" spans="1:18" s="1199" customFormat="1" ht="24" customHeight="1">
      <c r="A172" s="1331"/>
      <c r="B172" s="2174" t="s">
        <v>1456</v>
      </c>
      <c r="C172" s="1202"/>
      <c r="D172" s="1202"/>
      <c r="E172" s="1387">
        <v>8</v>
      </c>
      <c r="F172" s="1207" t="s">
        <v>363</v>
      </c>
      <c r="G172" s="2176">
        <v>197</v>
      </c>
      <c r="H172" s="1264">
        <f t="shared" si="27"/>
        <v>1576</v>
      </c>
      <c r="I172" s="2177">
        <v>90</v>
      </c>
      <c r="J172" s="1264">
        <f t="shared" si="28"/>
        <v>720</v>
      </c>
      <c r="K172" s="1273">
        <f t="shared" si="29"/>
        <v>2296</v>
      </c>
      <c r="L172" s="1389"/>
      <c r="M172" s="1214"/>
      <c r="N172" s="1214"/>
      <c r="O172" s="1214"/>
    </row>
    <row r="173" spans="1:18" s="1199" customFormat="1" ht="24" customHeight="1">
      <c r="A173" s="1331"/>
      <c r="B173" s="2174" t="s">
        <v>1457</v>
      </c>
      <c r="C173" s="1202"/>
      <c r="D173" s="1202"/>
      <c r="E173" s="1387"/>
      <c r="F173" s="1207" t="s">
        <v>363</v>
      </c>
      <c r="G173" s="2176">
        <v>1500</v>
      </c>
      <c r="H173" s="1264">
        <f t="shared" si="27"/>
        <v>0</v>
      </c>
      <c r="I173" s="2177">
        <v>265</v>
      </c>
      <c r="J173" s="1264">
        <f t="shared" si="28"/>
        <v>0</v>
      </c>
      <c r="K173" s="1385">
        <f t="shared" si="29"/>
        <v>0</v>
      </c>
      <c r="L173" s="1389"/>
      <c r="M173" s="1214"/>
      <c r="N173" s="1214"/>
      <c r="O173" s="1214"/>
    </row>
    <row r="174" spans="1:18" s="1199" customFormat="1" ht="24" customHeight="1">
      <c r="A174" s="1331"/>
      <c r="B174" s="2174" t="s">
        <v>1458</v>
      </c>
      <c r="C174" s="1202"/>
      <c r="D174" s="1202"/>
      <c r="E174" s="1387"/>
      <c r="F174" s="1207" t="s">
        <v>363</v>
      </c>
      <c r="G174" s="2176">
        <v>518</v>
      </c>
      <c r="H174" s="1264">
        <f t="shared" si="27"/>
        <v>0</v>
      </c>
      <c r="I174" s="2177">
        <v>115</v>
      </c>
      <c r="J174" s="1264">
        <f t="shared" si="28"/>
        <v>0</v>
      </c>
      <c r="K174" s="1273">
        <f t="shared" si="29"/>
        <v>0</v>
      </c>
      <c r="L174" s="1389"/>
      <c r="M174" s="1214"/>
      <c r="N174" s="1214"/>
      <c r="O174" s="1214"/>
    </row>
    <row r="175" spans="1:18" s="1199" customFormat="1" ht="24" customHeight="1">
      <c r="A175" s="1331"/>
      <c r="B175" s="2174" t="s">
        <v>1459</v>
      </c>
      <c r="C175" s="1202"/>
      <c r="D175" s="1202"/>
      <c r="E175" s="1387"/>
      <c r="F175" s="1207" t="s">
        <v>363</v>
      </c>
      <c r="G175" s="2176">
        <v>850</v>
      </c>
      <c r="H175" s="1264">
        <f t="shared" si="27"/>
        <v>0</v>
      </c>
      <c r="I175" s="2177">
        <v>265</v>
      </c>
      <c r="J175" s="1264">
        <f t="shared" si="28"/>
        <v>0</v>
      </c>
      <c r="K175" s="1273">
        <f t="shared" si="29"/>
        <v>0</v>
      </c>
      <c r="L175" s="1389"/>
      <c r="M175" s="1214"/>
      <c r="N175" s="1214"/>
      <c r="O175" s="1214"/>
    </row>
    <row r="176" spans="1:18" s="1199" customFormat="1" ht="24" customHeight="1">
      <c r="A176" s="1331" t="s">
        <v>1229</v>
      </c>
      <c r="B176" s="2174" t="s">
        <v>1460</v>
      </c>
      <c r="C176" s="1202"/>
      <c r="D176" s="1202"/>
      <c r="E176" s="1387">
        <v>2</v>
      </c>
      <c r="F176" s="1207" t="s">
        <v>363</v>
      </c>
      <c r="G176" s="2176">
        <v>130</v>
      </c>
      <c r="H176" s="1264">
        <f>ROUND(E176*G176,)</f>
        <v>260</v>
      </c>
      <c r="I176" s="2177">
        <v>90</v>
      </c>
      <c r="J176" s="1264">
        <f>ROUND(E176*I176,)</f>
        <v>180</v>
      </c>
      <c r="K176" s="1273">
        <f>H176+J176</f>
        <v>440</v>
      </c>
      <c r="L176" s="1385"/>
      <c r="M176" s="1214"/>
      <c r="N176" s="1214"/>
      <c r="O176" s="1214"/>
      <c r="P176" s="1214"/>
      <c r="Q176" s="1214"/>
      <c r="R176" s="1214"/>
    </row>
    <row r="177" spans="1:18" s="1199" customFormat="1" ht="24" customHeight="1">
      <c r="A177" s="1331"/>
      <c r="B177" s="2174"/>
      <c r="C177" s="1202"/>
      <c r="D177" s="1202"/>
      <c r="E177" s="1387"/>
      <c r="F177" s="1207"/>
      <c r="G177" s="2176"/>
      <c r="H177" s="1264"/>
      <c r="I177" s="2177"/>
      <c r="J177" s="1264"/>
      <c r="K177" s="1273"/>
      <c r="L177" s="1385"/>
      <c r="M177" s="1214"/>
      <c r="N177" s="1214"/>
      <c r="O177" s="1214"/>
      <c r="P177" s="1214"/>
      <c r="Q177" s="1214"/>
      <c r="R177" s="1214"/>
    </row>
    <row r="178" spans="1:18" s="1199" customFormat="1" ht="24" customHeight="1">
      <c r="A178" s="1331"/>
      <c r="B178" s="2174"/>
      <c r="C178" s="1202"/>
      <c r="D178" s="1202"/>
      <c r="E178" s="1387"/>
      <c r="F178" s="1207"/>
      <c r="G178" s="2176"/>
      <c r="H178" s="1264"/>
      <c r="I178" s="2177"/>
      <c r="J178" s="1264"/>
      <c r="K178" s="1273"/>
      <c r="L178" s="1385"/>
      <c r="M178" s="1214"/>
      <c r="N178" s="1214"/>
      <c r="O178" s="1214"/>
      <c r="P178" s="1214"/>
      <c r="Q178" s="1214"/>
      <c r="R178" s="1214"/>
    </row>
    <row r="179" spans="1:18" s="1199" customFormat="1" ht="24" customHeight="1">
      <c r="A179" s="1331" t="s">
        <v>1234</v>
      </c>
      <c r="B179" s="2174" t="s">
        <v>1598</v>
      </c>
      <c r="C179" s="1202"/>
      <c r="D179" s="1202"/>
      <c r="E179" s="1404"/>
      <c r="F179" s="1207"/>
      <c r="G179" s="2176"/>
      <c r="H179" s="1264"/>
      <c r="I179" s="2177"/>
      <c r="J179" s="1264"/>
      <c r="K179" s="1273"/>
      <c r="L179" s="1385"/>
      <c r="M179" s="1214"/>
      <c r="N179" s="1214"/>
      <c r="O179" s="1214"/>
      <c r="P179" s="1214"/>
    </row>
    <row r="180" spans="1:18" s="1199" customFormat="1" ht="24" customHeight="1">
      <c r="A180" s="1331"/>
      <c r="B180" s="2174" t="s">
        <v>1599</v>
      </c>
      <c r="C180" s="1202"/>
      <c r="D180" s="1202"/>
      <c r="E180" s="1387"/>
      <c r="F180" s="1207" t="s">
        <v>363</v>
      </c>
      <c r="G180" s="2176">
        <v>5000</v>
      </c>
      <c r="H180" s="1264">
        <f t="shared" ref="H180:H182" si="30">ROUND(E180*G180,)</f>
        <v>0</v>
      </c>
      <c r="I180" s="2177">
        <v>500</v>
      </c>
      <c r="J180" s="1264">
        <f t="shared" ref="J180:J182" si="31">ROUND(E180*I180,)</f>
        <v>0</v>
      </c>
      <c r="K180" s="1273">
        <f t="shared" ref="K180:K182" si="32">H180+J180</f>
        <v>0</v>
      </c>
      <c r="L180" s="1389"/>
      <c r="M180" s="1214"/>
      <c r="N180" s="1214"/>
      <c r="O180" s="1214"/>
      <c r="P180" s="1214"/>
    </row>
    <row r="181" spans="1:18" s="1199" customFormat="1" ht="24" customHeight="1">
      <c r="A181" s="1331"/>
      <c r="B181" s="2174" t="s">
        <v>1600</v>
      </c>
      <c r="C181" s="1202"/>
      <c r="D181" s="1202"/>
      <c r="E181" s="1387"/>
      <c r="F181" s="1207" t="s">
        <v>363</v>
      </c>
      <c r="G181" s="2176">
        <v>5000</v>
      </c>
      <c r="H181" s="1264">
        <f t="shared" si="30"/>
        <v>0</v>
      </c>
      <c r="I181" s="2177">
        <v>500</v>
      </c>
      <c r="J181" s="1264">
        <f t="shared" si="31"/>
        <v>0</v>
      </c>
      <c r="K181" s="1273">
        <f t="shared" si="32"/>
        <v>0</v>
      </c>
      <c r="L181" s="1389"/>
      <c r="M181" s="1214"/>
      <c r="N181" s="1214"/>
      <c r="O181" s="1214"/>
      <c r="P181" s="1214"/>
    </row>
    <row r="182" spans="1:18" s="1199" customFormat="1" ht="24" customHeight="1">
      <c r="A182" s="1331"/>
      <c r="B182" s="2174" t="s">
        <v>1601</v>
      </c>
      <c r="C182" s="1202"/>
      <c r="D182" s="1202"/>
      <c r="E182" s="1387">
        <v>2</v>
      </c>
      <c r="F182" s="1207" t="s">
        <v>363</v>
      </c>
      <c r="G182" s="2176">
        <v>5000</v>
      </c>
      <c r="H182" s="1264">
        <f t="shared" si="30"/>
        <v>10000</v>
      </c>
      <c r="I182" s="2177">
        <v>500</v>
      </c>
      <c r="J182" s="1264">
        <f t="shared" si="31"/>
        <v>1000</v>
      </c>
      <c r="K182" s="1273">
        <f t="shared" si="32"/>
        <v>11000</v>
      </c>
      <c r="L182" s="1389"/>
      <c r="M182" s="1214"/>
      <c r="N182" s="1214"/>
      <c r="O182" s="1214"/>
      <c r="P182" s="1214"/>
    </row>
    <row r="183" spans="1:18" s="1199" customFormat="1" ht="24" customHeight="1">
      <c r="A183" s="1331"/>
      <c r="B183" s="2174" t="s">
        <v>1117</v>
      </c>
      <c r="C183" s="1202"/>
      <c r="D183" s="1202"/>
      <c r="E183" s="1387"/>
      <c r="F183" s="1207"/>
      <c r="G183" s="2176"/>
      <c r="H183" s="1264"/>
      <c r="I183" s="2177"/>
      <c r="J183" s="1264"/>
      <c r="K183" s="1385"/>
      <c r="L183" s="1389"/>
      <c r="M183" s="1214"/>
      <c r="N183" s="1214"/>
      <c r="O183" s="1214"/>
      <c r="P183" s="1214"/>
      <c r="Q183" s="1214"/>
      <c r="R183" s="1214"/>
    </row>
    <row r="184" spans="1:18" s="1199" customFormat="1" ht="24" customHeight="1">
      <c r="A184" s="1331"/>
      <c r="B184" s="2174" t="s">
        <v>1118</v>
      </c>
      <c r="C184" s="1202"/>
      <c r="D184" s="1202"/>
      <c r="E184" s="1387"/>
      <c r="F184" s="1207"/>
      <c r="G184" s="2176"/>
      <c r="H184" s="1264"/>
      <c r="I184" s="2177"/>
      <c r="J184" s="1264"/>
      <c r="K184" s="1273"/>
      <c r="L184" s="1389"/>
      <c r="M184" s="1214"/>
      <c r="N184" s="1214"/>
      <c r="O184" s="1214"/>
      <c r="P184" s="1214"/>
      <c r="Q184" s="1214"/>
      <c r="R184" s="1214"/>
    </row>
    <row r="185" spans="1:18" s="1199" customFormat="1" ht="24" customHeight="1">
      <c r="A185" s="1331"/>
      <c r="B185" s="2174" t="s">
        <v>1118</v>
      </c>
      <c r="C185" s="1202"/>
      <c r="D185" s="1202"/>
      <c r="E185" s="1387"/>
      <c r="F185" s="1207"/>
      <c r="G185" s="2176"/>
      <c r="H185" s="1264"/>
      <c r="I185" s="2177"/>
      <c r="J185" s="1264"/>
      <c r="K185" s="1273"/>
      <c r="L185" s="1389"/>
      <c r="M185" s="1214"/>
      <c r="N185" s="1214"/>
      <c r="O185" s="1214"/>
      <c r="P185" s="1214"/>
      <c r="Q185" s="1214"/>
      <c r="R185" s="1214"/>
    </row>
    <row r="186" spans="1:18" s="1199" customFormat="1" ht="24" customHeight="1">
      <c r="A186" s="1331"/>
      <c r="B186" s="2174"/>
      <c r="C186" s="1202"/>
      <c r="D186" s="1202"/>
      <c r="E186" s="1387"/>
      <c r="F186" s="1207"/>
      <c r="G186" s="2176"/>
      <c r="H186" s="1264"/>
      <c r="I186" s="2177"/>
      <c r="J186" s="1264"/>
      <c r="K186" s="1273"/>
      <c r="L186" s="1389"/>
      <c r="M186" s="1214"/>
      <c r="N186" s="1214"/>
      <c r="O186" s="1214"/>
      <c r="P186" s="1214"/>
      <c r="Q186" s="1214"/>
      <c r="R186" s="1214"/>
    </row>
    <row r="187" spans="1:18" s="1199" customFormat="1" ht="24" customHeight="1">
      <c r="A187" s="1243"/>
      <c r="B187" s="2257" t="str">
        <f>"รวมราคารายการที่ "&amp;A166</f>
        <v>รวมราคารายการที่ 3.6</v>
      </c>
      <c r="C187" s="2258"/>
      <c r="D187" s="2259"/>
      <c r="E187" s="1244"/>
      <c r="F187" s="1245"/>
      <c r="G187" s="1246"/>
      <c r="H187" s="1247">
        <f>SUM(H167:H182)</f>
        <v>12376</v>
      </c>
      <c r="I187" s="1246"/>
      <c r="J187" s="1247">
        <f t="shared" ref="J187:K187" si="33">SUM(J167:J182)</f>
        <v>2380</v>
      </c>
      <c r="K187" s="1247">
        <f t="shared" si="33"/>
        <v>14756</v>
      </c>
      <c r="L187" s="1245"/>
      <c r="M187" s="1214"/>
      <c r="N187" s="1214"/>
      <c r="O187" s="1214"/>
      <c r="P187" s="1214"/>
      <c r="Q187" s="1214"/>
      <c r="R187" s="1214"/>
    </row>
    <row r="188" spans="1:18" s="1199" customFormat="1" ht="24" customHeight="1">
      <c r="A188" s="1435" t="s">
        <v>1490</v>
      </c>
      <c r="B188" s="1436" t="s">
        <v>1466</v>
      </c>
      <c r="C188" s="1202"/>
      <c r="D188" s="1202"/>
      <c r="E188" s="1387"/>
      <c r="F188" s="1207" t="s">
        <v>363</v>
      </c>
      <c r="G188" s="2176"/>
      <c r="H188" s="1264"/>
      <c r="I188" s="2177"/>
      <c r="J188" s="1264"/>
      <c r="K188" s="1273"/>
      <c r="L188" s="1385"/>
      <c r="M188" s="1214"/>
      <c r="N188" s="1214"/>
      <c r="O188" s="1214"/>
      <c r="P188" s="1214"/>
      <c r="Q188" s="1214"/>
      <c r="R188" s="1214"/>
    </row>
    <row r="189" spans="1:18" s="1199" customFormat="1" ht="24" customHeight="1">
      <c r="A189" s="1339"/>
      <c r="B189" s="1259" t="s">
        <v>1467</v>
      </c>
      <c r="C189" s="1202"/>
      <c r="D189" s="1202"/>
      <c r="E189" s="1404">
        <v>12</v>
      </c>
      <c r="F189" s="1267" t="s">
        <v>363</v>
      </c>
      <c r="G189" s="1386">
        <v>420</v>
      </c>
      <c r="H189" s="1343">
        <f t="shared" ref="H189:H212" si="34">ROUND(E189*G189,)</f>
        <v>5040</v>
      </c>
      <c r="I189" s="1414">
        <v>115</v>
      </c>
      <c r="J189" s="1343">
        <f t="shared" ref="J189:J212" si="35">ROUND(E189*I189,)</f>
        <v>1380</v>
      </c>
      <c r="K189" s="1262">
        <f t="shared" ref="K189:K212" si="36">H189+J189</f>
        <v>6420</v>
      </c>
      <c r="L189" s="1415"/>
      <c r="M189" s="1214"/>
      <c r="N189" s="1214"/>
      <c r="O189" s="1214"/>
      <c r="P189" s="1214"/>
    </row>
    <row r="190" spans="1:18" s="1199" customFormat="1" ht="24" customHeight="1">
      <c r="A190" s="1339"/>
      <c r="B190" s="1259" t="s">
        <v>1468</v>
      </c>
      <c r="C190" s="1202"/>
      <c r="D190" s="1202"/>
      <c r="E190" s="1404">
        <v>4</v>
      </c>
      <c r="F190" s="1267" t="s">
        <v>363</v>
      </c>
      <c r="G190" s="1386">
        <v>500</v>
      </c>
      <c r="H190" s="1343">
        <f t="shared" si="34"/>
        <v>2000</v>
      </c>
      <c r="I190" s="1414">
        <v>115</v>
      </c>
      <c r="J190" s="1343">
        <f t="shared" si="35"/>
        <v>460</v>
      </c>
      <c r="K190" s="1262">
        <f t="shared" si="36"/>
        <v>2460</v>
      </c>
      <c r="L190" s="1415"/>
      <c r="M190" s="1214"/>
      <c r="N190" s="1214"/>
      <c r="O190" s="1214"/>
      <c r="P190" s="1214"/>
    </row>
    <row r="191" spans="1:18" s="1199" customFormat="1" ht="24" customHeight="1">
      <c r="A191" s="1339"/>
      <c r="B191" s="1259" t="s">
        <v>1469</v>
      </c>
      <c r="C191" s="1202"/>
      <c r="D191" s="1202"/>
      <c r="E191" s="1404"/>
      <c r="F191" s="1267" t="s">
        <v>363</v>
      </c>
      <c r="G191" s="1386">
        <v>550</v>
      </c>
      <c r="H191" s="1343">
        <f t="shared" si="34"/>
        <v>0</v>
      </c>
      <c r="I191" s="1414">
        <v>115</v>
      </c>
      <c r="J191" s="1343">
        <f t="shared" si="35"/>
        <v>0</v>
      </c>
      <c r="K191" s="1262">
        <f t="shared" si="36"/>
        <v>0</v>
      </c>
      <c r="L191" s="1415"/>
      <c r="M191" s="1214"/>
      <c r="N191" s="1214"/>
      <c r="O191" s="1214"/>
      <c r="P191" s="1214"/>
    </row>
    <row r="192" spans="1:18" s="1199" customFormat="1" ht="24" customHeight="1">
      <c r="A192" s="1339"/>
      <c r="B192" s="1259" t="s">
        <v>1470</v>
      </c>
      <c r="C192" s="1202"/>
      <c r="D192" s="1202"/>
      <c r="E192" s="1404"/>
      <c r="F192" s="1267" t="s">
        <v>363</v>
      </c>
      <c r="G192" s="1386">
        <v>750</v>
      </c>
      <c r="H192" s="1343">
        <f t="shared" si="34"/>
        <v>0</v>
      </c>
      <c r="I192" s="1414">
        <v>135</v>
      </c>
      <c r="J192" s="1343">
        <f t="shared" si="35"/>
        <v>0</v>
      </c>
      <c r="K192" s="1262">
        <f t="shared" si="36"/>
        <v>0</v>
      </c>
      <c r="L192" s="1415"/>
      <c r="M192" s="1214"/>
      <c r="N192" s="1214"/>
      <c r="O192" s="1214"/>
      <c r="P192" s="1214"/>
    </row>
    <row r="193" spans="1:17" s="1199" customFormat="1" ht="24" customHeight="1">
      <c r="A193" s="1339"/>
      <c r="B193" s="1259" t="s">
        <v>1471</v>
      </c>
      <c r="C193" s="1202"/>
      <c r="D193" s="1202"/>
      <c r="E193" s="1404"/>
      <c r="F193" s="1267" t="s">
        <v>363</v>
      </c>
      <c r="G193" s="1386">
        <v>1550</v>
      </c>
      <c r="H193" s="1343">
        <f t="shared" si="34"/>
        <v>0</v>
      </c>
      <c r="I193" s="1414">
        <v>135</v>
      </c>
      <c r="J193" s="1343">
        <f t="shared" si="35"/>
        <v>0</v>
      </c>
      <c r="K193" s="1262">
        <f t="shared" si="36"/>
        <v>0</v>
      </c>
      <c r="L193" s="1415"/>
      <c r="M193" s="1214"/>
      <c r="N193" s="1214"/>
      <c r="O193" s="1214"/>
      <c r="P193" s="1214"/>
    </row>
    <row r="194" spans="1:17" s="1199" customFormat="1" ht="24" customHeight="1">
      <c r="A194" s="1339"/>
      <c r="B194" s="1259" t="s">
        <v>1472</v>
      </c>
      <c r="C194" s="1202"/>
      <c r="D194" s="1202"/>
      <c r="E194" s="1404"/>
      <c r="F194" s="1267" t="s">
        <v>363</v>
      </c>
      <c r="G194" s="1386">
        <v>2090</v>
      </c>
      <c r="H194" s="1343">
        <f t="shared" si="34"/>
        <v>0</v>
      </c>
      <c r="I194" s="1414">
        <v>135</v>
      </c>
      <c r="J194" s="1343">
        <f t="shared" si="35"/>
        <v>0</v>
      </c>
      <c r="K194" s="1262">
        <f t="shared" si="36"/>
        <v>0</v>
      </c>
      <c r="L194" s="1415"/>
      <c r="M194" s="1214"/>
      <c r="N194" s="1214"/>
      <c r="O194" s="1214"/>
      <c r="P194" s="1214"/>
    </row>
    <row r="195" spans="1:17" s="1199" customFormat="1" ht="24" customHeight="1">
      <c r="A195" s="1339"/>
      <c r="B195" s="1259" t="s">
        <v>1473</v>
      </c>
      <c r="C195" s="1202"/>
      <c r="D195" s="1202"/>
      <c r="E195" s="1404"/>
      <c r="F195" s="1267" t="s">
        <v>363</v>
      </c>
      <c r="G195" s="1386">
        <v>3750</v>
      </c>
      <c r="H195" s="1343">
        <f t="shared" si="34"/>
        <v>0</v>
      </c>
      <c r="I195" s="1414">
        <v>135</v>
      </c>
      <c r="J195" s="1343">
        <f t="shared" si="35"/>
        <v>0</v>
      </c>
      <c r="K195" s="1262">
        <f t="shared" si="36"/>
        <v>0</v>
      </c>
      <c r="L195" s="1415"/>
      <c r="M195" s="1214"/>
      <c r="N195" s="1214"/>
      <c r="O195" s="1214"/>
      <c r="P195" s="1214"/>
    </row>
    <row r="196" spans="1:17" s="1199" customFormat="1" ht="24" customHeight="1">
      <c r="A196" s="1339"/>
      <c r="B196" s="1259" t="s">
        <v>1474</v>
      </c>
      <c r="C196" s="1202"/>
      <c r="D196" s="1202"/>
      <c r="E196" s="1404"/>
      <c r="F196" s="1267" t="s">
        <v>363</v>
      </c>
      <c r="G196" s="1386">
        <v>2450</v>
      </c>
      <c r="H196" s="1343">
        <f t="shared" si="34"/>
        <v>0</v>
      </c>
      <c r="I196" s="1414">
        <v>135</v>
      </c>
      <c r="J196" s="1343">
        <f t="shared" si="35"/>
        <v>0</v>
      </c>
      <c r="K196" s="1262">
        <f t="shared" si="36"/>
        <v>0</v>
      </c>
      <c r="L196" s="1415"/>
      <c r="M196" s="1214"/>
      <c r="N196" s="1214"/>
      <c r="O196" s="1214"/>
      <c r="P196" s="1214"/>
    </row>
    <row r="197" spans="1:17" s="1199" customFormat="1" ht="24" customHeight="1">
      <c r="A197" s="1339"/>
      <c r="B197" s="1259" t="s">
        <v>1475</v>
      </c>
      <c r="C197" s="1202"/>
      <c r="D197" s="1202"/>
      <c r="E197" s="1404"/>
      <c r="F197" s="1267" t="s">
        <v>363</v>
      </c>
      <c r="G197" s="1386">
        <v>1860</v>
      </c>
      <c r="H197" s="1343">
        <f t="shared" si="34"/>
        <v>0</v>
      </c>
      <c r="I197" s="1414">
        <v>135</v>
      </c>
      <c r="J197" s="1343">
        <f t="shared" si="35"/>
        <v>0</v>
      </c>
      <c r="K197" s="1262">
        <f t="shared" si="36"/>
        <v>0</v>
      </c>
      <c r="L197" s="1415"/>
      <c r="M197" s="1214"/>
      <c r="N197" s="1214"/>
      <c r="O197" s="1214"/>
      <c r="P197" s="1214"/>
    </row>
    <row r="198" spans="1:17" s="1199" customFormat="1" ht="24" customHeight="1">
      <c r="A198" s="1339"/>
      <c r="B198" s="1259" t="s">
        <v>1476</v>
      </c>
      <c r="C198" s="1202"/>
      <c r="D198" s="1202"/>
      <c r="E198" s="1404"/>
      <c r="F198" s="1267" t="s">
        <v>363</v>
      </c>
      <c r="G198" s="1386">
        <v>1200</v>
      </c>
      <c r="H198" s="1343">
        <f t="shared" si="34"/>
        <v>0</v>
      </c>
      <c r="I198" s="1414">
        <v>135</v>
      </c>
      <c r="J198" s="1343">
        <f t="shared" si="35"/>
        <v>0</v>
      </c>
      <c r="K198" s="1262">
        <f t="shared" si="36"/>
        <v>0</v>
      </c>
      <c r="L198" s="1415"/>
      <c r="M198" s="1214"/>
      <c r="N198" s="1214"/>
      <c r="O198" s="1214"/>
      <c r="P198" s="1214"/>
    </row>
    <row r="199" spans="1:17" s="1199" customFormat="1" ht="24" customHeight="1">
      <c r="A199" s="1339"/>
      <c r="B199" s="1259" t="s">
        <v>1477</v>
      </c>
      <c r="C199" s="1202"/>
      <c r="D199" s="1202"/>
      <c r="E199" s="1404"/>
      <c r="F199" s="1267" t="s">
        <v>363</v>
      </c>
      <c r="G199" s="1386">
        <v>1450</v>
      </c>
      <c r="H199" s="1343">
        <f t="shared" si="34"/>
        <v>0</v>
      </c>
      <c r="I199" s="1414">
        <v>135</v>
      </c>
      <c r="J199" s="1343">
        <f t="shared" si="35"/>
        <v>0</v>
      </c>
      <c r="K199" s="1262">
        <f t="shared" si="36"/>
        <v>0</v>
      </c>
      <c r="L199" s="1415"/>
      <c r="M199" s="1214"/>
      <c r="N199" s="1214"/>
      <c r="O199" s="1214"/>
      <c r="P199" s="1214"/>
    </row>
    <row r="200" spans="1:17" s="1199" customFormat="1" ht="24" customHeight="1">
      <c r="A200" s="1339"/>
      <c r="B200" s="1259" t="s">
        <v>1478</v>
      </c>
      <c r="C200" s="1202"/>
      <c r="D200" s="1202"/>
      <c r="E200" s="1404"/>
      <c r="F200" s="1267" t="s">
        <v>363</v>
      </c>
      <c r="G200" s="1386">
        <v>1250</v>
      </c>
      <c r="H200" s="1343">
        <f t="shared" si="34"/>
        <v>0</v>
      </c>
      <c r="I200" s="1414">
        <v>135</v>
      </c>
      <c r="J200" s="1343">
        <f t="shared" si="35"/>
        <v>0</v>
      </c>
      <c r="K200" s="1262">
        <f t="shared" si="36"/>
        <v>0</v>
      </c>
      <c r="L200" s="1415"/>
      <c r="M200" s="1214"/>
      <c r="N200" s="1214"/>
      <c r="O200" s="1214"/>
      <c r="P200" s="1214"/>
    </row>
    <row r="201" spans="1:17" s="1199" customFormat="1" ht="24" customHeight="1">
      <c r="A201" s="1339"/>
      <c r="B201" s="1259" t="s">
        <v>1479</v>
      </c>
      <c r="C201" s="1202"/>
      <c r="D201" s="1202"/>
      <c r="E201" s="1404"/>
      <c r="F201" s="1267" t="s">
        <v>363</v>
      </c>
      <c r="G201" s="1386">
        <v>650</v>
      </c>
      <c r="H201" s="1343">
        <f t="shared" si="34"/>
        <v>0</v>
      </c>
      <c r="I201" s="1414">
        <v>20</v>
      </c>
      <c r="J201" s="1343">
        <f t="shared" si="35"/>
        <v>0</v>
      </c>
      <c r="K201" s="1262">
        <f t="shared" si="36"/>
        <v>0</v>
      </c>
      <c r="L201" s="1415"/>
      <c r="M201" s="1214"/>
      <c r="N201" s="1214"/>
      <c r="O201" s="1214"/>
      <c r="P201" s="1214"/>
    </row>
    <row r="202" spans="1:17" s="1199" customFormat="1" ht="24" customHeight="1">
      <c r="A202" s="1339"/>
      <c r="B202" s="1259" t="s">
        <v>1480</v>
      </c>
      <c r="C202" s="1202"/>
      <c r="D202" s="1202"/>
      <c r="E202" s="1404"/>
      <c r="F202" s="1267" t="s">
        <v>363</v>
      </c>
      <c r="G202" s="1386">
        <v>2565</v>
      </c>
      <c r="H202" s="1343">
        <f t="shared" si="34"/>
        <v>0</v>
      </c>
      <c r="I202" s="1414">
        <v>135</v>
      </c>
      <c r="J202" s="1343">
        <f t="shared" si="35"/>
        <v>0</v>
      </c>
      <c r="K202" s="1262">
        <f t="shared" si="36"/>
        <v>0</v>
      </c>
      <c r="L202" s="1415"/>
      <c r="M202" s="1214"/>
      <c r="N202" s="1214"/>
      <c r="O202" s="1214"/>
      <c r="P202" s="1214"/>
    </row>
    <row r="203" spans="1:17" s="1199" customFormat="1" ht="24" customHeight="1">
      <c r="A203" s="1339"/>
      <c r="B203" s="1259" t="s">
        <v>1481</v>
      </c>
      <c r="C203" s="1202"/>
      <c r="D203" s="1202"/>
      <c r="E203" s="1404"/>
      <c r="F203" s="1267" t="s">
        <v>363</v>
      </c>
      <c r="G203" s="1386">
        <v>1200</v>
      </c>
      <c r="H203" s="1343">
        <f t="shared" si="34"/>
        <v>0</v>
      </c>
      <c r="I203" s="1414">
        <v>135</v>
      </c>
      <c r="J203" s="1343">
        <f t="shared" si="35"/>
        <v>0</v>
      </c>
      <c r="K203" s="1262">
        <f t="shared" si="36"/>
        <v>0</v>
      </c>
      <c r="L203" s="1415"/>
      <c r="M203" s="1214"/>
      <c r="N203" s="1214"/>
      <c r="O203" s="1214"/>
      <c r="P203" s="1214"/>
    </row>
    <row r="204" spans="1:17" s="1199" customFormat="1" ht="24" customHeight="1">
      <c r="A204" s="1339"/>
      <c r="B204" s="1259" t="s">
        <v>1482</v>
      </c>
      <c r="C204" s="1202"/>
      <c r="D204" s="1202"/>
      <c r="E204" s="1404"/>
      <c r="F204" s="1267" t="s">
        <v>363</v>
      </c>
      <c r="G204" s="1386">
        <v>1200</v>
      </c>
      <c r="H204" s="1343">
        <f t="shared" si="34"/>
        <v>0</v>
      </c>
      <c r="I204" s="1414">
        <v>135</v>
      </c>
      <c r="J204" s="1343">
        <f t="shared" si="35"/>
        <v>0</v>
      </c>
      <c r="K204" s="1262">
        <f t="shared" si="36"/>
        <v>0</v>
      </c>
      <c r="L204" s="1415"/>
      <c r="M204" s="1214"/>
      <c r="N204" s="1214"/>
      <c r="O204" s="1214"/>
      <c r="P204" s="1214"/>
    </row>
    <row r="205" spans="1:17" s="1199" customFormat="1" ht="24" customHeight="1">
      <c r="A205" s="1339"/>
      <c r="B205" s="1259" t="s">
        <v>1483</v>
      </c>
      <c r="C205" s="1202"/>
      <c r="D205" s="1202"/>
      <c r="E205" s="1404"/>
      <c r="F205" s="1267" t="s">
        <v>363</v>
      </c>
      <c r="G205" s="1386">
        <v>1860</v>
      </c>
      <c r="H205" s="1343">
        <f t="shared" si="34"/>
        <v>0</v>
      </c>
      <c r="I205" s="1414">
        <v>135</v>
      </c>
      <c r="J205" s="1343">
        <f t="shared" si="35"/>
        <v>0</v>
      </c>
      <c r="K205" s="1262">
        <f t="shared" si="36"/>
        <v>0</v>
      </c>
      <c r="L205" s="1415"/>
      <c r="M205" s="1214"/>
      <c r="N205" s="1214"/>
      <c r="O205" s="1214"/>
      <c r="P205" s="1214"/>
    </row>
    <row r="206" spans="1:17" s="1199" customFormat="1" ht="24" customHeight="1">
      <c r="A206" s="1339"/>
      <c r="B206" s="1259" t="s">
        <v>1484</v>
      </c>
      <c r="C206" s="1202"/>
      <c r="D206" s="1202"/>
      <c r="E206" s="1404"/>
      <c r="F206" s="1267" t="s">
        <v>363</v>
      </c>
      <c r="G206" s="1386">
        <v>1200</v>
      </c>
      <c r="H206" s="1343">
        <f t="shared" si="34"/>
        <v>0</v>
      </c>
      <c r="I206" s="1414">
        <v>135</v>
      </c>
      <c r="J206" s="1343">
        <f t="shared" si="35"/>
        <v>0</v>
      </c>
      <c r="K206" s="1262">
        <f t="shared" si="36"/>
        <v>0</v>
      </c>
      <c r="L206" s="1415"/>
      <c r="M206" s="1214"/>
      <c r="N206" s="1214"/>
      <c r="O206" s="1214"/>
      <c r="P206" s="1214"/>
    </row>
    <row r="207" spans="1:17" s="1199" customFormat="1" ht="24" customHeight="1">
      <c r="A207" s="1339"/>
      <c r="B207" s="1259" t="s">
        <v>1485</v>
      </c>
      <c r="C207" s="1202"/>
      <c r="D207" s="1202"/>
      <c r="E207" s="1404"/>
      <c r="F207" s="1267" t="s">
        <v>363</v>
      </c>
      <c r="G207" s="1386">
        <v>1200</v>
      </c>
      <c r="H207" s="1343">
        <f t="shared" si="34"/>
        <v>0</v>
      </c>
      <c r="I207" s="1414">
        <v>135</v>
      </c>
      <c r="J207" s="1343">
        <f t="shared" si="35"/>
        <v>0</v>
      </c>
      <c r="K207" s="1262">
        <f t="shared" si="36"/>
        <v>0</v>
      </c>
      <c r="L207" s="1415"/>
      <c r="M207" s="1214"/>
      <c r="N207" s="1214"/>
      <c r="O207" s="1214"/>
      <c r="P207" s="1214"/>
    </row>
    <row r="208" spans="1:17" s="1199" customFormat="1" ht="24" customHeight="1">
      <c r="A208" s="1339"/>
      <c r="B208" s="1259" t="s">
        <v>1486</v>
      </c>
      <c r="C208" s="1202"/>
      <c r="D208" s="1202"/>
      <c r="E208" s="1404"/>
      <c r="F208" s="1267" t="s">
        <v>363</v>
      </c>
      <c r="G208" s="1386">
        <v>1830</v>
      </c>
      <c r="H208" s="1343">
        <f t="shared" si="34"/>
        <v>0</v>
      </c>
      <c r="I208" s="1414">
        <v>500</v>
      </c>
      <c r="J208" s="1343">
        <f t="shared" si="35"/>
        <v>0</v>
      </c>
      <c r="K208" s="1262">
        <f t="shared" si="36"/>
        <v>0</v>
      </c>
      <c r="L208" s="1415"/>
      <c r="M208" s="1214"/>
      <c r="N208" s="1214"/>
      <c r="O208" s="1214"/>
      <c r="P208" s="1214"/>
      <c r="Q208" s="1214"/>
    </row>
    <row r="209" spans="1:18" s="1199" customFormat="1" ht="24" customHeight="1">
      <c r="A209" s="1339"/>
      <c r="B209" s="1259" t="s">
        <v>1487</v>
      </c>
      <c r="C209" s="1202"/>
      <c r="D209" s="1202"/>
      <c r="E209" s="1404">
        <v>4</v>
      </c>
      <c r="F209" s="1267" t="s">
        <v>363</v>
      </c>
      <c r="G209" s="1386">
        <v>1620</v>
      </c>
      <c r="H209" s="1343">
        <f t="shared" si="34"/>
        <v>6480</v>
      </c>
      <c r="I209" s="1414">
        <v>500</v>
      </c>
      <c r="J209" s="1343">
        <f t="shared" si="35"/>
        <v>2000</v>
      </c>
      <c r="K209" s="1262">
        <f t="shared" si="36"/>
        <v>8480</v>
      </c>
      <c r="L209" s="1415"/>
      <c r="M209" s="1214"/>
      <c r="N209" s="1214"/>
      <c r="O209" s="1214"/>
      <c r="P209" s="1214"/>
      <c r="Q209" s="1214"/>
    </row>
    <row r="210" spans="1:18" s="1199" customFormat="1" ht="24" customHeight="1">
      <c r="A210" s="1339"/>
      <c r="B210" s="1259" t="s">
        <v>1488</v>
      </c>
      <c r="C210" s="1202"/>
      <c r="D210" s="1202"/>
      <c r="E210" s="1404"/>
      <c r="F210" s="1267" t="s">
        <v>363</v>
      </c>
      <c r="G210" s="1386">
        <v>920</v>
      </c>
      <c r="H210" s="1343">
        <f t="shared" si="34"/>
        <v>0</v>
      </c>
      <c r="I210" s="1414">
        <v>250</v>
      </c>
      <c r="J210" s="1343">
        <f t="shared" si="35"/>
        <v>0</v>
      </c>
      <c r="K210" s="1262">
        <f t="shared" si="36"/>
        <v>0</v>
      </c>
      <c r="L210" s="1415"/>
      <c r="M210" s="1214"/>
      <c r="N210" s="1214"/>
      <c r="O210" s="1214"/>
      <c r="P210" s="1214"/>
      <c r="Q210" s="1214"/>
    </row>
    <row r="211" spans="1:18" s="1199" customFormat="1" ht="24" customHeight="1">
      <c r="A211" s="1339"/>
      <c r="B211" s="1259" t="s">
        <v>1489</v>
      </c>
      <c r="C211" s="1202"/>
      <c r="D211" s="1202"/>
      <c r="E211" s="1404"/>
      <c r="F211" s="1267" t="s">
        <v>363</v>
      </c>
      <c r="G211" s="1386">
        <v>2180</v>
      </c>
      <c r="H211" s="1343">
        <f t="shared" si="34"/>
        <v>0</v>
      </c>
      <c r="I211" s="1414">
        <v>500</v>
      </c>
      <c r="J211" s="1343">
        <f t="shared" si="35"/>
        <v>0</v>
      </c>
      <c r="K211" s="1262">
        <f t="shared" si="36"/>
        <v>0</v>
      </c>
      <c r="L211" s="1415"/>
      <c r="M211" s="1214"/>
      <c r="N211" s="1214"/>
      <c r="O211" s="1214"/>
      <c r="P211" s="1214"/>
    </row>
    <row r="212" spans="1:18" s="1199" customFormat="1" ht="24" customHeight="1">
      <c r="A212" s="1339"/>
      <c r="B212" s="1259" t="s">
        <v>1602</v>
      </c>
      <c r="C212" s="1202"/>
      <c r="D212" s="1202"/>
      <c r="E212" s="1404">
        <v>1</v>
      </c>
      <c r="F212" s="1267" t="s">
        <v>1104</v>
      </c>
      <c r="G212" s="1386">
        <f>SUM(H188:H210)*5%</f>
        <v>676</v>
      </c>
      <c r="H212" s="1343">
        <f t="shared" si="34"/>
        <v>676</v>
      </c>
      <c r="I212" s="1414">
        <f>ROUND(G212*0.3,)</f>
        <v>203</v>
      </c>
      <c r="J212" s="1343">
        <f t="shared" si="35"/>
        <v>203</v>
      </c>
      <c r="K212" s="1262">
        <f t="shared" si="36"/>
        <v>879</v>
      </c>
      <c r="L212" s="1415"/>
      <c r="M212" s="1214"/>
      <c r="N212" s="1214"/>
      <c r="O212" s="1214"/>
      <c r="P212" s="1214"/>
      <c r="Q212" s="1214"/>
    </row>
    <row r="213" spans="1:18" s="1199" customFormat="1" ht="24" customHeight="1">
      <c r="A213" s="1331"/>
      <c r="B213" s="2174" t="s">
        <v>1117</v>
      </c>
      <c r="C213" s="1202"/>
      <c r="D213" s="1202"/>
      <c r="E213" s="1387"/>
      <c r="F213" s="1207"/>
      <c r="G213" s="2176"/>
      <c r="H213" s="1388"/>
      <c r="I213" s="2177"/>
      <c r="J213" s="1385"/>
      <c r="K213" s="1385"/>
      <c r="L213" s="1385"/>
      <c r="M213" s="1214"/>
      <c r="N213" s="1214"/>
      <c r="O213" s="1214"/>
      <c r="P213" s="1214"/>
      <c r="Q213" s="1214"/>
      <c r="R213" s="1214"/>
    </row>
    <row r="214" spans="1:18" s="1199" customFormat="1" ht="24" customHeight="1">
      <c r="A214" s="1331"/>
      <c r="B214" s="2174" t="s">
        <v>1369</v>
      </c>
      <c r="C214" s="1202"/>
      <c r="D214" s="1202"/>
      <c r="E214" s="1387"/>
      <c r="F214" s="1207"/>
      <c r="G214" s="2176"/>
      <c r="H214" s="1388"/>
      <c r="I214" s="2177"/>
      <c r="J214" s="1385"/>
      <c r="K214" s="1385"/>
      <c r="L214" s="1385"/>
      <c r="M214" s="1214"/>
      <c r="N214" s="1214"/>
      <c r="O214" s="1214"/>
      <c r="P214" s="1214"/>
      <c r="Q214" s="1214"/>
      <c r="R214" s="1214"/>
    </row>
    <row r="215" spans="1:18" s="1199" customFormat="1" ht="24" customHeight="1">
      <c r="A215" s="1331"/>
      <c r="B215" s="2174" t="s">
        <v>1369</v>
      </c>
      <c r="C215" s="1202"/>
      <c r="D215" s="1202"/>
      <c r="E215" s="1387"/>
      <c r="F215" s="1384"/>
      <c r="G215" s="2176"/>
      <c r="H215" s="1388"/>
      <c r="I215" s="2177"/>
      <c r="J215" s="1385"/>
      <c r="K215" s="1385"/>
      <c r="L215" s="1385"/>
      <c r="M215" s="1214"/>
      <c r="N215" s="1214"/>
      <c r="O215" s="1214"/>
      <c r="P215" s="1214"/>
      <c r="Q215" s="1214"/>
      <c r="R215" s="1214"/>
    </row>
    <row r="216" spans="1:18" s="1199" customFormat="1" ht="24" customHeight="1">
      <c r="A216" s="1243"/>
      <c r="B216" s="2257" t="str">
        <f>"รวมราคารายการที่ "&amp;A188</f>
        <v>รวมราคารายการที่ 3.7</v>
      </c>
      <c r="C216" s="2258"/>
      <c r="D216" s="2259"/>
      <c r="E216" s="1244"/>
      <c r="F216" s="1245"/>
      <c r="G216" s="1246"/>
      <c r="H216" s="1247">
        <f>SUM(H188:H214)</f>
        <v>14196</v>
      </c>
      <c r="I216" s="1246"/>
      <c r="J216" s="1247">
        <f>SUM(J188:J214)</f>
        <v>4043</v>
      </c>
      <c r="K216" s="1247">
        <f>SUM(K188:K214)</f>
        <v>18239</v>
      </c>
      <c r="L216" s="1245"/>
      <c r="M216" s="1214"/>
      <c r="N216" s="1214"/>
      <c r="O216" s="1214"/>
      <c r="P216" s="1214"/>
      <c r="Q216" s="1214"/>
      <c r="R216" s="1214"/>
    </row>
    <row r="217" spans="1:18" s="1199" customFormat="1" ht="24" customHeight="1">
      <c r="A217" s="1435">
        <v>3.8</v>
      </c>
      <c r="B217" s="1436" t="s">
        <v>1371</v>
      </c>
      <c r="C217" s="1202"/>
      <c r="D217" s="1202"/>
      <c r="E217" s="1387"/>
      <c r="F217" s="1384"/>
      <c r="G217" s="2176"/>
      <c r="H217" s="1388"/>
      <c r="I217" s="2177"/>
      <c r="J217" s="1385"/>
      <c r="K217" s="1385"/>
      <c r="L217" s="1385"/>
      <c r="M217" s="1214"/>
      <c r="N217" s="1214"/>
      <c r="O217" s="1214"/>
      <c r="P217" s="1214"/>
      <c r="Q217" s="1214"/>
      <c r="R217" s="1214"/>
    </row>
    <row r="218" spans="1:18" s="1199" customFormat="1" ht="24" customHeight="1">
      <c r="A218" s="1406" t="s">
        <v>1292</v>
      </c>
      <c r="B218" s="2174" t="s">
        <v>1491</v>
      </c>
      <c r="C218" s="1202"/>
      <c r="D218" s="1202"/>
      <c r="E218" s="1387">
        <v>2</v>
      </c>
      <c r="F218" s="1207" t="s">
        <v>363</v>
      </c>
      <c r="G218" s="2176">
        <f>30000+13500</f>
        <v>43500</v>
      </c>
      <c r="H218" s="1264">
        <f t="shared" ref="H218:H243" si="37">ROUND(E218*G218,)</f>
        <v>87000</v>
      </c>
      <c r="I218" s="2177">
        <f>G218*0.1</f>
        <v>4350</v>
      </c>
      <c r="J218" s="1264">
        <f t="shared" ref="J218:J252" si="38">ROUND(E218*I218,)</f>
        <v>8700</v>
      </c>
      <c r="K218" s="1273">
        <f t="shared" ref="K218:K252" si="39">H218+J218</f>
        <v>95700</v>
      </c>
      <c r="L218" s="1385"/>
      <c r="M218" s="1214"/>
      <c r="N218" s="1214"/>
      <c r="O218" s="1214"/>
      <c r="P218" s="1214"/>
      <c r="Q218" s="1214"/>
      <c r="R218" s="1214"/>
    </row>
    <row r="219" spans="1:18" s="1199" customFormat="1" ht="24" customHeight="1">
      <c r="A219" s="1406" t="s">
        <v>1299</v>
      </c>
      <c r="B219" s="2174" t="s">
        <v>1492</v>
      </c>
      <c r="C219" s="1202"/>
      <c r="D219" s="1202"/>
      <c r="E219" s="1387">
        <v>6</v>
      </c>
      <c r="F219" s="1207" t="s">
        <v>363</v>
      </c>
      <c r="G219" s="2176">
        <v>1850</v>
      </c>
      <c r="H219" s="1264">
        <f t="shared" si="37"/>
        <v>11100</v>
      </c>
      <c r="I219" s="2177">
        <v>250</v>
      </c>
      <c r="J219" s="1264">
        <f t="shared" si="38"/>
        <v>1500</v>
      </c>
      <c r="K219" s="1273">
        <f t="shared" si="39"/>
        <v>12600</v>
      </c>
      <c r="L219" s="1385"/>
      <c r="M219" s="1214"/>
      <c r="N219" s="1214"/>
      <c r="O219" s="1214"/>
      <c r="P219" s="1214"/>
      <c r="Q219" s="1214"/>
      <c r="R219" s="1214"/>
    </row>
    <row r="220" spans="1:18" s="1199" customFormat="1" ht="24" customHeight="1">
      <c r="A220" s="1406" t="s">
        <v>1301</v>
      </c>
      <c r="B220" s="2174" t="s">
        <v>1493</v>
      </c>
      <c r="C220" s="1202"/>
      <c r="D220" s="1202"/>
      <c r="E220" s="1387">
        <v>6</v>
      </c>
      <c r="F220" s="1207" t="s">
        <v>363</v>
      </c>
      <c r="G220" s="2176">
        <v>1850</v>
      </c>
      <c r="H220" s="1264">
        <f t="shared" si="37"/>
        <v>11100</v>
      </c>
      <c r="I220" s="2177">
        <v>250</v>
      </c>
      <c r="J220" s="1264">
        <f t="shared" si="38"/>
        <v>1500</v>
      </c>
      <c r="K220" s="1273">
        <f t="shared" si="39"/>
        <v>12600</v>
      </c>
      <c r="L220" s="1385"/>
      <c r="M220" s="1214"/>
      <c r="N220" s="1214"/>
      <c r="O220" s="1214"/>
      <c r="P220" s="1214"/>
      <c r="Q220" s="1214"/>
      <c r="R220" s="1214"/>
    </row>
    <row r="221" spans="1:18" s="1199" customFormat="1" ht="24" customHeight="1">
      <c r="A221" s="1406" t="s">
        <v>1309</v>
      </c>
      <c r="B221" s="2174" t="s">
        <v>1494</v>
      </c>
      <c r="C221" s="1202"/>
      <c r="D221" s="1202"/>
      <c r="E221" s="1387">
        <v>4</v>
      </c>
      <c r="F221" s="1207" t="s">
        <v>363</v>
      </c>
      <c r="G221" s="2176">
        <v>1850</v>
      </c>
      <c r="H221" s="1264">
        <f t="shared" si="37"/>
        <v>7400</v>
      </c>
      <c r="I221" s="2177">
        <v>250</v>
      </c>
      <c r="J221" s="1264">
        <f t="shared" si="38"/>
        <v>1000</v>
      </c>
      <c r="K221" s="1273">
        <f t="shared" si="39"/>
        <v>8400</v>
      </c>
      <c r="L221" s="1385"/>
      <c r="M221" s="1214"/>
      <c r="N221" s="1214"/>
      <c r="O221" s="1214"/>
      <c r="P221" s="1214"/>
      <c r="Q221" s="1214"/>
      <c r="R221" s="1214"/>
    </row>
    <row r="222" spans="1:18" s="1199" customFormat="1" ht="24" customHeight="1">
      <c r="A222" s="1406" t="s">
        <v>1533</v>
      </c>
      <c r="B222" s="2174" t="s">
        <v>1495</v>
      </c>
      <c r="C222" s="1202"/>
      <c r="D222" s="1202"/>
      <c r="E222" s="1387">
        <v>4</v>
      </c>
      <c r="F222" s="1207" t="s">
        <v>363</v>
      </c>
      <c r="G222" s="2176">
        <v>1850</v>
      </c>
      <c r="H222" s="1264">
        <f t="shared" si="37"/>
        <v>7400</v>
      </c>
      <c r="I222" s="2177">
        <v>250</v>
      </c>
      <c r="J222" s="1264">
        <f t="shared" si="38"/>
        <v>1000</v>
      </c>
      <c r="K222" s="1273">
        <f t="shared" si="39"/>
        <v>8400</v>
      </c>
      <c r="L222" s="1385"/>
      <c r="M222" s="1214"/>
      <c r="N222" s="1214"/>
      <c r="O222" s="1214"/>
      <c r="P222" s="1214"/>
      <c r="Q222" s="1214"/>
      <c r="R222" s="1214"/>
    </row>
    <row r="223" spans="1:18" s="1199" customFormat="1" ht="24" customHeight="1">
      <c r="A223" s="1406" t="s">
        <v>1536</v>
      </c>
      <c r="B223" s="2174" t="s">
        <v>1496</v>
      </c>
      <c r="C223" s="1202"/>
      <c r="D223" s="1202"/>
      <c r="E223" s="1387"/>
      <c r="F223" s="1207" t="s">
        <v>363</v>
      </c>
      <c r="G223" s="2176">
        <v>1850</v>
      </c>
      <c r="H223" s="1264">
        <f t="shared" si="37"/>
        <v>0</v>
      </c>
      <c r="I223" s="2177">
        <v>250</v>
      </c>
      <c r="J223" s="1264">
        <f t="shared" si="38"/>
        <v>0</v>
      </c>
      <c r="K223" s="1273">
        <f t="shared" si="39"/>
        <v>0</v>
      </c>
      <c r="L223" s="1385"/>
      <c r="M223" s="1214"/>
      <c r="N223" s="1214"/>
      <c r="O223" s="1214"/>
      <c r="P223" s="1214"/>
      <c r="Q223" s="1214"/>
      <c r="R223" s="1214"/>
    </row>
    <row r="224" spans="1:18" s="1199" customFormat="1" ht="24" customHeight="1">
      <c r="A224" s="1406" t="s">
        <v>1537</v>
      </c>
      <c r="B224" s="2174" t="s">
        <v>1497</v>
      </c>
      <c r="C224" s="1202"/>
      <c r="D224" s="1202"/>
      <c r="E224" s="1387">
        <v>2</v>
      </c>
      <c r="F224" s="1207" t="s">
        <v>363</v>
      </c>
      <c r="G224" s="2176">
        <v>2750</v>
      </c>
      <c r="H224" s="1264">
        <f t="shared" si="37"/>
        <v>5500</v>
      </c>
      <c r="I224" s="2177">
        <v>250</v>
      </c>
      <c r="J224" s="1264">
        <f t="shared" si="38"/>
        <v>500</v>
      </c>
      <c r="K224" s="1273">
        <f t="shared" si="39"/>
        <v>6000</v>
      </c>
      <c r="L224" s="1385"/>
      <c r="M224" s="1214"/>
      <c r="N224" s="1214"/>
      <c r="O224" s="1214"/>
      <c r="P224" s="1214"/>
      <c r="Q224" s="1214"/>
      <c r="R224" s="1214"/>
    </row>
    <row r="225" spans="1:18" s="1199" customFormat="1" ht="24" customHeight="1">
      <c r="A225" s="1406" t="s">
        <v>1538</v>
      </c>
      <c r="B225" s="2174" t="s">
        <v>1498</v>
      </c>
      <c r="C225" s="1202"/>
      <c r="D225" s="1202"/>
      <c r="E225" s="1387">
        <v>2</v>
      </c>
      <c r="F225" s="1207" t="s">
        <v>363</v>
      </c>
      <c r="G225" s="2176">
        <v>2750</v>
      </c>
      <c r="H225" s="1264">
        <f t="shared" si="37"/>
        <v>5500</v>
      </c>
      <c r="I225" s="2177">
        <v>250</v>
      </c>
      <c r="J225" s="1264">
        <f t="shared" si="38"/>
        <v>500</v>
      </c>
      <c r="K225" s="1273">
        <f t="shared" si="39"/>
        <v>6000</v>
      </c>
      <c r="L225" s="1385"/>
      <c r="M225" s="1214"/>
      <c r="N225" s="1214"/>
      <c r="O225" s="1214"/>
      <c r="P225" s="1214"/>
      <c r="Q225" s="1214"/>
      <c r="R225" s="1214"/>
    </row>
    <row r="226" spans="1:18" s="1199" customFormat="1" ht="24" customHeight="1">
      <c r="A226" s="1406" t="s">
        <v>2900</v>
      </c>
      <c r="B226" s="2174" t="s">
        <v>1500</v>
      </c>
      <c r="C226" s="1202"/>
      <c r="D226" s="1202"/>
      <c r="E226" s="1387">
        <v>2</v>
      </c>
      <c r="F226" s="1207" t="s">
        <v>363</v>
      </c>
      <c r="G226" s="2176">
        <v>2750</v>
      </c>
      <c r="H226" s="1264">
        <f t="shared" si="37"/>
        <v>5500</v>
      </c>
      <c r="I226" s="2177">
        <v>250</v>
      </c>
      <c r="J226" s="1264">
        <f t="shared" si="38"/>
        <v>500</v>
      </c>
      <c r="K226" s="1273">
        <f t="shared" si="39"/>
        <v>6000</v>
      </c>
      <c r="L226" s="1385"/>
      <c r="M226" s="1214"/>
      <c r="N226" s="1214"/>
      <c r="O226" s="1214"/>
      <c r="P226" s="1214"/>
      <c r="Q226" s="1214"/>
      <c r="R226" s="1214"/>
    </row>
    <row r="227" spans="1:18" s="1199" customFormat="1" ht="24" customHeight="1">
      <c r="A227" s="1406" t="s">
        <v>2901</v>
      </c>
      <c r="B227" s="2174" t="s">
        <v>1603</v>
      </c>
      <c r="C227" s="1202"/>
      <c r="D227" s="1202"/>
      <c r="E227" s="1387">
        <v>2</v>
      </c>
      <c r="F227" s="1207" t="s">
        <v>363</v>
      </c>
      <c r="G227" s="2176">
        <v>2750</v>
      </c>
      <c r="H227" s="1264">
        <f t="shared" si="37"/>
        <v>5500</v>
      </c>
      <c r="I227" s="2177">
        <v>250</v>
      </c>
      <c r="J227" s="1264">
        <f t="shared" si="38"/>
        <v>500</v>
      </c>
      <c r="K227" s="1273">
        <f t="shared" si="39"/>
        <v>6000</v>
      </c>
      <c r="L227" s="1385"/>
      <c r="M227" s="1214"/>
      <c r="N227" s="1214"/>
      <c r="O227" s="1214"/>
      <c r="P227" s="1214"/>
      <c r="Q227" s="1214"/>
    </row>
    <row r="228" spans="1:18" s="1199" customFormat="1" ht="24" customHeight="1">
      <c r="A228" s="1406" t="s">
        <v>2902</v>
      </c>
      <c r="B228" s="2174" t="s">
        <v>1502</v>
      </c>
      <c r="C228" s="1202"/>
      <c r="D228" s="1202"/>
      <c r="E228" s="1387">
        <v>2</v>
      </c>
      <c r="F228" s="1207" t="s">
        <v>363</v>
      </c>
      <c r="G228" s="2176">
        <v>2750</v>
      </c>
      <c r="H228" s="1264">
        <f t="shared" si="37"/>
        <v>5500</v>
      </c>
      <c r="I228" s="2177">
        <v>250</v>
      </c>
      <c r="J228" s="1264">
        <f t="shared" si="38"/>
        <v>500</v>
      </c>
      <c r="K228" s="1273">
        <f t="shared" si="39"/>
        <v>6000</v>
      </c>
      <c r="L228" s="1385"/>
      <c r="M228" s="1214"/>
      <c r="N228" s="1214"/>
      <c r="O228" s="1214"/>
      <c r="P228" s="1214"/>
      <c r="Q228" s="1214"/>
      <c r="R228" s="1214"/>
    </row>
    <row r="229" spans="1:18" s="1199" customFormat="1" ht="24" customHeight="1">
      <c r="A229" s="1406" t="s">
        <v>2903</v>
      </c>
      <c r="B229" s="2174" t="s">
        <v>1504</v>
      </c>
      <c r="C229" s="1202"/>
      <c r="D229" s="1202"/>
      <c r="E229" s="1387">
        <v>2</v>
      </c>
      <c r="F229" s="1207" t="s">
        <v>363</v>
      </c>
      <c r="G229" s="2176">
        <v>2750</v>
      </c>
      <c r="H229" s="1264">
        <f t="shared" si="37"/>
        <v>5500</v>
      </c>
      <c r="I229" s="2177">
        <v>250</v>
      </c>
      <c r="J229" s="1264">
        <f t="shared" si="38"/>
        <v>500</v>
      </c>
      <c r="K229" s="1273">
        <f t="shared" si="39"/>
        <v>6000</v>
      </c>
      <c r="L229" s="1385"/>
      <c r="M229" s="1214"/>
      <c r="N229" s="1214"/>
      <c r="O229" s="1214"/>
      <c r="P229" s="1214"/>
      <c r="Q229" s="1214"/>
      <c r="R229" s="1214"/>
    </row>
    <row r="230" spans="1:18" s="1199" customFormat="1" ht="24" customHeight="1">
      <c r="A230" s="1406" t="s">
        <v>2904</v>
      </c>
      <c r="B230" s="2174" t="s">
        <v>1506</v>
      </c>
      <c r="C230" s="1202"/>
      <c r="D230" s="1202"/>
      <c r="E230" s="1387">
        <v>2</v>
      </c>
      <c r="F230" s="1207" t="s">
        <v>363</v>
      </c>
      <c r="G230" s="2176">
        <v>2750</v>
      </c>
      <c r="H230" s="1264">
        <f t="shared" si="37"/>
        <v>5500</v>
      </c>
      <c r="I230" s="2177">
        <v>250</v>
      </c>
      <c r="J230" s="1264">
        <f t="shared" si="38"/>
        <v>500</v>
      </c>
      <c r="K230" s="1273">
        <f t="shared" si="39"/>
        <v>6000</v>
      </c>
      <c r="L230" s="1385"/>
      <c r="M230" s="1214"/>
      <c r="N230" s="1214"/>
      <c r="O230" s="1214"/>
      <c r="P230" s="1214"/>
      <c r="Q230" s="1214"/>
      <c r="R230" s="1214"/>
    </row>
    <row r="231" spans="1:18" s="1199" customFormat="1" ht="24" customHeight="1">
      <c r="A231" s="1406" t="s">
        <v>2905</v>
      </c>
      <c r="B231" s="2174" t="s">
        <v>1508</v>
      </c>
      <c r="C231" s="1202"/>
      <c r="D231" s="1202"/>
      <c r="E231" s="1387">
        <v>4</v>
      </c>
      <c r="F231" s="1207" t="s">
        <v>363</v>
      </c>
      <c r="G231" s="2176">
        <v>2250</v>
      </c>
      <c r="H231" s="1264">
        <f t="shared" si="37"/>
        <v>9000</v>
      </c>
      <c r="I231" s="2177">
        <v>250</v>
      </c>
      <c r="J231" s="1264">
        <f t="shared" si="38"/>
        <v>1000</v>
      </c>
      <c r="K231" s="1273">
        <f t="shared" si="39"/>
        <v>10000</v>
      </c>
      <c r="L231" s="1385"/>
      <c r="M231" s="1214"/>
      <c r="N231" s="1214"/>
      <c r="O231" s="1214"/>
      <c r="P231" s="1214"/>
      <c r="Q231" s="1214"/>
      <c r="R231" s="1214"/>
    </row>
    <row r="232" spans="1:18" s="1199" customFormat="1" ht="24" customHeight="1">
      <c r="A232" s="1406" t="s">
        <v>2906</v>
      </c>
      <c r="B232" s="2174" t="s">
        <v>1510</v>
      </c>
      <c r="C232" s="1202"/>
      <c r="D232" s="1202"/>
      <c r="E232" s="1387">
        <v>193</v>
      </c>
      <c r="F232" s="1207" t="s">
        <v>363</v>
      </c>
      <c r="G232" s="2176">
        <f>3300+300</f>
        <v>3600</v>
      </c>
      <c r="H232" s="1264">
        <f t="shared" si="37"/>
        <v>694800</v>
      </c>
      <c r="I232" s="2177">
        <v>200</v>
      </c>
      <c r="J232" s="1264">
        <f t="shared" si="38"/>
        <v>38600</v>
      </c>
      <c r="K232" s="1273">
        <f t="shared" si="39"/>
        <v>733400</v>
      </c>
      <c r="L232" s="1385"/>
      <c r="M232" s="1214"/>
      <c r="N232" s="1214"/>
      <c r="O232" s="1214"/>
      <c r="P232" s="1214"/>
      <c r="Q232" s="1214"/>
      <c r="R232" s="1214"/>
    </row>
    <row r="233" spans="1:18" s="1199" customFormat="1" ht="24" customHeight="1">
      <c r="A233" s="1406" t="s">
        <v>2907</v>
      </c>
      <c r="B233" s="2174" t="s">
        <v>1512</v>
      </c>
      <c r="C233" s="1202"/>
      <c r="D233" s="1202"/>
      <c r="E233" s="1387">
        <v>10</v>
      </c>
      <c r="F233" s="1207" t="s">
        <v>363</v>
      </c>
      <c r="G233" s="2176">
        <v>5000</v>
      </c>
      <c r="H233" s="1264">
        <f t="shared" si="37"/>
        <v>50000</v>
      </c>
      <c r="I233" s="2177">
        <v>500</v>
      </c>
      <c r="J233" s="1264">
        <f t="shared" si="38"/>
        <v>5000</v>
      </c>
      <c r="K233" s="1273">
        <f t="shared" si="39"/>
        <v>55000</v>
      </c>
      <c r="L233" s="1385"/>
      <c r="M233" s="1214"/>
      <c r="N233" s="1214"/>
      <c r="O233" s="1214"/>
      <c r="P233" s="1214"/>
      <c r="Q233" s="1214"/>
      <c r="R233" s="1214"/>
    </row>
    <row r="234" spans="1:18" s="1199" customFormat="1" ht="24" customHeight="1">
      <c r="A234" s="1406" t="s">
        <v>2908</v>
      </c>
      <c r="B234" s="2174" t="s">
        <v>1514</v>
      </c>
      <c r="C234" s="1202"/>
      <c r="D234" s="1202"/>
      <c r="E234" s="1387">
        <v>7</v>
      </c>
      <c r="F234" s="1207" t="s">
        <v>363</v>
      </c>
      <c r="G234" s="2176">
        <v>350</v>
      </c>
      <c r="H234" s="1264">
        <f t="shared" si="37"/>
        <v>2450</v>
      </c>
      <c r="I234" s="2177">
        <v>200</v>
      </c>
      <c r="J234" s="1264">
        <f t="shared" si="38"/>
        <v>1400</v>
      </c>
      <c r="K234" s="1273">
        <f t="shared" si="39"/>
        <v>3850</v>
      </c>
      <c r="L234" s="1385"/>
      <c r="M234" s="1214"/>
      <c r="N234" s="1214"/>
      <c r="O234" s="1214"/>
      <c r="P234" s="1214"/>
      <c r="Q234" s="1214"/>
      <c r="R234" s="1214"/>
    </row>
    <row r="235" spans="1:18" s="1199" customFormat="1" ht="24" customHeight="1">
      <c r="A235" s="1406" t="s">
        <v>2909</v>
      </c>
      <c r="B235" s="2174" t="s">
        <v>1516</v>
      </c>
      <c r="C235" s="1202"/>
      <c r="D235" s="1202"/>
      <c r="E235" s="1387">
        <v>7</v>
      </c>
      <c r="F235" s="1207" t="s">
        <v>363</v>
      </c>
      <c r="G235" s="2176">
        <v>2200</v>
      </c>
      <c r="H235" s="1264">
        <f t="shared" si="37"/>
        <v>15400</v>
      </c>
      <c r="I235" s="2177">
        <v>200</v>
      </c>
      <c r="J235" s="1264">
        <f t="shared" si="38"/>
        <v>1400</v>
      </c>
      <c r="K235" s="1273">
        <f t="shared" si="39"/>
        <v>16800</v>
      </c>
      <c r="L235" s="1385"/>
      <c r="M235" s="1214"/>
      <c r="N235" s="1214"/>
      <c r="O235" s="1214"/>
      <c r="P235" s="1214"/>
      <c r="Q235" s="1214"/>
      <c r="R235" s="1214"/>
    </row>
    <row r="236" spans="1:18" s="1199" customFormat="1" ht="24" customHeight="1">
      <c r="A236" s="1406" t="s">
        <v>2910</v>
      </c>
      <c r="B236" s="2174" t="s">
        <v>1518</v>
      </c>
      <c r="C236" s="1202"/>
      <c r="D236" s="1202"/>
      <c r="E236" s="1387">
        <v>21</v>
      </c>
      <c r="F236" s="1207" t="s">
        <v>363</v>
      </c>
      <c r="G236" s="2176">
        <v>4200</v>
      </c>
      <c r="H236" s="1264">
        <f t="shared" si="37"/>
        <v>88200</v>
      </c>
      <c r="I236" s="2177">
        <v>200</v>
      </c>
      <c r="J236" s="1264">
        <f t="shared" si="38"/>
        <v>4200</v>
      </c>
      <c r="K236" s="1273">
        <f t="shared" si="39"/>
        <v>92400</v>
      </c>
      <c r="L236" s="1385"/>
      <c r="M236" s="1214"/>
      <c r="N236" s="1214"/>
      <c r="O236" s="1214"/>
      <c r="P236" s="1214"/>
      <c r="Q236" s="1214"/>
      <c r="R236" s="1214"/>
    </row>
    <row r="237" spans="1:18" s="1199" customFormat="1" ht="24" customHeight="1">
      <c r="A237" s="1406" t="s">
        <v>2911</v>
      </c>
      <c r="B237" s="2174" t="s">
        <v>1604</v>
      </c>
      <c r="C237" s="1202"/>
      <c r="D237" s="1202"/>
      <c r="E237" s="1387">
        <v>2</v>
      </c>
      <c r="F237" s="1207" t="s">
        <v>363</v>
      </c>
      <c r="G237" s="2176">
        <v>4785</v>
      </c>
      <c r="H237" s="1264">
        <f t="shared" si="37"/>
        <v>9570</v>
      </c>
      <c r="I237" s="2177">
        <v>100</v>
      </c>
      <c r="J237" s="1264">
        <f t="shared" si="38"/>
        <v>200</v>
      </c>
      <c r="K237" s="1273">
        <f t="shared" si="39"/>
        <v>9770</v>
      </c>
      <c r="L237" s="1385"/>
      <c r="M237" s="1214"/>
      <c r="N237" s="1214"/>
      <c r="O237" s="1214"/>
      <c r="P237" s="1214"/>
      <c r="Q237" s="1214"/>
    </row>
    <row r="238" spans="1:18" s="1199" customFormat="1" ht="24" customHeight="1">
      <c r="A238" s="1406" t="s">
        <v>2912</v>
      </c>
      <c r="B238" s="2174" t="s">
        <v>1521</v>
      </c>
      <c r="C238" s="1202"/>
      <c r="D238" s="1202"/>
      <c r="E238" s="1387">
        <v>2</v>
      </c>
      <c r="F238" s="1207" t="s">
        <v>363</v>
      </c>
      <c r="G238" s="2176">
        <v>5000</v>
      </c>
      <c r="H238" s="1264">
        <f t="shared" si="37"/>
        <v>10000</v>
      </c>
      <c r="I238" s="2177">
        <v>500</v>
      </c>
      <c r="J238" s="1264">
        <f t="shared" si="38"/>
        <v>1000</v>
      </c>
      <c r="K238" s="1273">
        <f t="shared" si="39"/>
        <v>11000</v>
      </c>
      <c r="L238" s="1385"/>
      <c r="M238" s="1214"/>
      <c r="N238" s="1214"/>
      <c r="O238" s="1214"/>
      <c r="P238" s="1214"/>
      <c r="Q238" s="1214"/>
      <c r="R238" s="1214"/>
    </row>
    <row r="239" spans="1:18" s="1199" customFormat="1" ht="24" customHeight="1">
      <c r="A239" s="1406" t="s">
        <v>2913</v>
      </c>
      <c r="B239" s="2174" t="s">
        <v>1312</v>
      </c>
      <c r="C239" s="1202"/>
      <c r="D239" s="1202"/>
      <c r="E239" s="1387"/>
      <c r="F239" s="1384"/>
      <c r="G239" s="2176"/>
      <c r="H239" s="1264">
        <f t="shared" si="37"/>
        <v>0</v>
      </c>
      <c r="I239" s="2177"/>
      <c r="J239" s="1264">
        <f t="shared" si="38"/>
        <v>0</v>
      </c>
      <c r="K239" s="1273">
        <f t="shared" si="39"/>
        <v>0</v>
      </c>
      <c r="L239" s="1385"/>
      <c r="M239" s="1214"/>
      <c r="N239" s="1214"/>
      <c r="O239" s="1214"/>
      <c r="P239" s="1214"/>
      <c r="Q239" s="1214"/>
      <c r="R239" s="1214"/>
    </row>
    <row r="240" spans="1:18" s="1199" customFormat="1" ht="24" customHeight="1">
      <c r="A240" s="1331"/>
      <c r="B240" s="2174" t="s">
        <v>1523</v>
      </c>
      <c r="C240" s="1202"/>
      <c r="D240" s="1202"/>
      <c r="E240" s="1404">
        <v>1680</v>
      </c>
      <c r="F240" s="1358" t="s">
        <v>226</v>
      </c>
      <c r="G240" s="2176">
        <v>82</v>
      </c>
      <c r="H240" s="1264">
        <f t="shared" si="37"/>
        <v>137760</v>
      </c>
      <c r="I240" s="2177">
        <v>12</v>
      </c>
      <c r="J240" s="1264">
        <f t="shared" si="38"/>
        <v>20160</v>
      </c>
      <c r="K240" s="1273">
        <f t="shared" si="39"/>
        <v>157920</v>
      </c>
      <c r="L240" s="1385"/>
      <c r="M240" s="1214"/>
      <c r="N240" s="1214"/>
      <c r="O240" s="1214"/>
      <c r="P240" s="1214"/>
      <c r="Q240" s="1214"/>
      <c r="R240" s="1214"/>
    </row>
    <row r="241" spans="1:18" s="1199" customFormat="1" ht="24" customHeight="1">
      <c r="A241" s="1331"/>
      <c r="B241" s="2174" t="s">
        <v>2553</v>
      </c>
      <c r="C241" s="1202"/>
      <c r="D241" s="1202"/>
      <c r="E241" s="1404">
        <v>2400</v>
      </c>
      <c r="F241" s="1358" t="s">
        <v>226</v>
      </c>
      <c r="G241" s="2176">
        <v>6</v>
      </c>
      <c r="H241" s="1264">
        <f t="shared" si="37"/>
        <v>14400</v>
      </c>
      <c r="I241" s="2177">
        <v>6</v>
      </c>
      <c r="J241" s="1264">
        <f t="shared" si="38"/>
        <v>14400</v>
      </c>
      <c r="K241" s="1273">
        <f t="shared" si="39"/>
        <v>28800</v>
      </c>
      <c r="L241" s="1385"/>
      <c r="M241" s="1214"/>
      <c r="N241" s="1214"/>
      <c r="O241" s="1214"/>
      <c r="P241" s="1214"/>
      <c r="Q241" s="1214"/>
      <c r="R241" s="1214"/>
    </row>
    <row r="242" spans="1:18" s="1199" customFormat="1" ht="24" customHeight="1">
      <c r="A242" s="1331"/>
      <c r="B242" s="2174" t="s">
        <v>1524</v>
      </c>
      <c r="C242" s="1202"/>
      <c r="D242" s="1202"/>
      <c r="E242" s="1404">
        <v>1576</v>
      </c>
      <c r="F242" s="1358" t="s">
        <v>226</v>
      </c>
      <c r="G242" s="2176">
        <v>18</v>
      </c>
      <c r="H242" s="1264">
        <f t="shared" si="37"/>
        <v>28368</v>
      </c>
      <c r="I242" s="2177">
        <v>8</v>
      </c>
      <c r="J242" s="1264">
        <f t="shared" si="38"/>
        <v>12608</v>
      </c>
      <c r="K242" s="1273">
        <f t="shared" si="39"/>
        <v>40976</v>
      </c>
      <c r="L242" s="1385"/>
      <c r="M242" s="1214"/>
      <c r="N242" s="1214"/>
      <c r="O242" s="1214"/>
      <c r="P242" s="1214"/>
      <c r="Q242" s="1214"/>
      <c r="R242" s="1214"/>
    </row>
    <row r="243" spans="1:18" s="1199" customFormat="1" ht="24" customHeight="1">
      <c r="A243" s="1331"/>
      <c r="B243" s="2174" t="s">
        <v>1525</v>
      </c>
      <c r="C243" s="1202"/>
      <c r="D243" s="1202"/>
      <c r="E243" s="1404">
        <v>1</v>
      </c>
      <c r="F243" s="1384" t="s">
        <v>1104</v>
      </c>
      <c r="G243" s="2176">
        <f>ROUND(SUM(H240:H242)*5%,)</f>
        <v>9026</v>
      </c>
      <c r="H243" s="1264">
        <f t="shared" si="37"/>
        <v>9026</v>
      </c>
      <c r="I243" s="1265">
        <f>ROUND(G243*0.3,)</f>
        <v>2708</v>
      </c>
      <c r="J243" s="1264">
        <f t="shared" si="38"/>
        <v>2708</v>
      </c>
      <c r="K243" s="1273">
        <f t="shared" si="39"/>
        <v>11734</v>
      </c>
      <c r="L243" s="1385"/>
      <c r="M243" s="1214"/>
      <c r="N243" s="1214"/>
      <c r="O243" s="1214"/>
      <c r="P243" s="1214"/>
      <c r="Q243" s="1214"/>
      <c r="R243" s="1214"/>
    </row>
    <row r="244" spans="1:18" s="1199" customFormat="1" ht="24" customHeight="1">
      <c r="A244" s="1406" t="s">
        <v>1528</v>
      </c>
      <c r="B244" s="2174" t="s">
        <v>1526</v>
      </c>
      <c r="C244" s="1202"/>
      <c r="D244" s="1202"/>
      <c r="E244" s="1404"/>
      <c r="F244" s="1384"/>
      <c r="G244" s="2176"/>
      <c r="H244" s="1264"/>
      <c r="I244" s="2177"/>
      <c r="J244" s="1264"/>
      <c r="K244" s="1273"/>
      <c r="L244" s="1385"/>
      <c r="M244" s="1214"/>
      <c r="N244" s="1214"/>
      <c r="O244" s="1214"/>
      <c r="P244" s="1214"/>
      <c r="Q244" s="1214"/>
      <c r="R244" s="1214"/>
    </row>
    <row r="245" spans="1:18" s="1199" customFormat="1" ht="24" customHeight="1">
      <c r="A245" s="1331"/>
      <c r="B245" s="2174" t="s">
        <v>1350</v>
      </c>
      <c r="C245" s="1202"/>
      <c r="D245" s="1202"/>
      <c r="E245" s="1387">
        <v>1200</v>
      </c>
      <c r="F245" s="1358" t="s">
        <v>226</v>
      </c>
      <c r="G245" s="2176">
        <v>27</v>
      </c>
      <c r="H245" s="1264">
        <f t="shared" ref="H245:H252" si="40">ROUND(E245*G245,)</f>
        <v>32400</v>
      </c>
      <c r="I245" s="2177">
        <v>22</v>
      </c>
      <c r="J245" s="1264">
        <f t="shared" ref="J245:J246" si="41">ROUND(E245*I245,)</f>
        <v>26400</v>
      </c>
      <c r="K245" s="1802">
        <f t="shared" ref="K245:K246" si="42">H245+J245</f>
        <v>58800</v>
      </c>
      <c r="L245" s="2001" t="s">
        <v>2667</v>
      </c>
      <c r="M245" s="1214"/>
      <c r="N245" s="1199">
        <v>79.8</v>
      </c>
      <c r="O245" s="1199">
        <f>ROUND(N245/3,)</f>
        <v>27</v>
      </c>
      <c r="P245" s="1214"/>
      <c r="Q245" s="1214"/>
      <c r="R245" s="1214"/>
    </row>
    <row r="246" spans="1:18" s="1199" customFormat="1" ht="24" customHeight="1">
      <c r="A246" s="1331"/>
      <c r="B246" s="2174" t="s">
        <v>1384</v>
      </c>
      <c r="C246" s="1202"/>
      <c r="D246" s="1202"/>
      <c r="E246" s="1387">
        <v>1</v>
      </c>
      <c r="F246" s="1384" t="s">
        <v>1104</v>
      </c>
      <c r="G246" s="2176">
        <f>SUM(H245)*15%</f>
        <v>4860</v>
      </c>
      <c r="H246" s="1264">
        <f t="shared" si="40"/>
        <v>4860</v>
      </c>
      <c r="I246" s="2177">
        <f>G246*0.3</f>
        <v>1458</v>
      </c>
      <c r="J246" s="1264">
        <f t="shared" si="41"/>
        <v>1458</v>
      </c>
      <c r="K246" s="1273">
        <f t="shared" si="42"/>
        <v>6318</v>
      </c>
      <c r="L246" s="1385"/>
      <c r="M246" s="1214"/>
      <c r="N246" s="1214"/>
      <c r="O246" s="1214"/>
      <c r="P246" s="1214"/>
      <c r="Q246" s="1214"/>
      <c r="R246" s="1214"/>
    </row>
    <row r="247" spans="1:18" s="1199" customFormat="1" ht="24" customHeight="1">
      <c r="A247" s="1406" t="s">
        <v>2915</v>
      </c>
      <c r="B247" s="2174" t="s">
        <v>1110</v>
      </c>
      <c r="C247" s="1202"/>
      <c r="D247" s="1202"/>
      <c r="E247" s="1387"/>
      <c r="F247" s="1384"/>
      <c r="G247" s="2176"/>
      <c r="H247" s="1264">
        <f t="shared" si="40"/>
        <v>0</v>
      </c>
      <c r="I247" s="2177"/>
      <c r="J247" s="1264">
        <f t="shared" si="38"/>
        <v>0</v>
      </c>
      <c r="K247" s="1273">
        <f t="shared" si="39"/>
        <v>0</v>
      </c>
      <c r="L247" s="1385"/>
      <c r="M247" s="1214"/>
      <c r="N247" s="1214"/>
      <c r="O247" s="1214"/>
      <c r="P247" s="1214"/>
    </row>
    <row r="248" spans="1:18" s="1199" customFormat="1" ht="24" customHeight="1">
      <c r="A248" s="1331"/>
      <c r="B248" s="2174" t="s">
        <v>1350</v>
      </c>
      <c r="C248" s="1202"/>
      <c r="D248" s="1202"/>
      <c r="E248" s="1387"/>
      <c r="F248" s="1358" t="s">
        <v>226</v>
      </c>
      <c r="G248" s="2176">
        <v>56</v>
      </c>
      <c r="H248" s="1264">
        <f t="shared" si="40"/>
        <v>0</v>
      </c>
      <c r="I248" s="2177">
        <v>26</v>
      </c>
      <c r="J248" s="1264">
        <f t="shared" si="38"/>
        <v>0</v>
      </c>
      <c r="K248" s="1273">
        <f t="shared" si="39"/>
        <v>0</v>
      </c>
      <c r="L248" s="2001" t="s">
        <v>2667</v>
      </c>
      <c r="M248" s="1214"/>
      <c r="N248" s="1199">
        <v>169.2</v>
      </c>
      <c r="O248" s="1199">
        <f>ROUND(N248/3,)</f>
        <v>56</v>
      </c>
      <c r="P248" s="1214"/>
    </row>
    <row r="249" spans="1:18" s="1199" customFormat="1" ht="24" customHeight="1">
      <c r="A249" s="1331"/>
      <c r="B249" s="2174" t="s">
        <v>1448</v>
      </c>
      <c r="C249" s="1202"/>
      <c r="D249" s="1202"/>
      <c r="E249" s="1404">
        <v>3256</v>
      </c>
      <c r="F249" s="1358" t="s">
        <v>226</v>
      </c>
      <c r="G249" s="2176">
        <v>75</v>
      </c>
      <c r="H249" s="1264">
        <f t="shared" si="40"/>
        <v>244200</v>
      </c>
      <c r="I249" s="2177">
        <v>29</v>
      </c>
      <c r="J249" s="1264">
        <f t="shared" si="38"/>
        <v>94424</v>
      </c>
      <c r="K249" s="1273">
        <f>H249+J249</f>
        <v>338624</v>
      </c>
      <c r="L249" s="2001" t="s">
        <v>2667</v>
      </c>
      <c r="N249" s="1199">
        <v>225</v>
      </c>
      <c r="O249" s="1199">
        <f>ROUND(N249/3,)</f>
        <v>75</v>
      </c>
      <c r="P249" s="1214"/>
    </row>
    <row r="250" spans="1:18" s="1199" customFormat="1" ht="24" customHeight="1">
      <c r="A250" s="1331"/>
      <c r="B250" s="2174" t="s">
        <v>1108</v>
      </c>
      <c r="C250" s="1202"/>
      <c r="D250" s="1202"/>
      <c r="E250" s="1387">
        <v>1</v>
      </c>
      <c r="F250" s="1384" t="s">
        <v>1104</v>
      </c>
      <c r="G250" s="2176">
        <f>ROUND(SUM(H248:H249)*15%,)</f>
        <v>36630</v>
      </c>
      <c r="H250" s="1264">
        <f t="shared" si="40"/>
        <v>36630</v>
      </c>
      <c r="I250" s="1265">
        <f>ROUND(G250*0.3,)</f>
        <v>10989</v>
      </c>
      <c r="J250" s="1264">
        <f t="shared" si="38"/>
        <v>10989</v>
      </c>
      <c r="K250" s="1273">
        <f t="shared" si="39"/>
        <v>47619</v>
      </c>
      <c r="L250" s="1385"/>
      <c r="M250" s="1214"/>
      <c r="N250" s="1214"/>
      <c r="O250" s="1214"/>
      <c r="P250" s="1214"/>
    </row>
    <row r="251" spans="1:18" s="1199" customFormat="1" ht="24" customHeight="1">
      <c r="A251" s="1406" t="s">
        <v>2916</v>
      </c>
      <c r="B251" s="2174" t="s">
        <v>1449</v>
      </c>
      <c r="C251" s="1202"/>
      <c r="D251" s="1202"/>
      <c r="E251" s="1387"/>
      <c r="F251" s="1384"/>
      <c r="G251" s="2176"/>
      <c r="H251" s="1264">
        <f t="shared" si="40"/>
        <v>0</v>
      </c>
      <c r="I251" s="2177"/>
      <c r="J251" s="1264">
        <f t="shared" si="38"/>
        <v>0</v>
      </c>
      <c r="K251" s="1273">
        <f t="shared" si="39"/>
        <v>0</v>
      </c>
      <c r="L251" s="1385"/>
      <c r="M251" s="1214"/>
      <c r="N251" s="1214"/>
      <c r="O251" s="1214"/>
      <c r="P251" s="1214"/>
    </row>
    <row r="252" spans="1:18" s="1199" customFormat="1" ht="24" customHeight="1">
      <c r="A252" s="1331"/>
      <c r="B252" s="2174" t="s">
        <v>1350</v>
      </c>
      <c r="C252" s="1202"/>
      <c r="D252" s="1202"/>
      <c r="E252" s="1387">
        <v>193</v>
      </c>
      <c r="F252" s="1358" t="s">
        <v>226</v>
      </c>
      <c r="G252" s="2176">
        <v>14</v>
      </c>
      <c r="H252" s="1264">
        <f t="shared" si="40"/>
        <v>2702</v>
      </c>
      <c r="I252" s="2177">
        <v>11</v>
      </c>
      <c r="J252" s="1264">
        <f t="shared" si="38"/>
        <v>2123</v>
      </c>
      <c r="K252" s="1273">
        <f t="shared" si="39"/>
        <v>4825</v>
      </c>
      <c r="L252" s="1385"/>
      <c r="M252" s="1214"/>
      <c r="N252" s="1214"/>
      <c r="O252" s="1214"/>
      <c r="P252" s="1214"/>
    </row>
    <row r="253" spans="1:18" s="1199" customFormat="1" ht="24" customHeight="1">
      <c r="A253" s="1331"/>
      <c r="B253" s="2174" t="s">
        <v>1117</v>
      </c>
      <c r="C253" s="1202"/>
      <c r="D253" s="1202"/>
      <c r="E253" s="1404"/>
      <c r="F253" s="1358"/>
      <c r="G253" s="2176"/>
      <c r="H253" s="1264"/>
      <c r="I253" s="2177"/>
      <c r="J253" s="1264"/>
      <c r="K253" s="1273"/>
      <c r="L253" s="1385"/>
      <c r="M253" s="1214"/>
      <c r="N253" s="1214"/>
      <c r="O253" s="1214"/>
      <c r="P253" s="1214"/>
      <c r="Q253" s="1214"/>
      <c r="R253" s="1214"/>
    </row>
    <row r="254" spans="1:18" s="1199" customFormat="1" ht="24" customHeight="1">
      <c r="A254" s="1331"/>
      <c r="B254" s="2174" t="s">
        <v>1369</v>
      </c>
      <c r="C254" s="1202"/>
      <c r="D254" s="1202"/>
      <c r="E254" s="1387"/>
      <c r="F254" s="1384"/>
      <c r="G254" s="2176"/>
      <c r="H254" s="1264"/>
      <c r="I254" s="2177"/>
      <c r="J254" s="1264"/>
      <c r="K254" s="1273"/>
      <c r="L254" s="1385"/>
      <c r="M254" s="1214"/>
      <c r="N254" s="1214"/>
      <c r="O254" s="1214"/>
      <c r="P254" s="1214"/>
      <c r="Q254" s="1214"/>
      <c r="R254" s="1214"/>
    </row>
    <row r="255" spans="1:18" s="1199" customFormat="1" ht="24" customHeight="1">
      <c r="A255" s="1406"/>
      <c r="B255" s="2174" t="s">
        <v>1369</v>
      </c>
      <c r="C255" s="1202"/>
      <c r="D255" s="1202"/>
      <c r="E255" s="1387"/>
      <c r="F255" s="1384"/>
      <c r="G255" s="2176"/>
      <c r="H255" s="1264"/>
      <c r="I255" s="2177"/>
      <c r="J255" s="1264"/>
      <c r="K255" s="1273"/>
      <c r="L255" s="1385"/>
      <c r="M255" s="1214"/>
      <c r="N255" s="1214"/>
      <c r="O255" s="1214"/>
      <c r="P255" s="1214"/>
      <c r="Q255" s="1214"/>
      <c r="R255" s="1214"/>
    </row>
    <row r="256" spans="1:18" s="1199" customFormat="1" ht="24" customHeight="1">
      <c r="A256" s="1331"/>
      <c r="B256" s="2174"/>
      <c r="C256" s="1202"/>
      <c r="D256" s="1202"/>
      <c r="E256" s="1387"/>
      <c r="F256" s="1358"/>
      <c r="G256" s="2176"/>
      <c r="H256" s="1264"/>
      <c r="I256" s="2177"/>
      <c r="J256" s="1264"/>
      <c r="K256" s="1273"/>
      <c r="L256" s="1385"/>
      <c r="M256" s="1214"/>
      <c r="N256" s="1214"/>
      <c r="O256" s="1214"/>
      <c r="P256" s="1214"/>
      <c r="Q256" s="1214"/>
      <c r="R256" s="1214"/>
    </row>
    <row r="257" spans="1:18" s="1199" customFormat="1" ht="24" customHeight="1">
      <c r="A257" s="1331"/>
      <c r="B257" s="2174"/>
      <c r="C257" s="1202"/>
      <c r="D257" s="1202"/>
      <c r="E257" s="1404"/>
      <c r="F257" s="1358"/>
      <c r="G257" s="2176"/>
      <c r="H257" s="1264"/>
      <c r="I257" s="2177"/>
      <c r="J257" s="1264"/>
      <c r="K257" s="1273"/>
      <c r="L257" s="1385"/>
      <c r="M257" s="1214"/>
      <c r="N257" s="1214"/>
      <c r="O257" s="1214"/>
      <c r="P257" s="1214"/>
      <c r="Q257" s="1214"/>
      <c r="R257" s="1214"/>
    </row>
    <row r="258" spans="1:18" s="1199" customFormat="1" ht="24" customHeight="1">
      <c r="A258" s="1243"/>
      <c r="B258" s="2257" t="str">
        <f>"รวมราคารายการที่ "&amp;A217</f>
        <v>รวมราคารายการที่ 3.8</v>
      </c>
      <c r="C258" s="2258"/>
      <c r="D258" s="2259"/>
      <c r="E258" s="1244"/>
      <c r="F258" s="1245"/>
      <c r="G258" s="1246"/>
      <c r="H258" s="1247">
        <f>SUM(H218:H255)</f>
        <v>1552266</v>
      </c>
      <c r="I258" s="1246"/>
      <c r="J258" s="1247">
        <f t="shared" ref="J258:K258" si="43">SUM(J218:J255)</f>
        <v>255270</v>
      </c>
      <c r="K258" s="1247">
        <f t="shared" si="43"/>
        <v>1807536</v>
      </c>
      <c r="L258" s="1245"/>
      <c r="M258" s="1214"/>
      <c r="N258" s="1214"/>
      <c r="O258" s="1214"/>
      <c r="P258" s="1214"/>
      <c r="Q258" s="1214"/>
      <c r="R258" s="1214"/>
    </row>
    <row r="259" spans="1:18" s="1199" customFormat="1" ht="24" customHeight="1">
      <c r="A259" s="1435" t="s">
        <v>1311</v>
      </c>
      <c r="B259" s="1436" t="s">
        <v>1404</v>
      </c>
      <c r="C259" s="1202"/>
      <c r="D259" s="1202"/>
      <c r="E259" s="1387"/>
      <c r="F259" s="1407"/>
      <c r="G259" s="2176"/>
      <c r="H259" s="1388"/>
      <c r="I259" s="2177"/>
      <c r="J259" s="1385"/>
      <c r="K259" s="1385"/>
      <c r="L259" s="1385"/>
      <c r="M259" s="1214"/>
      <c r="N259" s="1214"/>
      <c r="O259" s="1214"/>
      <c r="P259" s="1214"/>
      <c r="Q259" s="1214"/>
      <c r="R259" s="1214"/>
    </row>
    <row r="260" spans="1:18" s="1199" customFormat="1" ht="24" customHeight="1">
      <c r="A260" s="1406" t="s">
        <v>1313</v>
      </c>
      <c r="B260" s="2174" t="s">
        <v>1529</v>
      </c>
      <c r="C260" s="1202"/>
      <c r="D260" s="1202"/>
      <c r="E260" s="1387">
        <v>24</v>
      </c>
      <c r="F260" s="1207" t="s">
        <v>363</v>
      </c>
      <c r="G260" s="2176">
        <v>900</v>
      </c>
      <c r="H260" s="1264">
        <f t="shared" ref="H260:H265" si="44">ROUND(G260*E260,)</f>
        <v>21600</v>
      </c>
      <c r="I260" s="2177">
        <v>140</v>
      </c>
      <c r="J260" s="1264">
        <f t="shared" ref="J260:J271" si="45">ROUND(E260*I260,)</f>
        <v>3360</v>
      </c>
      <c r="K260" s="1273">
        <f t="shared" ref="K260:K271" si="46">H260+J260</f>
        <v>24960</v>
      </c>
      <c r="L260" s="1385"/>
      <c r="M260" s="1214"/>
      <c r="N260" s="1214"/>
      <c r="O260" s="1214"/>
      <c r="P260" s="1214"/>
      <c r="Q260" s="1214"/>
      <c r="R260" s="1214"/>
    </row>
    <row r="261" spans="1:18" s="1199" customFormat="1" ht="24" customHeight="1">
      <c r="A261" s="1406" t="s">
        <v>1547</v>
      </c>
      <c r="B261" s="2174" t="s">
        <v>1531</v>
      </c>
      <c r="C261" s="1202"/>
      <c r="D261" s="1202"/>
      <c r="E261" s="1387">
        <v>2</v>
      </c>
      <c r="F261" s="1207" t="s">
        <v>363</v>
      </c>
      <c r="G261" s="2176">
        <v>3800</v>
      </c>
      <c r="H261" s="1264">
        <f t="shared" si="44"/>
        <v>7600</v>
      </c>
      <c r="I261" s="2177">
        <v>200</v>
      </c>
      <c r="J261" s="1264">
        <f t="shared" si="45"/>
        <v>400</v>
      </c>
      <c r="K261" s="1273">
        <f t="shared" si="46"/>
        <v>8000</v>
      </c>
      <c r="L261" s="1385"/>
      <c r="M261" s="1214"/>
      <c r="N261" s="1214"/>
      <c r="O261" s="1214"/>
      <c r="P261" s="1214"/>
      <c r="Q261" s="1214"/>
      <c r="R261" s="1214"/>
    </row>
    <row r="262" spans="1:18" s="1199" customFormat="1" ht="24" customHeight="1">
      <c r="A262" s="1406" t="s">
        <v>1549</v>
      </c>
      <c r="B262" s="2174" t="s">
        <v>1532</v>
      </c>
      <c r="C262" s="1202"/>
      <c r="D262" s="1202"/>
      <c r="E262" s="1387">
        <v>2</v>
      </c>
      <c r="F262" s="1207" t="s">
        <v>363</v>
      </c>
      <c r="G262" s="2176">
        <v>5000</v>
      </c>
      <c r="H262" s="1264">
        <f t="shared" si="44"/>
        <v>10000</v>
      </c>
      <c r="I262" s="2177">
        <f>G262*0.1</f>
        <v>500</v>
      </c>
      <c r="J262" s="1264">
        <f t="shared" si="45"/>
        <v>1000</v>
      </c>
      <c r="K262" s="1273">
        <f t="shared" si="46"/>
        <v>11000</v>
      </c>
      <c r="L262" s="1385"/>
      <c r="M262" s="1214"/>
      <c r="N262" s="1214"/>
      <c r="O262" s="1214"/>
      <c r="P262" s="1214"/>
      <c r="Q262" s="1214"/>
      <c r="R262" s="1214"/>
    </row>
    <row r="263" spans="1:18" s="1199" customFormat="1" ht="24" customHeight="1">
      <c r="A263" s="1406" t="s">
        <v>1631</v>
      </c>
      <c r="B263" s="2174" t="s">
        <v>1312</v>
      </c>
      <c r="C263" s="1202"/>
      <c r="D263" s="1202"/>
      <c r="E263" s="1387"/>
      <c r="F263" s="1384"/>
      <c r="G263" s="2176"/>
      <c r="H263" s="1264">
        <f t="shared" si="44"/>
        <v>0</v>
      </c>
      <c r="I263" s="2177"/>
      <c r="J263" s="1264">
        <f t="shared" si="45"/>
        <v>0</v>
      </c>
      <c r="K263" s="1273">
        <f t="shared" si="46"/>
        <v>0</v>
      </c>
      <c r="L263" s="1385"/>
      <c r="M263" s="1214"/>
      <c r="N263" s="1214"/>
      <c r="O263" s="1214"/>
      <c r="P263" s="1214"/>
      <c r="Q263" s="1214"/>
      <c r="R263" s="1214"/>
    </row>
    <row r="264" spans="1:18" s="1199" customFormat="1" ht="24" customHeight="1">
      <c r="A264" s="1331"/>
      <c r="B264" s="2174" t="s">
        <v>1534</v>
      </c>
      <c r="C264" s="1202"/>
      <c r="D264" s="1202"/>
      <c r="E264" s="1387">
        <v>827.99999999999989</v>
      </c>
      <c r="F264" s="1358" t="s">
        <v>226</v>
      </c>
      <c r="G264" s="2176">
        <v>32</v>
      </c>
      <c r="H264" s="1264">
        <f t="shared" si="44"/>
        <v>26496</v>
      </c>
      <c r="I264" s="2177">
        <v>11</v>
      </c>
      <c r="J264" s="1264">
        <f t="shared" si="45"/>
        <v>9108</v>
      </c>
      <c r="K264" s="1802">
        <f t="shared" si="46"/>
        <v>35604</v>
      </c>
      <c r="L264" s="2001" t="s">
        <v>2667</v>
      </c>
      <c r="M264" s="1214"/>
      <c r="N264" s="1199">
        <v>3183</v>
      </c>
      <c r="O264" s="1199">
        <f>ROUND(N264/100,)</f>
        <v>32</v>
      </c>
      <c r="P264" s="1214"/>
      <c r="Q264" s="1214"/>
      <c r="R264" s="1214"/>
    </row>
    <row r="265" spans="1:18" s="1199" customFormat="1" ht="24" customHeight="1">
      <c r="A265" s="1331"/>
      <c r="B265" s="2174" t="s">
        <v>1535</v>
      </c>
      <c r="C265" s="1202"/>
      <c r="D265" s="1202"/>
      <c r="E265" s="1387">
        <v>114.99999999999999</v>
      </c>
      <c r="F265" s="1358" t="s">
        <v>226</v>
      </c>
      <c r="G265" s="2176">
        <v>40</v>
      </c>
      <c r="H265" s="1264">
        <f t="shared" si="44"/>
        <v>4600</v>
      </c>
      <c r="I265" s="2177">
        <v>12</v>
      </c>
      <c r="J265" s="1264">
        <f t="shared" si="45"/>
        <v>1380</v>
      </c>
      <c r="K265" s="1802">
        <f t="shared" si="46"/>
        <v>5980</v>
      </c>
      <c r="L265" s="2001" t="s">
        <v>2667</v>
      </c>
      <c r="M265" s="1214"/>
      <c r="N265" s="1199">
        <v>4039</v>
      </c>
      <c r="O265" s="1199">
        <f>ROUND(N265/100,)</f>
        <v>40</v>
      </c>
      <c r="P265" s="1214"/>
      <c r="Q265" s="1214"/>
      <c r="R265" s="1214"/>
    </row>
    <row r="266" spans="1:18" s="1199" customFormat="1" ht="24" customHeight="1">
      <c r="A266" s="1331"/>
      <c r="B266" s="2174" t="s">
        <v>1525</v>
      </c>
      <c r="C266" s="1202"/>
      <c r="D266" s="1202"/>
      <c r="E266" s="1387">
        <v>1</v>
      </c>
      <c r="F266" s="1384" t="s">
        <v>1104</v>
      </c>
      <c r="G266" s="2176">
        <f>ROUND(SUM(H264:H265)*5%,)</f>
        <v>1555</v>
      </c>
      <c r="H266" s="1264">
        <f>ROUND(E266*G266,)</f>
        <v>1555</v>
      </c>
      <c r="I266" s="1265">
        <f>ROUND(G266*0.3,)</f>
        <v>467</v>
      </c>
      <c r="J266" s="1264">
        <f t="shared" si="45"/>
        <v>467</v>
      </c>
      <c r="K266" s="1273">
        <f t="shared" si="46"/>
        <v>2022</v>
      </c>
      <c r="L266" s="1385"/>
      <c r="M266" s="1214"/>
      <c r="N266" s="1214"/>
      <c r="O266" s="1214"/>
      <c r="P266" s="1214"/>
      <c r="Q266" s="1214"/>
      <c r="R266" s="1214"/>
    </row>
    <row r="267" spans="1:18" s="1199" customFormat="1" ht="24" customHeight="1">
      <c r="A267" s="1406" t="s">
        <v>1610</v>
      </c>
      <c r="B267" s="2174" t="s">
        <v>1526</v>
      </c>
      <c r="C267" s="1202"/>
      <c r="D267" s="1202"/>
      <c r="E267" s="1387"/>
      <c r="F267" s="1384"/>
      <c r="G267" s="2176"/>
      <c r="H267" s="1264">
        <f>ROUND(G267*E267,)</f>
        <v>0</v>
      </c>
      <c r="I267" s="2177"/>
      <c r="J267" s="1264">
        <f t="shared" si="45"/>
        <v>0</v>
      </c>
      <c r="K267" s="1273">
        <f t="shared" si="46"/>
        <v>0</v>
      </c>
      <c r="L267" s="1385"/>
      <c r="M267" s="1214"/>
      <c r="N267" s="1214"/>
      <c r="O267" s="1214"/>
      <c r="P267" s="1214"/>
      <c r="Q267" s="1214"/>
      <c r="R267" s="1214"/>
    </row>
    <row r="268" spans="1:18" s="1199" customFormat="1" ht="24" customHeight="1">
      <c r="A268" s="1331"/>
      <c r="B268" s="2174" t="s">
        <v>1350</v>
      </c>
      <c r="C268" s="1202"/>
      <c r="D268" s="1202"/>
      <c r="E268" s="1387">
        <v>942.99999999999989</v>
      </c>
      <c r="F268" s="1358" t="s">
        <v>226</v>
      </c>
      <c r="G268" s="2176">
        <v>27</v>
      </c>
      <c r="H268" s="1264">
        <f t="shared" ref="H268" si="47">ROUND(G268*E268,)</f>
        <v>25461</v>
      </c>
      <c r="I268" s="2177">
        <v>22</v>
      </c>
      <c r="J268" s="1264">
        <f t="shared" si="45"/>
        <v>20746</v>
      </c>
      <c r="K268" s="1801">
        <f t="shared" si="46"/>
        <v>46207</v>
      </c>
      <c r="L268" s="2001" t="s">
        <v>2667</v>
      </c>
      <c r="M268" s="1214"/>
      <c r="N268" s="1199">
        <v>79.8</v>
      </c>
      <c r="O268" s="1199">
        <f>ROUND(N268/3,)</f>
        <v>27</v>
      </c>
      <c r="P268" s="1214"/>
      <c r="Q268" s="1214"/>
      <c r="R268" s="1214"/>
    </row>
    <row r="269" spans="1:18" s="1199" customFormat="1" ht="24" customHeight="1">
      <c r="A269" s="1331"/>
      <c r="B269" s="2174" t="s">
        <v>1384</v>
      </c>
      <c r="C269" s="1202"/>
      <c r="D269" s="1202"/>
      <c r="E269" s="1387">
        <v>1</v>
      </c>
      <c r="F269" s="1407" t="s">
        <v>1104</v>
      </c>
      <c r="G269" s="2176">
        <f>ROUND(SUM(H268:H268)*15%,)</f>
        <v>3819</v>
      </c>
      <c r="H269" s="1264">
        <f>ROUND(G269*E269,)</f>
        <v>3819</v>
      </c>
      <c r="I269" s="1265">
        <f>ROUND(G269*0.3,)</f>
        <v>1146</v>
      </c>
      <c r="J269" s="1264">
        <f t="shared" si="45"/>
        <v>1146</v>
      </c>
      <c r="K269" s="1273">
        <f t="shared" si="46"/>
        <v>4965</v>
      </c>
      <c r="L269" s="1385"/>
      <c r="M269" s="1214"/>
      <c r="N269" s="1214"/>
      <c r="O269" s="1214"/>
      <c r="P269" s="1214"/>
      <c r="Q269" s="1214"/>
      <c r="R269" s="1214"/>
    </row>
    <row r="270" spans="1:18" s="1199" customFormat="1" ht="24" customHeight="1">
      <c r="A270" s="1331" t="s">
        <v>2952</v>
      </c>
      <c r="B270" s="2174" t="s">
        <v>1449</v>
      </c>
      <c r="C270" s="1202"/>
      <c r="D270" s="1202"/>
      <c r="E270" s="1387"/>
      <c r="F270" s="1384"/>
      <c r="G270" s="2176"/>
      <c r="H270" s="1264">
        <f>ROUND(G270*E270,)</f>
        <v>0</v>
      </c>
      <c r="I270" s="2177"/>
      <c r="J270" s="1264">
        <f t="shared" si="45"/>
        <v>0</v>
      </c>
      <c r="K270" s="1273">
        <f t="shared" si="46"/>
        <v>0</v>
      </c>
      <c r="L270" s="1385"/>
      <c r="M270" s="1214"/>
      <c r="N270" s="1214"/>
      <c r="O270" s="1214"/>
      <c r="P270" s="1214"/>
      <c r="Q270" s="1214"/>
      <c r="R270" s="1214"/>
    </row>
    <row r="271" spans="1:18" s="1199" customFormat="1" ht="24" customHeight="1">
      <c r="A271" s="1331"/>
      <c r="B271" s="2174" t="s">
        <v>1350</v>
      </c>
      <c r="C271" s="1202"/>
      <c r="D271" s="1202"/>
      <c r="E271" s="1387">
        <v>24</v>
      </c>
      <c r="F271" s="1358" t="s">
        <v>226</v>
      </c>
      <c r="G271" s="2176">
        <v>14</v>
      </c>
      <c r="H271" s="1264">
        <f>ROUND(G271*E271,)</f>
        <v>336</v>
      </c>
      <c r="I271" s="2177">
        <v>11</v>
      </c>
      <c r="J271" s="1264">
        <f t="shared" si="45"/>
        <v>264</v>
      </c>
      <c r="K271" s="1273">
        <f t="shared" si="46"/>
        <v>600</v>
      </c>
      <c r="L271" s="1385"/>
      <c r="M271" s="1214"/>
      <c r="N271" s="1214"/>
      <c r="O271" s="1214"/>
      <c r="P271" s="1214"/>
      <c r="Q271" s="1214"/>
      <c r="R271" s="1214"/>
    </row>
    <row r="272" spans="1:18" s="1199" customFormat="1" ht="24" customHeight="1">
      <c r="A272" s="1331"/>
      <c r="B272" s="2174" t="s">
        <v>1117</v>
      </c>
      <c r="C272" s="1202"/>
      <c r="D272" s="1202"/>
      <c r="E272" s="1387"/>
      <c r="F272" s="1384"/>
      <c r="G272" s="2176"/>
      <c r="H272" s="1388"/>
      <c r="I272" s="2177"/>
      <c r="J272" s="1385"/>
      <c r="K272" s="1385"/>
      <c r="L272" s="1385"/>
      <c r="M272" s="1214"/>
      <c r="N272" s="1214"/>
      <c r="O272" s="1214"/>
      <c r="P272" s="1214"/>
      <c r="Q272" s="1214"/>
      <c r="R272" s="1214"/>
    </row>
    <row r="273" spans="1:18" s="1199" customFormat="1" ht="24" customHeight="1">
      <c r="A273" s="1331"/>
      <c r="B273" s="2174" t="s">
        <v>1118</v>
      </c>
      <c r="C273" s="1202"/>
      <c r="D273" s="1202"/>
      <c r="E273" s="1387"/>
      <c r="F273" s="1384"/>
      <c r="G273" s="2176"/>
      <c r="H273" s="1388"/>
      <c r="I273" s="2177"/>
      <c r="J273" s="1385"/>
      <c r="K273" s="1385"/>
      <c r="L273" s="1385"/>
      <c r="M273" s="1214"/>
      <c r="N273" s="1214"/>
      <c r="O273" s="1214"/>
      <c r="P273" s="1214"/>
      <c r="Q273" s="1214"/>
      <c r="R273" s="1214"/>
    </row>
    <row r="274" spans="1:18" s="1199" customFormat="1" ht="24" customHeight="1">
      <c r="A274" s="1243"/>
      <c r="B274" s="2257" t="str">
        <f>"รวมราคารายการที่ "&amp;A259</f>
        <v>รวมราคารายการที่ 3.9</v>
      </c>
      <c r="C274" s="2258"/>
      <c r="D274" s="2259"/>
      <c r="E274" s="1244"/>
      <c r="F274" s="1245"/>
      <c r="G274" s="1246"/>
      <c r="H274" s="1247">
        <f>SUM(H260:H273)</f>
        <v>101467</v>
      </c>
      <c r="I274" s="1246"/>
      <c r="J274" s="1247">
        <f>SUM(J260:J273)</f>
        <v>37871</v>
      </c>
      <c r="K274" s="1247">
        <f>SUM(K260:K273)</f>
        <v>139338</v>
      </c>
      <c r="L274" s="1245"/>
      <c r="M274" s="1214"/>
      <c r="N274" s="1214"/>
      <c r="O274" s="1214"/>
      <c r="P274" s="1214"/>
      <c r="Q274" s="1214"/>
      <c r="R274" s="1214"/>
    </row>
    <row r="275" spans="1:18" s="1199" customFormat="1" ht="24" customHeight="1">
      <c r="A275" s="1435" t="s">
        <v>1332</v>
      </c>
      <c r="B275" s="1436" t="s">
        <v>1419</v>
      </c>
      <c r="C275" s="1202"/>
      <c r="D275" s="1202"/>
      <c r="E275" s="1387"/>
      <c r="F275" s="1384"/>
      <c r="G275" s="2176"/>
      <c r="H275" s="1388"/>
      <c r="I275" s="2177"/>
      <c r="J275" s="1385"/>
      <c r="K275" s="1385"/>
      <c r="L275" s="1385"/>
      <c r="M275" s="1214"/>
      <c r="N275" s="1214"/>
      <c r="O275" s="1214"/>
      <c r="P275" s="1214"/>
      <c r="Q275" s="1214"/>
      <c r="R275" s="1214"/>
    </row>
    <row r="276" spans="1:18" s="1199" customFormat="1" ht="24" customHeight="1">
      <c r="A276" s="1331" t="s">
        <v>1334</v>
      </c>
      <c r="B276" s="2174" t="s">
        <v>1539</v>
      </c>
      <c r="C276" s="1202"/>
      <c r="D276" s="1202"/>
      <c r="E276" s="1387"/>
      <c r="F276" s="1384"/>
      <c r="G276" s="2176"/>
      <c r="H276" s="1388"/>
      <c r="I276" s="2177"/>
      <c r="J276" s="1385"/>
      <c r="K276" s="1385"/>
      <c r="L276" s="1385"/>
      <c r="M276" s="1214"/>
      <c r="N276" s="1214"/>
      <c r="O276" s="1214"/>
      <c r="P276" s="1214"/>
      <c r="Q276" s="1214"/>
      <c r="R276" s="1214"/>
    </row>
    <row r="277" spans="1:18" s="1199" customFormat="1" ht="24" customHeight="1">
      <c r="A277" s="1331"/>
      <c r="B277" s="2174" t="s">
        <v>1540</v>
      </c>
      <c r="C277" s="1202"/>
      <c r="D277" s="1202"/>
      <c r="E277" s="1387">
        <v>2</v>
      </c>
      <c r="F277" s="1207" t="s">
        <v>363</v>
      </c>
      <c r="G277" s="2176">
        <v>46645</v>
      </c>
      <c r="H277" s="1388">
        <f t="shared" ref="H277:H282" si="48">ROUND(E277*G277,)</f>
        <v>93290</v>
      </c>
      <c r="I277" s="2177">
        <v>5000</v>
      </c>
      <c r="J277" s="1385">
        <f>ROUND(E277*I277,)</f>
        <v>10000</v>
      </c>
      <c r="K277" s="1385">
        <f t="shared" ref="K277:K282" si="49">H277+J277</f>
        <v>103290</v>
      </c>
      <c r="L277" s="1385"/>
      <c r="M277" s="1214"/>
      <c r="N277" s="1214"/>
      <c r="O277" s="1214"/>
      <c r="P277" s="1214"/>
      <c r="Q277" s="1214"/>
      <c r="R277" s="1214"/>
    </row>
    <row r="278" spans="1:18" s="1199" customFormat="1" ht="24" customHeight="1">
      <c r="A278" s="1331"/>
      <c r="B278" s="2174" t="s">
        <v>1541</v>
      </c>
      <c r="C278" s="1202"/>
      <c r="D278" s="1202"/>
      <c r="E278" s="1387">
        <v>4</v>
      </c>
      <c r="F278" s="1207" t="s">
        <v>363</v>
      </c>
      <c r="G278" s="2176">
        <v>21375</v>
      </c>
      <c r="H278" s="1388">
        <f t="shared" si="48"/>
        <v>85500</v>
      </c>
      <c r="I278" s="2177" t="s">
        <v>1542</v>
      </c>
      <c r="J278" s="1385"/>
      <c r="K278" s="1385">
        <f t="shared" si="49"/>
        <v>85500</v>
      </c>
      <c r="L278" s="1385"/>
      <c r="M278" s="1214"/>
      <c r="N278" s="1214"/>
      <c r="O278" s="1214"/>
      <c r="P278" s="1214"/>
      <c r="Q278" s="1214"/>
      <c r="R278" s="1214"/>
    </row>
    <row r="279" spans="1:18" s="1199" customFormat="1" ht="24" customHeight="1">
      <c r="A279" s="1331"/>
      <c r="B279" s="2174" t="s">
        <v>1543</v>
      </c>
      <c r="C279" s="1202"/>
      <c r="D279" s="1202"/>
      <c r="E279" s="1387">
        <v>4</v>
      </c>
      <c r="F279" s="1207" t="s">
        <v>363</v>
      </c>
      <c r="G279" s="2176">
        <v>9025</v>
      </c>
      <c r="H279" s="1388">
        <f t="shared" si="48"/>
        <v>36100</v>
      </c>
      <c r="I279" s="2177" t="s">
        <v>1542</v>
      </c>
      <c r="J279" s="1385"/>
      <c r="K279" s="1385">
        <f t="shared" si="49"/>
        <v>36100</v>
      </c>
      <c r="L279" s="1385"/>
      <c r="M279" s="1214"/>
      <c r="N279" s="1214"/>
      <c r="O279" s="1214"/>
      <c r="P279" s="1214"/>
      <c r="Q279" s="1214"/>
      <c r="R279" s="1214"/>
    </row>
    <row r="280" spans="1:18" s="1199" customFormat="1" ht="24" customHeight="1">
      <c r="A280" s="1331"/>
      <c r="B280" s="2174" t="s">
        <v>1544</v>
      </c>
      <c r="C280" s="1202"/>
      <c r="D280" s="1202"/>
      <c r="E280" s="1387">
        <v>4</v>
      </c>
      <c r="F280" s="1207" t="s">
        <v>363</v>
      </c>
      <c r="G280" s="2176">
        <v>1995</v>
      </c>
      <c r="H280" s="1388">
        <f t="shared" si="48"/>
        <v>7980</v>
      </c>
      <c r="I280" s="2177" t="s">
        <v>1542</v>
      </c>
      <c r="J280" s="1385"/>
      <c r="K280" s="1385">
        <f t="shared" si="49"/>
        <v>7980</v>
      </c>
      <c r="L280" s="1385"/>
      <c r="M280" s="1214"/>
      <c r="N280" s="1214"/>
      <c r="O280" s="1214"/>
      <c r="P280" s="1214"/>
      <c r="Q280" s="1214"/>
      <c r="R280" s="1214"/>
    </row>
    <row r="281" spans="1:18" s="1199" customFormat="1" ht="24" customHeight="1">
      <c r="A281" s="1331"/>
      <c r="B281" s="2174" t="s">
        <v>1545</v>
      </c>
      <c r="C281" s="1202"/>
      <c r="D281" s="1202"/>
      <c r="E281" s="1387">
        <v>4</v>
      </c>
      <c r="F281" s="1207" t="s">
        <v>363</v>
      </c>
      <c r="G281" s="2176">
        <v>427.5</v>
      </c>
      <c r="H281" s="1388">
        <f t="shared" si="48"/>
        <v>1710</v>
      </c>
      <c r="I281" s="2177" t="s">
        <v>1542</v>
      </c>
      <c r="J281" s="1385"/>
      <c r="K281" s="1385">
        <f t="shared" si="49"/>
        <v>1710</v>
      </c>
      <c r="L281" s="1385"/>
      <c r="M281" s="1214"/>
      <c r="N281" s="1214"/>
      <c r="O281" s="1214"/>
      <c r="P281" s="1214"/>
      <c r="Q281" s="1214"/>
      <c r="R281" s="1214"/>
    </row>
    <row r="282" spans="1:18" s="1199" customFormat="1" ht="24" customHeight="1">
      <c r="A282" s="1331"/>
      <c r="B282" s="2174" t="s">
        <v>1546</v>
      </c>
      <c r="C282" s="1202"/>
      <c r="D282" s="1202"/>
      <c r="E282" s="1404">
        <v>4</v>
      </c>
      <c r="F282" s="1207" t="s">
        <v>363</v>
      </c>
      <c r="G282" s="2176">
        <v>807.5</v>
      </c>
      <c r="H282" s="1388">
        <f t="shared" si="48"/>
        <v>3230</v>
      </c>
      <c r="I282" s="2177" t="s">
        <v>1542</v>
      </c>
      <c r="J282" s="1385"/>
      <c r="K282" s="1385">
        <f t="shared" si="49"/>
        <v>3230</v>
      </c>
      <c r="L282" s="1385"/>
      <c r="M282" s="1214"/>
      <c r="N282" s="1214"/>
      <c r="O282" s="1214"/>
      <c r="P282" s="1214"/>
      <c r="Q282" s="1214"/>
      <c r="R282" s="1214"/>
    </row>
    <row r="283" spans="1:18" s="1199" customFormat="1" ht="24" customHeight="1">
      <c r="A283" s="1406" t="s">
        <v>1556</v>
      </c>
      <c r="B283" s="2174" t="s">
        <v>1312</v>
      </c>
      <c r="C283" s="1202"/>
      <c r="D283" s="1202"/>
      <c r="E283" s="1404"/>
      <c r="F283" s="1384"/>
      <c r="G283" s="2176"/>
      <c r="H283" s="1388"/>
      <c r="I283" s="2177"/>
      <c r="J283" s="1385"/>
      <c r="K283" s="1385"/>
      <c r="L283" s="1385"/>
      <c r="M283" s="1214"/>
      <c r="N283" s="1214"/>
      <c r="O283" s="1214"/>
      <c r="P283" s="1214"/>
      <c r="Q283" s="1214"/>
      <c r="R283" s="1214"/>
    </row>
    <row r="284" spans="1:18" s="1199" customFormat="1" ht="24" customHeight="1">
      <c r="A284" s="1331"/>
      <c r="B284" s="2174" t="s">
        <v>1548</v>
      </c>
      <c r="C284" s="1202"/>
      <c r="D284" s="1202"/>
      <c r="E284" s="1404">
        <v>237.66666666666666</v>
      </c>
      <c r="F284" s="1358" t="s">
        <v>226</v>
      </c>
      <c r="G284" s="2176">
        <v>37</v>
      </c>
      <c r="H284" s="1388">
        <f>ROUND(E284*G284,)</f>
        <v>8794</v>
      </c>
      <c r="I284" s="2177">
        <v>5</v>
      </c>
      <c r="J284" s="1385">
        <f>ROUND(E284*I284,)</f>
        <v>1188</v>
      </c>
      <c r="K284" s="1385">
        <f>H284+J284</f>
        <v>9982</v>
      </c>
      <c r="L284" s="1385"/>
      <c r="M284" s="1214"/>
      <c r="N284" s="1214"/>
      <c r="O284" s="1214"/>
      <c r="P284" s="1214"/>
      <c r="Q284" s="1214"/>
      <c r="R284" s="1214"/>
    </row>
    <row r="285" spans="1:18" s="1199" customFormat="1" ht="24" customHeight="1">
      <c r="A285" s="1331"/>
      <c r="B285" s="2174" t="s">
        <v>1525</v>
      </c>
      <c r="C285" s="1202"/>
      <c r="D285" s="1202"/>
      <c r="E285" s="1404">
        <v>1</v>
      </c>
      <c r="F285" s="1384" t="s">
        <v>1104</v>
      </c>
      <c r="G285" s="2176">
        <f>ROUND(SUM(H284)*5%,)</f>
        <v>440</v>
      </c>
      <c r="H285" s="1264">
        <f>ROUND(E285*G285,)</f>
        <v>440</v>
      </c>
      <c r="I285" s="1265">
        <f>ROUND(G285*0.3,)</f>
        <v>132</v>
      </c>
      <c r="J285" s="1264">
        <f>ROUND(E285*I285,)</f>
        <v>132</v>
      </c>
      <c r="K285" s="1273">
        <f>H285+J285</f>
        <v>572</v>
      </c>
      <c r="L285" s="1385"/>
      <c r="M285" s="1214"/>
      <c r="N285" s="1214"/>
      <c r="O285" s="1214"/>
      <c r="P285" s="1214"/>
      <c r="Q285" s="1214"/>
      <c r="R285" s="1214"/>
    </row>
    <row r="286" spans="1:18" s="1199" customFormat="1" ht="24" customHeight="1">
      <c r="A286" s="1406" t="s">
        <v>1566</v>
      </c>
      <c r="B286" s="2174" t="s">
        <v>1526</v>
      </c>
      <c r="C286" s="1202"/>
      <c r="D286" s="1202"/>
      <c r="E286" s="1404"/>
      <c r="F286" s="1384"/>
      <c r="G286" s="2176"/>
      <c r="H286" s="1388"/>
      <c r="I286" s="2177"/>
      <c r="J286" s="1385"/>
      <c r="K286" s="1385"/>
      <c r="L286" s="1385"/>
      <c r="M286" s="1214"/>
      <c r="N286" s="1214"/>
      <c r="O286" s="1214"/>
      <c r="P286" s="1214"/>
      <c r="Q286" s="1214"/>
      <c r="R286" s="1214"/>
    </row>
    <row r="287" spans="1:18" s="1199" customFormat="1" ht="24" customHeight="1">
      <c r="A287" s="1331"/>
      <c r="B287" s="2174" t="s">
        <v>1350</v>
      </c>
      <c r="C287" s="1202"/>
      <c r="D287" s="1202"/>
      <c r="E287" s="1404">
        <v>237.66666666666666</v>
      </c>
      <c r="F287" s="1358" t="s">
        <v>226</v>
      </c>
      <c r="G287" s="2176">
        <v>27</v>
      </c>
      <c r="H287" s="1264">
        <f t="shared" ref="H287" si="50">ROUND(G287*E287,)</f>
        <v>6417</v>
      </c>
      <c r="I287" s="2177">
        <v>22</v>
      </c>
      <c r="J287" s="1264">
        <f t="shared" ref="J287" si="51">ROUND(E287*I287,)</f>
        <v>5229</v>
      </c>
      <c r="K287" s="1801">
        <f t="shared" ref="K287" si="52">H287+J287</f>
        <v>11646</v>
      </c>
      <c r="L287" s="2001" t="s">
        <v>2667</v>
      </c>
      <c r="M287" s="1214"/>
      <c r="N287" s="1199">
        <v>79.8</v>
      </c>
      <c r="O287" s="1199">
        <f>ROUND(N287/3,)</f>
        <v>27</v>
      </c>
      <c r="P287" s="1214"/>
      <c r="Q287" s="1214"/>
      <c r="R287" s="1214"/>
    </row>
    <row r="288" spans="1:18" s="1199" customFormat="1" ht="24" customHeight="1">
      <c r="A288" s="1331"/>
      <c r="B288" s="2174" t="s">
        <v>1384</v>
      </c>
      <c r="C288" s="1202"/>
      <c r="D288" s="1202"/>
      <c r="E288" s="1404">
        <v>1</v>
      </c>
      <c r="F288" s="1384" t="s">
        <v>1104</v>
      </c>
      <c r="G288" s="2176">
        <f>ROUND(H287*15%,)</f>
        <v>963</v>
      </c>
      <c r="H288" s="1264">
        <f>ROUND(G288*E288,)</f>
        <v>963</v>
      </c>
      <c r="I288" s="1265">
        <f>ROUND(G288*0.3,)</f>
        <v>289</v>
      </c>
      <c r="J288" s="1264">
        <f>ROUND(E288*I288,)</f>
        <v>289</v>
      </c>
      <c r="K288" s="1273">
        <f>H288+J288</f>
        <v>1252</v>
      </c>
      <c r="L288" s="1385"/>
      <c r="M288" s="1214"/>
      <c r="N288" s="1214"/>
      <c r="O288" s="1214"/>
      <c r="P288" s="1214"/>
      <c r="Q288" s="1214"/>
      <c r="R288" s="1214"/>
    </row>
    <row r="289" spans="1:18" s="1199" customFormat="1" ht="24" customHeight="1">
      <c r="A289" s="1331"/>
      <c r="B289" s="2174" t="s">
        <v>1117</v>
      </c>
      <c r="C289" s="1202"/>
      <c r="D289" s="1202"/>
      <c r="E289" s="1404"/>
      <c r="F289" s="1384"/>
      <c r="G289" s="2176"/>
      <c r="H289" s="1388"/>
      <c r="I289" s="2177"/>
      <c r="J289" s="1385"/>
      <c r="K289" s="1385"/>
      <c r="L289" s="1385"/>
      <c r="M289" s="1214"/>
      <c r="N289" s="1214"/>
      <c r="O289" s="1214"/>
      <c r="P289" s="1214"/>
      <c r="Q289" s="1214"/>
      <c r="R289" s="1214"/>
    </row>
    <row r="290" spans="1:18" s="1199" customFormat="1" ht="24" customHeight="1">
      <c r="A290" s="1331"/>
      <c r="B290" s="2174" t="s">
        <v>1118</v>
      </c>
      <c r="C290" s="1202"/>
      <c r="D290" s="1202"/>
      <c r="E290" s="1387"/>
      <c r="F290" s="1384"/>
      <c r="G290" s="2176"/>
      <c r="H290" s="1388"/>
      <c r="I290" s="2177"/>
      <c r="J290" s="1385"/>
      <c r="K290" s="1385"/>
      <c r="L290" s="1385"/>
      <c r="M290" s="1214"/>
      <c r="N290" s="1214"/>
      <c r="O290" s="1214"/>
      <c r="P290" s="1214"/>
      <c r="Q290" s="1214"/>
      <c r="R290" s="1214"/>
    </row>
    <row r="291" spans="1:18" s="1199" customFormat="1" ht="24" customHeight="1">
      <c r="A291" s="1331"/>
      <c r="B291" s="2174" t="s">
        <v>1118</v>
      </c>
      <c r="C291" s="1202"/>
      <c r="D291" s="1202"/>
      <c r="E291" s="1387"/>
      <c r="F291" s="1384"/>
      <c r="G291" s="2176"/>
      <c r="H291" s="1388"/>
      <c r="I291" s="2177"/>
      <c r="J291" s="1385"/>
      <c r="K291" s="1385"/>
      <c r="L291" s="1385"/>
      <c r="M291" s="1214"/>
      <c r="N291" s="1214"/>
      <c r="O291" s="1214"/>
      <c r="P291" s="1214"/>
      <c r="Q291" s="1214"/>
      <c r="R291" s="1214"/>
    </row>
    <row r="292" spans="1:18" s="1199" customFormat="1" ht="24" customHeight="1">
      <c r="A292" s="1331"/>
      <c r="B292" s="1240"/>
      <c r="C292" s="1202"/>
      <c r="D292" s="1202"/>
      <c r="E292" s="1387"/>
      <c r="F292" s="1384"/>
      <c r="G292" s="2176"/>
      <c r="H292" s="1388"/>
      <c r="I292" s="2177"/>
      <c r="J292" s="1385"/>
      <c r="K292" s="1385"/>
      <c r="L292" s="1385"/>
      <c r="M292" s="1214"/>
      <c r="N292" s="1214"/>
      <c r="O292" s="1214"/>
      <c r="P292" s="1214"/>
      <c r="Q292" s="1214"/>
      <c r="R292" s="1214"/>
    </row>
    <row r="293" spans="1:18" s="1199" customFormat="1" ht="24" customHeight="1">
      <c r="A293" s="1331"/>
      <c r="B293" s="1416"/>
      <c r="C293" s="1202"/>
      <c r="D293" s="1202"/>
      <c r="E293" s="1387"/>
      <c r="F293" s="1384"/>
      <c r="G293" s="2176"/>
      <c r="H293" s="1388"/>
      <c r="I293" s="2177"/>
      <c r="J293" s="1385"/>
      <c r="K293" s="1385"/>
      <c r="L293" s="1385"/>
      <c r="M293" s="1214"/>
      <c r="N293" s="1214"/>
      <c r="O293" s="1214"/>
      <c r="P293" s="1214"/>
      <c r="Q293" s="1214"/>
      <c r="R293" s="1214"/>
    </row>
    <row r="294" spans="1:18" s="1199" customFormat="1" ht="24" customHeight="1">
      <c r="A294" s="1243"/>
      <c r="B294" s="2257" t="str">
        <f>"รวมราคารายการที่ "&amp;A275</f>
        <v>รวมราคารายการที่ 3.10</v>
      </c>
      <c r="C294" s="2258"/>
      <c r="D294" s="2259"/>
      <c r="E294" s="1244"/>
      <c r="F294" s="1245"/>
      <c r="G294" s="1246"/>
      <c r="H294" s="1247">
        <f>SUM(H276:H290)</f>
        <v>244424</v>
      </c>
      <c r="I294" s="1246"/>
      <c r="J294" s="1247">
        <f t="shared" ref="J294:K294" si="53">SUM(J276:J290)</f>
        <v>16838</v>
      </c>
      <c r="K294" s="1247">
        <f t="shared" si="53"/>
        <v>261262</v>
      </c>
      <c r="L294" s="1245"/>
    </row>
    <row r="295" spans="1:18" s="1199" customFormat="1" ht="24" customHeight="1">
      <c r="A295" s="1367" t="s">
        <v>1570</v>
      </c>
      <c r="B295" s="1353" t="s">
        <v>1550</v>
      </c>
      <c r="C295" s="1452"/>
      <c r="D295" s="1452"/>
      <c r="E295" s="1453"/>
      <c r="F295" s="1454"/>
      <c r="G295" s="1455"/>
      <c r="H295" s="820"/>
      <c r="I295" s="1456"/>
      <c r="J295" s="1457"/>
      <c r="K295" s="1457"/>
      <c r="L295" s="1457"/>
      <c r="M295" s="1214"/>
      <c r="N295" s="1214"/>
      <c r="O295" s="1214"/>
      <c r="P295" s="1214"/>
    </row>
    <row r="296" spans="1:18" s="1199" customFormat="1" ht="24" customHeight="1">
      <c r="A296" s="1458" t="s">
        <v>1348</v>
      </c>
      <c r="B296" s="1220" t="s">
        <v>1551</v>
      </c>
      <c r="C296" s="1221"/>
      <c r="D296" s="1221"/>
      <c r="E296" s="1459"/>
      <c r="F296" s="1460"/>
      <c r="G296" s="1461"/>
      <c r="H296" s="1462"/>
      <c r="I296" s="1463"/>
      <c r="J296" s="1462"/>
      <c r="K296" s="1464"/>
      <c r="L296" s="1415"/>
      <c r="M296" s="1214"/>
      <c r="N296" s="1214"/>
      <c r="O296" s="1214"/>
      <c r="P296" s="1214"/>
    </row>
    <row r="297" spans="1:18" s="1199" customFormat="1" ht="24" customHeight="1">
      <c r="A297" s="1339"/>
      <c r="B297" s="1259" t="s">
        <v>2953</v>
      </c>
      <c r="C297" s="1221"/>
      <c r="D297" s="1221"/>
      <c r="E297" s="1404">
        <v>1</v>
      </c>
      <c r="F297" s="1267" t="s">
        <v>363</v>
      </c>
      <c r="G297" s="1386">
        <v>92400</v>
      </c>
      <c r="H297" s="1413">
        <f t="shared" ref="H297:H298" si="54">ROUND(E297*G297,)</f>
        <v>92400</v>
      </c>
      <c r="I297" s="1414">
        <f>G297*0.1</f>
        <v>9240</v>
      </c>
      <c r="J297" s="1415">
        <f>ROUND(E297*I297,)</f>
        <v>9240</v>
      </c>
      <c r="K297" s="1415">
        <f t="shared" ref="K297:K298" si="55">H297+J297</f>
        <v>101640</v>
      </c>
      <c r="L297" s="1415"/>
      <c r="M297" s="1214"/>
      <c r="N297" s="1214"/>
      <c r="O297" s="1214"/>
      <c r="P297" s="1214"/>
    </row>
    <row r="298" spans="1:18" s="1199" customFormat="1" ht="24" customHeight="1">
      <c r="A298" s="1339"/>
      <c r="B298" s="1259" t="s">
        <v>2954</v>
      </c>
      <c r="C298" s="1221"/>
      <c r="D298" s="1221"/>
      <c r="E298" s="1404">
        <v>1</v>
      </c>
      <c r="F298" s="1267" t="s">
        <v>363</v>
      </c>
      <c r="G298" s="1386">
        <v>92400</v>
      </c>
      <c r="H298" s="1413">
        <f t="shared" si="54"/>
        <v>92400</v>
      </c>
      <c r="I298" s="1414">
        <f>G298*0.1</f>
        <v>9240</v>
      </c>
      <c r="J298" s="1415">
        <f>ROUND(E298*I298,)</f>
        <v>9240</v>
      </c>
      <c r="K298" s="1415">
        <f t="shared" si="55"/>
        <v>101640</v>
      </c>
      <c r="L298" s="1415"/>
      <c r="M298" s="1214"/>
      <c r="N298" s="1214"/>
      <c r="O298" s="1214"/>
      <c r="P298" s="1214"/>
    </row>
    <row r="299" spans="1:18" s="1199" customFormat="1" ht="24" customHeight="1">
      <c r="A299" s="1458" t="s">
        <v>1349</v>
      </c>
      <c r="B299" s="1259" t="s">
        <v>1557</v>
      </c>
      <c r="C299" s="1221"/>
      <c r="D299" s="1221"/>
      <c r="E299" s="1459"/>
      <c r="F299" s="1522"/>
      <c r="G299" s="1461"/>
      <c r="H299" s="1462"/>
      <c r="I299" s="1463"/>
      <c r="J299" s="1462"/>
      <c r="K299" s="1464"/>
      <c r="L299" s="1415"/>
      <c r="M299" s="1214"/>
      <c r="N299" s="1214"/>
      <c r="O299" s="1214"/>
      <c r="P299" s="1214"/>
    </row>
    <row r="300" spans="1:18" s="1199" customFormat="1" ht="24" customHeight="1">
      <c r="A300" s="1339"/>
      <c r="B300" s="1259" t="s">
        <v>2955</v>
      </c>
      <c r="C300" s="1221"/>
      <c r="D300" s="1221"/>
      <c r="E300" s="1404">
        <v>1</v>
      </c>
      <c r="F300" s="1267" t="s">
        <v>363</v>
      </c>
      <c r="G300" s="1386">
        <v>3500</v>
      </c>
      <c r="H300" s="1413">
        <f t="shared" ref="H300:H301" si="56">ROUND(E300*G300,)</f>
        <v>3500</v>
      </c>
      <c r="I300" s="1414">
        <f t="shared" ref="I300:I301" si="57">G300*0.1</f>
        <v>350</v>
      </c>
      <c r="J300" s="1415">
        <f t="shared" ref="J300:J301" si="58">ROUND(E300*I300,)</f>
        <v>350</v>
      </c>
      <c r="K300" s="1415">
        <f t="shared" ref="K300:K301" si="59">H300+J300</f>
        <v>3850</v>
      </c>
      <c r="L300" s="1415"/>
      <c r="M300" s="1214"/>
      <c r="N300" s="1214"/>
      <c r="O300" s="1214"/>
      <c r="P300" s="1214"/>
    </row>
    <row r="301" spans="1:18" s="1199" customFormat="1" ht="24" customHeight="1">
      <c r="A301" s="1339"/>
      <c r="B301" s="1259" t="s">
        <v>2956</v>
      </c>
      <c r="C301" s="1221"/>
      <c r="D301" s="1221"/>
      <c r="E301" s="1404">
        <v>1</v>
      </c>
      <c r="F301" s="1267" t="s">
        <v>363</v>
      </c>
      <c r="G301" s="1386">
        <v>3500</v>
      </c>
      <c r="H301" s="1413">
        <f t="shared" si="56"/>
        <v>3500</v>
      </c>
      <c r="I301" s="1414">
        <f t="shared" si="57"/>
        <v>350</v>
      </c>
      <c r="J301" s="1415">
        <f t="shared" si="58"/>
        <v>350</v>
      </c>
      <c r="K301" s="1415">
        <f t="shared" si="59"/>
        <v>3850</v>
      </c>
      <c r="L301" s="1415"/>
      <c r="M301" s="1214"/>
      <c r="N301" s="1214"/>
      <c r="O301" s="1214"/>
      <c r="P301" s="1214"/>
    </row>
    <row r="302" spans="1:18" s="1199" customFormat="1" ht="24" customHeight="1">
      <c r="A302" s="1458" t="s">
        <v>1577</v>
      </c>
      <c r="B302" s="1259" t="s">
        <v>1312</v>
      </c>
      <c r="C302" s="1221"/>
      <c r="D302" s="1221"/>
      <c r="E302" s="1404"/>
      <c r="F302" s="1412"/>
      <c r="G302" s="1386"/>
      <c r="H302" s="1413"/>
      <c r="I302" s="1414"/>
      <c r="J302" s="1415"/>
      <c r="K302" s="1415"/>
      <c r="L302" s="1415"/>
      <c r="M302" s="1214"/>
      <c r="N302" s="1214"/>
      <c r="O302" s="1214"/>
      <c r="P302" s="1214"/>
    </row>
    <row r="303" spans="1:18" s="1199" customFormat="1" ht="24" customHeight="1">
      <c r="A303" s="1339"/>
      <c r="B303" s="1259" t="s">
        <v>1567</v>
      </c>
      <c r="C303" s="1221"/>
      <c r="D303" s="1221"/>
      <c r="E303" s="1404">
        <v>200</v>
      </c>
      <c r="F303" s="1262" t="s">
        <v>226</v>
      </c>
      <c r="G303" s="1386">
        <v>103</v>
      </c>
      <c r="H303" s="1413">
        <f>ROUND(E303*G303,)</f>
        <v>20600</v>
      </c>
      <c r="I303" s="1414">
        <v>21</v>
      </c>
      <c r="J303" s="1415">
        <f>ROUND(E303*I303,)</f>
        <v>4200</v>
      </c>
      <c r="K303" s="1415">
        <f>H303+J303</f>
        <v>24800</v>
      </c>
      <c r="L303" s="1415"/>
      <c r="M303" s="1214"/>
      <c r="N303" s="1214"/>
      <c r="O303" s="1214"/>
      <c r="P303" s="1214"/>
    </row>
    <row r="304" spans="1:18" s="1199" customFormat="1" ht="24" customHeight="1">
      <c r="A304" s="1339"/>
      <c r="B304" s="1259" t="s">
        <v>1568</v>
      </c>
      <c r="C304" s="1221"/>
      <c r="D304" s="1221"/>
      <c r="E304" s="1404">
        <v>120</v>
      </c>
      <c r="F304" s="1262" t="s">
        <v>226</v>
      </c>
      <c r="G304" s="1386">
        <v>139</v>
      </c>
      <c r="H304" s="1413">
        <f>ROUND(E304*G304,)</f>
        <v>16680</v>
      </c>
      <c r="I304" s="1414">
        <v>21</v>
      </c>
      <c r="J304" s="1415">
        <f>ROUND(E304*I304,)</f>
        <v>2520</v>
      </c>
      <c r="K304" s="1415">
        <f>H304+J304</f>
        <v>19200</v>
      </c>
      <c r="L304" s="1415"/>
      <c r="M304" s="1214"/>
      <c r="N304" s="1214"/>
      <c r="O304" s="1214"/>
      <c r="P304" s="1214"/>
    </row>
    <row r="305" spans="1:21" s="1199" customFormat="1" ht="24" customHeight="1">
      <c r="A305" s="1339"/>
      <c r="B305" s="1259" t="s">
        <v>1525</v>
      </c>
      <c r="C305" s="1221"/>
      <c r="D305" s="1221"/>
      <c r="E305" s="1404">
        <v>1</v>
      </c>
      <c r="F305" s="1412" t="s">
        <v>1104</v>
      </c>
      <c r="G305" s="1386">
        <f>SUM(H303:H304)*5%</f>
        <v>1864</v>
      </c>
      <c r="H305" s="1343">
        <f t="shared" ref="H305" si="60">ROUND(E305*G305,)</f>
        <v>1864</v>
      </c>
      <c r="I305" s="1414">
        <f>G305*0.3</f>
        <v>559.19999999999993</v>
      </c>
      <c r="J305" s="1343">
        <f t="shared" ref="J305" si="61">ROUND(E305*I305,)</f>
        <v>559</v>
      </c>
      <c r="K305" s="1262">
        <f t="shared" ref="K305" si="62">H305+J305</f>
        <v>2423</v>
      </c>
      <c r="L305" s="1415"/>
      <c r="M305" s="1214"/>
      <c r="N305" s="1214"/>
      <c r="O305" s="1214"/>
      <c r="P305" s="1214"/>
    </row>
    <row r="306" spans="1:21" s="1199" customFormat="1" ht="24" customHeight="1">
      <c r="A306" s="1339" t="s">
        <v>1359</v>
      </c>
      <c r="B306" s="1259" t="s">
        <v>1343</v>
      </c>
      <c r="C306" s="1221"/>
      <c r="D306" s="1221"/>
      <c r="E306" s="1404"/>
      <c r="F306" s="1412"/>
      <c r="G306" s="1386"/>
      <c r="H306" s="1343"/>
      <c r="I306" s="1414"/>
      <c r="J306" s="1343"/>
      <c r="K306" s="1262"/>
      <c r="L306" s="1466"/>
    </row>
    <row r="307" spans="1:21" s="1199" customFormat="1" ht="24" customHeight="1">
      <c r="A307" s="1339"/>
      <c r="B307" s="1259" t="s">
        <v>1344</v>
      </c>
      <c r="C307" s="1221"/>
      <c r="D307" s="1221"/>
      <c r="E307" s="1404">
        <v>40</v>
      </c>
      <c r="F307" s="1262" t="s">
        <v>226</v>
      </c>
      <c r="G307" s="1386">
        <v>316</v>
      </c>
      <c r="H307" s="1343">
        <f t="shared" ref="H307" si="63">ROUND(E307*G307,)</f>
        <v>12640</v>
      </c>
      <c r="I307" s="1414">
        <v>50</v>
      </c>
      <c r="J307" s="1343">
        <f t="shared" ref="J307:J308" si="64">ROUND(E307*I307,)</f>
        <v>2000</v>
      </c>
      <c r="K307" s="1262">
        <f t="shared" ref="K307:K308" si="65">H307+J307</f>
        <v>14640</v>
      </c>
      <c r="L307" s="1466"/>
    </row>
    <row r="308" spans="1:21" s="1199" customFormat="1" ht="24" customHeight="1">
      <c r="A308" s="1339"/>
      <c r="B308" s="1220" t="s">
        <v>1384</v>
      </c>
      <c r="C308" s="1221"/>
      <c r="D308" s="1221"/>
      <c r="E308" s="1404">
        <v>1</v>
      </c>
      <c r="F308" s="1412" t="s">
        <v>1104</v>
      </c>
      <c r="G308" s="1386">
        <f>SUM(H307)*15%</f>
        <v>1896</v>
      </c>
      <c r="H308" s="1343">
        <f t="shared" ref="H308" si="66">ROUND(G308*E308,)</f>
        <v>1896</v>
      </c>
      <c r="I308" s="1414">
        <f>G308*0.3</f>
        <v>568.79999999999995</v>
      </c>
      <c r="J308" s="1343">
        <f t="shared" si="64"/>
        <v>569</v>
      </c>
      <c r="K308" s="1262">
        <f t="shared" si="65"/>
        <v>2465</v>
      </c>
      <c r="L308" s="1466"/>
    </row>
    <row r="309" spans="1:21" s="1199" customFormat="1" ht="24" customHeight="1">
      <c r="A309" s="1339"/>
      <c r="B309" s="1220" t="s">
        <v>1117</v>
      </c>
      <c r="C309" s="1221"/>
      <c r="D309" s="1221"/>
      <c r="E309" s="1404"/>
      <c r="F309" s="1412"/>
      <c r="G309" s="1386"/>
      <c r="H309" s="1413"/>
      <c r="I309" s="1414"/>
      <c r="J309" s="1415"/>
      <c r="K309" s="1415"/>
      <c r="L309" s="1415"/>
      <c r="M309" s="1214"/>
      <c r="N309" s="1214"/>
      <c r="O309" s="1214"/>
      <c r="P309" s="1214"/>
    </row>
    <row r="310" spans="1:21" s="1199" customFormat="1" ht="24" customHeight="1">
      <c r="A310" s="1339"/>
      <c r="B310" s="1220" t="s">
        <v>1118</v>
      </c>
      <c r="C310" s="1221"/>
      <c r="D310" s="1221"/>
      <c r="E310" s="1404"/>
      <c r="F310" s="1412"/>
      <c r="G310" s="1386"/>
      <c r="H310" s="1413"/>
      <c r="I310" s="1414"/>
      <c r="J310" s="1415"/>
      <c r="K310" s="1415"/>
      <c r="L310" s="1415"/>
      <c r="M310" s="1214"/>
      <c r="N310" s="1214"/>
      <c r="O310" s="1214"/>
      <c r="P310" s="1214"/>
    </row>
    <row r="311" spans="1:21" s="1199" customFormat="1" ht="24" customHeight="1">
      <c r="A311" s="1339"/>
      <c r="B311" s="1220" t="s">
        <v>1118</v>
      </c>
      <c r="C311" s="1221"/>
      <c r="D311" s="1221"/>
      <c r="E311" s="1404"/>
      <c r="F311" s="1412"/>
      <c r="G311" s="1386"/>
      <c r="H311" s="1413"/>
      <c r="I311" s="1414"/>
      <c r="J311" s="1415"/>
      <c r="K311" s="1415"/>
      <c r="L311" s="1415"/>
      <c r="M311" s="1214"/>
      <c r="N311" s="1214"/>
      <c r="O311" s="1214"/>
      <c r="P311" s="1214"/>
    </row>
    <row r="312" spans="1:21" s="1199" customFormat="1" ht="24" customHeight="1">
      <c r="A312" s="1243"/>
      <c r="B312" s="2257" t="str">
        <f>"รวมราคารายการที่ "&amp;A295</f>
        <v>รวมราคารายการที่ 3.11</v>
      </c>
      <c r="C312" s="2258"/>
      <c r="D312" s="2259"/>
      <c r="E312" s="1244"/>
      <c r="F312" s="1245"/>
      <c r="G312" s="1246"/>
      <c r="H312" s="1247">
        <f>SUM(H295:H311)</f>
        <v>245480</v>
      </c>
      <c r="I312" s="1246"/>
      <c r="J312" s="1247">
        <f>SUM(J295:J311)</f>
        <v>29028</v>
      </c>
      <c r="K312" s="1247">
        <f>SUM(K295:K311)</f>
        <v>274508</v>
      </c>
      <c r="L312" s="1245"/>
    </row>
    <row r="313" spans="1:21" s="1199" customFormat="1" ht="24" customHeight="1">
      <c r="A313" s="1467" t="s">
        <v>2917</v>
      </c>
      <c r="B313" s="1292" t="s">
        <v>1571</v>
      </c>
      <c r="C313" s="1468"/>
      <c r="D313" s="1192"/>
      <c r="E313" s="1193"/>
      <c r="F313" s="1194"/>
      <c r="G313" s="1297"/>
      <c r="H313" s="1298"/>
      <c r="I313" s="1299"/>
      <c r="J313" s="1298"/>
      <c r="K313" s="1299"/>
      <c r="L313" s="1469"/>
      <c r="M313" s="1214"/>
      <c r="N313" s="1214"/>
      <c r="O313" s="1214"/>
      <c r="P313" s="1214"/>
      <c r="Q313" s="1214"/>
      <c r="R313" s="1214"/>
      <c r="S313" s="1214"/>
      <c r="T313" s="1214"/>
      <c r="U313" s="1214"/>
    </row>
    <row r="314" spans="1:21" s="1199" customFormat="1" ht="24" customHeight="1">
      <c r="A314" s="1470" t="s">
        <v>1352</v>
      </c>
      <c r="B314" s="2174" t="s">
        <v>1611</v>
      </c>
      <c r="C314" s="1191"/>
      <c r="D314" s="1471"/>
      <c r="E314" s="1472">
        <v>2</v>
      </c>
      <c r="F314" s="1267" t="s">
        <v>363</v>
      </c>
      <c r="G314" s="2178">
        <v>3200</v>
      </c>
      <c r="H314" s="1343">
        <f>ROUND(E314*G314,)</f>
        <v>6400</v>
      </c>
      <c r="I314" s="1344">
        <v>150</v>
      </c>
      <c r="J314" s="1343">
        <f>ROUND(I314*E314,)</f>
        <v>300</v>
      </c>
      <c r="K314" s="1344">
        <f>H314+J314</f>
        <v>6700</v>
      </c>
      <c r="L314" s="1473"/>
      <c r="M314" s="1214"/>
      <c r="N314" s="1214"/>
      <c r="O314" s="1214"/>
      <c r="P314" s="1214"/>
      <c r="Q314" s="1214"/>
      <c r="R314" s="1214"/>
      <c r="S314" s="1214"/>
      <c r="T314" s="1214"/>
      <c r="U314" s="1214"/>
    </row>
    <row r="315" spans="1:21" s="1199" customFormat="1" ht="24" customHeight="1">
      <c r="A315" s="1474" t="s">
        <v>1354</v>
      </c>
      <c r="B315" s="2174" t="s">
        <v>1612</v>
      </c>
      <c r="C315" s="1191"/>
      <c r="D315" s="1471"/>
      <c r="E315" s="1472">
        <v>2</v>
      </c>
      <c r="F315" s="1267" t="s">
        <v>363</v>
      </c>
      <c r="G315" s="2178">
        <v>2640</v>
      </c>
      <c r="H315" s="1343">
        <f>ROUND(E315*G315,)</f>
        <v>5280</v>
      </c>
      <c r="I315" s="1344">
        <v>150</v>
      </c>
      <c r="J315" s="1343">
        <f>ROUND(I315*E315,)</f>
        <v>300</v>
      </c>
      <c r="K315" s="1344">
        <f>H315+J315</f>
        <v>5580</v>
      </c>
      <c r="L315" s="1473"/>
      <c r="M315" s="1214"/>
      <c r="N315" s="1214"/>
      <c r="O315" s="1214"/>
      <c r="P315" s="1214"/>
      <c r="Q315" s="1214"/>
      <c r="R315" s="1214"/>
      <c r="S315" s="1214"/>
      <c r="T315" s="1214"/>
      <c r="U315" s="1214"/>
    </row>
    <row r="316" spans="1:21" s="1199" customFormat="1" ht="24" customHeight="1">
      <c r="A316" s="1474" t="s">
        <v>1357</v>
      </c>
      <c r="B316" s="2174" t="s">
        <v>1613</v>
      </c>
      <c r="C316" s="1191"/>
      <c r="D316" s="1471"/>
      <c r="E316" s="1206"/>
      <c r="F316" s="1207"/>
      <c r="G316" s="2175"/>
      <c r="H316" s="1264"/>
      <c r="I316" s="1265"/>
      <c r="J316" s="1264"/>
      <c r="K316" s="1265"/>
      <c r="L316" s="1473"/>
      <c r="M316" s="1214"/>
      <c r="N316" s="1214"/>
      <c r="O316" s="1214"/>
      <c r="P316" s="1214"/>
      <c r="Q316" s="1214"/>
      <c r="R316" s="1214"/>
      <c r="S316" s="1214"/>
      <c r="T316" s="1214"/>
      <c r="U316" s="1214"/>
    </row>
    <row r="317" spans="1:21" s="1199" customFormat="1" ht="24" customHeight="1">
      <c r="A317" s="1478"/>
      <c r="B317" s="1259" t="s">
        <v>1614</v>
      </c>
      <c r="C317" s="1191"/>
      <c r="D317" s="1471"/>
      <c r="E317" s="1206">
        <v>550</v>
      </c>
      <c r="F317" s="1207" t="s">
        <v>226</v>
      </c>
      <c r="G317" s="2178">
        <v>10</v>
      </c>
      <c r="H317" s="1264">
        <f>ROUND(E317*G317,)</f>
        <v>5500</v>
      </c>
      <c r="I317" s="1265">
        <v>5</v>
      </c>
      <c r="J317" s="1264">
        <f>ROUND(I317*E317,)</f>
        <v>2750</v>
      </c>
      <c r="K317" s="1265">
        <f>H317+J317</f>
        <v>8250</v>
      </c>
      <c r="L317" s="1473"/>
      <c r="M317" s="1214"/>
      <c r="N317" s="1214"/>
      <c r="O317" s="1214"/>
      <c r="P317" s="1214"/>
      <c r="Q317" s="1214"/>
      <c r="R317" s="1214"/>
      <c r="S317" s="1214"/>
      <c r="T317" s="1214"/>
      <c r="U317" s="1214"/>
    </row>
    <row r="318" spans="1:21" s="1199" customFormat="1" ht="24" customHeight="1">
      <c r="A318" s="1474" t="s">
        <v>2677</v>
      </c>
      <c r="B318" s="2174" t="s">
        <v>1526</v>
      </c>
      <c r="C318" s="1191"/>
      <c r="D318" s="1471"/>
      <c r="E318" s="1206"/>
      <c r="F318" s="1207"/>
      <c r="G318" s="2175"/>
      <c r="H318" s="1264"/>
      <c r="I318" s="1265"/>
      <c r="J318" s="1264"/>
      <c r="K318" s="1265"/>
      <c r="L318" s="1473"/>
      <c r="M318" s="1214"/>
      <c r="N318" s="1214"/>
      <c r="O318" s="1214"/>
      <c r="P318" s="1214"/>
      <c r="Q318" s="1214"/>
      <c r="R318" s="1214"/>
      <c r="S318" s="1214"/>
      <c r="T318" s="1214"/>
      <c r="U318" s="1214"/>
    </row>
    <row r="319" spans="1:21" s="1199" customFormat="1" ht="24" customHeight="1">
      <c r="A319" s="1479"/>
      <c r="B319" s="2174" t="s">
        <v>1350</v>
      </c>
      <c r="C319" s="1191"/>
      <c r="D319" s="1471"/>
      <c r="E319" s="1387"/>
      <c r="F319" s="1358" t="s">
        <v>226</v>
      </c>
      <c r="G319" s="2176">
        <v>27</v>
      </c>
      <c r="H319" s="1264">
        <f t="shared" ref="H319" si="67">ROUND(G319*E319,)</f>
        <v>0</v>
      </c>
      <c r="I319" s="2177">
        <v>22</v>
      </c>
      <c r="J319" s="1264">
        <f t="shared" ref="J319" si="68">ROUND(E319*I319,)</f>
        <v>0</v>
      </c>
      <c r="K319" s="1802">
        <f t="shared" ref="K319" si="69">H319+J319</f>
        <v>0</v>
      </c>
      <c r="L319" s="2001" t="s">
        <v>2667</v>
      </c>
      <c r="M319" s="1214"/>
      <c r="N319" s="1214"/>
      <c r="O319" s="1214"/>
      <c r="P319" s="1214"/>
      <c r="Q319" s="1214"/>
      <c r="R319" s="1214"/>
      <c r="S319" s="1214"/>
      <c r="T319" s="1214"/>
      <c r="U319" s="1214"/>
    </row>
    <row r="320" spans="1:21" s="1199" customFormat="1" ht="24" customHeight="1">
      <c r="A320" s="1474" t="s">
        <v>2679</v>
      </c>
      <c r="B320" s="2174" t="s">
        <v>1110</v>
      </c>
      <c r="C320" s="1191"/>
      <c r="D320" s="1471"/>
      <c r="E320" s="1206"/>
      <c r="F320" s="1207"/>
      <c r="G320" s="2175"/>
      <c r="H320" s="1264"/>
      <c r="I320" s="1265"/>
      <c r="J320" s="1264"/>
      <c r="K320" s="1265"/>
      <c r="L320" s="1473"/>
      <c r="M320" s="1214"/>
      <c r="N320" s="1214"/>
      <c r="O320" s="1214"/>
      <c r="P320" s="1214"/>
      <c r="Q320" s="1214"/>
      <c r="R320" s="1214"/>
      <c r="S320" s="1214"/>
      <c r="T320" s="1214"/>
      <c r="U320" s="1214"/>
    </row>
    <row r="321" spans="1:21" s="1199" customFormat="1" ht="24" customHeight="1">
      <c r="A321" s="1480"/>
      <c r="B321" s="2174" t="s">
        <v>1350</v>
      </c>
      <c r="C321" s="1191"/>
      <c r="D321" s="1471"/>
      <c r="E321" s="1387">
        <v>80</v>
      </c>
      <c r="F321" s="1358" t="s">
        <v>226</v>
      </c>
      <c r="G321" s="2176">
        <v>56</v>
      </c>
      <c r="H321" s="1264">
        <f>ROUND(E321*G321,)</f>
        <v>4480</v>
      </c>
      <c r="I321" s="2177">
        <v>26</v>
      </c>
      <c r="J321" s="1264">
        <f t="shared" ref="J321" si="70">ROUND(E321*I321,)</f>
        <v>2080</v>
      </c>
      <c r="K321" s="1801">
        <f t="shared" ref="K321" si="71">H321+J321</f>
        <v>6560</v>
      </c>
      <c r="L321" s="2001" t="s">
        <v>2667</v>
      </c>
      <c r="M321" s="1214"/>
      <c r="N321" s="1199">
        <v>169.2</v>
      </c>
      <c r="O321" s="1199">
        <f>ROUND(N321/3,)</f>
        <v>56</v>
      </c>
      <c r="P321" s="1214"/>
      <c r="Q321" s="1214"/>
      <c r="R321" s="1214"/>
      <c r="S321" s="1214"/>
      <c r="T321" s="1214"/>
      <c r="U321" s="1214"/>
    </row>
    <row r="322" spans="1:21" s="1199" customFormat="1" ht="24" customHeight="1">
      <c r="A322" s="1480"/>
      <c r="B322" s="2174" t="s">
        <v>1384</v>
      </c>
      <c r="C322" s="1191"/>
      <c r="D322" s="1471"/>
      <c r="E322" s="1206">
        <v>1</v>
      </c>
      <c r="F322" s="1207" t="s">
        <v>1104</v>
      </c>
      <c r="G322" s="2175">
        <f>ROUND(SUM(H319:H321)*15%,0)</f>
        <v>672</v>
      </c>
      <c r="H322" s="1264">
        <f>ROUND(E322*G322,)</f>
        <v>672</v>
      </c>
      <c r="I322" s="1265">
        <f>ROUND(G322*0.3,0)</f>
        <v>202</v>
      </c>
      <c r="J322" s="1264">
        <f>ROUND(I322*E322,)</f>
        <v>202</v>
      </c>
      <c r="K322" s="1265">
        <f>H322+I322</f>
        <v>874</v>
      </c>
      <c r="L322" s="1473"/>
      <c r="M322" s="1214"/>
      <c r="N322" s="1214"/>
      <c r="O322" s="1214"/>
      <c r="P322" s="1214"/>
      <c r="Q322" s="1214"/>
      <c r="R322" s="1214"/>
      <c r="S322" s="1214"/>
      <c r="T322" s="1214"/>
      <c r="U322" s="1214"/>
    </row>
    <row r="323" spans="1:21" s="1199" customFormat="1" ht="24" customHeight="1">
      <c r="A323" s="1474" t="s">
        <v>2918</v>
      </c>
      <c r="B323" s="2174" t="s">
        <v>1381</v>
      </c>
      <c r="C323" s="1191"/>
      <c r="D323" s="1471"/>
      <c r="E323" s="1206"/>
      <c r="F323" s="1207" t="s">
        <v>1104</v>
      </c>
      <c r="G323" s="2175"/>
      <c r="H323" s="1264"/>
      <c r="I323" s="1504"/>
      <c r="J323" s="1264"/>
      <c r="K323" s="1265"/>
      <c r="L323" s="1473"/>
      <c r="M323" s="1214"/>
      <c r="N323" s="1214"/>
      <c r="O323" s="1214"/>
      <c r="P323" s="1214"/>
      <c r="Q323" s="1214"/>
      <c r="R323" s="1214"/>
      <c r="S323" s="1214"/>
      <c r="T323" s="1214"/>
      <c r="U323" s="1214"/>
    </row>
    <row r="324" spans="1:21" s="1199" customFormat="1" ht="24" customHeight="1">
      <c r="A324" s="1480"/>
      <c r="B324" s="2174" t="s">
        <v>1117</v>
      </c>
      <c r="C324" s="1191"/>
      <c r="D324" s="1471"/>
      <c r="E324" s="1206"/>
      <c r="F324" s="1207"/>
      <c r="G324" s="2175"/>
      <c r="H324" s="1264"/>
      <c r="I324" s="1265"/>
      <c r="J324" s="1264"/>
      <c r="K324" s="1265"/>
      <c r="L324" s="1473"/>
      <c r="M324" s="1214"/>
      <c r="N324" s="1214"/>
      <c r="O324" s="1214"/>
      <c r="P324" s="1214"/>
      <c r="Q324" s="1214"/>
      <c r="R324" s="1214"/>
      <c r="S324" s="1214"/>
      <c r="T324" s="1214"/>
      <c r="U324" s="1214"/>
    </row>
    <row r="325" spans="1:21" s="1199" customFormat="1" ht="24" customHeight="1">
      <c r="A325" s="1331"/>
      <c r="B325" s="2174" t="s">
        <v>1118</v>
      </c>
      <c r="C325" s="1202"/>
      <c r="D325" s="1202"/>
      <c r="E325" s="1387"/>
      <c r="F325" s="1384"/>
      <c r="G325" s="2176"/>
      <c r="H325" s="1388"/>
      <c r="I325" s="2177"/>
      <c r="J325" s="1385"/>
      <c r="K325" s="1385"/>
      <c r="L325" s="1385"/>
      <c r="M325" s="1214"/>
      <c r="N325" s="1214"/>
      <c r="O325" s="1214"/>
      <c r="P325" s="1214"/>
      <c r="Q325" s="1214"/>
      <c r="R325" s="1214"/>
    </row>
    <row r="326" spans="1:21" s="1199" customFormat="1" ht="24" customHeight="1">
      <c r="A326" s="1331"/>
      <c r="B326" s="2174" t="s">
        <v>1118</v>
      </c>
      <c r="C326" s="1202"/>
      <c r="D326" s="1202"/>
      <c r="E326" s="1387"/>
      <c r="F326" s="1384"/>
      <c r="G326" s="2176"/>
      <c r="H326" s="1388"/>
      <c r="I326" s="2177"/>
      <c r="J326" s="1385"/>
      <c r="K326" s="1385"/>
      <c r="L326" s="1385"/>
      <c r="M326" s="1214"/>
      <c r="N326" s="1214"/>
      <c r="O326" s="1214"/>
      <c r="P326" s="1214"/>
      <c r="Q326" s="1214"/>
      <c r="R326" s="1214"/>
    </row>
    <row r="327" spans="1:21" s="1199" customFormat="1" ht="24" customHeight="1">
      <c r="A327" s="1331"/>
      <c r="B327" s="1240"/>
      <c r="C327" s="1202"/>
      <c r="D327" s="1202"/>
      <c r="E327" s="1387"/>
      <c r="F327" s="1384"/>
      <c r="G327" s="2176"/>
      <c r="H327" s="1388"/>
      <c r="I327" s="2177"/>
      <c r="J327" s="1385"/>
      <c r="K327" s="1385"/>
      <c r="L327" s="1385"/>
      <c r="M327" s="1214"/>
      <c r="N327" s="1214"/>
      <c r="O327" s="1214"/>
      <c r="P327" s="1214"/>
      <c r="Q327" s="1214"/>
      <c r="R327" s="1214"/>
    </row>
    <row r="328" spans="1:21" s="1199" customFormat="1" ht="24" customHeight="1">
      <c r="A328" s="1331"/>
      <c r="B328" s="1240"/>
      <c r="C328" s="1202"/>
      <c r="D328" s="1202"/>
      <c r="E328" s="1387"/>
      <c r="F328" s="1384"/>
      <c r="G328" s="2176"/>
      <c r="H328" s="1388"/>
      <c r="I328" s="2177"/>
      <c r="J328" s="1385"/>
      <c r="K328" s="1385"/>
      <c r="L328" s="1385"/>
      <c r="M328" s="1214"/>
      <c r="N328" s="1214"/>
      <c r="O328" s="1214"/>
      <c r="P328" s="1214"/>
      <c r="Q328" s="1214"/>
      <c r="R328" s="1214"/>
    </row>
    <row r="329" spans="1:21" s="1199" customFormat="1" ht="24" customHeight="1">
      <c r="A329" s="1331"/>
      <c r="B329" s="1240"/>
      <c r="C329" s="1202"/>
      <c r="D329" s="1202"/>
      <c r="E329" s="1387"/>
      <c r="F329" s="1384"/>
      <c r="G329" s="2176"/>
      <c r="H329" s="1388"/>
      <c r="I329" s="2177"/>
      <c r="J329" s="1385"/>
      <c r="K329" s="1385"/>
      <c r="L329" s="1385"/>
      <c r="M329" s="1214"/>
      <c r="N329" s="1214"/>
      <c r="O329" s="1214"/>
      <c r="P329" s="1214"/>
      <c r="Q329" s="1214"/>
      <c r="R329" s="1214"/>
    </row>
    <row r="330" spans="1:21" s="1199" customFormat="1" ht="24" customHeight="1">
      <c r="A330" s="1331"/>
      <c r="B330" s="1240"/>
      <c r="C330" s="1202"/>
      <c r="D330" s="1202"/>
      <c r="E330" s="1387"/>
      <c r="F330" s="1384"/>
      <c r="G330" s="2176"/>
      <c r="H330" s="1388"/>
      <c r="I330" s="2177"/>
      <c r="J330" s="1385"/>
      <c r="K330" s="1385"/>
      <c r="L330" s="1385"/>
      <c r="M330" s="1214"/>
      <c r="N330" s="1214"/>
      <c r="O330" s="1214"/>
      <c r="P330" s="1214"/>
      <c r="Q330" s="1214"/>
      <c r="R330" s="1214"/>
    </row>
    <row r="331" spans="1:21" s="1199" customFormat="1" ht="24" customHeight="1">
      <c r="A331" s="1331"/>
      <c r="B331" s="1240"/>
      <c r="C331" s="1202"/>
      <c r="D331" s="1202"/>
      <c r="E331" s="1387"/>
      <c r="F331" s="1384"/>
      <c r="G331" s="2176"/>
      <c r="H331" s="1388"/>
      <c r="I331" s="2177"/>
      <c r="J331" s="1385"/>
      <c r="K331" s="1385"/>
      <c r="L331" s="1385"/>
      <c r="M331" s="1214"/>
      <c r="N331" s="1214"/>
      <c r="O331" s="1214"/>
      <c r="P331" s="1214"/>
      <c r="Q331" s="1214"/>
      <c r="R331" s="1214"/>
    </row>
    <row r="332" spans="1:21" s="1199" customFormat="1" ht="24" customHeight="1">
      <c r="A332" s="1331"/>
      <c r="B332" s="1240"/>
      <c r="C332" s="1202"/>
      <c r="D332" s="1202"/>
      <c r="E332" s="1387"/>
      <c r="F332" s="1384"/>
      <c r="G332" s="2176"/>
      <c r="H332" s="1388"/>
      <c r="I332" s="2177"/>
      <c r="J332" s="1385"/>
      <c r="K332" s="1385"/>
      <c r="L332" s="1385"/>
      <c r="M332" s="1214"/>
      <c r="N332" s="1214"/>
      <c r="O332" s="1214"/>
      <c r="P332" s="1214"/>
      <c r="Q332" s="1214"/>
      <c r="R332" s="1214"/>
    </row>
    <row r="333" spans="1:21" s="1199" customFormat="1" ht="24" customHeight="1">
      <c r="A333" s="1331"/>
      <c r="B333" s="1240"/>
      <c r="C333" s="1202"/>
      <c r="D333" s="1202"/>
      <c r="E333" s="1387"/>
      <c r="F333" s="1384"/>
      <c r="G333" s="2176"/>
      <c r="H333" s="1388"/>
      <c r="I333" s="2177"/>
      <c r="J333" s="1385"/>
      <c r="K333" s="1385"/>
      <c r="L333" s="1385"/>
      <c r="M333" s="1214"/>
      <c r="N333" s="1214"/>
      <c r="O333" s="1214"/>
      <c r="P333" s="1214"/>
      <c r="Q333" s="1214"/>
      <c r="R333" s="1214"/>
    </row>
    <row r="334" spans="1:21" s="1199" customFormat="1" ht="24" customHeight="1">
      <c r="A334" s="1331"/>
      <c r="B334" s="1240"/>
      <c r="C334" s="1202"/>
      <c r="D334" s="1202"/>
      <c r="E334" s="1387"/>
      <c r="F334" s="1384"/>
      <c r="G334" s="2176"/>
      <c r="H334" s="1388"/>
      <c r="I334" s="2177"/>
      <c r="J334" s="1385"/>
      <c r="K334" s="1385"/>
      <c r="L334" s="1385"/>
      <c r="M334" s="1214"/>
      <c r="N334" s="1214"/>
      <c r="O334" s="1214"/>
      <c r="P334" s="1214"/>
      <c r="Q334" s="1214"/>
      <c r="R334" s="1214"/>
    </row>
    <row r="335" spans="1:21" s="1199" customFormat="1" ht="24" customHeight="1">
      <c r="A335" s="1331"/>
      <c r="B335" s="1240"/>
      <c r="C335" s="1202"/>
      <c r="D335" s="1202"/>
      <c r="E335" s="1387"/>
      <c r="F335" s="1384"/>
      <c r="G335" s="2176"/>
      <c r="H335" s="1388"/>
      <c r="I335" s="2177"/>
      <c r="J335" s="1385"/>
      <c r="K335" s="1385"/>
      <c r="L335" s="1385"/>
      <c r="M335" s="1214"/>
      <c r="N335" s="1214"/>
      <c r="O335" s="1214"/>
      <c r="P335" s="1214"/>
      <c r="Q335" s="1214"/>
      <c r="R335" s="1214"/>
    </row>
    <row r="336" spans="1:21" s="1199" customFormat="1" ht="24" customHeight="1">
      <c r="A336" s="1331"/>
      <c r="B336" s="1240"/>
      <c r="C336" s="1202"/>
      <c r="D336" s="1202"/>
      <c r="E336" s="1387"/>
      <c r="F336" s="1384"/>
      <c r="G336" s="2176"/>
      <c r="H336" s="1388"/>
      <c r="I336" s="2177"/>
      <c r="J336" s="1385"/>
      <c r="K336" s="1385"/>
      <c r="L336" s="1385"/>
      <c r="M336" s="1214"/>
      <c r="N336" s="1214"/>
      <c r="O336" s="1214"/>
      <c r="P336" s="1214"/>
      <c r="Q336" s="1214"/>
      <c r="R336" s="1214"/>
    </row>
    <row r="337" spans="1:21" s="1199" customFormat="1" ht="24" customHeight="1">
      <c r="A337" s="1331"/>
      <c r="B337" s="1240"/>
      <c r="C337" s="1202"/>
      <c r="D337" s="1202"/>
      <c r="E337" s="1387"/>
      <c r="F337" s="1384"/>
      <c r="G337" s="2176"/>
      <c r="H337" s="1388"/>
      <c r="I337" s="2177"/>
      <c r="J337" s="1385"/>
      <c r="K337" s="1385"/>
      <c r="L337" s="1385"/>
      <c r="M337" s="1214"/>
      <c r="N337" s="1214"/>
      <c r="O337" s="1214"/>
      <c r="P337" s="1214"/>
      <c r="Q337" s="1214"/>
      <c r="R337" s="1214"/>
    </row>
    <row r="338" spans="1:21" s="1199" customFormat="1" ht="24" customHeight="1">
      <c r="A338" s="1331"/>
      <c r="B338" s="1240"/>
      <c r="C338" s="1202"/>
      <c r="D338" s="1202"/>
      <c r="E338" s="1387"/>
      <c r="F338" s="1384"/>
      <c r="G338" s="2176"/>
      <c r="H338" s="1388"/>
      <c r="I338" s="2177"/>
      <c r="J338" s="1385"/>
      <c r="K338" s="1385"/>
      <c r="L338" s="1385"/>
      <c r="M338" s="1214"/>
      <c r="N338" s="1214"/>
      <c r="O338" s="1214"/>
      <c r="P338" s="1214"/>
      <c r="Q338" s="1214"/>
      <c r="R338" s="1214"/>
    </row>
    <row r="339" spans="1:21" s="1199" customFormat="1" ht="24" customHeight="1">
      <c r="A339" s="1331"/>
      <c r="B339" s="1240"/>
      <c r="C339" s="1202"/>
      <c r="D339" s="1202"/>
      <c r="E339" s="1387"/>
      <c r="F339" s="1384"/>
      <c r="G339" s="2176"/>
      <c r="H339" s="1388"/>
      <c r="I339" s="2177"/>
      <c r="J339" s="1385"/>
      <c r="K339" s="1385"/>
      <c r="L339" s="1385"/>
      <c r="M339" s="1214"/>
      <c r="N339" s="1214"/>
      <c r="O339" s="1214"/>
      <c r="P339" s="1214"/>
      <c r="Q339" s="1214"/>
      <c r="R339" s="1214"/>
    </row>
    <row r="340" spans="1:21" s="1199" customFormat="1" ht="24" customHeight="1">
      <c r="A340" s="1331"/>
      <c r="B340" s="1240"/>
      <c r="C340" s="1202"/>
      <c r="D340" s="1202"/>
      <c r="E340" s="1387"/>
      <c r="F340" s="1384"/>
      <c r="G340" s="2176"/>
      <c r="H340" s="1388"/>
      <c r="I340" s="2177"/>
      <c r="J340" s="1385"/>
      <c r="K340" s="1385"/>
      <c r="L340" s="1385"/>
      <c r="M340" s="1214"/>
      <c r="N340" s="1214"/>
      <c r="O340" s="1214"/>
      <c r="P340" s="1214"/>
      <c r="Q340" s="1214"/>
      <c r="R340" s="1214"/>
    </row>
    <row r="341" spans="1:21" s="1199" customFormat="1" ht="24" customHeight="1">
      <c r="A341" s="1331"/>
      <c r="B341" s="1240"/>
      <c r="C341" s="1202"/>
      <c r="D341" s="1202"/>
      <c r="E341" s="1387"/>
      <c r="F341" s="1384"/>
      <c r="G341" s="2176"/>
      <c r="H341" s="1388"/>
      <c r="I341" s="2177"/>
      <c r="J341" s="1385"/>
      <c r="K341" s="1385"/>
      <c r="L341" s="1385"/>
      <c r="M341" s="1214"/>
      <c r="N341" s="1214"/>
      <c r="O341" s="1214"/>
      <c r="P341" s="1214"/>
      <c r="Q341" s="1214"/>
      <c r="R341" s="1214"/>
    </row>
    <row r="342" spans="1:21" s="1199" customFormat="1" ht="24" customHeight="1">
      <c r="A342" s="1331"/>
      <c r="B342" s="1240"/>
      <c r="C342" s="1202"/>
      <c r="D342" s="1202"/>
      <c r="E342" s="1387"/>
      <c r="F342" s="1384"/>
      <c r="G342" s="2176"/>
      <c r="H342" s="1388"/>
      <c r="I342" s="2177"/>
      <c r="J342" s="1385"/>
      <c r="K342" s="1385"/>
      <c r="L342" s="1385"/>
      <c r="M342" s="1214"/>
      <c r="N342" s="1214"/>
      <c r="O342" s="1214"/>
      <c r="P342" s="1214"/>
      <c r="Q342" s="1214"/>
      <c r="R342" s="1214"/>
    </row>
    <row r="343" spans="1:21" s="1199" customFormat="1" ht="24" customHeight="1">
      <c r="A343" s="1331"/>
      <c r="B343" s="1240"/>
      <c r="C343" s="1202"/>
      <c r="D343" s="1202"/>
      <c r="E343" s="1387"/>
      <c r="F343" s="1384"/>
      <c r="G343" s="2176"/>
      <c r="H343" s="1388"/>
      <c r="I343" s="2177"/>
      <c r="J343" s="1385"/>
      <c r="K343" s="1385"/>
      <c r="L343" s="1385"/>
      <c r="M343" s="1214"/>
      <c r="N343" s="1214"/>
      <c r="O343" s="1214"/>
      <c r="P343" s="1214"/>
      <c r="Q343" s="1214"/>
      <c r="R343" s="1214"/>
    </row>
    <row r="344" spans="1:21" s="1199" customFormat="1" ht="24" customHeight="1">
      <c r="A344" s="1331"/>
      <c r="B344" s="1240"/>
      <c r="C344" s="1202"/>
      <c r="D344" s="1202"/>
      <c r="E344" s="1387"/>
      <c r="F344" s="1384"/>
      <c r="G344" s="2176"/>
      <c r="H344" s="1388"/>
      <c r="I344" s="2177"/>
      <c r="J344" s="1385"/>
      <c r="K344" s="1385"/>
      <c r="L344" s="1385"/>
      <c r="M344" s="1214"/>
      <c r="N344" s="1214"/>
      <c r="O344" s="1214"/>
      <c r="P344" s="1214"/>
      <c r="Q344" s="1214"/>
      <c r="R344" s="1214"/>
    </row>
    <row r="345" spans="1:21" s="1199" customFormat="1" ht="24" customHeight="1">
      <c r="A345" s="1331"/>
      <c r="B345" s="1416"/>
      <c r="C345" s="1202"/>
      <c r="D345" s="1202"/>
      <c r="E345" s="1387"/>
      <c r="F345" s="1384"/>
      <c r="G345" s="2176"/>
      <c r="H345" s="1388"/>
      <c r="I345" s="2177"/>
      <c r="J345" s="1385"/>
      <c r="K345" s="1385"/>
      <c r="L345" s="1385"/>
      <c r="M345" s="1214"/>
      <c r="N345" s="1214"/>
      <c r="O345" s="1214"/>
      <c r="P345" s="1214"/>
      <c r="Q345" s="1214"/>
      <c r="R345" s="1214"/>
    </row>
    <row r="346" spans="1:21" s="1199" customFormat="1" ht="24" customHeight="1">
      <c r="A346" s="1245"/>
      <c r="B346" s="2257" t="str">
        <f>"รวมราคารายการที่ "&amp;A313</f>
        <v>รวมราคารายการที่ 3.12</v>
      </c>
      <c r="C346" s="2258"/>
      <c r="D346" s="2259"/>
      <c r="E346" s="1481"/>
      <c r="F346" s="1245"/>
      <c r="G346" s="1246"/>
      <c r="H346" s="1247">
        <f>SUM(H314:H324)</f>
        <v>22332</v>
      </c>
      <c r="I346" s="1246"/>
      <c r="J346" s="1247">
        <f t="shared" ref="J346:K346" si="72">SUM(J314:J324)</f>
        <v>5632</v>
      </c>
      <c r="K346" s="1247">
        <f t="shared" si="72"/>
        <v>27964</v>
      </c>
      <c r="L346" s="1245"/>
      <c r="M346" s="1214"/>
      <c r="N346" s="1214"/>
      <c r="O346" s="1214"/>
      <c r="P346" s="1214"/>
      <c r="Q346" s="1214"/>
      <c r="R346" s="1214"/>
      <c r="S346" s="1214"/>
      <c r="T346" s="1214"/>
      <c r="U346" s="1214"/>
    </row>
  </sheetData>
  <mergeCells count="21">
    <mergeCell ref="B165:D165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91:D91"/>
    <mergeCell ref="B106:D106"/>
    <mergeCell ref="B139:D139"/>
    <mergeCell ref="B346:D346"/>
    <mergeCell ref="B187:D187"/>
    <mergeCell ref="B216:D216"/>
    <mergeCell ref="B258:D258"/>
    <mergeCell ref="B274:D274"/>
    <mergeCell ref="B294:D294"/>
    <mergeCell ref="B312:D312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2-อาคารทิศตะวันตก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FCCDA-E92B-40AD-B89B-C32E16A4F2B2}">
  <sheetPr>
    <tabColor rgb="FF92D050"/>
  </sheetPr>
  <dimension ref="A1:U370"/>
  <sheetViews>
    <sheetView view="pageBreakPreview" topLeftCell="A193" zoomScale="70" zoomScaleNormal="100" zoomScaleSheetLayoutView="70" workbookViewId="0">
      <selection activeCell="A200" sqref="A200:L20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217" customWidth="1"/>
    <col min="13" max="95" width="7.703125" style="1" customWidth="1"/>
    <col min="96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1167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169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1171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1171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1171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1173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5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5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55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56"/>
    </row>
    <row r="11" spans="1:12" ht="24" customHeight="1">
      <c r="A11" s="1175" t="s">
        <v>30</v>
      </c>
      <c r="B11" s="1176" t="s">
        <v>1623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218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H82</f>
        <v>249635</v>
      </c>
      <c r="I12" s="1241"/>
      <c r="J12" s="1196">
        <f t="shared" ref="J12:K12" si="0">J82</f>
        <v>19800</v>
      </c>
      <c r="K12" s="1196">
        <f t="shared" si="0"/>
        <v>269435</v>
      </c>
      <c r="L12" s="1218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H138</f>
        <v>256670</v>
      </c>
      <c r="I13" s="1241"/>
      <c r="J13" s="1196">
        <f t="shared" ref="J13:K13" si="1">J138</f>
        <v>20220</v>
      </c>
      <c r="K13" s="1196">
        <f t="shared" si="1"/>
        <v>276890</v>
      </c>
      <c r="L13" s="1218"/>
    </row>
    <row r="14" spans="1:12" s="1199" customFormat="1" ht="24" customHeight="1">
      <c r="A14" s="1204">
        <f>A139</f>
        <v>3.3</v>
      </c>
      <c r="B14" s="1431" t="str">
        <f>B139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H154</f>
        <v>0</v>
      </c>
      <c r="I14" s="1241"/>
      <c r="J14" s="1196">
        <f t="shared" ref="J14:K14" si="2">J154</f>
        <v>0</v>
      </c>
      <c r="K14" s="1196">
        <f t="shared" si="2"/>
        <v>0</v>
      </c>
      <c r="L14" s="1218"/>
    </row>
    <row r="15" spans="1:12" s="1199" customFormat="1" ht="24" customHeight="1">
      <c r="A15" s="1204">
        <f>A155</f>
        <v>3.4</v>
      </c>
      <c r="B15" s="1190" t="str">
        <f>B155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H187</f>
        <v>84793</v>
      </c>
      <c r="I15" s="1197"/>
      <c r="J15" s="1196">
        <f>J187</f>
        <v>25831</v>
      </c>
      <c r="K15" s="1196">
        <f t="shared" ref="K15:K21" si="3">SUM(H15:J15)</f>
        <v>110624</v>
      </c>
      <c r="L15" s="1218"/>
    </row>
    <row r="16" spans="1:12" s="1199" customFormat="1" ht="24" customHeight="1">
      <c r="A16" s="1204" t="str">
        <f>A188</f>
        <v>3.5</v>
      </c>
      <c r="B16" s="1190" t="str">
        <f>B188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H209</f>
        <v>32103</v>
      </c>
      <c r="I16" s="1197"/>
      <c r="J16" s="1196">
        <f>J209</f>
        <v>10183</v>
      </c>
      <c r="K16" s="1196">
        <f t="shared" si="3"/>
        <v>42286</v>
      </c>
      <c r="L16" s="1218"/>
    </row>
    <row r="17" spans="1:12" s="1199" customFormat="1" ht="24" customHeight="1">
      <c r="A17" s="1204" t="str">
        <f>A210</f>
        <v>3.6</v>
      </c>
      <c r="B17" s="1190" t="str">
        <f>B210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H226</f>
        <v>2376</v>
      </c>
      <c r="I17" s="1197"/>
      <c r="J17" s="1196">
        <f>J226</f>
        <v>1380</v>
      </c>
      <c r="K17" s="1196">
        <f t="shared" si="3"/>
        <v>3756</v>
      </c>
      <c r="L17" s="1218"/>
    </row>
    <row r="18" spans="1:12" s="1199" customFormat="1" ht="24" customHeight="1">
      <c r="A18" s="1204" t="str">
        <f>A227</f>
        <v>3.7</v>
      </c>
      <c r="B18" s="1190" t="str">
        <f>B227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H256</f>
        <v>14196</v>
      </c>
      <c r="I18" s="1197"/>
      <c r="J18" s="1196">
        <f>J256</f>
        <v>4043</v>
      </c>
      <c r="K18" s="1196">
        <f t="shared" si="3"/>
        <v>18239</v>
      </c>
      <c r="L18" s="1218"/>
    </row>
    <row r="19" spans="1:12" s="1199" customFormat="1" ht="24" customHeight="1">
      <c r="A19" s="1204">
        <f>A257</f>
        <v>3.8</v>
      </c>
      <c r="B19" s="2174" t="str">
        <f>B257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H298</f>
        <v>1625299</v>
      </c>
      <c r="I19" s="1197"/>
      <c r="J19" s="1196">
        <f>J298</f>
        <v>249254</v>
      </c>
      <c r="K19" s="1196">
        <f t="shared" si="3"/>
        <v>1874553</v>
      </c>
      <c r="L19" s="1218"/>
    </row>
    <row r="20" spans="1:12" s="1199" customFormat="1" ht="24" customHeight="1">
      <c r="A20" s="1233" t="str">
        <f>A299</f>
        <v>3.9</v>
      </c>
      <c r="B20" s="1234" t="str">
        <f>B299</f>
        <v>ระบบเสียงและประกาศเรียก (Public Address System)</v>
      </c>
      <c r="C20" s="1235"/>
      <c r="D20" s="1236"/>
      <c r="E20" s="1193">
        <v>1</v>
      </c>
      <c r="F20" s="1194" t="s">
        <v>19</v>
      </c>
      <c r="G20" s="1237"/>
      <c r="H20" s="1238">
        <f>H314</f>
        <v>101467</v>
      </c>
      <c r="I20" s="1239"/>
      <c r="J20" s="1238">
        <f>J314</f>
        <v>37871</v>
      </c>
      <c r="K20" s="1196">
        <f t="shared" si="3"/>
        <v>139338</v>
      </c>
      <c r="L20" s="1218"/>
    </row>
    <row r="21" spans="1:12" s="1199" customFormat="1" ht="24" customHeight="1">
      <c r="A21" s="1204" t="str">
        <f>A315</f>
        <v>3.10</v>
      </c>
      <c r="B21" s="1190" t="str">
        <f>B315</f>
        <v>ระบบควบคุมประตูอัตโนมัติ (Access Control System)</v>
      </c>
      <c r="C21" s="1202"/>
      <c r="D21" s="1203"/>
      <c r="E21" s="1193">
        <v>1</v>
      </c>
      <c r="F21" s="1194" t="s">
        <v>19</v>
      </c>
      <c r="G21" s="1195"/>
      <c r="H21" s="1196">
        <f>H330</f>
        <v>244424</v>
      </c>
      <c r="I21" s="1197"/>
      <c r="J21" s="1196">
        <f>J330</f>
        <v>16838</v>
      </c>
      <c r="K21" s="1196">
        <f t="shared" si="3"/>
        <v>261262</v>
      </c>
      <c r="L21" s="1218"/>
    </row>
    <row r="22" spans="1:12" s="1199" customFormat="1" ht="24" customHeight="1">
      <c r="A22" s="1204" t="str">
        <f>A331</f>
        <v>3.11</v>
      </c>
      <c r="B22" s="1431" t="str">
        <f>B331</f>
        <v>ระบบบริหารจัดการอาคาร (Building Management System : BMS)</v>
      </c>
      <c r="C22" s="1202"/>
      <c r="D22" s="1203"/>
      <c r="E22" s="1193">
        <v>1</v>
      </c>
      <c r="F22" s="1194" t="s">
        <v>19</v>
      </c>
      <c r="G22" s="1195"/>
      <c r="H22" s="1196">
        <f>H346</f>
        <v>245480</v>
      </c>
      <c r="I22" s="1197"/>
      <c r="J22" s="1196">
        <f t="shared" ref="J22:K22" si="4">J346</f>
        <v>29028</v>
      </c>
      <c r="K22" s="1196">
        <f t="shared" si="4"/>
        <v>274508</v>
      </c>
      <c r="L22" s="1218"/>
    </row>
    <row r="23" spans="1:12" s="1199" customFormat="1" ht="24" customHeight="1">
      <c r="A23" s="1204" t="str">
        <f>A347</f>
        <v>3.12</v>
      </c>
      <c r="B23" s="1431" t="str">
        <f>B347</f>
        <v>ระบบแจ้งเหตุฉุกเฉิน (Panic Alarm System)</v>
      </c>
      <c r="C23" s="1202"/>
      <c r="D23" s="1203"/>
      <c r="E23" s="1193">
        <v>1</v>
      </c>
      <c r="F23" s="1194" t="s">
        <v>19</v>
      </c>
      <c r="G23" s="1195"/>
      <c r="H23" s="1196">
        <f>H370</f>
        <v>22582</v>
      </c>
      <c r="I23" s="1241"/>
      <c r="J23" s="1196">
        <f>J370</f>
        <v>5757</v>
      </c>
      <c r="K23" s="1196">
        <f>K370</f>
        <v>28339</v>
      </c>
      <c r="L23" s="1218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195"/>
      <c r="H24" s="1196"/>
      <c r="I24" s="1241"/>
      <c r="J24" s="1229"/>
      <c r="K24" s="1242"/>
      <c r="L24" s="1218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218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218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218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218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218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218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218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218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218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3</v>
      </c>
      <c r="C34" s="2258"/>
      <c r="D34" s="2259"/>
      <c r="E34" s="1244"/>
      <c r="F34" s="1245"/>
      <c r="G34" s="1246"/>
      <c r="H34" s="1247">
        <f>SUM(H11:H33)</f>
        <v>2879025</v>
      </c>
      <c r="I34" s="1246"/>
      <c r="J34" s="1247">
        <f>SUM(J11:J33)</f>
        <v>420205</v>
      </c>
      <c r="K34" s="1247">
        <f>SUM(K11:K33)</f>
        <v>3299230</v>
      </c>
      <c r="L34" s="1245">
        <f>SUM(L15:L33)</f>
        <v>0</v>
      </c>
      <c r="M34" s="1214"/>
      <c r="N34" s="1214"/>
      <c r="O34" s="1214"/>
      <c r="P34" s="1214"/>
      <c r="Q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1617</v>
      </c>
      <c r="B36" s="1362" t="s">
        <v>1230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5">ROUND(G38*E38,)</f>
        <v>0</v>
      </c>
      <c r="I38" s="1265"/>
      <c r="J38" s="1264"/>
      <c r="K38" s="1265">
        <f t="shared" ref="K38:K55" si="6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/>
      <c r="F39" s="1207" t="s">
        <v>363</v>
      </c>
      <c r="G39" s="2175">
        <v>2400</v>
      </c>
      <c r="H39" s="1264">
        <f t="shared" si="5"/>
        <v>0</v>
      </c>
      <c r="I39" s="1265"/>
      <c r="J39" s="1264"/>
      <c r="K39" s="1265">
        <f t="shared" si="6"/>
        <v>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/>
      <c r="F40" s="1207" t="s">
        <v>363</v>
      </c>
      <c r="G40" s="2175">
        <v>2400</v>
      </c>
      <c r="H40" s="1264">
        <f t="shared" si="5"/>
        <v>0</v>
      </c>
      <c r="I40" s="1265"/>
      <c r="J40" s="1264"/>
      <c r="K40" s="1265">
        <f t="shared" si="6"/>
        <v>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5"/>
        <v>0</v>
      </c>
      <c r="I41" s="1265"/>
      <c r="J41" s="1264"/>
      <c r="K41" s="1265">
        <f t="shared" si="6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5"/>
        <v>2400</v>
      </c>
      <c r="I42" s="1265"/>
      <c r="J42" s="1264"/>
      <c r="K42" s="1265">
        <f t="shared" si="6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5"/>
        <v>7200</v>
      </c>
      <c r="I43" s="1265"/>
      <c r="J43" s="1264"/>
      <c r="K43" s="1265">
        <f t="shared" si="6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5"/>
        <v>0</v>
      </c>
      <c r="I44" s="1265"/>
      <c r="J44" s="1264"/>
      <c r="K44" s="1265">
        <f t="shared" si="6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5"/>
        <v>0</v>
      </c>
      <c r="I45" s="1265"/>
      <c r="J45" s="1264"/>
      <c r="K45" s="1265">
        <f t="shared" si="6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5"/>
        <v>0</v>
      </c>
      <c r="I46" s="1265"/>
      <c r="J46" s="1264"/>
      <c r="K46" s="1265">
        <f t="shared" si="6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5"/>
        <v>0</v>
      </c>
      <c r="I47" s="1265"/>
      <c r="J47" s="1264"/>
      <c r="K47" s="1265">
        <f t="shared" si="6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>
        <v>1</v>
      </c>
      <c r="F48" s="1207" t="s">
        <v>363</v>
      </c>
      <c r="G48" s="2175">
        <v>11500</v>
      </c>
      <c r="H48" s="1264">
        <f t="shared" si="5"/>
        <v>11500</v>
      </c>
      <c r="I48" s="1265"/>
      <c r="J48" s="1264"/>
      <c r="K48" s="1265">
        <f t="shared" si="6"/>
        <v>11500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/>
      <c r="F49" s="1207" t="s">
        <v>363</v>
      </c>
      <c r="G49" s="2175">
        <v>20200</v>
      </c>
      <c r="H49" s="1264">
        <f t="shared" si="5"/>
        <v>0</v>
      </c>
      <c r="I49" s="1265"/>
      <c r="J49" s="1264"/>
      <c r="K49" s="1265">
        <f t="shared" si="6"/>
        <v>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5"/>
        <v>0</v>
      </c>
      <c r="I50" s="1265"/>
      <c r="J50" s="1264"/>
      <c r="K50" s="1265">
        <f t="shared" si="6"/>
        <v>0</v>
      </c>
      <c r="L50" s="1266"/>
    </row>
    <row r="51" spans="1:18" s="1199" customFormat="1" ht="24" customHeight="1">
      <c r="A51" s="1339"/>
      <c r="B51" s="1259" t="s">
        <v>1228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5"/>
        <v>1800</v>
      </c>
      <c r="I51" s="1265"/>
      <c r="J51" s="1264"/>
      <c r="K51" s="1265">
        <f t="shared" si="6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5"/>
        <v>360</v>
      </c>
      <c r="I52" s="1265"/>
      <c r="J52" s="1264"/>
      <c r="K52" s="1265">
        <f t="shared" si="6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5"/>
        <v>300</v>
      </c>
      <c r="I53" s="1265"/>
      <c r="J53" s="1264"/>
      <c r="K53" s="1265">
        <f t="shared" si="6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5</v>
      </c>
      <c r="F54" s="1207" t="s">
        <v>363</v>
      </c>
      <c r="G54" s="2175">
        <v>15435</v>
      </c>
      <c r="H54" s="1264">
        <f t="shared" si="5"/>
        <v>77175</v>
      </c>
      <c r="I54" s="1265"/>
      <c r="J54" s="1264"/>
      <c r="K54" s="1265">
        <f t="shared" si="6"/>
        <v>77175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33000</v>
      </c>
      <c r="H55" s="1264">
        <f t="shared" si="5"/>
        <v>33000</v>
      </c>
      <c r="I55" s="1265">
        <f>G55*0.3</f>
        <v>9900</v>
      </c>
      <c r="J55" s="1264">
        <f>ROUND(E55*I55,)</f>
        <v>9900</v>
      </c>
      <c r="K55" s="1265">
        <f t="shared" si="6"/>
        <v>42900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1245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7">ROUND(G61*E61,)</f>
        <v>0</v>
      </c>
      <c r="I61" s="1265"/>
      <c r="J61" s="1264"/>
      <c r="K61" s="1265">
        <f t="shared" ref="K61:K78" si="8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/>
      <c r="F62" s="1207" t="s">
        <v>363</v>
      </c>
      <c r="G62" s="2175">
        <v>2400</v>
      </c>
      <c r="H62" s="1264">
        <f t="shared" si="7"/>
        <v>0</v>
      </c>
      <c r="I62" s="1265"/>
      <c r="J62" s="1264"/>
      <c r="K62" s="1265">
        <f t="shared" si="8"/>
        <v>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/>
      <c r="F63" s="1207" t="s">
        <v>363</v>
      </c>
      <c r="G63" s="2175">
        <v>2400</v>
      </c>
      <c r="H63" s="1264">
        <f t="shared" si="7"/>
        <v>0</v>
      </c>
      <c r="I63" s="1265"/>
      <c r="J63" s="1264"/>
      <c r="K63" s="1265">
        <f t="shared" si="8"/>
        <v>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7"/>
        <v>0</v>
      </c>
      <c r="I64" s="1265"/>
      <c r="J64" s="1264"/>
      <c r="K64" s="1265">
        <f t="shared" si="8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7"/>
        <v>2400</v>
      </c>
      <c r="I65" s="1265"/>
      <c r="J65" s="1264"/>
      <c r="K65" s="1265">
        <f t="shared" si="8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2</v>
      </c>
      <c r="F66" s="1207" t="s">
        <v>363</v>
      </c>
      <c r="G66" s="2175">
        <v>2400</v>
      </c>
      <c r="H66" s="1264">
        <f t="shared" si="7"/>
        <v>4800</v>
      </c>
      <c r="I66" s="1265"/>
      <c r="J66" s="1264"/>
      <c r="K66" s="1265">
        <f t="shared" si="8"/>
        <v>4800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7"/>
        <v>0</v>
      </c>
      <c r="I67" s="1265"/>
      <c r="J67" s="1264"/>
      <c r="K67" s="1265">
        <f t="shared" si="8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7"/>
        <v>0</v>
      </c>
      <c r="I68" s="1265"/>
      <c r="J68" s="1264"/>
      <c r="K68" s="1265">
        <f t="shared" si="8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7"/>
        <v>0</v>
      </c>
      <c r="I69" s="1265"/>
      <c r="J69" s="1264"/>
      <c r="K69" s="1265">
        <f t="shared" si="8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7"/>
        <v>0</v>
      </c>
      <c r="I70" s="1265"/>
      <c r="J70" s="1264"/>
      <c r="K70" s="1265">
        <f t="shared" si="8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>
        <v>1</v>
      </c>
      <c r="F71" s="1207" t="s">
        <v>363</v>
      </c>
      <c r="G71" s="2175">
        <v>11500</v>
      </c>
      <c r="H71" s="1264">
        <f t="shared" si="7"/>
        <v>11500</v>
      </c>
      <c r="I71" s="1265"/>
      <c r="J71" s="1264"/>
      <c r="K71" s="1265">
        <f t="shared" si="8"/>
        <v>11500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/>
      <c r="F72" s="1207" t="s">
        <v>363</v>
      </c>
      <c r="G72" s="2175">
        <v>20200</v>
      </c>
      <c r="H72" s="1264">
        <f t="shared" si="7"/>
        <v>0</v>
      </c>
      <c r="I72" s="1265"/>
      <c r="J72" s="1264"/>
      <c r="K72" s="1265">
        <f t="shared" si="8"/>
        <v>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7"/>
        <v>0</v>
      </c>
      <c r="I73" s="1265"/>
      <c r="J73" s="1264"/>
      <c r="K73" s="1265">
        <f t="shared" si="8"/>
        <v>0</v>
      </c>
      <c r="L73" s="1266"/>
    </row>
    <row r="74" spans="1:17" s="1199" customFormat="1" ht="24" customHeight="1">
      <c r="A74" s="1339"/>
      <c r="B74" s="1259" t="s">
        <v>1228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7"/>
        <v>1800</v>
      </c>
      <c r="I74" s="1265"/>
      <c r="J74" s="1264"/>
      <c r="K74" s="1265">
        <f t="shared" si="8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7"/>
        <v>360</v>
      </c>
      <c r="I75" s="1265"/>
      <c r="J75" s="1264"/>
      <c r="K75" s="1265">
        <f t="shared" si="8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7"/>
        <v>300</v>
      </c>
      <c r="I76" s="1265"/>
      <c r="J76" s="1264"/>
      <c r="K76" s="1265">
        <f t="shared" si="8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4</v>
      </c>
      <c r="F77" s="1207" t="s">
        <v>363</v>
      </c>
      <c r="G77" s="2175">
        <v>15435</v>
      </c>
      <c r="H77" s="1264">
        <f t="shared" si="7"/>
        <v>61740</v>
      </c>
      <c r="I77" s="1265"/>
      <c r="J77" s="1264"/>
      <c r="K77" s="1265">
        <f t="shared" si="8"/>
        <v>61740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33000</v>
      </c>
      <c r="H78" s="1264">
        <f t="shared" si="7"/>
        <v>33000</v>
      </c>
      <c r="I78" s="1265">
        <f>G78*0.3</f>
        <v>9900</v>
      </c>
      <c r="J78" s="1264">
        <f>ROUND(E78*I78,)</f>
        <v>9900</v>
      </c>
      <c r="K78" s="1265">
        <f t="shared" si="8"/>
        <v>42900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8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8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249635</v>
      </c>
      <c r="I82" s="1246"/>
      <c r="J82" s="1247">
        <f>SUM(J35:J81)</f>
        <v>19800</v>
      </c>
      <c r="K82" s="1247">
        <f>SUM(K35:K81)</f>
        <v>269435</v>
      </c>
      <c r="L82" s="1245"/>
      <c r="M82" s="1214"/>
      <c r="N82" s="1214"/>
      <c r="O82" s="1214"/>
      <c r="P82" s="1214"/>
      <c r="Q82" s="1214"/>
    </row>
    <row r="83" spans="1:18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8" s="1199" customFormat="1" ht="24" customHeight="1">
      <c r="A84" s="1361" t="s">
        <v>1121</v>
      </c>
      <c r="B84" s="1362" t="s">
        <v>1269</v>
      </c>
      <c r="C84" s="1260"/>
      <c r="D84" s="1260"/>
      <c r="E84" s="1261"/>
      <c r="F84" s="1358"/>
      <c r="G84" s="2175"/>
      <c r="H84" s="1264"/>
      <c r="I84" s="1265"/>
      <c r="J84" s="1264"/>
      <c r="K84" s="1265"/>
      <c r="L84" s="1364"/>
    </row>
    <row r="85" spans="1:18" s="1199" customFormat="1" ht="24" customHeight="1">
      <c r="A85" s="1339" t="s">
        <v>1618</v>
      </c>
      <c r="B85" s="1259" t="s">
        <v>1210</v>
      </c>
      <c r="C85" s="1260"/>
      <c r="D85" s="1260"/>
      <c r="E85" s="1261"/>
      <c r="F85" s="1358"/>
      <c r="G85" s="2175"/>
      <c r="H85" s="1264"/>
      <c r="I85" s="1265"/>
      <c r="J85" s="1264"/>
      <c r="K85" s="1265"/>
      <c r="L85" s="1364"/>
    </row>
    <row r="86" spans="1:18" s="1199" customFormat="1" ht="24" customHeight="1">
      <c r="A86" s="1339"/>
      <c r="B86" s="1259" t="s">
        <v>1211</v>
      </c>
      <c r="C86" s="1260"/>
      <c r="D86" s="1260"/>
      <c r="E86" s="1261"/>
      <c r="F86" s="1207" t="s">
        <v>363</v>
      </c>
      <c r="G86" s="2175">
        <v>2400</v>
      </c>
      <c r="H86" s="1264">
        <f t="shared" ref="H86:H108" si="9">ROUND(G86*E86,)</f>
        <v>0</v>
      </c>
      <c r="I86" s="1265"/>
      <c r="J86" s="1264"/>
      <c r="K86" s="1265">
        <f t="shared" ref="K86:K108" si="10">J86+H86</f>
        <v>0</v>
      </c>
      <c r="L86" s="1266"/>
      <c r="N86" s="1363"/>
      <c r="O86" s="1363"/>
      <c r="P86" s="1363"/>
      <c r="Q86" s="1363"/>
      <c r="R86" s="1363"/>
    </row>
    <row r="87" spans="1:18" s="1199" customFormat="1" ht="24" customHeight="1">
      <c r="A87" s="1339"/>
      <c r="B87" s="1259" t="s">
        <v>1212</v>
      </c>
      <c r="C87" s="1260"/>
      <c r="D87" s="1260"/>
      <c r="E87" s="1261"/>
      <c r="F87" s="1207" t="s">
        <v>363</v>
      </c>
      <c r="G87" s="2175">
        <v>2400</v>
      </c>
      <c r="H87" s="1264">
        <f t="shared" si="9"/>
        <v>0</v>
      </c>
      <c r="I87" s="1265"/>
      <c r="J87" s="1264"/>
      <c r="K87" s="1265">
        <f t="shared" si="10"/>
        <v>0</v>
      </c>
      <c r="L87" s="1266"/>
      <c r="N87" s="1363"/>
      <c r="O87" s="1363"/>
      <c r="P87" s="1363"/>
      <c r="Q87" s="1363"/>
      <c r="R87" s="1363"/>
    </row>
    <row r="88" spans="1:18" s="1199" customFormat="1" ht="24" customHeight="1">
      <c r="A88" s="1339"/>
      <c r="B88" s="1259" t="s">
        <v>1213</v>
      </c>
      <c r="C88" s="1260"/>
      <c r="D88" s="1260"/>
      <c r="E88" s="1261"/>
      <c r="F88" s="1207" t="s">
        <v>363</v>
      </c>
      <c r="G88" s="2175">
        <v>2400</v>
      </c>
      <c r="H88" s="1264">
        <f t="shared" si="9"/>
        <v>0</v>
      </c>
      <c r="I88" s="1265"/>
      <c r="J88" s="1264"/>
      <c r="K88" s="1265">
        <f t="shared" si="10"/>
        <v>0</v>
      </c>
      <c r="L88" s="1266"/>
    </row>
    <row r="89" spans="1:18" s="1199" customFormat="1" ht="24" customHeight="1">
      <c r="A89" s="1339"/>
      <c r="B89" s="1259" t="s">
        <v>1214</v>
      </c>
      <c r="C89" s="1260"/>
      <c r="D89" s="1260"/>
      <c r="E89" s="1261"/>
      <c r="F89" s="1207" t="s">
        <v>363</v>
      </c>
      <c r="G89" s="2175">
        <v>2400</v>
      </c>
      <c r="H89" s="1264">
        <f t="shared" si="9"/>
        <v>0</v>
      </c>
      <c r="I89" s="1265"/>
      <c r="J89" s="1264"/>
      <c r="K89" s="1265">
        <f t="shared" si="10"/>
        <v>0</v>
      </c>
      <c r="L89" s="1266"/>
    </row>
    <row r="90" spans="1:18" s="1199" customFormat="1" ht="24" customHeight="1">
      <c r="A90" s="1339"/>
      <c r="B90" s="1259" t="s">
        <v>1215</v>
      </c>
      <c r="C90" s="1260"/>
      <c r="D90" s="1260"/>
      <c r="E90" s="1261">
        <v>3</v>
      </c>
      <c r="F90" s="1207" t="s">
        <v>363</v>
      </c>
      <c r="G90" s="2175">
        <v>2400</v>
      </c>
      <c r="H90" s="1264">
        <f t="shared" si="9"/>
        <v>7200</v>
      </c>
      <c r="I90" s="1265"/>
      <c r="J90" s="1264"/>
      <c r="K90" s="1265">
        <f t="shared" si="10"/>
        <v>7200</v>
      </c>
      <c r="L90" s="1266"/>
    </row>
    <row r="91" spans="1:18" s="1199" customFormat="1" ht="24" customHeight="1">
      <c r="A91" s="1339"/>
      <c r="B91" s="1259" t="s">
        <v>1216</v>
      </c>
      <c r="C91" s="1260"/>
      <c r="D91" s="1260"/>
      <c r="E91" s="1261"/>
      <c r="F91" s="1207" t="s">
        <v>363</v>
      </c>
      <c r="G91" s="2175">
        <v>2400</v>
      </c>
      <c r="H91" s="1264">
        <f t="shared" si="9"/>
        <v>0</v>
      </c>
      <c r="I91" s="1265"/>
      <c r="J91" s="1264"/>
      <c r="K91" s="1265">
        <f t="shared" si="10"/>
        <v>0</v>
      </c>
      <c r="L91" s="1266"/>
    </row>
    <row r="92" spans="1:18" s="1199" customFormat="1" ht="24" customHeight="1">
      <c r="A92" s="1339"/>
      <c r="B92" s="1259" t="s">
        <v>1257</v>
      </c>
      <c r="C92" s="1260"/>
      <c r="D92" s="1260"/>
      <c r="E92" s="1261"/>
      <c r="F92" s="1207" t="s">
        <v>363</v>
      </c>
      <c r="G92" s="2175">
        <v>2600</v>
      </c>
      <c r="H92" s="1264">
        <f t="shared" si="9"/>
        <v>0</v>
      </c>
      <c r="I92" s="1265"/>
      <c r="J92" s="1264"/>
      <c r="K92" s="1265">
        <f t="shared" si="10"/>
        <v>0</v>
      </c>
      <c r="L92" s="1266"/>
    </row>
    <row r="93" spans="1:18" s="1199" customFormat="1" ht="24" customHeight="1">
      <c r="A93" s="1339"/>
      <c r="B93" s="1259" t="s">
        <v>1217</v>
      </c>
      <c r="C93" s="1260"/>
      <c r="D93" s="1260"/>
      <c r="E93" s="1261">
        <v>1</v>
      </c>
      <c r="F93" s="1207" t="s">
        <v>363</v>
      </c>
      <c r="G93" s="2175">
        <v>3000</v>
      </c>
      <c r="H93" s="1264">
        <f t="shared" si="9"/>
        <v>3000</v>
      </c>
      <c r="I93" s="1265"/>
      <c r="J93" s="1264"/>
      <c r="K93" s="1265">
        <f t="shared" si="10"/>
        <v>3000</v>
      </c>
      <c r="L93" s="1266"/>
    </row>
    <row r="94" spans="1:18" s="1199" customFormat="1" ht="24" customHeight="1">
      <c r="A94" s="1339"/>
      <c r="B94" s="1259" t="s">
        <v>1218</v>
      </c>
      <c r="C94" s="1260"/>
      <c r="D94" s="1260"/>
      <c r="E94" s="1261"/>
      <c r="F94" s="1207" t="s">
        <v>363</v>
      </c>
      <c r="G94" s="2175">
        <v>5000</v>
      </c>
      <c r="H94" s="1264">
        <f t="shared" si="9"/>
        <v>0</v>
      </c>
      <c r="I94" s="1265"/>
      <c r="J94" s="1264"/>
      <c r="K94" s="1265">
        <f t="shared" si="10"/>
        <v>0</v>
      </c>
      <c r="L94" s="1266"/>
    </row>
    <row r="95" spans="1:18" s="1199" customFormat="1" ht="24" customHeight="1">
      <c r="A95" s="1339"/>
      <c r="B95" s="1259" t="s">
        <v>1258</v>
      </c>
      <c r="C95" s="1260"/>
      <c r="D95" s="1260"/>
      <c r="E95" s="1261"/>
      <c r="F95" s="1207" t="s">
        <v>363</v>
      </c>
      <c r="G95" s="2175">
        <v>5700</v>
      </c>
      <c r="H95" s="1264">
        <f t="shared" si="9"/>
        <v>0</v>
      </c>
      <c r="I95" s="1265"/>
      <c r="J95" s="1264"/>
      <c r="K95" s="1265">
        <f t="shared" si="10"/>
        <v>0</v>
      </c>
      <c r="L95" s="1266"/>
    </row>
    <row r="96" spans="1:18" s="1199" customFormat="1" ht="24" customHeight="1">
      <c r="A96" s="1339"/>
      <c r="B96" s="1259" t="s">
        <v>1259</v>
      </c>
      <c r="C96" s="1260"/>
      <c r="D96" s="1260"/>
      <c r="E96" s="1261"/>
      <c r="F96" s="1207" t="s">
        <v>363</v>
      </c>
      <c r="G96" s="2175">
        <v>5700</v>
      </c>
      <c r="H96" s="1264">
        <f t="shared" si="9"/>
        <v>0</v>
      </c>
      <c r="I96" s="1265"/>
      <c r="J96" s="1264"/>
      <c r="K96" s="1265">
        <f t="shared" si="10"/>
        <v>0</v>
      </c>
      <c r="L96" s="1266"/>
    </row>
    <row r="97" spans="1:18" s="1199" customFormat="1" ht="24" customHeight="1">
      <c r="A97" s="1339"/>
      <c r="B97" s="1259" t="s">
        <v>1220</v>
      </c>
      <c r="C97" s="1260"/>
      <c r="D97" s="1260"/>
      <c r="E97" s="1261"/>
      <c r="F97" s="1207" t="s">
        <v>363</v>
      </c>
      <c r="G97" s="2175">
        <v>8600</v>
      </c>
      <c r="H97" s="1264">
        <f t="shared" si="9"/>
        <v>0</v>
      </c>
      <c r="I97" s="1265"/>
      <c r="J97" s="1264"/>
      <c r="K97" s="1265">
        <f t="shared" si="10"/>
        <v>0</v>
      </c>
      <c r="L97" s="1266"/>
    </row>
    <row r="98" spans="1:18" s="1199" customFormat="1" ht="24" customHeight="1">
      <c r="A98" s="1339"/>
      <c r="B98" s="1259" t="s">
        <v>1260</v>
      </c>
      <c r="C98" s="1260"/>
      <c r="D98" s="1260"/>
      <c r="E98" s="1261"/>
      <c r="F98" s="1207" t="s">
        <v>363</v>
      </c>
      <c r="G98" s="2175">
        <v>8600</v>
      </c>
      <c r="H98" s="1264">
        <f t="shared" si="9"/>
        <v>0</v>
      </c>
      <c r="I98" s="1265"/>
      <c r="J98" s="1264"/>
      <c r="K98" s="1265">
        <f t="shared" si="10"/>
        <v>0</v>
      </c>
      <c r="L98" s="1266"/>
    </row>
    <row r="99" spans="1:18" s="1199" customFormat="1" ht="24" customHeight="1">
      <c r="A99" s="1339"/>
      <c r="B99" s="1259" t="s">
        <v>1261</v>
      </c>
      <c r="C99" s="1260"/>
      <c r="D99" s="1260"/>
      <c r="E99" s="1261"/>
      <c r="F99" s="1207" t="s">
        <v>363</v>
      </c>
      <c r="G99" s="2175">
        <v>8600</v>
      </c>
      <c r="H99" s="1264">
        <f t="shared" si="9"/>
        <v>0</v>
      </c>
      <c r="I99" s="1265"/>
      <c r="J99" s="1264"/>
      <c r="K99" s="1265">
        <f t="shared" si="10"/>
        <v>0</v>
      </c>
      <c r="L99" s="1266"/>
    </row>
    <row r="100" spans="1:18" s="1199" customFormat="1" ht="24" customHeight="1">
      <c r="A100" s="1339"/>
      <c r="B100" s="1259" t="s">
        <v>1221</v>
      </c>
      <c r="C100" s="1260"/>
      <c r="D100" s="1260"/>
      <c r="E100" s="1261"/>
      <c r="F100" s="1207" t="s">
        <v>363</v>
      </c>
      <c r="G100" s="2175">
        <v>11500</v>
      </c>
      <c r="H100" s="1264">
        <f t="shared" si="9"/>
        <v>0</v>
      </c>
      <c r="I100" s="1265"/>
      <c r="J100" s="1264"/>
      <c r="K100" s="1265">
        <f t="shared" si="10"/>
        <v>0</v>
      </c>
      <c r="L100" s="1266"/>
    </row>
    <row r="101" spans="1:18" s="1199" customFormat="1" ht="24" customHeight="1">
      <c r="A101" s="1339"/>
      <c r="B101" s="1259" t="s">
        <v>1262</v>
      </c>
      <c r="C101" s="1260"/>
      <c r="D101" s="1260"/>
      <c r="E101" s="1261"/>
      <c r="F101" s="1207" t="s">
        <v>363</v>
      </c>
      <c r="G101" s="2175">
        <v>20200</v>
      </c>
      <c r="H101" s="1264">
        <f t="shared" si="9"/>
        <v>0</v>
      </c>
      <c r="I101" s="1265"/>
      <c r="J101" s="1264"/>
      <c r="K101" s="1265">
        <f t="shared" si="10"/>
        <v>0</v>
      </c>
      <c r="L101" s="1266"/>
    </row>
    <row r="102" spans="1:18" s="1199" customFormat="1" ht="24" customHeight="1">
      <c r="A102" s="1339"/>
      <c r="B102" s="1259" t="s">
        <v>1263</v>
      </c>
      <c r="C102" s="1260"/>
      <c r="D102" s="1260"/>
      <c r="E102" s="1261"/>
      <c r="F102" s="1207" t="s">
        <v>363</v>
      </c>
      <c r="G102" s="2175">
        <v>20200</v>
      </c>
      <c r="H102" s="1264">
        <f t="shared" si="9"/>
        <v>0</v>
      </c>
      <c r="I102" s="1265"/>
      <c r="J102" s="1264"/>
      <c r="K102" s="1265">
        <f t="shared" si="10"/>
        <v>0</v>
      </c>
      <c r="L102" s="1266"/>
    </row>
    <row r="103" spans="1:18" s="1199" customFormat="1" ht="24" customHeight="1">
      <c r="A103" s="1339" t="s">
        <v>1619</v>
      </c>
      <c r="B103" s="1259" t="s">
        <v>1143</v>
      </c>
      <c r="C103" s="1260"/>
      <c r="D103" s="1260"/>
      <c r="E103" s="1261"/>
      <c r="F103" s="1358"/>
      <c r="G103" s="2175"/>
      <c r="H103" s="1264">
        <f t="shared" si="9"/>
        <v>0</v>
      </c>
      <c r="I103" s="1265"/>
      <c r="J103" s="1264"/>
      <c r="K103" s="1265">
        <f t="shared" si="10"/>
        <v>0</v>
      </c>
      <c r="L103" s="1364"/>
    </row>
    <row r="104" spans="1:18" s="1199" customFormat="1" ht="24" customHeight="1">
      <c r="A104" s="1339"/>
      <c r="B104" s="1259" t="s">
        <v>1267</v>
      </c>
      <c r="C104" s="1260"/>
      <c r="D104" s="1260"/>
      <c r="E104" s="1261">
        <v>3</v>
      </c>
      <c r="F104" s="1207" t="s">
        <v>363</v>
      </c>
      <c r="G104" s="2175">
        <v>600</v>
      </c>
      <c r="H104" s="1264">
        <f t="shared" si="9"/>
        <v>1800</v>
      </c>
      <c r="I104" s="1265"/>
      <c r="J104" s="1264"/>
      <c r="K104" s="1265">
        <f t="shared" si="10"/>
        <v>1800</v>
      </c>
      <c r="L104" s="1364"/>
    </row>
    <row r="105" spans="1:18" s="1199" customFormat="1" ht="24" customHeight="1">
      <c r="A105" s="1339"/>
      <c r="B105" s="1259" t="s">
        <v>1145</v>
      </c>
      <c r="C105" s="1260"/>
      <c r="D105" s="1260"/>
      <c r="E105" s="1261">
        <v>3</v>
      </c>
      <c r="F105" s="1207" t="s">
        <v>363</v>
      </c>
      <c r="G105" s="2175">
        <v>120</v>
      </c>
      <c r="H105" s="1264">
        <f t="shared" si="9"/>
        <v>360</v>
      </c>
      <c r="I105" s="1265"/>
      <c r="J105" s="1264"/>
      <c r="K105" s="1265">
        <f t="shared" si="10"/>
        <v>360</v>
      </c>
      <c r="L105" s="1364"/>
    </row>
    <row r="106" spans="1:18" s="1199" customFormat="1" ht="24" customHeight="1">
      <c r="A106" s="1339"/>
      <c r="B106" s="1259" t="s">
        <v>1146</v>
      </c>
      <c r="C106" s="1260"/>
      <c r="D106" s="1260"/>
      <c r="E106" s="1261">
        <v>3</v>
      </c>
      <c r="F106" s="1207" t="s">
        <v>363</v>
      </c>
      <c r="G106" s="2175">
        <v>100</v>
      </c>
      <c r="H106" s="1264">
        <f t="shared" si="9"/>
        <v>300</v>
      </c>
      <c r="I106" s="1265"/>
      <c r="J106" s="1264"/>
      <c r="K106" s="1265">
        <f t="shared" si="10"/>
        <v>300</v>
      </c>
      <c r="L106" s="1364"/>
    </row>
    <row r="107" spans="1:18" s="1199" customFormat="1" ht="24" customHeight="1">
      <c r="A107" s="1339"/>
      <c r="B107" s="1259" t="s">
        <v>1224</v>
      </c>
      <c r="C107" s="1260"/>
      <c r="D107" s="1260"/>
      <c r="E107" s="1261">
        <v>3</v>
      </c>
      <c r="F107" s="1207" t="s">
        <v>363</v>
      </c>
      <c r="G107" s="2175">
        <v>15435</v>
      </c>
      <c r="H107" s="1264">
        <f t="shared" si="9"/>
        <v>46305</v>
      </c>
      <c r="I107" s="1265"/>
      <c r="J107" s="1264"/>
      <c r="K107" s="1265">
        <f t="shared" si="10"/>
        <v>46305</v>
      </c>
      <c r="L107" s="1364"/>
    </row>
    <row r="108" spans="1:18" s="1199" customFormat="1" ht="24" customHeight="1">
      <c r="A108" s="1339" t="s">
        <v>1620</v>
      </c>
      <c r="B108" s="1259" t="s">
        <v>1226</v>
      </c>
      <c r="C108" s="1260"/>
      <c r="D108" s="1260"/>
      <c r="E108" s="1261">
        <v>1</v>
      </c>
      <c r="F108" s="1207" t="s">
        <v>1104</v>
      </c>
      <c r="G108" s="2175">
        <v>27400</v>
      </c>
      <c r="H108" s="1264">
        <f t="shared" si="9"/>
        <v>27400</v>
      </c>
      <c r="I108" s="1265">
        <f>G108*0.3</f>
        <v>8220</v>
      </c>
      <c r="J108" s="1264">
        <f>ROUND(E108*I108,)</f>
        <v>8220</v>
      </c>
      <c r="K108" s="1265">
        <f t="shared" si="10"/>
        <v>35620</v>
      </c>
      <c r="L108" s="1364"/>
    </row>
    <row r="109" spans="1:18" s="1199" customFormat="1" ht="24" customHeight="1">
      <c r="A109" s="1361" t="s">
        <v>1123</v>
      </c>
      <c r="B109" s="1362" t="s">
        <v>1283</v>
      </c>
      <c r="C109" s="1260"/>
      <c r="D109" s="1260"/>
      <c r="E109" s="1261"/>
      <c r="F109" s="1358"/>
      <c r="G109" s="2175"/>
      <c r="H109" s="1264"/>
      <c r="I109" s="1265"/>
      <c r="J109" s="1264"/>
      <c r="K109" s="1265"/>
      <c r="L109" s="1364"/>
    </row>
    <row r="110" spans="1:18" s="1199" customFormat="1" ht="24" customHeight="1">
      <c r="A110" s="1339" t="s">
        <v>2923</v>
      </c>
      <c r="B110" s="1259" t="s">
        <v>1210</v>
      </c>
      <c r="C110" s="1260"/>
      <c r="D110" s="1260"/>
      <c r="E110" s="1261"/>
      <c r="F110" s="1358"/>
      <c r="G110" s="2175"/>
      <c r="H110" s="1264"/>
      <c r="I110" s="1265"/>
      <c r="J110" s="1264"/>
      <c r="K110" s="1265"/>
      <c r="L110" s="1364"/>
    </row>
    <row r="111" spans="1:18" s="1199" customFormat="1" ht="24" customHeight="1">
      <c r="A111" s="1339"/>
      <c r="B111" s="1259" t="s">
        <v>1211</v>
      </c>
      <c r="C111" s="1260"/>
      <c r="D111" s="1260"/>
      <c r="E111" s="1261">
        <v>4</v>
      </c>
      <c r="F111" s="1207" t="s">
        <v>363</v>
      </c>
      <c r="G111" s="2175">
        <v>2400</v>
      </c>
      <c r="H111" s="1264">
        <f t="shared" ref="H111:H133" si="11">ROUND(G111*E111,)</f>
        <v>9600</v>
      </c>
      <c r="I111" s="1265"/>
      <c r="J111" s="1264"/>
      <c r="K111" s="1265">
        <f t="shared" ref="K111:K133" si="12">J111+H111</f>
        <v>9600</v>
      </c>
      <c r="L111" s="1266"/>
      <c r="N111" s="1363"/>
      <c r="O111" s="1363"/>
      <c r="P111" s="1363"/>
      <c r="Q111" s="1363"/>
      <c r="R111" s="1363"/>
    </row>
    <row r="112" spans="1:18" s="1199" customFormat="1" ht="24" customHeight="1">
      <c r="A112" s="1339"/>
      <c r="B112" s="1259" t="s">
        <v>1212</v>
      </c>
      <c r="C112" s="1260"/>
      <c r="D112" s="1260"/>
      <c r="E112" s="1261"/>
      <c r="F112" s="1207" t="s">
        <v>363</v>
      </c>
      <c r="G112" s="2175">
        <v>2400</v>
      </c>
      <c r="H112" s="1264">
        <f t="shared" si="11"/>
        <v>0</v>
      </c>
      <c r="I112" s="1265"/>
      <c r="J112" s="1264"/>
      <c r="K112" s="1265">
        <f t="shared" si="12"/>
        <v>0</v>
      </c>
      <c r="L112" s="1266"/>
      <c r="N112" s="1363"/>
      <c r="O112" s="1363"/>
      <c r="P112" s="1363"/>
      <c r="Q112" s="1363"/>
      <c r="R112" s="1363"/>
    </row>
    <row r="113" spans="1:12" s="1199" customFormat="1" ht="24" customHeight="1">
      <c r="A113" s="1339"/>
      <c r="B113" s="1259" t="s">
        <v>1213</v>
      </c>
      <c r="C113" s="1260"/>
      <c r="D113" s="1260"/>
      <c r="E113" s="1261"/>
      <c r="F113" s="1207" t="s">
        <v>363</v>
      </c>
      <c r="G113" s="2175">
        <v>2400</v>
      </c>
      <c r="H113" s="1264">
        <f t="shared" si="11"/>
        <v>0</v>
      </c>
      <c r="I113" s="1265"/>
      <c r="J113" s="1264"/>
      <c r="K113" s="1265">
        <f t="shared" si="12"/>
        <v>0</v>
      </c>
      <c r="L113" s="1266"/>
    </row>
    <row r="114" spans="1:12" s="1199" customFormat="1" ht="24" customHeight="1">
      <c r="A114" s="1339"/>
      <c r="B114" s="1259" t="s">
        <v>1214</v>
      </c>
      <c r="C114" s="1260"/>
      <c r="D114" s="1260"/>
      <c r="E114" s="1261"/>
      <c r="F114" s="1207" t="s">
        <v>363</v>
      </c>
      <c r="G114" s="2175">
        <v>2400</v>
      </c>
      <c r="H114" s="1264">
        <f t="shared" si="11"/>
        <v>0</v>
      </c>
      <c r="I114" s="1265"/>
      <c r="J114" s="1264"/>
      <c r="K114" s="1265">
        <f t="shared" si="12"/>
        <v>0</v>
      </c>
      <c r="L114" s="1266"/>
    </row>
    <row r="115" spans="1:12" s="1199" customFormat="1" ht="24" customHeight="1">
      <c r="A115" s="1339"/>
      <c r="B115" s="1259" t="s">
        <v>1215</v>
      </c>
      <c r="C115" s="1260"/>
      <c r="D115" s="1260"/>
      <c r="E115" s="1261">
        <v>3</v>
      </c>
      <c r="F115" s="1207" t="s">
        <v>363</v>
      </c>
      <c r="G115" s="2175">
        <v>2400</v>
      </c>
      <c r="H115" s="1264">
        <f t="shared" si="11"/>
        <v>7200</v>
      </c>
      <c r="I115" s="1265"/>
      <c r="J115" s="1264"/>
      <c r="K115" s="1265">
        <f t="shared" si="12"/>
        <v>7200</v>
      </c>
      <c r="L115" s="1266"/>
    </row>
    <row r="116" spans="1:12" s="1199" customFormat="1" ht="24" customHeight="1">
      <c r="A116" s="1339"/>
      <c r="B116" s="1259" t="s">
        <v>1216</v>
      </c>
      <c r="C116" s="1260"/>
      <c r="D116" s="1260"/>
      <c r="E116" s="1261"/>
      <c r="F116" s="1207" t="s">
        <v>363</v>
      </c>
      <c r="G116" s="2175">
        <v>2400</v>
      </c>
      <c r="H116" s="1264">
        <f t="shared" si="11"/>
        <v>0</v>
      </c>
      <c r="I116" s="1265"/>
      <c r="J116" s="1264"/>
      <c r="K116" s="1265">
        <f t="shared" si="12"/>
        <v>0</v>
      </c>
      <c r="L116" s="1266"/>
    </row>
    <row r="117" spans="1:12" s="1199" customFormat="1" ht="24" customHeight="1">
      <c r="A117" s="1339"/>
      <c r="B117" s="1259" t="s">
        <v>1257</v>
      </c>
      <c r="C117" s="1260"/>
      <c r="D117" s="1260"/>
      <c r="E117" s="1261"/>
      <c r="F117" s="1207" t="s">
        <v>363</v>
      </c>
      <c r="G117" s="2175">
        <v>2600</v>
      </c>
      <c r="H117" s="1264">
        <f t="shared" si="11"/>
        <v>0</v>
      </c>
      <c r="I117" s="1265"/>
      <c r="J117" s="1264"/>
      <c r="K117" s="1265">
        <f t="shared" si="12"/>
        <v>0</v>
      </c>
      <c r="L117" s="1266"/>
    </row>
    <row r="118" spans="1:12" s="1199" customFormat="1" ht="24" customHeight="1">
      <c r="A118" s="1339"/>
      <c r="B118" s="1259" t="s">
        <v>1217</v>
      </c>
      <c r="C118" s="1260"/>
      <c r="D118" s="1260"/>
      <c r="E118" s="1261">
        <v>1</v>
      </c>
      <c r="F118" s="1207" t="s">
        <v>363</v>
      </c>
      <c r="G118" s="2175">
        <v>3000</v>
      </c>
      <c r="H118" s="1264">
        <f t="shared" si="11"/>
        <v>3000</v>
      </c>
      <c r="I118" s="1265"/>
      <c r="J118" s="1264"/>
      <c r="K118" s="1265">
        <f t="shared" si="12"/>
        <v>3000</v>
      </c>
      <c r="L118" s="1266"/>
    </row>
    <row r="119" spans="1:12" s="1199" customFormat="1" ht="24" customHeight="1">
      <c r="A119" s="1339"/>
      <c r="B119" s="1259" t="s">
        <v>1218</v>
      </c>
      <c r="C119" s="1260"/>
      <c r="D119" s="1260"/>
      <c r="E119" s="1261"/>
      <c r="F119" s="1207" t="s">
        <v>363</v>
      </c>
      <c r="G119" s="2175">
        <v>5000</v>
      </c>
      <c r="H119" s="1264">
        <f t="shared" si="11"/>
        <v>0</v>
      </c>
      <c r="I119" s="1265"/>
      <c r="J119" s="1264"/>
      <c r="K119" s="1265">
        <f t="shared" si="12"/>
        <v>0</v>
      </c>
      <c r="L119" s="1266"/>
    </row>
    <row r="120" spans="1:12" s="1199" customFormat="1" ht="24" customHeight="1">
      <c r="A120" s="1339"/>
      <c r="B120" s="1259" t="s">
        <v>1258</v>
      </c>
      <c r="C120" s="1260"/>
      <c r="D120" s="1260"/>
      <c r="E120" s="1261"/>
      <c r="F120" s="1207" t="s">
        <v>363</v>
      </c>
      <c r="G120" s="2175">
        <v>5700</v>
      </c>
      <c r="H120" s="1264">
        <f t="shared" si="11"/>
        <v>0</v>
      </c>
      <c r="I120" s="1265"/>
      <c r="J120" s="1264"/>
      <c r="K120" s="1265">
        <f t="shared" si="12"/>
        <v>0</v>
      </c>
      <c r="L120" s="1266"/>
    </row>
    <row r="121" spans="1:12" s="1199" customFormat="1" ht="24" customHeight="1">
      <c r="A121" s="1339"/>
      <c r="B121" s="1259" t="s">
        <v>1259</v>
      </c>
      <c r="C121" s="1260"/>
      <c r="D121" s="1260"/>
      <c r="E121" s="1261"/>
      <c r="F121" s="1207" t="s">
        <v>363</v>
      </c>
      <c r="G121" s="2175">
        <v>5700</v>
      </c>
      <c r="H121" s="1264">
        <f t="shared" si="11"/>
        <v>0</v>
      </c>
      <c r="I121" s="1265"/>
      <c r="J121" s="1264"/>
      <c r="K121" s="1265">
        <f t="shared" si="12"/>
        <v>0</v>
      </c>
      <c r="L121" s="1266"/>
    </row>
    <row r="122" spans="1:12" s="1199" customFormat="1" ht="24" customHeight="1">
      <c r="A122" s="1339"/>
      <c r="B122" s="1259" t="s">
        <v>1220</v>
      </c>
      <c r="C122" s="1260"/>
      <c r="D122" s="1260"/>
      <c r="E122" s="1261"/>
      <c r="F122" s="1207" t="s">
        <v>363</v>
      </c>
      <c r="G122" s="2175">
        <v>8600</v>
      </c>
      <c r="H122" s="1264">
        <f t="shared" si="11"/>
        <v>0</v>
      </c>
      <c r="I122" s="1265"/>
      <c r="J122" s="1264"/>
      <c r="K122" s="1265">
        <f t="shared" si="12"/>
        <v>0</v>
      </c>
      <c r="L122" s="1266"/>
    </row>
    <row r="123" spans="1:12" s="1199" customFormat="1" ht="24" customHeight="1">
      <c r="A123" s="1339"/>
      <c r="B123" s="1259" t="s">
        <v>1260</v>
      </c>
      <c r="C123" s="1260"/>
      <c r="D123" s="1260"/>
      <c r="E123" s="1261"/>
      <c r="F123" s="1207" t="s">
        <v>363</v>
      </c>
      <c r="G123" s="2175">
        <v>8600</v>
      </c>
      <c r="H123" s="1264">
        <f t="shared" si="11"/>
        <v>0</v>
      </c>
      <c r="I123" s="1265"/>
      <c r="J123" s="1264"/>
      <c r="K123" s="1265">
        <f t="shared" si="12"/>
        <v>0</v>
      </c>
      <c r="L123" s="1266"/>
    </row>
    <row r="124" spans="1:12" s="1199" customFormat="1" ht="24" customHeight="1">
      <c r="A124" s="1339"/>
      <c r="B124" s="1259" t="s">
        <v>1261</v>
      </c>
      <c r="C124" s="1260"/>
      <c r="D124" s="1260"/>
      <c r="E124" s="1261"/>
      <c r="F124" s="1207" t="s">
        <v>363</v>
      </c>
      <c r="G124" s="2175">
        <v>8600</v>
      </c>
      <c r="H124" s="1264">
        <f t="shared" si="11"/>
        <v>0</v>
      </c>
      <c r="I124" s="1265"/>
      <c r="J124" s="1264"/>
      <c r="K124" s="1265">
        <f t="shared" si="12"/>
        <v>0</v>
      </c>
      <c r="L124" s="1266"/>
    </row>
    <row r="125" spans="1:12" s="1199" customFormat="1" ht="24" customHeight="1">
      <c r="A125" s="1339"/>
      <c r="B125" s="1259" t="s">
        <v>1221</v>
      </c>
      <c r="C125" s="1260"/>
      <c r="D125" s="1260"/>
      <c r="E125" s="1261"/>
      <c r="F125" s="1207" t="s">
        <v>363</v>
      </c>
      <c r="G125" s="2175">
        <v>11500</v>
      </c>
      <c r="H125" s="1264">
        <f t="shared" si="11"/>
        <v>0</v>
      </c>
      <c r="I125" s="1265"/>
      <c r="J125" s="1264"/>
      <c r="K125" s="1265">
        <f t="shared" si="12"/>
        <v>0</v>
      </c>
      <c r="L125" s="1266"/>
    </row>
    <row r="126" spans="1:12" s="1199" customFormat="1" ht="24" customHeight="1">
      <c r="A126" s="1339"/>
      <c r="B126" s="1259" t="s">
        <v>1262</v>
      </c>
      <c r="C126" s="1260"/>
      <c r="D126" s="1260"/>
      <c r="E126" s="1261"/>
      <c r="F126" s="1207" t="s">
        <v>363</v>
      </c>
      <c r="G126" s="2175">
        <v>20200</v>
      </c>
      <c r="H126" s="1264">
        <f t="shared" si="11"/>
        <v>0</v>
      </c>
      <c r="I126" s="1265"/>
      <c r="J126" s="1264"/>
      <c r="K126" s="1265">
        <f t="shared" si="12"/>
        <v>0</v>
      </c>
      <c r="L126" s="1266"/>
    </row>
    <row r="127" spans="1:12" s="1199" customFormat="1" ht="24" customHeight="1">
      <c r="A127" s="1339"/>
      <c r="B127" s="1259" t="s">
        <v>1263</v>
      </c>
      <c r="C127" s="1260"/>
      <c r="D127" s="1260"/>
      <c r="E127" s="1261"/>
      <c r="F127" s="1207" t="s">
        <v>363</v>
      </c>
      <c r="G127" s="2175">
        <v>20200</v>
      </c>
      <c r="H127" s="1264">
        <f t="shared" si="11"/>
        <v>0</v>
      </c>
      <c r="I127" s="1265"/>
      <c r="J127" s="1264"/>
      <c r="K127" s="1265">
        <f t="shared" si="12"/>
        <v>0</v>
      </c>
      <c r="L127" s="1266"/>
    </row>
    <row r="128" spans="1:12" s="1199" customFormat="1" ht="24" customHeight="1">
      <c r="A128" s="1339" t="s">
        <v>2924</v>
      </c>
      <c r="B128" s="1259" t="s">
        <v>1143</v>
      </c>
      <c r="C128" s="1260"/>
      <c r="D128" s="1260"/>
      <c r="E128" s="1261"/>
      <c r="F128" s="1358"/>
      <c r="G128" s="2175"/>
      <c r="H128" s="1264">
        <f t="shared" si="11"/>
        <v>0</v>
      </c>
      <c r="I128" s="1265"/>
      <c r="J128" s="1264"/>
      <c r="K128" s="1265">
        <f t="shared" si="12"/>
        <v>0</v>
      </c>
      <c r="L128" s="1364"/>
    </row>
    <row r="129" spans="1:17" s="1199" customFormat="1" ht="24" customHeight="1">
      <c r="A129" s="1339"/>
      <c r="B129" s="1259" t="s">
        <v>1267</v>
      </c>
      <c r="C129" s="1260"/>
      <c r="D129" s="1260"/>
      <c r="E129" s="1261">
        <v>3</v>
      </c>
      <c r="F129" s="1207" t="s">
        <v>363</v>
      </c>
      <c r="G129" s="2175">
        <v>600</v>
      </c>
      <c r="H129" s="1264">
        <f t="shared" si="11"/>
        <v>1800</v>
      </c>
      <c r="I129" s="1265"/>
      <c r="J129" s="1264"/>
      <c r="K129" s="1265">
        <f t="shared" si="12"/>
        <v>1800</v>
      </c>
      <c r="L129" s="1364"/>
    </row>
    <row r="130" spans="1:17" s="1199" customFormat="1" ht="24" customHeight="1">
      <c r="A130" s="1339"/>
      <c r="B130" s="1259" t="s">
        <v>1145</v>
      </c>
      <c r="C130" s="1260"/>
      <c r="D130" s="1260"/>
      <c r="E130" s="1261">
        <v>3</v>
      </c>
      <c r="F130" s="1207" t="s">
        <v>363</v>
      </c>
      <c r="G130" s="2175">
        <v>120</v>
      </c>
      <c r="H130" s="1264">
        <f t="shared" si="11"/>
        <v>360</v>
      </c>
      <c r="I130" s="1265"/>
      <c r="J130" s="1264"/>
      <c r="K130" s="1265">
        <f t="shared" si="12"/>
        <v>360</v>
      </c>
      <c r="L130" s="1364"/>
    </row>
    <row r="131" spans="1:17" s="1199" customFormat="1" ht="24" customHeight="1">
      <c r="A131" s="1339"/>
      <c r="B131" s="1259" t="s">
        <v>1146</v>
      </c>
      <c r="C131" s="1260"/>
      <c r="D131" s="1260"/>
      <c r="E131" s="1261">
        <v>3</v>
      </c>
      <c r="F131" s="1207" t="s">
        <v>363</v>
      </c>
      <c r="G131" s="2175">
        <v>100</v>
      </c>
      <c r="H131" s="1264">
        <f t="shared" si="11"/>
        <v>300</v>
      </c>
      <c r="I131" s="1265"/>
      <c r="J131" s="1264"/>
      <c r="K131" s="1265">
        <f t="shared" si="12"/>
        <v>300</v>
      </c>
      <c r="L131" s="1364"/>
    </row>
    <row r="132" spans="1:17" s="1199" customFormat="1" ht="24" customHeight="1">
      <c r="A132" s="1339"/>
      <c r="B132" s="1259" t="s">
        <v>1224</v>
      </c>
      <c r="C132" s="1260"/>
      <c r="D132" s="1260"/>
      <c r="E132" s="1261">
        <v>7</v>
      </c>
      <c r="F132" s="1207" t="s">
        <v>363</v>
      </c>
      <c r="G132" s="2175">
        <v>15435</v>
      </c>
      <c r="H132" s="1264">
        <f t="shared" si="11"/>
        <v>108045</v>
      </c>
      <c r="I132" s="1265"/>
      <c r="J132" s="1264"/>
      <c r="K132" s="1265">
        <f t="shared" si="12"/>
        <v>108045</v>
      </c>
      <c r="L132" s="1364"/>
    </row>
    <row r="133" spans="1:17" s="1199" customFormat="1" ht="24" customHeight="1">
      <c r="A133" s="1339" t="s">
        <v>2925</v>
      </c>
      <c r="B133" s="1259" t="s">
        <v>1226</v>
      </c>
      <c r="C133" s="1260"/>
      <c r="D133" s="1260"/>
      <c r="E133" s="1261">
        <v>1</v>
      </c>
      <c r="F133" s="1207" t="s">
        <v>1104</v>
      </c>
      <c r="G133" s="2175">
        <v>40000</v>
      </c>
      <c r="H133" s="1264">
        <f t="shared" si="11"/>
        <v>40000</v>
      </c>
      <c r="I133" s="1265">
        <f>G133*0.3</f>
        <v>12000</v>
      </c>
      <c r="J133" s="1264">
        <f>ROUND(E133*I133,)</f>
        <v>12000</v>
      </c>
      <c r="K133" s="1265">
        <f t="shared" si="12"/>
        <v>52000</v>
      </c>
      <c r="L133" s="1364"/>
    </row>
    <row r="134" spans="1:17" s="1199" customFormat="1" ht="24" customHeight="1">
      <c r="A134" s="1331"/>
      <c r="B134" s="1190" t="s">
        <v>1117</v>
      </c>
      <c r="C134" s="1275"/>
      <c r="D134" s="1275"/>
      <c r="E134" s="2145"/>
      <c r="F134" s="1358"/>
      <c r="G134" s="2175"/>
      <c r="H134" s="1264"/>
      <c r="I134" s="1265"/>
      <c r="J134" s="1264"/>
      <c r="K134" s="1299"/>
      <c r="L134" s="1432"/>
    </row>
    <row r="135" spans="1:17" s="1199" customFormat="1" ht="24" customHeight="1">
      <c r="A135" s="1331"/>
      <c r="B135" s="1190" t="s">
        <v>1118</v>
      </c>
      <c r="C135" s="1275"/>
      <c r="D135" s="1275"/>
      <c r="E135" s="2145"/>
      <c r="F135" s="1358"/>
      <c r="G135" s="2175"/>
      <c r="H135" s="1264"/>
      <c r="I135" s="1265"/>
      <c r="J135" s="1264"/>
      <c r="K135" s="1299"/>
      <c r="L135" s="1432"/>
    </row>
    <row r="136" spans="1:17" s="1199" customFormat="1" ht="24" customHeight="1">
      <c r="A136" s="1331"/>
      <c r="B136" s="1190" t="s">
        <v>1118</v>
      </c>
      <c r="C136" s="1275"/>
      <c r="D136" s="1275"/>
      <c r="E136" s="2145"/>
      <c r="F136" s="1358"/>
      <c r="G136" s="2175"/>
      <c r="H136" s="1264"/>
      <c r="I136" s="1265"/>
      <c r="J136" s="1264"/>
      <c r="K136" s="1299"/>
      <c r="L136" s="1432"/>
    </row>
    <row r="137" spans="1:17" s="1199" customFormat="1" ht="24" customHeight="1">
      <c r="A137" s="1189"/>
      <c r="B137" s="1650"/>
      <c r="C137" s="1275"/>
      <c r="D137" s="1275"/>
      <c r="E137" s="2145"/>
      <c r="F137" s="1358"/>
      <c r="G137" s="2175"/>
      <c r="H137" s="1264"/>
      <c r="I137" s="1265"/>
      <c r="J137" s="1264"/>
      <c r="K137" s="1299"/>
      <c r="L137" s="1432"/>
    </row>
    <row r="138" spans="1:17" s="1199" customFormat="1" ht="24" customHeight="1">
      <c r="A138" s="1243"/>
      <c r="B138" s="2257" t="str">
        <f>"รวมราคารายการที่ "&amp;A83</f>
        <v>รวมราคารายการที่ 3.2</v>
      </c>
      <c r="C138" s="2258"/>
      <c r="D138" s="2259"/>
      <c r="E138" s="1244"/>
      <c r="F138" s="1245"/>
      <c r="G138" s="1246"/>
      <c r="H138" s="1247">
        <f>SUM(H83:H137)</f>
        <v>256670</v>
      </c>
      <c r="I138" s="1246"/>
      <c r="J138" s="1247">
        <f>SUM(J83:J137)</f>
        <v>20220</v>
      </c>
      <c r="K138" s="1247">
        <f>SUM(K83:K137)</f>
        <v>276890</v>
      </c>
      <c r="L138" s="1245"/>
      <c r="M138" s="1214"/>
      <c r="N138" s="1214"/>
      <c r="O138" s="1214"/>
      <c r="P138" s="1214"/>
      <c r="Q138" s="1214"/>
    </row>
    <row r="139" spans="1:17" s="1199" customFormat="1" ht="24" customHeight="1">
      <c r="A139" s="1381">
        <v>3.3</v>
      </c>
      <c r="B139" s="1292" t="s">
        <v>1427</v>
      </c>
      <c r="C139" s="1294"/>
      <c r="D139" s="1294"/>
      <c r="E139" s="1295"/>
      <c r="F139" s="1296"/>
      <c r="G139" s="1297"/>
      <c r="H139" s="1298"/>
      <c r="I139" s="1299"/>
      <c r="J139" s="1298"/>
      <c r="K139" s="1299"/>
      <c r="L139" s="1432"/>
    </row>
    <row r="140" spans="1:17" s="1199" customFormat="1" ht="24" customHeight="1">
      <c r="A140" s="1331" t="s">
        <v>1128</v>
      </c>
      <c r="B140" s="1190" t="s">
        <v>2892</v>
      </c>
      <c r="C140" s="1275"/>
      <c r="D140" s="1275"/>
      <c r="E140" s="1276"/>
      <c r="F140" s="1358"/>
      <c r="G140" s="2175"/>
      <c r="H140" s="1264"/>
      <c r="I140" s="1265"/>
      <c r="J140" s="1264"/>
      <c r="K140" s="1299"/>
      <c r="L140" s="1432"/>
    </row>
    <row r="141" spans="1:17" s="1199" customFormat="1" ht="24" customHeight="1">
      <c r="A141" s="1331"/>
      <c r="B141" s="1190" t="s">
        <v>2893</v>
      </c>
      <c r="C141" s="1275"/>
      <c r="D141" s="1275"/>
      <c r="E141" s="1276"/>
      <c r="F141" s="1194" t="s">
        <v>363</v>
      </c>
      <c r="G141" s="2175">
        <v>6800</v>
      </c>
      <c r="H141" s="1264">
        <f>ROUND(E141*G141,)</f>
        <v>0</v>
      </c>
      <c r="I141" s="1265">
        <v>1500</v>
      </c>
      <c r="J141" s="1264">
        <f>ROUND(E141*I141,)</f>
        <v>0</v>
      </c>
      <c r="K141" s="1299">
        <f>H141+J141</f>
        <v>0</v>
      </c>
      <c r="L141" s="1432"/>
    </row>
    <row r="142" spans="1:17" s="1199" customFormat="1" ht="24" customHeight="1">
      <c r="A142" s="1331"/>
      <c r="B142" s="1190" t="s">
        <v>2894</v>
      </c>
      <c r="C142" s="1275"/>
      <c r="D142" s="1275"/>
      <c r="E142" s="1276"/>
      <c r="F142" s="1194" t="s">
        <v>363</v>
      </c>
      <c r="G142" s="2175">
        <v>2400</v>
      </c>
      <c r="H142" s="1264"/>
      <c r="I142" s="1265"/>
      <c r="J142" s="1264"/>
      <c r="K142" s="1299"/>
      <c r="L142" s="1432"/>
    </row>
    <row r="143" spans="1:17" s="1199" customFormat="1" ht="24" customHeight="1">
      <c r="A143" s="1331"/>
      <c r="B143" s="1190" t="s">
        <v>2895</v>
      </c>
      <c r="C143" s="1275"/>
      <c r="D143" s="1275"/>
      <c r="E143" s="1276"/>
      <c r="F143" s="1194" t="s">
        <v>363</v>
      </c>
      <c r="G143" s="2175">
        <v>138</v>
      </c>
      <c r="H143" s="1264">
        <f>ROUND(E143*G143,)</f>
        <v>0</v>
      </c>
      <c r="I143" s="1265"/>
      <c r="J143" s="1264">
        <f>ROUND(E143*I143,)</f>
        <v>0</v>
      </c>
      <c r="K143" s="1299">
        <f>H143+J143</f>
        <v>0</v>
      </c>
      <c r="L143" s="1432"/>
    </row>
    <row r="144" spans="1:17" s="1199" customFormat="1" ht="24" customHeight="1">
      <c r="A144" s="1331"/>
      <c r="B144" s="1190" t="s">
        <v>1432</v>
      </c>
      <c r="C144" s="1275"/>
      <c r="D144" s="1275"/>
      <c r="E144" s="1276"/>
      <c r="F144" s="1194" t="s">
        <v>363</v>
      </c>
      <c r="G144" s="2175">
        <v>138</v>
      </c>
      <c r="H144" s="1264">
        <f t="shared" ref="H144:H145" si="13">ROUND(E144*G144,)</f>
        <v>0</v>
      </c>
      <c r="I144" s="1265"/>
      <c r="J144" s="1264">
        <f t="shared" ref="J144:J145" si="14">ROUND(E144*I144,)</f>
        <v>0</v>
      </c>
      <c r="K144" s="1299">
        <f t="shared" ref="K144:K145" si="15">H144+J144</f>
        <v>0</v>
      </c>
      <c r="L144" s="1432"/>
    </row>
    <row r="145" spans="1:17" s="1199" customFormat="1" ht="24" customHeight="1">
      <c r="A145" s="1331"/>
      <c r="B145" s="1190" t="s">
        <v>2896</v>
      </c>
      <c r="C145" s="1275"/>
      <c r="D145" s="1275"/>
      <c r="E145" s="1276"/>
      <c r="F145" s="1194" t="s">
        <v>363</v>
      </c>
      <c r="G145" s="2175">
        <v>619</v>
      </c>
      <c r="H145" s="1264">
        <f t="shared" si="13"/>
        <v>0</v>
      </c>
      <c r="I145" s="1265"/>
      <c r="J145" s="1264">
        <f t="shared" si="14"/>
        <v>0</v>
      </c>
      <c r="K145" s="1299">
        <f t="shared" si="15"/>
        <v>0</v>
      </c>
      <c r="L145" s="1432"/>
    </row>
    <row r="146" spans="1:17" s="1199" customFormat="1" ht="24" customHeight="1">
      <c r="A146" s="1331"/>
      <c r="B146" s="1190" t="s">
        <v>1117</v>
      </c>
      <c r="C146" s="1275"/>
      <c r="D146" s="1275"/>
      <c r="E146" s="2145"/>
      <c r="F146" s="1358"/>
      <c r="G146" s="2175"/>
      <c r="H146" s="1264"/>
      <c r="I146" s="1265"/>
      <c r="J146" s="1264"/>
      <c r="K146" s="1299"/>
      <c r="L146" s="1432"/>
    </row>
    <row r="147" spans="1:17" s="1199" customFormat="1" ht="24" customHeight="1">
      <c r="A147" s="1331"/>
      <c r="B147" s="1190" t="s">
        <v>1118</v>
      </c>
      <c r="C147" s="1275"/>
      <c r="D147" s="1275"/>
      <c r="E147" s="2145"/>
      <c r="F147" s="1358"/>
      <c r="G147" s="2175"/>
      <c r="H147" s="1264"/>
      <c r="I147" s="1265"/>
      <c r="J147" s="1264"/>
      <c r="K147" s="1299"/>
      <c r="L147" s="1432"/>
    </row>
    <row r="148" spans="1:17" s="1199" customFormat="1" ht="24" customHeight="1">
      <c r="A148" s="1331"/>
      <c r="B148" s="1190" t="s">
        <v>1118</v>
      </c>
      <c r="C148" s="1275"/>
      <c r="D148" s="1275"/>
      <c r="E148" s="2145"/>
      <c r="F148" s="1358"/>
      <c r="G148" s="2175"/>
      <c r="H148" s="1264"/>
      <c r="I148" s="1265"/>
      <c r="J148" s="1264"/>
      <c r="K148" s="1299"/>
      <c r="L148" s="1432"/>
    </row>
    <row r="149" spans="1:17" s="1199" customFormat="1" ht="24" customHeight="1">
      <c r="A149" s="1331"/>
      <c r="B149" s="1190"/>
      <c r="C149" s="1275"/>
      <c r="D149" s="1275"/>
      <c r="E149" s="2145"/>
      <c r="F149" s="1358"/>
      <c r="G149" s="2175"/>
      <c r="H149" s="1264"/>
      <c r="I149" s="1265"/>
      <c r="J149" s="1264"/>
      <c r="K149" s="1299"/>
      <c r="L149" s="1432"/>
    </row>
    <row r="150" spans="1:17" s="1199" customFormat="1" ht="24" customHeight="1">
      <c r="A150" s="1331"/>
      <c r="B150" s="1190"/>
      <c r="C150" s="1275"/>
      <c r="D150" s="1275"/>
      <c r="E150" s="2145"/>
      <c r="F150" s="1358"/>
      <c r="G150" s="2175"/>
      <c r="H150" s="1264"/>
      <c r="I150" s="1265"/>
      <c r="J150" s="1264"/>
      <c r="K150" s="1299"/>
      <c r="L150" s="1432"/>
    </row>
    <row r="151" spans="1:17" s="1199" customFormat="1" ht="24" customHeight="1">
      <c r="A151" s="1331"/>
      <c r="B151" s="1190"/>
      <c r="C151" s="1275"/>
      <c r="D151" s="1275"/>
      <c r="E151" s="2145"/>
      <c r="F151" s="1358"/>
      <c r="G151" s="2175"/>
      <c r="H151" s="1264"/>
      <c r="I151" s="1265"/>
      <c r="J151" s="1264"/>
      <c r="K151" s="1299"/>
      <c r="L151" s="1432"/>
    </row>
    <row r="152" spans="1:17" s="1199" customFormat="1" ht="24" customHeight="1">
      <c r="A152" s="1331"/>
      <c r="B152" s="1190"/>
      <c r="C152" s="1275"/>
      <c r="D152" s="1275"/>
      <c r="E152" s="2145"/>
      <c r="F152" s="1358"/>
      <c r="G152" s="2175"/>
      <c r="H152" s="1264"/>
      <c r="I152" s="1265"/>
      <c r="J152" s="1264"/>
      <c r="K152" s="1299"/>
      <c r="L152" s="1432"/>
    </row>
    <row r="153" spans="1:17" s="1199" customFormat="1" ht="24" customHeight="1">
      <c r="A153" s="1189"/>
      <c r="B153" s="1650"/>
      <c r="C153" s="1275"/>
      <c r="D153" s="1275"/>
      <c r="E153" s="2145"/>
      <c r="F153" s="1358"/>
      <c r="G153" s="2175"/>
      <c r="H153" s="1264"/>
      <c r="I153" s="1265"/>
      <c r="J153" s="1264"/>
      <c r="K153" s="1299"/>
      <c r="L153" s="1432"/>
    </row>
    <row r="154" spans="1:17" s="1199" customFormat="1" ht="24" customHeight="1">
      <c r="A154" s="1243"/>
      <c r="B154" s="2257" t="str">
        <f>"รวมราคารายการที่ "&amp;A139</f>
        <v>รวมราคารายการที่ 3.3</v>
      </c>
      <c r="C154" s="2258"/>
      <c r="D154" s="2259"/>
      <c r="E154" s="1244"/>
      <c r="F154" s="1245"/>
      <c r="G154" s="1246"/>
      <c r="H154" s="1247">
        <f>SUM(H140:H145)</f>
        <v>0</v>
      </c>
      <c r="I154" s="1246"/>
      <c r="J154" s="1247">
        <f>SUM(J140:J145)</f>
        <v>0</v>
      </c>
      <c r="K154" s="1245">
        <f>SUM(K140:K145)</f>
        <v>0</v>
      </c>
      <c r="L154" s="1245"/>
    </row>
    <row r="155" spans="1:17" s="1199" customFormat="1" ht="24" customHeight="1">
      <c r="A155" s="1491">
        <v>3.4</v>
      </c>
      <c r="B155" s="1292" t="s">
        <v>1312</v>
      </c>
      <c r="C155" s="1235"/>
      <c r="D155" s="1235"/>
      <c r="E155" s="1397"/>
      <c r="F155" s="1398"/>
      <c r="G155" s="1399"/>
      <c r="H155" s="1298">
        <f t="shared" ref="H155" si="16">ROUND(E155*G155,)</f>
        <v>0</v>
      </c>
      <c r="I155" s="1401"/>
      <c r="J155" s="1298">
        <f t="shared" ref="J155" si="17">ROUND(E155*I155,)</f>
        <v>0</v>
      </c>
      <c r="K155" s="1402"/>
      <c r="L155" s="1403"/>
      <c r="M155" s="1214"/>
      <c r="N155" s="1214"/>
      <c r="O155" s="1214"/>
      <c r="P155" s="1214"/>
      <c r="Q155" s="1214"/>
    </row>
    <row r="156" spans="1:17" s="1199" customFormat="1" ht="24" customHeight="1">
      <c r="A156" s="1331" t="s">
        <v>1135</v>
      </c>
      <c r="B156" s="2174" t="s">
        <v>1314</v>
      </c>
      <c r="C156" s="1275"/>
      <c r="D156" s="1275"/>
      <c r="E156" s="1276"/>
      <c r="F156" s="1358"/>
      <c r="G156" s="2175"/>
      <c r="H156" s="1264"/>
      <c r="I156" s="1265"/>
      <c r="J156" s="1264"/>
      <c r="K156" s="1273"/>
      <c r="L156" s="1269"/>
    </row>
    <row r="157" spans="1:17" s="1199" customFormat="1" ht="24" customHeight="1">
      <c r="A157" s="1331" t="s">
        <v>1137</v>
      </c>
      <c r="B157" s="2174" t="s">
        <v>1315</v>
      </c>
      <c r="C157" s="1275"/>
      <c r="D157" s="1275"/>
      <c r="E157" s="1276"/>
      <c r="F157" s="1358"/>
      <c r="G157" s="2176"/>
      <c r="H157" s="1264"/>
      <c r="I157" s="1265"/>
      <c r="J157" s="1264"/>
      <c r="K157" s="1273"/>
      <c r="L157" s="1269"/>
    </row>
    <row r="158" spans="1:17" s="1199" customFormat="1" ht="24" customHeight="1">
      <c r="A158" s="1331"/>
      <c r="B158" s="2174" t="s">
        <v>1316</v>
      </c>
      <c r="C158" s="1275"/>
      <c r="D158" s="1275"/>
      <c r="E158" s="1270"/>
      <c r="F158" s="1358" t="s">
        <v>226</v>
      </c>
      <c r="G158" s="2176">
        <v>14</v>
      </c>
      <c r="H158" s="1264">
        <f t="shared" ref="H158:H171" si="18">ROUND(E158*G158,)</f>
        <v>0</v>
      </c>
      <c r="I158" s="1265">
        <v>10</v>
      </c>
      <c r="J158" s="1264">
        <f t="shared" ref="J158:J171" si="19">ROUND(E158*I158,)</f>
        <v>0</v>
      </c>
      <c r="K158" s="1273">
        <f t="shared" ref="K158:K171" si="20">H158+J158</f>
        <v>0</v>
      </c>
      <c r="L158" s="2000" t="s">
        <v>2667</v>
      </c>
      <c r="N158" s="1199">
        <v>1375.8</v>
      </c>
      <c r="O158" s="1199">
        <f>ROUND(N158/100,)</f>
        <v>14</v>
      </c>
      <c r="P158" s="1199">
        <f>E158*1.1</f>
        <v>0</v>
      </c>
    </row>
    <row r="159" spans="1:17" s="1199" customFormat="1" ht="24" customHeight="1">
      <c r="A159" s="1331"/>
      <c r="B159" s="2174" t="s">
        <v>1317</v>
      </c>
      <c r="C159" s="1275"/>
      <c r="D159" s="1275"/>
      <c r="E159" s="1270">
        <v>185</v>
      </c>
      <c r="F159" s="1358" t="s">
        <v>226</v>
      </c>
      <c r="G159" s="2176">
        <v>23</v>
      </c>
      <c r="H159" s="1264">
        <f t="shared" si="18"/>
        <v>4255</v>
      </c>
      <c r="I159" s="1265">
        <v>12</v>
      </c>
      <c r="J159" s="1264">
        <f t="shared" si="19"/>
        <v>2220</v>
      </c>
      <c r="K159" s="1273">
        <f t="shared" si="20"/>
        <v>6475</v>
      </c>
      <c r="L159" s="2000" t="s">
        <v>2667</v>
      </c>
      <c r="N159" s="1199">
        <v>2264.1999999999998</v>
      </c>
      <c r="O159" s="1199">
        <f t="shared" ref="O159:O167" si="21">ROUND(N159/100,)</f>
        <v>23</v>
      </c>
      <c r="P159" s="1199">
        <f t="shared" ref="P159:P171" si="22">E159*1.1</f>
        <v>203.50000000000003</v>
      </c>
    </row>
    <row r="160" spans="1:17" s="1199" customFormat="1" ht="24" customHeight="1">
      <c r="A160" s="1331"/>
      <c r="B160" s="2174" t="s">
        <v>1318</v>
      </c>
      <c r="C160" s="1275"/>
      <c r="D160" s="1275"/>
      <c r="E160" s="1270"/>
      <c r="F160" s="1358" t="s">
        <v>226</v>
      </c>
      <c r="G160" s="2176">
        <v>39</v>
      </c>
      <c r="H160" s="1264">
        <f t="shared" si="18"/>
        <v>0</v>
      </c>
      <c r="I160" s="1265">
        <v>16</v>
      </c>
      <c r="J160" s="1264">
        <f t="shared" si="19"/>
        <v>0</v>
      </c>
      <c r="K160" s="1273">
        <f t="shared" si="20"/>
        <v>0</v>
      </c>
      <c r="L160" s="2000" t="s">
        <v>2667</v>
      </c>
      <c r="N160" s="1199">
        <v>3944.2</v>
      </c>
      <c r="O160" s="1199">
        <f t="shared" si="21"/>
        <v>39</v>
      </c>
      <c r="P160" s="1199">
        <f t="shared" si="22"/>
        <v>0</v>
      </c>
    </row>
    <row r="161" spans="1:17" s="1199" customFormat="1" ht="24" customHeight="1">
      <c r="A161" s="1331"/>
      <c r="B161" s="2174" t="s">
        <v>1319</v>
      </c>
      <c r="C161" s="1275"/>
      <c r="D161" s="1275"/>
      <c r="E161" s="1270"/>
      <c r="F161" s="1358" t="s">
        <v>226</v>
      </c>
      <c r="G161" s="2176">
        <v>61</v>
      </c>
      <c r="H161" s="1264">
        <f t="shared" si="18"/>
        <v>0</v>
      </c>
      <c r="I161" s="1265">
        <v>20</v>
      </c>
      <c r="J161" s="1264">
        <f t="shared" si="19"/>
        <v>0</v>
      </c>
      <c r="K161" s="1273">
        <f t="shared" si="20"/>
        <v>0</v>
      </c>
      <c r="L161" s="2000" t="s">
        <v>2667</v>
      </c>
      <c r="N161" s="1199">
        <v>6120</v>
      </c>
      <c r="O161" s="1199">
        <f t="shared" si="21"/>
        <v>61</v>
      </c>
      <c r="P161" s="1199">
        <f t="shared" si="22"/>
        <v>0</v>
      </c>
    </row>
    <row r="162" spans="1:17" s="1199" customFormat="1" ht="24" customHeight="1">
      <c r="A162" s="1331"/>
      <c r="B162" s="2174" t="s">
        <v>1320</v>
      </c>
      <c r="C162" s="1275"/>
      <c r="D162" s="1275"/>
      <c r="E162" s="1439">
        <v>740</v>
      </c>
      <c r="F162" s="1358" t="s">
        <v>226</v>
      </c>
      <c r="G162" s="2176">
        <v>96</v>
      </c>
      <c r="H162" s="1264">
        <f t="shared" si="18"/>
        <v>71040</v>
      </c>
      <c r="I162" s="1265">
        <v>25</v>
      </c>
      <c r="J162" s="1264">
        <f t="shared" si="19"/>
        <v>18500</v>
      </c>
      <c r="K162" s="1273">
        <f t="shared" si="20"/>
        <v>89540</v>
      </c>
      <c r="L162" s="2000" t="s">
        <v>2667</v>
      </c>
      <c r="N162" s="1199">
        <v>9600</v>
      </c>
      <c r="O162" s="1199">
        <f t="shared" si="21"/>
        <v>96</v>
      </c>
      <c r="P162" s="1199">
        <f t="shared" si="22"/>
        <v>814.00000000000011</v>
      </c>
    </row>
    <row r="163" spans="1:17" s="1199" customFormat="1" ht="24" customHeight="1">
      <c r="A163" s="1331"/>
      <c r="B163" s="2174" t="s">
        <v>1321</v>
      </c>
      <c r="C163" s="1275"/>
      <c r="D163" s="1275"/>
      <c r="E163" s="1270"/>
      <c r="F163" s="1358" t="s">
        <v>226</v>
      </c>
      <c r="G163" s="2176">
        <v>127</v>
      </c>
      <c r="H163" s="1264">
        <f t="shared" si="18"/>
        <v>0</v>
      </c>
      <c r="I163" s="1265">
        <v>30</v>
      </c>
      <c r="J163" s="1264">
        <f t="shared" si="19"/>
        <v>0</v>
      </c>
      <c r="K163" s="1273">
        <f t="shared" si="20"/>
        <v>0</v>
      </c>
      <c r="L163" s="2000" t="s">
        <v>2667</v>
      </c>
      <c r="N163" s="1199">
        <v>12744.2</v>
      </c>
      <c r="O163" s="1199">
        <f t="shared" si="21"/>
        <v>127</v>
      </c>
      <c r="P163" s="1199">
        <f t="shared" si="22"/>
        <v>0</v>
      </c>
    </row>
    <row r="164" spans="1:17" s="1199" customFormat="1" ht="24" customHeight="1">
      <c r="A164" s="1331"/>
      <c r="B164" s="2174" t="s">
        <v>1322</v>
      </c>
      <c r="C164" s="1275"/>
      <c r="D164" s="1275"/>
      <c r="E164" s="1270"/>
      <c r="F164" s="1358" t="s">
        <v>226</v>
      </c>
      <c r="G164" s="2176">
        <v>183</v>
      </c>
      <c r="H164" s="1264">
        <f t="shared" si="18"/>
        <v>0</v>
      </c>
      <c r="I164" s="1265">
        <v>40</v>
      </c>
      <c r="J164" s="1264">
        <f t="shared" si="19"/>
        <v>0</v>
      </c>
      <c r="K164" s="1273">
        <f t="shared" si="20"/>
        <v>0</v>
      </c>
      <c r="L164" s="2000" t="s">
        <v>2667</v>
      </c>
      <c r="N164" s="1199">
        <v>18335.8</v>
      </c>
      <c r="O164" s="1199">
        <f t="shared" si="21"/>
        <v>183</v>
      </c>
      <c r="P164" s="1199">
        <f t="shared" si="22"/>
        <v>0</v>
      </c>
    </row>
    <row r="165" spans="1:17" s="1199" customFormat="1" ht="24" customHeight="1">
      <c r="A165" s="1331"/>
      <c r="B165" s="2174" t="s">
        <v>1323</v>
      </c>
      <c r="C165" s="1275"/>
      <c r="D165" s="1275"/>
      <c r="E165" s="1270"/>
      <c r="F165" s="1358" t="s">
        <v>226</v>
      </c>
      <c r="G165" s="2176">
        <v>262</v>
      </c>
      <c r="H165" s="1264">
        <f t="shared" si="18"/>
        <v>0</v>
      </c>
      <c r="I165" s="1265">
        <v>45</v>
      </c>
      <c r="J165" s="1264">
        <f t="shared" si="19"/>
        <v>0</v>
      </c>
      <c r="K165" s="1273">
        <f t="shared" si="20"/>
        <v>0</v>
      </c>
      <c r="L165" s="2000" t="s">
        <v>2667</v>
      </c>
      <c r="N165" s="1199">
        <v>26215.8</v>
      </c>
      <c r="O165" s="1199">
        <f t="shared" si="21"/>
        <v>262</v>
      </c>
      <c r="P165" s="1199">
        <f t="shared" si="22"/>
        <v>0</v>
      </c>
    </row>
    <row r="166" spans="1:17" s="1199" customFormat="1" ht="24" customHeight="1">
      <c r="A166" s="1331"/>
      <c r="B166" s="2174" t="s">
        <v>1324</v>
      </c>
      <c r="C166" s="1275"/>
      <c r="D166" s="1275"/>
      <c r="E166" s="1270"/>
      <c r="F166" s="1358" t="s">
        <v>226</v>
      </c>
      <c r="G166" s="2176">
        <v>361</v>
      </c>
      <c r="H166" s="1264">
        <f t="shared" si="18"/>
        <v>0</v>
      </c>
      <c r="I166" s="1265">
        <v>55</v>
      </c>
      <c r="J166" s="1264">
        <f t="shared" si="19"/>
        <v>0</v>
      </c>
      <c r="K166" s="1273">
        <f t="shared" si="20"/>
        <v>0</v>
      </c>
      <c r="L166" s="2000" t="s">
        <v>2667</v>
      </c>
      <c r="N166" s="1199">
        <v>36120</v>
      </c>
      <c r="O166" s="1199">
        <f t="shared" si="21"/>
        <v>361</v>
      </c>
      <c r="P166" s="1199">
        <f t="shared" si="22"/>
        <v>0</v>
      </c>
    </row>
    <row r="167" spans="1:17" s="1199" customFormat="1" ht="24" customHeight="1">
      <c r="A167" s="1331"/>
      <c r="B167" s="2174" t="s">
        <v>1325</v>
      </c>
      <c r="C167" s="1275"/>
      <c r="D167" s="1275"/>
      <c r="E167" s="1270"/>
      <c r="F167" s="1358" t="s">
        <v>226</v>
      </c>
      <c r="G167" s="2176">
        <v>458</v>
      </c>
      <c r="H167" s="1264">
        <f t="shared" si="18"/>
        <v>0</v>
      </c>
      <c r="I167" s="1265">
        <v>60</v>
      </c>
      <c r="J167" s="1264">
        <f t="shared" si="19"/>
        <v>0</v>
      </c>
      <c r="K167" s="1273">
        <f t="shared" si="20"/>
        <v>0</v>
      </c>
      <c r="L167" s="2000" t="s">
        <v>2667</v>
      </c>
      <c r="N167" s="1199">
        <v>45760</v>
      </c>
      <c r="O167" s="1199">
        <f t="shared" si="21"/>
        <v>458</v>
      </c>
      <c r="P167" s="1199">
        <f t="shared" si="22"/>
        <v>0</v>
      </c>
    </row>
    <row r="168" spans="1:17" s="1199" customFormat="1" ht="24" customHeight="1">
      <c r="A168" s="1331"/>
      <c r="B168" s="2174" t="s">
        <v>1326</v>
      </c>
      <c r="C168" s="1275"/>
      <c r="D168" s="1275"/>
      <c r="E168" s="1270"/>
      <c r="F168" s="1358" t="s">
        <v>226</v>
      </c>
      <c r="G168" s="2176">
        <v>525</v>
      </c>
      <c r="H168" s="1264">
        <f t="shared" si="18"/>
        <v>0</v>
      </c>
      <c r="I168" s="1265">
        <v>70</v>
      </c>
      <c r="J168" s="1264">
        <f t="shared" si="19"/>
        <v>0</v>
      </c>
      <c r="K168" s="1273">
        <f t="shared" si="20"/>
        <v>0</v>
      </c>
      <c r="L168" s="1269"/>
      <c r="P168" s="1199">
        <f t="shared" si="22"/>
        <v>0</v>
      </c>
    </row>
    <row r="169" spans="1:17" s="1199" customFormat="1" ht="24" customHeight="1">
      <c r="A169" s="1331"/>
      <c r="B169" s="2174" t="s">
        <v>1327</v>
      </c>
      <c r="C169" s="1275"/>
      <c r="D169" s="1275"/>
      <c r="E169" s="1270"/>
      <c r="F169" s="1358" t="s">
        <v>226</v>
      </c>
      <c r="G169" s="2176">
        <v>659</v>
      </c>
      <c r="H169" s="1264">
        <f t="shared" si="18"/>
        <v>0</v>
      </c>
      <c r="I169" s="1265">
        <v>85</v>
      </c>
      <c r="J169" s="1264">
        <f t="shared" si="19"/>
        <v>0</v>
      </c>
      <c r="K169" s="1273">
        <f t="shared" si="20"/>
        <v>0</v>
      </c>
      <c r="L169" s="1269"/>
      <c r="P169" s="1199">
        <f t="shared" si="22"/>
        <v>0</v>
      </c>
    </row>
    <row r="170" spans="1:17" s="1199" customFormat="1" ht="24" customHeight="1">
      <c r="A170" s="1331"/>
      <c r="B170" s="2174" t="s">
        <v>1328</v>
      </c>
      <c r="C170" s="1275"/>
      <c r="D170" s="1275"/>
      <c r="E170" s="1270"/>
      <c r="F170" s="1358" t="s">
        <v>226</v>
      </c>
      <c r="G170" s="2176">
        <v>865</v>
      </c>
      <c r="H170" s="1264">
        <f t="shared" si="18"/>
        <v>0</v>
      </c>
      <c r="I170" s="1265">
        <v>100</v>
      </c>
      <c r="J170" s="1264">
        <f t="shared" si="19"/>
        <v>0</v>
      </c>
      <c r="K170" s="1273">
        <f t="shared" si="20"/>
        <v>0</v>
      </c>
      <c r="L170" s="1269"/>
      <c r="P170" s="1199">
        <f t="shared" si="22"/>
        <v>0</v>
      </c>
    </row>
    <row r="171" spans="1:17" s="1199" customFormat="1" ht="24" customHeight="1">
      <c r="A171" s="1331"/>
      <c r="B171" s="2174" t="s">
        <v>1329</v>
      </c>
      <c r="C171" s="1275"/>
      <c r="D171" s="1275"/>
      <c r="E171" s="1270"/>
      <c r="F171" s="1358" t="s">
        <v>226</v>
      </c>
      <c r="G171" s="2176">
        <v>1084</v>
      </c>
      <c r="H171" s="1264">
        <f t="shared" si="18"/>
        <v>0</v>
      </c>
      <c r="I171" s="1265">
        <v>110</v>
      </c>
      <c r="J171" s="1264">
        <f t="shared" si="19"/>
        <v>0</v>
      </c>
      <c r="K171" s="1273">
        <f t="shared" si="20"/>
        <v>0</v>
      </c>
      <c r="L171" s="1269"/>
      <c r="P171" s="1199">
        <f t="shared" si="22"/>
        <v>0</v>
      </c>
    </row>
    <row r="172" spans="1:17" s="1199" customFormat="1" ht="24" customHeight="1">
      <c r="A172" s="1331" t="s">
        <v>1158</v>
      </c>
      <c r="B172" s="2174" t="s">
        <v>2897</v>
      </c>
      <c r="C172" s="1275"/>
      <c r="D172" s="1275"/>
      <c r="E172" s="1276"/>
      <c r="F172" s="1358"/>
      <c r="G172" s="2175"/>
      <c r="H172" s="1264"/>
      <c r="I172" s="1265"/>
      <c r="J172" s="1264"/>
      <c r="K172" s="1273"/>
      <c r="L172" s="1269"/>
    </row>
    <row r="173" spans="1:17" s="1199" customFormat="1" ht="24" customHeight="1">
      <c r="A173" s="1331" t="s">
        <v>2898</v>
      </c>
      <c r="B173" s="1190" t="s">
        <v>1597</v>
      </c>
      <c r="C173" s="1202"/>
      <c r="D173" s="1202"/>
      <c r="E173" s="1387"/>
      <c r="F173" s="1384"/>
      <c r="G173" s="2176"/>
      <c r="H173" s="1264">
        <f t="shared" ref="H173:H182" si="23">ROUND(E173*G173,)</f>
        <v>0</v>
      </c>
      <c r="I173" s="2177"/>
      <c r="J173" s="1264">
        <f t="shared" ref="J173:J182" si="24">ROUND(E173*I173,)</f>
        <v>0</v>
      </c>
      <c r="K173" s="1385"/>
      <c r="L173" s="1385"/>
      <c r="M173" s="1214"/>
      <c r="N173" s="1214"/>
      <c r="O173" s="1214"/>
      <c r="P173" s="1214"/>
      <c r="Q173" s="1214"/>
    </row>
    <row r="174" spans="1:17" s="1199" customFormat="1" ht="24" customHeight="1">
      <c r="A174" s="1331"/>
      <c r="B174" s="1190" t="s">
        <v>1443</v>
      </c>
      <c r="C174" s="1202"/>
      <c r="D174" s="1202"/>
      <c r="E174" s="1439"/>
      <c r="F174" s="1358" t="s">
        <v>226</v>
      </c>
      <c r="G174" s="2176">
        <v>9</v>
      </c>
      <c r="H174" s="1264">
        <f t="shared" si="23"/>
        <v>0</v>
      </c>
      <c r="I174" s="2177">
        <v>7</v>
      </c>
      <c r="J174" s="1264">
        <f t="shared" si="24"/>
        <v>0</v>
      </c>
      <c r="K174" s="1273">
        <f>H174+J174</f>
        <v>0</v>
      </c>
      <c r="L174" s="2001" t="s">
        <v>2667</v>
      </c>
      <c r="M174" s="1214"/>
      <c r="N174" s="1199">
        <v>912.1</v>
      </c>
      <c r="O174" s="1199">
        <f>ROUND(N174/100,)</f>
        <v>9</v>
      </c>
      <c r="P174" s="1214"/>
      <c r="Q174" s="1214"/>
    </row>
    <row r="175" spans="1:17" s="1199" customFormat="1" ht="24" customHeight="1">
      <c r="A175" s="1331"/>
      <c r="B175" s="1190" t="s">
        <v>1316</v>
      </c>
      <c r="C175" s="1202"/>
      <c r="D175" s="1202"/>
      <c r="E175" s="1439">
        <v>390</v>
      </c>
      <c r="F175" s="1358" t="s">
        <v>226</v>
      </c>
      <c r="G175" s="2176">
        <v>14</v>
      </c>
      <c r="H175" s="1264">
        <f t="shared" si="23"/>
        <v>5460</v>
      </c>
      <c r="I175" s="2177">
        <v>10</v>
      </c>
      <c r="J175" s="1264">
        <f t="shared" si="24"/>
        <v>3900</v>
      </c>
      <c r="K175" s="1273">
        <f>H175+J175</f>
        <v>9360</v>
      </c>
      <c r="L175" s="2001" t="s">
        <v>2667</v>
      </c>
      <c r="M175" s="1214"/>
      <c r="N175" s="1199">
        <v>1375.8</v>
      </c>
      <c r="O175" s="1199">
        <f>ROUND(N175/100,)</f>
        <v>14</v>
      </c>
      <c r="P175" s="1214"/>
      <c r="Q175" s="1214"/>
    </row>
    <row r="176" spans="1:17" s="1199" customFormat="1" ht="24" customHeight="1">
      <c r="A176" s="1331"/>
      <c r="B176" s="2174" t="s">
        <v>1317</v>
      </c>
      <c r="C176" s="1275"/>
      <c r="D176" s="1275"/>
      <c r="E176" s="1270"/>
      <c r="F176" s="1358" t="s">
        <v>226</v>
      </c>
      <c r="G176" s="2176">
        <v>23</v>
      </c>
      <c r="H176" s="1264">
        <f t="shared" si="23"/>
        <v>0</v>
      </c>
      <c r="I176" s="1265">
        <v>12</v>
      </c>
      <c r="J176" s="1264">
        <f t="shared" si="24"/>
        <v>0</v>
      </c>
      <c r="K176" s="1273">
        <f t="shared" ref="K176:K177" si="25">H176+J176</f>
        <v>0</v>
      </c>
      <c r="L176" s="2001" t="s">
        <v>2667</v>
      </c>
      <c r="N176" s="1199">
        <v>2264.1999999999998</v>
      </c>
      <c r="O176" s="1199">
        <f t="shared" ref="O176:O177" si="26">ROUND(N176/100,)</f>
        <v>23</v>
      </c>
    </row>
    <row r="177" spans="1:17" s="1199" customFormat="1" ht="24" customHeight="1">
      <c r="A177" s="1331"/>
      <c r="B177" s="2174" t="s">
        <v>1318</v>
      </c>
      <c r="C177" s="1275"/>
      <c r="D177" s="1275"/>
      <c r="E177" s="1270"/>
      <c r="F177" s="1358" t="s">
        <v>226</v>
      </c>
      <c r="G177" s="2176">
        <v>39</v>
      </c>
      <c r="H177" s="1264">
        <f t="shared" si="23"/>
        <v>0</v>
      </c>
      <c r="I177" s="1265">
        <v>16</v>
      </c>
      <c r="J177" s="1264">
        <f t="shared" si="24"/>
        <v>0</v>
      </c>
      <c r="K177" s="1273">
        <f t="shared" si="25"/>
        <v>0</v>
      </c>
      <c r="L177" s="2001" t="s">
        <v>2667</v>
      </c>
      <c r="N177" s="1199">
        <v>3944.2</v>
      </c>
      <c r="O177" s="1199">
        <f t="shared" si="26"/>
        <v>39</v>
      </c>
    </row>
    <row r="178" spans="1:17" s="1199" customFormat="1" ht="24" customHeight="1">
      <c r="A178" s="1331"/>
      <c r="B178" s="2174"/>
      <c r="C178" s="1275"/>
      <c r="D178" s="1275"/>
      <c r="E178" s="1270"/>
      <c r="F178" s="1358"/>
      <c r="G178" s="2176"/>
      <c r="H178" s="1264"/>
      <c r="I178" s="1265"/>
      <c r="J178" s="1264"/>
      <c r="K178" s="1273"/>
      <c r="L178" s="2172"/>
    </row>
    <row r="179" spans="1:17" s="1199" customFormat="1" ht="24" customHeight="1">
      <c r="A179" s="1331" t="s">
        <v>2899</v>
      </c>
      <c r="B179" s="2174" t="s">
        <v>1331</v>
      </c>
      <c r="C179" s="1202"/>
      <c r="D179" s="1202"/>
      <c r="E179" s="1438"/>
      <c r="F179" s="1384"/>
      <c r="G179" s="2176"/>
      <c r="H179" s="1264">
        <f t="shared" si="23"/>
        <v>0</v>
      </c>
      <c r="I179" s="2177"/>
      <c r="J179" s="1264">
        <f t="shared" si="24"/>
        <v>0</v>
      </c>
      <c r="K179" s="1385"/>
      <c r="L179" s="1385"/>
      <c r="M179" s="1214"/>
      <c r="N179" s="1214"/>
      <c r="O179" s="1214"/>
      <c r="P179" s="1214"/>
      <c r="Q179" s="1214"/>
    </row>
    <row r="180" spans="1:17" s="1199" customFormat="1" ht="24" customHeight="1">
      <c r="A180" s="1331"/>
      <c r="B180" s="2174" t="s">
        <v>1443</v>
      </c>
      <c r="C180" s="1202"/>
      <c r="D180" s="1202"/>
      <c r="E180" s="1270"/>
      <c r="F180" s="1358" t="s">
        <v>226</v>
      </c>
      <c r="G180" s="2176">
        <v>41</v>
      </c>
      <c r="H180" s="1264">
        <f t="shared" si="23"/>
        <v>0</v>
      </c>
      <c r="I180" s="2177">
        <v>12</v>
      </c>
      <c r="J180" s="1264">
        <f t="shared" si="24"/>
        <v>0</v>
      </c>
      <c r="K180" s="1273">
        <f>H180+J180</f>
        <v>0</v>
      </c>
      <c r="L180" s="1385"/>
      <c r="M180" s="1214"/>
      <c r="N180" s="1214"/>
      <c r="O180" s="1214"/>
      <c r="P180" s="1214"/>
      <c r="Q180" s="1214"/>
    </row>
    <row r="181" spans="1:17" s="1199" customFormat="1" ht="24" customHeight="1">
      <c r="A181" s="1331"/>
      <c r="B181" s="2174" t="s">
        <v>1316</v>
      </c>
      <c r="C181" s="1202"/>
      <c r="D181" s="1202"/>
      <c r="E181" s="1506"/>
      <c r="F181" s="1358" t="s">
        <v>226</v>
      </c>
      <c r="G181" s="2176">
        <v>53</v>
      </c>
      <c r="H181" s="1264">
        <f t="shared" si="23"/>
        <v>0</v>
      </c>
      <c r="I181" s="2177">
        <v>14</v>
      </c>
      <c r="J181" s="1264">
        <f t="shared" si="24"/>
        <v>0</v>
      </c>
      <c r="K181" s="1273">
        <f>H181+J181</f>
        <v>0</v>
      </c>
      <c r="L181" s="1385"/>
      <c r="M181" s="1214"/>
      <c r="N181" s="1214"/>
      <c r="O181" s="1214"/>
      <c r="P181" s="1214"/>
      <c r="Q181" s="1214"/>
    </row>
    <row r="182" spans="1:17" s="1199" customFormat="1" ht="24" customHeight="1">
      <c r="A182" s="1406"/>
      <c r="B182" s="2174" t="s">
        <v>1444</v>
      </c>
      <c r="C182" s="1235"/>
      <c r="D182" s="1235"/>
      <c r="E182" s="1490">
        <v>1</v>
      </c>
      <c r="F182" s="1296" t="s">
        <v>1104</v>
      </c>
      <c r="G182" s="1399">
        <f>ROUND(SUM(H156:H181)*0.05,)</f>
        <v>4038</v>
      </c>
      <c r="H182" s="1264">
        <f t="shared" si="23"/>
        <v>4038</v>
      </c>
      <c r="I182" s="2177">
        <f>ROUND(G182*0.3,)</f>
        <v>1211</v>
      </c>
      <c r="J182" s="1264">
        <f t="shared" si="24"/>
        <v>1211</v>
      </c>
      <c r="K182" s="1273">
        <f>H182+J182</f>
        <v>5249</v>
      </c>
      <c r="L182" s="1402"/>
      <c r="M182" s="1214"/>
      <c r="N182" s="1214"/>
      <c r="O182" s="1214"/>
      <c r="P182" s="1214"/>
      <c r="Q182" s="1214"/>
    </row>
    <row r="183" spans="1:17" s="1199" customFormat="1" ht="24" customHeight="1">
      <c r="A183" s="1331"/>
      <c r="B183" s="2174" t="s">
        <v>1117</v>
      </c>
      <c r="C183" s="1202"/>
      <c r="D183" s="1202"/>
      <c r="E183" s="1387"/>
      <c r="F183" s="1384"/>
      <c r="G183" s="2176"/>
      <c r="H183" s="1388"/>
      <c r="I183" s="2177"/>
      <c r="J183" s="1385"/>
      <c r="K183" s="1385"/>
      <c r="L183" s="1389"/>
      <c r="M183" s="1214"/>
      <c r="N183" s="1214"/>
      <c r="O183" s="1214"/>
      <c r="P183" s="1214"/>
      <c r="Q183" s="1214"/>
    </row>
    <row r="184" spans="1:17" s="1199" customFormat="1" ht="24" customHeight="1">
      <c r="A184" s="1339"/>
      <c r="B184" s="1259" t="s">
        <v>1369</v>
      </c>
      <c r="C184" s="1202"/>
      <c r="D184" s="1202"/>
      <c r="E184" s="1404"/>
      <c r="F184" s="1267"/>
      <c r="G184" s="1386"/>
      <c r="H184" s="1343"/>
      <c r="I184" s="1414"/>
      <c r="J184" s="1343"/>
      <c r="K184" s="1262"/>
      <c r="L184" s="1415"/>
      <c r="M184" s="1214"/>
      <c r="N184" s="1214"/>
      <c r="O184" s="1214"/>
      <c r="P184" s="1214"/>
      <c r="Q184" s="1214"/>
    </row>
    <row r="185" spans="1:17" s="1199" customFormat="1" ht="24" customHeight="1">
      <c r="A185" s="1339"/>
      <c r="B185" s="1259" t="s">
        <v>1369</v>
      </c>
      <c r="C185" s="1202"/>
      <c r="D185" s="1202"/>
      <c r="E185" s="1404"/>
      <c r="F185" s="1267"/>
      <c r="G185" s="1386"/>
      <c r="H185" s="1343"/>
      <c r="I185" s="1414"/>
      <c r="J185" s="1343"/>
      <c r="K185" s="1262"/>
      <c r="L185" s="1415"/>
      <c r="M185" s="1214"/>
      <c r="N185" s="1214"/>
      <c r="O185" s="1214"/>
      <c r="P185" s="1214"/>
      <c r="Q185" s="1214"/>
    </row>
    <row r="186" spans="1:17" s="1199" customFormat="1" ht="24" customHeight="1">
      <c r="A186" s="1339"/>
      <c r="B186" s="1259"/>
      <c r="C186" s="1202"/>
      <c r="D186" s="1202"/>
      <c r="E186" s="1404"/>
      <c r="F186" s="1267"/>
      <c r="G186" s="1386"/>
      <c r="H186" s="1343"/>
      <c r="I186" s="1414"/>
      <c r="J186" s="1343"/>
      <c r="K186" s="1262"/>
      <c r="L186" s="1415"/>
      <c r="M186" s="1214"/>
      <c r="N186" s="1214"/>
      <c r="O186" s="1214"/>
      <c r="P186" s="1214"/>
      <c r="Q186" s="1214"/>
    </row>
    <row r="187" spans="1:17" s="1199" customFormat="1" ht="24" customHeight="1">
      <c r="A187" s="1243"/>
      <c r="B187" s="2257" t="str">
        <f>"รวมราคารายการที่ "&amp;A155</f>
        <v>รวมราคารายการที่ 3.4</v>
      </c>
      <c r="C187" s="2258"/>
      <c r="D187" s="2259"/>
      <c r="E187" s="1244"/>
      <c r="F187" s="1245"/>
      <c r="G187" s="1246"/>
      <c r="H187" s="1247">
        <f>SUM(H155:H183)</f>
        <v>84793</v>
      </c>
      <c r="I187" s="1246"/>
      <c r="J187" s="1247">
        <f>SUM(J155:J183)</f>
        <v>25831</v>
      </c>
      <c r="K187" s="1247">
        <f>SUM(K155:K183)</f>
        <v>110624</v>
      </c>
      <c r="L187" s="1245"/>
      <c r="M187" s="1214"/>
      <c r="N187" s="1214"/>
      <c r="O187" s="1214"/>
      <c r="P187" s="1214"/>
      <c r="Q187" s="1214"/>
    </row>
    <row r="188" spans="1:17" s="1199" customFormat="1" ht="24" customHeight="1">
      <c r="A188" s="1435" t="s">
        <v>1461</v>
      </c>
      <c r="B188" s="1436" t="s">
        <v>1333</v>
      </c>
      <c r="C188" s="1202"/>
      <c r="D188" s="1202"/>
      <c r="E188" s="1387"/>
      <c r="F188" s="1384"/>
      <c r="G188" s="2176"/>
      <c r="H188" s="1388"/>
      <c r="I188" s="2177"/>
      <c r="J188" s="1385"/>
      <c r="K188" s="1385"/>
      <c r="L188" s="1389"/>
      <c r="M188" s="1214"/>
      <c r="N188" s="1214"/>
      <c r="O188" s="1214"/>
      <c r="P188" s="1214"/>
      <c r="Q188" s="1214"/>
    </row>
    <row r="189" spans="1:17" s="1199" customFormat="1" ht="24" customHeight="1">
      <c r="A189" s="1331" t="s">
        <v>1181</v>
      </c>
      <c r="B189" s="2174" t="s">
        <v>1446</v>
      </c>
      <c r="C189" s="1202"/>
      <c r="D189" s="1202"/>
      <c r="E189" s="1387"/>
      <c r="F189" s="1384"/>
      <c r="G189" s="2176"/>
      <c r="H189" s="1264">
        <f t="shared" ref="H189:H204" si="27">ROUND(E189*G189,)</f>
        <v>0</v>
      </c>
      <c r="I189" s="2177"/>
      <c r="J189" s="1264">
        <f t="shared" ref="J189:J204" si="28">ROUND(E189*I189,)</f>
        <v>0</v>
      </c>
      <c r="K189" s="1385"/>
      <c r="L189" s="1389"/>
      <c r="M189" s="1214"/>
      <c r="N189" s="1214"/>
      <c r="O189" s="1214"/>
      <c r="P189" s="1214"/>
      <c r="Q189" s="1214"/>
    </row>
    <row r="190" spans="1:17" s="1199" customFormat="1" ht="24" customHeight="1">
      <c r="A190" s="1331"/>
      <c r="B190" s="2174" t="s">
        <v>1350</v>
      </c>
      <c r="C190" s="1202"/>
      <c r="D190" s="1202"/>
      <c r="E190" s="1404">
        <v>130</v>
      </c>
      <c r="F190" s="1358" t="s">
        <v>226</v>
      </c>
      <c r="G190" s="2176">
        <v>27</v>
      </c>
      <c r="H190" s="1264">
        <f t="shared" si="27"/>
        <v>3510</v>
      </c>
      <c r="I190" s="2177">
        <v>22</v>
      </c>
      <c r="J190" s="1264">
        <f t="shared" si="28"/>
        <v>2860</v>
      </c>
      <c r="K190" s="1802">
        <f t="shared" ref="K190" si="29">H190+J190</f>
        <v>6370</v>
      </c>
      <c r="L190" s="2001" t="s">
        <v>2667</v>
      </c>
      <c r="M190" s="1214"/>
      <c r="N190" s="1199">
        <v>79.8</v>
      </c>
      <c r="O190" s="1199">
        <f>ROUND(N190/3,)</f>
        <v>27</v>
      </c>
      <c r="P190" s="1214"/>
      <c r="Q190" s="1214"/>
    </row>
    <row r="191" spans="1:17" s="1199" customFormat="1" ht="24" customHeight="1">
      <c r="A191" s="1331"/>
      <c r="B191" s="2174" t="s">
        <v>1108</v>
      </c>
      <c r="C191" s="1202"/>
      <c r="D191" s="1202"/>
      <c r="E191" s="1404">
        <v>1</v>
      </c>
      <c r="F191" s="1384" t="s">
        <v>1104</v>
      </c>
      <c r="G191" s="2176">
        <f>ROUND(SUM(H190:H190)*15%,)</f>
        <v>527</v>
      </c>
      <c r="H191" s="1264">
        <f t="shared" si="27"/>
        <v>527</v>
      </c>
      <c r="I191" s="2177">
        <f>ROUND(G191*0.3,)</f>
        <v>158</v>
      </c>
      <c r="J191" s="1264">
        <f t="shared" si="28"/>
        <v>158</v>
      </c>
      <c r="K191" s="1273">
        <f>H191+J191</f>
        <v>685</v>
      </c>
      <c r="L191" s="1389"/>
      <c r="M191" s="1214"/>
      <c r="N191" s="1214"/>
      <c r="O191" s="1214"/>
      <c r="P191" s="1214"/>
      <c r="Q191" s="1214"/>
    </row>
    <row r="192" spans="1:17" s="1199" customFormat="1" ht="24" customHeight="1">
      <c r="A192" s="1331" t="s">
        <v>1197</v>
      </c>
      <c r="B192" s="2174" t="s">
        <v>1110</v>
      </c>
      <c r="C192" s="1202"/>
      <c r="D192" s="1202"/>
      <c r="E192" s="1404"/>
      <c r="F192" s="1384"/>
      <c r="G192" s="2176"/>
      <c r="H192" s="1264">
        <f t="shared" si="27"/>
        <v>0</v>
      </c>
      <c r="I192" s="2177"/>
      <c r="J192" s="1264">
        <f t="shared" si="28"/>
        <v>0</v>
      </c>
      <c r="K192" s="1385"/>
      <c r="L192" s="1389"/>
      <c r="M192" s="1214"/>
      <c r="N192" s="1214"/>
      <c r="O192" s="1214"/>
      <c r="P192" s="1214"/>
      <c r="Q192" s="1214"/>
    </row>
    <row r="193" spans="1:17" s="1199" customFormat="1" ht="24" customHeight="1">
      <c r="A193" s="1331"/>
      <c r="B193" s="2174" t="s">
        <v>1350</v>
      </c>
      <c r="C193" s="1202"/>
      <c r="D193" s="1202"/>
      <c r="E193" s="1404"/>
      <c r="F193" s="1358" t="s">
        <v>226</v>
      </c>
      <c r="G193" s="2176">
        <v>56</v>
      </c>
      <c r="H193" s="1264">
        <f t="shared" si="27"/>
        <v>0</v>
      </c>
      <c r="I193" s="2177">
        <v>26</v>
      </c>
      <c r="J193" s="1264">
        <f t="shared" si="28"/>
        <v>0</v>
      </c>
      <c r="K193" s="1273">
        <f>H193+J193</f>
        <v>0</v>
      </c>
      <c r="L193" s="2001" t="s">
        <v>2667</v>
      </c>
      <c r="M193" s="1214"/>
      <c r="N193" s="1199">
        <v>169.2</v>
      </c>
      <c r="O193" s="1199">
        <f t="shared" ref="O193:O198" si="30">ROUND(N193/3,)</f>
        <v>56</v>
      </c>
      <c r="P193" s="1214"/>
      <c r="Q193" s="1214"/>
    </row>
    <row r="194" spans="1:17" s="1199" customFormat="1" ht="24" customHeight="1">
      <c r="A194" s="1331"/>
      <c r="B194" s="2174" t="s">
        <v>1448</v>
      </c>
      <c r="C194" s="1202"/>
      <c r="D194" s="1202"/>
      <c r="E194" s="1404"/>
      <c r="F194" s="1358" t="s">
        <v>226</v>
      </c>
      <c r="G194" s="2176">
        <v>75</v>
      </c>
      <c r="H194" s="1264">
        <f t="shared" si="27"/>
        <v>0</v>
      </c>
      <c r="I194" s="2177">
        <v>29</v>
      </c>
      <c r="J194" s="1264">
        <f t="shared" si="28"/>
        <v>0</v>
      </c>
      <c r="K194" s="1273">
        <f>H194+J194</f>
        <v>0</v>
      </c>
      <c r="L194" s="2001" t="s">
        <v>2667</v>
      </c>
      <c r="N194" s="1199">
        <v>225</v>
      </c>
      <c r="O194" s="1199">
        <f t="shared" si="30"/>
        <v>75</v>
      </c>
      <c r="P194" s="1214"/>
    </row>
    <row r="195" spans="1:17" s="1199" customFormat="1" ht="24" customHeight="1">
      <c r="A195" s="1331"/>
      <c r="B195" s="2174" t="s">
        <v>1337</v>
      </c>
      <c r="C195" s="1202"/>
      <c r="D195" s="1202"/>
      <c r="E195" s="1404">
        <v>0</v>
      </c>
      <c r="F195" s="1358" t="s">
        <v>226</v>
      </c>
      <c r="G195" s="2176">
        <v>101</v>
      </c>
      <c r="H195" s="1264">
        <f t="shared" si="27"/>
        <v>0</v>
      </c>
      <c r="I195" s="2177">
        <v>32</v>
      </c>
      <c r="J195" s="1264">
        <f t="shared" si="28"/>
        <v>0</v>
      </c>
      <c r="K195" s="1273">
        <f>H195+J195</f>
        <v>0</v>
      </c>
      <c r="L195" s="2001" t="s">
        <v>2667</v>
      </c>
      <c r="N195" s="1199">
        <v>303.60000000000002</v>
      </c>
      <c r="O195" s="1199">
        <f t="shared" si="30"/>
        <v>101</v>
      </c>
      <c r="P195" s="1214"/>
      <c r="Q195" s="1214"/>
    </row>
    <row r="196" spans="1:17" s="1199" customFormat="1" ht="24" customHeight="1">
      <c r="A196" s="1331"/>
      <c r="B196" s="2174" t="s">
        <v>1338</v>
      </c>
      <c r="C196" s="1202"/>
      <c r="D196" s="1202"/>
      <c r="E196" s="1439">
        <v>185</v>
      </c>
      <c r="F196" s="1358" t="s">
        <v>226</v>
      </c>
      <c r="G196" s="2176">
        <v>131</v>
      </c>
      <c r="H196" s="1264">
        <f t="shared" si="27"/>
        <v>24235</v>
      </c>
      <c r="I196" s="2177">
        <v>32</v>
      </c>
      <c r="J196" s="1264">
        <f t="shared" si="28"/>
        <v>5920</v>
      </c>
      <c r="K196" s="1273">
        <f t="shared" ref="K196:K201" si="31">H196+J196</f>
        <v>30155</v>
      </c>
      <c r="L196" s="2000" t="s">
        <v>2667</v>
      </c>
      <c r="N196" s="1199">
        <v>391.8</v>
      </c>
      <c r="O196" s="1199">
        <f t="shared" si="30"/>
        <v>131</v>
      </c>
    </row>
    <row r="197" spans="1:17" s="1199" customFormat="1" ht="24" customHeight="1">
      <c r="A197" s="1331"/>
      <c r="B197" s="2174" t="s">
        <v>1339</v>
      </c>
      <c r="C197" s="1202"/>
      <c r="D197" s="1202"/>
      <c r="E197" s="1270"/>
      <c r="F197" s="1358" t="s">
        <v>226</v>
      </c>
      <c r="G197" s="2176">
        <v>160</v>
      </c>
      <c r="H197" s="1264">
        <f t="shared" si="27"/>
        <v>0</v>
      </c>
      <c r="I197" s="2177">
        <v>38</v>
      </c>
      <c r="J197" s="1264">
        <f t="shared" si="28"/>
        <v>0</v>
      </c>
      <c r="K197" s="1273">
        <f t="shared" si="31"/>
        <v>0</v>
      </c>
      <c r="L197" s="2000" t="s">
        <v>2667</v>
      </c>
      <c r="N197" s="1199">
        <v>481.2</v>
      </c>
      <c r="O197" s="1199">
        <f t="shared" si="30"/>
        <v>160</v>
      </c>
    </row>
    <row r="198" spans="1:17" s="1199" customFormat="1" ht="24" customHeight="1">
      <c r="A198" s="1331"/>
      <c r="B198" s="2174" t="s">
        <v>1340</v>
      </c>
      <c r="C198" s="1202"/>
      <c r="D198" s="1202"/>
      <c r="E198" s="1270"/>
      <c r="F198" s="1358" t="s">
        <v>226</v>
      </c>
      <c r="G198" s="2176">
        <v>219</v>
      </c>
      <c r="H198" s="1264">
        <f t="shared" si="27"/>
        <v>0</v>
      </c>
      <c r="I198" s="2177">
        <v>42</v>
      </c>
      <c r="J198" s="1264">
        <f t="shared" si="28"/>
        <v>0</v>
      </c>
      <c r="K198" s="1273">
        <f t="shared" si="31"/>
        <v>0</v>
      </c>
      <c r="L198" s="2000" t="s">
        <v>2667</v>
      </c>
      <c r="N198" s="1199">
        <v>657.6</v>
      </c>
      <c r="O198" s="1199">
        <f t="shared" si="30"/>
        <v>219</v>
      </c>
    </row>
    <row r="199" spans="1:17" s="1199" customFormat="1" ht="24" customHeight="1">
      <c r="A199" s="1331"/>
      <c r="B199" s="2174" t="s">
        <v>1341</v>
      </c>
      <c r="C199" s="1202"/>
      <c r="D199" s="1202"/>
      <c r="E199" s="1270"/>
      <c r="F199" s="1358" t="s">
        <v>226</v>
      </c>
      <c r="G199" s="2176">
        <v>352</v>
      </c>
      <c r="H199" s="1264">
        <f t="shared" si="27"/>
        <v>0</v>
      </c>
      <c r="I199" s="2177">
        <v>48</v>
      </c>
      <c r="J199" s="1264">
        <f t="shared" si="28"/>
        <v>0</v>
      </c>
      <c r="K199" s="1273">
        <f t="shared" si="31"/>
        <v>0</v>
      </c>
      <c r="L199" s="1269"/>
    </row>
    <row r="200" spans="1:17" s="1199" customFormat="1" ht="24" customHeight="1">
      <c r="A200" s="1331"/>
      <c r="B200" s="2174" t="s">
        <v>1342</v>
      </c>
      <c r="C200" s="1202"/>
      <c r="D200" s="1202"/>
      <c r="E200" s="1270"/>
      <c r="F200" s="1358" t="s">
        <v>226</v>
      </c>
      <c r="G200" s="2176">
        <v>434</v>
      </c>
      <c r="H200" s="1264">
        <f t="shared" si="27"/>
        <v>0</v>
      </c>
      <c r="I200" s="2177">
        <v>55</v>
      </c>
      <c r="J200" s="1264">
        <f t="shared" si="28"/>
        <v>0</v>
      </c>
      <c r="K200" s="1273">
        <f t="shared" si="31"/>
        <v>0</v>
      </c>
      <c r="L200" s="1269"/>
    </row>
    <row r="201" spans="1:17" s="1199" customFormat="1" ht="24" customHeight="1">
      <c r="A201" s="1331"/>
      <c r="B201" s="2174" t="s">
        <v>1111</v>
      </c>
      <c r="C201" s="1202"/>
      <c r="D201" s="1202"/>
      <c r="E201" s="1270"/>
      <c r="F201" s="1358" t="s">
        <v>226</v>
      </c>
      <c r="G201" s="2176">
        <v>572</v>
      </c>
      <c r="H201" s="1264">
        <f t="shared" si="27"/>
        <v>0</v>
      </c>
      <c r="I201" s="2177">
        <v>65</v>
      </c>
      <c r="J201" s="1264">
        <f t="shared" si="28"/>
        <v>0</v>
      </c>
      <c r="K201" s="1273">
        <f t="shared" si="31"/>
        <v>0</v>
      </c>
      <c r="L201" s="1269"/>
    </row>
    <row r="202" spans="1:17" s="1199" customFormat="1" ht="24" customHeight="1">
      <c r="A202" s="1331"/>
      <c r="B202" s="2174" t="s">
        <v>1108</v>
      </c>
      <c r="C202" s="1202"/>
      <c r="D202" s="1202"/>
      <c r="E202" s="1404">
        <v>1</v>
      </c>
      <c r="F202" s="1384" t="s">
        <v>1104</v>
      </c>
      <c r="G202" s="2176">
        <f>ROUND(SUM(H193:H201)*15%,0)</f>
        <v>3635</v>
      </c>
      <c r="H202" s="1264">
        <f t="shared" si="27"/>
        <v>3635</v>
      </c>
      <c r="I202" s="2177">
        <f>ROUND(ROUND(G202*0.3,),0)</f>
        <v>1091</v>
      </c>
      <c r="J202" s="1264">
        <f t="shared" si="28"/>
        <v>1091</v>
      </c>
      <c r="K202" s="1273">
        <f>H202+J202</f>
        <v>4726</v>
      </c>
      <c r="L202" s="1385"/>
      <c r="M202" s="1214"/>
      <c r="N202" s="1214"/>
      <c r="O202" s="1214"/>
      <c r="P202" s="1214"/>
      <c r="Q202" s="1214"/>
    </row>
    <row r="203" spans="1:17" s="1199" customFormat="1" ht="24" customHeight="1">
      <c r="A203" s="1331" t="s">
        <v>1621</v>
      </c>
      <c r="B203" s="2174" t="s">
        <v>1449</v>
      </c>
      <c r="C203" s="1202"/>
      <c r="D203" s="1202"/>
      <c r="E203" s="1404"/>
      <c r="F203" s="1384"/>
      <c r="G203" s="2176"/>
      <c r="H203" s="1264">
        <f t="shared" si="27"/>
        <v>0</v>
      </c>
      <c r="I203" s="2177"/>
      <c r="J203" s="1264">
        <f t="shared" si="28"/>
        <v>0</v>
      </c>
      <c r="K203" s="1385"/>
      <c r="L203" s="1389"/>
      <c r="M203" s="1214"/>
      <c r="N203" s="1214"/>
      <c r="O203" s="1214"/>
      <c r="P203" s="1214"/>
      <c r="Q203" s="1214"/>
    </row>
    <row r="204" spans="1:17" s="1199" customFormat="1" ht="24" customHeight="1">
      <c r="A204" s="1331"/>
      <c r="B204" s="2174" t="s">
        <v>1350</v>
      </c>
      <c r="C204" s="1202"/>
      <c r="D204" s="1202"/>
      <c r="E204" s="1404">
        <v>14</v>
      </c>
      <c r="F204" s="1358" t="s">
        <v>226</v>
      </c>
      <c r="G204" s="2176">
        <v>14</v>
      </c>
      <c r="H204" s="1264">
        <f t="shared" si="27"/>
        <v>196</v>
      </c>
      <c r="I204" s="2177">
        <v>11</v>
      </c>
      <c r="J204" s="1264">
        <f t="shared" si="28"/>
        <v>154</v>
      </c>
      <c r="K204" s="1273">
        <f>H204+J204</f>
        <v>350</v>
      </c>
      <c r="L204" s="1389"/>
      <c r="M204" s="1214"/>
      <c r="N204" s="1214"/>
      <c r="O204" s="1214"/>
      <c r="P204" s="1214"/>
      <c r="Q204" s="1214"/>
    </row>
    <row r="205" spans="1:17" s="1199" customFormat="1" ht="24" customHeight="1">
      <c r="A205" s="1331"/>
      <c r="B205" s="2174" t="s">
        <v>1117</v>
      </c>
      <c r="C205" s="1202"/>
      <c r="D205" s="1202"/>
      <c r="E205" s="1404"/>
      <c r="F205" s="1384"/>
      <c r="G205" s="2176"/>
      <c r="H205" s="1388"/>
      <c r="I205" s="2177"/>
      <c r="J205" s="1385"/>
      <c r="K205" s="1385"/>
      <c r="L205" s="1389"/>
      <c r="M205" s="1214"/>
      <c r="N205" s="1214"/>
      <c r="O205" s="1214"/>
      <c r="P205" s="1214"/>
      <c r="Q205" s="1214"/>
    </row>
    <row r="206" spans="1:17" s="1199" customFormat="1" ht="24" customHeight="1">
      <c r="A206" s="1339"/>
      <c r="B206" s="1259" t="s">
        <v>1369</v>
      </c>
      <c r="C206" s="1202"/>
      <c r="D206" s="1202"/>
      <c r="E206" s="1404"/>
      <c r="F206" s="1267"/>
      <c r="G206" s="1386"/>
      <c r="H206" s="1343"/>
      <c r="I206" s="1414"/>
      <c r="J206" s="1343"/>
      <c r="K206" s="1262"/>
      <c r="L206" s="1415"/>
      <c r="M206" s="1214"/>
      <c r="N206" s="1214"/>
      <c r="O206" s="1214"/>
      <c r="P206" s="1214"/>
      <c r="Q206" s="1214"/>
    </row>
    <row r="207" spans="1:17" s="1199" customFormat="1" ht="24" customHeight="1">
      <c r="A207" s="1339"/>
      <c r="B207" s="1259" t="s">
        <v>1369</v>
      </c>
      <c r="C207" s="1202"/>
      <c r="D207" s="1202"/>
      <c r="E207" s="1404"/>
      <c r="F207" s="1267"/>
      <c r="G207" s="1386"/>
      <c r="H207" s="1343"/>
      <c r="I207" s="1414"/>
      <c r="J207" s="1343"/>
      <c r="K207" s="1262"/>
      <c r="L207" s="1415"/>
      <c r="M207" s="1214"/>
      <c r="N207" s="1214"/>
      <c r="O207" s="1214"/>
      <c r="P207" s="1214"/>
      <c r="Q207" s="1214"/>
    </row>
    <row r="208" spans="1:17" s="1199" customFormat="1" ht="24" customHeight="1">
      <c r="A208" s="1339"/>
      <c r="B208" s="1259"/>
      <c r="C208" s="1202"/>
      <c r="D208" s="1202"/>
      <c r="E208" s="1404"/>
      <c r="F208" s="1267"/>
      <c r="G208" s="1386"/>
      <c r="H208" s="1343"/>
      <c r="I208" s="1414"/>
      <c r="J208" s="1343"/>
      <c r="K208" s="1262"/>
      <c r="L208" s="1415"/>
      <c r="M208" s="1214"/>
      <c r="N208" s="1214"/>
      <c r="O208" s="1214"/>
      <c r="P208" s="1214"/>
      <c r="Q208" s="1214"/>
    </row>
    <row r="209" spans="1:17" s="1199" customFormat="1" ht="24" customHeight="1">
      <c r="A209" s="1243"/>
      <c r="B209" s="2257" t="str">
        <f>"รวมราคารายการที่ "&amp;A188</f>
        <v>รวมราคารายการที่ 3.5</v>
      </c>
      <c r="C209" s="2258"/>
      <c r="D209" s="2259"/>
      <c r="E209" s="1244"/>
      <c r="F209" s="1245"/>
      <c r="G209" s="1246"/>
      <c r="H209" s="1247">
        <f>SUM(H189:H205)</f>
        <v>32103</v>
      </c>
      <c r="I209" s="1246"/>
      <c r="J209" s="1247">
        <f>SUM(J189:J205)</f>
        <v>10183</v>
      </c>
      <c r="K209" s="1247">
        <f>SUM(K189:K205)</f>
        <v>42286</v>
      </c>
      <c r="L209" s="1245"/>
      <c r="M209" s="1214"/>
      <c r="N209" s="1214"/>
      <c r="O209" s="1214"/>
      <c r="P209" s="1214"/>
      <c r="Q209" s="1214"/>
    </row>
    <row r="210" spans="1:17" s="1199" customFormat="1" ht="24" customHeight="1">
      <c r="A210" s="1435" t="s">
        <v>1465</v>
      </c>
      <c r="B210" s="1436" t="s">
        <v>1451</v>
      </c>
      <c r="C210" s="1202"/>
      <c r="D210" s="1202"/>
      <c r="E210" s="1387"/>
      <c r="F210" s="1384"/>
      <c r="G210" s="2176"/>
      <c r="H210" s="1388"/>
      <c r="I210" s="2177"/>
      <c r="J210" s="1385"/>
      <c r="K210" s="1385"/>
      <c r="L210" s="1389"/>
      <c r="M210" s="1214"/>
      <c r="N210" s="1214"/>
      <c r="O210" s="1214"/>
      <c r="P210" s="1214"/>
      <c r="Q210" s="1214"/>
    </row>
    <row r="211" spans="1:17" s="1199" customFormat="1" ht="24" customHeight="1">
      <c r="A211" s="1331" t="s">
        <v>1207</v>
      </c>
      <c r="B211" s="2174" t="s">
        <v>1451</v>
      </c>
      <c r="C211" s="1202"/>
      <c r="D211" s="1202"/>
      <c r="E211" s="1387"/>
      <c r="F211" s="1384"/>
      <c r="G211" s="2176"/>
      <c r="H211" s="1388"/>
      <c r="I211" s="2177"/>
      <c r="J211" s="1385"/>
      <c r="K211" s="1385"/>
      <c r="L211" s="1389"/>
      <c r="M211" s="1214"/>
      <c r="N211" s="1214"/>
      <c r="O211" s="1214"/>
      <c r="P211" s="1214"/>
      <c r="Q211" s="1214"/>
    </row>
    <row r="212" spans="1:17" s="1199" customFormat="1" ht="24" customHeight="1">
      <c r="A212" s="1331"/>
      <c r="B212" s="2174" t="s">
        <v>1452</v>
      </c>
      <c r="C212" s="1202"/>
      <c r="D212" s="1202"/>
      <c r="E212" s="1387">
        <v>6</v>
      </c>
      <c r="F212" s="1207" t="s">
        <v>363</v>
      </c>
      <c r="G212" s="2176">
        <v>90</v>
      </c>
      <c r="H212" s="1264">
        <f t="shared" ref="H212:H219" si="32">ROUND(E212*G212,)</f>
        <v>540</v>
      </c>
      <c r="I212" s="2177">
        <v>80</v>
      </c>
      <c r="J212" s="1264">
        <f t="shared" ref="J212:J219" si="33">ROUND(E212*I212,)</f>
        <v>480</v>
      </c>
      <c r="K212" s="1273">
        <f t="shared" ref="K212:K219" si="34">H212+J212</f>
        <v>1020</v>
      </c>
      <c r="L212" s="1389"/>
      <c r="M212" s="1214"/>
      <c r="N212" s="1214"/>
      <c r="O212" s="1214"/>
    </row>
    <row r="213" spans="1:17" s="1199" customFormat="1" ht="24" customHeight="1">
      <c r="A213" s="1331"/>
      <c r="B213" s="2174" t="s">
        <v>1453</v>
      </c>
      <c r="C213" s="1202"/>
      <c r="D213" s="1202"/>
      <c r="E213" s="1387"/>
      <c r="F213" s="1207" t="s">
        <v>363</v>
      </c>
      <c r="G213" s="2176">
        <v>130</v>
      </c>
      <c r="H213" s="1264">
        <f t="shared" si="32"/>
        <v>0</v>
      </c>
      <c r="I213" s="2177">
        <v>90</v>
      </c>
      <c r="J213" s="1264">
        <f t="shared" si="33"/>
        <v>0</v>
      </c>
      <c r="K213" s="1273">
        <f t="shared" si="34"/>
        <v>0</v>
      </c>
      <c r="L213" s="1389"/>
      <c r="M213" s="1214"/>
      <c r="N213" s="1214"/>
      <c r="O213" s="1214"/>
    </row>
    <row r="214" spans="1:17" s="1199" customFormat="1" ht="24" customHeight="1">
      <c r="A214" s="1331"/>
      <c r="B214" s="2174" t="s">
        <v>1454</v>
      </c>
      <c r="C214" s="1202"/>
      <c r="D214" s="1202"/>
      <c r="E214" s="1387"/>
      <c r="F214" s="1207" t="s">
        <v>363</v>
      </c>
      <c r="G214" s="2176">
        <v>240</v>
      </c>
      <c r="H214" s="1264">
        <f t="shared" si="32"/>
        <v>0</v>
      </c>
      <c r="I214" s="2177">
        <v>90</v>
      </c>
      <c r="J214" s="1264">
        <f t="shared" si="33"/>
        <v>0</v>
      </c>
      <c r="K214" s="1273">
        <f t="shared" si="34"/>
        <v>0</v>
      </c>
      <c r="L214" s="1389"/>
      <c r="M214" s="1214"/>
      <c r="N214" s="1214"/>
      <c r="O214" s="1214"/>
    </row>
    <row r="215" spans="1:17" s="1199" customFormat="1" ht="24" customHeight="1">
      <c r="A215" s="1331"/>
      <c r="B215" s="2174" t="s">
        <v>1455</v>
      </c>
      <c r="C215" s="1202"/>
      <c r="D215" s="1202"/>
      <c r="E215" s="1387"/>
      <c r="F215" s="1207" t="s">
        <v>363</v>
      </c>
      <c r="G215" s="2176">
        <v>162</v>
      </c>
      <c r="H215" s="1264">
        <f t="shared" si="32"/>
        <v>0</v>
      </c>
      <c r="I215" s="2177">
        <v>90</v>
      </c>
      <c r="J215" s="1264">
        <f t="shared" si="33"/>
        <v>0</v>
      </c>
      <c r="K215" s="1273">
        <f t="shared" si="34"/>
        <v>0</v>
      </c>
      <c r="L215" s="1389"/>
      <c r="M215" s="1214"/>
      <c r="N215" s="1214"/>
      <c r="O215" s="1214"/>
    </row>
    <row r="216" spans="1:17" s="1199" customFormat="1" ht="24" customHeight="1">
      <c r="A216" s="1331"/>
      <c r="B216" s="2174" t="s">
        <v>1456</v>
      </c>
      <c r="C216" s="1202"/>
      <c r="D216" s="1202"/>
      <c r="E216" s="1387">
        <v>8</v>
      </c>
      <c r="F216" s="1207" t="s">
        <v>363</v>
      </c>
      <c r="G216" s="2176">
        <v>197</v>
      </c>
      <c r="H216" s="1264">
        <f t="shared" si="32"/>
        <v>1576</v>
      </c>
      <c r="I216" s="2177">
        <v>90</v>
      </c>
      <c r="J216" s="1264">
        <f t="shared" si="33"/>
        <v>720</v>
      </c>
      <c r="K216" s="1273">
        <f t="shared" si="34"/>
        <v>2296</v>
      </c>
      <c r="L216" s="1389"/>
      <c r="M216" s="1214"/>
      <c r="N216" s="1214"/>
      <c r="O216" s="1214"/>
    </row>
    <row r="217" spans="1:17" s="1199" customFormat="1" ht="24" customHeight="1">
      <c r="A217" s="1331"/>
      <c r="B217" s="2174" t="s">
        <v>1457</v>
      </c>
      <c r="C217" s="1202"/>
      <c r="D217" s="1202"/>
      <c r="E217" s="1387"/>
      <c r="F217" s="1207" t="s">
        <v>363</v>
      </c>
      <c r="G217" s="2176">
        <v>1500</v>
      </c>
      <c r="H217" s="1264">
        <f t="shared" si="32"/>
        <v>0</v>
      </c>
      <c r="I217" s="2177">
        <v>265</v>
      </c>
      <c r="J217" s="1264">
        <f t="shared" si="33"/>
        <v>0</v>
      </c>
      <c r="K217" s="1385">
        <f t="shared" si="34"/>
        <v>0</v>
      </c>
      <c r="L217" s="1389"/>
      <c r="M217" s="1214"/>
      <c r="N217" s="1214"/>
      <c r="O217" s="1214"/>
    </row>
    <row r="218" spans="1:17" s="1199" customFormat="1" ht="24" customHeight="1">
      <c r="A218" s="1331"/>
      <c r="B218" s="2174" t="s">
        <v>1458</v>
      </c>
      <c r="C218" s="1202"/>
      <c r="D218" s="1202"/>
      <c r="E218" s="1387"/>
      <c r="F218" s="1207" t="s">
        <v>363</v>
      </c>
      <c r="G218" s="2176">
        <v>518</v>
      </c>
      <c r="H218" s="1264">
        <f t="shared" si="32"/>
        <v>0</v>
      </c>
      <c r="I218" s="2177">
        <v>115</v>
      </c>
      <c r="J218" s="1264">
        <f t="shared" si="33"/>
        <v>0</v>
      </c>
      <c r="K218" s="1273">
        <f t="shared" si="34"/>
        <v>0</v>
      </c>
      <c r="L218" s="1389"/>
      <c r="M218" s="1214"/>
      <c r="N218" s="1214"/>
      <c r="O218" s="1214"/>
    </row>
    <row r="219" spans="1:17" s="1199" customFormat="1" ht="24" customHeight="1">
      <c r="A219" s="1331"/>
      <c r="B219" s="2174" t="s">
        <v>1459</v>
      </c>
      <c r="C219" s="1202"/>
      <c r="D219" s="1202"/>
      <c r="E219" s="1387"/>
      <c r="F219" s="1207" t="s">
        <v>363</v>
      </c>
      <c r="G219" s="2176">
        <v>850</v>
      </c>
      <c r="H219" s="1264">
        <f t="shared" si="32"/>
        <v>0</v>
      </c>
      <c r="I219" s="2177">
        <v>265</v>
      </c>
      <c r="J219" s="1264">
        <f t="shared" si="33"/>
        <v>0</v>
      </c>
      <c r="K219" s="1273">
        <f t="shared" si="34"/>
        <v>0</v>
      </c>
      <c r="L219" s="1389"/>
      <c r="M219" s="1214"/>
      <c r="N219" s="1214"/>
      <c r="O219" s="1214"/>
    </row>
    <row r="220" spans="1:17" s="1199" customFormat="1" ht="24" customHeight="1">
      <c r="A220" s="1331" t="s">
        <v>1229</v>
      </c>
      <c r="B220" s="2174" t="s">
        <v>1460</v>
      </c>
      <c r="C220" s="1202"/>
      <c r="D220" s="1202"/>
      <c r="E220" s="1387">
        <v>2</v>
      </c>
      <c r="F220" s="1207" t="s">
        <v>363</v>
      </c>
      <c r="G220" s="2176">
        <v>130</v>
      </c>
      <c r="H220" s="1264">
        <f>ROUND(E220*G220,)</f>
        <v>260</v>
      </c>
      <c r="I220" s="2177">
        <v>90</v>
      </c>
      <c r="J220" s="1264">
        <f>ROUND(E220*I220,)</f>
        <v>180</v>
      </c>
      <c r="K220" s="1273">
        <f>H220+J220</f>
        <v>440</v>
      </c>
      <c r="L220" s="1389"/>
      <c r="M220" s="1214"/>
      <c r="N220" s="1214"/>
      <c r="O220" s="1214"/>
      <c r="P220" s="1214"/>
      <c r="Q220" s="1214"/>
    </row>
    <row r="221" spans="1:17" s="1199" customFormat="1" ht="24" customHeight="1">
      <c r="A221" s="1331"/>
      <c r="B221" s="2174" t="s">
        <v>1117</v>
      </c>
      <c r="C221" s="1202"/>
      <c r="D221" s="1202"/>
      <c r="E221" s="1387"/>
      <c r="F221" s="1384"/>
      <c r="G221" s="2176"/>
      <c r="H221" s="1388"/>
      <c r="I221" s="2177"/>
      <c r="J221" s="1385"/>
      <c r="K221" s="1385"/>
      <c r="L221" s="1389"/>
      <c r="M221" s="1214"/>
      <c r="N221" s="1214"/>
      <c r="O221" s="1214"/>
      <c r="P221" s="1214"/>
      <c r="Q221" s="1214"/>
    </row>
    <row r="222" spans="1:17" s="1199" customFormat="1" ht="24" customHeight="1">
      <c r="A222" s="1331"/>
      <c r="B222" s="2174" t="s">
        <v>1118</v>
      </c>
      <c r="C222" s="1202"/>
      <c r="D222" s="1202"/>
      <c r="E222" s="1387"/>
      <c r="F222" s="1384"/>
      <c r="G222" s="2176"/>
      <c r="H222" s="1388"/>
      <c r="I222" s="2177"/>
      <c r="J222" s="1385"/>
      <c r="K222" s="1385"/>
      <c r="L222" s="1389"/>
      <c r="M222" s="1214"/>
      <c r="N222" s="1214"/>
      <c r="O222" s="1214"/>
      <c r="P222" s="1214"/>
      <c r="Q222" s="1214"/>
    </row>
    <row r="223" spans="1:17" s="1199" customFormat="1" ht="24" customHeight="1">
      <c r="A223" s="1331"/>
      <c r="B223" s="2174" t="s">
        <v>1118</v>
      </c>
      <c r="C223" s="1202"/>
      <c r="D223" s="1202"/>
      <c r="E223" s="1387"/>
      <c r="F223" s="1384"/>
      <c r="G223" s="2176"/>
      <c r="H223" s="1388"/>
      <c r="I223" s="2177"/>
      <c r="J223" s="1385"/>
      <c r="K223" s="1385"/>
      <c r="L223" s="1389"/>
      <c r="M223" s="1214"/>
      <c r="N223" s="1214"/>
      <c r="O223" s="1214"/>
      <c r="P223" s="1214"/>
      <c r="Q223" s="1214"/>
    </row>
    <row r="224" spans="1:17" s="1199" customFormat="1" ht="24" customHeight="1">
      <c r="A224" s="1331"/>
      <c r="B224" s="1240"/>
      <c r="C224" s="1202"/>
      <c r="D224" s="1202"/>
      <c r="E224" s="1387"/>
      <c r="F224" s="1384"/>
      <c r="G224" s="2176"/>
      <c r="H224" s="1388"/>
      <c r="I224" s="2177"/>
      <c r="J224" s="1385"/>
      <c r="K224" s="1385"/>
      <c r="L224" s="1389"/>
      <c r="M224" s="1214"/>
      <c r="N224" s="1214"/>
      <c r="O224" s="1214"/>
      <c r="P224" s="1214"/>
      <c r="Q224" s="1214"/>
    </row>
    <row r="225" spans="1:17" s="1199" customFormat="1" ht="24" customHeight="1">
      <c r="A225" s="1331"/>
      <c r="B225" s="1416"/>
      <c r="C225" s="1202"/>
      <c r="D225" s="1202"/>
      <c r="E225" s="1387"/>
      <c r="F225" s="1384"/>
      <c r="G225" s="2176"/>
      <c r="H225" s="1388"/>
      <c r="I225" s="2177"/>
      <c r="J225" s="1385"/>
      <c r="K225" s="1385"/>
      <c r="L225" s="1389"/>
      <c r="M225" s="1214"/>
      <c r="N225" s="1214"/>
      <c r="O225" s="1214"/>
      <c r="P225" s="1214"/>
      <c r="Q225" s="1214"/>
    </row>
    <row r="226" spans="1:17" s="1199" customFormat="1" ht="24" customHeight="1">
      <c r="A226" s="1243"/>
      <c r="B226" s="2257" t="str">
        <f>"รวมราคารายการที่ "&amp;A210</f>
        <v>รวมราคารายการที่ 3.6</v>
      </c>
      <c r="C226" s="2258"/>
      <c r="D226" s="2259"/>
      <c r="E226" s="1244"/>
      <c r="F226" s="1245"/>
      <c r="G226" s="1246"/>
      <c r="H226" s="1247">
        <f>SUM(H211:H225)</f>
        <v>2376</v>
      </c>
      <c r="I226" s="1246"/>
      <c r="J226" s="1247">
        <f t="shared" ref="J226:K226" si="35">SUM(J211:J225)</f>
        <v>1380</v>
      </c>
      <c r="K226" s="1247">
        <f t="shared" si="35"/>
        <v>3756</v>
      </c>
      <c r="L226" s="1245"/>
      <c r="M226" s="1214"/>
      <c r="N226" s="1214"/>
      <c r="O226" s="1214"/>
      <c r="P226" s="1214"/>
      <c r="Q226" s="1214"/>
    </row>
    <row r="227" spans="1:17" s="1199" customFormat="1" ht="24" customHeight="1">
      <c r="A227" s="1435" t="s">
        <v>1490</v>
      </c>
      <c r="B227" s="1436" t="s">
        <v>1466</v>
      </c>
      <c r="C227" s="1202"/>
      <c r="D227" s="1202"/>
      <c r="E227" s="1387"/>
      <c r="F227" s="1207"/>
      <c r="G227" s="2176"/>
      <c r="H227" s="1264"/>
      <c r="I227" s="2177"/>
      <c r="J227" s="1264"/>
      <c r="K227" s="1273"/>
      <c r="L227" s="1389"/>
      <c r="M227" s="1214"/>
      <c r="N227" s="1214"/>
      <c r="O227" s="1214"/>
      <c r="P227" s="1214"/>
      <c r="Q227" s="1214"/>
    </row>
    <row r="228" spans="1:17" s="1199" customFormat="1" ht="24" customHeight="1">
      <c r="A228" s="1339"/>
      <c r="B228" s="1259" t="s">
        <v>1467</v>
      </c>
      <c r="C228" s="1202"/>
      <c r="D228" s="1202"/>
      <c r="E228" s="1404">
        <v>12</v>
      </c>
      <c r="F228" s="1267" t="s">
        <v>363</v>
      </c>
      <c r="G228" s="1386">
        <v>420</v>
      </c>
      <c r="H228" s="1343">
        <f t="shared" ref="H228:H251" si="36">ROUND(E228*G228,)</f>
        <v>5040</v>
      </c>
      <c r="I228" s="1414">
        <v>115</v>
      </c>
      <c r="J228" s="1343">
        <f t="shared" ref="J228:J251" si="37">ROUND(E228*I228,)</f>
        <v>1380</v>
      </c>
      <c r="K228" s="1262">
        <f t="shared" ref="K228:K251" si="38">H228+J228</f>
        <v>6420</v>
      </c>
      <c r="L228" s="1415"/>
      <c r="M228" s="1214"/>
      <c r="N228" s="1214"/>
      <c r="O228" s="1214"/>
      <c r="P228" s="1214"/>
    </row>
    <row r="229" spans="1:17" s="1199" customFormat="1" ht="24" customHeight="1">
      <c r="A229" s="1339"/>
      <c r="B229" s="1259" t="s">
        <v>1468</v>
      </c>
      <c r="C229" s="1202"/>
      <c r="D229" s="1202"/>
      <c r="E229" s="1404">
        <v>4</v>
      </c>
      <c r="F229" s="1267" t="s">
        <v>363</v>
      </c>
      <c r="G229" s="1386">
        <v>500</v>
      </c>
      <c r="H229" s="1343">
        <f t="shared" si="36"/>
        <v>2000</v>
      </c>
      <c r="I229" s="1414">
        <v>115</v>
      </c>
      <c r="J229" s="1343">
        <f t="shared" si="37"/>
        <v>460</v>
      </c>
      <c r="K229" s="1262">
        <f t="shared" si="38"/>
        <v>2460</v>
      </c>
      <c r="L229" s="1415"/>
      <c r="M229" s="1214"/>
      <c r="N229" s="1214"/>
      <c r="O229" s="1214"/>
      <c r="P229" s="1214"/>
    </row>
    <row r="230" spans="1:17" s="1199" customFormat="1" ht="24" customHeight="1">
      <c r="A230" s="1339"/>
      <c r="B230" s="1259" t="s">
        <v>1469</v>
      </c>
      <c r="C230" s="1202"/>
      <c r="D230" s="1202"/>
      <c r="E230" s="1404"/>
      <c r="F230" s="1267" t="s">
        <v>363</v>
      </c>
      <c r="G230" s="1386">
        <v>550</v>
      </c>
      <c r="H230" s="1343">
        <f t="shared" si="36"/>
        <v>0</v>
      </c>
      <c r="I230" s="1414">
        <v>115</v>
      </c>
      <c r="J230" s="1343">
        <f t="shared" si="37"/>
        <v>0</v>
      </c>
      <c r="K230" s="1262">
        <f t="shared" si="38"/>
        <v>0</v>
      </c>
      <c r="L230" s="1415"/>
      <c r="M230" s="1214"/>
      <c r="N230" s="1214"/>
      <c r="O230" s="1214"/>
      <c r="P230" s="1214"/>
    </row>
    <row r="231" spans="1:17" s="1199" customFormat="1" ht="24" customHeight="1">
      <c r="A231" s="1339"/>
      <c r="B231" s="1259" t="s">
        <v>1470</v>
      </c>
      <c r="C231" s="1202"/>
      <c r="D231" s="1202"/>
      <c r="E231" s="1404"/>
      <c r="F231" s="1267" t="s">
        <v>363</v>
      </c>
      <c r="G231" s="1386">
        <v>750</v>
      </c>
      <c r="H231" s="1343">
        <f t="shared" si="36"/>
        <v>0</v>
      </c>
      <c r="I231" s="1414">
        <v>135</v>
      </c>
      <c r="J231" s="1343">
        <f t="shared" si="37"/>
        <v>0</v>
      </c>
      <c r="K231" s="1262">
        <f t="shared" si="38"/>
        <v>0</v>
      </c>
      <c r="L231" s="1415"/>
      <c r="M231" s="1214"/>
      <c r="N231" s="1214"/>
      <c r="O231" s="1214"/>
      <c r="P231" s="1214"/>
    </row>
    <row r="232" spans="1:17" s="1199" customFormat="1" ht="24" customHeight="1">
      <c r="A232" s="1339"/>
      <c r="B232" s="1259" t="s">
        <v>1471</v>
      </c>
      <c r="C232" s="1202"/>
      <c r="D232" s="1202"/>
      <c r="E232" s="1404"/>
      <c r="F232" s="1267" t="s">
        <v>363</v>
      </c>
      <c r="G232" s="1386">
        <v>1550</v>
      </c>
      <c r="H232" s="1343">
        <f t="shared" si="36"/>
        <v>0</v>
      </c>
      <c r="I232" s="1414">
        <v>135</v>
      </c>
      <c r="J232" s="1343">
        <f t="shared" si="37"/>
        <v>0</v>
      </c>
      <c r="K232" s="1262">
        <f t="shared" si="38"/>
        <v>0</v>
      </c>
      <c r="L232" s="1415"/>
      <c r="M232" s="1214"/>
      <c r="N232" s="1214"/>
      <c r="O232" s="1214"/>
      <c r="P232" s="1214"/>
    </row>
    <row r="233" spans="1:17" s="1199" customFormat="1" ht="24" customHeight="1">
      <c r="A233" s="1339"/>
      <c r="B233" s="1259" t="s">
        <v>1472</v>
      </c>
      <c r="C233" s="1202"/>
      <c r="D233" s="1202"/>
      <c r="E233" s="1404"/>
      <c r="F233" s="1267" t="s">
        <v>363</v>
      </c>
      <c r="G233" s="1386">
        <v>2090</v>
      </c>
      <c r="H233" s="1343">
        <f t="shared" si="36"/>
        <v>0</v>
      </c>
      <c r="I233" s="1414">
        <v>135</v>
      </c>
      <c r="J233" s="1343">
        <f t="shared" si="37"/>
        <v>0</v>
      </c>
      <c r="K233" s="1262">
        <f t="shared" si="38"/>
        <v>0</v>
      </c>
      <c r="L233" s="1415"/>
      <c r="M233" s="1214"/>
      <c r="N233" s="1214"/>
      <c r="O233" s="1214"/>
      <c r="P233" s="1214"/>
    </row>
    <row r="234" spans="1:17" s="1199" customFormat="1" ht="24" customHeight="1">
      <c r="A234" s="1339"/>
      <c r="B234" s="1259" t="s">
        <v>1473</v>
      </c>
      <c r="C234" s="1202"/>
      <c r="D234" s="1202"/>
      <c r="E234" s="1404"/>
      <c r="F234" s="1267" t="s">
        <v>363</v>
      </c>
      <c r="G234" s="1386">
        <v>3750</v>
      </c>
      <c r="H234" s="1343">
        <f t="shared" si="36"/>
        <v>0</v>
      </c>
      <c r="I234" s="1414">
        <v>135</v>
      </c>
      <c r="J234" s="1343">
        <f t="shared" si="37"/>
        <v>0</v>
      </c>
      <c r="K234" s="1262">
        <f t="shared" si="38"/>
        <v>0</v>
      </c>
      <c r="L234" s="1415"/>
      <c r="M234" s="1214"/>
      <c r="N234" s="1214"/>
      <c r="O234" s="1214"/>
      <c r="P234" s="1214"/>
    </row>
    <row r="235" spans="1:17" s="1199" customFormat="1" ht="24" customHeight="1">
      <c r="A235" s="1339"/>
      <c r="B235" s="1259" t="s">
        <v>1474</v>
      </c>
      <c r="C235" s="1202"/>
      <c r="D235" s="1202"/>
      <c r="E235" s="1404"/>
      <c r="F235" s="1267" t="s">
        <v>363</v>
      </c>
      <c r="G235" s="1386">
        <v>2450</v>
      </c>
      <c r="H235" s="1343">
        <f t="shared" si="36"/>
        <v>0</v>
      </c>
      <c r="I235" s="1414">
        <v>135</v>
      </c>
      <c r="J235" s="1343">
        <f t="shared" si="37"/>
        <v>0</v>
      </c>
      <c r="K235" s="1262">
        <f t="shared" si="38"/>
        <v>0</v>
      </c>
      <c r="L235" s="1415"/>
      <c r="M235" s="1214"/>
      <c r="N235" s="1214"/>
      <c r="O235" s="1214"/>
      <c r="P235" s="1214"/>
    </row>
    <row r="236" spans="1:17" s="1199" customFormat="1" ht="24" customHeight="1">
      <c r="A236" s="1339"/>
      <c r="B236" s="1259" t="s">
        <v>1475</v>
      </c>
      <c r="C236" s="1202"/>
      <c r="D236" s="1202"/>
      <c r="E236" s="1404"/>
      <c r="F236" s="1267" t="s">
        <v>363</v>
      </c>
      <c r="G236" s="1386">
        <v>1860</v>
      </c>
      <c r="H236" s="1343">
        <f t="shared" si="36"/>
        <v>0</v>
      </c>
      <c r="I236" s="1414">
        <v>135</v>
      </c>
      <c r="J236" s="1343">
        <f t="shared" si="37"/>
        <v>0</v>
      </c>
      <c r="K236" s="1262">
        <f t="shared" si="38"/>
        <v>0</v>
      </c>
      <c r="L236" s="1415"/>
      <c r="M236" s="1214"/>
      <c r="N236" s="1214"/>
      <c r="O236" s="1214"/>
      <c r="P236" s="1214"/>
    </row>
    <row r="237" spans="1:17" s="1199" customFormat="1" ht="24" customHeight="1">
      <c r="A237" s="1339"/>
      <c r="B237" s="1259" t="s">
        <v>1476</v>
      </c>
      <c r="C237" s="1202"/>
      <c r="D237" s="1202"/>
      <c r="E237" s="1404"/>
      <c r="F237" s="1267" t="s">
        <v>363</v>
      </c>
      <c r="G237" s="1386">
        <v>1200</v>
      </c>
      <c r="H237" s="1343">
        <f t="shared" si="36"/>
        <v>0</v>
      </c>
      <c r="I237" s="1414">
        <v>135</v>
      </c>
      <c r="J237" s="1343">
        <f t="shared" si="37"/>
        <v>0</v>
      </c>
      <c r="K237" s="1262">
        <f t="shared" si="38"/>
        <v>0</v>
      </c>
      <c r="L237" s="1415"/>
      <c r="M237" s="1214"/>
      <c r="N237" s="1214"/>
      <c r="O237" s="1214"/>
      <c r="P237" s="1214"/>
    </row>
    <row r="238" spans="1:17" s="1199" customFormat="1" ht="24" customHeight="1">
      <c r="A238" s="1339"/>
      <c r="B238" s="1259" t="s">
        <v>1477</v>
      </c>
      <c r="C238" s="1202"/>
      <c r="D238" s="1202"/>
      <c r="E238" s="1404"/>
      <c r="F238" s="1267" t="s">
        <v>363</v>
      </c>
      <c r="G238" s="1386">
        <v>1450</v>
      </c>
      <c r="H238" s="1343">
        <f t="shared" si="36"/>
        <v>0</v>
      </c>
      <c r="I238" s="1414">
        <v>135</v>
      </c>
      <c r="J238" s="1343">
        <f t="shared" si="37"/>
        <v>0</v>
      </c>
      <c r="K238" s="1262">
        <f t="shared" si="38"/>
        <v>0</v>
      </c>
      <c r="L238" s="1415"/>
      <c r="M238" s="1214"/>
      <c r="N238" s="1214"/>
      <c r="O238" s="1214"/>
      <c r="P238" s="1214"/>
    </row>
    <row r="239" spans="1:17" s="1199" customFormat="1" ht="24" customHeight="1">
      <c r="A239" s="1339"/>
      <c r="B239" s="1259" t="s">
        <v>1478</v>
      </c>
      <c r="C239" s="1202"/>
      <c r="D239" s="1202"/>
      <c r="E239" s="1404"/>
      <c r="F239" s="1267" t="s">
        <v>363</v>
      </c>
      <c r="G239" s="1386">
        <v>1250</v>
      </c>
      <c r="H239" s="1343">
        <f t="shared" si="36"/>
        <v>0</v>
      </c>
      <c r="I239" s="1414">
        <v>135</v>
      </c>
      <c r="J239" s="1343">
        <f t="shared" si="37"/>
        <v>0</v>
      </c>
      <c r="K239" s="1262">
        <f t="shared" si="38"/>
        <v>0</v>
      </c>
      <c r="L239" s="1415"/>
      <c r="M239" s="1214"/>
      <c r="N239" s="1214"/>
      <c r="O239" s="1214"/>
      <c r="P239" s="1214"/>
    </row>
    <row r="240" spans="1:17" s="1199" customFormat="1" ht="24" customHeight="1">
      <c r="A240" s="1339"/>
      <c r="B240" s="1259" t="s">
        <v>1479</v>
      </c>
      <c r="C240" s="1202"/>
      <c r="D240" s="1202"/>
      <c r="E240" s="1404"/>
      <c r="F240" s="1267" t="s">
        <v>363</v>
      </c>
      <c r="G240" s="1386">
        <v>650</v>
      </c>
      <c r="H240" s="1343">
        <f t="shared" si="36"/>
        <v>0</v>
      </c>
      <c r="I240" s="1414">
        <v>20</v>
      </c>
      <c r="J240" s="1343">
        <f t="shared" si="37"/>
        <v>0</v>
      </c>
      <c r="K240" s="1262">
        <f t="shared" si="38"/>
        <v>0</v>
      </c>
      <c r="L240" s="1415"/>
      <c r="M240" s="1214"/>
      <c r="N240" s="1214"/>
      <c r="O240" s="1214"/>
      <c r="P240" s="1214"/>
    </row>
    <row r="241" spans="1:17" s="1199" customFormat="1" ht="24" customHeight="1">
      <c r="A241" s="1339"/>
      <c r="B241" s="1259" t="s">
        <v>1480</v>
      </c>
      <c r="C241" s="1202"/>
      <c r="D241" s="1202"/>
      <c r="E241" s="1404"/>
      <c r="F241" s="1267" t="s">
        <v>363</v>
      </c>
      <c r="G241" s="1386">
        <v>2565</v>
      </c>
      <c r="H241" s="1343">
        <f t="shared" si="36"/>
        <v>0</v>
      </c>
      <c r="I241" s="1414">
        <v>135</v>
      </c>
      <c r="J241" s="1343">
        <f t="shared" si="37"/>
        <v>0</v>
      </c>
      <c r="K241" s="1262">
        <f t="shared" si="38"/>
        <v>0</v>
      </c>
      <c r="L241" s="1415"/>
      <c r="M241" s="1214"/>
      <c r="N241" s="1214"/>
      <c r="O241" s="1214"/>
      <c r="P241" s="1214"/>
    </row>
    <row r="242" spans="1:17" s="1199" customFormat="1" ht="24" customHeight="1">
      <c r="A242" s="1339"/>
      <c r="B242" s="1259" t="s">
        <v>1481</v>
      </c>
      <c r="C242" s="1202"/>
      <c r="D242" s="1202"/>
      <c r="E242" s="1404"/>
      <c r="F242" s="1267" t="s">
        <v>363</v>
      </c>
      <c r="G242" s="1386">
        <v>1200</v>
      </c>
      <c r="H242" s="1343">
        <f t="shared" si="36"/>
        <v>0</v>
      </c>
      <c r="I242" s="1414">
        <v>135</v>
      </c>
      <c r="J242" s="1343">
        <f t="shared" si="37"/>
        <v>0</v>
      </c>
      <c r="K242" s="1262">
        <f t="shared" si="38"/>
        <v>0</v>
      </c>
      <c r="L242" s="1415"/>
      <c r="M242" s="1214"/>
      <c r="N242" s="1214"/>
      <c r="O242" s="1214"/>
      <c r="P242" s="1214"/>
    </row>
    <row r="243" spans="1:17" s="1199" customFormat="1" ht="24" customHeight="1">
      <c r="A243" s="1339"/>
      <c r="B243" s="1259" t="s">
        <v>1482</v>
      </c>
      <c r="C243" s="1202"/>
      <c r="D243" s="1202"/>
      <c r="E243" s="1404"/>
      <c r="F243" s="1267" t="s">
        <v>363</v>
      </c>
      <c r="G243" s="1386">
        <v>1200</v>
      </c>
      <c r="H243" s="1343">
        <f t="shared" si="36"/>
        <v>0</v>
      </c>
      <c r="I243" s="1414">
        <v>135</v>
      </c>
      <c r="J243" s="1343">
        <f t="shared" si="37"/>
        <v>0</v>
      </c>
      <c r="K243" s="1262">
        <f t="shared" si="38"/>
        <v>0</v>
      </c>
      <c r="L243" s="1415"/>
      <c r="M243" s="1214"/>
      <c r="N243" s="1214"/>
      <c r="O243" s="1214"/>
      <c r="P243" s="1214"/>
    </row>
    <row r="244" spans="1:17" s="1199" customFormat="1" ht="24" customHeight="1">
      <c r="A244" s="1339"/>
      <c r="B244" s="1259" t="s">
        <v>1483</v>
      </c>
      <c r="C244" s="1202"/>
      <c r="D244" s="1202"/>
      <c r="E244" s="1404"/>
      <c r="F244" s="1267" t="s">
        <v>363</v>
      </c>
      <c r="G244" s="1386">
        <v>1860</v>
      </c>
      <c r="H244" s="1343">
        <f t="shared" si="36"/>
        <v>0</v>
      </c>
      <c r="I244" s="1414">
        <v>135</v>
      </c>
      <c r="J244" s="1343">
        <f t="shared" si="37"/>
        <v>0</v>
      </c>
      <c r="K244" s="1262">
        <f t="shared" si="38"/>
        <v>0</v>
      </c>
      <c r="L244" s="1415"/>
      <c r="M244" s="1214"/>
      <c r="N244" s="1214"/>
      <c r="O244" s="1214"/>
      <c r="P244" s="1214"/>
    </row>
    <row r="245" spans="1:17" s="1199" customFormat="1" ht="24" customHeight="1">
      <c r="A245" s="1339"/>
      <c r="B245" s="1259" t="s">
        <v>1484</v>
      </c>
      <c r="C245" s="1202"/>
      <c r="D245" s="1202"/>
      <c r="E245" s="1404"/>
      <c r="F245" s="1267" t="s">
        <v>363</v>
      </c>
      <c r="G245" s="1386">
        <v>1200</v>
      </c>
      <c r="H245" s="1343">
        <f t="shared" si="36"/>
        <v>0</v>
      </c>
      <c r="I245" s="1414">
        <v>135</v>
      </c>
      <c r="J245" s="1343">
        <f t="shared" si="37"/>
        <v>0</v>
      </c>
      <c r="K245" s="1262">
        <f t="shared" si="38"/>
        <v>0</v>
      </c>
      <c r="L245" s="1415"/>
      <c r="M245" s="1214"/>
      <c r="N245" s="1214"/>
      <c r="O245" s="1214"/>
      <c r="P245" s="1214"/>
    </row>
    <row r="246" spans="1:17" s="1199" customFormat="1" ht="24" customHeight="1">
      <c r="A246" s="1339"/>
      <c r="B246" s="1259" t="s">
        <v>1485</v>
      </c>
      <c r="C246" s="1202"/>
      <c r="D246" s="1202"/>
      <c r="E246" s="1404"/>
      <c r="F246" s="1267" t="s">
        <v>363</v>
      </c>
      <c r="G246" s="1386">
        <v>1200</v>
      </c>
      <c r="H246" s="1343">
        <f t="shared" si="36"/>
        <v>0</v>
      </c>
      <c r="I246" s="1414">
        <v>135</v>
      </c>
      <c r="J246" s="1343">
        <f t="shared" si="37"/>
        <v>0</v>
      </c>
      <c r="K246" s="1262">
        <f t="shared" si="38"/>
        <v>0</v>
      </c>
      <c r="L246" s="1415"/>
      <c r="M246" s="1214"/>
      <c r="N246" s="1214"/>
      <c r="O246" s="1214"/>
      <c r="P246" s="1214"/>
    </row>
    <row r="247" spans="1:17" s="1199" customFormat="1" ht="24" customHeight="1">
      <c r="A247" s="1339"/>
      <c r="B247" s="1259" t="s">
        <v>1486</v>
      </c>
      <c r="C247" s="1202"/>
      <c r="D247" s="1202"/>
      <c r="E247" s="1404"/>
      <c r="F247" s="1267" t="s">
        <v>363</v>
      </c>
      <c r="G247" s="1386">
        <v>1830</v>
      </c>
      <c r="H247" s="1343">
        <f t="shared" si="36"/>
        <v>0</v>
      </c>
      <c r="I247" s="1414">
        <v>500</v>
      </c>
      <c r="J247" s="1343">
        <f t="shared" si="37"/>
        <v>0</v>
      </c>
      <c r="K247" s="1262">
        <f t="shared" si="38"/>
        <v>0</v>
      </c>
      <c r="L247" s="1415"/>
      <c r="M247" s="1214"/>
      <c r="N247" s="1214"/>
      <c r="O247" s="1214"/>
      <c r="P247" s="1214"/>
      <c r="Q247" s="1214"/>
    </row>
    <row r="248" spans="1:17" s="1199" customFormat="1" ht="24" customHeight="1">
      <c r="A248" s="1339"/>
      <c r="B248" s="1259" t="s">
        <v>1487</v>
      </c>
      <c r="C248" s="1202"/>
      <c r="D248" s="1202"/>
      <c r="E248" s="1404">
        <v>4</v>
      </c>
      <c r="F248" s="1267" t="s">
        <v>363</v>
      </c>
      <c r="G248" s="1386">
        <v>1620</v>
      </c>
      <c r="H248" s="1343">
        <f t="shared" si="36"/>
        <v>6480</v>
      </c>
      <c r="I248" s="1414">
        <v>500</v>
      </c>
      <c r="J248" s="1343">
        <f t="shared" si="37"/>
        <v>2000</v>
      </c>
      <c r="K248" s="1262">
        <f t="shared" si="38"/>
        <v>8480</v>
      </c>
      <c r="L248" s="1415"/>
      <c r="M248" s="1214"/>
      <c r="N248" s="1214"/>
      <c r="O248" s="1214"/>
      <c r="P248" s="1214"/>
      <c r="Q248" s="1214"/>
    </row>
    <row r="249" spans="1:17" s="1199" customFormat="1" ht="24" customHeight="1">
      <c r="A249" s="1339"/>
      <c r="B249" s="1259" t="s">
        <v>1488</v>
      </c>
      <c r="C249" s="1202"/>
      <c r="D249" s="1202"/>
      <c r="E249" s="1404"/>
      <c r="F249" s="1267" t="s">
        <v>363</v>
      </c>
      <c r="G249" s="1386">
        <v>920</v>
      </c>
      <c r="H249" s="1343">
        <f t="shared" si="36"/>
        <v>0</v>
      </c>
      <c r="I249" s="1414">
        <v>250</v>
      </c>
      <c r="J249" s="1343">
        <f t="shared" si="37"/>
        <v>0</v>
      </c>
      <c r="K249" s="1262">
        <f t="shared" si="38"/>
        <v>0</v>
      </c>
      <c r="L249" s="1415"/>
      <c r="M249" s="1214"/>
      <c r="N249" s="1214"/>
      <c r="O249" s="1214"/>
      <c r="P249" s="1214"/>
      <c r="Q249" s="1214"/>
    </row>
    <row r="250" spans="1:17" s="1199" customFormat="1" ht="24" customHeight="1">
      <c r="A250" s="1339"/>
      <c r="B250" s="1259" t="s">
        <v>1489</v>
      </c>
      <c r="C250" s="1202"/>
      <c r="D250" s="1202"/>
      <c r="E250" s="1404"/>
      <c r="F250" s="1267" t="s">
        <v>363</v>
      </c>
      <c r="G250" s="1386">
        <v>2180</v>
      </c>
      <c r="H250" s="1343">
        <f t="shared" si="36"/>
        <v>0</v>
      </c>
      <c r="I250" s="1414">
        <v>500</v>
      </c>
      <c r="J250" s="1343">
        <f t="shared" si="37"/>
        <v>0</v>
      </c>
      <c r="K250" s="1262">
        <f t="shared" si="38"/>
        <v>0</v>
      </c>
      <c r="L250" s="1415"/>
      <c r="M250" s="1214"/>
      <c r="N250" s="1214"/>
      <c r="O250" s="1214"/>
      <c r="P250" s="1214"/>
    </row>
    <row r="251" spans="1:17" s="1199" customFormat="1" ht="24" customHeight="1">
      <c r="A251" s="1339"/>
      <c r="B251" s="1259" t="s">
        <v>1602</v>
      </c>
      <c r="C251" s="1202"/>
      <c r="D251" s="1202"/>
      <c r="E251" s="1404">
        <v>1</v>
      </c>
      <c r="F251" s="1267" t="s">
        <v>1104</v>
      </c>
      <c r="G251" s="1386">
        <f>SUM(H227:H249)*5%</f>
        <v>676</v>
      </c>
      <c r="H251" s="1343">
        <f t="shared" si="36"/>
        <v>676</v>
      </c>
      <c r="I251" s="1414">
        <f>ROUND(G251*0.3,)</f>
        <v>203</v>
      </c>
      <c r="J251" s="1343">
        <f t="shared" si="37"/>
        <v>203</v>
      </c>
      <c r="K251" s="1262">
        <f t="shared" si="38"/>
        <v>879</v>
      </c>
      <c r="L251" s="1415"/>
      <c r="M251" s="1214"/>
      <c r="N251" s="1214"/>
      <c r="O251" s="1214"/>
      <c r="P251" s="1214"/>
      <c r="Q251" s="1214"/>
    </row>
    <row r="252" spans="1:17" s="1199" customFormat="1" ht="24" customHeight="1">
      <c r="A252" s="1339"/>
      <c r="B252" s="1259" t="s">
        <v>1117</v>
      </c>
      <c r="C252" s="1202"/>
      <c r="D252" s="1202"/>
      <c r="E252" s="1404"/>
      <c r="F252" s="1267"/>
      <c r="G252" s="1386"/>
      <c r="H252" s="1343"/>
      <c r="I252" s="1414"/>
      <c r="J252" s="1343"/>
      <c r="K252" s="1262"/>
      <c r="L252" s="1415"/>
      <c r="M252" s="1214"/>
      <c r="N252" s="1214"/>
      <c r="O252" s="1214"/>
      <c r="P252" s="1214"/>
      <c r="Q252" s="1214"/>
    </row>
    <row r="253" spans="1:17" s="1199" customFormat="1" ht="24" customHeight="1">
      <c r="A253" s="1339"/>
      <c r="B253" s="1259" t="s">
        <v>1369</v>
      </c>
      <c r="C253" s="1202"/>
      <c r="D253" s="1202"/>
      <c r="E253" s="1404"/>
      <c r="F253" s="1267"/>
      <c r="G253" s="1386"/>
      <c r="H253" s="1343"/>
      <c r="I253" s="1414"/>
      <c r="J253" s="1343"/>
      <c r="K253" s="1262"/>
      <c r="L253" s="1415"/>
      <c r="M253" s="1214"/>
      <c r="N253" s="1214"/>
      <c r="O253" s="1214"/>
      <c r="P253" s="1214"/>
      <c r="Q253" s="1214"/>
    </row>
    <row r="254" spans="1:17" s="1199" customFormat="1" ht="24" customHeight="1">
      <c r="A254" s="1339"/>
      <c r="B254" s="1259" t="s">
        <v>1369</v>
      </c>
      <c r="C254" s="1202"/>
      <c r="D254" s="1202"/>
      <c r="E254" s="1404"/>
      <c r="F254" s="1267"/>
      <c r="G254" s="1386"/>
      <c r="H254" s="1343"/>
      <c r="I254" s="1414"/>
      <c r="J254" s="1343"/>
      <c r="K254" s="1262"/>
      <c r="L254" s="1415"/>
      <c r="M254" s="1214"/>
      <c r="N254" s="1214"/>
      <c r="O254" s="1214"/>
      <c r="P254" s="1214"/>
      <c r="Q254" s="1214"/>
    </row>
    <row r="255" spans="1:17" s="1199" customFormat="1" ht="24" customHeight="1">
      <c r="A255" s="1339"/>
      <c r="B255" s="1259"/>
      <c r="C255" s="1202"/>
      <c r="D255" s="1202"/>
      <c r="E255" s="1404"/>
      <c r="F255" s="1267"/>
      <c r="G255" s="1386"/>
      <c r="H255" s="1343"/>
      <c r="I255" s="1414"/>
      <c r="J255" s="1343"/>
      <c r="K255" s="1262"/>
      <c r="L255" s="1415"/>
      <c r="M255" s="1214"/>
      <c r="N255" s="1214"/>
      <c r="O255" s="1214"/>
      <c r="P255" s="1214"/>
      <c r="Q255" s="1214"/>
    </row>
    <row r="256" spans="1:17" s="1199" customFormat="1" ht="24" customHeight="1">
      <c r="A256" s="1243"/>
      <c r="B256" s="2257" t="str">
        <f>"รวมราคารายการที่ "&amp;A227</f>
        <v>รวมราคารายการที่ 3.7</v>
      </c>
      <c r="C256" s="2258"/>
      <c r="D256" s="2259"/>
      <c r="E256" s="1244"/>
      <c r="F256" s="1245"/>
      <c r="G256" s="1246"/>
      <c r="H256" s="1247">
        <f>SUM(H227:H254)</f>
        <v>14196</v>
      </c>
      <c r="I256" s="1246"/>
      <c r="J256" s="1247">
        <f>SUM(J227:J254)</f>
        <v>4043</v>
      </c>
      <c r="K256" s="1247">
        <f>SUM(K227:K254)</f>
        <v>18239</v>
      </c>
      <c r="L256" s="1245"/>
      <c r="M256" s="1214"/>
      <c r="N256" s="1214"/>
      <c r="O256" s="1214"/>
      <c r="P256" s="1214"/>
      <c r="Q256" s="1214"/>
    </row>
    <row r="257" spans="1:17" s="1199" customFormat="1" ht="24" customHeight="1">
      <c r="A257" s="1435">
        <v>3.8</v>
      </c>
      <c r="B257" s="1436" t="s">
        <v>1371</v>
      </c>
      <c r="C257" s="1202"/>
      <c r="D257" s="1202"/>
      <c r="E257" s="1387"/>
      <c r="F257" s="1384"/>
      <c r="G257" s="2176"/>
      <c r="H257" s="1388"/>
      <c r="I257" s="2177"/>
      <c r="J257" s="1385"/>
      <c r="K257" s="1385"/>
      <c r="L257" s="1389"/>
      <c r="M257" s="1214"/>
      <c r="N257" s="1214"/>
      <c r="O257" s="1214"/>
      <c r="P257" s="1214"/>
      <c r="Q257" s="1214"/>
    </row>
    <row r="258" spans="1:17" s="1199" customFormat="1" ht="24" customHeight="1">
      <c r="A258" s="1406" t="s">
        <v>1292</v>
      </c>
      <c r="B258" s="2174" t="s">
        <v>1491</v>
      </c>
      <c r="C258" s="1202"/>
      <c r="D258" s="1202"/>
      <c r="E258" s="1387">
        <v>2</v>
      </c>
      <c r="F258" s="1207" t="s">
        <v>363</v>
      </c>
      <c r="G258" s="2176">
        <f>30000+13500</f>
        <v>43500</v>
      </c>
      <c r="H258" s="1264">
        <f t="shared" ref="H258:H282" si="39">ROUND(E258*G258,)</f>
        <v>87000</v>
      </c>
      <c r="I258" s="2177">
        <f>G258*0.1</f>
        <v>4350</v>
      </c>
      <c r="J258" s="1264">
        <f t="shared" ref="J258:J291" si="40">ROUND(E258*I258,)</f>
        <v>8700</v>
      </c>
      <c r="K258" s="1273">
        <f t="shared" ref="K258:K291" si="41">H258+J258</f>
        <v>95700</v>
      </c>
      <c r="L258" s="1389"/>
      <c r="M258" s="1214"/>
      <c r="N258" s="1214"/>
      <c r="O258" s="1214"/>
      <c r="P258" s="1214"/>
      <c r="Q258" s="1214"/>
    </row>
    <row r="259" spans="1:17" s="1199" customFormat="1" ht="24" customHeight="1">
      <c r="A259" s="1406" t="s">
        <v>1299</v>
      </c>
      <c r="B259" s="2174" t="s">
        <v>1492</v>
      </c>
      <c r="C259" s="1202"/>
      <c r="D259" s="1202"/>
      <c r="E259" s="1387">
        <v>6</v>
      </c>
      <c r="F259" s="1207" t="s">
        <v>363</v>
      </c>
      <c r="G259" s="2176">
        <v>1850</v>
      </c>
      <c r="H259" s="1264">
        <f t="shared" si="39"/>
        <v>11100</v>
      </c>
      <c r="I259" s="2177">
        <v>250</v>
      </c>
      <c r="J259" s="1264">
        <f t="shared" si="40"/>
        <v>1500</v>
      </c>
      <c r="K259" s="1273">
        <f t="shared" si="41"/>
        <v>12600</v>
      </c>
      <c r="L259" s="1389"/>
      <c r="M259" s="1214"/>
      <c r="N259" s="1214"/>
      <c r="O259" s="1214"/>
      <c r="P259" s="1214"/>
      <c r="Q259" s="1214"/>
    </row>
    <row r="260" spans="1:17" s="1199" customFormat="1" ht="24" customHeight="1">
      <c r="A260" s="1406" t="s">
        <v>1301</v>
      </c>
      <c r="B260" s="2174" t="s">
        <v>1493</v>
      </c>
      <c r="C260" s="1202"/>
      <c r="D260" s="1202"/>
      <c r="E260" s="1387">
        <v>6</v>
      </c>
      <c r="F260" s="1207" t="s">
        <v>363</v>
      </c>
      <c r="G260" s="2176">
        <v>1850</v>
      </c>
      <c r="H260" s="1264">
        <f t="shared" si="39"/>
        <v>11100</v>
      </c>
      <c r="I260" s="2177">
        <v>250</v>
      </c>
      <c r="J260" s="1264">
        <f t="shared" si="40"/>
        <v>1500</v>
      </c>
      <c r="K260" s="1273">
        <f t="shared" si="41"/>
        <v>12600</v>
      </c>
      <c r="L260" s="1389"/>
      <c r="M260" s="1214"/>
      <c r="N260" s="1214"/>
      <c r="O260" s="1214"/>
      <c r="P260" s="1214"/>
      <c r="Q260" s="1214"/>
    </row>
    <row r="261" spans="1:17" s="1199" customFormat="1" ht="24" customHeight="1">
      <c r="A261" s="1406" t="s">
        <v>1309</v>
      </c>
      <c r="B261" s="2174" t="s">
        <v>1494</v>
      </c>
      <c r="C261" s="1202"/>
      <c r="D261" s="1202"/>
      <c r="E261" s="1387">
        <v>4</v>
      </c>
      <c r="F261" s="1207" t="s">
        <v>363</v>
      </c>
      <c r="G261" s="2176">
        <v>1850</v>
      </c>
      <c r="H261" s="1264">
        <f t="shared" si="39"/>
        <v>7400</v>
      </c>
      <c r="I261" s="2177">
        <v>250</v>
      </c>
      <c r="J261" s="1264">
        <f t="shared" si="40"/>
        <v>1000</v>
      </c>
      <c r="K261" s="1273">
        <f t="shared" si="41"/>
        <v>8400</v>
      </c>
      <c r="L261" s="1389"/>
      <c r="M261" s="1214"/>
      <c r="N261" s="1214"/>
      <c r="O261" s="1214"/>
      <c r="P261" s="1214"/>
      <c r="Q261" s="1214"/>
    </row>
    <row r="262" spans="1:17" s="1199" customFormat="1" ht="24" customHeight="1">
      <c r="A262" s="1406" t="s">
        <v>1533</v>
      </c>
      <c r="B262" s="2174" t="s">
        <v>1495</v>
      </c>
      <c r="C262" s="1202"/>
      <c r="D262" s="1202"/>
      <c r="E262" s="1387">
        <v>4</v>
      </c>
      <c r="F262" s="1207" t="s">
        <v>363</v>
      </c>
      <c r="G262" s="2176">
        <v>1850</v>
      </c>
      <c r="H262" s="1264">
        <f t="shared" si="39"/>
        <v>7400</v>
      </c>
      <c r="I262" s="2177">
        <v>250</v>
      </c>
      <c r="J262" s="1264">
        <f t="shared" si="40"/>
        <v>1000</v>
      </c>
      <c r="K262" s="1273">
        <f t="shared" si="41"/>
        <v>8400</v>
      </c>
      <c r="L262" s="1389"/>
      <c r="M262" s="1214"/>
      <c r="N262" s="1214"/>
      <c r="O262" s="1214"/>
      <c r="P262" s="1214"/>
      <c r="Q262" s="1214"/>
    </row>
    <row r="263" spans="1:17" s="1199" customFormat="1" ht="24" customHeight="1">
      <c r="A263" s="1406" t="s">
        <v>1536</v>
      </c>
      <c r="B263" s="2174" t="s">
        <v>1624</v>
      </c>
      <c r="C263" s="1202"/>
      <c r="D263" s="1202"/>
      <c r="E263" s="1387"/>
      <c r="F263" s="1207" t="s">
        <v>363</v>
      </c>
      <c r="G263" s="2176"/>
      <c r="H263" s="1264">
        <f t="shared" si="39"/>
        <v>0</v>
      </c>
      <c r="I263" s="2177">
        <v>250</v>
      </c>
      <c r="J263" s="1264">
        <f t="shared" si="40"/>
        <v>0</v>
      </c>
      <c r="K263" s="1273">
        <f t="shared" si="41"/>
        <v>0</v>
      </c>
      <c r="L263" s="1389"/>
      <c r="M263" s="1214"/>
      <c r="N263" s="1214"/>
      <c r="O263" s="1214"/>
      <c r="P263" s="1214"/>
      <c r="Q263" s="1214"/>
    </row>
    <row r="264" spans="1:17" s="1199" customFormat="1" ht="24" customHeight="1">
      <c r="A264" s="1406" t="s">
        <v>1537</v>
      </c>
      <c r="B264" s="2174" t="s">
        <v>1498</v>
      </c>
      <c r="C264" s="1202"/>
      <c r="D264" s="1202"/>
      <c r="E264" s="1387">
        <v>2</v>
      </c>
      <c r="F264" s="1207" t="s">
        <v>363</v>
      </c>
      <c r="G264" s="2176">
        <v>2750</v>
      </c>
      <c r="H264" s="1264">
        <f t="shared" si="39"/>
        <v>5500</v>
      </c>
      <c r="I264" s="2177">
        <v>250</v>
      </c>
      <c r="J264" s="1264">
        <f t="shared" si="40"/>
        <v>500</v>
      </c>
      <c r="K264" s="1273">
        <f t="shared" si="41"/>
        <v>6000</v>
      </c>
      <c r="L264" s="1389"/>
      <c r="M264" s="1214"/>
      <c r="N264" s="1214"/>
      <c r="O264" s="1214"/>
      <c r="P264" s="1214"/>
      <c r="Q264" s="1214"/>
    </row>
    <row r="265" spans="1:17" s="1199" customFormat="1" ht="24" customHeight="1">
      <c r="A265" s="1406" t="s">
        <v>1538</v>
      </c>
      <c r="B265" s="2174" t="s">
        <v>1500</v>
      </c>
      <c r="C265" s="1202"/>
      <c r="D265" s="1202"/>
      <c r="E265" s="1387">
        <v>2</v>
      </c>
      <c r="F265" s="1207" t="s">
        <v>363</v>
      </c>
      <c r="G265" s="2176">
        <v>2750</v>
      </c>
      <c r="H265" s="1264">
        <f t="shared" si="39"/>
        <v>5500</v>
      </c>
      <c r="I265" s="2177">
        <v>250</v>
      </c>
      <c r="J265" s="1264">
        <f t="shared" si="40"/>
        <v>500</v>
      </c>
      <c r="K265" s="1273">
        <f t="shared" si="41"/>
        <v>6000</v>
      </c>
      <c r="L265" s="1389"/>
      <c r="M265" s="1214"/>
      <c r="N265" s="1214"/>
      <c r="O265" s="1214"/>
      <c r="P265" s="1214"/>
      <c r="Q265" s="1214"/>
    </row>
    <row r="266" spans="1:17" s="1199" customFormat="1" ht="24" customHeight="1">
      <c r="A266" s="1406" t="s">
        <v>2900</v>
      </c>
      <c r="B266" s="2174" t="s">
        <v>1502</v>
      </c>
      <c r="C266" s="1202"/>
      <c r="D266" s="1202"/>
      <c r="E266" s="1387">
        <v>2</v>
      </c>
      <c r="F266" s="1207" t="s">
        <v>363</v>
      </c>
      <c r="G266" s="2176">
        <v>2750</v>
      </c>
      <c r="H266" s="1264">
        <f t="shared" si="39"/>
        <v>5500</v>
      </c>
      <c r="I266" s="2177">
        <v>250</v>
      </c>
      <c r="J266" s="1264">
        <f t="shared" si="40"/>
        <v>500</v>
      </c>
      <c r="K266" s="1273">
        <f t="shared" si="41"/>
        <v>6000</v>
      </c>
      <c r="L266" s="1389"/>
      <c r="M266" s="1214"/>
      <c r="N266" s="1214"/>
      <c r="O266" s="1214"/>
      <c r="P266" s="1214"/>
      <c r="Q266" s="1214"/>
    </row>
    <row r="267" spans="1:17" s="1199" customFormat="1" ht="24" customHeight="1">
      <c r="A267" s="1406" t="s">
        <v>2901</v>
      </c>
      <c r="B267" s="1190" t="s">
        <v>1603</v>
      </c>
      <c r="C267" s="1202"/>
      <c r="D267" s="1202"/>
      <c r="E267" s="1387">
        <v>3</v>
      </c>
      <c r="F267" s="1194" t="s">
        <v>363</v>
      </c>
      <c r="G267" s="2176">
        <v>2750</v>
      </c>
      <c r="H267" s="1264">
        <f t="shared" si="39"/>
        <v>8250</v>
      </c>
      <c r="I267" s="2177">
        <v>250</v>
      </c>
      <c r="J267" s="1264">
        <f t="shared" si="40"/>
        <v>750</v>
      </c>
      <c r="K267" s="1273">
        <f t="shared" si="41"/>
        <v>9000</v>
      </c>
      <c r="L267" s="1385"/>
      <c r="M267" s="1214"/>
      <c r="N267" s="1214"/>
      <c r="O267" s="1214"/>
      <c r="P267" s="1214"/>
      <c r="Q267" s="1214"/>
    </row>
    <row r="268" spans="1:17" s="1199" customFormat="1" ht="24" customHeight="1">
      <c r="A268" s="1406" t="s">
        <v>2902</v>
      </c>
      <c r="B268" s="2174" t="s">
        <v>1504</v>
      </c>
      <c r="C268" s="1202"/>
      <c r="D268" s="1202"/>
      <c r="E268" s="1387">
        <v>2</v>
      </c>
      <c r="F268" s="1207" t="s">
        <v>363</v>
      </c>
      <c r="G268" s="2176">
        <v>2750</v>
      </c>
      <c r="H268" s="1264">
        <f t="shared" si="39"/>
        <v>5500</v>
      </c>
      <c r="I268" s="2177">
        <v>250</v>
      </c>
      <c r="J268" s="1264">
        <f t="shared" si="40"/>
        <v>500</v>
      </c>
      <c r="K268" s="1273">
        <f t="shared" si="41"/>
        <v>6000</v>
      </c>
      <c r="L268" s="1389"/>
      <c r="M268" s="1214"/>
      <c r="N268" s="1214"/>
      <c r="O268" s="1214"/>
      <c r="P268" s="1214"/>
      <c r="Q268" s="1214"/>
    </row>
    <row r="269" spans="1:17" s="1199" customFormat="1" ht="24" customHeight="1">
      <c r="A269" s="1406" t="s">
        <v>2903</v>
      </c>
      <c r="B269" s="2174" t="s">
        <v>1506</v>
      </c>
      <c r="C269" s="1202"/>
      <c r="D269" s="1202"/>
      <c r="E269" s="1387"/>
      <c r="F269" s="1207" t="s">
        <v>363</v>
      </c>
      <c r="G269" s="2176"/>
      <c r="H269" s="1264">
        <f t="shared" si="39"/>
        <v>0</v>
      </c>
      <c r="I269" s="2177">
        <v>250</v>
      </c>
      <c r="J269" s="1264">
        <f t="shared" si="40"/>
        <v>0</v>
      </c>
      <c r="K269" s="1273">
        <f t="shared" si="41"/>
        <v>0</v>
      </c>
      <c r="L269" s="1389"/>
      <c r="M269" s="1214"/>
      <c r="N269" s="1214"/>
      <c r="O269" s="1214"/>
      <c r="P269" s="1214"/>
      <c r="Q269" s="1214"/>
    </row>
    <row r="270" spans="1:17" s="1199" customFormat="1" ht="24" customHeight="1">
      <c r="A270" s="1406" t="s">
        <v>2904</v>
      </c>
      <c r="B270" s="2174" t="s">
        <v>1508</v>
      </c>
      <c r="C270" s="1202"/>
      <c r="D270" s="1202"/>
      <c r="E270" s="1387">
        <v>4</v>
      </c>
      <c r="F270" s="1207" t="s">
        <v>363</v>
      </c>
      <c r="G270" s="2176">
        <v>2250</v>
      </c>
      <c r="H270" s="1264">
        <f t="shared" si="39"/>
        <v>9000</v>
      </c>
      <c r="I270" s="2177">
        <v>250</v>
      </c>
      <c r="J270" s="1264">
        <f t="shared" si="40"/>
        <v>1000</v>
      </c>
      <c r="K270" s="1273">
        <f t="shared" si="41"/>
        <v>10000</v>
      </c>
      <c r="L270" s="1389"/>
      <c r="M270" s="1214"/>
      <c r="N270" s="1214"/>
      <c r="O270" s="1214"/>
      <c r="P270" s="1214"/>
      <c r="Q270" s="1214"/>
    </row>
    <row r="271" spans="1:17" s="1199" customFormat="1" ht="24" customHeight="1">
      <c r="A271" s="1406" t="s">
        <v>2905</v>
      </c>
      <c r="B271" s="2174" t="s">
        <v>1510</v>
      </c>
      <c r="C271" s="1202"/>
      <c r="D271" s="1202"/>
      <c r="E271" s="1387">
        <v>219</v>
      </c>
      <c r="F271" s="1207" t="s">
        <v>363</v>
      </c>
      <c r="G271" s="2176">
        <f>3300+300</f>
        <v>3600</v>
      </c>
      <c r="H271" s="1264">
        <f t="shared" si="39"/>
        <v>788400</v>
      </c>
      <c r="I271" s="2177">
        <v>200</v>
      </c>
      <c r="J271" s="1264">
        <f t="shared" si="40"/>
        <v>43800</v>
      </c>
      <c r="K271" s="1273">
        <f t="shared" si="41"/>
        <v>832200</v>
      </c>
      <c r="L271" s="1389"/>
      <c r="M271" s="1214"/>
      <c r="N271" s="1214"/>
      <c r="O271" s="1214"/>
      <c r="P271" s="1214"/>
      <c r="Q271" s="1214"/>
    </row>
    <row r="272" spans="1:17" s="1199" customFormat="1" ht="24" customHeight="1">
      <c r="A272" s="1406" t="s">
        <v>2906</v>
      </c>
      <c r="B272" s="2174" t="s">
        <v>1512</v>
      </c>
      <c r="C272" s="1202"/>
      <c r="D272" s="1202"/>
      <c r="E272" s="1387">
        <v>10</v>
      </c>
      <c r="F272" s="1207" t="s">
        <v>363</v>
      </c>
      <c r="G272" s="2176">
        <v>1350</v>
      </c>
      <c r="H272" s="1264">
        <f t="shared" si="39"/>
        <v>13500</v>
      </c>
      <c r="I272" s="2177">
        <v>200</v>
      </c>
      <c r="J272" s="1264">
        <f t="shared" si="40"/>
        <v>2000</v>
      </c>
      <c r="K272" s="1273">
        <f t="shared" si="41"/>
        <v>15500</v>
      </c>
      <c r="L272" s="1389"/>
      <c r="M272" s="1214"/>
      <c r="N272" s="1214"/>
      <c r="O272" s="1214"/>
      <c r="P272" s="1214"/>
      <c r="Q272" s="1214"/>
    </row>
    <row r="273" spans="1:17" s="1199" customFormat="1" ht="24" customHeight="1">
      <c r="A273" s="1406" t="s">
        <v>2907</v>
      </c>
      <c r="B273" s="2174" t="s">
        <v>1514</v>
      </c>
      <c r="C273" s="1202"/>
      <c r="D273" s="1202"/>
      <c r="E273" s="1387">
        <v>7</v>
      </c>
      <c r="F273" s="1207" t="s">
        <v>363</v>
      </c>
      <c r="G273" s="2176">
        <v>350</v>
      </c>
      <c r="H273" s="1264">
        <f t="shared" si="39"/>
        <v>2450</v>
      </c>
      <c r="I273" s="2177">
        <v>200</v>
      </c>
      <c r="J273" s="1264">
        <f t="shared" si="40"/>
        <v>1400</v>
      </c>
      <c r="K273" s="1273">
        <f t="shared" si="41"/>
        <v>3850</v>
      </c>
      <c r="L273" s="1389"/>
      <c r="M273" s="1214"/>
      <c r="N273" s="1214"/>
      <c r="O273" s="1214"/>
      <c r="P273" s="1214"/>
      <c r="Q273" s="1214"/>
    </row>
    <row r="274" spans="1:17" s="1199" customFormat="1" ht="24" customHeight="1">
      <c r="A274" s="1406" t="s">
        <v>2908</v>
      </c>
      <c r="B274" s="2174" t="s">
        <v>1516</v>
      </c>
      <c r="C274" s="1202"/>
      <c r="D274" s="1202"/>
      <c r="E274" s="1387">
        <v>7</v>
      </c>
      <c r="F274" s="1207" t="s">
        <v>363</v>
      </c>
      <c r="G274" s="2176">
        <v>2200</v>
      </c>
      <c r="H274" s="1264">
        <f t="shared" si="39"/>
        <v>15400</v>
      </c>
      <c r="I274" s="2177">
        <v>200</v>
      </c>
      <c r="J274" s="1264">
        <f t="shared" si="40"/>
        <v>1400</v>
      </c>
      <c r="K274" s="1273">
        <f t="shared" si="41"/>
        <v>16800</v>
      </c>
      <c r="L274" s="1389"/>
      <c r="M274" s="1214"/>
      <c r="N274" s="1214"/>
      <c r="O274" s="1214"/>
      <c r="P274" s="1214"/>
      <c r="Q274" s="1214"/>
    </row>
    <row r="275" spans="1:17" s="1199" customFormat="1" ht="24" customHeight="1">
      <c r="A275" s="1406" t="s">
        <v>2909</v>
      </c>
      <c r="B275" s="2174" t="s">
        <v>1518</v>
      </c>
      <c r="C275" s="1202"/>
      <c r="D275" s="1202"/>
      <c r="E275" s="1387">
        <v>37</v>
      </c>
      <c r="F275" s="1207" t="s">
        <v>363</v>
      </c>
      <c r="G275" s="2176">
        <v>4200</v>
      </c>
      <c r="H275" s="1264">
        <f t="shared" si="39"/>
        <v>155400</v>
      </c>
      <c r="I275" s="2177">
        <v>200</v>
      </c>
      <c r="J275" s="1264">
        <f t="shared" si="40"/>
        <v>7400</v>
      </c>
      <c r="K275" s="1273">
        <f t="shared" si="41"/>
        <v>162800</v>
      </c>
      <c r="L275" s="1389"/>
      <c r="M275" s="1214"/>
      <c r="N275" s="1214"/>
      <c r="O275" s="1214"/>
      <c r="P275" s="1214"/>
      <c r="Q275" s="1214"/>
    </row>
    <row r="276" spans="1:17" s="1199" customFormat="1" ht="24" customHeight="1">
      <c r="A276" s="1406" t="s">
        <v>2910</v>
      </c>
      <c r="B276" s="2174" t="s">
        <v>1604</v>
      </c>
      <c r="C276" s="1202"/>
      <c r="D276" s="1202"/>
      <c r="E276" s="1387">
        <v>3</v>
      </c>
      <c r="F276" s="1207" t="s">
        <v>363</v>
      </c>
      <c r="G276" s="2176">
        <v>4785</v>
      </c>
      <c r="H276" s="1264">
        <f t="shared" si="39"/>
        <v>14355</v>
      </c>
      <c r="I276" s="2177">
        <v>100</v>
      </c>
      <c r="J276" s="1264">
        <f t="shared" si="40"/>
        <v>300</v>
      </c>
      <c r="K276" s="1273">
        <f t="shared" si="41"/>
        <v>14655</v>
      </c>
      <c r="L276" s="1385"/>
      <c r="M276" s="1214"/>
      <c r="N276" s="1214"/>
      <c r="O276" s="1214"/>
      <c r="P276" s="1214"/>
      <c r="Q276" s="1214"/>
    </row>
    <row r="277" spans="1:17" s="1199" customFormat="1" ht="24" customHeight="1">
      <c r="A277" s="1406" t="s">
        <v>2911</v>
      </c>
      <c r="B277" s="2174" t="s">
        <v>1521</v>
      </c>
      <c r="C277" s="1202"/>
      <c r="D277" s="1202"/>
      <c r="E277" s="1387">
        <v>2</v>
      </c>
      <c r="F277" s="1207" t="s">
        <v>363</v>
      </c>
      <c r="G277" s="2176">
        <v>5000</v>
      </c>
      <c r="H277" s="1264">
        <f t="shared" si="39"/>
        <v>10000</v>
      </c>
      <c r="I277" s="2177">
        <v>500</v>
      </c>
      <c r="J277" s="1264">
        <f t="shared" si="40"/>
        <v>1000</v>
      </c>
      <c r="K277" s="1273">
        <f t="shared" si="41"/>
        <v>11000</v>
      </c>
      <c r="L277" s="1389"/>
      <c r="M277" s="1214"/>
      <c r="N277" s="1214"/>
      <c r="O277" s="1214"/>
      <c r="P277" s="1214"/>
      <c r="Q277" s="1214"/>
    </row>
    <row r="278" spans="1:17" s="1199" customFormat="1" ht="24" customHeight="1">
      <c r="A278" s="1406" t="s">
        <v>2912</v>
      </c>
      <c r="B278" s="2174" t="s">
        <v>1312</v>
      </c>
      <c r="C278" s="1202"/>
      <c r="D278" s="1202"/>
      <c r="E278" s="1387"/>
      <c r="F278" s="1384"/>
      <c r="G278" s="2176"/>
      <c r="H278" s="1264">
        <f t="shared" si="39"/>
        <v>0</v>
      </c>
      <c r="I278" s="2177"/>
      <c r="J278" s="1264">
        <f t="shared" si="40"/>
        <v>0</v>
      </c>
      <c r="K278" s="1273">
        <f t="shared" si="41"/>
        <v>0</v>
      </c>
      <c r="L278" s="1389"/>
      <c r="M278" s="1214"/>
      <c r="N278" s="1214"/>
      <c r="O278" s="1214"/>
      <c r="P278" s="1214"/>
      <c r="Q278" s="1214"/>
    </row>
    <row r="279" spans="1:17" s="1199" customFormat="1" ht="24" customHeight="1">
      <c r="A279" s="1406"/>
      <c r="B279" s="2174" t="s">
        <v>1523</v>
      </c>
      <c r="C279" s="1202"/>
      <c r="D279" s="1202"/>
      <c r="E279" s="1387">
        <v>1320</v>
      </c>
      <c r="F279" s="1358" t="s">
        <v>226</v>
      </c>
      <c r="G279" s="2176">
        <v>82</v>
      </c>
      <c r="H279" s="1264">
        <f t="shared" si="39"/>
        <v>108240</v>
      </c>
      <c r="I279" s="2177">
        <v>12</v>
      </c>
      <c r="J279" s="1264">
        <f t="shared" si="40"/>
        <v>15840</v>
      </c>
      <c r="K279" s="1273">
        <f t="shared" si="41"/>
        <v>124080</v>
      </c>
      <c r="L279" s="1389"/>
      <c r="M279" s="1214"/>
      <c r="N279" s="1214"/>
      <c r="O279" s="1214"/>
      <c r="P279" s="1214"/>
      <c r="Q279" s="1214"/>
    </row>
    <row r="280" spans="1:17" s="1199" customFormat="1" ht="24" customHeight="1">
      <c r="A280" s="1331"/>
      <c r="B280" s="2174" t="s">
        <v>2553</v>
      </c>
      <c r="C280" s="1202"/>
      <c r="D280" s="1202"/>
      <c r="E280" s="1387">
        <v>2400</v>
      </c>
      <c r="F280" s="1358" t="s">
        <v>226</v>
      </c>
      <c r="G280" s="2176">
        <v>6</v>
      </c>
      <c r="H280" s="1264">
        <f t="shared" si="39"/>
        <v>14400</v>
      </c>
      <c r="I280" s="2177">
        <v>6</v>
      </c>
      <c r="J280" s="1264">
        <f t="shared" si="40"/>
        <v>14400</v>
      </c>
      <c r="K280" s="1273">
        <f t="shared" si="41"/>
        <v>28800</v>
      </c>
      <c r="L280" s="1389"/>
      <c r="M280" s="1214"/>
      <c r="N280" s="1214"/>
      <c r="O280" s="1214"/>
      <c r="P280" s="1214"/>
      <c r="Q280" s="1214"/>
    </row>
    <row r="281" spans="1:17" s="1199" customFormat="1" ht="24" customHeight="1">
      <c r="A281" s="1331"/>
      <c r="B281" s="2174" t="s">
        <v>1524</v>
      </c>
      <c r="C281" s="1202"/>
      <c r="D281" s="1202"/>
      <c r="E281" s="1387">
        <v>1708</v>
      </c>
      <c r="F281" s="1358" t="s">
        <v>226</v>
      </c>
      <c r="G281" s="2176">
        <v>18</v>
      </c>
      <c r="H281" s="1264">
        <f t="shared" si="39"/>
        <v>30744</v>
      </c>
      <c r="I281" s="2177">
        <v>8</v>
      </c>
      <c r="J281" s="1264">
        <f t="shared" si="40"/>
        <v>13664</v>
      </c>
      <c r="K281" s="1273">
        <f t="shared" si="41"/>
        <v>44408</v>
      </c>
      <c r="L281" s="1389"/>
      <c r="M281" s="1214"/>
      <c r="N281" s="1214"/>
      <c r="O281" s="1214"/>
      <c r="P281" s="1214"/>
      <c r="Q281" s="1214"/>
    </row>
    <row r="282" spans="1:17" s="1199" customFormat="1" ht="24" customHeight="1">
      <c r="A282" s="1331"/>
      <c r="B282" s="2174" t="s">
        <v>1525</v>
      </c>
      <c r="C282" s="1202"/>
      <c r="D282" s="1202"/>
      <c r="E282" s="1387">
        <v>1</v>
      </c>
      <c r="F282" s="1384" t="s">
        <v>1104</v>
      </c>
      <c r="G282" s="2176">
        <f>ROUND(SUM(H279:H281)*5%,)</f>
        <v>7669</v>
      </c>
      <c r="H282" s="1264">
        <f t="shared" si="39"/>
        <v>7669</v>
      </c>
      <c r="I282" s="1265">
        <f>ROUND(G282*0.3,)</f>
        <v>2301</v>
      </c>
      <c r="J282" s="1264">
        <f t="shared" si="40"/>
        <v>2301</v>
      </c>
      <c r="K282" s="1273">
        <f t="shared" si="41"/>
        <v>9970</v>
      </c>
      <c r="L282" s="1389"/>
      <c r="M282" s="1214"/>
      <c r="N282" s="1214"/>
      <c r="O282" s="1214"/>
      <c r="P282" s="1214"/>
      <c r="Q282" s="1214"/>
    </row>
    <row r="283" spans="1:17" s="1199" customFormat="1" ht="24" customHeight="1">
      <c r="A283" s="1406" t="s">
        <v>2913</v>
      </c>
      <c r="B283" s="2174" t="s">
        <v>1526</v>
      </c>
      <c r="C283" s="1202"/>
      <c r="D283" s="1202"/>
      <c r="E283" s="1404"/>
      <c r="F283" s="1384"/>
      <c r="G283" s="2176"/>
      <c r="H283" s="1264"/>
      <c r="I283" s="2177"/>
      <c r="J283" s="1264"/>
      <c r="K283" s="1273"/>
      <c r="L283" s="1385"/>
      <c r="M283" s="1214"/>
      <c r="N283" s="1214"/>
      <c r="O283" s="1214"/>
      <c r="P283" s="1214"/>
      <c r="Q283" s="1214"/>
    </row>
    <row r="284" spans="1:17" s="1199" customFormat="1" ht="24" customHeight="1">
      <c r="A284" s="1331"/>
      <c r="B284" s="2174" t="s">
        <v>1350</v>
      </c>
      <c r="C284" s="1202"/>
      <c r="D284" s="1202"/>
      <c r="E284" s="1387">
        <v>1200</v>
      </c>
      <c r="F284" s="1358" t="s">
        <v>226</v>
      </c>
      <c r="G284" s="2176">
        <v>27</v>
      </c>
      <c r="H284" s="1264">
        <f t="shared" ref="H284:H291" si="42">ROUND(E284*G284,)</f>
        <v>32400</v>
      </c>
      <c r="I284" s="2177">
        <v>22</v>
      </c>
      <c r="J284" s="1264">
        <f t="shared" ref="J284:J285" si="43">ROUND(E284*I284,)</f>
        <v>26400</v>
      </c>
      <c r="K284" s="1802">
        <f t="shared" ref="K284:K285" si="44">H284+J284</f>
        <v>58800</v>
      </c>
      <c r="L284" s="2001" t="s">
        <v>2667</v>
      </c>
      <c r="M284" s="1214"/>
      <c r="N284" s="1199">
        <v>79.8</v>
      </c>
      <c r="O284" s="1199">
        <f>ROUND(N284/3,)</f>
        <v>27</v>
      </c>
      <c r="P284" s="1214"/>
      <c r="Q284" s="1214"/>
    </row>
    <row r="285" spans="1:17" s="1199" customFormat="1" ht="24" customHeight="1">
      <c r="A285" s="1331"/>
      <c r="B285" s="2174" t="s">
        <v>1384</v>
      </c>
      <c r="C285" s="1202"/>
      <c r="D285" s="1202"/>
      <c r="E285" s="1387">
        <v>1</v>
      </c>
      <c r="F285" s="1384" t="s">
        <v>1104</v>
      </c>
      <c r="G285" s="2176">
        <f>SUM(H284)*15%</f>
        <v>4860</v>
      </c>
      <c r="H285" s="1264">
        <f t="shared" si="42"/>
        <v>4860</v>
      </c>
      <c r="I285" s="2177">
        <f>G285*0.3</f>
        <v>1458</v>
      </c>
      <c r="J285" s="1264">
        <f t="shared" si="43"/>
        <v>1458</v>
      </c>
      <c r="K285" s="1273">
        <f t="shared" si="44"/>
        <v>6318</v>
      </c>
      <c r="L285" s="1385"/>
      <c r="M285" s="1214"/>
      <c r="N285" s="1214"/>
      <c r="O285" s="1214"/>
      <c r="P285" s="1214"/>
      <c r="Q285" s="1214"/>
    </row>
    <row r="286" spans="1:17" s="1199" customFormat="1" ht="24" customHeight="1">
      <c r="A286" s="1406" t="s">
        <v>2914</v>
      </c>
      <c r="B286" s="2174" t="s">
        <v>1110</v>
      </c>
      <c r="C286" s="1202"/>
      <c r="D286" s="1202"/>
      <c r="E286" s="1387"/>
      <c r="F286" s="1384"/>
      <c r="G286" s="2176"/>
      <c r="H286" s="1264">
        <f t="shared" si="42"/>
        <v>0</v>
      </c>
      <c r="I286" s="2177"/>
      <c r="J286" s="1264">
        <f t="shared" si="40"/>
        <v>0</v>
      </c>
      <c r="K286" s="1273">
        <f t="shared" si="41"/>
        <v>0</v>
      </c>
      <c r="L286" s="1385"/>
      <c r="M286" s="1214"/>
      <c r="N286" s="1214"/>
      <c r="O286" s="1214"/>
      <c r="P286" s="1214"/>
    </row>
    <row r="287" spans="1:17" s="1199" customFormat="1" ht="24" customHeight="1">
      <c r="A287" s="1331"/>
      <c r="B287" s="2174" t="s">
        <v>1350</v>
      </c>
      <c r="C287" s="1202"/>
      <c r="D287" s="1202"/>
      <c r="E287" s="1387"/>
      <c r="F287" s="1358" t="s">
        <v>226</v>
      </c>
      <c r="G287" s="2176">
        <v>56</v>
      </c>
      <c r="H287" s="1264">
        <f t="shared" si="42"/>
        <v>0</v>
      </c>
      <c r="I287" s="2177">
        <v>26</v>
      </c>
      <c r="J287" s="1264">
        <f t="shared" si="40"/>
        <v>0</v>
      </c>
      <c r="K287" s="1273">
        <f t="shared" si="41"/>
        <v>0</v>
      </c>
      <c r="L287" s="2001" t="s">
        <v>2667</v>
      </c>
      <c r="M287" s="1214"/>
      <c r="N287" s="1199">
        <v>169.2</v>
      </c>
      <c r="O287" s="1199">
        <f>ROUND(N287/3,)</f>
        <v>56</v>
      </c>
      <c r="P287" s="1214"/>
    </row>
    <row r="288" spans="1:17" s="1199" customFormat="1" ht="24" customHeight="1">
      <c r="A288" s="1331"/>
      <c r="B288" s="2174" t="s">
        <v>1448</v>
      </c>
      <c r="C288" s="1202"/>
      <c r="D288" s="1202"/>
      <c r="E288" s="1404">
        <v>3028</v>
      </c>
      <c r="F288" s="1358" t="s">
        <v>226</v>
      </c>
      <c r="G288" s="2176">
        <v>75</v>
      </c>
      <c r="H288" s="1264">
        <f t="shared" si="42"/>
        <v>227100</v>
      </c>
      <c r="I288" s="2177">
        <v>29</v>
      </c>
      <c r="J288" s="1264">
        <f t="shared" si="40"/>
        <v>87812</v>
      </c>
      <c r="K288" s="1273">
        <f>H288+J288</f>
        <v>314912</v>
      </c>
      <c r="L288" s="2001" t="s">
        <v>2667</v>
      </c>
      <c r="N288" s="1199">
        <v>225</v>
      </c>
      <c r="O288" s="1199">
        <f>ROUND(N288/3,)</f>
        <v>75</v>
      </c>
      <c r="P288" s="1214"/>
    </row>
    <row r="289" spans="1:17" s="1199" customFormat="1" ht="24" customHeight="1">
      <c r="A289" s="1331"/>
      <c r="B289" s="2174" t="s">
        <v>1108</v>
      </c>
      <c r="C289" s="1202"/>
      <c r="D289" s="1202"/>
      <c r="E289" s="1387">
        <v>1</v>
      </c>
      <c r="F289" s="1384" t="s">
        <v>1104</v>
      </c>
      <c r="G289" s="2176">
        <f>ROUND(SUM(H287:H288)*15%,)</f>
        <v>34065</v>
      </c>
      <c r="H289" s="1264">
        <f t="shared" si="42"/>
        <v>34065</v>
      </c>
      <c r="I289" s="1265">
        <f>ROUND(G289*0.3,)</f>
        <v>10220</v>
      </c>
      <c r="J289" s="1264">
        <f t="shared" si="40"/>
        <v>10220</v>
      </c>
      <c r="K289" s="1273">
        <f t="shared" si="41"/>
        <v>44285</v>
      </c>
      <c r="L289" s="1385"/>
      <c r="M289" s="1214"/>
      <c r="N289" s="1214"/>
      <c r="O289" s="1214"/>
      <c r="P289" s="1214"/>
    </row>
    <row r="290" spans="1:17" s="1199" customFormat="1" ht="24" customHeight="1">
      <c r="A290" s="1406" t="s">
        <v>2915</v>
      </c>
      <c r="B290" s="2174" t="s">
        <v>1449</v>
      </c>
      <c r="C290" s="1202"/>
      <c r="D290" s="1202"/>
      <c r="E290" s="1387"/>
      <c r="F290" s="1384"/>
      <c r="G290" s="2176"/>
      <c r="H290" s="1264">
        <f t="shared" si="42"/>
        <v>0</v>
      </c>
      <c r="I290" s="2177"/>
      <c r="J290" s="1264">
        <f t="shared" si="40"/>
        <v>0</v>
      </c>
      <c r="K290" s="1273">
        <f t="shared" si="41"/>
        <v>0</v>
      </c>
      <c r="L290" s="1385"/>
      <c r="M290" s="1214"/>
      <c r="N290" s="1214"/>
      <c r="O290" s="1214"/>
      <c r="P290" s="1214"/>
    </row>
    <row r="291" spans="1:17" s="1199" customFormat="1" ht="24" customHeight="1">
      <c r="A291" s="1406"/>
      <c r="B291" s="2174" t="s">
        <v>1350</v>
      </c>
      <c r="C291" s="1202"/>
      <c r="D291" s="1202"/>
      <c r="E291" s="1387">
        <v>219</v>
      </c>
      <c r="F291" s="1384" t="s">
        <v>226</v>
      </c>
      <c r="G291" s="2176">
        <v>14</v>
      </c>
      <c r="H291" s="1264">
        <f t="shared" si="42"/>
        <v>3066</v>
      </c>
      <c r="I291" s="2177">
        <v>11</v>
      </c>
      <c r="J291" s="1264">
        <f t="shared" si="40"/>
        <v>2409</v>
      </c>
      <c r="K291" s="1273">
        <f t="shared" si="41"/>
        <v>5475</v>
      </c>
      <c r="L291" s="1385"/>
      <c r="M291" s="1214"/>
      <c r="N291" s="1214"/>
      <c r="O291" s="1214"/>
      <c r="P291" s="1214"/>
    </row>
    <row r="292" spans="1:17" s="1199" customFormat="1" ht="24" customHeight="1">
      <c r="A292" s="1331"/>
      <c r="B292" s="2174" t="s">
        <v>1117</v>
      </c>
      <c r="C292" s="1202"/>
      <c r="D292" s="1202"/>
      <c r="E292" s="1387"/>
      <c r="F292" s="1358"/>
      <c r="G292" s="2176"/>
      <c r="H292" s="1264"/>
      <c r="I292" s="2177"/>
      <c r="J292" s="1264"/>
      <c r="K292" s="1273"/>
      <c r="L292" s="2001"/>
      <c r="M292" s="1214"/>
      <c r="N292" s="1214"/>
      <c r="O292" s="1214"/>
      <c r="P292" s="1214"/>
      <c r="Q292" s="1214"/>
    </row>
    <row r="293" spans="1:17" s="1199" customFormat="1" ht="24" customHeight="1">
      <c r="A293" s="1331"/>
      <c r="B293" s="2174" t="s">
        <v>1369</v>
      </c>
      <c r="C293" s="1202"/>
      <c r="D293" s="1202"/>
      <c r="E293" s="1404"/>
      <c r="F293" s="1358"/>
      <c r="G293" s="2176"/>
      <c r="H293" s="1264"/>
      <c r="I293" s="2177"/>
      <c r="J293" s="1264"/>
      <c r="K293" s="1273"/>
      <c r="L293" s="2001"/>
      <c r="M293" s="1214"/>
      <c r="N293" s="1214"/>
      <c r="O293" s="1214"/>
      <c r="P293" s="1214"/>
      <c r="Q293" s="1214"/>
    </row>
    <row r="294" spans="1:17" s="1199" customFormat="1" ht="24" customHeight="1">
      <c r="A294" s="1331"/>
      <c r="B294" s="2174" t="s">
        <v>1369</v>
      </c>
      <c r="C294" s="1202"/>
      <c r="D294" s="1202"/>
      <c r="E294" s="1387"/>
      <c r="F294" s="1384"/>
      <c r="G294" s="2176"/>
      <c r="H294" s="1264"/>
      <c r="I294" s="1265"/>
      <c r="J294" s="1264"/>
      <c r="K294" s="1273"/>
      <c r="L294" s="1385"/>
      <c r="M294" s="1214"/>
      <c r="N294" s="1214"/>
      <c r="O294" s="1214"/>
      <c r="P294" s="1214"/>
      <c r="Q294" s="1214"/>
    </row>
    <row r="295" spans="1:17" s="1199" customFormat="1" ht="24" customHeight="1">
      <c r="A295" s="1406"/>
      <c r="B295" s="2174"/>
      <c r="C295" s="1202"/>
      <c r="D295" s="1202"/>
      <c r="E295" s="1387"/>
      <c r="F295" s="1384"/>
      <c r="G295" s="2176"/>
      <c r="H295" s="1264"/>
      <c r="I295" s="2177"/>
      <c r="J295" s="1264"/>
      <c r="K295" s="1273"/>
      <c r="L295" s="1385"/>
      <c r="M295" s="1214"/>
      <c r="N295" s="1214"/>
      <c r="O295" s="1214"/>
      <c r="P295" s="1214"/>
      <c r="Q295" s="1214"/>
    </row>
    <row r="296" spans="1:17" s="1199" customFormat="1" ht="24" customHeight="1">
      <c r="A296" s="1331"/>
      <c r="B296" s="2174"/>
      <c r="C296" s="1202"/>
      <c r="D296" s="1202"/>
      <c r="E296" s="1387"/>
      <c r="F296" s="1358"/>
      <c r="G296" s="2176"/>
      <c r="H296" s="1264"/>
      <c r="I296" s="2177"/>
      <c r="J296" s="1264"/>
      <c r="K296" s="1273"/>
      <c r="L296" s="2001"/>
      <c r="M296" s="1214"/>
      <c r="N296" s="1214"/>
      <c r="O296" s="1214"/>
      <c r="P296" s="1214"/>
      <c r="Q296" s="1214"/>
    </row>
    <row r="297" spans="1:17" s="1199" customFormat="1" ht="24" customHeight="1">
      <c r="A297" s="1331"/>
      <c r="B297" s="2174"/>
      <c r="C297" s="1202"/>
      <c r="D297" s="1202"/>
      <c r="E297" s="1404"/>
      <c r="F297" s="1358"/>
      <c r="G297" s="2176"/>
      <c r="H297" s="1264"/>
      <c r="I297" s="2177"/>
      <c r="J297" s="1264"/>
      <c r="K297" s="1273"/>
      <c r="L297" s="2001"/>
      <c r="M297" s="1214"/>
      <c r="N297" s="1214"/>
      <c r="O297" s="1214"/>
      <c r="P297" s="1214"/>
      <c r="Q297" s="1214"/>
    </row>
    <row r="298" spans="1:17" s="1199" customFormat="1" ht="24" customHeight="1">
      <c r="A298" s="1243"/>
      <c r="B298" s="2257" t="str">
        <f>"รวมราคารายการที่ "&amp;A257</f>
        <v>รวมราคารายการที่ 3.8</v>
      </c>
      <c r="C298" s="2258"/>
      <c r="D298" s="2259"/>
      <c r="E298" s="1244"/>
      <c r="F298" s="1245"/>
      <c r="G298" s="1246"/>
      <c r="H298" s="1247">
        <f>SUM(H258:H294)</f>
        <v>1625299</v>
      </c>
      <c r="I298" s="1246"/>
      <c r="J298" s="1247">
        <f t="shared" ref="J298:K298" si="45">SUM(J258:J294)</f>
        <v>249254</v>
      </c>
      <c r="K298" s="1247">
        <f t="shared" si="45"/>
        <v>1874553</v>
      </c>
      <c r="L298" s="1245"/>
      <c r="M298" s="1214"/>
      <c r="N298" s="1214"/>
      <c r="O298" s="1214"/>
      <c r="P298" s="1214"/>
      <c r="Q298" s="1214"/>
    </row>
    <row r="299" spans="1:17" s="1199" customFormat="1" ht="24" customHeight="1">
      <c r="A299" s="1435" t="s">
        <v>1311</v>
      </c>
      <c r="B299" s="1436" t="s">
        <v>1404</v>
      </c>
      <c r="C299" s="1202"/>
      <c r="D299" s="1202"/>
      <c r="E299" s="1387"/>
      <c r="F299" s="1407"/>
      <c r="G299" s="2176"/>
      <c r="H299" s="1388"/>
      <c r="I299" s="2177"/>
      <c r="J299" s="1385"/>
      <c r="K299" s="1385"/>
      <c r="L299" s="1389"/>
      <c r="M299" s="1214"/>
      <c r="N299" s="1214"/>
      <c r="O299" s="1214"/>
      <c r="P299" s="1214"/>
      <c r="Q299" s="1214"/>
    </row>
    <row r="300" spans="1:17" s="1199" customFormat="1" ht="24" customHeight="1">
      <c r="A300" s="1406" t="s">
        <v>1313</v>
      </c>
      <c r="B300" s="2174" t="s">
        <v>1529</v>
      </c>
      <c r="C300" s="1202"/>
      <c r="D300" s="1202"/>
      <c r="E300" s="1387">
        <v>24</v>
      </c>
      <c r="F300" s="1207" t="s">
        <v>363</v>
      </c>
      <c r="G300" s="2176">
        <v>900</v>
      </c>
      <c r="H300" s="1264">
        <f t="shared" ref="H300:H305" si="46">ROUND(G300*E300,)</f>
        <v>21600</v>
      </c>
      <c r="I300" s="2177">
        <v>140</v>
      </c>
      <c r="J300" s="1264">
        <f t="shared" ref="J300:J311" si="47">ROUND(E300*I300,)</f>
        <v>3360</v>
      </c>
      <c r="K300" s="1273">
        <f t="shared" ref="K300:K311" si="48">H300+J300</f>
        <v>24960</v>
      </c>
      <c r="L300" s="1389"/>
      <c r="M300" s="1214"/>
      <c r="N300" s="1214"/>
      <c r="O300" s="1214"/>
      <c r="P300" s="1214"/>
      <c r="Q300" s="1214"/>
    </row>
    <row r="301" spans="1:17" s="1199" customFormat="1" ht="24" customHeight="1">
      <c r="A301" s="1406" t="s">
        <v>1547</v>
      </c>
      <c r="B301" s="2174" t="s">
        <v>1531</v>
      </c>
      <c r="C301" s="1202"/>
      <c r="D301" s="1202"/>
      <c r="E301" s="1387">
        <v>2</v>
      </c>
      <c r="F301" s="1207" t="s">
        <v>363</v>
      </c>
      <c r="G301" s="2176">
        <v>3800</v>
      </c>
      <c r="H301" s="1264">
        <f t="shared" si="46"/>
        <v>7600</v>
      </c>
      <c r="I301" s="2177">
        <v>200</v>
      </c>
      <c r="J301" s="1264">
        <f t="shared" si="47"/>
        <v>400</v>
      </c>
      <c r="K301" s="1273">
        <f t="shared" si="48"/>
        <v>8000</v>
      </c>
      <c r="L301" s="1389"/>
      <c r="M301" s="1214"/>
      <c r="N301" s="1214"/>
      <c r="O301" s="1214"/>
      <c r="P301" s="1214"/>
      <c r="Q301" s="1214"/>
    </row>
    <row r="302" spans="1:17" s="1199" customFormat="1" ht="24" customHeight="1">
      <c r="A302" s="1406" t="s">
        <v>1549</v>
      </c>
      <c r="B302" s="2174" t="s">
        <v>1532</v>
      </c>
      <c r="C302" s="1202"/>
      <c r="D302" s="1202"/>
      <c r="E302" s="1387">
        <v>2</v>
      </c>
      <c r="F302" s="1207" t="s">
        <v>363</v>
      </c>
      <c r="G302" s="2176">
        <v>5000</v>
      </c>
      <c r="H302" s="1264">
        <f t="shared" si="46"/>
        <v>10000</v>
      </c>
      <c r="I302" s="2177">
        <f>G302*0.1</f>
        <v>500</v>
      </c>
      <c r="J302" s="1264">
        <f t="shared" si="47"/>
        <v>1000</v>
      </c>
      <c r="K302" s="1273">
        <f t="shared" si="48"/>
        <v>11000</v>
      </c>
      <c r="L302" s="1389"/>
      <c r="M302" s="1214"/>
      <c r="N302" s="1214"/>
      <c r="O302" s="1214"/>
      <c r="P302" s="1214"/>
      <c r="Q302" s="1214"/>
    </row>
    <row r="303" spans="1:17" s="1199" customFormat="1" ht="24" customHeight="1">
      <c r="A303" s="1406" t="s">
        <v>1631</v>
      </c>
      <c r="B303" s="2174" t="s">
        <v>1312</v>
      </c>
      <c r="C303" s="1202"/>
      <c r="D303" s="1202"/>
      <c r="E303" s="1387"/>
      <c r="F303" s="1384"/>
      <c r="G303" s="2176"/>
      <c r="H303" s="1264">
        <f t="shared" si="46"/>
        <v>0</v>
      </c>
      <c r="I303" s="2177"/>
      <c r="J303" s="1264">
        <f t="shared" si="47"/>
        <v>0</v>
      </c>
      <c r="K303" s="1273">
        <f t="shared" si="48"/>
        <v>0</v>
      </c>
      <c r="L303" s="1389"/>
      <c r="M303" s="1214"/>
      <c r="N303" s="1214"/>
      <c r="O303" s="1214"/>
      <c r="P303" s="1214"/>
      <c r="Q303" s="1214"/>
    </row>
    <row r="304" spans="1:17" s="1199" customFormat="1" ht="24" customHeight="1">
      <c r="A304" s="1331"/>
      <c r="B304" s="2174" t="s">
        <v>1534</v>
      </c>
      <c r="C304" s="1202"/>
      <c r="D304" s="1202"/>
      <c r="E304" s="1387">
        <v>827.99999999999989</v>
      </c>
      <c r="F304" s="1358" t="s">
        <v>226</v>
      </c>
      <c r="G304" s="2176">
        <v>32</v>
      </c>
      <c r="H304" s="1264">
        <f t="shared" si="46"/>
        <v>26496</v>
      </c>
      <c r="I304" s="2177">
        <v>11</v>
      </c>
      <c r="J304" s="1264">
        <f t="shared" si="47"/>
        <v>9108</v>
      </c>
      <c r="K304" s="1802">
        <f t="shared" si="48"/>
        <v>35604</v>
      </c>
      <c r="L304" s="2001" t="s">
        <v>2667</v>
      </c>
      <c r="M304" s="1214"/>
      <c r="N304" s="1199">
        <v>3183</v>
      </c>
      <c r="O304" s="1199">
        <f>ROUND(N304/100,)</f>
        <v>32</v>
      </c>
      <c r="P304" s="1214"/>
      <c r="Q304" s="1214"/>
    </row>
    <row r="305" spans="1:21" s="1199" customFormat="1" ht="24" customHeight="1">
      <c r="A305" s="1331"/>
      <c r="B305" s="2174" t="s">
        <v>1535</v>
      </c>
      <c r="C305" s="1202"/>
      <c r="D305" s="1202"/>
      <c r="E305" s="1387">
        <v>114.99999999999999</v>
      </c>
      <c r="F305" s="1358" t="s">
        <v>226</v>
      </c>
      <c r="G305" s="2176">
        <v>40</v>
      </c>
      <c r="H305" s="1264">
        <f t="shared" si="46"/>
        <v>4600</v>
      </c>
      <c r="I305" s="2177">
        <v>12</v>
      </c>
      <c r="J305" s="1264">
        <f t="shared" si="47"/>
        <v>1380</v>
      </c>
      <c r="K305" s="1802">
        <f t="shared" si="48"/>
        <v>5980</v>
      </c>
      <c r="L305" s="2001" t="s">
        <v>2667</v>
      </c>
      <c r="M305" s="1214"/>
      <c r="N305" s="1199">
        <v>4039</v>
      </c>
      <c r="O305" s="1199">
        <f>ROUND(N305/100,)</f>
        <v>40</v>
      </c>
      <c r="P305" s="1214"/>
      <c r="Q305" s="1214"/>
    </row>
    <row r="306" spans="1:21" s="1199" customFormat="1" ht="24" customHeight="1">
      <c r="A306" s="1331"/>
      <c r="B306" s="2174" t="s">
        <v>1525</v>
      </c>
      <c r="C306" s="1202"/>
      <c r="D306" s="1202"/>
      <c r="E306" s="1387">
        <v>1</v>
      </c>
      <c r="F306" s="1384" t="s">
        <v>1104</v>
      </c>
      <c r="G306" s="2176">
        <f>ROUND(SUM(H304:H305)*5%,)</f>
        <v>1555</v>
      </c>
      <c r="H306" s="1264">
        <f>ROUND(E306*G306,)</f>
        <v>1555</v>
      </c>
      <c r="I306" s="1265">
        <f>ROUND(G306*0.3,)</f>
        <v>467</v>
      </c>
      <c r="J306" s="1264">
        <f t="shared" si="47"/>
        <v>467</v>
      </c>
      <c r="K306" s="1273">
        <f t="shared" si="48"/>
        <v>2022</v>
      </c>
      <c r="L306" s="1389"/>
      <c r="M306" s="1214"/>
      <c r="N306" s="1214"/>
      <c r="O306" s="1214"/>
      <c r="P306" s="1214"/>
      <c r="Q306" s="1214"/>
    </row>
    <row r="307" spans="1:21" s="1199" customFormat="1" ht="24" customHeight="1">
      <c r="A307" s="1406" t="s">
        <v>1610</v>
      </c>
      <c r="B307" s="2174" t="s">
        <v>1526</v>
      </c>
      <c r="C307" s="1202"/>
      <c r="D307" s="1202"/>
      <c r="E307" s="1387"/>
      <c r="F307" s="1384"/>
      <c r="G307" s="2176"/>
      <c r="H307" s="1264">
        <f>ROUND(G307*E307,)</f>
        <v>0</v>
      </c>
      <c r="I307" s="2177"/>
      <c r="J307" s="1264">
        <f t="shared" si="47"/>
        <v>0</v>
      </c>
      <c r="K307" s="1273">
        <f t="shared" si="48"/>
        <v>0</v>
      </c>
      <c r="L307" s="1389"/>
      <c r="M307" s="1214"/>
      <c r="N307" s="1214"/>
      <c r="O307" s="1214"/>
      <c r="P307" s="1214"/>
      <c r="Q307" s="1214"/>
    </row>
    <row r="308" spans="1:21" s="1199" customFormat="1" ht="24" customHeight="1">
      <c r="A308" s="1331"/>
      <c r="B308" s="2174" t="s">
        <v>1350</v>
      </c>
      <c r="C308" s="1202"/>
      <c r="D308" s="1202"/>
      <c r="E308" s="1387">
        <v>942.99999999999989</v>
      </c>
      <c r="F308" s="1358" t="s">
        <v>226</v>
      </c>
      <c r="G308" s="2176">
        <v>27</v>
      </c>
      <c r="H308" s="1264">
        <f t="shared" ref="H308" si="49">ROUND(G308*E308,)</f>
        <v>25461</v>
      </c>
      <c r="I308" s="2177">
        <v>22</v>
      </c>
      <c r="J308" s="1264">
        <f t="shared" si="47"/>
        <v>20746</v>
      </c>
      <c r="K308" s="1801">
        <f t="shared" si="48"/>
        <v>46207</v>
      </c>
      <c r="L308" s="2001" t="s">
        <v>2667</v>
      </c>
      <c r="M308" s="1214"/>
      <c r="N308" s="1199">
        <v>79.8</v>
      </c>
      <c r="O308" s="1199">
        <f>ROUND(N308/3,)</f>
        <v>27</v>
      </c>
      <c r="P308" s="1214"/>
      <c r="Q308" s="1214"/>
    </row>
    <row r="309" spans="1:21" s="1199" customFormat="1" ht="24" customHeight="1">
      <c r="A309" s="1331"/>
      <c r="B309" s="2174" t="s">
        <v>1384</v>
      </c>
      <c r="C309" s="1202"/>
      <c r="D309" s="1202"/>
      <c r="E309" s="1387">
        <v>1</v>
      </c>
      <c r="F309" s="1407" t="s">
        <v>1104</v>
      </c>
      <c r="G309" s="2176">
        <f>ROUND(SUM(H308:H308)*15%,)</f>
        <v>3819</v>
      </c>
      <c r="H309" s="1264">
        <f>ROUND(G309*E309,)</f>
        <v>3819</v>
      </c>
      <c r="I309" s="1265">
        <f>ROUND(G309*0.3,)</f>
        <v>1146</v>
      </c>
      <c r="J309" s="1264">
        <f t="shared" si="47"/>
        <v>1146</v>
      </c>
      <c r="K309" s="1273">
        <f t="shared" si="48"/>
        <v>4965</v>
      </c>
      <c r="L309" s="1389"/>
      <c r="M309" s="1214"/>
      <c r="N309" s="1214"/>
      <c r="O309" s="1214"/>
      <c r="P309" s="1214"/>
      <c r="Q309" s="1214"/>
    </row>
    <row r="310" spans="1:21" s="1199" customFormat="1" ht="24" customHeight="1">
      <c r="A310" s="1331" t="s">
        <v>1632</v>
      </c>
      <c r="B310" s="2174" t="s">
        <v>1449</v>
      </c>
      <c r="C310" s="1202"/>
      <c r="D310" s="1202"/>
      <c r="E310" s="1387"/>
      <c r="F310" s="1384"/>
      <c r="G310" s="2176"/>
      <c r="H310" s="1264">
        <f>ROUND(G310*E310,)</f>
        <v>0</v>
      </c>
      <c r="I310" s="2177"/>
      <c r="J310" s="1264">
        <f t="shared" si="47"/>
        <v>0</v>
      </c>
      <c r="K310" s="1273">
        <f t="shared" si="48"/>
        <v>0</v>
      </c>
      <c r="L310" s="1389"/>
      <c r="M310" s="1214"/>
      <c r="N310" s="1214"/>
      <c r="O310" s="1214"/>
      <c r="P310" s="1214"/>
      <c r="Q310" s="1214"/>
    </row>
    <row r="311" spans="1:21" s="1199" customFormat="1" ht="24" customHeight="1">
      <c r="A311" s="1331"/>
      <c r="B311" s="2174" t="s">
        <v>1350</v>
      </c>
      <c r="C311" s="1202"/>
      <c r="D311" s="1202"/>
      <c r="E311" s="1387">
        <v>24</v>
      </c>
      <c r="F311" s="1358" t="s">
        <v>226</v>
      </c>
      <c r="G311" s="2176">
        <v>14</v>
      </c>
      <c r="H311" s="1264">
        <f>ROUND(G311*E311,)</f>
        <v>336</v>
      </c>
      <c r="I311" s="2177">
        <v>11</v>
      </c>
      <c r="J311" s="1264">
        <f t="shared" si="47"/>
        <v>264</v>
      </c>
      <c r="K311" s="1273">
        <f t="shared" si="48"/>
        <v>600</v>
      </c>
      <c r="L311" s="1389"/>
      <c r="M311" s="1214"/>
      <c r="N311" s="1214"/>
      <c r="O311" s="1214"/>
      <c r="P311" s="1214"/>
      <c r="Q311" s="1214"/>
    </row>
    <row r="312" spans="1:21" s="1199" customFormat="1" ht="24" customHeight="1">
      <c r="A312" s="1480"/>
      <c r="B312" s="2174" t="s">
        <v>1117</v>
      </c>
      <c r="C312" s="1191"/>
      <c r="D312" s="1471"/>
      <c r="E312" s="1206"/>
      <c r="F312" s="1207"/>
      <c r="G312" s="2175"/>
      <c r="H312" s="1264"/>
      <c r="I312" s="1265"/>
      <c r="J312" s="1264"/>
      <c r="K312" s="1265"/>
      <c r="L312" s="1473"/>
      <c r="M312" s="1214"/>
      <c r="N312" s="1214"/>
      <c r="O312" s="1214"/>
      <c r="P312" s="1214"/>
      <c r="Q312" s="1214"/>
      <c r="R312" s="1214"/>
      <c r="S312" s="1214"/>
      <c r="T312" s="1214"/>
      <c r="U312" s="1214"/>
    </row>
    <row r="313" spans="1:21" s="1199" customFormat="1" ht="24" customHeight="1">
      <c r="A313" s="1339"/>
      <c r="B313" s="1220" t="s">
        <v>1118</v>
      </c>
      <c r="C313" s="1221"/>
      <c r="D313" s="1221"/>
      <c r="E313" s="1404"/>
      <c r="F313" s="1412"/>
      <c r="G313" s="1386"/>
      <c r="H313" s="1413"/>
      <c r="I313" s="1414"/>
      <c r="J313" s="1415"/>
      <c r="K313" s="1415"/>
      <c r="L313" s="1415"/>
      <c r="M313" s="1214"/>
      <c r="N313" s="1214"/>
      <c r="O313" s="1214"/>
      <c r="P313" s="1214"/>
    </row>
    <row r="314" spans="1:21" s="1199" customFormat="1" ht="24" customHeight="1">
      <c r="A314" s="1243"/>
      <c r="B314" s="2257" t="str">
        <f>"รวมราคารายการที่ "&amp;A299</f>
        <v>รวมราคารายการที่ 3.9</v>
      </c>
      <c r="C314" s="2258"/>
      <c r="D314" s="2259"/>
      <c r="E314" s="1244"/>
      <c r="F314" s="1245"/>
      <c r="G314" s="1246"/>
      <c r="H314" s="1247">
        <f>SUM(H300:H313)</f>
        <v>101467</v>
      </c>
      <c r="I314" s="1246"/>
      <c r="J314" s="1247">
        <f>SUM(J300:J313)</f>
        <v>37871</v>
      </c>
      <c r="K314" s="1247">
        <f>SUM(K300:K313)</f>
        <v>139338</v>
      </c>
      <c r="L314" s="1245"/>
      <c r="M314" s="1214"/>
      <c r="N314" s="1214"/>
      <c r="O314" s="1214"/>
      <c r="P314" s="1214"/>
      <c r="Q314" s="1214"/>
    </row>
    <row r="315" spans="1:21" s="1199" customFormat="1" ht="24" customHeight="1">
      <c r="A315" s="1435" t="s">
        <v>1332</v>
      </c>
      <c r="B315" s="1436" t="s">
        <v>1419</v>
      </c>
      <c r="C315" s="1202"/>
      <c r="D315" s="1202"/>
      <c r="E315" s="1387"/>
      <c r="F315" s="1384"/>
      <c r="G315" s="2176"/>
      <c r="H315" s="1388"/>
      <c r="I315" s="2177"/>
      <c r="J315" s="1385"/>
      <c r="K315" s="1385"/>
      <c r="L315" s="1389"/>
      <c r="M315" s="1214"/>
      <c r="N315" s="1214"/>
      <c r="O315" s="1214"/>
      <c r="P315" s="1214"/>
      <c r="Q315" s="1214"/>
    </row>
    <row r="316" spans="1:21" s="1199" customFormat="1" ht="24" customHeight="1">
      <c r="A316" s="1331" t="s">
        <v>1334</v>
      </c>
      <c r="B316" s="2174" t="s">
        <v>1539</v>
      </c>
      <c r="C316" s="1202"/>
      <c r="D316" s="1202"/>
      <c r="E316" s="1387"/>
      <c r="F316" s="1384"/>
      <c r="G316" s="2176"/>
      <c r="H316" s="1388"/>
      <c r="I316" s="2177"/>
      <c r="J316" s="1385"/>
      <c r="K316" s="1385"/>
      <c r="L316" s="1389"/>
      <c r="M316" s="1214"/>
      <c r="N316" s="1214"/>
      <c r="O316" s="1214"/>
      <c r="P316" s="1214"/>
      <c r="Q316" s="1214"/>
    </row>
    <row r="317" spans="1:21" s="1199" customFormat="1" ht="24" customHeight="1">
      <c r="A317" s="1331"/>
      <c r="B317" s="2174" t="s">
        <v>1540</v>
      </c>
      <c r="C317" s="1202"/>
      <c r="D317" s="1202"/>
      <c r="E317" s="1387">
        <v>2</v>
      </c>
      <c r="F317" s="1207" t="s">
        <v>363</v>
      </c>
      <c r="G317" s="2176">
        <v>46645</v>
      </c>
      <c r="H317" s="1388">
        <f t="shared" ref="H317:H322" si="50">ROUND(E317*G317,)</f>
        <v>93290</v>
      </c>
      <c r="I317" s="2177">
        <v>5000</v>
      </c>
      <c r="J317" s="1385">
        <f>ROUND(E317*I317,)</f>
        <v>10000</v>
      </c>
      <c r="K317" s="1385">
        <f t="shared" ref="K317:K322" si="51">H317+J317</f>
        <v>103290</v>
      </c>
      <c r="L317" s="1389"/>
      <c r="M317" s="1214"/>
      <c r="N317" s="1214"/>
      <c r="O317" s="1214"/>
      <c r="P317" s="1214"/>
      <c r="Q317" s="1214"/>
    </row>
    <row r="318" spans="1:21" s="1199" customFormat="1" ht="24" customHeight="1">
      <c r="A318" s="1331"/>
      <c r="B318" s="2174" t="s">
        <v>1541</v>
      </c>
      <c r="C318" s="1202"/>
      <c r="D318" s="1202"/>
      <c r="E318" s="1387">
        <v>4</v>
      </c>
      <c r="F318" s="1207" t="s">
        <v>363</v>
      </c>
      <c r="G318" s="2176">
        <v>21375</v>
      </c>
      <c r="H318" s="1388">
        <f t="shared" si="50"/>
        <v>85500</v>
      </c>
      <c r="I318" s="2177" t="s">
        <v>1542</v>
      </c>
      <c r="J318" s="1385"/>
      <c r="K318" s="1385">
        <f t="shared" si="51"/>
        <v>85500</v>
      </c>
      <c r="L318" s="1389"/>
      <c r="M318" s="1214"/>
      <c r="N318" s="1214"/>
      <c r="O318" s="1214"/>
      <c r="P318" s="1214"/>
      <c r="Q318" s="1214"/>
    </row>
    <row r="319" spans="1:21" s="1199" customFormat="1" ht="24" customHeight="1">
      <c r="A319" s="1331"/>
      <c r="B319" s="2174" t="s">
        <v>1543</v>
      </c>
      <c r="C319" s="1202"/>
      <c r="D319" s="1202"/>
      <c r="E319" s="1387">
        <v>4</v>
      </c>
      <c r="F319" s="1207" t="s">
        <v>363</v>
      </c>
      <c r="G319" s="2176">
        <v>9025</v>
      </c>
      <c r="H319" s="1388">
        <f t="shared" si="50"/>
        <v>36100</v>
      </c>
      <c r="I319" s="2177" t="s">
        <v>1542</v>
      </c>
      <c r="J319" s="1385"/>
      <c r="K319" s="1385">
        <f t="shared" si="51"/>
        <v>36100</v>
      </c>
      <c r="L319" s="1389"/>
      <c r="M319" s="1214"/>
      <c r="N319" s="1214"/>
      <c r="O319" s="1214"/>
      <c r="P319" s="1214"/>
      <c r="Q319" s="1214"/>
    </row>
    <row r="320" spans="1:21" s="1199" customFormat="1" ht="24" customHeight="1">
      <c r="A320" s="1331"/>
      <c r="B320" s="2174" t="s">
        <v>1544</v>
      </c>
      <c r="C320" s="1202"/>
      <c r="D320" s="1202"/>
      <c r="E320" s="1387">
        <v>4</v>
      </c>
      <c r="F320" s="1207" t="s">
        <v>363</v>
      </c>
      <c r="G320" s="2176">
        <v>1995</v>
      </c>
      <c r="H320" s="1388">
        <f t="shared" si="50"/>
        <v>7980</v>
      </c>
      <c r="I320" s="2177" t="s">
        <v>1542</v>
      </c>
      <c r="J320" s="1385"/>
      <c r="K320" s="1385">
        <f t="shared" si="51"/>
        <v>7980</v>
      </c>
      <c r="L320" s="1389"/>
      <c r="M320" s="1214"/>
      <c r="N320" s="1214"/>
      <c r="O320" s="1214"/>
      <c r="P320" s="1214"/>
      <c r="Q320" s="1214"/>
    </row>
    <row r="321" spans="1:21" s="1199" customFormat="1" ht="24" customHeight="1">
      <c r="A321" s="1331"/>
      <c r="B321" s="2174" t="s">
        <v>1545</v>
      </c>
      <c r="C321" s="1202"/>
      <c r="D321" s="1202"/>
      <c r="E321" s="1387">
        <v>4</v>
      </c>
      <c r="F321" s="1207" t="s">
        <v>363</v>
      </c>
      <c r="G321" s="2176">
        <v>427.5</v>
      </c>
      <c r="H321" s="1388">
        <f t="shared" si="50"/>
        <v>1710</v>
      </c>
      <c r="I321" s="2177" t="s">
        <v>1542</v>
      </c>
      <c r="J321" s="1385"/>
      <c r="K321" s="1385">
        <f t="shared" si="51"/>
        <v>1710</v>
      </c>
      <c r="L321" s="1389"/>
      <c r="M321" s="1214"/>
      <c r="N321" s="1214"/>
      <c r="O321" s="1214"/>
      <c r="P321" s="1214"/>
      <c r="Q321" s="1214"/>
    </row>
    <row r="322" spans="1:21" s="1199" customFormat="1" ht="24" customHeight="1">
      <c r="A322" s="1331"/>
      <c r="B322" s="2174" t="s">
        <v>1546</v>
      </c>
      <c r="C322" s="1202"/>
      <c r="D322" s="1202"/>
      <c r="E322" s="1404">
        <v>4</v>
      </c>
      <c r="F322" s="1207" t="s">
        <v>363</v>
      </c>
      <c r="G322" s="2176">
        <v>807.5</v>
      </c>
      <c r="H322" s="1388">
        <f t="shared" si="50"/>
        <v>3230</v>
      </c>
      <c r="I322" s="2177" t="s">
        <v>1542</v>
      </c>
      <c r="J322" s="1385"/>
      <c r="K322" s="1385">
        <f t="shared" si="51"/>
        <v>3230</v>
      </c>
      <c r="L322" s="1389"/>
      <c r="M322" s="1214"/>
      <c r="N322" s="1214"/>
      <c r="O322" s="1214"/>
      <c r="P322" s="1214"/>
      <c r="Q322" s="1214"/>
    </row>
    <row r="323" spans="1:21" s="1199" customFormat="1" ht="24" customHeight="1">
      <c r="A323" s="1406" t="s">
        <v>1556</v>
      </c>
      <c r="B323" s="2174" t="s">
        <v>1312</v>
      </c>
      <c r="C323" s="1202"/>
      <c r="D323" s="1202"/>
      <c r="E323" s="1404"/>
      <c r="F323" s="1384"/>
      <c r="G323" s="1399"/>
      <c r="H323" s="1388"/>
      <c r="I323" s="2177"/>
      <c r="J323" s="1385"/>
      <c r="K323" s="1385"/>
      <c r="L323" s="1389"/>
      <c r="M323" s="1214"/>
      <c r="N323" s="1214"/>
      <c r="O323" s="1214"/>
      <c r="P323" s="1214"/>
      <c r="Q323" s="1214"/>
    </row>
    <row r="324" spans="1:21" s="1199" customFormat="1" ht="24" customHeight="1">
      <c r="A324" s="1331"/>
      <c r="B324" s="2174" t="s">
        <v>1548</v>
      </c>
      <c r="C324" s="1202"/>
      <c r="D324" s="1202"/>
      <c r="E324" s="1404">
        <v>237.66666666666666</v>
      </c>
      <c r="F324" s="1358" t="s">
        <v>226</v>
      </c>
      <c r="G324" s="2176">
        <v>37</v>
      </c>
      <c r="H324" s="1388">
        <f>ROUND(E324*G324,)</f>
        <v>8794</v>
      </c>
      <c r="I324" s="2177">
        <v>5</v>
      </c>
      <c r="J324" s="1385">
        <f>ROUND(E324*I324,)</f>
        <v>1188</v>
      </c>
      <c r="K324" s="1385">
        <f>H324+J324</f>
        <v>9982</v>
      </c>
      <c r="L324" s="1389"/>
      <c r="M324" s="1214"/>
      <c r="N324" s="1214"/>
      <c r="O324" s="1214"/>
      <c r="P324" s="1214"/>
      <c r="Q324" s="1214"/>
    </row>
    <row r="325" spans="1:21" s="1199" customFormat="1" ht="24" customHeight="1">
      <c r="A325" s="1331"/>
      <c r="B325" s="2174" t="s">
        <v>1525</v>
      </c>
      <c r="C325" s="1202"/>
      <c r="D325" s="1202"/>
      <c r="E325" s="1404">
        <v>1</v>
      </c>
      <c r="F325" s="1384" t="s">
        <v>1104</v>
      </c>
      <c r="G325" s="2176">
        <f>ROUND(SUM(H324)*5%,)</f>
        <v>440</v>
      </c>
      <c r="H325" s="1264">
        <f>ROUND(E325*G325,)</f>
        <v>440</v>
      </c>
      <c r="I325" s="1265">
        <f>ROUND(G325*0.3,)</f>
        <v>132</v>
      </c>
      <c r="J325" s="1264">
        <f>ROUND(E325*I325,)</f>
        <v>132</v>
      </c>
      <c r="K325" s="1273">
        <f>H325+J325</f>
        <v>572</v>
      </c>
      <c r="L325" s="1389"/>
      <c r="M325" s="1214"/>
      <c r="N325" s="1214"/>
      <c r="O325" s="1214"/>
      <c r="P325" s="1214"/>
      <c r="Q325" s="1214"/>
    </row>
    <row r="326" spans="1:21" s="1199" customFormat="1" ht="24" customHeight="1">
      <c r="A326" s="1406" t="s">
        <v>1566</v>
      </c>
      <c r="B326" s="2174" t="s">
        <v>1526</v>
      </c>
      <c r="C326" s="1202"/>
      <c r="D326" s="1202"/>
      <c r="E326" s="1404"/>
      <c r="F326" s="1384"/>
      <c r="G326" s="2176"/>
      <c r="H326" s="1388"/>
      <c r="I326" s="2177"/>
      <c r="J326" s="1385"/>
      <c r="K326" s="1385"/>
      <c r="L326" s="1389"/>
      <c r="M326" s="1214"/>
      <c r="N326" s="1214"/>
      <c r="O326" s="1214"/>
      <c r="P326" s="1214"/>
      <c r="Q326" s="1214"/>
    </row>
    <row r="327" spans="1:21" s="1199" customFormat="1" ht="24" customHeight="1">
      <c r="A327" s="1331"/>
      <c r="B327" s="2174" t="s">
        <v>1350</v>
      </c>
      <c r="C327" s="1202"/>
      <c r="D327" s="1202"/>
      <c r="E327" s="1404">
        <v>237.66666666666666</v>
      </c>
      <c r="F327" s="1358" t="s">
        <v>226</v>
      </c>
      <c r="G327" s="2176">
        <v>27</v>
      </c>
      <c r="H327" s="1264">
        <f t="shared" ref="H327" si="52">ROUND(G327*E327,)</f>
        <v>6417</v>
      </c>
      <c r="I327" s="2177">
        <v>22</v>
      </c>
      <c r="J327" s="1264">
        <f t="shared" ref="J327" si="53">ROUND(E327*I327,)</f>
        <v>5229</v>
      </c>
      <c r="K327" s="1801">
        <f t="shared" ref="K327" si="54">H327+J327</f>
        <v>11646</v>
      </c>
      <c r="L327" s="2001" t="s">
        <v>2667</v>
      </c>
      <c r="M327" s="1214"/>
      <c r="N327" s="1199">
        <v>79.8</v>
      </c>
      <c r="O327" s="1199">
        <f>ROUND(N327/3,)</f>
        <v>27</v>
      </c>
      <c r="P327" s="1214"/>
      <c r="Q327" s="1214"/>
    </row>
    <row r="328" spans="1:21" s="1199" customFormat="1" ht="24" customHeight="1">
      <c r="A328" s="1331"/>
      <c r="B328" s="2174" t="s">
        <v>1384</v>
      </c>
      <c r="C328" s="1202"/>
      <c r="D328" s="1202"/>
      <c r="E328" s="1404">
        <v>1</v>
      </c>
      <c r="F328" s="1384" t="s">
        <v>1104</v>
      </c>
      <c r="G328" s="2176">
        <f>ROUND(H327*15%,)</f>
        <v>963</v>
      </c>
      <c r="H328" s="1264">
        <f>ROUND(G328*E328,)</f>
        <v>963</v>
      </c>
      <c r="I328" s="1265">
        <f>ROUND(G328*0.3,)</f>
        <v>289</v>
      </c>
      <c r="J328" s="1264">
        <f>ROUND(E328*I328,)</f>
        <v>289</v>
      </c>
      <c r="K328" s="1273">
        <f>H328+J328</f>
        <v>1252</v>
      </c>
      <c r="L328" s="1389"/>
      <c r="M328" s="1214"/>
      <c r="N328" s="1214"/>
      <c r="O328" s="1214"/>
      <c r="P328" s="1214"/>
      <c r="Q328" s="1214"/>
    </row>
    <row r="329" spans="1:21" s="1199" customFormat="1" ht="24" customHeight="1">
      <c r="A329" s="1480"/>
      <c r="B329" s="2174" t="s">
        <v>1117</v>
      </c>
      <c r="C329" s="1191"/>
      <c r="D329" s="1471"/>
      <c r="E329" s="1206"/>
      <c r="F329" s="1207"/>
      <c r="G329" s="2175"/>
      <c r="H329" s="1264"/>
      <c r="I329" s="1265"/>
      <c r="J329" s="1264"/>
      <c r="K329" s="1265"/>
      <c r="L329" s="1473"/>
      <c r="M329" s="1214"/>
      <c r="N329" s="1214"/>
      <c r="O329" s="1214"/>
      <c r="P329" s="1214"/>
      <c r="Q329" s="1214"/>
      <c r="R329" s="1214"/>
      <c r="S329" s="1214"/>
      <c r="T329" s="1214"/>
      <c r="U329" s="1214"/>
    </row>
    <row r="330" spans="1:21" s="1199" customFormat="1" ht="24" customHeight="1">
      <c r="A330" s="1243"/>
      <c r="B330" s="2257" t="str">
        <f>"รวมราคารายการที่ "&amp;A315</f>
        <v>รวมราคารายการที่ 3.10</v>
      </c>
      <c r="C330" s="2258"/>
      <c r="D330" s="2259"/>
      <c r="E330" s="1244"/>
      <c r="F330" s="1245"/>
      <c r="G330" s="1246"/>
      <c r="H330" s="1247">
        <f>SUM(H316:H329)</f>
        <v>244424</v>
      </c>
      <c r="I330" s="1246"/>
      <c r="J330" s="1247">
        <f>SUM(J316:J329)</f>
        <v>16838</v>
      </c>
      <c r="K330" s="1247">
        <f>SUM(K316:K329)</f>
        <v>261262</v>
      </c>
      <c r="L330" s="1245"/>
    </row>
    <row r="331" spans="1:21" s="1199" customFormat="1" ht="24" customHeight="1">
      <c r="A331" s="1435" t="s">
        <v>1570</v>
      </c>
      <c r="B331" s="1353" t="s">
        <v>1550</v>
      </c>
      <c r="C331" s="1452"/>
      <c r="D331" s="1452"/>
      <c r="E331" s="1453"/>
      <c r="F331" s="1454"/>
      <c r="G331" s="1455"/>
      <c r="H331" s="820"/>
      <c r="I331" s="1456"/>
      <c r="J331" s="1457"/>
      <c r="K331" s="1457"/>
      <c r="L331" s="1457"/>
      <c r="M331" s="1214"/>
      <c r="N331" s="1214"/>
      <c r="O331" s="1214"/>
      <c r="P331" s="1214"/>
    </row>
    <row r="332" spans="1:21" s="1199" customFormat="1" ht="24" customHeight="1">
      <c r="A332" s="1458" t="s">
        <v>1348</v>
      </c>
      <c r="B332" s="1220" t="s">
        <v>1551</v>
      </c>
      <c r="C332" s="1221"/>
      <c r="D332" s="1221"/>
      <c r="E332" s="1459"/>
      <c r="F332" s="1460"/>
      <c r="G332" s="1461"/>
      <c r="H332" s="1462"/>
      <c r="I332" s="1463"/>
      <c r="J332" s="1462"/>
      <c r="K332" s="1464"/>
      <c r="L332" s="1415"/>
      <c r="M332" s="1214"/>
      <c r="N332" s="1214"/>
      <c r="O332" s="1214"/>
      <c r="P332" s="1214"/>
    </row>
    <row r="333" spans="1:21" s="1199" customFormat="1" ht="24" customHeight="1">
      <c r="A333" s="1339"/>
      <c r="B333" s="1220" t="s">
        <v>2948</v>
      </c>
      <c r="C333" s="1221"/>
      <c r="D333" s="1221"/>
      <c r="E333" s="1404">
        <v>1</v>
      </c>
      <c r="F333" s="1223" t="s">
        <v>363</v>
      </c>
      <c r="G333" s="1386">
        <v>92400</v>
      </c>
      <c r="H333" s="1413">
        <f t="shared" ref="H333:H334" si="55">ROUND(E333*G333,)</f>
        <v>92400</v>
      </c>
      <c r="I333" s="1414">
        <f>G333*0.1</f>
        <v>9240</v>
      </c>
      <c r="J333" s="1415">
        <f>ROUND(E333*I333,)</f>
        <v>9240</v>
      </c>
      <c r="K333" s="1415">
        <f t="shared" ref="K333:K334" si="56">H333+J333</f>
        <v>101640</v>
      </c>
      <c r="L333" s="1415"/>
      <c r="M333" s="1214"/>
      <c r="N333" s="1214"/>
      <c r="O333" s="1214"/>
      <c r="P333" s="1214"/>
    </row>
    <row r="334" spans="1:21" s="1199" customFormat="1" ht="24" customHeight="1">
      <c r="A334" s="1339"/>
      <c r="B334" s="1220" t="s">
        <v>2949</v>
      </c>
      <c r="C334" s="1221"/>
      <c r="D334" s="1221"/>
      <c r="E334" s="1404">
        <v>1</v>
      </c>
      <c r="F334" s="1223" t="s">
        <v>363</v>
      </c>
      <c r="G334" s="1386">
        <v>92400</v>
      </c>
      <c r="H334" s="1413">
        <f t="shared" si="55"/>
        <v>92400</v>
      </c>
      <c r="I334" s="1414">
        <f>G334*0.1</f>
        <v>9240</v>
      </c>
      <c r="J334" s="1415">
        <f>ROUND(E334*I334,)</f>
        <v>9240</v>
      </c>
      <c r="K334" s="1415">
        <f t="shared" si="56"/>
        <v>101640</v>
      </c>
      <c r="L334" s="1415"/>
      <c r="M334" s="1214"/>
      <c r="N334" s="1214"/>
      <c r="O334" s="1214"/>
      <c r="P334" s="1214"/>
    </row>
    <row r="335" spans="1:21" s="1199" customFormat="1" ht="24" customHeight="1">
      <c r="A335" s="1458" t="s">
        <v>1349</v>
      </c>
      <c r="B335" s="1220" t="s">
        <v>1557</v>
      </c>
      <c r="C335" s="1221"/>
      <c r="D335" s="1221"/>
      <c r="E335" s="1459"/>
      <c r="F335" s="1460"/>
      <c r="G335" s="1461"/>
      <c r="H335" s="1462"/>
      <c r="I335" s="1463"/>
      <c r="J335" s="1462"/>
      <c r="K335" s="1464"/>
      <c r="L335" s="1415"/>
      <c r="M335" s="1214"/>
      <c r="N335" s="1214"/>
      <c r="O335" s="1214"/>
      <c r="P335" s="1214"/>
    </row>
    <row r="336" spans="1:21" s="1199" customFormat="1" ht="24" customHeight="1">
      <c r="A336" s="1339"/>
      <c r="B336" s="1220" t="s">
        <v>2950</v>
      </c>
      <c r="C336" s="1221"/>
      <c r="D336" s="1221"/>
      <c r="E336" s="1404">
        <v>1</v>
      </c>
      <c r="F336" s="1223" t="s">
        <v>363</v>
      </c>
      <c r="G336" s="1386">
        <v>3500</v>
      </c>
      <c r="H336" s="1413">
        <f t="shared" ref="H336:H337" si="57">ROUND(E336*G336,)</f>
        <v>3500</v>
      </c>
      <c r="I336" s="1414">
        <f t="shared" ref="I336:I337" si="58">G336*0.1</f>
        <v>350</v>
      </c>
      <c r="J336" s="1415">
        <f t="shared" ref="J336:J337" si="59">ROUND(E336*I336,)</f>
        <v>350</v>
      </c>
      <c r="K336" s="1415">
        <f t="shared" ref="K336:K337" si="60">H336+J336</f>
        <v>3850</v>
      </c>
      <c r="L336" s="1415"/>
      <c r="M336" s="1214"/>
      <c r="N336" s="1214"/>
      <c r="O336" s="1214"/>
      <c r="P336" s="1214"/>
    </row>
    <row r="337" spans="1:21" s="1199" customFormat="1" ht="24" customHeight="1">
      <c r="A337" s="1339"/>
      <c r="B337" s="1220" t="s">
        <v>2951</v>
      </c>
      <c r="C337" s="1221"/>
      <c r="D337" s="1221"/>
      <c r="E337" s="1404">
        <v>1</v>
      </c>
      <c r="F337" s="1223" t="s">
        <v>363</v>
      </c>
      <c r="G337" s="1386">
        <v>3500</v>
      </c>
      <c r="H337" s="1413">
        <f t="shared" si="57"/>
        <v>3500</v>
      </c>
      <c r="I337" s="1414">
        <f t="shared" si="58"/>
        <v>350</v>
      </c>
      <c r="J337" s="1415">
        <f t="shared" si="59"/>
        <v>350</v>
      </c>
      <c r="K337" s="1415">
        <f t="shared" si="60"/>
        <v>3850</v>
      </c>
      <c r="L337" s="1415"/>
      <c r="M337" s="1214"/>
      <c r="N337" s="1214"/>
      <c r="O337" s="1214"/>
      <c r="P337" s="1214"/>
    </row>
    <row r="338" spans="1:21" s="1199" customFormat="1" ht="24" customHeight="1">
      <c r="A338" s="1458" t="s">
        <v>1577</v>
      </c>
      <c r="B338" s="1465" t="s">
        <v>1312</v>
      </c>
      <c r="C338" s="1452"/>
      <c r="D338" s="1452"/>
      <c r="E338" s="1453"/>
      <c r="F338" s="1454"/>
      <c r="G338" s="1386"/>
      <c r="H338" s="1413"/>
      <c r="I338" s="1414"/>
      <c r="J338" s="1415"/>
      <c r="K338" s="1415"/>
      <c r="L338" s="1457"/>
      <c r="M338" s="1214"/>
      <c r="N338" s="1214"/>
      <c r="O338" s="1214"/>
      <c r="P338" s="1214"/>
    </row>
    <row r="339" spans="1:21" s="1199" customFormat="1" ht="24" customHeight="1">
      <c r="A339" s="1339"/>
      <c r="B339" s="1220" t="s">
        <v>1567</v>
      </c>
      <c r="C339" s="1221"/>
      <c r="D339" s="1221"/>
      <c r="E339" s="1404">
        <v>200</v>
      </c>
      <c r="F339" s="1262" t="s">
        <v>226</v>
      </c>
      <c r="G339" s="1386">
        <v>103</v>
      </c>
      <c r="H339" s="1413">
        <f>ROUND(E339*G339,)</f>
        <v>20600</v>
      </c>
      <c r="I339" s="1414">
        <v>21</v>
      </c>
      <c r="J339" s="1415">
        <f>ROUND(E339*I339,)</f>
        <v>4200</v>
      </c>
      <c r="K339" s="1415">
        <f>H339+J339</f>
        <v>24800</v>
      </c>
      <c r="L339" s="1415"/>
      <c r="M339" s="1214"/>
      <c r="N339" s="1214"/>
      <c r="O339" s="1214"/>
      <c r="P339" s="1214"/>
    </row>
    <row r="340" spans="1:21" s="1199" customFormat="1" ht="24" customHeight="1">
      <c r="A340" s="1339"/>
      <c r="B340" s="1220" t="s">
        <v>1568</v>
      </c>
      <c r="C340" s="1221"/>
      <c r="D340" s="1221"/>
      <c r="E340" s="1404">
        <v>120</v>
      </c>
      <c r="F340" s="1262" t="s">
        <v>226</v>
      </c>
      <c r="G340" s="1386">
        <v>139</v>
      </c>
      <c r="H340" s="1413">
        <f>ROUND(E340*G340,)</f>
        <v>16680</v>
      </c>
      <c r="I340" s="1414">
        <v>21</v>
      </c>
      <c r="J340" s="1415">
        <f>ROUND(E340*I340,)</f>
        <v>2520</v>
      </c>
      <c r="K340" s="1415">
        <f>H340+J340</f>
        <v>19200</v>
      </c>
      <c r="L340" s="1415"/>
      <c r="M340" s="1214"/>
      <c r="N340" s="1214"/>
      <c r="O340" s="1214"/>
      <c r="P340" s="1214"/>
    </row>
    <row r="341" spans="1:21" s="1199" customFormat="1" ht="24" customHeight="1">
      <c r="A341" s="1339"/>
      <c r="B341" s="1220" t="s">
        <v>1525</v>
      </c>
      <c r="C341" s="1221"/>
      <c r="D341" s="1221"/>
      <c r="E341" s="1404">
        <v>1</v>
      </c>
      <c r="F341" s="1412" t="s">
        <v>1104</v>
      </c>
      <c r="G341" s="1386">
        <f>SUM(H339:H340)*5%</f>
        <v>1864</v>
      </c>
      <c r="H341" s="1343">
        <f t="shared" ref="H341" si="61">ROUND(E341*G341,)</f>
        <v>1864</v>
      </c>
      <c r="I341" s="1414">
        <f>G341*0.3</f>
        <v>559.19999999999993</v>
      </c>
      <c r="J341" s="1343">
        <f t="shared" ref="J341" si="62">ROUND(E341*I341,)</f>
        <v>559</v>
      </c>
      <c r="K341" s="1262">
        <f t="shared" ref="K341" si="63">H341+J341</f>
        <v>2423</v>
      </c>
      <c r="L341" s="1415"/>
      <c r="M341" s="1214"/>
      <c r="N341" s="1214"/>
      <c r="O341" s="1214"/>
      <c r="P341" s="1214"/>
    </row>
    <row r="342" spans="1:21" s="1199" customFormat="1" ht="24" customHeight="1">
      <c r="A342" s="1339" t="s">
        <v>1359</v>
      </c>
      <c r="B342" s="1220" t="s">
        <v>1343</v>
      </c>
      <c r="C342" s="1221"/>
      <c r="D342" s="1221"/>
      <c r="E342" s="1404"/>
      <c r="F342" s="1412"/>
      <c r="G342" s="1386"/>
      <c r="H342" s="1343"/>
      <c r="I342" s="1414"/>
      <c r="J342" s="1343"/>
      <c r="K342" s="1262"/>
      <c r="L342" s="1466"/>
    </row>
    <row r="343" spans="1:21" s="1199" customFormat="1" ht="24" customHeight="1">
      <c r="A343" s="1339"/>
      <c r="B343" s="1220" t="s">
        <v>1344</v>
      </c>
      <c r="C343" s="1221"/>
      <c r="D343" s="1221"/>
      <c r="E343" s="1404">
        <v>40</v>
      </c>
      <c r="F343" s="1262" t="s">
        <v>226</v>
      </c>
      <c r="G343" s="1386">
        <v>316</v>
      </c>
      <c r="H343" s="1343">
        <f t="shared" ref="H343" si="64">ROUND(E343*G343,)</f>
        <v>12640</v>
      </c>
      <c r="I343" s="1414">
        <v>50</v>
      </c>
      <c r="J343" s="1343">
        <f t="shared" ref="J343:J344" si="65">ROUND(E343*I343,)</f>
        <v>2000</v>
      </c>
      <c r="K343" s="1262">
        <f t="shared" ref="K343:K344" si="66">H343+J343</f>
        <v>14640</v>
      </c>
      <c r="L343" s="1466"/>
    </row>
    <row r="344" spans="1:21" s="1199" customFormat="1" ht="24" customHeight="1">
      <c r="A344" s="1339"/>
      <c r="B344" s="1220" t="s">
        <v>1384</v>
      </c>
      <c r="C344" s="1221"/>
      <c r="D344" s="1221"/>
      <c r="E344" s="1404">
        <v>1</v>
      </c>
      <c r="F344" s="1412" t="s">
        <v>1104</v>
      </c>
      <c r="G344" s="1386">
        <f>SUM(H343)*15%</f>
        <v>1896</v>
      </c>
      <c r="H344" s="1343">
        <f t="shared" ref="H344" si="67">ROUND(G344*E344,)</f>
        <v>1896</v>
      </c>
      <c r="I344" s="1414">
        <f>G344*0.3</f>
        <v>568.79999999999995</v>
      </c>
      <c r="J344" s="1343">
        <f t="shared" si="65"/>
        <v>569</v>
      </c>
      <c r="K344" s="1262">
        <f t="shared" si="66"/>
        <v>2465</v>
      </c>
      <c r="L344" s="1466"/>
    </row>
    <row r="345" spans="1:21" s="1199" customFormat="1" ht="24" customHeight="1">
      <c r="A345" s="1339"/>
      <c r="B345" s="1220" t="s">
        <v>1117</v>
      </c>
      <c r="C345" s="1221"/>
      <c r="D345" s="1221"/>
      <c r="E345" s="1404"/>
      <c r="F345" s="1412"/>
      <c r="G345" s="1386"/>
      <c r="H345" s="1413"/>
      <c r="I345" s="1414"/>
      <c r="J345" s="1415"/>
      <c r="K345" s="1415"/>
      <c r="L345" s="1415"/>
      <c r="M345" s="1214"/>
      <c r="N345" s="1214"/>
      <c r="O345" s="1214"/>
      <c r="P345" s="1214"/>
    </row>
    <row r="346" spans="1:21" s="1199" customFormat="1" ht="24" customHeight="1">
      <c r="A346" s="1243"/>
      <c r="B346" s="2257" t="str">
        <f>"รวมราคารายการที่ "&amp;A331</f>
        <v>รวมราคารายการที่ 3.11</v>
      </c>
      <c r="C346" s="2258"/>
      <c r="D346" s="2259"/>
      <c r="E346" s="1244"/>
      <c r="F346" s="1245"/>
      <c r="G346" s="1246"/>
      <c r="H346" s="1247">
        <f>SUM(H331:H345)</f>
        <v>245480</v>
      </c>
      <c r="I346" s="1246"/>
      <c r="J346" s="1247">
        <f>SUM(J331:J345)</f>
        <v>29028</v>
      </c>
      <c r="K346" s="1247">
        <f>SUM(K331:K345)</f>
        <v>274508</v>
      </c>
      <c r="L346" s="1245"/>
    </row>
    <row r="347" spans="1:21" s="1199" customFormat="1" ht="24" customHeight="1">
      <c r="A347" s="1467" t="s">
        <v>2917</v>
      </c>
      <c r="B347" s="1292" t="s">
        <v>1571</v>
      </c>
      <c r="C347" s="1468"/>
      <c r="D347" s="1192"/>
      <c r="E347" s="1193"/>
      <c r="F347" s="1194"/>
      <c r="G347" s="1297"/>
      <c r="H347" s="1298"/>
      <c r="I347" s="1299"/>
      <c r="J347" s="1298"/>
      <c r="K347" s="1299"/>
      <c r="L347" s="1469"/>
      <c r="M347" s="1214"/>
      <c r="N347" s="1214"/>
      <c r="O347" s="1214"/>
      <c r="P347" s="1214"/>
      <c r="Q347" s="1214"/>
      <c r="R347" s="1214"/>
      <c r="S347" s="1214"/>
      <c r="T347" s="1214"/>
      <c r="U347" s="1214"/>
    </row>
    <row r="348" spans="1:21" s="1199" customFormat="1" ht="24" customHeight="1">
      <c r="A348" s="1470" t="s">
        <v>1352</v>
      </c>
      <c r="B348" s="2174" t="s">
        <v>1611</v>
      </c>
      <c r="C348" s="1191"/>
      <c r="D348" s="1471"/>
      <c r="E348" s="1472">
        <v>2</v>
      </c>
      <c r="F348" s="1267" t="s">
        <v>363</v>
      </c>
      <c r="G348" s="2178">
        <v>3200</v>
      </c>
      <c r="H348" s="1343">
        <f>ROUND(E348*G348,)</f>
        <v>6400</v>
      </c>
      <c r="I348" s="1344">
        <v>150</v>
      </c>
      <c r="J348" s="1343">
        <f>ROUND(I348*E348,)</f>
        <v>300</v>
      </c>
      <c r="K348" s="1344">
        <f>H348+J348</f>
        <v>6700</v>
      </c>
      <c r="L348" s="1473"/>
      <c r="M348" s="1214"/>
      <c r="N348" s="1214"/>
      <c r="O348" s="1214"/>
      <c r="P348" s="1214"/>
      <c r="Q348" s="1214"/>
      <c r="R348" s="1214"/>
      <c r="S348" s="1214"/>
      <c r="T348" s="1214"/>
      <c r="U348" s="1214"/>
    </row>
    <row r="349" spans="1:21" s="1199" customFormat="1" ht="24" customHeight="1">
      <c r="A349" s="1474" t="s">
        <v>1354</v>
      </c>
      <c r="B349" s="2174" t="s">
        <v>1612</v>
      </c>
      <c r="C349" s="1191"/>
      <c r="D349" s="1471"/>
      <c r="E349" s="1472">
        <v>2</v>
      </c>
      <c r="F349" s="1267" t="s">
        <v>363</v>
      </c>
      <c r="G349" s="2178">
        <v>2640</v>
      </c>
      <c r="H349" s="1343">
        <f>ROUND(E349*G349,)</f>
        <v>5280</v>
      </c>
      <c r="I349" s="1344">
        <v>150</v>
      </c>
      <c r="J349" s="1343">
        <f>ROUND(I349*E349,)</f>
        <v>300</v>
      </c>
      <c r="K349" s="1344">
        <f>H349+J349</f>
        <v>5580</v>
      </c>
      <c r="L349" s="1473"/>
      <c r="M349" s="1214"/>
      <c r="N349" s="1214"/>
      <c r="O349" s="1214"/>
      <c r="P349" s="1214"/>
      <c r="Q349" s="1214"/>
      <c r="R349" s="1214"/>
      <c r="S349" s="1214"/>
      <c r="T349" s="1214"/>
      <c r="U349" s="1214"/>
    </row>
    <row r="350" spans="1:21" s="1199" customFormat="1" ht="24" customHeight="1">
      <c r="A350" s="1474" t="s">
        <v>1357</v>
      </c>
      <c r="B350" s="2174" t="s">
        <v>1613</v>
      </c>
      <c r="C350" s="1191"/>
      <c r="D350" s="1471"/>
      <c r="E350" s="1206"/>
      <c r="F350" s="1207"/>
      <c r="G350" s="2175"/>
      <c r="H350" s="1264"/>
      <c r="I350" s="1265"/>
      <c r="J350" s="1264"/>
      <c r="K350" s="1265"/>
      <c r="L350" s="1473"/>
      <c r="M350" s="1214"/>
      <c r="N350" s="1214"/>
      <c r="O350" s="1214"/>
      <c r="P350" s="1214"/>
      <c r="Q350" s="1214"/>
      <c r="R350" s="1214"/>
      <c r="S350" s="1214"/>
      <c r="T350" s="1214"/>
      <c r="U350" s="1214"/>
    </row>
    <row r="351" spans="1:21" s="1199" customFormat="1" ht="24" customHeight="1">
      <c r="A351" s="1478"/>
      <c r="B351" s="1259" t="s">
        <v>1614</v>
      </c>
      <c r="C351" s="1191"/>
      <c r="D351" s="1471"/>
      <c r="E351" s="1206">
        <v>575</v>
      </c>
      <c r="F351" s="1207" t="s">
        <v>226</v>
      </c>
      <c r="G351" s="2178">
        <v>10</v>
      </c>
      <c r="H351" s="1264">
        <f>ROUND(E351*G351,)</f>
        <v>5750</v>
      </c>
      <c r="I351" s="1265">
        <v>5</v>
      </c>
      <c r="J351" s="1264">
        <f>ROUND(I351*E351,)</f>
        <v>2875</v>
      </c>
      <c r="K351" s="1265">
        <f>H351+J351</f>
        <v>8625</v>
      </c>
      <c r="L351" s="1473"/>
      <c r="M351" s="1214"/>
      <c r="N351" s="1214"/>
      <c r="O351" s="1214"/>
      <c r="P351" s="1214"/>
      <c r="Q351" s="1214"/>
      <c r="R351" s="1214"/>
      <c r="S351" s="1214"/>
      <c r="T351" s="1214"/>
      <c r="U351" s="1214"/>
    </row>
    <row r="352" spans="1:21" s="1199" customFormat="1" ht="24" customHeight="1">
      <c r="A352" s="1474" t="s">
        <v>2677</v>
      </c>
      <c r="B352" s="2174" t="s">
        <v>1526</v>
      </c>
      <c r="C352" s="1191"/>
      <c r="D352" s="1471"/>
      <c r="E352" s="1206"/>
      <c r="F352" s="1207"/>
      <c r="G352" s="2175"/>
      <c r="H352" s="1264"/>
      <c r="I352" s="1265"/>
      <c r="J352" s="1264"/>
      <c r="K352" s="1265"/>
      <c r="L352" s="1473"/>
      <c r="M352" s="1214"/>
      <c r="N352" s="1214"/>
      <c r="O352" s="1214"/>
      <c r="P352" s="1214"/>
      <c r="Q352" s="1214"/>
      <c r="R352" s="1214"/>
      <c r="S352" s="1214"/>
      <c r="T352" s="1214"/>
      <c r="U352" s="1214"/>
    </row>
    <row r="353" spans="1:21" s="1199" customFormat="1" ht="24" customHeight="1">
      <c r="A353" s="1479"/>
      <c r="B353" s="2174" t="s">
        <v>1350</v>
      </c>
      <c r="C353" s="1191"/>
      <c r="D353" s="1471"/>
      <c r="E353" s="1387"/>
      <c r="F353" s="1358" t="s">
        <v>226</v>
      </c>
      <c r="G353" s="2176">
        <v>27</v>
      </c>
      <c r="H353" s="1264">
        <f t="shared" ref="H353" si="68">ROUND(G353*E353,)</f>
        <v>0</v>
      </c>
      <c r="I353" s="2177">
        <v>22</v>
      </c>
      <c r="J353" s="1264">
        <f t="shared" ref="J353" si="69">ROUND(E353*I353,)</f>
        <v>0</v>
      </c>
      <c r="K353" s="1802">
        <f t="shared" ref="K353" si="70">H353+J353</f>
        <v>0</v>
      </c>
      <c r="L353" s="2001" t="s">
        <v>2667</v>
      </c>
      <c r="M353" s="1214"/>
      <c r="N353" s="1214"/>
      <c r="O353" s="1214"/>
      <c r="P353" s="1214"/>
      <c r="Q353" s="1214"/>
      <c r="R353" s="1214"/>
      <c r="S353" s="1214"/>
      <c r="T353" s="1214"/>
      <c r="U353" s="1214"/>
    </row>
    <row r="354" spans="1:21" s="1199" customFormat="1" ht="24" customHeight="1">
      <c r="A354" s="1474" t="s">
        <v>2679</v>
      </c>
      <c r="B354" s="2174" t="s">
        <v>1110</v>
      </c>
      <c r="C354" s="1191"/>
      <c r="D354" s="1471"/>
      <c r="E354" s="1206"/>
      <c r="F354" s="1207"/>
      <c r="G354" s="2175"/>
      <c r="H354" s="1264"/>
      <c r="I354" s="1265"/>
      <c r="J354" s="1264"/>
      <c r="K354" s="1265"/>
      <c r="L354" s="1473"/>
      <c r="M354" s="1214"/>
      <c r="N354" s="1214"/>
      <c r="O354" s="1214"/>
      <c r="P354" s="1214"/>
      <c r="Q354" s="1214"/>
      <c r="R354" s="1214"/>
      <c r="S354" s="1214"/>
      <c r="T354" s="1214"/>
      <c r="U354" s="1214"/>
    </row>
    <row r="355" spans="1:21" s="1199" customFormat="1" ht="24" customHeight="1">
      <c r="A355" s="1480"/>
      <c r="B355" s="2174" t="s">
        <v>1350</v>
      </c>
      <c r="C355" s="1191"/>
      <c r="D355" s="1471"/>
      <c r="E355" s="1387">
        <v>80</v>
      </c>
      <c r="F355" s="1358" t="s">
        <v>226</v>
      </c>
      <c r="G355" s="2176">
        <v>56</v>
      </c>
      <c r="H355" s="1264">
        <f>ROUND(E355*G355,)</f>
        <v>4480</v>
      </c>
      <c r="I355" s="2177">
        <v>26</v>
      </c>
      <c r="J355" s="1264">
        <f t="shared" ref="J355" si="71">ROUND(E355*I355,)</f>
        <v>2080</v>
      </c>
      <c r="K355" s="1801">
        <f t="shared" ref="K355" si="72">H355+J355</f>
        <v>6560</v>
      </c>
      <c r="L355" s="2001" t="s">
        <v>2667</v>
      </c>
      <c r="M355" s="1214"/>
      <c r="N355" s="1199">
        <v>169.2</v>
      </c>
      <c r="O355" s="1199">
        <f>ROUND(N355/3,)</f>
        <v>56</v>
      </c>
      <c r="P355" s="1214"/>
      <c r="Q355" s="1214"/>
      <c r="R355" s="1214"/>
      <c r="S355" s="1214"/>
      <c r="T355" s="1214"/>
      <c r="U355" s="1214"/>
    </row>
    <row r="356" spans="1:21" s="1199" customFormat="1" ht="24" customHeight="1">
      <c r="A356" s="1480"/>
      <c r="B356" s="2174" t="s">
        <v>1384</v>
      </c>
      <c r="C356" s="1191"/>
      <c r="D356" s="1471"/>
      <c r="E356" s="1206">
        <v>1</v>
      </c>
      <c r="F356" s="1207" t="s">
        <v>1104</v>
      </c>
      <c r="G356" s="2175">
        <f>ROUND(SUM(H353:H355)*15%,0)</f>
        <v>672</v>
      </c>
      <c r="H356" s="1264">
        <f>ROUND(E356*G356,)</f>
        <v>672</v>
      </c>
      <c r="I356" s="1265">
        <f>ROUND(G356*0.3,0)</f>
        <v>202</v>
      </c>
      <c r="J356" s="1264">
        <f>ROUND(I356*E356,)</f>
        <v>202</v>
      </c>
      <c r="K356" s="1265">
        <f>H356+I356</f>
        <v>874</v>
      </c>
      <c r="L356" s="1473"/>
      <c r="M356" s="1214"/>
      <c r="N356" s="1214"/>
      <c r="O356" s="1214"/>
      <c r="P356" s="1214"/>
      <c r="Q356" s="1214"/>
      <c r="R356" s="1214"/>
      <c r="S356" s="1214"/>
      <c r="T356" s="1214"/>
      <c r="U356" s="1214"/>
    </row>
    <row r="357" spans="1:21" s="1199" customFormat="1" ht="24" customHeight="1">
      <c r="A357" s="1474" t="s">
        <v>2918</v>
      </c>
      <c r="B357" s="2174" t="s">
        <v>1381</v>
      </c>
      <c r="C357" s="1191"/>
      <c r="D357" s="1471"/>
      <c r="E357" s="1206"/>
      <c r="F357" s="1207" t="s">
        <v>1104</v>
      </c>
      <c r="G357" s="2175"/>
      <c r="H357" s="1264"/>
      <c r="I357" s="1504"/>
      <c r="J357" s="1264"/>
      <c r="K357" s="1265"/>
      <c r="L357" s="1473"/>
      <c r="M357" s="1214"/>
      <c r="N357" s="1214"/>
      <c r="O357" s="1214"/>
      <c r="P357" s="1214"/>
      <c r="Q357" s="1214"/>
      <c r="R357" s="1214"/>
      <c r="S357" s="1214"/>
      <c r="T357" s="1214"/>
      <c r="U357" s="1214"/>
    </row>
    <row r="358" spans="1:21" s="1199" customFormat="1" ht="24" customHeight="1">
      <c r="A358" s="1480"/>
      <c r="B358" s="2174" t="s">
        <v>1117</v>
      </c>
      <c r="C358" s="1191"/>
      <c r="D358" s="1471"/>
      <c r="E358" s="1206"/>
      <c r="F358" s="1207"/>
      <c r="G358" s="2175"/>
      <c r="H358" s="1264"/>
      <c r="I358" s="1265"/>
      <c r="J358" s="1264"/>
      <c r="K358" s="1265"/>
      <c r="L358" s="1473"/>
      <c r="M358" s="1214"/>
      <c r="N358" s="1214"/>
      <c r="O358" s="1214"/>
      <c r="P358" s="1214"/>
      <c r="Q358" s="1214"/>
      <c r="R358" s="1214"/>
      <c r="S358" s="1214"/>
      <c r="T358" s="1214"/>
      <c r="U358" s="1214"/>
    </row>
    <row r="359" spans="1:21" s="1199" customFormat="1" ht="24" customHeight="1">
      <c r="A359" s="1331"/>
      <c r="B359" s="1220" t="s">
        <v>1118</v>
      </c>
      <c r="C359" s="1221"/>
      <c r="D359" s="1221"/>
      <c r="E359" s="1404"/>
      <c r="F359" s="1412"/>
      <c r="G359" s="1386"/>
      <c r="H359" s="1413"/>
      <c r="I359" s="1414"/>
      <c r="J359" s="1415"/>
      <c r="K359" s="1415"/>
      <c r="L359" s="1415"/>
      <c r="M359" s="1214"/>
      <c r="N359" s="1214"/>
      <c r="O359" s="1214"/>
      <c r="P359" s="1214"/>
    </row>
    <row r="360" spans="1:21" s="1199" customFormat="1" ht="24" customHeight="1">
      <c r="A360" s="1331"/>
      <c r="B360" s="1220" t="s">
        <v>1118</v>
      </c>
      <c r="C360" s="1221"/>
      <c r="D360" s="1221"/>
      <c r="E360" s="1404"/>
      <c r="F360" s="1412"/>
      <c r="G360" s="1386"/>
      <c r="H360" s="1413"/>
      <c r="I360" s="1414"/>
      <c r="J360" s="1415"/>
      <c r="K360" s="1415"/>
      <c r="L360" s="1415"/>
      <c r="M360" s="1214"/>
      <c r="N360" s="1214"/>
      <c r="O360" s="1214"/>
      <c r="P360" s="1214"/>
    </row>
    <row r="361" spans="1:21" s="1199" customFormat="1" ht="24" customHeight="1">
      <c r="A361" s="1331"/>
      <c r="B361" s="1505"/>
      <c r="C361" s="1221"/>
      <c r="D361" s="1221"/>
      <c r="E361" s="1404"/>
      <c r="F361" s="1412"/>
      <c r="G361" s="1386"/>
      <c r="H361" s="1413"/>
      <c r="I361" s="1414"/>
      <c r="J361" s="1415"/>
      <c r="K361" s="1415"/>
      <c r="L361" s="1415"/>
      <c r="M361" s="1214"/>
      <c r="N361" s="1214"/>
      <c r="O361" s="1214"/>
      <c r="P361" s="1214"/>
    </row>
    <row r="362" spans="1:21" s="1199" customFormat="1" ht="24" customHeight="1">
      <c r="A362" s="1331"/>
      <c r="B362" s="1505"/>
      <c r="C362" s="1221"/>
      <c r="D362" s="1221"/>
      <c r="E362" s="1404"/>
      <c r="F362" s="1412"/>
      <c r="G362" s="1386"/>
      <c r="H362" s="1413"/>
      <c r="I362" s="1414"/>
      <c r="J362" s="1415"/>
      <c r="K362" s="1415"/>
      <c r="L362" s="1415"/>
      <c r="M362" s="1214"/>
      <c r="N362" s="1214"/>
      <c r="O362" s="1214"/>
      <c r="P362" s="1214"/>
    </row>
    <row r="363" spans="1:21" s="1199" customFormat="1" ht="24" customHeight="1">
      <c r="A363" s="1331"/>
      <c r="B363" s="1505"/>
      <c r="C363" s="1221"/>
      <c r="D363" s="1221"/>
      <c r="E363" s="1404"/>
      <c r="F363" s="1412"/>
      <c r="G363" s="1386"/>
      <c r="H363" s="1413"/>
      <c r="I363" s="1414"/>
      <c r="J363" s="1415"/>
      <c r="K363" s="1415"/>
      <c r="L363" s="1415"/>
      <c r="M363" s="1214"/>
      <c r="N363" s="1214"/>
      <c r="O363" s="1214"/>
      <c r="P363" s="1214"/>
    </row>
    <row r="364" spans="1:21" s="1199" customFormat="1" ht="24" customHeight="1">
      <c r="A364" s="1331"/>
      <c r="B364" s="1505"/>
      <c r="C364" s="1221"/>
      <c r="D364" s="1221"/>
      <c r="E364" s="1404"/>
      <c r="F364" s="1412"/>
      <c r="G364" s="1386"/>
      <c r="H364" s="1413"/>
      <c r="I364" s="1414"/>
      <c r="J364" s="1415"/>
      <c r="K364" s="1415"/>
      <c r="L364" s="1415"/>
      <c r="M364" s="1214"/>
      <c r="N364" s="1214"/>
      <c r="O364" s="1214"/>
      <c r="P364" s="1214"/>
    </row>
    <row r="365" spans="1:21" s="1199" customFormat="1" ht="24" customHeight="1">
      <c r="A365" s="1331"/>
      <c r="B365" s="1505"/>
      <c r="C365" s="1221"/>
      <c r="D365" s="1221"/>
      <c r="E365" s="1404"/>
      <c r="F365" s="1412"/>
      <c r="G365" s="1386"/>
      <c r="H365" s="1413"/>
      <c r="I365" s="1414"/>
      <c r="J365" s="1415"/>
      <c r="K365" s="1415"/>
      <c r="L365" s="1415"/>
      <c r="M365" s="1214"/>
      <c r="N365" s="1214"/>
      <c r="O365" s="1214"/>
      <c r="P365" s="1214"/>
    </row>
    <row r="366" spans="1:21" s="1199" customFormat="1" ht="24" customHeight="1">
      <c r="A366" s="1331"/>
      <c r="B366" s="1505"/>
      <c r="C366" s="1221"/>
      <c r="D366" s="1221"/>
      <c r="E366" s="1404"/>
      <c r="F366" s="1412"/>
      <c r="G366" s="1386"/>
      <c r="H366" s="1413"/>
      <c r="I366" s="1414"/>
      <c r="J366" s="1415"/>
      <c r="K366" s="1415"/>
      <c r="L366" s="1415"/>
      <c r="M366" s="1214"/>
      <c r="N366" s="1214"/>
      <c r="O366" s="1214"/>
      <c r="P366" s="1214"/>
    </row>
    <row r="367" spans="1:21" s="1199" customFormat="1" ht="24" customHeight="1">
      <c r="A367" s="1331"/>
      <c r="B367" s="1505"/>
      <c r="C367" s="1221"/>
      <c r="D367" s="1221"/>
      <c r="E367" s="1404"/>
      <c r="F367" s="1412"/>
      <c r="G367" s="1386"/>
      <c r="H367" s="1413"/>
      <c r="I367" s="1414"/>
      <c r="J367" s="1415"/>
      <c r="K367" s="1415"/>
      <c r="L367" s="1415"/>
      <c r="M367" s="1214"/>
      <c r="N367" s="1214"/>
      <c r="O367" s="1214"/>
      <c r="P367" s="1214"/>
    </row>
    <row r="368" spans="1:21" s="1199" customFormat="1" ht="24" customHeight="1">
      <c r="A368" s="1331"/>
      <c r="B368" s="1505"/>
      <c r="C368" s="1221"/>
      <c r="D368" s="1221"/>
      <c r="E368" s="1404"/>
      <c r="F368" s="1412"/>
      <c r="G368" s="1386"/>
      <c r="H368" s="1413"/>
      <c r="I368" s="1414"/>
      <c r="J368" s="1415"/>
      <c r="K368" s="1415"/>
      <c r="L368" s="1415"/>
      <c r="M368" s="1214"/>
      <c r="N368" s="1214"/>
      <c r="O368" s="1214"/>
      <c r="P368" s="1214"/>
    </row>
    <row r="369" spans="1:21" s="1199" customFormat="1" ht="24" customHeight="1">
      <c r="A369" s="1331"/>
      <c r="B369" s="1416"/>
      <c r="C369" s="1202"/>
      <c r="D369" s="1202"/>
      <c r="E369" s="1387"/>
      <c r="F369" s="1384"/>
      <c r="G369" s="2176"/>
      <c r="H369" s="1388"/>
      <c r="I369" s="2177"/>
      <c r="J369" s="1385"/>
      <c r="K369" s="1385"/>
      <c r="L369" s="1385"/>
      <c r="M369" s="1214"/>
      <c r="N369" s="1214"/>
      <c r="O369" s="1214"/>
      <c r="P369" s="1214"/>
    </row>
    <row r="370" spans="1:21" s="1199" customFormat="1" ht="24" customHeight="1">
      <c r="A370" s="1245"/>
      <c r="B370" s="2257" t="str">
        <f>"รวมราคารายการที่ "&amp;A347</f>
        <v>รวมราคารายการที่ 3.12</v>
      </c>
      <c r="C370" s="2258"/>
      <c r="D370" s="2259"/>
      <c r="E370" s="1481"/>
      <c r="F370" s="1245"/>
      <c r="G370" s="1246"/>
      <c r="H370" s="1247">
        <f>SUM(H348:H358)</f>
        <v>22582</v>
      </c>
      <c r="I370" s="1246"/>
      <c r="J370" s="1247">
        <f t="shared" ref="J370:K370" si="73">SUM(J348:J358)</f>
        <v>5757</v>
      </c>
      <c r="K370" s="1247">
        <f t="shared" si="73"/>
        <v>28339</v>
      </c>
      <c r="L370" s="1245"/>
      <c r="M370" s="1214"/>
      <c r="N370" s="1214"/>
      <c r="O370" s="1214"/>
      <c r="P370" s="1214"/>
      <c r="Q370" s="1214"/>
      <c r="R370" s="1214"/>
      <c r="S370" s="1214"/>
      <c r="T370" s="1214"/>
      <c r="U370" s="1214"/>
    </row>
  </sheetData>
  <mergeCells count="21">
    <mergeCell ref="B209:D209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138:D138"/>
    <mergeCell ref="B154:D154"/>
    <mergeCell ref="B187:D187"/>
    <mergeCell ref="B370:D370"/>
    <mergeCell ref="B226:D226"/>
    <mergeCell ref="B256:D256"/>
    <mergeCell ref="B298:D298"/>
    <mergeCell ref="B314:D314"/>
    <mergeCell ref="B330:D330"/>
    <mergeCell ref="B346:D346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3-อาคารทิศตะวันตก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8688B-9C0F-49A3-A0B4-79EB36020A03}">
  <sheetPr>
    <tabColor rgb="FF92D050"/>
  </sheetPr>
  <dimension ref="A1:U346"/>
  <sheetViews>
    <sheetView view="pageBreakPreview" topLeftCell="A145" zoomScale="70" zoomScaleNormal="100" zoomScaleSheetLayoutView="70" workbookViewId="0">
      <selection activeCell="A152" sqref="A152:L158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703125" style="1" customWidth="1"/>
    <col min="13" max="94" width="7.703125" style="1" customWidth="1"/>
    <col min="95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1625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29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H82</f>
        <v>336940</v>
      </c>
      <c r="I12" s="1241"/>
      <c r="J12" s="1196">
        <f>J82</f>
        <v>24000</v>
      </c>
      <c r="K12" s="1196">
        <f>K82</f>
        <v>360940</v>
      </c>
      <c r="L12" s="1430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H91</f>
        <v>0</v>
      </c>
      <c r="I13" s="1241"/>
      <c r="J13" s="1196">
        <f>J91</f>
        <v>0</v>
      </c>
      <c r="K13" s="1196">
        <f>K91</f>
        <v>0</v>
      </c>
      <c r="L13" s="1430"/>
    </row>
    <row r="14" spans="1:12" s="1199" customFormat="1" ht="24" customHeight="1">
      <c r="A14" s="1204">
        <f>A92</f>
        <v>3.3</v>
      </c>
      <c r="B14" s="1431" t="str">
        <f>B92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H106</f>
        <v>0</v>
      </c>
      <c r="I14" s="1241"/>
      <c r="J14" s="1196">
        <f>J106</f>
        <v>0</v>
      </c>
      <c r="K14" s="1196">
        <f>K106</f>
        <v>0</v>
      </c>
      <c r="L14" s="1430"/>
    </row>
    <row r="15" spans="1:12" s="1199" customFormat="1" ht="24" customHeight="1">
      <c r="A15" s="1204">
        <f>A107</f>
        <v>3.4</v>
      </c>
      <c r="B15" s="1431" t="str">
        <f>B107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H138</f>
        <v>107342</v>
      </c>
      <c r="I15" s="1197"/>
      <c r="J15" s="1196">
        <f>J138</f>
        <v>49764</v>
      </c>
      <c r="K15" s="1196">
        <f t="shared" ref="K15:K21" si="0">SUM(H15:J15)</f>
        <v>157106</v>
      </c>
      <c r="L15" s="1430"/>
    </row>
    <row r="16" spans="1:12" s="1199" customFormat="1" ht="24" customHeight="1">
      <c r="A16" s="1204" t="str">
        <f>A139</f>
        <v>3.5</v>
      </c>
      <c r="B16" s="1431" t="str">
        <f>B139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H161</f>
        <v>76401</v>
      </c>
      <c r="I16" s="1197"/>
      <c r="J16" s="1196">
        <f>J161</f>
        <v>27881</v>
      </c>
      <c r="K16" s="1196">
        <f t="shared" si="0"/>
        <v>104282</v>
      </c>
      <c r="L16" s="1430"/>
    </row>
    <row r="17" spans="1:12" s="1199" customFormat="1" ht="24" customHeight="1">
      <c r="A17" s="1204" t="str">
        <f>A162</f>
        <v>3.6</v>
      </c>
      <c r="B17" s="1431" t="str">
        <f>B162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H178</f>
        <v>2376</v>
      </c>
      <c r="I17" s="1197"/>
      <c r="J17" s="1196">
        <f>J178</f>
        <v>1380</v>
      </c>
      <c r="K17" s="1196">
        <f t="shared" si="0"/>
        <v>3756</v>
      </c>
      <c r="L17" s="1430"/>
    </row>
    <row r="18" spans="1:12" s="1199" customFormat="1" ht="24" customHeight="1">
      <c r="A18" s="1204" t="str">
        <f>A179</f>
        <v>3.7</v>
      </c>
      <c r="B18" s="1431" t="str">
        <f>B179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H208</f>
        <v>14196</v>
      </c>
      <c r="I18" s="1197"/>
      <c r="J18" s="1196">
        <f>J208</f>
        <v>4043</v>
      </c>
      <c r="K18" s="1196">
        <f t="shared" si="0"/>
        <v>18239</v>
      </c>
      <c r="L18" s="1430"/>
    </row>
    <row r="19" spans="1:12" s="1199" customFormat="1" ht="24" customHeight="1">
      <c r="A19" s="1204">
        <f>A209</f>
        <v>3.8</v>
      </c>
      <c r="B19" s="1431" t="str">
        <f>B209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H250</f>
        <v>1641291</v>
      </c>
      <c r="I19" s="1197"/>
      <c r="J19" s="1196">
        <f>J250</f>
        <v>292413</v>
      </c>
      <c r="K19" s="1196">
        <f t="shared" si="0"/>
        <v>1933704</v>
      </c>
      <c r="L19" s="1430"/>
    </row>
    <row r="20" spans="1:12" s="1199" customFormat="1" ht="24" customHeight="1">
      <c r="A20" s="1204" t="str">
        <f>A251</f>
        <v>3.9</v>
      </c>
      <c r="B20" s="1431" t="str">
        <f>B251</f>
        <v>ระบบเสียงและประกาศเรียก (Public Address System)</v>
      </c>
      <c r="C20" s="1202"/>
      <c r="D20" s="1203"/>
      <c r="E20" s="1193">
        <v>1</v>
      </c>
      <c r="F20" s="1194" t="s">
        <v>19</v>
      </c>
      <c r="G20" s="1237"/>
      <c r="H20" s="1238">
        <f>H267</f>
        <v>101467</v>
      </c>
      <c r="I20" s="1239"/>
      <c r="J20" s="1238">
        <f>J267</f>
        <v>37871</v>
      </c>
      <c r="K20" s="1196">
        <f t="shared" si="0"/>
        <v>139338</v>
      </c>
      <c r="L20" s="1430"/>
    </row>
    <row r="21" spans="1:12" s="1199" customFormat="1" ht="24" customHeight="1">
      <c r="A21" s="1204" t="str">
        <f>A268</f>
        <v>3.10</v>
      </c>
      <c r="B21" s="1431" t="str">
        <f>B268</f>
        <v>ระบบควบคุมประตูอัตโนมัติ (Access Control System)</v>
      </c>
      <c r="C21" s="1202"/>
      <c r="D21" s="1203"/>
      <c r="E21" s="1193">
        <v>1</v>
      </c>
      <c r="F21" s="1194" t="s">
        <v>19</v>
      </c>
      <c r="G21" s="1195"/>
      <c r="H21" s="1196">
        <f>H291</f>
        <v>413624</v>
      </c>
      <c r="I21" s="1197"/>
      <c r="J21" s="1196">
        <f>J291</f>
        <v>18530</v>
      </c>
      <c r="K21" s="1196">
        <f t="shared" si="0"/>
        <v>432154</v>
      </c>
      <c r="L21" s="1430"/>
    </row>
    <row r="22" spans="1:12" s="1199" customFormat="1" ht="24" customHeight="1">
      <c r="A22" s="1204" t="str">
        <f>A292</f>
        <v>3.11</v>
      </c>
      <c r="B22" s="1431" t="str">
        <f>B292</f>
        <v>ระบบบริหารจัดการอาคาร (Building Management System : BMS)</v>
      </c>
      <c r="C22" s="1202"/>
      <c r="D22" s="1203"/>
      <c r="E22" s="1193">
        <v>1</v>
      </c>
      <c r="F22" s="1194" t="s">
        <v>19</v>
      </c>
      <c r="G22" s="1195"/>
      <c r="H22" s="1196">
        <f>H322</f>
        <v>697020</v>
      </c>
      <c r="I22" s="1241"/>
      <c r="J22" s="1196">
        <f t="shared" ref="J22:K22" si="1">J322</f>
        <v>67156</v>
      </c>
      <c r="K22" s="1196">
        <f t="shared" si="1"/>
        <v>764176</v>
      </c>
      <c r="L22" s="1430"/>
    </row>
    <row r="23" spans="1:12" s="1199" customFormat="1" ht="24" customHeight="1">
      <c r="A23" s="1204" t="str">
        <f>A323</f>
        <v>3.12</v>
      </c>
      <c r="B23" s="1431" t="str">
        <f>B323</f>
        <v>ระบบแจ้งเหตุฉุกเฉิน (Panic Alarm System)</v>
      </c>
      <c r="C23" s="1202"/>
      <c r="D23" s="1203"/>
      <c r="E23" s="1193">
        <v>1</v>
      </c>
      <c r="F23" s="1194" t="s">
        <v>19</v>
      </c>
      <c r="G23" s="1195"/>
      <c r="H23" s="1196">
        <f>H346</f>
        <v>22832</v>
      </c>
      <c r="I23" s="1241"/>
      <c r="J23" s="1196">
        <f t="shared" ref="J23:K23" si="2">J346</f>
        <v>5882</v>
      </c>
      <c r="K23" s="1196">
        <f t="shared" si="2"/>
        <v>28714</v>
      </c>
      <c r="L23" s="1430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195"/>
      <c r="H24" s="1196"/>
      <c r="I24" s="1241"/>
      <c r="J24" s="1229"/>
      <c r="K24" s="1242"/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4</v>
      </c>
      <c r="C34" s="2258"/>
      <c r="D34" s="2259"/>
      <c r="E34" s="1244"/>
      <c r="F34" s="1245"/>
      <c r="G34" s="1246"/>
      <c r="H34" s="1247">
        <f>SUM(H11:H33)</f>
        <v>3413489</v>
      </c>
      <c r="I34" s="1246"/>
      <c r="J34" s="1247">
        <f>SUM(J11:J33)</f>
        <v>528920</v>
      </c>
      <c r="K34" s="1247">
        <f>SUM(K11:K33)</f>
        <v>3942409</v>
      </c>
      <c r="L34" s="1245"/>
      <c r="M34" s="1214"/>
      <c r="N34" s="1214"/>
      <c r="O34" s="1214"/>
      <c r="P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1096</v>
      </c>
      <c r="B36" s="1362" t="s">
        <v>1235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3">ROUND(G38*E38,)</f>
        <v>0</v>
      </c>
      <c r="I38" s="1265"/>
      <c r="J38" s="1264"/>
      <c r="K38" s="1265">
        <f t="shared" ref="K38:K55" si="4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>
        <v>1</v>
      </c>
      <c r="F39" s="1207" t="s">
        <v>363</v>
      </c>
      <c r="G39" s="2175">
        <v>2400</v>
      </c>
      <c r="H39" s="1264">
        <f t="shared" si="3"/>
        <v>2400</v>
      </c>
      <c r="I39" s="1265"/>
      <c r="J39" s="1264"/>
      <c r="K39" s="1265">
        <f t="shared" si="4"/>
        <v>2400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/>
      <c r="F40" s="1207" t="s">
        <v>363</v>
      </c>
      <c r="G40" s="2175">
        <v>2400</v>
      </c>
      <c r="H40" s="1264">
        <f t="shared" si="3"/>
        <v>0</v>
      </c>
      <c r="I40" s="1265"/>
      <c r="J40" s="1264"/>
      <c r="K40" s="1265">
        <f t="shared" si="4"/>
        <v>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3"/>
        <v>0</v>
      </c>
      <c r="I41" s="1265"/>
      <c r="J41" s="1264"/>
      <c r="K41" s="1265">
        <f t="shared" si="4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3"/>
        <v>2400</v>
      </c>
      <c r="I42" s="1265"/>
      <c r="J42" s="1264"/>
      <c r="K42" s="1265">
        <f t="shared" si="4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3"/>
        <v>7200</v>
      </c>
      <c r="I43" s="1265"/>
      <c r="J43" s="1264"/>
      <c r="K43" s="1265">
        <f t="shared" si="4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3"/>
        <v>0</v>
      </c>
      <c r="I44" s="1265"/>
      <c r="J44" s="1264"/>
      <c r="K44" s="1265">
        <f t="shared" si="4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3"/>
        <v>0</v>
      </c>
      <c r="I45" s="1265"/>
      <c r="J45" s="1264"/>
      <c r="K45" s="1265">
        <f t="shared" si="4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3"/>
        <v>0</v>
      </c>
      <c r="I46" s="1265"/>
      <c r="J46" s="1264"/>
      <c r="K46" s="1265">
        <f t="shared" si="4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3"/>
        <v>0</v>
      </c>
      <c r="I47" s="1265"/>
      <c r="J47" s="1264"/>
      <c r="K47" s="1265">
        <f t="shared" si="4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/>
      <c r="F48" s="1207" t="s">
        <v>363</v>
      </c>
      <c r="G48" s="2175">
        <v>11500</v>
      </c>
      <c r="H48" s="1264">
        <f t="shared" si="3"/>
        <v>0</v>
      </c>
      <c r="I48" s="1265"/>
      <c r="J48" s="1264"/>
      <c r="K48" s="1265">
        <f t="shared" si="4"/>
        <v>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>
        <v>1</v>
      </c>
      <c r="F49" s="1207" t="s">
        <v>363</v>
      </c>
      <c r="G49" s="2175">
        <v>20200</v>
      </c>
      <c r="H49" s="1264">
        <f t="shared" si="3"/>
        <v>20200</v>
      </c>
      <c r="I49" s="1265"/>
      <c r="J49" s="1264"/>
      <c r="K49" s="1265">
        <f t="shared" si="4"/>
        <v>20200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3"/>
        <v>0</v>
      </c>
      <c r="I50" s="1265"/>
      <c r="J50" s="1264"/>
      <c r="K50" s="1265">
        <f t="shared" si="4"/>
        <v>0</v>
      </c>
      <c r="L50" s="1266"/>
    </row>
    <row r="51" spans="1:18" s="1199" customFormat="1" ht="24" customHeight="1">
      <c r="A51" s="1339"/>
      <c r="B51" s="1259" t="s">
        <v>1276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3"/>
        <v>1800</v>
      </c>
      <c r="I51" s="1265"/>
      <c r="J51" s="1264"/>
      <c r="K51" s="1265">
        <f t="shared" si="4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3"/>
        <v>360</v>
      </c>
      <c r="I52" s="1265"/>
      <c r="J52" s="1264"/>
      <c r="K52" s="1265">
        <f t="shared" si="4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3"/>
        <v>300</v>
      </c>
      <c r="I53" s="1265"/>
      <c r="J53" s="1264"/>
      <c r="K53" s="1265">
        <f t="shared" si="4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6</v>
      </c>
      <c r="F54" s="1207" t="s">
        <v>363</v>
      </c>
      <c r="G54" s="2175">
        <v>15435</v>
      </c>
      <c r="H54" s="1264">
        <f t="shared" si="3"/>
        <v>92610</v>
      </c>
      <c r="I54" s="1265"/>
      <c r="J54" s="1264"/>
      <c r="K54" s="1265">
        <f t="shared" si="4"/>
        <v>92610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40000</v>
      </c>
      <c r="H55" s="1264">
        <f t="shared" si="3"/>
        <v>40000</v>
      </c>
      <c r="I55" s="1265">
        <f>G55*0.3</f>
        <v>12000</v>
      </c>
      <c r="J55" s="1264">
        <f>ROUND(E55*I55,)</f>
        <v>12000</v>
      </c>
      <c r="K55" s="1265">
        <f t="shared" si="4"/>
        <v>52000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1246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5">ROUND(G61*E61,)</f>
        <v>0</v>
      </c>
      <c r="I61" s="1265"/>
      <c r="J61" s="1264"/>
      <c r="K61" s="1265">
        <f t="shared" ref="K61:K78" si="6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>
        <v>2</v>
      </c>
      <c r="F62" s="1207" t="s">
        <v>363</v>
      </c>
      <c r="G62" s="2175">
        <v>2400</v>
      </c>
      <c r="H62" s="1264">
        <f t="shared" si="5"/>
        <v>4800</v>
      </c>
      <c r="I62" s="1265"/>
      <c r="J62" s="1264"/>
      <c r="K62" s="1265">
        <f t="shared" si="6"/>
        <v>4800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>
        <v>1</v>
      </c>
      <c r="F63" s="1207" t="s">
        <v>363</v>
      </c>
      <c r="G63" s="2175">
        <v>2400</v>
      </c>
      <c r="H63" s="1264">
        <f t="shared" si="5"/>
        <v>2400</v>
      </c>
      <c r="I63" s="1265"/>
      <c r="J63" s="1264"/>
      <c r="K63" s="1265">
        <f t="shared" si="6"/>
        <v>2400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5"/>
        <v>0</v>
      </c>
      <c r="I64" s="1265"/>
      <c r="J64" s="1264"/>
      <c r="K64" s="1265">
        <f t="shared" si="6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2</v>
      </c>
      <c r="F65" s="1207" t="s">
        <v>363</v>
      </c>
      <c r="G65" s="2175">
        <v>2400</v>
      </c>
      <c r="H65" s="1264">
        <f t="shared" si="5"/>
        <v>4800</v>
      </c>
      <c r="I65" s="1265"/>
      <c r="J65" s="1264"/>
      <c r="K65" s="1265">
        <f t="shared" si="6"/>
        <v>4800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1</v>
      </c>
      <c r="F66" s="1207" t="s">
        <v>363</v>
      </c>
      <c r="G66" s="2175">
        <v>2400</v>
      </c>
      <c r="H66" s="1264">
        <f t="shared" si="5"/>
        <v>2400</v>
      </c>
      <c r="I66" s="1265"/>
      <c r="J66" s="1264"/>
      <c r="K66" s="1265">
        <f t="shared" si="6"/>
        <v>2400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5"/>
        <v>0</v>
      </c>
      <c r="I67" s="1265"/>
      <c r="J67" s="1264"/>
      <c r="K67" s="1265">
        <f t="shared" si="6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5700</v>
      </c>
      <c r="H68" s="1264">
        <f t="shared" si="5"/>
        <v>0</v>
      </c>
      <c r="I68" s="1265"/>
      <c r="J68" s="1264"/>
      <c r="K68" s="1265">
        <f t="shared" si="6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5700</v>
      </c>
      <c r="H69" s="1264">
        <f t="shared" si="5"/>
        <v>0</v>
      </c>
      <c r="I69" s="1265"/>
      <c r="J69" s="1264"/>
      <c r="K69" s="1265">
        <f t="shared" si="6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5"/>
        <v>0</v>
      </c>
      <c r="I70" s="1265"/>
      <c r="J70" s="1264"/>
      <c r="K70" s="1265">
        <f t="shared" si="6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/>
      <c r="F71" s="1207" t="s">
        <v>363</v>
      </c>
      <c r="G71" s="2175">
        <v>11500</v>
      </c>
      <c r="H71" s="1264">
        <f t="shared" si="5"/>
        <v>0</v>
      </c>
      <c r="I71" s="1265"/>
      <c r="J71" s="1264"/>
      <c r="K71" s="1265">
        <f t="shared" si="6"/>
        <v>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>
        <v>1</v>
      </c>
      <c r="F72" s="1207" t="s">
        <v>363</v>
      </c>
      <c r="G72" s="2175">
        <v>20200</v>
      </c>
      <c r="H72" s="1264">
        <f t="shared" si="5"/>
        <v>20200</v>
      </c>
      <c r="I72" s="1265"/>
      <c r="J72" s="1264"/>
      <c r="K72" s="1265">
        <f t="shared" si="6"/>
        <v>20200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5"/>
        <v>0</v>
      </c>
      <c r="I73" s="1265"/>
      <c r="J73" s="1264"/>
      <c r="K73" s="1265">
        <f t="shared" si="6"/>
        <v>0</v>
      </c>
      <c r="L73" s="1266"/>
    </row>
    <row r="74" spans="1:17" s="1199" customFormat="1" ht="24" customHeight="1">
      <c r="A74" s="1339"/>
      <c r="B74" s="1259" t="s">
        <v>1276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5"/>
        <v>1800</v>
      </c>
      <c r="I74" s="1265"/>
      <c r="J74" s="1264"/>
      <c r="K74" s="1265">
        <f t="shared" si="6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5"/>
        <v>360</v>
      </c>
      <c r="I75" s="1265"/>
      <c r="J75" s="1264"/>
      <c r="K75" s="1265">
        <f t="shared" si="6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5"/>
        <v>300</v>
      </c>
      <c r="I76" s="1265"/>
      <c r="J76" s="1264"/>
      <c r="K76" s="1265">
        <f t="shared" si="6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6</v>
      </c>
      <c r="F77" s="1207" t="s">
        <v>363</v>
      </c>
      <c r="G77" s="2175">
        <v>15435</v>
      </c>
      <c r="H77" s="1264">
        <f t="shared" si="5"/>
        <v>92610</v>
      </c>
      <c r="I77" s="1265"/>
      <c r="J77" s="1264"/>
      <c r="K77" s="1265">
        <f t="shared" si="6"/>
        <v>92610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40000</v>
      </c>
      <c r="H78" s="1264">
        <f t="shared" si="5"/>
        <v>40000</v>
      </c>
      <c r="I78" s="1265">
        <f>G78*0.3</f>
        <v>12000</v>
      </c>
      <c r="J78" s="1264">
        <f>ROUND(E78*I78,)</f>
        <v>12000</v>
      </c>
      <c r="K78" s="1265">
        <f t="shared" si="6"/>
        <v>52000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7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7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336940</v>
      </c>
      <c r="I82" s="1246"/>
      <c r="J82" s="1247">
        <f>SUM(J35:J81)</f>
        <v>24000</v>
      </c>
      <c r="K82" s="1247">
        <f>SUM(K35:K81)</f>
        <v>360940</v>
      </c>
      <c r="L82" s="1245"/>
      <c r="M82" s="1214"/>
      <c r="N82" s="1214"/>
      <c r="O82" s="1214"/>
      <c r="P82" s="1214"/>
      <c r="Q82" s="1214"/>
    </row>
    <row r="83" spans="1:17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7" s="1199" customFormat="1" ht="24" customHeight="1">
      <c r="A84" s="1189"/>
      <c r="B84" s="1451" t="s">
        <v>1118</v>
      </c>
      <c r="C84" s="1202"/>
      <c r="D84" s="1202"/>
      <c r="E84" s="1387"/>
      <c r="F84" s="1207" t="s">
        <v>363</v>
      </c>
      <c r="G84" s="2176"/>
      <c r="H84" s="1264">
        <f>ROUND(E84*G84,)</f>
        <v>0</v>
      </c>
      <c r="I84" s="2177">
        <f>G84*0.05</f>
        <v>0</v>
      </c>
      <c r="J84" s="1264">
        <f>ROUND(E84*I84,)</f>
        <v>0</v>
      </c>
      <c r="K84" s="1273">
        <f>H84+J84</f>
        <v>0</v>
      </c>
      <c r="L84" s="1385"/>
      <c r="M84" s="1214"/>
      <c r="N84" s="1214"/>
      <c r="O84" s="1214"/>
      <c r="P84" s="1214"/>
    </row>
    <row r="85" spans="1:17" s="1199" customFormat="1" ht="24" customHeight="1">
      <c r="A85" s="1189"/>
      <c r="B85" s="1451" t="s">
        <v>1118</v>
      </c>
      <c r="C85" s="1202"/>
      <c r="D85" s="1202"/>
      <c r="E85" s="1387"/>
      <c r="F85" s="1207" t="s">
        <v>363</v>
      </c>
      <c r="G85" s="2176"/>
      <c r="H85" s="1264">
        <f>ROUND(E85*G85,)</f>
        <v>0</v>
      </c>
      <c r="I85" s="2177">
        <f>G85*0.05</f>
        <v>0</v>
      </c>
      <c r="J85" s="1264">
        <f>ROUND(E85*I85,)</f>
        <v>0</v>
      </c>
      <c r="K85" s="1273">
        <f>H85+J85</f>
        <v>0</v>
      </c>
      <c r="L85" s="1385"/>
      <c r="M85" s="1214"/>
      <c r="N85" s="1214"/>
      <c r="O85" s="1214"/>
      <c r="P85" s="1214"/>
    </row>
    <row r="86" spans="1:17" s="1199" customFormat="1" ht="24" customHeight="1">
      <c r="A86" s="1189"/>
      <c r="B86" s="1451" t="s">
        <v>1118</v>
      </c>
      <c r="C86" s="1202"/>
      <c r="D86" s="1202"/>
      <c r="E86" s="1387"/>
      <c r="F86" s="1207" t="s">
        <v>363</v>
      </c>
      <c r="G86" s="2176"/>
      <c r="H86" s="1264">
        <f>ROUND(E86*G86,)</f>
        <v>0</v>
      </c>
      <c r="I86" s="2177">
        <f>G86*0.05</f>
        <v>0</v>
      </c>
      <c r="J86" s="1264">
        <f>ROUND(E86*I86,)</f>
        <v>0</v>
      </c>
      <c r="K86" s="1273">
        <f>H86+J86</f>
        <v>0</v>
      </c>
      <c r="L86" s="1385"/>
      <c r="M86" s="1214"/>
      <c r="N86" s="1214"/>
      <c r="O86" s="1214"/>
      <c r="P86" s="1214"/>
    </row>
    <row r="87" spans="1:17" s="1199" customFormat="1" ht="24" customHeight="1">
      <c r="A87" s="1331"/>
      <c r="B87" s="1190" t="s">
        <v>1117</v>
      </c>
      <c r="C87" s="1275"/>
      <c r="D87" s="1275"/>
      <c r="E87" s="2145"/>
      <c r="F87" s="1358"/>
      <c r="G87" s="2175"/>
      <c r="H87" s="1264"/>
      <c r="I87" s="1265"/>
      <c r="J87" s="1264"/>
      <c r="K87" s="1299"/>
      <c r="L87" s="1432"/>
    </row>
    <row r="88" spans="1:17" s="1199" customFormat="1" ht="24" customHeight="1">
      <c r="A88" s="1331"/>
      <c r="B88" s="1190" t="s">
        <v>1118</v>
      </c>
      <c r="C88" s="1275"/>
      <c r="D88" s="1275"/>
      <c r="E88" s="2145"/>
      <c r="F88" s="1358"/>
      <c r="G88" s="2175"/>
      <c r="H88" s="1264"/>
      <c r="I88" s="1265"/>
      <c r="J88" s="1264"/>
      <c r="K88" s="1299"/>
      <c r="L88" s="1432"/>
    </row>
    <row r="89" spans="1:17" s="1199" customFormat="1" ht="24" customHeight="1">
      <c r="A89" s="1331"/>
      <c r="B89" s="1190" t="s">
        <v>1118</v>
      </c>
      <c r="C89" s="1275"/>
      <c r="D89" s="1275"/>
      <c r="E89" s="2145"/>
      <c r="F89" s="1358"/>
      <c r="G89" s="2175"/>
      <c r="H89" s="1264"/>
      <c r="I89" s="1265"/>
      <c r="J89" s="1264"/>
      <c r="K89" s="1299"/>
      <c r="L89" s="1432"/>
    </row>
    <row r="90" spans="1:17" s="1199" customFormat="1" ht="24" customHeight="1">
      <c r="A90" s="1189"/>
      <c r="B90" s="1650"/>
      <c r="C90" s="1275"/>
      <c r="D90" s="1275"/>
      <c r="E90" s="2145"/>
      <c r="F90" s="1358"/>
      <c r="G90" s="2175"/>
      <c r="H90" s="1264"/>
      <c r="I90" s="1265"/>
      <c r="J90" s="1264"/>
      <c r="K90" s="1299"/>
      <c r="L90" s="1432"/>
    </row>
    <row r="91" spans="1:17" s="1199" customFormat="1" ht="24" customHeight="1">
      <c r="A91" s="1243"/>
      <c r="B91" s="2257" t="str">
        <f>"รวมราคารายการที่ "&amp;A83</f>
        <v>รวมราคารายการที่ 3.2</v>
      </c>
      <c r="C91" s="2258"/>
      <c r="D91" s="2259"/>
      <c r="E91" s="1244"/>
      <c r="F91" s="1245"/>
      <c r="G91" s="1246"/>
      <c r="H91" s="1247">
        <f>SUM(H83:H90)</f>
        <v>0</v>
      </c>
      <c r="I91" s="1246"/>
      <c r="J91" s="1247">
        <f>SUM(J83:J90)</f>
        <v>0</v>
      </c>
      <c r="K91" s="1247">
        <f>SUM(K83:K90)</f>
        <v>0</v>
      </c>
      <c r="L91" s="1245"/>
      <c r="M91" s="1214"/>
      <c r="N91" s="1214"/>
      <c r="O91" s="1214"/>
      <c r="P91" s="1214"/>
      <c r="Q91" s="1214"/>
    </row>
    <row r="92" spans="1:17" s="1199" customFormat="1" ht="24" customHeight="1">
      <c r="A92" s="1381">
        <v>3.3</v>
      </c>
      <c r="B92" s="1292" t="s">
        <v>1427</v>
      </c>
      <c r="C92" s="1294"/>
      <c r="D92" s="1294"/>
      <c r="E92" s="1295"/>
      <c r="F92" s="1296"/>
      <c r="G92" s="1297"/>
      <c r="H92" s="1298"/>
      <c r="I92" s="1299"/>
      <c r="J92" s="1298"/>
      <c r="K92" s="1299"/>
      <c r="L92" s="1432"/>
    </row>
    <row r="93" spans="1:17" s="1199" customFormat="1" ht="24" customHeight="1">
      <c r="A93" s="1331" t="s">
        <v>1128</v>
      </c>
      <c r="B93" s="1190" t="s">
        <v>2892</v>
      </c>
      <c r="C93" s="1275"/>
      <c r="D93" s="1275"/>
      <c r="E93" s="1276"/>
      <c r="F93" s="1358"/>
      <c r="G93" s="2175"/>
      <c r="H93" s="1264"/>
      <c r="I93" s="1265"/>
      <c r="J93" s="1264"/>
      <c r="K93" s="1299"/>
      <c r="L93" s="1432"/>
    </row>
    <row r="94" spans="1:17" s="1199" customFormat="1" ht="24" customHeight="1">
      <c r="A94" s="1331"/>
      <c r="B94" s="1190" t="s">
        <v>2893</v>
      </c>
      <c r="C94" s="1275"/>
      <c r="D94" s="1275"/>
      <c r="E94" s="1276"/>
      <c r="F94" s="1194" t="s">
        <v>363</v>
      </c>
      <c r="G94" s="2175">
        <v>6800</v>
      </c>
      <c r="H94" s="1264">
        <f>ROUND(E94*G94,)</f>
        <v>0</v>
      </c>
      <c r="I94" s="1265">
        <v>1500</v>
      </c>
      <c r="J94" s="1264">
        <f>ROUND(E94*I94,)</f>
        <v>0</v>
      </c>
      <c r="K94" s="1299">
        <f>H94+J94</f>
        <v>0</v>
      </c>
      <c r="L94" s="1432"/>
    </row>
    <row r="95" spans="1:17" s="1199" customFormat="1" ht="24" customHeight="1">
      <c r="A95" s="1331"/>
      <c r="B95" s="1190" t="s">
        <v>2894</v>
      </c>
      <c r="C95" s="1275"/>
      <c r="D95" s="1275"/>
      <c r="E95" s="1276"/>
      <c r="F95" s="1194" t="s">
        <v>363</v>
      </c>
      <c r="G95" s="2175">
        <v>2400</v>
      </c>
      <c r="H95" s="1264"/>
      <c r="I95" s="1265"/>
      <c r="J95" s="1264"/>
      <c r="K95" s="1299"/>
      <c r="L95" s="1432"/>
    </row>
    <row r="96" spans="1:17" s="1199" customFormat="1" ht="24" customHeight="1">
      <c r="A96" s="1331"/>
      <c r="B96" s="1190" t="s">
        <v>2895</v>
      </c>
      <c r="C96" s="1275"/>
      <c r="D96" s="1275"/>
      <c r="E96" s="1276"/>
      <c r="F96" s="1194" t="s">
        <v>363</v>
      </c>
      <c r="G96" s="2175">
        <v>138</v>
      </c>
      <c r="H96" s="1264">
        <f>ROUND(E96*G96,)</f>
        <v>0</v>
      </c>
      <c r="I96" s="1265"/>
      <c r="J96" s="1264">
        <f>ROUND(E96*I96,)</f>
        <v>0</v>
      </c>
      <c r="K96" s="1299">
        <f>H96+J96</f>
        <v>0</v>
      </c>
      <c r="L96" s="1432"/>
    </row>
    <row r="97" spans="1:16" s="1199" customFormat="1" ht="24" customHeight="1">
      <c r="A97" s="1331"/>
      <c r="B97" s="1190" t="s">
        <v>1432</v>
      </c>
      <c r="C97" s="1275"/>
      <c r="D97" s="1275"/>
      <c r="E97" s="1276"/>
      <c r="F97" s="1194" t="s">
        <v>363</v>
      </c>
      <c r="G97" s="2175">
        <v>138</v>
      </c>
      <c r="H97" s="1264">
        <f t="shared" ref="H97:H98" si="7">ROUND(E97*G97,)</f>
        <v>0</v>
      </c>
      <c r="I97" s="1265"/>
      <c r="J97" s="1264">
        <f t="shared" ref="J97:J98" si="8">ROUND(E97*I97,)</f>
        <v>0</v>
      </c>
      <c r="K97" s="1299">
        <f t="shared" ref="K97:K98" si="9">H97+J97</f>
        <v>0</v>
      </c>
      <c r="L97" s="1432"/>
    </row>
    <row r="98" spans="1:16" s="1199" customFormat="1" ht="24" customHeight="1">
      <c r="A98" s="1331"/>
      <c r="B98" s="1190" t="s">
        <v>2896</v>
      </c>
      <c r="C98" s="1275"/>
      <c r="D98" s="1275"/>
      <c r="E98" s="1276"/>
      <c r="F98" s="1194" t="s">
        <v>363</v>
      </c>
      <c r="G98" s="2175">
        <v>619</v>
      </c>
      <c r="H98" s="1264">
        <f t="shared" si="7"/>
        <v>0</v>
      </c>
      <c r="I98" s="1265"/>
      <c r="J98" s="1264">
        <f t="shared" si="8"/>
        <v>0</v>
      </c>
      <c r="K98" s="1299">
        <f t="shared" si="9"/>
        <v>0</v>
      </c>
      <c r="L98" s="1432"/>
    </row>
    <row r="99" spans="1:16" s="1199" customFormat="1" ht="24" customHeight="1">
      <c r="A99" s="1331"/>
      <c r="B99" s="1190" t="s">
        <v>1117</v>
      </c>
      <c r="C99" s="1275"/>
      <c r="D99" s="1275"/>
      <c r="E99" s="2145"/>
      <c r="F99" s="1358"/>
      <c r="G99" s="2175"/>
      <c r="H99" s="1264"/>
      <c r="I99" s="1265"/>
      <c r="J99" s="1264"/>
      <c r="K99" s="1299"/>
      <c r="L99" s="1432"/>
    </row>
    <row r="100" spans="1:16" s="1199" customFormat="1" ht="24" customHeight="1">
      <c r="A100" s="1331"/>
      <c r="B100" s="1190" t="s">
        <v>1118</v>
      </c>
      <c r="C100" s="1275"/>
      <c r="D100" s="1275"/>
      <c r="E100" s="2145"/>
      <c r="F100" s="1358"/>
      <c r="G100" s="2175"/>
      <c r="H100" s="1264"/>
      <c r="I100" s="1265"/>
      <c r="J100" s="1264"/>
      <c r="K100" s="1299"/>
      <c r="L100" s="1432"/>
    </row>
    <row r="101" spans="1:16" s="1199" customFormat="1" ht="24" customHeight="1">
      <c r="A101" s="1331"/>
      <c r="B101" s="1190" t="s">
        <v>1118</v>
      </c>
      <c r="C101" s="1275"/>
      <c r="D101" s="1275"/>
      <c r="E101" s="2145"/>
      <c r="F101" s="1358"/>
      <c r="G101" s="2175"/>
      <c r="H101" s="1264"/>
      <c r="I101" s="1265"/>
      <c r="J101" s="1264"/>
      <c r="K101" s="1299"/>
      <c r="L101" s="1432"/>
    </row>
    <row r="102" spans="1:16" s="1199" customFormat="1" ht="24" customHeight="1">
      <c r="A102" s="1331"/>
      <c r="B102" s="1190"/>
      <c r="C102" s="1275"/>
      <c r="D102" s="1275"/>
      <c r="E102" s="2145"/>
      <c r="F102" s="1358"/>
      <c r="G102" s="2175"/>
      <c r="H102" s="1264"/>
      <c r="I102" s="1265"/>
      <c r="J102" s="1264"/>
      <c r="K102" s="1299"/>
      <c r="L102" s="1432"/>
    </row>
    <row r="103" spans="1:16" s="1199" customFormat="1" ht="24" customHeight="1">
      <c r="A103" s="1331"/>
      <c r="B103" s="1190"/>
      <c r="C103" s="1275"/>
      <c r="D103" s="1275"/>
      <c r="E103" s="2145"/>
      <c r="F103" s="1358"/>
      <c r="G103" s="2175"/>
      <c r="H103" s="1264"/>
      <c r="I103" s="1265"/>
      <c r="J103" s="1264"/>
      <c r="K103" s="1299"/>
      <c r="L103" s="1432"/>
    </row>
    <row r="104" spans="1:16" s="1199" customFormat="1" ht="24" customHeight="1">
      <c r="A104" s="1331"/>
      <c r="B104" s="1190"/>
      <c r="C104" s="1275"/>
      <c r="D104" s="1275"/>
      <c r="E104" s="2145"/>
      <c r="F104" s="1358"/>
      <c r="G104" s="2175"/>
      <c r="H104" s="1264"/>
      <c r="I104" s="1265"/>
      <c r="J104" s="1264"/>
      <c r="K104" s="1299"/>
      <c r="L104" s="1432"/>
    </row>
    <row r="105" spans="1:16" s="1199" customFormat="1" ht="24" customHeight="1">
      <c r="A105" s="1189"/>
      <c r="B105" s="1650"/>
      <c r="C105" s="1275"/>
      <c r="D105" s="1275"/>
      <c r="E105" s="2145"/>
      <c r="F105" s="1358"/>
      <c r="G105" s="2175"/>
      <c r="H105" s="1264"/>
      <c r="I105" s="1265"/>
      <c r="J105" s="1264"/>
      <c r="K105" s="1299"/>
      <c r="L105" s="1432"/>
    </row>
    <row r="106" spans="1:16" s="1199" customFormat="1" ht="24" customHeight="1">
      <c r="A106" s="1243"/>
      <c r="B106" s="2257" t="str">
        <f>"รวมราคารายการที่ "&amp;A92</f>
        <v>รวมราคารายการที่ 3.3</v>
      </c>
      <c r="C106" s="2258"/>
      <c r="D106" s="2259"/>
      <c r="E106" s="1244"/>
      <c r="F106" s="1245"/>
      <c r="G106" s="1246"/>
      <c r="H106" s="1247">
        <f>SUM(H93:H98)</f>
        <v>0</v>
      </c>
      <c r="I106" s="1246"/>
      <c r="J106" s="1247">
        <f>SUM(J93:J98)</f>
        <v>0</v>
      </c>
      <c r="K106" s="1245">
        <f>SUM(K93:K98)</f>
        <v>0</v>
      </c>
      <c r="L106" s="1245"/>
    </row>
    <row r="107" spans="1:16" s="1199" customFormat="1" ht="24" customHeight="1">
      <c r="A107" s="1308">
        <v>3.4</v>
      </c>
      <c r="B107" s="1436" t="s">
        <v>1312</v>
      </c>
      <c r="C107" s="1202"/>
      <c r="D107" s="1202"/>
      <c r="E107" s="1387"/>
      <c r="F107" s="1384"/>
      <c r="G107" s="2176"/>
      <c r="H107" s="1264">
        <f t="shared" ref="H107" si="10">ROUND(E107*G107,)</f>
        <v>0</v>
      </c>
      <c r="I107" s="2177"/>
      <c r="J107" s="1264">
        <f t="shared" ref="J107" si="11">ROUND(E107*I107,)</f>
        <v>0</v>
      </c>
      <c r="K107" s="1385"/>
      <c r="L107" s="1385"/>
      <c r="M107" s="1214"/>
      <c r="N107" s="1214"/>
      <c r="O107" s="1214"/>
      <c r="P107" s="1214"/>
    </row>
    <row r="108" spans="1:16" s="1199" customFormat="1" ht="24" customHeight="1">
      <c r="A108" s="1331" t="s">
        <v>1135</v>
      </c>
      <c r="B108" s="2174" t="s">
        <v>1314</v>
      </c>
      <c r="C108" s="1275"/>
      <c r="D108" s="1275"/>
      <c r="E108" s="1276"/>
      <c r="F108" s="1358"/>
      <c r="G108" s="2175"/>
      <c r="H108" s="1264"/>
      <c r="I108" s="1265"/>
      <c r="J108" s="1264"/>
      <c r="K108" s="1273"/>
      <c r="L108" s="1269"/>
    </row>
    <row r="109" spans="1:16" s="1199" customFormat="1" ht="24" customHeight="1">
      <c r="A109" s="1331" t="s">
        <v>1137</v>
      </c>
      <c r="B109" s="2174" t="s">
        <v>1315</v>
      </c>
      <c r="C109" s="1275"/>
      <c r="D109" s="1275"/>
      <c r="E109" s="1276"/>
      <c r="F109" s="1358"/>
      <c r="G109" s="2176"/>
      <c r="H109" s="1264"/>
      <c r="I109" s="1265"/>
      <c r="J109" s="1264"/>
      <c r="K109" s="1273"/>
      <c r="L109" s="1269"/>
    </row>
    <row r="110" spans="1:16" s="1199" customFormat="1" ht="24" customHeight="1">
      <c r="A110" s="1331"/>
      <c r="B110" s="2174" t="s">
        <v>1316</v>
      </c>
      <c r="C110" s="1275"/>
      <c r="D110" s="1275"/>
      <c r="E110" s="1270"/>
      <c r="F110" s="1358" t="s">
        <v>226</v>
      </c>
      <c r="G110" s="2176">
        <v>14</v>
      </c>
      <c r="H110" s="1264">
        <f t="shared" ref="H110:H123" si="12">ROUND(E110*G110,)</f>
        <v>0</v>
      </c>
      <c r="I110" s="1265">
        <v>10</v>
      </c>
      <c r="J110" s="1264">
        <f t="shared" ref="J110:J123" si="13">ROUND(E110*I110,)</f>
        <v>0</v>
      </c>
      <c r="K110" s="1273">
        <f t="shared" ref="K110:K123" si="14">H110+J110</f>
        <v>0</v>
      </c>
      <c r="L110" s="2000" t="s">
        <v>2667</v>
      </c>
      <c r="N110" s="1199">
        <v>1375.8</v>
      </c>
      <c r="O110" s="1199">
        <f>ROUND(N110/100,)</f>
        <v>14</v>
      </c>
      <c r="P110" s="1199">
        <f>E110*1.1</f>
        <v>0</v>
      </c>
    </row>
    <row r="111" spans="1:16" s="1199" customFormat="1" ht="24" customHeight="1">
      <c r="A111" s="1331"/>
      <c r="B111" s="2174" t="s">
        <v>1317</v>
      </c>
      <c r="C111" s="1275"/>
      <c r="D111" s="1275"/>
      <c r="E111" s="1270">
        <v>140</v>
      </c>
      <c r="F111" s="1358" t="s">
        <v>226</v>
      </c>
      <c r="G111" s="2176">
        <v>23</v>
      </c>
      <c r="H111" s="1264">
        <f t="shared" si="12"/>
        <v>3220</v>
      </c>
      <c r="I111" s="1265">
        <v>12</v>
      </c>
      <c r="J111" s="1264">
        <f t="shared" si="13"/>
        <v>1680</v>
      </c>
      <c r="K111" s="1273">
        <f t="shared" si="14"/>
        <v>4900</v>
      </c>
      <c r="L111" s="2000" t="s">
        <v>2667</v>
      </c>
      <c r="N111" s="1199">
        <v>2264.1999999999998</v>
      </c>
      <c r="O111" s="1199">
        <f t="shared" ref="O111:O119" si="15">ROUND(N111/100,)</f>
        <v>23</v>
      </c>
      <c r="P111" s="1199">
        <f t="shared" ref="P111:P123" si="16">E111*1.1</f>
        <v>154</v>
      </c>
    </row>
    <row r="112" spans="1:16" s="1199" customFormat="1" ht="24" customHeight="1">
      <c r="A112" s="1331"/>
      <c r="B112" s="2174" t="s">
        <v>1318</v>
      </c>
      <c r="C112" s="1275"/>
      <c r="D112" s="1275"/>
      <c r="E112" s="1270"/>
      <c r="F112" s="1358" t="s">
        <v>226</v>
      </c>
      <c r="G112" s="2176">
        <v>39</v>
      </c>
      <c r="H112" s="1264">
        <f t="shared" si="12"/>
        <v>0</v>
      </c>
      <c r="I112" s="1265">
        <v>16</v>
      </c>
      <c r="J112" s="1264">
        <f t="shared" si="13"/>
        <v>0</v>
      </c>
      <c r="K112" s="1273">
        <f t="shared" si="14"/>
        <v>0</v>
      </c>
      <c r="L112" s="2000" t="s">
        <v>2667</v>
      </c>
      <c r="N112" s="1199">
        <v>3944.2</v>
      </c>
      <c r="O112" s="1199">
        <f t="shared" si="15"/>
        <v>39</v>
      </c>
      <c r="P112" s="1199">
        <f t="shared" si="16"/>
        <v>0</v>
      </c>
    </row>
    <row r="113" spans="1:17" s="1199" customFormat="1" ht="24" customHeight="1">
      <c r="A113" s="1331"/>
      <c r="B113" s="2174" t="s">
        <v>1319</v>
      </c>
      <c r="C113" s="1275"/>
      <c r="D113" s="1275"/>
      <c r="E113" s="1270"/>
      <c r="F113" s="1358" t="s">
        <v>226</v>
      </c>
      <c r="G113" s="2176">
        <v>61</v>
      </c>
      <c r="H113" s="1264">
        <f t="shared" si="12"/>
        <v>0</v>
      </c>
      <c r="I113" s="1265">
        <v>20</v>
      </c>
      <c r="J113" s="1264">
        <f t="shared" si="13"/>
        <v>0</v>
      </c>
      <c r="K113" s="1273">
        <f t="shared" si="14"/>
        <v>0</v>
      </c>
      <c r="L113" s="2000" t="s">
        <v>2667</v>
      </c>
      <c r="N113" s="1199">
        <v>6120</v>
      </c>
      <c r="O113" s="1199">
        <f t="shared" si="15"/>
        <v>61</v>
      </c>
      <c r="P113" s="1199">
        <f t="shared" si="16"/>
        <v>0</v>
      </c>
    </row>
    <row r="114" spans="1:17" s="1199" customFormat="1" ht="24" customHeight="1">
      <c r="A114" s="1331"/>
      <c r="B114" s="2174" t="s">
        <v>1320</v>
      </c>
      <c r="C114" s="1275"/>
      <c r="D114" s="1275"/>
      <c r="E114" s="1270">
        <v>560</v>
      </c>
      <c r="F114" s="1358" t="s">
        <v>226</v>
      </c>
      <c r="G114" s="2176">
        <v>96</v>
      </c>
      <c r="H114" s="1264">
        <f t="shared" si="12"/>
        <v>53760</v>
      </c>
      <c r="I114" s="1265">
        <v>25</v>
      </c>
      <c r="J114" s="1264">
        <f t="shared" si="13"/>
        <v>14000</v>
      </c>
      <c r="K114" s="1273">
        <f t="shared" si="14"/>
        <v>67760</v>
      </c>
      <c r="L114" s="2000" t="s">
        <v>2667</v>
      </c>
      <c r="N114" s="1199">
        <v>9600</v>
      </c>
      <c r="O114" s="1199">
        <f t="shared" si="15"/>
        <v>96</v>
      </c>
      <c r="P114" s="1199">
        <f t="shared" si="16"/>
        <v>616</v>
      </c>
    </row>
    <row r="115" spans="1:17" s="1199" customFormat="1" ht="24" customHeight="1">
      <c r="A115" s="1331"/>
      <c r="B115" s="2174" t="s">
        <v>1321</v>
      </c>
      <c r="C115" s="1275"/>
      <c r="D115" s="1275"/>
      <c r="E115" s="1270"/>
      <c r="F115" s="1358" t="s">
        <v>226</v>
      </c>
      <c r="G115" s="2176">
        <v>127</v>
      </c>
      <c r="H115" s="1264">
        <f t="shared" si="12"/>
        <v>0</v>
      </c>
      <c r="I115" s="1265">
        <v>30</v>
      </c>
      <c r="J115" s="1264">
        <f t="shared" si="13"/>
        <v>0</v>
      </c>
      <c r="K115" s="1273">
        <f t="shared" si="14"/>
        <v>0</v>
      </c>
      <c r="L115" s="2000" t="s">
        <v>2667</v>
      </c>
      <c r="N115" s="1199">
        <v>12744.2</v>
      </c>
      <c r="O115" s="1199">
        <f t="shared" si="15"/>
        <v>127</v>
      </c>
      <c r="P115" s="1199">
        <f t="shared" si="16"/>
        <v>0</v>
      </c>
    </row>
    <row r="116" spans="1:17" s="1199" customFormat="1" ht="24" customHeight="1">
      <c r="A116" s="1331"/>
      <c r="B116" s="2174" t="s">
        <v>1322</v>
      </c>
      <c r="C116" s="1275"/>
      <c r="D116" s="1275"/>
      <c r="E116" s="1270"/>
      <c r="F116" s="1358" t="s">
        <v>226</v>
      </c>
      <c r="G116" s="2176">
        <v>183</v>
      </c>
      <c r="H116" s="1264">
        <f t="shared" si="12"/>
        <v>0</v>
      </c>
      <c r="I116" s="1265">
        <v>40</v>
      </c>
      <c r="J116" s="1264">
        <f t="shared" si="13"/>
        <v>0</v>
      </c>
      <c r="K116" s="1273">
        <f t="shared" si="14"/>
        <v>0</v>
      </c>
      <c r="L116" s="2000" t="s">
        <v>2667</v>
      </c>
      <c r="N116" s="1199">
        <v>18335.8</v>
      </c>
      <c r="O116" s="1199">
        <f t="shared" si="15"/>
        <v>183</v>
      </c>
      <c r="P116" s="1199">
        <f t="shared" si="16"/>
        <v>0</v>
      </c>
    </row>
    <row r="117" spans="1:17" s="1199" customFormat="1" ht="24" customHeight="1">
      <c r="A117" s="1331"/>
      <c r="B117" s="2174" t="s">
        <v>1323</v>
      </c>
      <c r="C117" s="1275"/>
      <c r="D117" s="1275"/>
      <c r="E117" s="1270"/>
      <c r="F117" s="1358" t="s">
        <v>226</v>
      </c>
      <c r="G117" s="2176">
        <v>262</v>
      </c>
      <c r="H117" s="1264">
        <f t="shared" si="12"/>
        <v>0</v>
      </c>
      <c r="I117" s="1265">
        <v>45</v>
      </c>
      <c r="J117" s="1264">
        <f t="shared" si="13"/>
        <v>0</v>
      </c>
      <c r="K117" s="1273">
        <f t="shared" si="14"/>
        <v>0</v>
      </c>
      <c r="L117" s="2000" t="s">
        <v>2667</v>
      </c>
      <c r="N117" s="1199">
        <v>26215.8</v>
      </c>
      <c r="O117" s="1199">
        <f t="shared" si="15"/>
        <v>262</v>
      </c>
      <c r="P117" s="1199">
        <f t="shared" si="16"/>
        <v>0</v>
      </c>
    </row>
    <row r="118" spans="1:17" s="1199" customFormat="1" ht="24" customHeight="1">
      <c r="A118" s="1331"/>
      <c r="B118" s="2174" t="s">
        <v>1324</v>
      </c>
      <c r="C118" s="1275"/>
      <c r="D118" s="1275"/>
      <c r="E118" s="1270"/>
      <c r="F118" s="1358" t="s">
        <v>226</v>
      </c>
      <c r="G118" s="2176">
        <v>361</v>
      </c>
      <c r="H118" s="1264">
        <f t="shared" si="12"/>
        <v>0</v>
      </c>
      <c r="I118" s="1265">
        <v>55</v>
      </c>
      <c r="J118" s="1264">
        <f t="shared" si="13"/>
        <v>0</v>
      </c>
      <c r="K118" s="1273">
        <f t="shared" si="14"/>
        <v>0</v>
      </c>
      <c r="L118" s="2000" t="s">
        <v>2667</v>
      </c>
      <c r="N118" s="1199">
        <v>36120</v>
      </c>
      <c r="O118" s="1199">
        <f t="shared" si="15"/>
        <v>361</v>
      </c>
      <c r="P118" s="1199">
        <f t="shared" si="16"/>
        <v>0</v>
      </c>
    </row>
    <row r="119" spans="1:17" s="1199" customFormat="1" ht="24" customHeight="1">
      <c r="A119" s="1331"/>
      <c r="B119" s="2174" t="s">
        <v>1325</v>
      </c>
      <c r="C119" s="1275"/>
      <c r="D119" s="1275"/>
      <c r="E119" s="1270"/>
      <c r="F119" s="1358" t="s">
        <v>226</v>
      </c>
      <c r="G119" s="2176">
        <v>458</v>
      </c>
      <c r="H119" s="1264">
        <f t="shared" si="12"/>
        <v>0</v>
      </c>
      <c r="I119" s="1265">
        <v>60</v>
      </c>
      <c r="J119" s="1264">
        <f t="shared" si="13"/>
        <v>0</v>
      </c>
      <c r="K119" s="1273">
        <f t="shared" si="14"/>
        <v>0</v>
      </c>
      <c r="L119" s="2000" t="s">
        <v>2667</v>
      </c>
      <c r="N119" s="1199">
        <v>45760</v>
      </c>
      <c r="O119" s="1199">
        <f t="shared" si="15"/>
        <v>458</v>
      </c>
      <c r="P119" s="1199">
        <f t="shared" si="16"/>
        <v>0</v>
      </c>
    </row>
    <row r="120" spans="1:17" s="1199" customFormat="1" ht="24" customHeight="1">
      <c r="A120" s="1331"/>
      <c r="B120" s="2174" t="s">
        <v>1326</v>
      </c>
      <c r="C120" s="1275"/>
      <c r="D120" s="1275"/>
      <c r="E120" s="1270"/>
      <c r="F120" s="1358" t="s">
        <v>226</v>
      </c>
      <c r="G120" s="2176">
        <v>525</v>
      </c>
      <c r="H120" s="1264">
        <f t="shared" si="12"/>
        <v>0</v>
      </c>
      <c r="I120" s="1265">
        <v>70</v>
      </c>
      <c r="J120" s="1264">
        <f t="shared" si="13"/>
        <v>0</v>
      </c>
      <c r="K120" s="1273">
        <f t="shared" si="14"/>
        <v>0</v>
      </c>
      <c r="L120" s="1269"/>
      <c r="P120" s="1199">
        <f t="shared" si="16"/>
        <v>0</v>
      </c>
    </row>
    <row r="121" spans="1:17" s="1199" customFormat="1" ht="24" customHeight="1">
      <c r="A121" s="1331"/>
      <c r="B121" s="2174" t="s">
        <v>1327</v>
      </c>
      <c r="C121" s="1275"/>
      <c r="D121" s="1275"/>
      <c r="E121" s="1270"/>
      <c r="F121" s="1358" t="s">
        <v>226</v>
      </c>
      <c r="G121" s="2176">
        <v>659</v>
      </c>
      <c r="H121" s="1264">
        <f t="shared" si="12"/>
        <v>0</v>
      </c>
      <c r="I121" s="1265">
        <v>85</v>
      </c>
      <c r="J121" s="1264">
        <f t="shared" si="13"/>
        <v>0</v>
      </c>
      <c r="K121" s="1273">
        <f t="shared" si="14"/>
        <v>0</v>
      </c>
      <c r="L121" s="1269"/>
      <c r="P121" s="1199">
        <f t="shared" si="16"/>
        <v>0</v>
      </c>
    </row>
    <row r="122" spans="1:17" s="1199" customFormat="1" ht="24" customHeight="1">
      <c r="A122" s="1331"/>
      <c r="B122" s="2174" t="s">
        <v>1328</v>
      </c>
      <c r="C122" s="1275"/>
      <c r="D122" s="1275"/>
      <c r="E122" s="1270"/>
      <c r="F122" s="1358" t="s">
        <v>226</v>
      </c>
      <c r="G122" s="2176">
        <v>865</v>
      </c>
      <c r="H122" s="1264">
        <f t="shared" si="12"/>
        <v>0</v>
      </c>
      <c r="I122" s="1265">
        <v>100</v>
      </c>
      <c r="J122" s="1264">
        <f t="shared" si="13"/>
        <v>0</v>
      </c>
      <c r="K122" s="1273">
        <f t="shared" si="14"/>
        <v>0</v>
      </c>
      <c r="L122" s="1269"/>
      <c r="P122" s="1199">
        <f t="shared" si="16"/>
        <v>0</v>
      </c>
    </row>
    <row r="123" spans="1:17" s="1199" customFormat="1" ht="24" customHeight="1">
      <c r="A123" s="1331"/>
      <c r="B123" s="2174" t="s">
        <v>1329</v>
      </c>
      <c r="C123" s="1275"/>
      <c r="D123" s="1275"/>
      <c r="E123" s="1270"/>
      <c r="F123" s="1358" t="s">
        <v>226</v>
      </c>
      <c r="G123" s="2176">
        <v>1084</v>
      </c>
      <c r="H123" s="1264">
        <f t="shared" si="12"/>
        <v>0</v>
      </c>
      <c r="I123" s="1265">
        <v>110</v>
      </c>
      <c r="J123" s="1264">
        <f t="shared" si="13"/>
        <v>0</v>
      </c>
      <c r="K123" s="1273">
        <f t="shared" si="14"/>
        <v>0</v>
      </c>
      <c r="L123" s="1269"/>
      <c r="P123" s="1199">
        <f t="shared" si="16"/>
        <v>0</v>
      </c>
    </row>
    <row r="124" spans="1:17" s="1199" customFormat="1" ht="24" customHeight="1">
      <c r="A124" s="1331" t="s">
        <v>1158</v>
      </c>
      <c r="B124" s="2174" t="s">
        <v>2897</v>
      </c>
      <c r="C124" s="1275"/>
      <c r="D124" s="1275"/>
      <c r="E124" s="1276"/>
      <c r="F124" s="1358"/>
      <c r="G124" s="2175"/>
      <c r="H124" s="1264"/>
      <c r="I124" s="1265"/>
      <c r="J124" s="1264"/>
      <c r="K124" s="1273"/>
      <c r="L124" s="1269"/>
    </row>
    <row r="125" spans="1:17" s="1199" customFormat="1" ht="24" customHeight="1">
      <c r="A125" s="1331" t="s">
        <v>2898</v>
      </c>
      <c r="B125" s="1190" t="s">
        <v>1597</v>
      </c>
      <c r="C125" s="1202"/>
      <c r="D125" s="1202"/>
      <c r="E125" s="1387"/>
      <c r="F125" s="1384"/>
      <c r="G125" s="2176"/>
      <c r="H125" s="1264">
        <f t="shared" ref="H125:H134" si="17">ROUND(E125*G125,)</f>
        <v>0</v>
      </c>
      <c r="I125" s="2177"/>
      <c r="J125" s="1264">
        <f t="shared" ref="J125:J134" si="18">ROUND(E125*I125,)</f>
        <v>0</v>
      </c>
      <c r="K125" s="1385"/>
      <c r="L125" s="1385"/>
      <c r="M125" s="1214"/>
      <c r="N125" s="1214"/>
      <c r="O125" s="1214"/>
      <c r="P125" s="1214"/>
      <c r="Q125" s="1214"/>
    </row>
    <row r="126" spans="1:17" s="1199" customFormat="1" ht="24" customHeight="1">
      <c r="A126" s="1331"/>
      <c r="B126" s="1190" t="s">
        <v>1443</v>
      </c>
      <c r="C126" s="1202"/>
      <c r="D126" s="1202"/>
      <c r="E126" s="1270">
        <v>400</v>
      </c>
      <c r="F126" s="1358" t="s">
        <v>226</v>
      </c>
      <c r="G126" s="2176">
        <v>9</v>
      </c>
      <c r="H126" s="1264">
        <f t="shared" si="17"/>
        <v>3600</v>
      </c>
      <c r="I126" s="2177">
        <v>7</v>
      </c>
      <c r="J126" s="1264">
        <f t="shared" si="18"/>
        <v>2800</v>
      </c>
      <c r="K126" s="1273">
        <f>H126+J126</f>
        <v>6400</v>
      </c>
      <c r="L126" s="2001" t="s">
        <v>2667</v>
      </c>
      <c r="M126" s="1214"/>
      <c r="N126" s="1199">
        <v>912.1</v>
      </c>
      <c r="O126" s="1199">
        <f>ROUND(N126/100,)</f>
        <v>9</v>
      </c>
      <c r="P126" s="1214"/>
      <c r="Q126" s="1214"/>
    </row>
    <row r="127" spans="1:17" s="1199" customFormat="1" ht="24" customHeight="1">
      <c r="A127" s="1331"/>
      <c r="B127" s="1190" t="s">
        <v>1316</v>
      </c>
      <c r="C127" s="1202"/>
      <c r="D127" s="1202"/>
      <c r="E127" s="1270">
        <v>2975</v>
      </c>
      <c r="F127" s="1358" t="s">
        <v>226</v>
      </c>
      <c r="G127" s="2176">
        <v>14</v>
      </c>
      <c r="H127" s="1264">
        <f t="shared" si="17"/>
        <v>41650</v>
      </c>
      <c r="I127" s="2177">
        <v>10</v>
      </c>
      <c r="J127" s="1264">
        <f t="shared" si="18"/>
        <v>29750</v>
      </c>
      <c r="K127" s="1273">
        <f>H127+J127</f>
        <v>71400</v>
      </c>
      <c r="L127" s="2001" t="s">
        <v>2667</v>
      </c>
      <c r="M127" s="1214"/>
      <c r="N127" s="1199">
        <v>1375.8</v>
      </c>
      <c r="O127" s="1199">
        <f>ROUND(N127/100,)</f>
        <v>14</v>
      </c>
      <c r="P127" s="1214"/>
      <c r="Q127" s="1214"/>
    </row>
    <row r="128" spans="1:17" s="1199" customFormat="1" ht="24" customHeight="1">
      <c r="A128" s="1331"/>
      <c r="B128" s="2174" t="s">
        <v>1317</v>
      </c>
      <c r="C128" s="1275"/>
      <c r="D128" s="1275"/>
      <c r="E128" s="1270"/>
      <c r="F128" s="1358" t="s">
        <v>226</v>
      </c>
      <c r="G128" s="2176">
        <v>23</v>
      </c>
      <c r="H128" s="1264">
        <f t="shared" si="17"/>
        <v>0</v>
      </c>
      <c r="I128" s="1265">
        <v>12</v>
      </c>
      <c r="J128" s="1264">
        <f t="shared" si="18"/>
        <v>0</v>
      </c>
      <c r="K128" s="1273">
        <f t="shared" ref="K128:K129" si="19">H128+J128</f>
        <v>0</v>
      </c>
      <c r="L128" s="2001" t="s">
        <v>2667</v>
      </c>
      <c r="N128" s="1199">
        <v>2264.1999999999998</v>
      </c>
      <c r="O128" s="1199">
        <f t="shared" ref="O128:O129" si="20">ROUND(N128/100,)</f>
        <v>23</v>
      </c>
    </row>
    <row r="129" spans="1:17" s="1199" customFormat="1" ht="24" customHeight="1">
      <c r="A129" s="1331"/>
      <c r="B129" s="2174" t="s">
        <v>1318</v>
      </c>
      <c r="C129" s="1275"/>
      <c r="D129" s="1275"/>
      <c r="E129" s="1270"/>
      <c r="F129" s="1358" t="s">
        <v>226</v>
      </c>
      <c r="G129" s="2176">
        <v>39</v>
      </c>
      <c r="H129" s="1264">
        <f t="shared" si="17"/>
        <v>0</v>
      </c>
      <c r="I129" s="1265">
        <v>16</v>
      </c>
      <c r="J129" s="1264">
        <f t="shared" si="18"/>
        <v>0</v>
      </c>
      <c r="K129" s="1273">
        <f t="shared" si="19"/>
        <v>0</v>
      </c>
      <c r="L129" s="2001" t="s">
        <v>2667</v>
      </c>
      <c r="N129" s="1199">
        <v>3944.2</v>
      </c>
      <c r="O129" s="1199">
        <f t="shared" si="20"/>
        <v>39</v>
      </c>
    </row>
    <row r="130" spans="1:17" s="1199" customFormat="1" ht="24" customHeight="1">
      <c r="A130" s="1331"/>
      <c r="B130" s="2174"/>
      <c r="C130" s="1275"/>
      <c r="D130" s="1275"/>
      <c r="E130" s="1270"/>
      <c r="F130" s="1358"/>
      <c r="G130" s="2176"/>
      <c r="H130" s="1264"/>
      <c r="I130" s="1265"/>
      <c r="J130" s="1264"/>
      <c r="K130" s="1273"/>
      <c r="L130" s="2172"/>
    </row>
    <row r="131" spans="1:17" s="1199" customFormat="1" ht="24" customHeight="1">
      <c r="A131" s="1331" t="s">
        <v>2899</v>
      </c>
      <c r="B131" s="2174" t="s">
        <v>1331</v>
      </c>
      <c r="C131" s="1202"/>
      <c r="D131" s="1202"/>
      <c r="E131" s="1438"/>
      <c r="F131" s="1384"/>
      <c r="G131" s="2176"/>
      <c r="H131" s="1264">
        <f t="shared" si="17"/>
        <v>0</v>
      </c>
      <c r="I131" s="2177"/>
      <c r="J131" s="1264">
        <f t="shared" si="18"/>
        <v>0</v>
      </c>
      <c r="K131" s="1385"/>
      <c r="L131" s="1385"/>
      <c r="M131" s="1214"/>
      <c r="N131" s="1214"/>
      <c r="O131" s="1214"/>
      <c r="P131" s="1214"/>
      <c r="Q131" s="1214"/>
    </row>
    <row r="132" spans="1:17" s="1199" customFormat="1" ht="24" customHeight="1">
      <c r="A132" s="1331"/>
      <c r="B132" s="2174" t="s">
        <v>1443</v>
      </c>
      <c r="C132" s="1202"/>
      <c r="D132" s="1202"/>
      <c r="E132" s="1270"/>
      <c r="F132" s="1358" t="s">
        <v>226</v>
      </c>
      <c r="G132" s="2176">
        <v>41</v>
      </c>
      <c r="H132" s="1264">
        <f t="shared" si="17"/>
        <v>0</v>
      </c>
      <c r="I132" s="2177">
        <v>12</v>
      </c>
      <c r="J132" s="1264">
        <f t="shared" si="18"/>
        <v>0</v>
      </c>
      <c r="K132" s="1273">
        <f>H132+J132</f>
        <v>0</v>
      </c>
      <c r="L132" s="1385"/>
      <c r="M132" s="1214"/>
      <c r="N132" s="1214"/>
      <c r="O132" s="1214"/>
      <c r="P132" s="1214"/>
      <c r="Q132" s="1214"/>
    </row>
    <row r="133" spans="1:17" s="1199" customFormat="1" ht="24" customHeight="1">
      <c r="A133" s="1331"/>
      <c r="B133" s="2174" t="s">
        <v>1316</v>
      </c>
      <c r="C133" s="1202"/>
      <c r="D133" s="1202"/>
      <c r="E133" s="1506"/>
      <c r="F133" s="1358" t="s">
        <v>226</v>
      </c>
      <c r="G133" s="2176">
        <v>53</v>
      </c>
      <c r="H133" s="1264">
        <f t="shared" si="17"/>
        <v>0</v>
      </c>
      <c r="I133" s="2177">
        <v>14</v>
      </c>
      <c r="J133" s="1264">
        <f t="shared" si="18"/>
        <v>0</v>
      </c>
      <c r="K133" s="1273">
        <f>H133+J133</f>
        <v>0</v>
      </c>
      <c r="L133" s="1385"/>
      <c r="M133" s="1214"/>
      <c r="N133" s="1214"/>
      <c r="O133" s="1214"/>
      <c r="P133" s="1214"/>
      <c r="Q133" s="1214"/>
    </row>
    <row r="134" spans="1:17" s="1199" customFormat="1" ht="24" customHeight="1">
      <c r="A134" s="1406"/>
      <c r="B134" s="2174" t="s">
        <v>1444</v>
      </c>
      <c r="C134" s="1202"/>
      <c r="D134" s="1202"/>
      <c r="E134" s="1490">
        <v>1</v>
      </c>
      <c r="F134" s="1358" t="s">
        <v>1104</v>
      </c>
      <c r="G134" s="2176">
        <f>ROUND(SUM(H108:H133)*0.05,)</f>
        <v>5112</v>
      </c>
      <c r="H134" s="1264">
        <f t="shared" si="17"/>
        <v>5112</v>
      </c>
      <c r="I134" s="2177">
        <f>ROUND(G134*0.3,)</f>
        <v>1534</v>
      </c>
      <c r="J134" s="1264">
        <f t="shared" si="18"/>
        <v>1534</v>
      </c>
      <c r="K134" s="1273">
        <f>H134+J134</f>
        <v>6646</v>
      </c>
      <c r="L134" s="1385"/>
      <c r="M134" s="1214"/>
      <c r="N134" s="1214"/>
      <c r="O134" s="1214"/>
      <c r="P134" s="1214"/>
      <c r="Q134" s="1214"/>
    </row>
    <row r="135" spans="1:17" s="1199" customFormat="1" ht="24" customHeight="1">
      <c r="A135" s="1331"/>
      <c r="B135" s="2174" t="s">
        <v>1117</v>
      </c>
      <c r="C135" s="1202"/>
      <c r="D135" s="1202"/>
      <c r="E135" s="1387"/>
      <c r="F135" s="1384"/>
      <c r="G135" s="2176"/>
      <c r="H135" s="1388"/>
      <c r="I135" s="2177"/>
      <c r="J135" s="1385"/>
      <c r="K135" s="1385"/>
      <c r="L135" s="1385"/>
      <c r="M135" s="1214"/>
      <c r="N135" s="1214"/>
      <c r="O135" s="1214"/>
      <c r="P135" s="1214"/>
    </row>
    <row r="136" spans="1:17" s="1199" customFormat="1" ht="24" customHeight="1">
      <c r="A136" s="1331"/>
      <c r="B136" s="2174" t="s">
        <v>1118</v>
      </c>
      <c r="C136" s="1202"/>
      <c r="D136" s="1202"/>
      <c r="E136" s="1387"/>
      <c r="F136" s="1384"/>
      <c r="G136" s="2176"/>
      <c r="H136" s="1388"/>
      <c r="I136" s="2177"/>
      <c r="J136" s="1385"/>
      <c r="K136" s="1385"/>
      <c r="L136" s="1385"/>
      <c r="M136" s="1214"/>
      <c r="N136" s="1214"/>
      <c r="O136" s="1214"/>
      <c r="P136" s="1214"/>
    </row>
    <row r="137" spans="1:17" s="1199" customFormat="1" ht="24" customHeight="1">
      <c r="A137" s="1189"/>
      <c r="B137" s="2174" t="s">
        <v>1118</v>
      </c>
      <c r="C137" s="1202"/>
      <c r="D137" s="1202"/>
      <c r="E137" s="1387"/>
      <c r="F137" s="1384"/>
      <c r="G137" s="2176"/>
      <c r="H137" s="1388"/>
      <c r="I137" s="2177"/>
      <c r="J137" s="1385"/>
      <c r="K137" s="1385"/>
      <c r="L137" s="1385"/>
      <c r="M137" s="1214"/>
      <c r="N137" s="1214"/>
      <c r="O137" s="1214"/>
      <c r="P137" s="1214"/>
    </row>
    <row r="138" spans="1:17" s="1199" customFormat="1" ht="24" customHeight="1">
      <c r="A138" s="1243"/>
      <c r="B138" s="2257" t="str">
        <f>"รวมราคารายการที่ "&amp;A107</f>
        <v>รวมราคารายการที่ 3.4</v>
      </c>
      <c r="C138" s="2258"/>
      <c r="D138" s="2259"/>
      <c r="E138" s="1244"/>
      <c r="F138" s="1245"/>
      <c r="G138" s="1246"/>
      <c r="H138" s="1247">
        <f>SUM(H107:H136)</f>
        <v>107342</v>
      </c>
      <c r="I138" s="1246"/>
      <c r="J138" s="1247">
        <f>SUM(J107:J136)</f>
        <v>49764</v>
      </c>
      <c r="K138" s="1247">
        <f>SUM(K107:K136)</f>
        <v>157106</v>
      </c>
      <c r="L138" s="1245"/>
      <c r="M138" s="1214"/>
      <c r="N138" s="1214"/>
      <c r="O138" s="1214"/>
      <c r="P138" s="1214"/>
    </row>
    <row r="139" spans="1:17" s="1199" customFormat="1" ht="24" customHeight="1">
      <c r="A139" s="1435" t="s">
        <v>1461</v>
      </c>
      <c r="B139" s="1436" t="s">
        <v>1333</v>
      </c>
      <c r="C139" s="1202"/>
      <c r="D139" s="1202"/>
      <c r="E139" s="1387"/>
      <c r="F139" s="1384"/>
      <c r="G139" s="2176"/>
      <c r="H139" s="1388"/>
      <c r="I139" s="2177"/>
      <c r="J139" s="1385"/>
      <c r="K139" s="1385"/>
      <c r="L139" s="1385"/>
      <c r="M139" s="1214"/>
      <c r="N139" s="1214"/>
      <c r="O139" s="1214"/>
      <c r="P139" s="1214"/>
    </row>
    <row r="140" spans="1:17" s="1199" customFormat="1" ht="24" customHeight="1">
      <c r="A140" s="1331" t="s">
        <v>1181</v>
      </c>
      <c r="B140" s="2174" t="s">
        <v>1446</v>
      </c>
      <c r="C140" s="1202"/>
      <c r="D140" s="1202"/>
      <c r="E140" s="1387"/>
      <c r="F140" s="1384"/>
      <c r="G140" s="2176"/>
      <c r="H140" s="1264">
        <f t="shared" ref="H140:H156" si="21">ROUND(E140*G140,)</f>
        <v>0</v>
      </c>
      <c r="I140" s="2177"/>
      <c r="J140" s="1264">
        <f t="shared" ref="J140:J156" si="22">ROUND(E140*I140,)</f>
        <v>0</v>
      </c>
      <c r="K140" s="1385"/>
      <c r="L140" s="1385"/>
      <c r="M140" s="1214"/>
      <c r="N140" s="1214"/>
      <c r="O140" s="1214"/>
      <c r="P140" s="1214"/>
    </row>
    <row r="141" spans="1:17" s="1199" customFormat="1" ht="24" customHeight="1">
      <c r="A141" s="1331"/>
      <c r="B141" s="2174" t="s">
        <v>1350</v>
      </c>
      <c r="C141" s="1202"/>
      <c r="D141" s="1202"/>
      <c r="E141" s="1404">
        <v>150</v>
      </c>
      <c r="F141" s="1358" t="s">
        <v>226</v>
      </c>
      <c r="G141" s="2176">
        <v>27</v>
      </c>
      <c r="H141" s="1264">
        <f t="shared" si="21"/>
        <v>4050</v>
      </c>
      <c r="I141" s="2177">
        <v>22</v>
      </c>
      <c r="J141" s="1264">
        <f t="shared" si="22"/>
        <v>3300</v>
      </c>
      <c r="K141" s="1802">
        <f t="shared" ref="K141:K142" si="23">H141+J141</f>
        <v>7350</v>
      </c>
      <c r="L141" s="2001" t="s">
        <v>2667</v>
      </c>
      <c r="M141" s="1214"/>
      <c r="N141" s="1199">
        <v>79.8</v>
      </c>
      <c r="O141" s="1199">
        <f>ROUND(N141/3,)</f>
        <v>27</v>
      </c>
      <c r="P141" s="1214"/>
    </row>
    <row r="142" spans="1:17" s="1199" customFormat="1" ht="24" customHeight="1">
      <c r="A142" s="1331"/>
      <c r="B142" s="2174" t="s">
        <v>1337</v>
      </c>
      <c r="C142" s="1202"/>
      <c r="D142" s="1202"/>
      <c r="E142" s="1404"/>
      <c r="F142" s="1358" t="s">
        <v>226</v>
      </c>
      <c r="G142" s="2176">
        <v>55</v>
      </c>
      <c r="H142" s="1264">
        <f t="shared" si="21"/>
        <v>0</v>
      </c>
      <c r="I142" s="2177">
        <v>28</v>
      </c>
      <c r="J142" s="1264">
        <f t="shared" si="22"/>
        <v>0</v>
      </c>
      <c r="K142" s="1802">
        <f t="shared" si="23"/>
        <v>0</v>
      </c>
      <c r="L142" s="2001" t="s">
        <v>2667</v>
      </c>
      <c r="M142" s="1214"/>
      <c r="N142" s="1214">
        <v>163.80000000000001</v>
      </c>
      <c r="O142" s="1199">
        <f>ROUND(N142/3,)</f>
        <v>55</v>
      </c>
      <c r="P142" s="1214"/>
    </row>
    <row r="143" spans="1:17" s="1199" customFormat="1" ht="24" customHeight="1">
      <c r="A143" s="1331"/>
      <c r="B143" s="2174" t="s">
        <v>1108</v>
      </c>
      <c r="C143" s="1202"/>
      <c r="D143" s="1202"/>
      <c r="E143" s="1387">
        <v>1</v>
      </c>
      <c r="F143" s="1384" t="s">
        <v>1104</v>
      </c>
      <c r="G143" s="2176">
        <f>ROUND(SUM(H141:H142)*15%,)</f>
        <v>608</v>
      </c>
      <c r="H143" s="1264">
        <f t="shared" si="21"/>
        <v>608</v>
      </c>
      <c r="I143" s="2177">
        <f>ROUND(G143*0.3,)</f>
        <v>182</v>
      </c>
      <c r="J143" s="1264">
        <f t="shared" si="22"/>
        <v>182</v>
      </c>
      <c r="K143" s="1273">
        <f>H143+J143</f>
        <v>790</v>
      </c>
      <c r="L143" s="1385"/>
      <c r="M143" s="1214"/>
      <c r="N143" s="1214"/>
      <c r="O143" s="1214"/>
      <c r="P143" s="1214"/>
    </row>
    <row r="144" spans="1:17" s="1199" customFormat="1" ht="24" customHeight="1">
      <c r="A144" s="1331" t="s">
        <v>1197</v>
      </c>
      <c r="B144" s="2174" t="s">
        <v>1110</v>
      </c>
      <c r="C144" s="1202"/>
      <c r="D144" s="1202"/>
      <c r="E144" s="1387"/>
      <c r="F144" s="1384"/>
      <c r="G144" s="2176"/>
      <c r="H144" s="1264">
        <f t="shared" si="21"/>
        <v>0</v>
      </c>
      <c r="I144" s="2177"/>
      <c r="J144" s="1264">
        <f t="shared" si="22"/>
        <v>0</v>
      </c>
      <c r="K144" s="1385"/>
      <c r="L144" s="1385"/>
      <c r="M144" s="1214"/>
      <c r="N144" s="1214"/>
      <c r="O144" s="1214"/>
      <c r="P144" s="1214"/>
    </row>
    <row r="145" spans="1:17" s="1199" customFormat="1" ht="24" customHeight="1">
      <c r="A145" s="1331"/>
      <c r="B145" s="2174" t="s">
        <v>1350</v>
      </c>
      <c r="C145" s="1202"/>
      <c r="D145" s="1202"/>
      <c r="E145" s="1387"/>
      <c r="F145" s="1358" t="s">
        <v>226</v>
      </c>
      <c r="G145" s="2176">
        <v>56</v>
      </c>
      <c r="H145" s="1264">
        <f t="shared" si="21"/>
        <v>0</v>
      </c>
      <c r="I145" s="2177">
        <v>26</v>
      </c>
      <c r="J145" s="1264">
        <f t="shared" si="22"/>
        <v>0</v>
      </c>
      <c r="K145" s="1273">
        <f>H145+J145</f>
        <v>0</v>
      </c>
      <c r="L145" s="2001" t="s">
        <v>2667</v>
      </c>
      <c r="M145" s="1214"/>
      <c r="N145" s="1199">
        <v>169.2</v>
      </c>
      <c r="O145" s="1199">
        <f t="shared" ref="O145:O150" si="24">ROUND(N145/3,)</f>
        <v>56</v>
      </c>
      <c r="P145" s="1214"/>
    </row>
    <row r="146" spans="1:17" s="1199" customFormat="1" ht="24" customHeight="1">
      <c r="A146" s="1331"/>
      <c r="B146" s="2174" t="s">
        <v>1448</v>
      </c>
      <c r="C146" s="1202"/>
      <c r="D146" s="1202"/>
      <c r="E146" s="1404">
        <v>585</v>
      </c>
      <c r="F146" s="1358" t="s">
        <v>226</v>
      </c>
      <c r="G146" s="2176">
        <v>75</v>
      </c>
      <c r="H146" s="1264">
        <f t="shared" si="21"/>
        <v>43875</v>
      </c>
      <c r="I146" s="2177">
        <v>29</v>
      </c>
      <c r="J146" s="1264">
        <f t="shared" si="22"/>
        <v>16965</v>
      </c>
      <c r="K146" s="1273">
        <f>H146+J146</f>
        <v>60840</v>
      </c>
      <c r="L146" s="2001" t="s">
        <v>2667</v>
      </c>
      <c r="N146" s="1199">
        <v>225</v>
      </c>
      <c r="O146" s="1199">
        <f t="shared" si="24"/>
        <v>75</v>
      </c>
      <c r="P146" s="1214"/>
    </row>
    <row r="147" spans="1:17" s="1199" customFormat="1" ht="24" customHeight="1">
      <c r="A147" s="1331"/>
      <c r="B147" s="2174" t="s">
        <v>1337</v>
      </c>
      <c r="C147" s="1202"/>
      <c r="D147" s="1202"/>
      <c r="E147" s="1387"/>
      <c r="F147" s="1358" t="s">
        <v>226</v>
      </c>
      <c r="G147" s="2176">
        <v>101</v>
      </c>
      <c r="H147" s="1264">
        <f t="shared" si="21"/>
        <v>0</v>
      </c>
      <c r="I147" s="2177">
        <v>32</v>
      </c>
      <c r="J147" s="1264">
        <f t="shared" si="22"/>
        <v>0</v>
      </c>
      <c r="K147" s="1273">
        <f>H147+J147</f>
        <v>0</v>
      </c>
      <c r="L147" s="2001" t="s">
        <v>2667</v>
      </c>
      <c r="N147" s="1199">
        <v>303.60000000000002</v>
      </c>
      <c r="O147" s="1199">
        <f t="shared" si="24"/>
        <v>101</v>
      </c>
      <c r="P147" s="1214"/>
    </row>
    <row r="148" spans="1:17" s="1199" customFormat="1" ht="24" customHeight="1">
      <c r="A148" s="1331"/>
      <c r="B148" s="2174" t="s">
        <v>1338</v>
      </c>
      <c r="C148" s="1202"/>
      <c r="D148" s="1202"/>
      <c r="E148" s="1439">
        <v>140</v>
      </c>
      <c r="F148" s="1358" t="s">
        <v>226</v>
      </c>
      <c r="G148" s="2176">
        <v>131</v>
      </c>
      <c r="H148" s="1264">
        <f t="shared" si="21"/>
        <v>18340</v>
      </c>
      <c r="I148" s="2177">
        <v>32</v>
      </c>
      <c r="J148" s="1264">
        <f t="shared" si="22"/>
        <v>4480</v>
      </c>
      <c r="K148" s="1273">
        <f t="shared" ref="K148:K153" si="25">H148+J148</f>
        <v>22820</v>
      </c>
      <c r="L148" s="2000" t="s">
        <v>2667</v>
      </c>
      <c r="N148" s="1199">
        <v>391.8</v>
      </c>
      <c r="O148" s="1199">
        <f t="shared" si="24"/>
        <v>131</v>
      </c>
    </row>
    <row r="149" spans="1:17" s="1199" customFormat="1" ht="24" customHeight="1">
      <c r="A149" s="1331"/>
      <c r="B149" s="2174" t="s">
        <v>1339</v>
      </c>
      <c r="C149" s="1202"/>
      <c r="D149" s="1202"/>
      <c r="E149" s="1270"/>
      <c r="F149" s="1358" t="s">
        <v>226</v>
      </c>
      <c r="G149" s="2176">
        <v>160</v>
      </c>
      <c r="H149" s="1264">
        <f t="shared" si="21"/>
        <v>0</v>
      </c>
      <c r="I149" s="2177">
        <v>38</v>
      </c>
      <c r="J149" s="1264">
        <f t="shared" si="22"/>
        <v>0</v>
      </c>
      <c r="K149" s="1273">
        <f t="shared" si="25"/>
        <v>0</v>
      </c>
      <c r="L149" s="2000" t="s">
        <v>2667</v>
      </c>
      <c r="N149" s="1199">
        <v>481.2</v>
      </c>
      <c r="O149" s="1199">
        <f t="shared" si="24"/>
        <v>160</v>
      </c>
    </row>
    <row r="150" spans="1:17" s="1199" customFormat="1" ht="24" customHeight="1">
      <c r="A150" s="1331"/>
      <c r="B150" s="2174" t="s">
        <v>1340</v>
      </c>
      <c r="C150" s="1202"/>
      <c r="D150" s="1202"/>
      <c r="E150" s="1270"/>
      <c r="F150" s="1358" t="s">
        <v>226</v>
      </c>
      <c r="G150" s="2176">
        <v>219</v>
      </c>
      <c r="H150" s="1264">
        <f t="shared" si="21"/>
        <v>0</v>
      </c>
      <c r="I150" s="2177">
        <v>42</v>
      </c>
      <c r="J150" s="1264">
        <f t="shared" si="22"/>
        <v>0</v>
      </c>
      <c r="K150" s="1273">
        <f t="shared" si="25"/>
        <v>0</v>
      </c>
      <c r="L150" s="2000" t="s">
        <v>2667</v>
      </c>
      <c r="N150" s="1199">
        <v>657.6</v>
      </c>
      <c r="O150" s="1199">
        <f t="shared" si="24"/>
        <v>219</v>
      </c>
    </row>
    <row r="151" spans="1:17" s="1199" customFormat="1" ht="24" customHeight="1">
      <c r="A151" s="1331"/>
      <c r="B151" s="2174" t="s">
        <v>1341</v>
      </c>
      <c r="C151" s="1202"/>
      <c r="D151" s="1202"/>
      <c r="E151" s="1270"/>
      <c r="F151" s="1358" t="s">
        <v>226</v>
      </c>
      <c r="G151" s="2176">
        <v>352</v>
      </c>
      <c r="H151" s="1264">
        <f t="shared" si="21"/>
        <v>0</v>
      </c>
      <c r="I151" s="2177">
        <v>48</v>
      </c>
      <c r="J151" s="1264">
        <f t="shared" si="22"/>
        <v>0</v>
      </c>
      <c r="K151" s="1273">
        <f t="shared" si="25"/>
        <v>0</v>
      </c>
      <c r="L151" s="1269"/>
    </row>
    <row r="152" spans="1:17" s="1199" customFormat="1" ht="24" customHeight="1">
      <c r="A152" s="1331"/>
      <c r="B152" s="2174" t="s">
        <v>1342</v>
      </c>
      <c r="C152" s="1202"/>
      <c r="D152" s="1202"/>
      <c r="E152" s="1270"/>
      <c r="F152" s="1358" t="s">
        <v>226</v>
      </c>
      <c r="G152" s="2176">
        <v>434</v>
      </c>
      <c r="H152" s="1264">
        <f t="shared" si="21"/>
        <v>0</v>
      </c>
      <c r="I152" s="2177">
        <v>55</v>
      </c>
      <c r="J152" s="1264">
        <f t="shared" si="22"/>
        <v>0</v>
      </c>
      <c r="K152" s="1273">
        <f t="shared" si="25"/>
        <v>0</v>
      </c>
      <c r="L152" s="1269"/>
    </row>
    <row r="153" spans="1:17" s="1199" customFormat="1" ht="24" customHeight="1">
      <c r="A153" s="1331"/>
      <c r="B153" s="2174" t="s">
        <v>1111</v>
      </c>
      <c r="C153" s="1202"/>
      <c r="D153" s="1202"/>
      <c r="E153" s="1270"/>
      <c r="F153" s="1358" t="s">
        <v>226</v>
      </c>
      <c r="G153" s="2176">
        <v>572</v>
      </c>
      <c r="H153" s="1264">
        <f t="shared" si="21"/>
        <v>0</v>
      </c>
      <c r="I153" s="2177">
        <v>65</v>
      </c>
      <c r="J153" s="1264">
        <f t="shared" si="22"/>
        <v>0</v>
      </c>
      <c r="K153" s="1273">
        <f t="shared" si="25"/>
        <v>0</v>
      </c>
      <c r="L153" s="1269"/>
    </row>
    <row r="154" spans="1:17" s="1199" customFormat="1" ht="24" customHeight="1">
      <c r="A154" s="1331"/>
      <c r="B154" s="2174" t="s">
        <v>1108</v>
      </c>
      <c r="C154" s="1202"/>
      <c r="D154" s="1202"/>
      <c r="E154" s="1404">
        <v>1</v>
      </c>
      <c r="F154" s="1384" t="s">
        <v>1104</v>
      </c>
      <c r="G154" s="2176">
        <f>ROUND(SUM(H145:H153)*15%,0)</f>
        <v>9332</v>
      </c>
      <c r="H154" s="1264">
        <f t="shared" si="21"/>
        <v>9332</v>
      </c>
      <c r="I154" s="2177">
        <f>ROUND(ROUND(G154*0.3,),0)</f>
        <v>2800</v>
      </c>
      <c r="J154" s="1264">
        <f t="shared" si="22"/>
        <v>2800</v>
      </c>
      <c r="K154" s="1273">
        <f>H154+J154</f>
        <v>12132</v>
      </c>
      <c r="L154" s="1385"/>
      <c r="M154" s="1214"/>
      <c r="N154" s="1214"/>
      <c r="O154" s="1214"/>
      <c r="P154" s="1214"/>
      <c r="Q154" s="1214"/>
    </row>
    <row r="155" spans="1:17" s="1199" customFormat="1" ht="24" customHeight="1">
      <c r="A155" s="1331" t="s">
        <v>1621</v>
      </c>
      <c r="B155" s="2174" t="s">
        <v>1449</v>
      </c>
      <c r="C155" s="1202"/>
      <c r="D155" s="1202"/>
      <c r="E155" s="1387"/>
      <c r="F155" s="1384"/>
      <c r="G155" s="2176"/>
      <c r="H155" s="1264">
        <f t="shared" si="21"/>
        <v>0</v>
      </c>
      <c r="I155" s="2177"/>
      <c r="J155" s="1264">
        <f t="shared" si="22"/>
        <v>0</v>
      </c>
      <c r="K155" s="1385"/>
      <c r="L155" s="1385"/>
      <c r="M155" s="1214"/>
      <c r="N155" s="1214"/>
      <c r="O155" s="1214"/>
      <c r="P155" s="1214"/>
    </row>
    <row r="156" spans="1:17" s="1199" customFormat="1" ht="24" customHeight="1">
      <c r="A156" s="1331"/>
      <c r="B156" s="2174" t="s">
        <v>1350</v>
      </c>
      <c r="C156" s="1202"/>
      <c r="D156" s="1202"/>
      <c r="E156" s="1387">
        <v>14</v>
      </c>
      <c r="F156" s="1358" t="s">
        <v>226</v>
      </c>
      <c r="G156" s="2176">
        <v>14</v>
      </c>
      <c r="H156" s="1264">
        <f t="shared" si="21"/>
        <v>196</v>
      </c>
      <c r="I156" s="2177">
        <v>11</v>
      </c>
      <c r="J156" s="1264">
        <f t="shared" si="22"/>
        <v>154</v>
      </c>
      <c r="K156" s="1273">
        <f>H156+J156</f>
        <v>350</v>
      </c>
      <c r="L156" s="1385"/>
      <c r="M156" s="1214"/>
      <c r="N156" s="1214"/>
      <c r="O156" s="1214"/>
      <c r="P156" s="1214"/>
    </row>
    <row r="157" spans="1:17" s="1199" customFormat="1" ht="24" customHeight="1">
      <c r="A157" s="1331"/>
      <c r="B157" s="2174" t="s">
        <v>1117</v>
      </c>
      <c r="C157" s="1202"/>
      <c r="D157" s="1202"/>
      <c r="E157" s="1387"/>
      <c r="F157" s="1384"/>
      <c r="G157" s="2176"/>
      <c r="H157" s="1388"/>
      <c r="I157" s="2177"/>
      <c r="J157" s="1385"/>
      <c r="K157" s="1385"/>
      <c r="L157" s="1385"/>
      <c r="M157" s="1214"/>
      <c r="N157" s="1214"/>
      <c r="O157" s="1214"/>
      <c r="P157" s="1214"/>
    </row>
    <row r="158" spans="1:17" s="1199" customFormat="1" ht="24" customHeight="1">
      <c r="A158" s="1331"/>
      <c r="B158" s="2174" t="s">
        <v>1118</v>
      </c>
      <c r="C158" s="1202"/>
      <c r="D158" s="1202"/>
      <c r="E158" s="1387"/>
      <c r="F158" s="1384"/>
      <c r="G158" s="2176"/>
      <c r="H158" s="1388"/>
      <c r="I158" s="2177"/>
      <c r="J158" s="1385"/>
      <c r="K158" s="1385"/>
      <c r="L158" s="1385"/>
      <c r="M158" s="1214"/>
      <c r="N158" s="1214"/>
      <c r="O158" s="1214"/>
      <c r="P158" s="1214"/>
    </row>
    <row r="159" spans="1:17" s="1199" customFormat="1" ht="24" customHeight="1">
      <c r="A159" s="1189"/>
      <c r="B159" s="2174" t="s">
        <v>1118</v>
      </c>
      <c r="C159" s="1202"/>
      <c r="D159" s="1202"/>
      <c r="E159" s="1387"/>
      <c r="F159" s="1384"/>
      <c r="G159" s="2176"/>
      <c r="H159" s="1388"/>
      <c r="I159" s="2177"/>
      <c r="J159" s="1385"/>
      <c r="K159" s="1385"/>
      <c r="L159" s="1385"/>
      <c r="M159" s="1214"/>
      <c r="N159" s="1214"/>
      <c r="O159" s="1214"/>
      <c r="P159" s="1214"/>
    </row>
    <row r="160" spans="1:17" s="1199" customFormat="1" ht="24" customHeight="1">
      <c r="A160" s="1331"/>
      <c r="B160" s="1416"/>
      <c r="C160" s="1202"/>
      <c r="D160" s="1202"/>
      <c r="E160" s="1387"/>
      <c r="F160" s="1384"/>
      <c r="G160" s="2176"/>
      <c r="H160" s="1388"/>
      <c r="I160" s="2177"/>
      <c r="J160" s="1385"/>
      <c r="K160" s="1385"/>
      <c r="L160" s="1385"/>
      <c r="M160" s="1214"/>
      <c r="N160" s="1214"/>
      <c r="O160" s="1214"/>
      <c r="P160" s="1214"/>
    </row>
    <row r="161" spans="1:16" s="1199" customFormat="1" ht="24" customHeight="1">
      <c r="A161" s="1243"/>
      <c r="B161" s="2257" t="str">
        <f>"รวมราคารายการที่ "&amp;A139</f>
        <v>รวมราคารายการที่ 3.5</v>
      </c>
      <c r="C161" s="2258"/>
      <c r="D161" s="2259"/>
      <c r="E161" s="1244"/>
      <c r="F161" s="1245"/>
      <c r="G161" s="1246"/>
      <c r="H161" s="1247">
        <f>SUM(H140:H158)</f>
        <v>76401</v>
      </c>
      <c r="I161" s="1246"/>
      <c r="J161" s="1247">
        <f>SUM(J140:J158)</f>
        <v>27881</v>
      </c>
      <c r="K161" s="1247">
        <f>SUM(K140:K158)</f>
        <v>104282</v>
      </c>
      <c r="L161" s="1245"/>
      <c r="M161" s="1214"/>
      <c r="N161" s="1214"/>
      <c r="O161" s="1214"/>
      <c r="P161" s="1214"/>
    </row>
    <row r="162" spans="1:16" s="1199" customFormat="1" ht="24" customHeight="1">
      <c r="A162" s="1435" t="s">
        <v>1465</v>
      </c>
      <c r="B162" s="1436" t="s">
        <v>1451</v>
      </c>
      <c r="C162" s="1202"/>
      <c r="D162" s="1202"/>
      <c r="E162" s="1387"/>
      <c r="F162" s="1384"/>
      <c r="G162" s="2176"/>
      <c r="H162" s="1388"/>
      <c r="I162" s="2177"/>
      <c r="J162" s="1385"/>
      <c r="K162" s="1385"/>
      <c r="L162" s="1385"/>
      <c r="M162" s="1214"/>
      <c r="N162" s="1214"/>
      <c r="O162" s="1214"/>
      <c r="P162" s="1214"/>
    </row>
    <row r="163" spans="1:16" s="1199" customFormat="1" ht="24" customHeight="1">
      <c r="A163" s="1331" t="s">
        <v>1207</v>
      </c>
      <c r="B163" s="2174" t="s">
        <v>1451</v>
      </c>
      <c r="C163" s="1202"/>
      <c r="D163" s="1202"/>
      <c r="E163" s="1387"/>
      <c r="F163" s="1384"/>
      <c r="G163" s="2176"/>
      <c r="H163" s="1388"/>
      <c r="I163" s="2177"/>
      <c r="J163" s="1385"/>
      <c r="K163" s="1385"/>
      <c r="L163" s="1385"/>
      <c r="M163" s="1214"/>
      <c r="N163" s="1214"/>
      <c r="O163" s="1214"/>
      <c r="P163" s="1214"/>
    </row>
    <row r="164" spans="1:16" s="1199" customFormat="1" ht="24" customHeight="1">
      <c r="A164" s="1331"/>
      <c r="B164" s="2174" t="s">
        <v>1452</v>
      </c>
      <c r="C164" s="1202"/>
      <c r="D164" s="1202"/>
      <c r="E164" s="1387">
        <v>6</v>
      </c>
      <c r="F164" s="1207" t="s">
        <v>363</v>
      </c>
      <c r="G164" s="2176">
        <v>90</v>
      </c>
      <c r="H164" s="1264">
        <f t="shared" ref="H164:H171" si="26">ROUND(E164*G164,)</f>
        <v>540</v>
      </c>
      <c r="I164" s="2177">
        <v>80</v>
      </c>
      <c r="J164" s="1264">
        <f t="shared" ref="J164:J171" si="27">ROUND(E164*I164,)</f>
        <v>480</v>
      </c>
      <c r="K164" s="1273">
        <f t="shared" ref="K164:K171" si="28">H164+J164</f>
        <v>1020</v>
      </c>
      <c r="L164" s="1389"/>
      <c r="M164" s="1214"/>
      <c r="N164" s="1214"/>
      <c r="O164" s="1214"/>
    </row>
    <row r="165" spans="1:16" s="1199" customFormat="1" ht="24" customHeight="1">
      <c r="A165" s="1331"/>
      <c r="B165" s="2174" t="s">
        <v>1453</v>
      </c>
      <c r="C165" s="1202"/>
      <c r="D165" s="1202"/>
      <c r="E165" s="1387"/>
      <c r="F165" s="1207" t="s">
        <v>363</v>
      </c>
      <c r="G165" s="2176">
        <v>130</v>
      </c>
      <c r="H165" s="1264">
        <f t="shared" si="26"/>
        <v>0</v>
      </c>
      <c r="I165" s="2177">
        <v>90</v>
      </c>
      <c r="J165" s="1264">
        <f t="shared" si="27"/>
        <v>0</v>
      </c>
      <c r="K165" s="1273">
        <f t="shared" si="28"/>
        <v>0</v>
      </c>
      <c r="L165" s="1389"/>
      <c r="M165" s="1214"/>
      <c r="N165" s="1214"/>
      <c r="O165" s="1214"/>
    </row>
    <row r="166" spans="1:16" s="1199" customFormat="1" ht="24" customHeight="1">
      <c r="A166" s="1331"/>
      <c r="B166" s="2174" t="s">
        <v>1454</v>
      </c>
      <c r="C166" s="1202"/>
      <c r="D166" s="1202"/>
      <c r="E166" s="1387"/>
      <c r="F166" s="1207" t="s">
        <v>363</v>
      </c>
      <c r="G166" s="2176">
        <v>240</v>
      </c>
      <c r="H166" s="1264">
        <f t="shared" si="26"/>
        <v>0</v>
      </c>
      <c r="I166" s="2177">
        <v>90</v>
      </c>
      <c r="J166" s="1264">
        <f t="shared" si="27"/>
        <v>0</v>
      </c>
      <c r="K166" s="1273">
        <f t="shared" si="28"/>
        <v>0</v>
      </c>
      <c r="L166" s="1389"/>
      <c r="M166" s="1214"/>
      <c r="N166" s="1214"/>
      <c r="O166" s="1214"/>
    </row>
    <row r="167" spans="1:16" s="1199" customFormat="1" ht="24" customHeight="1">
      <c r="A167" s="1331"/>
      <c r="B167" s="2174" t="s">
        <v>1455</v>
      </c>
      <c r="C167" s="1202"/>
      <c r="D167" s="1202"/>
      <c r="E167" s="1387"/>
      <c r="F167" s="1207" t="s">
        <v>363</v>
      </c>
      <c r="G167" s="2176">
        <v>162</v>
      </c>
      <c r="H167" s="1264">
        <f t="shared" si="26"/>
        <v>0</v>
      </c>
      <c r="I167" s="2177">
        <v>90</v>
      </c>
      <c r="J167" s="1264">
        <f t="shared" si="27"/>
        <v>0</v>
      </c>
      <c r="K167" s="1273">
        <f t="shared" si="28"/>
        <v>0</v>
      </c>
      <c r="L167" s="1389"/>
      <c r="M167" s="1214"/>
      <c r="N167" s="1214"/>
      <c r="O167" s="1214"/>
    </row>
    <row r="168" spans="1:16" s="1199" customFormat="1" ht="24" customHeight="1">
      <c r="A168" s="1331"/>
      <c r="B168" s="2174" t="s">
        <v>1456</v>
      </c>
      <c r="C168" s="1202"/>
      <c r="D168" s="1202"/>
      <c r="E168" s="1387">
        <v>8</v>
      </c>
      <c r="F168" s="1207" t="s">
        <v>363</v>
      </c>
      <c r="G168" s="2176">
        <v>197</v>
      </c>
      <c r="H168" s="1264">
        <f t="shared" si="26"/>
        <v>1576</v>
      </c>
      <c r="I168" s="2177">
        <v>90</v>
      </c>
      <c r="J168" s="1264">
        <f t="shared" si="27"/>
        <v>720</v>
      </c>
      <c r="K168" s="1273">
        <f t="shared" si="28"/>
        <v>2296</v>
      </c>
      <c r="L168" s="1389"/>
      <c r="M168" s="1214"/>
      <c r="N168" s="1214"/>
      <c r="O168" s="1214"/>
    </row>
    <row r="169" spans="1:16" s="1199" customFormat="1" ht="24" customHeight="1">
      <c r="A169" s="1331"/>
      <c r="B169" s="2174" t="s">
        <v>1457</v>
      </c>
      <c r="C169" s="1202"/>
      <c r="D169" s="1202"/>
      <c r="E169" s="1387"/>
      <c r="F169" s="1207" t="s">
        <v>363</v>
      </c>
      <c r="G169" s="2176">
        <v>1500</v>
      </c>
      <c r="H169" s="1264">
        <f t="shared" si="26"/>
        <v>0</v>
      </c>
      <c r="I169" s="2177">
        <v>265</v>
      </c>
      <c r="J169" s="1264">
        <f t="shared" si="27"/>
        <v>0</v>
      </c>
      <c r="K169" s="1385">
        <f t="shared" si="28"/>
        <v>0</v>
      </c>
      <c r="L169" s="1389"/>
      <c r="M169" s="1214"/>
      <c r="N169" s="1214"/>
      <c r="O169" s="1214"/>
    </row>
    <row r="170" spans="1:16" s="1199" customFormat="1" ht="24" customHeight="1">
      <c r="A170" s="1331"/>
      <c r="B170" s="2174" t="s">
        <v>1458</v>
      </c>
      <c r="C170" s="1202"/>
      <c r="D170" s="1202"/>
      <c r="E170" s="1387"/>
      <c r="F170" s="1207" t="s">
        <v>363</v>
      </c>
      <c r="G170" s="2176">
        <v>518</v>
      </c>
      <c r="H170" s="1264">
        <f t="shared" si="26"/>
        <v>0</v>
      </c>
      <c r="I170" s="2177">
        <v>115</v>
      </c>
      <c r="J170" s="1264">
        <f t="shared" si="27"/>
        <v>0</v>
      </c>
      <c r="K170" s="1273">
        <f t="shared" si="28"/>
        <v>0</v>
      </c>
      <c r="L170" s="1389"/>
      <c r="M170" s="1214"/>
      <c r="N170" s="1214"/>
      <c r="O170" s="1214"/>
    </row>
    <row r="171" spans="1:16" s="1199" customFormat="1" ht="24" customHeight="1">
      <c r="A171" s="1331"/>
      <c r="B171" s="2174" t="s">
        <v>1459</v>
      </c>
      <c r="C171" s="1202"/>
      <c r="D171" s="1202"/>
      <c r="E171" s="1387"/>
      <c r="F171" s="1207" t="s">
        <v>363</v>
      </c>
      <c r="G171" s="2176">
        <v>850</v>
      </c>
      <c r="H171" s="1264">
        <f t="shared" si="26"/>
        <v>0</v>
      </c>
      <c r="I171" s="2177">
        <v>265</v>
      </c>
      <c r="J171" s="1264">
        <f t="shared" si="27"/>
        <v>0</v>
      </c>
      <c r="K171" s="1273">
        <f t="shared" si="28"/>
        <v>0</v>
      </c>
      <c r="L171" s="1389"/>
      <c r="M171" s="1214"/>
      <c r="N171" s="1214"/>
      <c r="O171" s="1214"/>
    </row>
    <row r="172" spans="1:16" s="1199" customFormat="1" ht="24" customHeight="1">
      <c r="A172" s="1331" t="s">
        <v>1229</v>
      </c>
      <c r="B172" s="2174" t="s">
        <v>1460</v>
      </c>
      <c r="C172" s="1202"/>
      <c r="D172" s="1202"/>
      <c r="E172" s="1387">
        <v>2</v>
      </c>
      <c r="F172" s="1207" t="s">
        <v>363</v>
      </c>
      <c r="G172" s="2176">
        <v>130</v>
      </c>
      <c r="H172" s="1264">
        <f>ROUND(E172*G172,)</f>
        <v>260</v>
      </c>
      <c r="I172" s="2177">
        <v>90</v>
      </c>
      <c r="J172" s="1264">
        <f>ROUND(E172*I172,)</f>
        <v>180</v>
      </c>
      <c r="K172" s="1273">
        <f>H172+J172</f>
        <v>440</v>
      </c>
      <c r="L172" s="1385"/>
      <c r="M172" s="1214"/>
      <c r="N172" s="1214"/>
      <c r="O172" s="1214"/>
      <c r="P172" s="1214"/>
    </row>
    <row r="173" spans="1:16" s="1199" customFormat="1" ht="24" customHeight="1">
      <c r="A173" s="1331"/>
      <c r="B173" s="2174" t="s">
        <v>1117</v>
      </c>
      <c r="C173" s="1202"/>
      <c r="D173" s="1202"/>
      <c r="E173" s="1387"/>
      <c r="F173" s="1384"/>
      <c r="G173" s="2176"/>
      <c r="H173" s="1388"/>
      <c r="I173" s="2177"/>
      <c r="J173" s="1385"/>
      <c r="K173" s="1385"/>
      <c r="L173" s="1385"/>
      <c r="M173" s="1214"/>
      <c r="N173" s="1214"/>
      <c r="O173" s="1214"/>
      <c r="P173" s="1214"/>
    </row>
    <row r="174" spans="1:16" s="1199" customFormat="1" ht="24" customHeight="1">
      <c r="A174" s="1331"/>
      <c r="B174" s="2174" t="s">
        <v>1118</v>
      </c>
      <c r="C174" s="1202"/>
      <c r="D174" s="1202"/>
      <c r="E174" s="1387"/>
      <c r="F174" s="1384"/>
      <c r="G174" s="2176"/>
      <c r="H174" s="1388"/>
      <c r="I174" s="2177"/>
      <c r="J174" s="1385"/>
      <c r="K174" s="1385"/>
      <c r="L174" s="1385"/>
      <c r="M174" s="1214"/>
      <c r="N174" s="1214"/>
      <c r="O174" s="1214"/>
      <c r="P174" s="1214"/>
    </row>
    <row r="175" spans="1:16" s="1199" customFormat="1" ht="24" customHeight="1">
      <c r="A175" s="1189"/>
      <c r="B175" s="2174" t="s">
        <v>1118</v>
      </c>
      <c r="C175" s="1202"/>
      <c r="D175" s="1202"/>
      <c r="E175" s="1387"/>
      <c r="F175" s="1384"/>
      <c r="G175" s="2176"/>
      <c r="H175" s="1388"/>
      <c r="I175" s="2177"/>
      <c r="J175" s="1385"/>
      <c r="K175" s="1385"/>
      <c r="L175" s="1385"/>
      <c r="M175" s="1214"/>
      <c r="N175" s="1214"/>
      <c r="O175" s="1214"/>
      <c r="P175" s="1214"/>
    </row>
    <row r="176" spans="1:16" s="1199" customFormat="1" ht="24" customHeight="1">
      <c r="A176" s="1189"/>
      <c r="B176" s="1240"/>
      <c r="C176" s="1202"/>
      <c r="D176" s="1202"/>
      <c r="E176" s="1387"/>
      <c r="F176" s="1384"/>
      <c r="G176" s="2176"/>
      <c r="H176" s="1388"/>
      <c r="I176" s="2177"/>
      <c r="J176" s="1385"/>
      <c r="K176" s="1385"/>
      <c r="L176" s="1385"/>
      <c r="M176" s="1214"/>
      <c r="N176" s="1214"/>
      <c r="O176" s="1214"/>
      <c r="P176" s="1214"/>
    </row>
    <row r="177" spans="1:16" s="1199" customFormat="1" ht="24" customHeight="1">
      <c r="A177" s="1331"/>
      <c r="B177" s="1416"/>
      <c r="C177" s="1202"/>
      <c r="D177" s="1202"/>
      <c r="E177" s="1387"/>
      <c r="F177" s="1384"/>
      <c r="G177" s="2176"/>
      <c r="H177" s="1388"/>
      <c r="I177" s="2177"/>
      <c r="J177" s="1385"/>
      <c r="K177" s="1385"/>
      <c r="L177" s="1385"/>
      <c r="M177" s="1214"/>
      <c r="N177" s="1214"/>
      <c r="O177" s="1214"/>
      <c r="P177" s="1214"/>
    </row>
    <row r="178" spans="1:16" s="1199" customFormat="1" ht="24" customHeight="1">
      <c r="A178" s="1243"/>
      <c r="B178" s="2257" t="str">
        <f>"รวมราคารายการที่ "&amp;A162</f>
        <v>รวมราคารายการที่ 3.6</v>
      </c>
      <c r="C178" s="2258"/>
      <c r="D178" s="2259"/>
      <c r="E178" s="1244"/>
      <c r="F178" s="1245"/>
      <c r="G178" s="1246"/>
      <c r="H178" s="1247">
        <f>SUM(H163:H174)</f>
        <v>2376</v>
      </c>
      <c r="I178" s="1246"/>
      <c r="J178" s="1247">
        <f>SUM(J163:J174)</f>
        <v>1380</v>
      </c>
      <c r="K178" s="1247">
        <f>SUM(K163:K174)</f>
        <v>3756</v>
      </c>
      <c r="L178" s="1245"/>
      <c r="M178" s="1214"/>
      <c r="N178" s="1214"/>
      <c r="O178" s="1214"/>
      <c r="P178" s="1214"/>
    </row>
    <row r="179" spans="1:16" s="1199" customFormat="1" ht="24" customHeight="1">
      <c r="A179" s="1435" t="s">
        <v>1490</v>
      </c>
      <c r="B179" s="1436" t="s">
        <v>1466</v>
      </c>
      <c r="C179" s="1202"/>
      <c r="D179" s="1202"/>
      <c r="E179" s="1387"/>
      <c r="F179" s="1207"/>
      <c r="G179" s="2176"/>
      <c r="H179" s="1264"/>
      <c r="I179" s="2177"/>
      <c r="J179" s="1264"/>
      <c r="K179" s="1273"/>
      <c r="L179" s="1385"/>
      <c r="M179" s="1214"/>
      <c r="N179" s="1214"/>
      <c r="O179" s="1214"/>
      <c r="P179" s="1214"/>
    </row>
    <row r="180" spans="1:16" s="1199" customFormat="1" ht="24" customHeight="1">
      <c r="A180" s="1339"/>
      <c r="B180" s="1259" t="s">
        <v>1467</v>
      </c>
      <c r="C180" s="1202"/>
      <c r="D180" s="1202"/>
      <c r="E180" s="1404">
        <v>12</v>
      </c>
      <c r="F180" s="1267" t="s">
        <v>363</v>
      </c>
      <c r="G180" s="1386">
        <v>420</v>
      </c>
      <c r="H180" s="1343">
        <f t="shared" ref="H180:H203" si="29">ROUND(E180*G180,)</f>
        <v>5040</v>
      </c>
      <c r="I180" s="1414">
        <v>115</v>
      </c>
      <c r="J180" s="1343">
        <f t="shared" ref="J180:J203" si="30">ROUND(E180*I180,)</f>
        <v>1380</v>
      </c>
      <c r="K180" s="1262">
        <f t="shared" ref="K180:K203" si="31">H180+J180</f>
        <v>6420</v>
      </c>
      <c r="L180" s="1415"/>
      <c r="M180" s="1214"/>
      <c r="N180" s="1214"/>
      <c r="O180" s="1214"/>
      <c r="P180" s="1214"/>
    </row>
    <row r="181" spans="1:16" s="1199" customFormat="1" ht="24" customHeight="1">
      <c r="A181" s="1339"/>
      <c r="B181" s="1259" t="s">
        <v>1468</v>
      </c>
      <c r="C181" s="1202"/>
      <c r="D181" s="1202"/>
      <c r="E181" s="1404">
        <v>4</v>
      </c>
      <c r="F181" s="1267" t="s">
        <v>363</v>
      </c>
      <c r="G181" s="1386">
        <v>500</v>
      </c>
      <c r="H181" s="1343">
        <f t="shared" si="29"/>
        <v>2000</v>
      </c>
      <c r="I181" s="1414">
        <v>115</v>
      </c>
      <c r="J181" s="1343">
        <f t="shared" si="30"/>
        <v>460</v>
      </c>
      <c r="K181" s="1262">
        <f t="shared" si="31"/>
        <v>2460</v>
      </c>
      <c r="L181" s="1415"/>
      <c r="M181" s="1214"/>
      <c r="N181" s="1214"/>
      <c r="O181" s="1214"/>
      <c r="P181" s="1214"/>
    </row>
    <row r="182" spans="1:16" s="1199" customFormat="1" ht="24" customHeight="1">
      <c r="A182" s="1339"/>
      <c r="B182" s="1259" t="s">
        <v>1469</v>
      </c>
      <c r="C182" s="1202"/>
      <c r="D182" s="1202"/>
      <c r="E182" s="1404"/>
      <c r="F182" s="1267" t="s">
        <v>363</v>
      </c>
      <c r="G182" s="1386">
        <v>550</v>
      </c>
      <c r="H182" s="1343">
        <f t="shared" si="29"/>
        <v>0</v>
      </c>
      <c r="I182" s="1414">
        <v>115</v>
      </c>
      <c r="J182" s="1343">
        <f t="shared" si="30"/>
        <v>0</v>
      </c>
      <c r="K182" s="1262">
        <f t="shared" si="31"/>
        <v>0</v>
      </c>
      <c r="L182" s="1415"/>
      <c r="M182" s="1214"/>
      <c r="N182" s="1214"/>
      <c r="O182" s="1214"/>
      <c r="P182" s="1214"/>
    </row>
    <row r="183" spans="1:16" s="1199" customFormat="1" ht="24" customHeight="1">
      <c r="A183" s="1339"/>
      <c r="B183" s="1259" t="s">
        <v>1470</v>
      </c>
      <c r="C183" s="1202"/>
      <c r="D183" s="1202"/>
      <c r="E183" s="1404"/>
      <c r="F183" s="1267" t="s">
        <v>363</v>
      </c>
      <c r="G183" s="1386">
        <v>750</v>
      </c>
      <c r="H183" s="1343">
        <f t="shared" si="29"/>
        <v>0</v>
      </c>
      <c r="I183" s="1414">
        <v>135</v>
      </c>
      <c r="J183" s="1343">
        <f t="shared" si="30"/>
        <v>0</v>
      </c>
      <c r="K183" s="1262">
        <f t="shared" si="31"/>
        <v>0</v>
      </c>
      <c r="L183" s="1415"/>
      <c r="M183" s="1214"/>
      <c r="N183" s="1214"/>
      <c r="O183" s="1214"/>
      <c r="P183" s="1214"/>
    </row>
    <row r="184" spans="1:16" s="1199" customFormat="1" ht="24" customHeight="1">
      <c r="A184" s="1339"/>
      <c r="B184" s="1259" t="s">
        <v>1471</v>
      </c>
      <c r="C184" s="1202"/>
      <c r="D184" s="1202"/>
      <c r="E184" s="1404"/>
      <c r="F184" s="1267" t="s">
        <v>363</v>
      </c>
      <c r="G184" s="1386">
        <v>1550</v>
      </c>
      <c r="H184" s="1343">
        <f t="shared" si="29"/>
        <v>0</v>
      </c>
      <c r="I184" s="1414">
        <v>135</v>
      </c>
      <c r="J184" s="1343">
        <f t="shared" si="30"/>
        <v>0</v>
      </c>
      <c r="K184" s="1262">
        <f t="shared" si="31"/>
        <v>0</v>
      </c>
      <c r="L184" s="1415"/>
      <c r="M184" s="1214"/>
      <c r="N184" s="1214"/>
      <c r="O184" s="1214"/>
      <c r="P184" s="1214"/>
    </row>
    <row r="185" spans="1:16" s="1199" customFormat="1" ht="24" customHeight="1">
      <c r="A185" s="1339"/>
      <c r="B185" s="1259" t="s">
        <v>1472</v>
      </c>
      <c r="C185" s="1202"/>
      <c r="D185" s="1202"/>
      <c r="E185" s="1404"/>
      <c r="F185" s="1267" t="s">
        <v>363</v>
      </c>
      <c r="G185" s="1386">
        <v>2090</v>
      </c>
      <c r="H185" s="1343">
        <f t="shared" si="29"/>
        <v>0</v>
      </c>
      <c r="I185" s="1414">
        <v>135</v>
      </c>
      <c r="J185" s="1343">
        <f t="shared" si="30"/>
        <v>0</v>
      </c>
      <c r="K185" s="1262">
        <f t="shared" si="31"/>
        <v>0</v>
      </c>
      <c r="L185" s="1415"/>
      <c r="M185" s="1214"/>
      <c r="N185" s="1214"/>
      <c r="O185" s="1214"/>
      <c r="P185" s="1214"/>
    </row>
    <row r="186" spans="1:16" s="1199" customFormat="1" ht="24" customHeight="1">
      <c r="A186" s="1339"/>
      <c r="B186" s="1259" t="s">
        <v>1473</v>
      </c>
      <c r="C186" s="1202"/>
      <c r="D186" s="1202"/>
      <c r="E186" s="1404"/>
      <c r="F186" s="1267" t="s">
        <v>363</v>
      </c>
      <c r="G186" s="1386">
        <v>3750</v>
      </c>
      <c r="H186" s="1343">
        <f t="shared" si="29"/>
        <v>0</v>
      </c>
      <c r="I186" s="1414">
        <v>135</v>
      </c>
      <c r="J186" s="1343">
        <f t="shared" si="30"/>
        <v>0</v>
      </c>
      <c r="K186" s="1262">
        <f t="shared" si="31"/>
        <v>0</v>
      </c>
      <c r="L186" s="1415"/>
      <c r="M186" s="1214"/>
      <c r="N186" s="1214"/>
      <c r="O186" s="1214"/>
      <c r="P186" s="1214"/>
    </row>
    <row r="187" spans="1:16" s="1199" customFormat="1" ht="24" customHeight="1">
      <c r="A187" s="1339"/>
      <c r="B187" s="1259" t="s">
        <v>1474</v>
      </c>
      <c r="C187" s="1202"/>
      <c r="D187" s="1202"/>
      <c r="E187" s="1404"/>
      <c r="F187" s="1267" t="s">
        <v>363</v>
      </c>
      <c r="G187" s="1386">
        <v>2450</v>
      </c>
      <c r="H187" s="1343">
        <f t="shared" si="29"/>
        <v>0</v>
      </c>
      <c r="I187" s="1414">
        <v>135</v>
      </c>
      <c r="J187" s="1343">
        <f t="shared" si="30"/>
        <v>0</v>
      </c>
      <c r="K187" s="1262">
        <f t="shared" si="31"/>
        <v>0</v>
      </c>
      <c r="L187" s="1415"/>
      <c r="M187" s="1214"/>
      <c r="N187" s="1214"/>
      <c r="O187" s="1214"/>
      <c r="P187" s="1214"/>
    </row>
    <row r="188" spans="1:16" s="1199" customFormat="1" ht="24" customHeight="1">
      <c r="A188" s="1339"/>
      <c r="B188" s="1259" t="s">
        <v>1475</v>
      </c>
      <c r="C188" s="1202"/>
      <c r="D188" s="1202"/>
      <c r="E188" s="1404"/>
      <c r="F188" s="1267" t="s">
        <v>363</v>
      </c>
      <c r="G188" s="1386">
        <v>1860</v>
      </c>
      <c r="H188" s="1343">
        <f t="shared" si="29"/>
        <v>0</v>
      </c>
      <c r="I188" s="1414">
        <v>135</v>
      </c>
      <c r="J188" s="1343">
        <f t="shared" si="30"/>
        <v>0</v>
      </c>
      <c r="K188" s="1262">
        <f t="shared" si="31"/>
        <v>0</v>
      </c>
      <c r="L188" s="1415"/>
      <c r="M188" s="1214"/>
      <c r="N188" s="1214"/>
      <c r="O188" s="1214"/>
      <c r="P188" s="1214"/>
    </row>
    <row r="189" spans="1:16" s="1199" customFormat="1" ht="24" customHeight="1">
      <c r="A189" s="1339"/>
      <c r="B189" s="1259" t="s">
        <v>1476</v>
      </c>
      <c r="C189" s="1202"/>
      <c r="D189" s="1202"/>
      <c r="E189" s="1404"/>
      <c r="F189" s="1267" t="s">
        <v>363</v>
      </c>
      <c r="G189" s="1386">
        <v>1200</v>
      </c>
      <c r="H189" s="1343">
        <f t="shared" si="29"/>
        <v>0</v>
      </c>
      <c r="I189" s="1414">
        <v>135</v>
      </c>
      <c r="J189" s="1343">
        <f t="shared" si="30"/>
        <v>0</v>
      </c>
      <c r="K189" s="1262">
        <f t="shared" si="31"/>
        <v>0</v>
      </c>
      <c r="L189" s="1415"/>
      <c r="M189" s="1214"/>
      <c r="N189" s="1214"/>
      <c r="O189" s="1214"/>
      <c r="P189" s="1214"/>
    </row>
    <row r="190" spans="1:16" s="1199" customFormat="1" ht="24" customHeight="1">
      <c r="A190" s="1339"/>
      <c r="B190" s="1259" t="s">
        <v>1477</v>
      </c>
      <c r="C190" s="1202"/>
      <c r="D190" s="1202"/>
      <c r="E190" s="1404"/>
      <c r="F190" s="1267" t="s">
        <v>363</v>
      </c>
      <c r="G190" s="1386">
        <v>1450</v>
      </c>
      <c r="H190" s="1343">
        <f t="shared" si="29"/>
        <v>0</v>
      </c>
      <c r="I190" s="1414">
        <v>135</v>
      </c>
      <c r="J190" s="1343">
        <f t="shared" si="30"/>
        <v>0</v>
      </c>
      <c r="K190" s="1262">
        <f t="shared" si="31"/>
        <v>0</v>
      </c>
      <c r="L190" s="1415"/>
      <c r="M190" s="1214"/>
      <c r="N190" s="1214"/>
      <c r="O190" s="1214"/>
      <c r="P190" s="1214"/>
    </row>
    <row r="191" spans="1:16" s="1199" customFormat="1" ht="24" customHeight="1">
      <c r="A191" s="1339"/>
      <c r="B191" s="1259" t="s">
        <v>1478</v>
      </c>
      <c r="C191" s="1202"/>
      <c r="D191" s="1202"/>
      <c r="E191" s="1404"/>
      <c r="F191" s="1267" t="s">
        <v>363</v>
      </c>
      <c r="G191" s="1386">
        <v>1250</v>
      </c>
      <c r="H191" s="1343">
        <f t="shared" si="29"/>
        <v>0</v>
      </c>
      <c r="I191" s="1414">
        <v>135</v>
      </c>
      <c r="J191" s="1343">
        <f t="shared" si="30"/>
        <v>0</v>
      </c>
      <c r="K191" s="1262">
        <f t="shared" si="31"/>
        <v>0</v>
      </c>
      <c r="L191" s="1415"/>
      <c r="M191" s="1214"/>
      <c r="N191" s="1214"/>
      <c r="O191" s="1214"/>
      <c r="P191" s="1214"/>
    </row>
    <row r="192" spans="1:16" s="1199" customFormat="1" ht="24" customHeight="1">
      <c r="A192" s="1339"/>
      <c r="B192" s="1259" t="s">
        <v>1479</v>
      </c>
      <c r="C192" s="1202"/>
      <c r="D192" s="1202"/>
      <c r="E192" s="1404"/>
      <c r="F192" s="1267" t="s">
        <v>363</v>
      </c>
      <c r="G192" s="1386">
        <v>650</v>
      </c>
      <c r="H192" s="1343">
        <f t="shared" si="29"/>
        <v>0</v>
      </c>
      <c r="I192" s="1414">
        <v>20</v>
      </c>
      <c r="J192" s="1343">
        <f t="shared" si="30"/>
        <v>0</v>
      </c>
      <c r="K192" s="1262">
        <f t="shared" si="31"/>
        <v>0</v>
      </c>
      <c r="L192" s="1415"/>
      <c r="M192" s="1214"/>
      <c r="N192" s="1214"/>
      <c r="O192" s="1214"/>
      <c r="P192" s="1214"/>
    </row>
    <row r="193" spans="1:19" s="1199" customFormat="1" ht="24" customHeight="1">
      <c r="A193" s="1339"/>
      <c r="B193" s="1259" t="s">
        <v>1480</v>
      </c>
      <c r="C193" s="1202"/>
      <c r="D193" s="1202"/>
      <c r="E193" s="1404"/>
      <c r="F193" s="1267" t="s">
        <v>363</v>
      </c>
      <c r="G193" s="1386">
        <v>2565</v>
      </c>
      <c r="H193" s="1343">
        <f t="shared" si="29"/>
        <v>0</v>
      </c>
      <c r="I193" s="1414">
        <v>135</v>
      </c>
      <c r="J193" s="1343">
        <f t="shared" si="30"/>
        <v>0</v>
      </c>
      <c r="K193" s="1262">
        <f t="shared" si="31"/>
        <v>0</v>
      </c>
      <c r="L193" s="1415"/>
      <c r="M193" s="1214"/>
      <c r="N193" s="1214"/>
      <c r="O193" s="1214"/>
      <c r="P193" s="1214"/>
    </row>
    <row r="194" spans="1:19" s="1199" customFormat="1" ht="24" customHeight="1">
      <c r="A194" s="1339"/>
      <c r="B194" s="1259" t="s">
        <v>1481</v>
      </c>
      <c r="C194" s="1202"/>
      <c r="D194" s="1202"/>
      <c r="E194" s="1404"/>
      <c r="F194" s="1267" t="s">
        <v>363</v>
      </c>
      <c r="G194" s="1386">
        <v>1200</v>
      </c>
      <c r="H194" s="1343">
        <f t="shared" si="29"/>
        <v>0</v>
      </c>
      <c r="I194" s="1414">
        <v>135</v>
      </c>
      <c r="J194" s="1343">
        <f t="shared" si="30"/>
        <v>0</v>
      </c>
      <c r="K194" s="1262">
        <f t="shared" si="31"/>
        <v>0</v>
      </c>
      <c r="L194" s="1415"/>
      <c r="M194" s="1214"/>
      <c r="N194" s="1214"/>
      <c r="O194" s="1214"/>
      <c r="P194" s="1214"/>
    </row>
    <row r="195" spans="1:19" s="1199" customFormat="1" ht="24" customHeight="1">
      <c r="A195" s="1339"/>
      <c r="B195" s="1259" t="s">
        <v>1482</v>
      </c>
      <c r="C195" s="1202"/>
      <c r="D195" s="1202"/>
      <c r="E195" s="1404"/>
      <c r="F195" s="1267" t="s">
        <v>363</v>
      </c>
      <c r="G195" s="1386">
        <v>1200</v>
      </c>
      <c r="H195" s="1343">
        <f t="shared" si="29"/>
        <v>0</v>
      </c>
      <c r="I195" s="1414">
        <v>135</v>
      </c>
      <c r="J195" s="1343">
        <f t="shared" si="30"/>
        <v>0</v>
      </c>
      <c r="K195" s="1262">
        <f t="shared" si="31"/>
        <v>0</v>
      </c>
      <c r="L195" s="1415"/>
      <c r="M195" s="1214"/>
      <c r="N195" s="1214"/>
      <c r="O195" s="1214"/>
      <c r="P195" s="1214"/>
    </row>
    <row r="196" spans="1:19" s="1199" customFormat="1" ht="24" customHeight="1">
      <c r="A196" s="1339"/>
      <c r="B196" s="1259" t="s">
        <v>1483</v>
      </c>
      <c r="C196" s="1202"/>
      <c r="D196" s="1202"/>
      <c r="E196" s="1404"/>
      <c r="F196" s="1267" t="s">
        <v>363</v>
      </c>
      <c r="G196" s="1386">
        <v>1860</v>
      </c>
      <c r="H196" s="1343">
        <f t="shared" si="29"/>
        <v>0</v>
      </c>
      <c r="I196" s="1414">
        <v>135</v>
      </c>
      <c r="J196" s="1343">
        <f t="shared" si="30"/>
        <v>0</v>
      </c>
      <c r="K196" s="1262">
        <f t="shared" si="31"/>
        <v>0</v>
      </c>
      <c r="L196" s="1415"/>
      <c r="M196" s="1214"/>
      <c r="N196" s="1214"/>
      <c r="O196" s="1214"/>
      <c r="P196" s="1214"/>
    </row>
    <row r="197" spans="1:19" s="1199" customFormat="1" ht="24" customHeight="1">
      <c r="A197" s="1339"/>
      <c r="B197" s="1259" t="s">
        <v>1484</v>
      </c>
      <c r="C197" s="1202"/>
      <c r="D197" s="1202"/>
      <c r="E197" s="1404"/>
      <c r="F197" s="1267" t="s">
        <v>363</v>
      </c>
      <c r="G197" s="1386">
        <v>1200</v>
      </c>
      <c r="H197" s="1343">
        <f t="shared" si="29"/>
        <v>0</v>
      </c>
      <c r="I197" s="1414">
        <v>135</v>
      </c>
      <c r="J197" s="1343">
        <f t="shared" si="30"/>
        <v>0</v>
      </c>
      <c r="K197" s="1262">
        <f t="shared" si="31"/>
        <v>0</v>
      </c>
      <c r="L197" s="1415"/>
      <c r="M197" s="1214"/>
      <c r="N197" s="1214"/>
      <c r="O197" s="1214"/>
      <c r="P197" s="1214"/>
    </row>
    <row r="198" spans="1:19" s="1199" customFormat="1" ht="24" customHeight="1">
      <c r="A198" s="1339"/>
      <c r="B198" s="1259" t="s">
        <v>1485</v>
      </c>
      <c r="C198" s="1202"/>
      <c r="D198" s="1202"/>
      <c r="E198" s="1404"/>
      <c r="F198" s="1267" t="s">
        <v>363</v>
      </c>
      <c r="G198" s="1386">
        <v>1200</v>
      </c>
      <c r="H198" s="1343">
        <f t="shared" si="29"/>
        <v>0</v>
      </c>
      <c r="I198" s="1414">
        <v>135</v>
      </c>
      <c r="J198" s="1343">
        <f t="shared" si="30"/>
        <v>0</v>
      </c>
      <c r="K198" s="1262">
        <f t="shared" si="31"/>
        <v>0</v>
      </c>
      <c r="L198" s="1415"/>
      <c r="M198" s="1214"/>
      <c r="N198" s="1214"/>
      <c r="O198" s="1214"/>
      <c r="P198" s="1214"/>
    </row>
    <row r="199" spans="1:19" s="1199" customFormat="1" ht="24" customHeight="1">
      <c r="A199" s="1339"/>
      <c r="B199" s="1259" t="s">
        <v>1486</v>
      </c>
      <c r="C199" s="1202"/>
      <c r="D199" s="1202"/>
      <c r="E199" s="1404"/>
      <c r="F199" s="1267" t="s">
        <v>363</v>
      </c>
      <c r="G199" s="1386">
        <v>1830</v>
      </c>
      <c r="H199" s="1343">
        <f t="shared" si="29"/>
        <v>0</v>
      </c>
      <c r="I199" s="1414">
        <v>500</v>
      </c>
      <c r="J199" s="1343">
        <f t="shared" si="30"/>
        <v>0</v>
      </c>
      <c r="K199" s="1262">
        <f t="shared" si="31"/>
        <v>0</v>
      </c>
      <c r="L199" s="1415"/>
      <c r="M199" s="1214"/>
      <c r="N199" s="1214"/>
      <c r="O199" s="1214"/>
      <c r="P199" s="1214"/>
      <c r="Q199" s="1214"/>
    </row>
    <row r="200" spans="1:19" s="1199" customFormat="1" ht="24" customHeight="1">
      <c r="A200" s="1339"/>
      <c r="B200" s="1259" t="s">
        <v>1487</v>
      </c>
      <c r="C200" s="1202"/>
      <c r="D200" s="1202"/>
      <c r="E200" s="1404">
        <v>4</v>
      </c>
      <c r="F200" s="1267" t="s">
        <v>363</v>
      </c>
      <c r="G200" s="1386">
        <v>1620</v>
      </c>
      <c r="H200" s="1343">
        <f t="shared" si="29"/>
        <v>6480</v>
      </c>
      <c r="I200" s="1414">
        <v>500</v>
      </c>
      <c r="J200" s="1343">
        <f t="shared" si="30"/>
        <v>2000</v>
      </c>
      <c r="K200" s="1262">
        <f t="shared" si="31"/>
        <v>8480</v>
      </c>
      <c r="L200" s="1415"/>
      <c r="M200" s="1214"/>
      <c r="N200" s="1214"/>
      <c r="O200" s="1214"/>
      <c r="P200" s="1214"/>
      <c r="Q200" s="1214"/>
    </row>
    <row r="201" spans="1:19" s="1199" customFormat="1" ht="24" customHeight="1">
      <c r="A201" s="1339"/>
      <c r="B201" s="1259" t="s">
        <v>1488</v>
      </c>
      <c r="C201" s="1202"/>
      <c r="D201" s="1202"/>
      <c r="E201" s="1404"/>
      <c r="F201" s="1267" t="s">
        <v>363</v>
      </c>
      <c r="G201" s="1386">
        <v>920</v>
      </c>
      <c r="H201" s="1343">
        <f t="shared" si="29"/>
        <v>0</v>
      </c>
      <c r="I201" s="1414">
        <v>250</v>
      </c>
      <c r="J201" s="1343">
        <f t="shared" si="30"/>
        <v>0</v>
      </c>
      <c r="K201" s="1262">
        <f t="shared" si="31"/>
        <v>0</v>
      </c>
      <c r="L201" s="1415"/>
      <c r="M201" s="1214"/>
      <c r="N201" s="1214"/>
      <c r="O201" s="1214"/>
      <c r="P201" s="1214"/>
      <c r="Q201" s="1214"/>
    </row>
    <row r="202" spans="1:19" s="1199" customFormat="1" ht="24" customHeight="1">
      <c r="A202" s="1339"/>
      <c r="B202" s="1259" t="s">
        <v>1489</v>
      </c>
      <c r="C202" s="1202"/>
      <c r="D202" s="1202"/>
      <c r="E202" s="1404"/>
      <c r="F202" s="1267" t="s">
        <v>363</v>
      </c>
      <c r="G202" s="1386">
        <v>2180</v>
      </c>
      <c r="H202" s="1343">
        <f t="shared" si="29"/>
        <v>0</v>
      </c>
      <c r="I202" s="1414">
        <v>500</v>
      </c>
      <c r="J202" s="1343">
        <f t="shared" si="30"/>
        <v>0</v>
      </c>
      <c r="K202" s="1262">
        <f t="shared" si="31"/>
        <v>0</v>
      </c>
      <c r="L202" s="1415"/>
      <c r="M202" s="1214"/>
      <c r="N202" s="1214"/>
      <c r="O202" s="1214"/>
      <c r="P202" s="1214"/>
    </row>
    <row r="203" spans="1:19" s="1199" customFormat="1" ht="24" customHeight="1">
      <c r="A203" s="1339"/>
      <c r="B203" s="1259" t="s">
        <v>1602</v>
      </c>
      <c r="C203" s="1202"/>
      <c r="D203" s="1202"/>
      <c r="E203" s="1404">
        <v>1</v>
      </c>
      <c r="F203" s="1267" t="s">
        <v>1104</v>
      </c>
      <c r="G203" s="1386">
        <f>SUM(H179:H201)*5%</f>
        <v>676</v>
      </c>
      <c r="H203" s="1343">
        <f t="shared" si="29"/>
        <v>676</v>
      </c>
      <c r="I203" s="1414">
        <f>ROUND(G203*0.3,)</f>
        <v>203</v>
      </c>
      <c r="J203" s="1343">
        <f t="shared" si="30"/>
        <v>203</v>
      </c>
      <c r="K203" s="1262">
        <f t="shared" si="31"/>
        <v>879</v>
      </c>
      <c r="L203" s="1415"/>
      <c r="M203" s="1214"/>
      <c r="N203" s="1214"/>
      <c r="O203" s="1214"/>
      <c r="P203" s="1214"/>
      <c r="Q203" s="1214"/>
    </row>
    <row r="204" spans="1:19" s="1199" customFormat="1" ht="24" customHeight="1">
      <c r="A204" s="1331"/>
      <c r="B204" s="2174" t="s">
        <v>1117</v>
      </c>
      <c r="C204" s="1202"/>
      <c r="D204" s="1202"/>
      <c r="E204" s="1387"/>
      <c r="F204" s="1207"/>
      <c r="G204" s="2176"/>
      <c r="H204" s="1388"/>
      <c r="I204" s="2177"/>
      <c r="J204" s="1385"/>
      <c r="K204" s="1385"/>
      <c r="L204" s="1385"/>
      <c r="M204" s="1214"/>
      <c r="N204" s="1214"/>
      <c r="O204" s="1214"/>
      <c r="P204" s="1214"/>
    </row>
    <row r="205" spans="1:19" s="1199" customFormat="1" ht="24" customHeight="1">
      <c r="A205" s="1331"/>
      <c r="B205" s="2174" t="s">
        <v>1369</v>
      </c>
      <c r="C205" s="1202"/>
      <c r="D205" s="1202"/>
      <c r="E205" s="1387"/>
      <c r="F205" s="1207"/>
      <c r="G205" s="2176"/>
      <c r="H205" s="1388"/>
      <c r="I205" s="2177"/>
      <c r="J205" s="1385"/>
      <c r="K205" s="1385"/>
      <c r="L205" s="1385"/>
      <c r="M205" s="1214"/>
      <c r="N205" s="1214"/>
      <c r="O205" s="1214"/>
      <c r="P205" s="1214"/>
    </row>
    <row r="206" spans="1:19" s="1199" customFormat="1" ht="24" customHeight="1">
      <c r="A206" s="1331"/>
      <c r="B206" s="2174" t="s">
        <v>1369</v>
      </c>
      <c r="C206" s="1202"/>
      <c r="D206" s="1202"/>
      <c r="E206" s="1387"/>
      <c r="F206" s="1384"/>
      <c r="G206" s="2176"/>
      <c r="H206" s="1388"/>
      <c r="I206" s="2177"/>
      <c r="J206" s="1385"/>
      <c r="K206" s="1385"/>
      <c r="L206" s="1385"/>
      <c r="M206" s="1214"/>
      <c r="N206" s="1214"/>
      <c r="O206" s="1214"/>
      <c r="P206" s="1214"/>
    </row>
    <row r="207" spans="1:19" s="1199" customFormat="1" ht="24" customHeight="1">
      <c r="A207" s="1331"/>
      <c r="B207" s="2174"/>
      <c r="C207" s="1202"/>
      <c r="D207" s="1202"/>
      <c r="E207" s="1387"/>
      <c r="F207" s="1407"/>
      <c r="G207" s="2176"/>
      <c r="H207" s="1388"/>
      <c r="I207" s="2177"/>
      <c r="J207" s="1385"/>
      <c r="K207" s="1385"/>
      <c r="L207" s="1385"/>
      <c r="M207" s="1214"/>
      <c r="N207" s="1214"/>
      <c r="O207" s="1214"/>
      <c r="P207" s="1214"/>
      <c r="Q207" s="1214"/>
      <c r="R207" s="1214"/>
      <c r="S207" s="1214"/>
    </row>
    <row r="208" spans="1:19" s="1199" customFormat="1" ht="24" customHeight="1">
      <c r="A208" s="1243"/>
      <c r="B208" s="2257" t="str">
        <f>"รวมราคารายการที่ "&amp;A179</f>
        <v>รวมราคารายการที่ 3.7</v>
      </c>
      <c r="C208" s="2258"/>
      <c r="D208" s="2259"/>
      <c r="E208" s="1244"/>
      <c r="F208" s="1245"/>
      <c r="G208" s="1246"/>
      <c r="H208" s="1247">
        <f>SUM(H179:H206)</f>
        <v>14196</v>
      </c>
      <c r="I208" s="1246"/>
      <c r="J208" s="1247">
        <f t="shared" ref="J208:K208" si="32">SUM(J179:J206)</f>
        <v>4043</v>
      </c>
      <c r="K208" s="1247">
        <f t="shared" si="32"/>
        <v>18239</v>
      </c>
      <c r="L208" s="1245"/>
      <c r="M208" s="1214"/>
      <c r="N208" s="1214"/>
      <c r="O208" s="1214"/>
      <c r="P208" s="1214"/>
    </row>
    <row r="209" spans="1:17" s="1199" customFormat="1" ht="24" customHeight="1">
      <c r="A209" s="1435">
        <v>3.8</v>
      </c>
      <c r="B209" s="1436" t="s">
        <v>1371</v>
      </c>
      <c r="C209" s="1202"/>
      <c r="D209" s="1202"/>
      <c r="E209" s="1387"/>
      <c r="F209" s="1384"/>
      <c r="G209" s="2176"/>
      <c r="H209" s="1388"/>
      <c r="I209" s="2177"/>
      <c r="J209" s="1385"/>
      <c r="K209" s="1385"/>
      <c r="L209" s="1385"/>
      <c r="M209" s="1214"/>
      <c r="N209" s="1214"/>
      <c r="O209" s="1214"/>
      <c r="P209" s="1214"/>
    </row>
    <row r="210" spans="1:17" s="1199" customFormat="1" ht="24" customHeight="1">
      <c r="A210" s="1406" t="s">
        <v>1292</v>
      </c>
      <c r="B210" s="2174" t="s">
        <v>1491</v>
      </c>
      <c r="C210" s="1202"/>
      <c r="D210" s="1202"/>
      <c r="E210" s="1387">
        <v>2</v>
      </c>
      <c r="F210" s="1207" t="s">
        <v>363</v>
      </c>
      <c r="G210" s="2176">
        <f>30000+13500</f>
        <v>43500</v>
      </c>
      <c r="H210" s="1264">
        <f t="shared" ref="H210:H235" si="33">ROUND(E210*G210,)</f>
        <v>87000</v>
      </c>
      <c r="I210" s="2177">
        <f>G210*0.1</f>
        <v>4350</v>
      </c>
      <c r="J210" s="1264">
        <f t="shared" ref="J210:J244" si="34">ROUND(E210*I210,)</f>
        <v>8700</v>
      </c>
      <c r="K210" s="1273">
        <f t="shared" ref="K210:K244" si="35">H210+J210</f>
        <v>95700</v>
      </c>
      <c r="L210" s="1385"/>
      <c r="M210" s="1214"/>
      <c r="N210" s="1214"/>
      <c r="O210" s="1214"/>
      <c r="P210" s="1214"/>
    </row>
    <row r="211" spans="1:17" s="1199" customFormat="1" ht="24" customHeight="1">
      <c r="A211" s="1406" t="s">
        <v>1299</v>
      </c>
      <c r="B211" s="2174" t="s">
        <v>1492</v>
      </c>
      <c r="C211" s="1202"/>
      <c r="D211" s="1202"/>
      <c r="E211" s="1387">
        <v>6</v>
      </c>
      <c r="F211" s="1207" t="s">
        <v>363</v>
      </c>
      <c r="G211" s="2176">
        <v>1850</v>
      </c>
      <c r="H211" s="1264">
        <f t="shared" si="33"/>
        <v>11100</v>
      </c>
      <c r="I211" s="2177">
        <v>250</v>
      </c>
      <c r="J211" s="1264">
        <f t="shared" si="34"/>
        <v>1500</v>
      </c>
      <c r="K211" s="1273">
        <f t="shared" si="35"/>
        <v>12600</v>
      </c>
      <c r="L211" s="1385"/>
      <c r="M211" s="1214"/>
      <c r="N211" s="1214"/>
      <c r="O211" s="1214"/>
      <c r="P211" s="1214"/>
    </row>
    <row r="212" spans="1:17" s="1199" customFormat="1" ht="24" customHeight="1">
      <c r="A212" s="1406" t="s">
        <v>1301</v>
      </c>
      <c r="B212" s="2174" t="s">
        <v>1493</v>
      </c>
      <c r="C212" s="1202"/>
      <c r="D212" s="1202"/>
      <c r="E212" s="1387">
        <v>6</v>
      </c>
      <c r="F212" s="1207" t="s">
        <v>363</v>
      </c>
      <c r="G212" s="2176">
        <v>1850</v>
      </c>
      <c r="H212" s="1264">
        <f t="shared" si="33"/>
        <v>11100</v>
      </c>
      <c r="I212" s="2177">
        <v>250</v>
      </c>
      <c r="J212" s="1264">
        <f t="shared" si="34"/>
        <v>1500</v>
      </c>
      <c r="K212" s="1273">
        <f t="shared" si="35"/>
        <v>12600</v>
      </c>
      <c r="L212" s="1385"/>
      <c r="M212" s="1214"/>
      <c r="N212" s="1214"/>
      <c r="O212" s="1214"/>
      <c r="P212" s="1214"/>
    </row>
    <row r="213" spans="1:17" s="1199" customFormat="1" ht="24" customHeight="1">
      <c r="A213" s="1406" t="s">
        <v>1309</v>
      </c>
      <c r="B213" s="2174" t="s">
        <v>1494</v>
      </c>
      <c r="C213" s="1202"/>
      <c r="D213" s="1202"/>
      <c r="E213" s="1387">
        <v>4</v>
      </c>
      <c r="F213" s="1207" t="s">
        <v>363</v>
      </c>
      <c r="G213" s="2176">
        <v>1850</v>
      </c>
      <c r="H213" s="1264">
        <f t="shared" si="33"/>
        <v>7400</v>
      </c>
      <c r="I213" s="2177">
        <v>250</v>
      </c>
      <c r="J213" s="1264">
        <f t="shared" si="34"/>
        <v>1000</v>
      </c>
      <c r="K213" s="1273">
        <f t="shared" si="35"/>
        <v>8400</v>
      </c>
      <c r="L213" s="1385"/>
      <c r="M213" s="1214"/>
      <c r="N213" s="1214"/>
      <c r="O213" s="1214"/>
      <c r="P213" s="1214"/>
    </row>
    <row r="214" spans="1:17" s="1199" customFormat="1" ht="24" customHeight="1">
      <c r="A214" s="1406" t="s">
        <v>1533</v>
      </c>
      <c r="B214" s="2174" t="s">
        <v>1495</v>
      </c>
      <c r="C214" s="1202"/>
      <c r="D214" s="1202"/>
      <c r="E214" s="1387">
        <v>4</v>
      </c>
      <c r="F214" s="1207" t="s">
        <v>363</v>
      </c>
      <c r="G214" s="2176">
        <v>1850</v>
      </c>
      <c r="H214" s="1264">
        <f t="shared" si="33"/>
        <v>7400</v>
      </c>
      <c r="I214" s="2177">
        <v>250</v>
      </c>
      <c r="J214" s="1264">
        <f t="shared" si="34"/>
        <v>1000</v>
      </c>
      <c r="K214" s="1273">
        <f t="shared" si="35"/>
        <v>8400</v>
      </c>
      <c r="L214" s="1385"/>
      <c r="M214" s="1214"/>
      <c r="N214" s="1214"/>
      <c r="O214" s="1214"/>
      <c r="P214" s="1214"/>
    </row>
    <row r="215" spans="1:17" s="1199" customFormat="1" ht="24" customHeight="1">
      <c r="A215" s="1406" t="s">
        <v>1536</v>
      </c>
      <c r="B215" s="2174" t="s">
        <v>1496</v>
      </c>
      <c r="C215" s="1202"/>
      <c r="D215" s="1202"/>
      <c r="E215" s="1387"/>
      <c r="F215" s="1207" t="s">
        <v>363</v>
      </c>
      <c r="G215" s="2176">
        <v>1850</v>
      </c>
      <c r="H215" s="1264">
        <f t="shared" si="33"/>
        <v>0</v>
      </c>
      <c r="I215" s="2177">
        <v>250</v>
      </c>
      <c r="J215" s="1264">
        <f t="shared" si="34"/>
        <v>0</v>
      </c>
      <c r="K215" s="1273">
        <f t="shared" si="35"/>
        <v>0</v>
      </c>
      <c r="L215" s="1385"/>
      <c r="M215" s="1214"/>
      <c r="N215" s="1214"/>
      <c r="O215" s="1214"/>
      <c r="P215" s="1214"/>
    </row>
    <row r="216" spans="1:17" s="1199" customFormat="1" ht="24" customHeight="1">
      <c r="A216" s="1406" t="s">
        <v>1537</v>
      </c>
      <c r="B216" s="2174" t="s">
        <v>1497</v>
      </c>
      <c r="C216" s="1202"/>
      <c r="D216" s="1202"/>
      <c r="E216" s="1387">
        <v>2</v>
      </c>
      <c r="F216" s="1207" t="s">
        <v>363</v>
      </c>
      <c r="G216" s="2176">
        <v>2750</v>
      </c>
      <c r="H216" s="1264">
        <f t="shared" si="33"/>
        <v>5500</v>
      </c>
      <c r="I216" s="2177">
        <v>250</v>
      </c>
      <c r="J216" s="1264">
        <f t="shared" si="34"/>
        <v>500</v>
      </c>
      <c r="K216" s="1273">
        <f t="shared" si="35"/>
        <v>6000</v>
      </c>
      <c r="L216" s="1385"/>
      <c r="M216" s="1214"/>
      <c r="N216" s="1214"/>
      <c r="O216" s="1214"/>
      <c r="P216" s="1214"/>
    </row>
    <row r="217" spans="1:17" s="1199" customFormat="1" ht="24" customHeight="1">
      <c r="A217" s="1406" t="s">
        <v>1538</v>
      </c>
      <c r="B217" s="2174" t="s">
        <v>1498</v>
      </c>
      <c r="C217" s="1202"/>
      <c r="D217" s="1202"/>
      <c r="E217" s="1387">
        <v>2</v>
      </c>
      <c r="F217" s="1207" t="s">
        <v>363</v>
      </c>
      <c r="G217" s="2176">
        <v>2750</v>
      </c>
      <c r="H217" s="1264">
        <f t="shared" si="33"/>
        <v>5500</v>
      </c>
      <c r="I217" s="2177">
        <v>250</v>
      </c>
      <c r="J217" s="1264">
        <f t="shared" si="34"/>
        <v>500</v>
      </c>
      <c r="K217" s="1273">
        <f t="shared" si="35"/>
        <v>6000</v>
      </c>
      <c r="L217" s="1385"/>
      <c r="M217" s="1214"/>
      <c r="N217" s="1214"/>
      <c r="O217" s="1214"/>
      <c r="P217" s="1214"/>
    </row>
    <row r="218" spans="1:17" s="1199" customFormat="1" ht="24" customHeight="1">
      <c r="A218" s="1406" t="s">
        <v>2900</v>
      </c>
      <c r="B218" s="2174" t="s">
        <v>1500</v>
      </c>
      <c r="C218" s="1202"/>
      <c r="D218" s="1202"/>
      <c r="E218" s="1387">
        <v>2</v>
      </c>
      <c r="F218" s="1207" t="s">
        <v>363</v>
      </c>
      <c r="G218" s="2176">
        <v>2750</v>
      </c>
      <c r="H218" s="1264">
        <f t="shared" si="33"/>
        <v>5500</v>
      </c>
      <c r="I218" s="2177">
        <v>250</v>
      </c>
      <c r="J218" s="1264">
        <f t="shared" si="34"/>
        <v>500</v>
      </c>
      <c r="K218" s="1273">
        <f t="shared" si="35"/>
        <v>6000</v>
      </c>
      <c r="L218" s="1385"/>
      <c r="M218" s="1214"/>
      <c r="N218" s="1214"/>
      <c r="O218" s="1214"/>
      <c r="P218" s="1214"/>
    </row>
    <row r="219" spans="1:17" s="1199" customFormat="1" ht="24" customHeight="1">
      <c r="A219" s="1406" t="s">
        <v>2901</v>
      </c>
      <c r="B219" s="1190" t="s">
        <v>1603</v>
      </c>
      <c r="C219" s="1202"/>
      <c r="D219" s="1202"/>
      <c r="E219" s="1387">
        <v>2</v>
      </c>
      <c r="F219" s="1194" t="s">
        <v>363</v>
      </c>
      <c r="G219" s="2176">
        <v>2750</v>
      </c>
      <c r="H219" s="1264">
        <f t="shared" si="33"/>
        <v>5500</v>
      </c>
      <c r="I219" s="2177">
        <v>250</v>
      </c>
      <c r="J219" s="1264">
        <f t="shared" si="34"/>
        <v>500</v>
      </c>
      <c r="K219" s="1273">
        <f t="shared" si="35"/>
        <v>6000</v>
      </c>
      <c r="L219" s="1385"/>
      <c r="M219" s="1214"/>
      <c r="N219" s="1214"/>
      <c r="O219" s="1214"/>
      <c r="P219" s="1214"/>
      <c r="Q219" s="1214"/>
    </row>
    <row r="220" spans="1:17" s="1199" customFormat="1" ht="24" customHeight="1">
      <c r="A220" s="1406" t="s">
        <v>2902</v>
      </c>
      <c r="B220" s="2174" t="s">
        <v>1502</v>
      </c>
      <c r="C220" s="1202"/>
      <c r="D220" s="1202"/>
      <c r="E220" s="1387">
        <v>2</v>
      </c>
      <c r="F220" s="1207" t="s">
        <v>363</v>
      </c>
      <c r="G220" s="2176">
        <v>2750</v>
      </c>
      <c r="H220" s="1264">
        <f t="shared" si="33"/>
        <v>5500</v>
      </c>
      <c r="I220" s="2177">
        <v>250</v>
      </c>
      <c r="J220" s="1264">
        <f t="shared" si="34"/>
        <v>500</v>
      </c>
      <c r="K220" s="1273">
        <f t="shared" si="35"/>
        <v>6000</v>
      </c>
      <c r="L220" s="1385"/>
      <c r="M220" s="1214"/>
      <c r="N220" s="1214"/>
      <c r="O220" s="1214"/>
      <c r="P220" s="1214"/>
    </row>
    <row r="221" spans="1:17" s="1199" customFormat="1" ht="24" customHeight="1">
      <c r="A221" s="1406" t="s">
        <v>2903</v>
      </c>
      <c r="B221" s="2174" t="s">
        <v>1504</v>
      </c>
      <c r="C221" s="1202"/>
      <c r="D221" s="1202"/>
      <c r="E221" s="1387">
        <v>2</v>
      </c>
      <c r="F221" s="1207" t="s">
        <v>363</v>
      </c>
      <c r="G221" s="2176">
        <v>2750</v>
      </c>
      <c r="H221" s="1264">
        <f t="shared" si="33"/>
        <v>5500</v>
      </c>
      <c r="I221" s="2177">
        <v>250</v>
      </c>
      <c r="J221" s="1264">
        <f t="shared" si="34"/>
        <v>500</v>
      </c>
      <c r="K221" s="1273">
        <f t="shared" si="35"/>
        <v>6000</v>
      </c>
      <c r="L221" s="1385"/>
      <c r="M221" s="1214"/>
      <c r="N221" s="1214"/>
      <c r="O221" s="1214"/>
      <c r="P221" s="1214"/>
    </row>
    <row r="222" spans="1:17" s="1199" customFormat="1" ht="24" customHeight="1">
      <c r="A222" s="1406" t="s">
        <v>2904</v>
      </c>
      <c r="B222" s="2174" t="s">
        <v>1506</v>
      </c>
      <c r="C222" s="1202"/>
      <c r="D222" s="1202"/>
      <c r="E222" s="1387">
        <v>8</v>
      </c>
      <c r="F222" s="1207" t="s">
        <v>363</v>
      </c>
      <c r="G222" s="2176">
        <v>2750</v>
      </c>
      <c r="H222" s="1264">
        <f t="shared" si="33"/>
        <v>22000</v>
      </c>
      <c r="I222" s="2177">
        <v>250</v>
      </c>
      <c r="J222" s="1264">
        <f t="shared" si="34"/>
        <v>2000</v>
      </c>
      <c r="K222" s="1273">
        <f t="shared" si="35"/>
        <v>24000</v>
      </c>
      <c r="L222" s="1385"/>
      <c r="M222" s="1214"/>
      <c r="N222" s="1214"/>
      <c r="O222" s="1214"/>
      <c r="P222" s="1214"/>
    </row>
    <row r="223" spans="1:17" s="1199" customFormat="1" ht="24" customHeight="1">
      <c r="A223" s="1406" t="s">
        <v>2905</v>
      </c>
      <c r="B223" s="2174" t="s">
        <v>1508</v>
      </c>
      <c r="C223" s="1202"/>
      <c r="D223" s="1202"/>
      <c r="E223" s="1387">
        <v>4</v>
      </c>
      <c r="F223" s="1207" t="s">
        <v>363</v>
      </c>
      <c r="G223" s="2176">
        <v>2250</v>
      </c>
      <c r="H223" s="1264">
        <f t="shared" si="33"/>
        <v>9000</v>
      </c>
      <c r="I223" s="2177">
        <v>250</v>
      </c>
      <c r="J223" s="1264">
        <f t="shared" si="34"/>
        <v>1000</v>
      </c>
      <c r="K223" s="1273">
        <f t="shared" si="35"/>
        <v>10000</v>
      </c>
      <c r="L223" s="1385"/>
      <c r="M223" s="1214"/>
      <c r="N223" s="1214"/>
      <c r="O223" s="1214"/>
      <c r="P223" s="1214"/>
    </row>
    <row r="224" spans="1:17" s="1199" customFormat="1" ht="24" customHeight="1">
      <c r="A224" s="1406" t="s">
        <v>2906</v>
      </c>
      <c r="B224" s="2174" t="s">
        <v>1510</v>
      </c>
      <c r="C224" s="1202"/>
      <c r="D224" s="1202"/>
      <c r="E224" s="1387">
        <v>183</v>
      </c>
      <c r="F224" s="1207" t="s">
        <v>363</v>
      </c>
      <c r="G224" s="2176">
        <f>3300+300</f>
        <v>3600</v>
      </c>
      <c r="H224" s="1264">
        <f t="shared" si="33"/>
        <v>658800</v>
      </c>
      <c r="I224" s="2177">
        <v>200</v>
      </c>
      <c r="J224" s="1264">
        <f t="shared" si="34"/>
        <v>36600</v>
      </c>
      <c r="K224" s="1273">
        <f t="shared" si="35"/>
        <v>695400</v>
      </c>
      <c r="L224" s="1385"/>
      <c r="M224" s="1214"/>
      <c r="N224" s="1214"/>
      <c r="O224" s="1214"/>
      <c r="P224" s="1214"/>
    </row>
    <row r="225" spans="1:17" s="1199" customFormat="1" ht="24" customHeight="1">
      <c r="A225" s="1406" t="s">
        <v>2907</v>
      </c>
      <c r="B225" s="2174" t="s">
        <v>1512</v>
      </c>
      <c r="C225" s="1202"/>
      <c r="D225" s="1202"/>
      <c r="E225" s="1387">
        <v>10</v>
      </c>
      <c r="F225" s="1207" t="s">
        <v>363</v>
      </c>
      <c r="G225" s="2176">
        <v>5000</v>
      </c>
      <c r="H225" s="1264">
        <f t="shared" si="33"/>
        <v>50000</v>
      </c>
      <c r="I225" s="2177">
        <v>500</v>
      </c>
      <c r="J225" s="1264">
        <f t="shared" si="34"/>
        <v>5000</v>
      </c>
      <c r="K225" s="1273">
        <f t="shared" si="35"/>
        <v>55000</v>
      </c>
      <c r="L225" s="1385"/>
      <c r="M225" s="1214"/>
      <c r="N225" s="1214"/>
      <c r="O225" s="1214"/>
      <c r="P225" s="1214"/>
    </row>
    <row r="226" spans="1:17" s="1199" customFormat="1" ht="24" customHeight="1">
      <c r="A226" s="1406" t="s">
        <v>2908</v>
      </c>
      <c r="B226" s="2174" t="s">
        <v>1514</v>
      </c>
      <c r="C226" s="1202"/>
      <c r="D226" s="1202"/>
      <c r="E226" s="1387">
        <v>6</v>
      </c>
      <c r="F226" s="1207" t="s">
        <v>363</v>
      </c>
      <c r="G226" s="2176">
        <v>350</v>
      </c>
      <c r="H226" s="1264">
        <f t="shared" si="33"/>
        <v>2100</v>
      </c>
      <c r="I226" s="2177">
        <v>200</v>
      </c>
      <c r="J226" s="1264">
        <f t="shared" si="34"/>
        <v>1200</v>
      </c>
      <c r="K226" s="1273">
        <f t="shared" si="35"/>
        <v>3300</v>
      </c>
      <c r="L226" s="1385"/>
      <c r="M226" s="1214"/>
      <c r="N226" s="1214"/>
      <c r="O226" s="1214"/>
      <c r="P226" s="1214"/>
    </row>
    <row r="227" spans="1:17" s="1199" customFormat="1" ht="24" customHeight="1">
      <c r="A227" s="1406" t="s">
        <v>2909</v>
      </c>
      <c r="B227" s="2174" t="s">
        <v>1516</v>
      </c>
      <c r="C227" s="1202"/>
      <c r="D227" s="1202"/>
      <c r="E227" s="1387">
        <v>6</v>
      </c>
      <c r="F227" s="1207" t="s">
        <v>363</v>
      </c>
      <c r="G227" s="2176">
        <v>4200</v>
      </c>
      <c r="H227" s="1264">
        <f t="shared" si="33"/>
        <v>25200</v>
      </c>
      <c r="I227" s="2177">
        <v>200</v>
      </c>
      <c r="J227" s="1264">
        <f t="shared" si="34"/>
        <v>1200</v>
      </c>
      <c r="K227" s="1273">
        <f t="shared" si="35"/>
        <v>26400</v>
      </c>
      <c r="L227" s="1385"/>
      <c r="M227" s="1214"/>
      <c r="N227" s="1214"/>
      <c r="O227" s="1214"/>
      <c r="P227" s="1214"/>
    </row>
    <row r="228" spans="1:17" s="1199" customFormat="1" ht="24" customHeight="1">
      <c r="A228" s="1406" t="s">
        <v>2910</v>
      </c>
      <c r="B228" s="2174" t="s">
        <v>1518</v>
      </c>
      <c r="C228" s="1202"/>
      <c r="D228" s="1202"/>
      <c r="E228" s="1387">
        <v>23</v>
      </c>
      <c r="F228" s="1207" t="s">
        <v>363</v>
      </c>
      <c r="G228" s="2176">
        <v>2200</v>
      </c>
      <c r="H228" s="1264">
        <f t="shared" si="33"/>
        <v>50600</v>
      </c>
      <c r="I228" s="2177">
        <v>200</v>
      </c>
      <c r="J228" s="1264">
        <f t="shared" si="34"/>
        <v>4600</v>
      </c>
      <c r="K228" s="1273">
        <f t="shared" si="35"/>
        <v>55200</v>
      </c>
      <c r="L228" s="1385"/>
      <c r="M228" s="1214"/>
      <c r="N228" s="1214"/>
      <c r="O228" s="1214"/>
      <c r="P228" s="1214"/>
    </row>
    <row r="229" spans="1:17" s="1199" customFormat="1" ht="24" customHeight="1">
      <c r="A229" s="1406" t="s">
        <v>2911</v>
      </c>
      <c r="B229" s="2174" t="s">
        <v>1604</v>
      </c>
      <c r="C229" s="1202"/>
      <c r="D229" s="1202"/>
      <c r="E229" s="1387">
        <v>2</v>
      </c>
      <c r="F229" s="1207" t="s">
        <v>363</v>
      </c>
      <c r="G229" s="2176">
        <v>4785</v>
      </c>
      <c r="H229" s="1264">
        <f t="shared" si="33"/>
        <v>9570</v>
      </c>
      <c r="I229" s="2177">
        <v>100</v>
      </c>
      <c r="J229" s="1264">
        <f t="shared" si="34"/>
        <v>200</v>
      </c>
      <c r="K229" s="1273">
        <f t="shared" si="35"/>
        <v>9770</v>
      </c>
      <c r="L229" s="1385"/>
      <c r="M229" s="1214"/>
      <c r="N229" s="1214"/>
      <c r="O229" s="1214"/>
      <c r="P229" s="1214"/>
      <c r="Q229" s="1214"/>
    </row>
    <row r="230" spans="1:17" s="1199" customFormat="1" ht="24" customHeight="1">
      <c r="A230" s="1406" t="s">
        <v>2912</v>
      </c>
      <c r="B230" s="2174" t="s">
        <v>1521</v>
      </c>
      <c r="C230" s="1202"/>
      <c r="D230" s="1202"/>
      <c r="E230" s="1387">
        <v>2</v>
      </c>
      <c r="F230" s="1207" t="s">
        <v>363</v>
      </c>
      <c r="G230" s="2176">
        <v>5000</v>
      </c>
      <c r="H230" s="1264">
        <f t="shared" si="33"/>
        <v>10000</v>
      </c>
      <c r="I230" s="2177">
        <v>500</v>
      </c>
      <c r="J230" s="1264">
        <f t="shared" si="34"/>
        <v>1000</v>
      </c>
      <c r="K230" s="1273">
        <f t="shared" si="35"/>
        <v>11000</v>
      </c>
      <c r="L230" s="1385"/>
      <c r="M230" s="1214"/>
      <c r="N230" s="1214"/>
      <c r="O230" s="1214"/>
      <c r="P230" s="1214"/>
    </row>
    <row r="231" spans="1:17" s="1199" customFormat="1" ht="24" customHeight="1">
      <c r="A231" s="1406" t="s">
        <v>2913</v>
      </c>
      <c r="B231" s="2174" t="s">
        <v>1312</v>
      </c>
      <c r="C231" s="1202"/>
      <c r="D231" s="1202"/>
      <c r="E231" s="1387"/>
      <c r="F231" s="1384"/>
      <c r="G231" s="2176"/>
      <c r="H231" s="1264">
        <f t="shared" si="33"/>
        <v>0</v>
      </c>
      <c r="I231" s="2177"/>
      <c r="J231" s="1264">
        <f t="shared" si="34"/>
        <v>0</v>
      </c>
      <c r="K231" s="1273">
        <f t="shared" si="35"/>
        <v>0</v>
      </c>
      <c r="L231" s="1385"/>
      <c r="M231" s="1214"/>
      <c r="N231" s="1214"/>
      <c r="O231" s="1214"/>
      <c r="P231" s="1214"/>
    </row>
    <row r="232" spans="1:17" s="1199" customFormat="1" ht="24" customHeight="1">
      <c r="A232" s="1331"/>
      <c r="B232" s="2174" t="s">
        <v>1523</v>
      </c>
      <c r="C232" s="1202"/>
      <c r="D232" s="1202"/>
      <c r="E232" s="1404">
        <v>2400</v>
      </c>
      <c r="F232" s="1358" t="s">
        <v>226</v>
      </c>
      <c r="G232" s="2176">
        <v>82</v>
      </c>
      <c r="H232" s="1264">
        <f t="shared" si="33"/>
        <v>196800</v>
      </c>
      <c r="I232" s="2177">
        <v>12</v>
      </c>
      <c r="J232" s="1264">
        <f t="shared" si="34"/>
        <v>28800</v>
      </c>
      <c r="K232" s="1273">
        <f t="shared" si="35"/>
        <v>225600</v>
      </c>
      <c r="L232" s="1385"/>
      <c r="M232" s="1214"/>
      <c r="N232" s="1214"/>
      <c r="O232" s="1214"/>
      <c r="P232" s="1214"/>
    </row>
    <row r="233" spans="1:17" s="1199" customFormat="1" ht="24" customHeight="1">
      <c r="A233" s="1331"/>
      <c r="B233" s="2174" t="s">
        <v>2553</v>
      </c>
      <c r="C233" s="1202"/>
      <c r="D233" s="1202"/>
      <c r="E233" s="1404">
        <v>2400</v>
      </c>
      <c r="F233" s="1358" t="s">
        <v>226</v>
      </c>
      <c r="G233" s="2176">
        <v>6</v>
      </c>
      <c r="H233" s="1264">
        <f t="shared" si="33"/>
        <v>14400</v>
      </c>
      <c r="I233" s="2177">
        <v>6</v>
      </c>
      <c r="J233" s="1264">
        <f t="shared" si="34"/>
        <v>14400</v>
      </c>
      <c r="K233" s="1273">
        <f t="shared" si="35"/>
        <v>28800</v>
      </c>
      <c r="L233" s="1385"/>
      <c r="M233" s="1214"/>
      <c r="N233" s="1214"/>
      <c r="O233" s="1214"/>
      <c r="P233" s="1214"/>
    </row>
    <row r="234" spans="1:17" s="1199" customFormat="1" ht="24" customHeight="1">
      <c r="A234" s="1331"/>
      <c r="B234" s="2174" t="s">
        <v>1524</v>
      </c>
      <c r="C234" s="1202"/>
      <c r="D234" s="1202"/>
      <c r="E234" s="1404">
        <v>1697</v>
      </c>
      <c r="F234" s="1358" t="s">
        <v>226</v>
      </c>
      <c r="G234" s="2176">
        <v>18</v>
      </c>
      <c r="H234" s="1264">
        <f t="shared" si="33"/>
        <v>30546</v>
      </c>
      <c r="I234" s="2177">
        <v>8</v>
      </c>
      <c r="J234" s="1264">
        <f t="shared" si="34"/>
        <v>13576</v>
      </c>
      <c r="K234" s="1273">
        <f t="shared" si="35"/>
        <v>44122</v>
      </c>
      <c r="L234" s="1385"/>
      <c r="M234" s="1214"/>
      <c r="N234" s="1214"/>
      <c r="O234" s="1214"/>
      <c r="P234" s="1214"/>
    </row>
    <row r="235" spans="1:17" s="1199" customFormat="1" ht="24" customHeight="1">
      <c r="A235" s="1331"/>
      <c r="B235" s="2174" t="s">
        <v>1525</v>
      </c>
      <c r="C235" s="1202"/>
      <c r="D235" s="1202"/>
      <c r="E235" s="1387">
        <v>1</v>
      </c>
      <c r="F235" s="1384" t="s">
        <v>1104</v>
      </c>
      <c r="G235" s="2176">
        <f>ROUND(SUM(H232:H234)*5%,)</f>
        <v>12087</v>
      </c>
      <c r="H235" s="1264">
        <f t="shared" si="33"/>
        <v>12087</v>
      </c>
      <c r="I235" s="1265">
        <f>ROUND(G235*0.3,)</f>
        <v>3626</v>
      </c>
      <c r="J235" s="1264">
        <f t="shared" si="34"/>
        <v>3626</v>
      </c>
      <c r="K235" s="1273">
        <f t="shared" si="35"/>
        <v>15713</v>
      </c>
      <c r="L235" s="1385"/>
      <c r="M235" s="1214"/>
      <c r="N235" s="1214"/>
      <c r="O235" s="1214"/>
      <c r="P235" s="1214"/>
    </row>
    <row r="236" spans="1:17" s="1199" customFormat="1" ht="24" customHeight="1">
      <c r="A236" s="1406" t="s">
        <v>2914</v>
      </c>
      <c r="B236" s="2174" t="s">
        <v>1526</v>
      </c>
      <c r="C236" s="1202"/>
      <c r="D236" s="1202"/>
      <c r="E236" s="1387"/>
      <c r="F236" s="1384"/>
      <c r="G236" s="2176"/>
      <c r="H236" s="1264">
        <f>ROUND(G236*E236,)</f>
        <v>0</v>
      </c>
      <c r="I236" s="2177"/>
      <c r="J236" s="1264">
        <f t="shared" si="34"/>
        <v>0</v>
      </c>
      <c r="K236" s="1273">
        <f t="shared" si="35"/>
        <v>0</v>
      </c>
      <c r="L236" s="1385"/>
      <c r="M236" s="1214"/>
      <c r="N236" s="1214"/>
      <c r="O236" s="1214"/>
      <c r="P236" s="1214"/>
    </row>
    <row r="237" spans="1:17" s="1199" customFormat="1" ht="24" customHeight="1">
      <c r="A237" s="1331"/>
      <c r="B237" s="2174" t="s">
        <v>1350</v>
      </c>
      <c r="C237" s="1202"/>
      <c r="D237" s="1202"/>
      <c r="E237" s="1387">
        <v>1200</v>
      </c>
      <c r="F237" s="1358" t="s">
        <v>226</v>
      </c>
      <c r="G237" s="2176">
        <v>27</v>
      </c>
      <c r="H237" s="1264">
        <f t="shared" ref="H237" si="36">ROUND(E237*G237,)</f>
        <v>32400</v>
      </c>
      <c r="I237" s="2177">
        <v>22</v>
      </c>
      <c r="J237" s="1264">
        <f t="shared" si="34"/>
        <v>26400</v>
      </c>
      <c r="K237" s="1802">
        <f t="shared" si="35"/>
        <v>58800</v>
      </c>
      <c r="L237" s="2001" t="s">
        <v>2667</v>
      </c>
      <c r="M237" s="1214"/>
      <c r="N237" s="1199">
        <v>79.8</v>
      </c>
      <c r="O237" s="1199">
        <f>ROUND(N237/3,)</f>
        <v>27</v>
      </c>
      <c r="P237" s="1214"/>
    </row>
    <row r="238" spans="1:17" s="1199" customFormat="1" ht="24" customHeight="1">
      <c r="A238" s="1331"/>
      <c r="B238" s="2174" t="s">
        <v>1384</v>
      </c>
      <c r="C238" s="1202"/>
      <c r="D238" s="1202"/>
      <c r="E238" s="1387">
        <v>1</v>
      </c>
      <c r="F238" s="1407" t="s">
        <v>1104</v>
      </c>
      <c r="G238" s="2176">
        <f>SUM(H237:H237)*15%</f>
        <v>4860</v>
      </c>
      <c r="H238" s="1264">
        <f>ROUND(G238*E238,)</f>
        <v>4860</v>
      </c>
      <c r="I238" s="2177">
        <f>G238*0.3</f>
        <v>1458</v>
      </c>
      <c r="J238" s="1264">
        <f t="shared" si="34"/>
        <v>1458</v>
      </c>
      <c r="K238" s="1273">
        <f t="shared" si="35"/>
        <v>6318</v>
      </c>
      <c r="L238" s="1385"/>
      <c r="M238" s="1214"/>
      <c r="N238" s="1214"/>
      <c r="O238" s="1214"/>
      <c r="P238" s="1214"/>
    </row>
    <row r="239" spans="1:17" s="1199" customFormat="1" ht="24" customHeight="1">
      <c r="A239" s="1406" t="s">
        <v>2915</v>
      </c>
      <c r="B239" s="2174" t="s">
        <v>1110</v>
      </c>
      <c r="C239" s="1202"/>
      <c r="D239" s="1202"/>
      <c r="E239" s="1387"/>
      <c r="F239" s="1384"/>
      <c r="G239" s="2176"/>
      <c r="H239" s="1264">
        <f t="shared" ref="H239:H244" si="37">ROUND(E239*G239,)</f>
        <v>0</v>
      </c>
      <c r="I239" s="2177"/>
      <c r="J239" s="1264">
        <f t="shared" si="34"/>
        <v>0</v>
      </c>
      <c r="K239" s="1273">
        <f t="shared" si="35"/>
        <v>0</v>
      </c>
      <c r="L239" s="1385"/>
      <c r="M239" s="1214"/>
      <c r="N239" s="1214"/>
      <c r="O239" s="1214"/>
      <c r="P239" s="1214"/>
    </row>
    <row r="240" spans="1:17" s="1199" customFormat="1" ht="24" customHeight="1">
      <c r="A240" s="1331"/>
      <c r="B240" s="2174" t="s">
        <v>1350</v>
      </c>
      <c r="C240" s="1202"/>
      <c r="D240" s="1202"/>
      <c r="E240" s="1387"/>
      <c r="F240" s="1358" t="s">
        <v>226</v>
      </c>
      <c r="G240" s="2176">
        <v>56</v>
      </c>
      <c r="H240" s="1264">
        <f t="shared" si="37"/>
        <v>0</v>
      </c>
      <c r="I240" s="2177">
        <v>26</v>
      </c>
      <c r="J240" s="1264">
        <f t="shared" si="34"/>
        <v>0</v>
      </c>
      <c r="K240" s="1273">
        <f t="shared" si="35"/>
        <v>0</v>
      </c>
      <c r="L240" s="2001" t="s">
        <v>2667</v>
      </c>
      <c r="M240" s="1214"/>
      <c r="N240" s="1199">
        <v>169.2</v>
      </c>
      <c r="O240" s="1199">
        <f>ROUND(N240/3,)</f>
        <v>56</v>
      </c>
      <c r="P240" s="1214"/>
    </row>
    <row r="241" spans="1:19" s="1199" customFormat="1" ht="24" customHeight="1">
      <c r="A241" s="1331"/>
      <c r="B241" s="2174" t="s">
        <v>1448</v>
      </c>
      <c r="C241" s="1202"/>
      <c r="D241" s="1202"/>
      <c r="E241" s="1404">
        <v>4097</v>
      </c>
      <c r="F241" s="1358" t="s">
        <v>226</v>
      </c>
      <c r="G241" s="2176">
        <v>75</v>
      </c>
      <c r="H241" s="1264">
        <f t="shared" si="37"/>
        <v>307275</v>
      </c>
      <c r="I241" s="2177">
        <v>29</v>
      </c>
      <c r="J241" s="1264">
        <f t="shared" si="34"/>
        <v>118813</v>
      </c>
      <c r="K241" s="1273">
        <f>H241+J241</f>
        <v>426088</v>
      </c>
      <c r="L241" s="2001" t="s">
        <v>2667</v>
      </c>
      <c r="N241" s="1199">
        <v>225</v>
      </c>
      <c r="O241" s="1199">
        <f>ROUND(N241/3,)</f>
        <v>75</v>
      </c>
      <c r="P241" s="1214"/>
    </row>
    <row r="242" spans="1:19" s="1199" customFormat="1" ht="24" customHeight="1">
      <c r="A242" s="1331"/>
      <c r="B242" s="2174" t="s">
        <v>1108</v>
      </c>
      <c r="C242" s="1202"/>
      <c r="D242" s="1202"/>
      <c r="E242" s="1387">
        <v>1</v>
      </c>
      <c r="F242" s="1384" t="s">
        <v>1104</v>
      </c>
      <c r="G242" s="2176">
        <f>SUM(H240:H241)*15%</f>
        <v>46091.25</v>
      </c>
      <c r="H242" s="1264">
        <f t="shared" si="37"/>
        <v>46091</v>
      </c>
      <c r="I242" s="1265">
        <f>ROUND(G242*0.3,)</f>
        <v>13827</v>
      </c>
      <c r="J242" s="1264">
        <f t="shared" si="34"/>
        <v>13827</v>
      </c>
      <c r="K242" s="1273">
        <f t="shared" si="35"/>
        <v>59918</v>
      </c>
      <c r="L242" s="1385"/>
      <c r="M242" s="1214"/>
      <c r="N242" s="1214"/>
      <c r="O242" s="1214"/>
      <c r="P242" s="1214"/>
    </row>
    <row r="243" spans="1:19" s="1199" customFormat="1" ht="24" customHeight="1">
      <c r="A243" s="1406" t="s">
        <v>2916</v>
      </c>
      <c r="B243" s="2174" t="s">
        <v>1449</v>
      </c>
      <c r="C243" s="1202"/>
      <c r="D243" s="1202"/>
      <c r="E243" s="1387"/>
      <c r="F243" s="1384"/>
      <c r="G243" s="2176"/>
      <c r="H243" s="1264">
        <f t="shared" si="37"/>
        <v>0</v>
      </c>
      <c r="I243" s="2177"/>
      <c r="J243" s="1264">
        <f t="shared" si="34"/>
        <v>0</v>
      </c>
      <c r="K243" s="1273">
        <f t="shared" si="35"/>
        <v>0</v>
      </c>
      <c r="L243" s="1385"/>
      <c r="M243" s="1214"/>
      <c r="N243" s="1214"/>
      <c r="O243" s="1214"/>
      <c r="P243" s="1214"/>
    </row>
    <row r="244" spans="1:19" s="1199" customFormat="1" ht="24" customHeight="1">
      <c r="A244" s="1331"/>
      <c r="B244" s="2174" t="s">
        <v>1350</v>
      </c>
      <c r="C244" s="1202"/>
      <c r="D244" s="1202"/>
      <c r="E244" s="1387">
        <v>183</v>
      </c>
      <c r="F244" s="1358" t="s">
        <v>226</v>
      </c>
      <c r="G244" s="2176">
        <v>14</v>
      </c>
      <c r="H244" s="1264">
        <f t="shared" si="37"/>
        <v>2562</v>
      </c>
      <c r="I244" s="2177">
        <v>11</v>
      </c>
      <c r="J244" s="1264">
        <f t="shared" si="34"/>
        <v>2013</v>
      </c>
      <c r="K244" s="1273">
        <f t="shared" si="35"/>
        <v>4575</v>
      </c>
      <c r="L244" s="1385"/>
      <c r="M244" s="1214"/>
      <c r="N244" s="1214"/>
      <c r="O244" s="1214"/>
      <c r="P244" s="1214"/>
    </row>
    <row r="245" spans="1:19" s="1199" customFormat="1" ht="24" customHeight="1">
      <c r="A245" s="1331"/>
      <c r="B245" s="2174" t="s">
        <v>1117</v>
      </c>
      <c r="C245" s="1202"/>
      <c r="D245" s="1202"/>
      <c r="E245" s="1387"/>
      <c r="F245" s="1384"/>
      <c r="G245" s="2176"/>
      <c r="H245" s="1388"/>
      <c r="I245" s="2177"/>
      <c r="J245" s="1385"/>
      <c r="K245" s="1385"/>
      <c r="L245" s="1385"/>
      <c r="M245" s="1214"/>
      <c r="N245" s="1214"/>
      <c r="O245" s="1214"/>
      <c r="P245" s="1214"/>
    </row>
    <row r="246" spans="1:19" s="1199" customFormat="1" ht="24" customHeight="1">
      <c r="A246" s="1331"/>
      <c r="B246" s="2174" t="s">
        <v>1369</v>
      </c>
      <c r="C246" s="1202"/>
      <c r="D246" s="1202"/>
      <c r="E246" s="1387"/>
      <c r="F246" s="1384"/>
      <c r="G246" s="2176"/>
      <c r="H246" s="1388"/>
      <c r="I246" s="2177"/>
      <c r="J246" s="1385"/>
      <c r="K246" s="1385"/>
      <c r="L246" s="1385"/>
      <c r="M246" s="1214"/>
      <c r="N246" s="1214"/>
      <c r="O246" s="1214"/>
      <c r="P246" s="1214"/>
    </row>
    <row r="247" spans="1:19" s="1199" customFormat="1" ht="24" customHeight="1">
      <c r="A247" s="1331"/>
      <c r="B247" s="2174" t="s">
        <v>1369</v>
      </c>
      <c r="C247" s="1202"/>
      <c r="D247" s="1202"/>
      <c r="E247" s="1387"/>
      <c r="F247" s="1407"/>
      <c r="G247" s="2176"/>
      <c r="H247" s="1388"/>
      <c r="I247" s="2177"/>
      <c r="J247" s="1385"/>
      <c r="K247" s="1385"/>
      <c r="L247" s="1385"/>
      <c r="M247" s="1214"/>
      <c r="N247" s="1214"/>
      <c r="O247" s="1214"/>
      <c r="P247" s="1214"/>
      <c r="Q247" s="1214"/>
      <c r="R247" s="1214"/>
      <c r="S247" s="1214"/>
    </row>
    <row r="248" spans="1:19" s="1199" customFormat="1" ht="24" customHeight="1">
      <c r="A248" s="1331"/>
      <c r="B248" s="2174"/>
      <c r="C248" s="1202"/>
      <c r="D248" s="1202"/>
      <c r="E248" s="1387"/>
      <c r="F248" s="1407"/>
      <c r="G248" s="2176"/>
      <c r="H248" s="1388"/>
      <c r="I248" s="2177"/>
      <c r="J248" s="1385"/>
      <c r="K248" s="1385"/>
      <c r="L248" s="1385"/>
      <c r="M248" s="1214"/>
      <c r="N248" s="1214"/>
      <c r="O248" s="1214"/>
      <c r="P248" s="1214"/>
      <c r="Q248" s="1214"/>
      <c r="R248" s="1214"/>
      <c r="S248" s="1214"/>
    </row>
    <row r="249" spans="1:19" s="1199" customFormat="1" ht="24" customHeight="1">
      <c r="A249" s="1331"/>
      <c r="B249" s="2174"/>
      <c r="C249" s="1202"/>
      <c r="D249" s="1202"/>
      <c r="E249" s="1387"/>
      <c r="F249" s="1407"/>
      <c r="G249" s="2176"/>
      <c r="H249" s="1388"/>
      <c r="I249" s="2177"/>
      <c r="J249" s="1385"/>
      <c r="K249" s="1385"/>
      <c r="L249" s="1385"/>
      <c r="M249" s="1214"/>
      <c r="N249" s="1214"/>
      <c r="O249" s="1214"/>
      <c r="P249" s="1214"/>
      <c r="Q249" s="1214"/>
      <c r="R249" s="1214"/>
      <c r="S249" s="1214"/>
    </row>
    <row r="250" spans="1:19" s="1199" customFormat="1" ht="24" customHeight="1">
      <c r="A250" s="1243"/>
      <c r="B250" s="2257" t="str">
        <f>"รวมราคารายการที่ "&amp;A209</f>
        <v>รวมราคารายการที่ 3.8</v>
      </c>
      <c r="C250" s="2258"/>
      <c r="D250" s="2259"/>
      <c r="E250" s="1244"/>
      <c r="F250" s="1245"/>
      <c r="G250" s="1246"/>
      <c r="H250" s="1247">
        <f>SUM(H210:H246)</f>
        <v>1641291</v>
      </c>
      <c r="I250" s="1246"/>
      <c r="J250" s="1247">
        <f>SUM(J210:J246)</f>
        <v>292413</v>
      </c>
      <c r="K250" s="1247">
        <f>SUM(K210:K246)</f>
        <v>1933704</v>
      </c>
      <c r="L250" s="1245"/>
      <c r="M250" s="1214"/>
      <c r="N250" s="1214"/>
      <c r="O250" s="1214"/>
      <c r="P250" s="1214"/>
    </row>
    <row r="251" spans="1:19" s="1199" customFormat="1" ht="24" customHeight="1">
      <c r="A251" s="1435" t="s">
        <v>1311</v>
      </c>
      <c r="B251" s="1436" t="s">
        <v>1404</v>
      </c>
      <c r="C251" s="1202"/>
      <c r="D251" s="1202"/>
      <c r="E251" s="1387"/>
      <c r="F251" s="1407"/>
      <c r="G251" s="2176"/>
      <c r="H251" s="1388"/>
      <c r="I251" s="2177"/>
      <c r="J251" s="1385"/>
      <c r="K251" s="1385"/>
      <c r="L251" s="1385"/>
      <c r="M251" s="1214"/>
      <c r="N251" s="1214"/>
      <c r="O251" s="1214"/>
      <c r="P251" s="1214"/>
    </row>
    <row r="252" spans="1:19" s="1199" customFormat="1" ht="24" customHeight="1">
      <c r="A252" s="1406" t="s">
        <v>1313</v>
      </c>
      <c r="B252" s="2174" t="s">
        <v>1529</v>
      </c>
      <c r="C252" s="1202"/>
      <c r="D252" s="1202"/>
      <c r="E252" s="1387">
        <v>24</v>
      </c>
      <c r="F252" s="1207" t="s">
        <v>363</v>
      </c>
      <c r="G252" s="2176">
        <v>900</v>
      </c>
      <c r="H252" s="1264">
        <f t="shared" ref="H252:H257" si="38">ROUND(G252*E252,)</f>
        <v>21600</v>
      </c>
      <c r="I252" s="2177">
        <v>140</v>
      </c>
      <c r="J252" s="1264">
        <f t="shared" ref="J252:J263" si="39">ROUND(E252*I252,)</f>
        <v>3360</v>
      </c>
      <c r="K252" s="1273">
        <f t="shared" ref="K252:K263" si="40">H252+J252</f>
        <v>24960</v>
      </c>
      <c r="L252" s="1385"/>
      <c r="M252" s="1214"/>
      <c r="N252" s="1214"/>
      <c r="O252" s="1214"/>
      <c r="P252" s="1214"/>
    </row>
    <row r="253" spans="1:19" s="1199" customFormat="1" ht="24" customHeight="1">
      <c r="A253" s="1406" t="s">
        <v>1547</v>
      </c>
      <c r="B253" s="2174" t="s">
        <v>1531</v>
      </c>
      <c r="C253" s="1202"/>
      <c r="D253" s="1202"/>
      <c r="E253" s="1387">
        <v>2</v>
      </c>
      <c r="F253" s="1207" t="s">
        <v>363</v>
      </c>
      <c r="G253" s="2176">
        <v>3800</v>
      </c>
      <c r="H253" s="1264">
        <f t="shared" si="38"/>
        <v>7600</v>
      </c>
      <c r="I253" s="2177">
        <v>200</v>
      </c>
      <c r="J253" s="1264">
        <f t="shared" si="39"/>
        <v>400</v>
      </c>
      <c r="K253" s="1273">
        <f t="shared" si="40"/>
        <v>8000</v>
      </c>
      <c r="L253" s="1385"/>
      <c r="M253" s="1214"/>
      <c r="N253" s="1214"/>
      <c r="O253" s="1214"/>
      <c r="P253" s="1214"/>
    </row>
    <row r="254" spans="1:19" s="1199" customFormat="1" ht="24" customHeight="1">
      <c r="A254" s="1406" t="s">
        <v>1549</v>
      </c>
      <c r="B254" s="2174" t="s">
        <v>1532</v>
      </c>
      <c r="C254" s="1202"/>
      <c r="D254" s="1202"/>
      <c r="E254" s="1387">
        <v>2</v>
      </c>
      <c r="F254" s="1207" t="s">
        <v>363</v>
      </c>
      <c r="G254" s="2176">
        <v>5000</v>
      </c>
      <c r="H254" s="1264">
        <f t="shared" si="38"/>
        <v>10000</v>
      </c>
      <c r="I254" s="2177">
        <f>G254*0.1</f>
        <v>500</v>
      </c>
      <c r="J254" s="1264">
        <f t="shared" si="39"/>
        <v>1000</v>
      </c>
      <c r="K254" s="1273">
        <f t="shared" si="40"/>
        <v>11000</v>
      </c>
      <c r="L254" s="1385"/>
      <c r="M254" s="1214"/>
      <c r="N254" s="1214"/>
      <c r="O254" s="1214"/>
      <c r="P254" s="1214"/>
    </row>
    <row r="255" spans="1:19" s="1199" customFormat="1" ht="24" customHeight="1">
      <c r="A255" s="1406" t="s">
        <v>1631</v>
      </c>
      <c r="B255" s="2174" t="s">
        <v>1312</v>
      </c>
      <c r="C255" s="1202"/>
      <c r="D255" s="1202"/>
      <c r="E255" s="1387"/>
      <c r="F255" s="1384"/>
      <c r="G255" s="2176"/>
      <c r="H255" s="1264">
        <f t="shared" si="38"/>
        <v>0</v>
      </c>
      <c r="I255" s="2177"/>
      <c r="J255" s="1264">
        <f t="shared" si="39"/>
        <v>0</v>
      </c>
      <c r="K255" s="1273">
        <f t="shared" si="40"/>
        <v>0</v>
      </c>
      <c r="L255" s="1385"/>
      <c r="M255" s="1214"/>
      <c r="N255" s="1214"/>
      <c r="O255" s="1214"/>
      <c r="P255" s="1214"/>
    </row>
    <row r="256" spans="1:19" s="1199" customFormat="1" ht="24" customHeight="1">
      <c r="A256" s="1331"/>
      <c r="B256" s="2174" t="s">
        <v>1534</v>
      </c>
      <c r="C256" s="1202"/>
      <c r="D256" s="1202"/>
      <c r="E256" s="1387">
        <v>827.99999999999989</v>
      </c>
      <c r="F256" s="1358" t="s">
        <v>226</v>
      </c>
      <c r="G256" s="2176">
        <v>32</v>
      </c>
      <c r="H256" s="1264">
        <f t="shared" si="38"/>
        <v>26496</v>
      </c>
      <c r="I256" s="2177">
        <v>11</v>
      </c>
      <c r="J256" s="1264">
        <f t="shared" si="39"/>
        <v>9108</v>
      </c>
      <c r="K256" s="1802">
        <f t="shared" si="40"/>
        <v>35604</v>
      </c>
      <c r="L256" s="2001" t="s">
        <v>2667</v>
      </c>
      <c r="M256" s="1214"/>
      <c r="N256" s="1199">
        <v>3183</v>
      </c>
      <c r="O256" s="1199">
        <f>ROUND(N256/100,)</f>
        <v>32</v>
      </c>
      <c r="P256" s="1214"/>
    </row>
    <row r="257" spans="1:21" s="1199" customFormat="1" ht="24" customHeight="1">
      <c r="A257" s="1331"/>
      <c r="B257" s="2174" t="s">
        <v>1535</v>
      </c>
      <c r="C257" s="1202"/>
      <c r="D257" s="1202"/>
      <c r="E257" s="1387">
        <v>114.99999999999999</v>
      </c>
      <c r="F257" s="1358" t="s">
        <v>226</v>
      </c>
      <c r="G257" s="2176">
        <v>40</v>
      </c>
      <c r="H257" s="1264">
        <f t="shared" si="38"/>
        <v>4600</v>
      </c>
      <c r="I257" s="2177">
        <v>12</v>
      </c>
      <c r="J257" s="1264">
        <f t="shared" si="39"/>
        <v>1380</v>
      </c>
      <c r="K257" s="1802">
        <f t="shared" si="40"/>
        <v>5980</v>
      </c>
      <c r="L257" s="2001" t="s">
        <v>2667</v>
      </c>
      <c r="M257" s="1214"/>
      <c r="N257" s="1199">
        <v>4039</v>
      </c>
      <c r="O257" s="1199">
        <f>ROUND(N257/100,)</f>
        <v>40</v>
      </c>
      <c r="P257" s="1214"/>
    </row>
    <row r="258" spans="1:21" s="1199" customFormat="1" ht="24" customHeight="1">
      <c r="A258" s="1331"/>
      <c r="B258" s="2174" t="s">
        <v>1525</v>
      </c>
      <c r="C258" s="1202"/>
      <c r="D258" s="1202"/>
      <c r="E258" s="1387">
        <v>1</v>
      </c>
      <c r="F258" s="1384" t="s">
        <v>1104</v>
      </c>
      <c r="G258" s="2176">
        <f>ROUND(SUM(H255:H257)*5%,)</f>
        <v>1555</v>
      </c>
      <c r="H258" s="1264">
        <f>ROUND(E258*G258,)</f>
        <v>1555</v>
      </c>
      <c r="I258" s="1265">
        <f>ROUND(G258*0.3,)</f>
        <v>467</v>
      </c>
      <c r="J258" s="1264">
        <f t="shared" si="39"/>
        <v>467</v>
      </c>
      <c r="K258" s="1273">
        <f t="shared" si="40"/>
        <v>2022</v>
      </c>
      <c r="L258" s="1385"/>
      <c r="M258" s="1214"/>
      <c r="N258" s="1214"/>
      <c r="O258" s="1214"/>
      <c r="P258" s="1214"/>
    </row>
    <row r="259" spans="1:21" s="1199" customFormat="1" ht="24" customHeight="1">
      <c r="A259" s="1406" t="s">
        <v>1610</v>
      </c>
      <c r="B259" s="2174" t="s">
        <v>1526</v>
      </c>
      <c r="C259" s="1202"/>
      <c r="D259" s="1202"/>
      <c r="E259" s="1387"/>
      <c r="F259" s="1384"/>
      <c r="G259" s="2176"/>
      <c r="H259" s="1264">
        <f>ROUND(G259*E259,)</f>
        <v>0</v>
      </c>
      <c r="I259" s="2177"/>
      <c r="J259" s="1264">
        <f t="shared" si="39"/>
        <v>0</v>
      </c>
      <c r="K259" s="1273">
        <f t="shared" si="40"/>
        <v>0</v>
      </c>
      <c r="L259" s="1385"/>
      <c r="M259" s="1214"/>
      <c r="N259" s="1214"/>
      <c r="O259" s="1214"/>
      <c r="P259" s="1214"/>
    </row>
    <row r="260" spans="1:21" s="1199" customFormat="1" ht="24" customHeight="1">
      <c r="A260" s="1331"/>
      <c r="B260" s="2174" t="s">
        <v>1350</v>
      </c>
      <c r="C260" s="1202"/>
      <c r="D260" s="1202"/>
      <c r="E260" s="1387">
        <v>942.99999999999989</v>
      </c>
      <c r="F260" s="1358" t="s">
        <v>226</v>
      </c>
      <c r="G260" s="2176">
        <v>27</v>
      </c>
      <c r="H260" s="1264">
        <f t="shared" ref="H260" si="41">ROUND(G260*E260,)</f>
        <v>25461</v>
      </c>
      <c r="I260" s="2177">
        <v>22</v>
      </c>
      <c r="J260" s="1264">
        <f t="shared" si="39"/>
        <v>20746</v>
      </c>
      <c r="K260" s="1801">
        <f t="shared" si="40"/>
        <v>46207</v>
      </c>
      <c r="L260" s="2001" t="s">
        <v>2667</v>
      </c>
      <c r="M260" s="1214"/>
      <c r="N260" s="1199">
        <v>79.8</v>
      </c>
      <c r="O260" s="1199">
        <f>ROUND(N260/3,)</f>
        <v>27</v>
      </c>
      <c r="P260" s="1214"/>
    </row>
    <row r="261" spans="1:21" s="1199" customFormat="1" ht="24" customHeight="1">
      <c r="A261" s="1331"/>
      <c r="B261" s="2174" t="s">
        <v>1384</v>
      </c>
      <c r="C261" s="1202"/>
      <c r="D261" s="1202"/>
      <c r="E261" s="1387">
        <v>1</v>
      </c>
      <c r="F261" s="1407" t="s">
        <v>1104</v>
      </c>
      <c r="G261" s="2176">
        <f>ROUND(SUM(H260:H260)*15%,)</f>
        <v>3819</v>
      </c>
      <c r="H261" s="1264">
        <f>ROUND(G261*E261,)</f>
        <v>3819</v>
      </c>
      <c r="I261" s="1265">
        <f>ROUND(G261*0.3,)</f>
        <v>1146</v>
      </c>
      <c r="J261" s="1264">
        <f t="shared" si="39"/>
        <v>1146</v>
      </c>
      <c r="K261" s="1273">
        <f t="shared" si="40"/>
        <v>4965</v>
      </c>
      <c r="L261" s="1385"/>
      <c r="M261" s="1214"/>
      <c r="N261" s="1214"/>
      <c r="O261" s="1214"/>
      <c r="P261" s="1214"/>
    </row>
    <row r="262" spans="1:21" s="1199" customFormat="1" ht="24" customHeight="1">
      <c r="A262" s="1331" t="s">
        <v>1632</v>
      </c>
      <c r="B262" s="2174" t="s">
        <v>1449</v>
      </c>
      <c r="C262" s="1202"/>
      <c r="D262" s="1202"/>
      <c r="E262" s="1387"/>
      <c r="F262" s="1384"/>
      <c r="G262" s="2176"/>
      <c r="H262" s="1264">
        <f>ROUND(G262*E262,)</f>
        <v>0</v>
      </c>
      <c r="I262" s="2177"/>
      <c r="J262" s="1264">
        <f t="shared" si="39"/>
        <v>0</v>
      </c>
      <c r="K262" s="1273">
        <f t="shared" si="40"/>
        <v>0</v>
      </c>
      <c r="L262" s="1385"/>
      <c r="M262" s="1214"/>
      <c r="N262" s="1214"/>
      <c r="O262" s="1214"/>
      <c r="P262" s="1214"/>
    </row>
    <row r="263" spans="1:21" s="1199" customFormat="1" ht="24" customHeight="1">
      <c r="A263" s="1331"/>
      <c r="B263" s="2174" t="s">
        <v>1350</v>
      </c>
      <c r="C263" s="1202"/>
      <c r="D263" s="1202"/>
      <c r="E263" s="1387">
        <v>24</v>
      </c>
      <c r="F263" s="1358" t="s">
        <v>226</v>
      </c>
      <c r="G263" s="2176">
        <v>14</v>
      </c>
      <c r="H263" s="1264">
        <f>ROUND(G263*E263,)</f>
        <v>336</v>
      </c>
      <c r="I263" s="2177">
        <v>11</v>
      </c>
      <c r="J263" s="1264">
        <f t="shared" si="39"/>
        <v>264</v>
      </c>
      <c r="K263" s="1273">
        <f t="shared" si="40"/>
        <v>600</v>
      </c>
      <c r="L263" s="1385"/>
      <c r="M263" s="1214"/>
      <c r="N263" s="1214"/>
      <c r="O263" s="1214"/>
      <c r="P263" s="1214"/>
    </row>
    <row r="264" spans="1:21" s="1199" customFormat="1" ht="24" customHeight="1">
      <c r="A264" s="1331"/>
      <c r="B264" s="2174" t="s">
        <v>1117</v>
      </c>
      <c r="C264" s="1202"/>
      <c r="D264" s="1202"/>
      <c r="E264" s="1387"/>
      <c r="F264" s="1384"/>
      <c r="G264" s="2176"/>
      <c r="H264" s="1388"/>
      <c r="I264" s="2177"/>
      <c r="J264" s="1385"/>
      <c r="K264" s="1385"/>
      <c r="L264" s="1385"/>
      <c r="M264" s="1214"/>
      <c r="N264" s="1214"/>
      <c r="O264" s="1214"/>
      <c r="P264" s="1214"/>
    </row>
    <row r="265" spans="1:21" s="1199" customFormat="1" ht="24" customHeight="1">
      <c r="A265" s="1331"/>
      <c r="B265" s="2174" t="s">
        <v>1118</v>
      </c>
      <c r="C265" s="1202"/>
      <c r="D265" s="1202"/>
      <c r="E265" s="1387"/>
      <c r="F265" s="1384"/>
      <c r="G265" s="2176"/>
      <c r="H265" s="1388"/>
      <c r="I265" s="2177"/>
      <c r="J265" s="1385"/>
      <c r="K265" s="1385"/>
      <c r="L265" s="1385"/>
      <c r="M265" s="1214"/>
      <c r="N265" s="1214"/>
      <c r="O265" s="1214"/>
      <c r="P265" s="1214"/>
    </row>
    <row r="266" spans="1:21" s="1199" customFormat="1" ht="24" customHeight="1">
      <c r="A266" s="1331"/>
      <c r="B266" s="1190" t="s">
        <v>1118</v>
      </c>
      <c r="C266" s="1202"/>
      <c r="D266" s="1202"/>
      <c r="E266" s="1387"/>
      <c r="F266" s="1384"/>
      <c r="G266" s="2176"/>
      <c r="H266" s="1388"/>
      <c r="I266" s="2177"/>
      <c r="J266" s="1385"/>
      <c r="K266" s="1385"/>
      <c r="L266" s="1385"/>
      <c r="M266" s="1214"/>
      <c r="N266" s="1214"/>
      <c r="O266" s="1214"/>
      <c r="P266" s="1214"/>
    </row>
    <row r="267" spans="1:21" s="1199" customFormat="1" ht="24" customHeight="1">
      <c r="A267" s="1243"/>
      <c r="B267" s="2257" t="str">
        <f>"รวมราคารายการที่ "&amp;A251</f>
        <v>รวมราคารายการที่ 3.9</v>
      </c>
      <c r="C267" s="2258"/>
      <c r="D267" s="2259"/>
      <c r="E267" s="1244"/>
      <c r="F267" s="1245"/>
      <c r="G267" s="1246"/>
      <c r="H267" s="1247">
        <f>SUM(H252:H266)</f>
        <v>101467</v>
      </c>
      <c r="I267" s="1246"/>
      <c r="J267" s="1247">
        <f>SUM(J252:J266)</f>
        <v>37871</v>
      </c>
      <c r="K267" s="1247">
        <f>SUM(K252:K266)</f>
        <v>139338</v>
      </c>
      <c r="L267" s="1245"/>
      <c r="M267" s="1214"/>
      <c r="N267" s="1214"/>
      <c r="O267" s="1214"/>
      <c r="P267" s="1214"/>
    </row>
    <row r="268" spans="1:21" s="1199" customFormat="1" ht="24" customHeight="1">
      <c r="A268" s="1381" t="s">
        <v>1332</v>
      </c>
      <c r="B268" s="1292" t="s">
        <v>1419</v>
      </c>
      <c r="C268" s="1235"/>
      <c r="D268" s="1235"/>
      <c r="E268" s="1397"/>
      <c r="F268" s="1398"/>
      <c r="G268" s="1399"/>
      <c r="H268" s="1400"/>
      <c r="I268" s="1401"/>
      <c r="J268" s="1402"/>
      <c r="K268" s="1402"/>
      <c r="L268" s="1402"/>
      <c r="M268" s="1214"/>
      <c r="N268" s="1214"/>
      <c r="O268" s="1214"/>
      <c r="P268" s="1214"/>
    </row>
    <row r="269" spans="1:21" s="1199" customFormat="1" ht="24" customHeight="1">
      <c r="A269" s="1474" t="s">
        <v>1334</v>
      </c>
      <c r="B269" s="2174" t="s">
        <v>2714</v>
      </c>
      <c r="C269" s="1191"/>
      <c r="D269" s="1471"/>
      <c r="E269" s="1206"/>
      <c r="F269" s="1207"/>
      <c r="G269" s="1541"/>
      <c r="H269" s="1273"/>
      <c r="I269" s="2177"/>
      <c r="J269" s="1264"/>
      <c r="K269" s="1265"/>
      <c r="L269" s="1473"/>
      <c r="M269" s="1214"/>
      <c r="N269" s="1214"/>
      <c r="O269" s="1214"/>
      <c r="P269" s="1214"/>
      <c r="Q269" s="1214"/>
      <c r="R269" s="1214"/>
      <c r="S269" s="1214"/>
      <c r="T269" s="1214"/>
      <c r="U269" s="1214"/>
    </row>
    <row r="270" spans="1:21" s="1199" customFormat="1" ht="24" customHeight="1">
      <c r="A270" s="1474"/>
      <c r="B270" s="2174" t="s">
        <v>1573</v>
      </c>
      <c r="C270" s="1191"/>
      <c r="D270" s="1471"/>
      <c r="E270" s="1206">
        <v>2</v>
      </c>
      <c r="F270" s="1207" t="s">
        <v>363</v>
      </c>
      <c r="G270" s="2179">
        <v>50000</v>
      </c>
      <c r="H270" s="1343">
        <f>ROUND(E270*G270,)</f>
        <v>100000</v>
      </c>
      <c r="I270" s="1344">
        <f>G270*0.01</f>
        <v>500</v>
      </c>
      <c r="J270" s="1343">
        <f>ROUND(I270*E270,)</f>
        <v>1000</v>
      </c>
      <c r="K270" s="1344">
        <f>H270+J270</f>
        <v>101000</v>
      </c>
      <c r="L270" s="1473"/>
      <c r="M270" s="1214"/>
      <c r="N270" s="1214"/>
      <c r="O270" s="1214"/>
      <c r="P270" s="1214"/>
      <c r="Q270" s="1214"/>
      <c r="R270" s="1214"/>
      <c r="S270" s="1214"/>
      <c r="T270" s="1214"/>
      <c r="U270" s="1214"/>
    </row>
    <row r="271" spans="1:21" s="1199" customFormat="1" ht="24" customHeight="1">
      <c r="A271" s="1474"/>
      <c r="B271" s="2174" t="s">
        <v>1574</v>
      </c>
      <c r="C271" s="1191"/>
      <c r="D271" s="1471"/>
      <c r="E271" s="1206">
        <v>2</v>
      </c>
      <c r="F271" s="1207" t="s">
        <v>363</v>
      </c>
      <c r="G271" s="2179">
        <v>25000</v>
      </c>
      <c r="H271" s="1343">
        <f>ROUND(E271*G271,)</f>
        <v>50000</v>
      </c>
      <c r="I271" s="1344">
        <f>ROUND(G271*0.01,)</f>
        <v>250</v>
      </c>
      <c r="J271" s="1343">
        <f>ROUND(I271*E271,)</f>
        <v>500</v>
      </c>
      <c r="K271" s="1344">
        <f>H271+J271</f>
        <v>50500</v>
      </c>
      <c r="L271" s="1473"/>
      <c r="M271" s="1214"/>
      <c r="N271" s="1214"/>
      <c r="O271" s="1214"/>
      <c r="P271" s="1214"/>
      <c r="Q271" s="1214"/>
      <c r="R271" s="1214"/>
      <c r="S271" s="1214"/>
      <c r="T271" s="1214"/>
      <c r="U271" s="1214"/>
    </row>
    <row r="272" spans="1:21" s="1199" customFormat="1" ht="24" customHeight="1">
      <c r="A272" s="1475"/>
      <c r="B272" s="2174" t="s">
        <v>1575</v>
      </c>
      <c r="C272" s="1191"/>
      <c r="D272" s="1471"/>
      <c r="E272" s="1206">
        <v>48</v>
      </c>
      <c r="F272" s="1207" t="s">
        <v>363</v>
      </c>
      <c r="G272" s="2179">
        <v>400</v>
      </c>
      <c r="H272" s="1343">
        <f>ROUND(E272*G272,)</f>
        <v>19200</v>
      </c>
      <c r="I272" s="1344">
        <f>ROUND(G272*0.01,)</f>
        <v>4</v>
      </c>
      <c r="J272" s="1343">
        <f>ROUND(I272*E272,)</f>
        <v>192</v>
      </c>
      <c r="K272" s="1344">
        <f>H272+J272</f>
        <v>19392</v>
      </c>
      <c r="L272" s="1473"/>
      <c r="M272" s="1214"/>
      <c r="N272" s="1214"/>
      <c r="O272" s="1214"/>
      <c r="P272" s="1214"/>
      <c r="Q272" s="1214"/>
      <c r="R272" s="1214"/>
      <c r="S272" s="1214"/>
      <c r="T272" s="1214"/>
      <c r="U272" s="1214"/>
    </row>
    <row r="273" spans="1:21" s="1199" customFormat="1" ht="24" customHeight="1">
      <c r="A273" s="1475"/>
      <c r="B273" s="2174" t="s">
        <v>2710</v>
      </c>
      <c r="C273" s="1191"/>
      <c r="D273" s="1471"/>
      <c r="E273" s="1206"/>
      <c r="F273" s="1207" t="s">
        <v>363</v>
      </c>
      <c r="G273" s="2179"/>
      <c r="H273" s="1273"/>
      <c r="I273" s="1265"/>
      <c r="J273" s="1264"/>
      <c r="K273" s="1265"/>
      <c r="L273" s="1473"/>
      <c r="M273" s="1214"/>
      <c r="N273" s="1214"/>
      <c r="O273" s="1214"/>
      <c r="P273" s="1214"/>
      <c r="Q273" s="1214"/>
      <c r="R273" s="1214"/>
      <c r="S273" s="1214"/>
      <c r="T273" s="1214"/>
      <c r="U273" s="1214"/>
    </row>
    <row r="274" spans="1:21" s="1199" customFormat="1" ht="24" customHeight="1">
      <c r="A274" s="1559"/>
      <c r="B274" s="2174" t="s">
        <v>1684</v>
      </c>
      <c r="C274" s="1191"/>
      <c r="D274" s="1471"/>
      <c r="E274" s="1206"/>
      <c r="F274" s="1207" t="s">
        <v>363</v>
      </c>
      <c r="G274" s="2179"/>
      <c r="H274" s="1273"/>
      <c r="I274" s="1265"/>
      <c r="J274" s="1264"/>
      <c r="K274" s="1265"/>
      <c r="L274" s="1469"/>
      <c r="M274" s="1214"/>
      <c r="N274" s="1214"/>
      <c r="O274" s="1214"/>
      <c r="P274" s="1214"/>
      <c r="Q274" s="1214"/>
      <c r="R274" s="1214"/>
      <c r="S274" s="1214"/>
      <c r="T274" s="1214"/>
      <c r="U274" s="1214"/>
    </row>
    <row r="275" spans="1:21" s="1199" customFormat="1" ht="24" customHeight="1">
      <c r="A275" s="1331" t="s">
        <v>1556</v>
      </c>
      <c r="B275" s="2174" t="s">
        <v>1539</v>
      </c>
      <c r="C275" s="1202"/>
      <c r="D275" s="1202"/>
      <c r="E275" s="1387"/>
      <c r="F275" s="1384"/>
      <c r="G275" s="2176"/>
      <c r="H275" s="1388"/>
      <c r="I275" s="2177"/>
      <c r="J275" s="1385"/>
      <c r="K275" s="1385"/>
      <c r="L275" s="1385"/>
      <c r="M275" s="1214"/>
      <c r="N275" s="1214"/>
      <c r="O275" s="1214"/>
      <c r="P275" s="1214"/>
    </row>
    <row r="276" spans="1:21" s="1199" customFormat="1" ht="24" customHeight="1">
      <c r="A276" s="1331"/>
      <c r="B276" s="2174" t="s">
        <v>1540</v>
      </c>
      <c r="C276" s="1202"/>
      <c r="D276" s="1202"/>
      <c r="E276" s="1387">
        <v>2</v>
      </c>
      <c r="F276" s="1207" t="s">
        <v>363</v>
      </c>
      <c r="G276" s="2176">
        <v>46645</v>
      </c>
      <c r="H276" s="1388">
        <f t="shared" ref="H276:H281" si="42">ROUND(E276*G276,)</f>
        <v>93290</v>
      </c>
      <c r="I276" s="2177">
        <v>5000</v>
      </c>
      <c r="J276" s="1385">
        <f>ROUND(E276*I276,)</f>
        <v>10000</v>
      </c>
      <c r="K276" s="1385">
        <f t="shared" ref="K276:K281" si="43">H276+J276</f>
        <v>103290</v>
      </c>
      <c r="L276" s="1385"/>
      <c r="M276" s="1214"/>
      <c r="N276" s="1214"/>
      <c r="O276" s="1214"/>
      <c r="P276" s="1214"/>
    </row>
    <row r="277" spans="1:21" s="1199" customFormat="1" ht="24" customHeight="1">
      <c r="A277" s="1331"/>
      <c r="B277" s="2174" t="s">
        <v>1541</v>
      </c>
      <c r="C277" s="1202"/>
      <c r="D277" s="1202"/>
      <c r="E277" s="1387">
        <v>4</v>
      </c>
      <c r="F277" s="1207" t="s">
        <v>363</v>
      </c>
      <c r="G277" s="2176">
        <v>21375</v>
      </c>
      <c r="H277" s="1388">
        <f t="shared" si="42"/>
        <v>85500</v>
      </c>
      <c r="I277" s="2177" t="s">
        <v>1542</v>
      </c>
      <c r="J277" s="1385"/>
      <c r="K277" s="1385">
        <f t="shared" si="43"/>
        <v>85500</v>
      </c>
      <c r="L277" s="1385"/>
      <c r="M277" s="1214"/>
      <c r="N277" s="1214"/>
      <c r="O277" s="1214"/>
      <c r="P277" s="1214"/>
    </row>
    <row r="278" spans="1:21" s="1199" customFormat="1" ht="24" customHeight="1">
      <c r="A278" s="1331"/>
      <c r="B278" s="2174" t="s">
        <v>1543</v>
      </c>
      <c r="C278" s="1202"/>
      <c r="D278" s="1202"/>
      <c r="E278" s="1387">
        <v>4</v>
      </c>
      <c r="F278" s="1207" t="s">
        <v>363</v>
      </c>
      <c r="G278" s="2176">
        <v>9025</v>
      </c>
      <c r="H278" s="1388">
        <f t="shared" si="42"/>
        <v>36100</v>
      </c>
      <c r="I278" s="2177" t="s">
        <v>1542</v>
      </c>
      <c r="J278" s="1385"/>
      <c r="K278" s="1385">
        <f t="shared" si="43"/>
        <v>36100</v>
      </c>
      <c r="L278" s="1385"/>
      <c r="M278" s="1214"/>
      <c r="N278" s="1214"/>
      <c r="O278" s="1214"/>
      <c r="P278" s="1214"/>
    </row>
    <row r="279" spans="1:21" s="1199" customFormat="1" ht="24" customHeight="1">
      <c r="A279" s="1331"/>
      <c r="B279" s="2174" t="s">
        <v>1544</v>
      </c>
      <c r="C279" s="1202"/>
      <c r="D279" s="1202"/>
      <c r="E279" s="1387">
        <v>4</v>
      </c>
      <c r="F279" s="1207" t="s">
        <v>363</v>
      </c>
      <c r="G279" s="2176">
        <v>1995</v>
      </c>
      <c r="H279" s="1388">
        <f t="shared" si="42"/>
        <v>7980</v>
      </c>
      <c r="I279" s="2177" t="s">
        <v>1542</v>
      </c>
      <c r="J279" s="1385"/>
      <c r="K279" s="1385">
        <f t="shared" si="43"/>
        <v>7980</v>
      </c>
      <c r="L279" s="1385"/>
      <c r="M279" s="1214"/>
      <c r="N279" s="1214"/>
      <c r="O279" s="1214"/>
      <c r="P279" s="1214"/>
    </row>
    <row r="280" spans="1:21" s="1199" customFormat="1" ht="24" customHeight="1">
      <c r="A280" s="1331"/>
      <c r="B280" s="2174" t="s">
        <v>1545</v>
      </c>
      <c r="C280" s="1202"/>
      <c r="D280" s="1202"/>
      <c r="E280" s="1387">
        <v>4</v>
      </c>
      <c r="F280" s="1207" t="s">
        <v>363</v>
      </c>
      <c r="G280" s="2176">
        <v>427.5</v>
      </c>
      <c r="H280" s="1388">
        <f t="shared" si="42"/>
        <v>1710</v>
      </c>
      <c r="I280" s="2177" t="s">
        <v>1542</v>
      </c>
      <c r="J280" s="1385"/>
      <c r="K280" s="1385">
        <f t="shared" si="43"/>
        <v>1710</v>
      </c>
      <c r="L280" s="1385"/>
      <c r="M280" s="1214"/>
      <c r="N280" s="1214"/>
      <c r="O280" s="1214"/>
      <c r="P280" s="1214"/>
    </row>
    <row r="281" spans="1:21" s="1199" customFormat="1" ht="24" customHeight="1">
      <c r="A281" s="1331"/>
      <c r="B281" s="2174" t="s">
        <v>1546</v>
      </c>
      <c r="C281" s="1202"/>
      <c r="D281" s="1202"/>
      <c r="E281" s="1404">
        <v>4</v>
      </c>
      <c r="F281" s="1207" t="s">
        <v>363</v>
      </c>
      <c r="G281" s="2176">
        <v>807.5</v>
      </c>
      <c r="H281" s="1388">
        <f t="shared" si="42"/>
        <v>3230</v>
      </c>
      <c r="I281" s="2177" t="s">
        <v>1542</v>
      </c>
      <c r="J281" s="1385"/>
      <c r="K281" s="1385">
        <f t="shared" si="43"/>
        <v>3230</v>
      </c>
      <c r="L281" s="1385"/>
      <c r="M281" s="1214"/>
      <c r="N281" s="1214"/>
      <c r="O281" s="1214"/>
      <c r="P281" s="1214"/>
    </row>
    <row r="282" spans="1:21" s="1199" customFormat="1" ht="24" customHeight="1">
      <c r="A282" s="1406" t="s">
        <v>1566</v>
      </c>
      <c r="B282" s="2174" t="s">
        <v>1312</v>
      </c>
      <c r="C282" s="1202"/>
      <c r="D282" s="1202"/>
      <c r="E282" s="1404"/>
      <c r="F282" s="1384"/>
      <c r="G282" s="2176"/>
      <c r="H282" s="1388"/>
      <c r="I282" s="2177"/>
      <c r="J282" s="1385"/>
      <c r="K282" s="1385"/>
      <c r="L282" s="1385"/>
      <c r="M282" s="1214"/>
      <c r="N282" s="1214"/>
      <c r="O282" s="1214"/>
      <c r="P282" s="1214"/>
    </row>
    <row r="283" spans="1:21" s="1199" customFormat="1" ht="24" customHeight="1">
      <c r="A283" s="1331"/>
      <c r="B283" s="2174" t="s">
        <v>1548</v>
      </c>
      <c r="C283" s="1202"/>
      <c r="D283" s="1202"/>
      <c r="E283" s="1404">
        <v>237.66666666666666</v>
      </c>
      <c r="F283" s="1358" t="s">
        <v>226</v>
      </c>
      <c r="G283" s="2176">
        <v>37</v>
      </c>
      <c r="H283" s="1388">
        <f>ROUND(E283*G283,)</f>
        <v>8794</v>
      </c>
      <c r="I283" s="2177">
        <v>5</v>
      </c>
      <c r="J283" s="1385">
        <f>ROUND(E283*I283,)</f>
        <v>1188</v>
      </c>
      <c r="K283" s="1385">
        <f>H283+J283</f>
        <v>9982</v>
      </c>
      <c r="L283" s="1385"/>
      <c r="M283" s="1214"/>
      <c r="N283" s="1214"/>
      <c r="O283" s="1214"/>
      <c r="P283" s="1214"/>
    </row>
    <row r="284" spans="1:21" s="1199" customFormat="1" ht="24" customHeight="1">
      <c r="A284" s="1331"/>
      <c r="B284" s="2174" t="s">
        <v>1525</v>
      </c>
      <c r="C284" s="1202"/>
      <c r="D284" s="1202"/>
      <c r="E284" s="1404">
        <v>1</v>
      </c>
      <c r="F284" s="1384" t="s">
        <v>1104</v>
      </c>
      <c r="G284" s="2176">
        <f>ROUND(SUM(H283)*5%,)</f>
        <v>440</v>
      </c>
      <c r="H284" s="1264">
        <f>ROUND(E284*G284,)</f>
        <v>440</v>
      </c>
      <c r="I284" s="1265">
        <f>ROUND(G284*0.3,)</f>
        <v>132</v>
      </c>
      <c r="J284" s="1264">
        <f>ROUND(E284*I284,)</f>
        <v>132</v>
      </c>
      <c r="K284" s="1273">
        <f>H284+J284</f>
        <v>572</v>
      </c>
      <c r="L284" s="1385"/>
      <c r="M284" s="1214"/>
      <c r="N284" s="1214"/>
      <c r="O284" s="1214"/>
      <c r="P284" s="1214"/>
    </row>
    <row r="285" spans="1:21" s="1199" customFormat="1" ht="24" customHeight="1">
      <c r="A285" s="1406" t="s">
        <v>1615</v>
      </c>
      <c r="B285" s="2174" t="s">
        <v>1526</v>
      </c>
      <c r="C285" s="1202"/>
      <c r="D285" s="1202"/>
      <c r="E285" s="1404"/>
      <c r="F285" s="1384"/>
      <c r="G285" s="2176"/>
      <c r="H285" s="1388"/>
      <c r="I285" s="2177"/>
      <c r="J285" s="1385"/>
      <c r="K285" s="1385"/>
      <c r="L285" s="1385"/>
      <c r="M285" s="1214"/>
      <c r="N285" s="1214"/>
      <c r="O285" s="1214"/>
      <c r="P285" s="1214"/>
    </row>
    <row r="286" spans="1:21" s="1199" customFormat="1" ht="24" customHeight="1">
      <c r="A286" s="1331"/>
      <c r="B286" s="2174" t="s">
        <v>1350</v>
      </c>
      <c r="C286" s="1202"/>
      <c r="D286" s="1202"/>
      <c r="E286" s="1404">
        <v>237.66666666666666</v>
      </c>
      <c r="F286" s="1358" t="s">
        <v>226</v>
      </c>
      <c r="G286" s="2176">
        <v>27</v>
      </c>
      <c r="H286" s="1264">
        <f t="shared" ref="H286" si="44">ROUND(G286*E286,)</f>
        <v>6417</v>
      </c>
      <c r="I286" s="2177">
        <v>22</v>
      </c>
      <c r="J286" s="1264">
        <f t="shared" ref="J286" si="45">ROUND(E286*I286,)</f>
        <v>5229</v>
      </c>
      <c r="K286" s="1801">
        <f t="shared" ref="K286" si="46">H286+J286</f>
        <v>11646</v>
      </c>
      <c r="L286" s="2001" t="s">
        <v>2667</v>
      </c>
      <c r="M286" s="1214"/>
      <c r="N286" s="1199">
        <v>79.8</v>
      </c>
      <c r="O286" s="1199">
        <f>ROUND(N286/3,)</f>
        <v>27</v>
      </c>
      <c r="P286" s="1214"/>
    </row>
    <row r="287" spans="1:21" s="1199" customFormat="1" ht="24" customHeight="1">
      <c r="A287" s="1331"/>
      <c r="B287" s="2174" t="s">
        <v>1384</v>
      </c>
      <c r="C287" s="1202"/>
      <c r="D287" s="1202"/>
      <c r="E287" s="1404">
        <v>1</v>
      </c>
      <c r="F287" s="1384" t="s">
        <v>1104</v>
      </c>
      <c r="G287" s="2176">
        <f>ROUND(H286*15%,)</f>
        <v>963</v>
      </c>
      <c r="H287" s="1264">
        <f>ROUND(G287*E287,)</f>
        <v>963</v>
      </c>
      <c r="I287" s="1265">
        <f>ROUND(G287*0.3,)</f>
        <v>289</v>
      </c>
      <c r="J287" s="1264">
        <f>ROUND(E287*I287,)</f>
        <v>289</v>
      </c>
      <c r="K287" s="1273">
        <f>H287+J287</f>
        <v>1252</v>
      </c>
      <c r="L287" s="1385"/>
      <c r="M287" s="1214"/>
      <c r="N287" s="1214"/>
      <c r="O287" s="1214"/>
      <c r="P287" s="1214"/>
    </row>
    <row r="288" spans="1:21" s="1199" customFormat="1" ht="24" customHeight="1">
      <c r="A288" s="1331"/>
      <c r="B288" s="2174" t="s">
        <v>1117</v>
      </c>
      <c r="C288" s="1202"/>
      <c r="D288" s="1202"/>
      <c r="E288" s="1387"/>
      <c r="F288" s="1384"/>
      <c r="G288" s="2176"/>
      <c r="H288" s="1388"/>
      <c r="I288" s="2177"/>
      <c r="J288" s="1385"/>
      <c r="K288" s="1385"/>
      <c r="L288" s="1385"/>
      <c r="M288" s="1214"/>
      <c r="N288" s="1214"/>
      <c r="O288" s="1214"/>
      <c r="P288" s="1214"/>
    </row>
    <row r="289" spans="1:21" s="1199" customFormat="1" ht="24" customHeight="1">
      <c r="A289" s="1339"/>
      <c r="B289" s="1259" t="s">
        <v>1118</v>
      </c>
      <c r="C289" s="1221"/>
      <c r="D289" s="1221"/>
      <c r="E289" s="1404"/>
      <c r="F289" s="1412"/>
      <c r="G289" s="1386"/>
      <c r="H289" s="1413"/>
      <c r="I289" s="1414"/>
      <c r="J289" s="1415"/>
      <c r="K289" s="1415"/>
      <c r="L289" s="1415"/>
      <c r="M289" s="1214"/>
      <c r="N289" s="1214"/>
      <c r="O289" s="1214"/>
      <c r="P289" s="1214"/>
    </row>
    <row r="290" spans="1:21" s="1199" customFormat="1" ht="24" customHeight="1">
      <c r="A290" s="1339"/>
      <c r="B290" s="1259" t="s">
        <v>1118</v>
      </c>
      <c r="C290" s="1221"/>
      <c r="D290" s="1221"/>
      <c r="E290" s="1404"/>
      <c r="F290" s="1412"/>
      <c r="G290" s="1386"/>
      <c r="H290" s="1413"/>
      <c r="I290" s="1414"/>
      <c r="J290" s="1415"/>
      <c r="K290" s="1415"/>
      <c r="L290" s="1415"/>
      <c r="M290" s="1214"/>
      <c r="N290" s="1214"/>
      <c r="O290" s="1214"/>
      <c r="P290" s="1214"/>
    </row>
    <row r="291" spans="1:21" s="1199" customFormat="1" ht="24" customHeight="1">
      <c r="A291" s="1243"/>
      <c r="B291" s="2257" t="str">
        <f>"รวมราคารายการที่ "&amp;A268</f>
        <v>รวมราคารายการที่ 3.10</v>
      </c>
      <c r="C291" s="2258"/>
      <c r="D291" s="2259"/>
      <c r="E291" s="1244"/>
      <c r="F291" s="1245"/>
      <c r="G291" s="1246"/>
      <c r="H291" s="1247">
        <f>SUM(H268:H288)</f>
        <v>413624</v>
      </c>
      <c r="I291" s="1246"/>
      <c r="J291" s="1247">
        <f>SUM(J268:J288)</f>
        <v>18530</v>
      </c>
      <c r="K291" s="1247">
        <f>SUM(K268:K288)</f>
        <v>432154</v>
      </c>
      <c r="L291" s="1245"/>
    </row>
    <row r="292" spans="1:21" s="1199" customFormat="1" ht="24" customHeight="1">
      <c r="A292" s="1367" t="s">
        <v>1570</v>
      </c>
      <c r="B292" s="1353" t="s">
        <v>1550</v>
      </c>
      <c r="C292" s="1452"/>
      <c r="D292" s="1452"/>
      <c r="E292" s="1453"/>
      <c r="F292" s="1454"/>
      <c r="G292" s="1455"/>
      <c r="H292" s="820"/>
      <c r="I292" s="1456"/>
      <c r="J292" s="1457"/>
      <c r="K292" s="1457"/>
      <c r="L292" s="1457"/>
      <c r="M292" s="1214"/>
      <c r="N292" s="1214"/>
      <c r="O292" s="1214"/>
      <c r="P292" s="1214"/>
    </row>
    <row r="293" spans="1:21" s="1199" customFormat="1" ht="24" customHeight="1">
      <c r="A293" s="1474" t="s">
        <v>1348</v>
      </c>
      <c r="B293" s="2174" t="s">
        <v>2714</v>
      </c>
      <c r="C293" s="1191"/>
      <c r="D293" s="1471"/>
      <c r="E293" s="1206"/>
      <c r="F293" s="1207"/>
      <c r="G293" s="1541"/>
      <c r="H293" s="1273"/>
      <c r="I293" s="2177"/>
      <c r="J293" s="1264"/>
      <c r="K293" s="1265"/>
      <c r="L293" s="1473"/>
      <c r="M293" s="1214"/>
      <c r="N293" s="1214"/>
      <c r="O293" s="1214"/>
      <c r="P293" s="1214"/>
      <c r="Q293" s="1214"/>
      <c r="R293" s="1214"/>
      <c r="S293" s="1214"/>
      <c r="T293" s="1214"/>
      <c r="U293" s="1214"/>
    </row>
    <row r="294" spans="1:21" s="1199" customFormat="1" ht="24" customHeight="1">
      <c r="A294" s="1474"/>
      <c r="B294" s="2174" t="s">
        <v>1573</v>
      </c>
      <c r="C294" s="1191"/>
      <c r="D294" s="1471"/>
      <c r="E294" s="1206">
        <v>2</v>
      </c>
      <c r="F294" s="1207" t="s">
        <v>363</v>
      </c>
      <c r="G294" s="2179">
        <v>28700</v>
      </c>
      <c r="H294" s="1343">
        <f>ROUND(E294*G294,)</f>
        <v>57400</v>
      </c>
      <c r="I294" s="1344">
        <f>G294*0.01</f>
        <v>287</v>
      </c>
      <c r="J294" s="1343">
        <f>ROUND(I294*E294,)</f>
        <v>574</v>
      </c>
      <c r="K294" s="1344">
        <f>H294+J294</f>
        <v>57974</v>
      </c>
      <c r="L294" s="1473"/>
      <c r="M294" s="1214"/>
      <c r="N294" s="1214"/>
      <c r="O294" s="1214"/>
      <c r="P294" s="1214"/>
      <c r="Q294" s="1214"/>
      <c r="R294" s="1214"/>
      <c r="S294" s="1214"/>
      <c r="T294" s="1214"/>
      <c r="U294" s="1214"/>
    </row>
    <row r="295" spans="1:21" s="1199" customFormat="1" ht="24" customHeight="1">
      <c r="A295" s="1474"/>
      <c r="B295" s="2174" t="s">
        <v>1574</v>
      </c>
      <c r="C295" s="1191"/>
      <c r="D295" s="1471"/>
      <c r="E295" s="1206">
        <v>2</v>
      </c>
      <c r="F295" s="1207" t="s">
        <v>363</v>
      </c>
      <c r="G295" s="2179">
        <v>25000</v>
      </c>
      <c r="H295" s="1343">
        <f>ROUND(E295*G295,)</f>
        <v>50000</v>
      </c>
      <c r="I295" s="1344">
        <f>ROUND(G295*0.01,)</f>
        <v>250</v>
      </c>
      <c r="J295" s="1343">
        <f>ROUND(I295*E295,)</f>
        <v>500</v>
      </c>
      <c r="K295" s="1344">
        <f>H295+J295</f>
        <v>50500</v>
      </c>
      <c r="L295" s="1473"/>
      <c r="M295" s="1214"/>
      <c r="N295" s="1214"/>
      <c r="O295" s="1214"/>
      <c r="P295" s="1214"/>
      <c r="Q295" s="1214"/>
      <c r="R295" s="1214"/>
      <c r="S295" s="1214"/>
      <c r="T295" s="1214"/>
      <c r="U295" s="1214"/>
    </row>
    <row r="296" spans="1:21" s="1199" customFormat="1" ht="24" customHeight="1">
      <c r="A296" s="1475"/>
      <c r="B296" s="2174" t="s">
        <v>1575</v>
      </c>
      <c r="C296" s="1191"/>
      <c r="D296" s="1471"/>
      <c r="E296" s="1206">
        <v>48</v>
      </c>
      <c r="F296" s="1207" t="s">
        <v>363</v>
      </c>
      <c r="G296" s="2179">
        <v>400</v>
      </c>
      <c r="H296" s="1343">
        <f>ROUND(E296*G296,)</f>
        <v>19200</v>
      </c>
      <c r="I296" s="1344">
        <f>ROUND(G296*0.01,)</f>
        <v>4</v>
      </c>
      <c r="J296" s="1343">
        <f>ROUND(I296*E296,)</f>
        <v>192</v>
      </c>
      <c r="K296" s="1344">
        <f>H296+J296</f>
        <v>19392</v>
      </c>
      <c r="L296" s="1473"/>
      <c r="M296" s="1214"/>
      <c r="N296" s="1214"/>
      <c r="O296" s="1214"/>
      <c r="P296" s="1214"/>
      <c r="Q296" s="1214"/>
      <c r="R296" s="1214"/>
      <c r="S296" s="1214"/>
      <c r="T296" s="1214"/>
      <c r="U296" s="1214"/>
    </row>
    <row r="297" spans="1:21" s="1199" customFormat="1" ht="24" customHeight="1">
      <c r="A297" s="1475"/>
      <c r="B297" s="2174" t="s">
        <v>2710</v>
      </c>
      <c r="C297" s="1191"/>
      <c r="D297" s="1471"/>
      <c r="E297" s="1206"/>
      <c r="F297" s="1207" t="s">
        <v>363</v>
      </c>
      <c r="G297" s="2179"/>
      <c r="H297" s="1273"/>
      <c r="I297" s="1265"/>
      <c r="J297" s="1264"/>
      <c r="K297" s="1265"/>
      <c r="L297" s="1473"/>
      <c r="M297" s="1214"/>
      <c r="N297" s="1214"/>
      <c r="O297" s="1214"/>
      <c r="P297" s="1214"/>
      <c r="Q297" s="1214"/>
      <c r="R297" s="1214"/>
      <c r="S297" s="1214"/>
      <c r="T297" s="1214"/>
      <c r="U297" s="1214"/>
    </row>
    <row r="298" spans="1:21" s="1199" customFormat="1" ht="24" customHeight="1">
      <c r="A298" s="1559"/>
      <c r="B298" s="2174" t="s">
        <v>1684</v>
      </c>
      <c r="C298" s="1191"/>
      <c r="D298" s="1471"/>
      <c r="E298" s="1206"/>
      <c r="F298" s="1207" t="s">
        <v>363</v>
      </c>
      <c r="G298" s="2179"/>
      <c r="H298" s="1273"/>
      <c r="I298" s="1265"/>
      <c r="J298" s="1264"/>
      <c r="K298" s="1265"/>
      <c r="L298" s="1469"/>
      <c r="M298" s="1214"/>
      <c r="N298" s="1214"/>
      <c r="O298" s="1214"/>
      <c r="P298" s="1214"/>
      <c r="Q298" s="1214"/>
      <c r="R298" s="1214"/>
      <c r="S298" s="1214"/>
      <c r="T298" s="1214"/>
      <c r="U298" s="1214"/>
    </row>
    <row r="299" spans="1:21" s="1199" customFormat="1" ht="24" customHeight="1">
      <c r="A299" s="1458" t="s">
        <v>1349</v>
      </c>
      <c r="B299" s="1220" t="s">
        <v>1551</v>
      </c>
      <c r="C299" s="1221"/>
      <c r="D299" s="1221"/>
      <c r="E299" s="1459"/>
      <c r="F299" s="1460"/>
      <c r="G299" s="1461"/>
      <c r="H299" s="1462"/>
      <c r="I299" s="1463"/>
      <c r="J299" s="1462"/>
      <c r="K299" s="1464"/>
      <c r="L299" s="1415"/>
      <c r="M299" s="1214"/>
      <c r="N299" s="1214"/>
      <c r="O299" s="1214"/>
      <c r="P299" s="1214"/>
    </row>
    <row r="300" spans="1:21" s="1199" customFormat="1" ht="24" customHeight="1">
      <c r="A300" s="1339"/>
      <c r="B300" s="1220" t="s">
        <v>1626</v>
      </c>
      <c r="C300" s="1221"/>
      <c r="D300" s="1221"/>
      <c r="E300" s="1404">
        <v>1</v>
      </c>
      <c r="F300" s="1223" t="s">
        <v>363</v>
      </c>
      <c r="G300" s="1386">
        <v>137200</v>
      </c>
      <c r="H300" s="1413">
        <f t="shared" ref="H300:H301" si="47">ROUND(E300*G300,)</f>
        <v>137200</v>
      </c>
      <c r="I300" s="1414">
        <f>G300*0.1</f>
        <v>13720</v>
      </c>
      <c r="J300" s="1415">
        <f>ROUND(E300*I300,)</f>
        <v>13720</v>
      </c>
      <c r="K300" s="1415">
        <f t="shared" ref="K300:K301" si="48">H300+J300</f>
        <v>150920</v>
      </c>
      <c r="L300" s="1415"/>
      <c r="M300" s="1214"/>
      <c r="N300" s="1214"/>
      <c r="O300" s="1214"/>
      <c r="P300" s="1214"/>
    </row>
    <row r="301" spans="1:21" s="1199" customFormat="1" ht="24" customHeight="1">
      <c r="A301" s="1339"/>
      <c r="B301" s="1220" t="s">
        <v>1627</v>
      </c>
      <c r="C301" s="1221"/>
      <c r="D301" s="1221"/>
      <c r="E301" s="1404">
        <v>1</v>
      </c>
      <c r="F301" s="1223" t="s">
        <v>363</v>
      </c>
      <c r="G301" s="1386">
        <v>322000</v>
      </c>
      <c r="H301" s="1413">
        <f t="shared" si="47"/>
        <v>322000</v>
      </c>
      <c r="I301" s="1414">
        <f t="shared" ref="I301" si="49">G301*0.1</f>
        <v>32200</v>
      </c>
      <c r="J301" s="1415">
        <f t="shared" ref="J301" si="50">ROUND(E301*I301,)</f>
        <v>32200</v>
      </c>
      <c r="K301" s="1415">
        <f t="shared" si="48"/>
        <v>354200</v>
      </c>
      <c r="L301" s="1415"/>
      <c r="M301" s="1214"/>
      <c r="N301" s="1214"/>
      <c r="O301" s="1214"/>
      <c r="P301" s="1214"/>
    </row>
    <row r="302" spans="1:21" s="1199" customFormat="1" ht="24" customHeight="1">
      <c r="A302" s="1458" t="s">
        <v>1577</v>
      </c>
      <c r="B302" s="1220" t="s">
        <v>1557</v>
      </c>
      <c r="C302" s="1221"/>
      <c r="D302" s="1221"/>
      <c r="E302" s="1459"/>
      <c r="F302" s="1460"/>
      <c r="G302" s="1461"/>
      <c r="H302" s="1462"/>
      <c r="I302" s="1463"/>
      <c r="J302" s="1462"/>
      <c r="K302" s="1464"/>
      <c r="L302" s="1415"/>
      <c r="M302" s="1214"/>
      <c r="N302" s="1214"/>
      <c r="O302" s="1214"/>
      <c r="P302" s="1214"/>
    </row>
    <row r="303" spans="1:21" s="1199" customFormat="1" ht="24" customHeight="1">
      <c r="A303" s="1339"/>
      <c r="B303" s="1220" t="s">
        <v>1628</v>
      </c>
      <c r="C303" s="1221"/>
      <c r="D303" s="1221"/>
      <c r="E303" s="1404">
        <v>1</v>
      </c>
      <c r="F303" s="1223" t="s">
        <v>363</v>
      </c>
      <c r="G303" s="1386">
        <v>3500</v>
      </c>
      <c r="H303" s="1413">
        <f t="shared" ref="H303:H305" si="51">ROUND(E303*G303,)</f>
        <v>3500</v>
      </c>
      <c r="I303" s="1414">
        <f t="shared" ref="I303:I305" si="52">G303*0.1</f>
        <v>350</v>
      </c>
      <c r="J303" s="1415">
        <f t="shared" ref="J303:J305" si="53">ROUND(E303*I303,)</f>
        <v>350</v>
      </c>
      <c r="K303" s="1415">
        <f t="shared" ref="K303:K305" si="54">H303+J303</f>
        <v>3850</v>
      </c>
      <c r="L303" s="1415"/>
      <c r="M303" s="1214"/>
      <c r="N303" s="1214"/>
      <c r="O303" s="1214"/>
      <c r="P303" s="1214"/>
    </row>
    <row r="304" spans="1:21" s="1199" customFormat="1" ht="24" customHeight="1">
      <c r="A304" s="1339"/>
      <c r="B304" s="1220" t="s">
        <v>1629</v>
      </c>
      <c r="C304" s="1221"/>
      <c r="D304" s="1221"/>
      <c r="E304" s="1404">
        <v>1</v>
      </c>
      <c r="F304" s="1223" t="s">
        <v>363</v>
      </c>
      <c r="G304" s="1386">
        <v>3500</v>
      </c>
      <c r="H304" s="1413">
        <f t="shared" si="51"/>
        <v>3500</v>
      </c>
      <c r="I304" s="1414">
        <f t="shared" si="52"/>
        <v>350</v>
      </c>
      <c r="J304" s="1415">
        <f t="shared" si="53"/>
        <v>350</v>
      </c>
      <c r="K304" s="1415">
        <f t="shared" si="54"/>
        <v>3850</v>
      </c>
      <c r="L304" s="1415"/>
      <c r="M304" s="1214"/>
      <c r="N304" s="1214"/>
      <c r="O304" s="1214"/>
      <c r="P304" s="1214"/>
    </row>
    <row r="305" spans="1:16" s="1199" customFormat="1" ht="24" customHeight="1">
      <c r="A305" s="1339"/>
      <c r="B305" s="1220" t="s">
        <v>1630</v>
      </c>
      <c r="C305" s="1221"/>
      <c r="D305" s="1221"/>
      <c r="E305" s="1404">
        <v>1</v>
      </c>
      <c r="F305" s="1223" t="s">
        <v>363</v>
      </c>
      <c r="G305" s="1386">
        <v>3500</v>
      </c>
      <c r="H305" s="1413">
        <f t="shared" si="51"/>
        <v>3500</v>
      </c>
      <c r="I305" s="1414">
        <f t="shared" si="52"/>
        <v>350</v>
      </c>
      <c r="J305" s="1415">
        <f t="shared" si="53"/>
        <v>350</v>
      </c>
      <c r="K305" s="1415">
        <f t="shared" si="54"/>
        <v>3850</v>
      </c>
      <c r="L305" s="1415"/>
      <c r="M305" s="1214"/>
      <c r="N305" s="1214"/>
      <c r="O305" s="1214"/>
      <c r="P305" s="1214"/>
    </row>
    <row r="306" spans="1:16" s="1199" customFormat="1" ht="24" customHeight="1">
      <c r="A306" s="1458" t="s">
        <v>1359</v>
      </c>
      <c r="B306" s="1465" t="s">
        <v>1312</v>
      </c>
      <c r="C306" s="1452"/>
      <c r="D306" s="1452"/>
      <c r="E306" s="1453"/>
      <c r="F306" s="1454"/>
      <c r="G306" s="1386"/>
      <c r="H306" s="1413"/>
      <c r="I306" s="1414"/>
      <c r="J306" s="1415"/>
      <c r="K306" s="1415"/>
      <c r="L306" s="1457"/>
      <c r="M306" s="1214"/>
      <c r="N306" s="1214"/>
      <c r="O306" s="1214"/>
      <c r="P306" s="1214"/>
    </row>
    <row r="307" spans="1:16" s="1199" customFormat="1" ht="24" customHeight="1">
      <c r="A307" s="1339"/>
      <c r="B307" s="1259" t="s">
        <v>1567</v>
      </c>
      <c r="C307" s="1221"/>
      <c r="D307" s="1221"/>
      <c r="E307" s="1404">
        <v>500</v>
      </c>
      <c r="F307" s="1262" t="s">
        <v>226</v>
      </c>
      <c r="G307" s="1386">
        <v>103</v>
      </c>
      <c r="H307" s="1413">
        <f>ROUND(E307*G307,)</f>
        <v>51500</v>
      </c>
      <c r="I307" s="1414">
        <v>21</v>
      </c>
      <c r="J307" s="1415">
        <f>ROUND(E307*I307,)</f>
        <v>10500</v>
      </c>
      <c r="K307" s="1415">
        <f>H307+J307</f>
        <v>62000</v>
      </c>
      <c r="L307" s="1415"/>
      <c r="M307" s="1214"/>
      <c r="N307" s="1214"/>
      <c r="O307" s="1214"/>
      <c r="P307" s="1214"/>
    </row>
    <row r="308" spans="1:16" s="1199" customFormat="1" ht="24" customHeight="1">
      <c r="A308" s="1339"/>
      <c r="B308" s="1259" t="s">
        <v>1568</v>
      </c>
      <c r="C308" s="1221"/>
      <c r="D308" s="1221"/>
      <c r="E308" s="1404">
        <v>220</v>
      </c>
      <c r="F308" s="1262" t="s">
        <v>226</v>
      </c>
      <c r="G308" s="1386">
        <v>139</v>
      </c>
      <c r="H308" s="1413">
        <f>ROUND(E308*G308,)</f>
        <v>30580</v>
      </c>
      <c r="I308" s="1414">
        <v>21</v>
      </c>
      <c r="J308" s="1415">
        <f>ROUND(E308*I308,)</f>
        <v>4620</v>
      </c>
      <c r="K308" s="1415">
        <f>H308+J308</f>
        <v>35200</v>
      </c>
      <c r="L308" s="1415"/>
      <c r="M308" s="1214"/>
      <c r="N308" s="1214"/>
      <c r="O308" s="1214"/>
      <c r="P308" s="1214"/>
    </row>
    <row r="309" spans="1:16" s="1199" customFormat="1" ht="24" customHeight="1">
      <c r="A309" s="1339"/>
      <c r="B309" s="1259" t="s">
        <v>1525</v>
      </c>
      <c r="C309" s="1221"/>
      <c r="D309" s="1221"/>
      <c r="E309" s="1404">
        <v>1</v>
      </c>
      <c r="F309" s="1412" t="s">
        <v>1104</v>
      </c>
      <c r="G309" s="1386">
        <f>ROUND(SUM(H307:H308)*5%,)</f>
        <v>4104</v>
      </c>
      <c r="H309" s="1343">
        <f t="shared" ref="H309" si="55">ROUND(E309*G309,)</f>
        <v>4104</v>
      </c>
      <c r="I309" s="1265">
        <f>ROUND(G309*0.3,)</f>
        <v>1231</v>
      </c>
      <c r="J309" s="1343">
        <f t="shared" ref="J309" si="56">ROUND(E309*I309,)</f>
        <v>1231</v>
      </c>
      <c r="K309" s="1262">
        <f t="shared" ref="K309" si="57">H309+J309</f>
        <v>5335</v>
      </c>
      <c r="L309" s="1415"/>
      <c r="M309" s="1214"/>
      <c r="N309" s="1214"/>
      <c r="O309" s="1214"/>
      <c r="P309" s="1214"/>
    </row>
    <row r="310" spans="1:16" s="1199" customFormat="1" ht="24" customHeight="1">
      <c r="A310" s="1339" t="s">
        <v>1361</v>
      </c>
      <c r="B310" s="1259" t="s">
        <v>1343</v>
      </c>
      <c r="C310" s="1221"/>
      <c r="D310" s="1221"/>
      <c r="E310" s="1404"/>
      <c r="F310" s="1412"/>
      <c r="G310" s="1386"/>
      <c r="H310" s="1343"/>
      <c r="I310" s="1414"/>
      <c r="J310" s="1343"/>
      <c r="K310" s="1262"/>
      <c r="L310" s="1466"/>
    </row>
    <row r="311" spans="1:16" s="1199" customFormat="1" ht="24" customHeight="1">
      <c r="A311" s="1339"/>
      <c r="B311" s="1259" t="s">
        <v>1344</v>
      </c>
      <c r="C311" s="1221"/>
      <c r="D311" s="1221"/>
      <c r="E311" s="1404">
        <v>40</v>
      </c>
      <c r="F311" s="1262" t="s">
        <v>226</v>
      </c>
      <c r="G311" s="1386">
        <v>316</v>
      </c>
      <c r="H311" s="1343">
        <f t="shared" ref="H311" si="58">ROUND(E311*G311,)</f>
        <v>12640</v>
      </c>
      <c r="I311" s="1414">
        <v>50</v>
      </c>
      <c r="J311" s="1343">
        <f t="shared" ref="J311:J312" si="59">ROUND(E311*I311,)</f>
        <v>2000</v>
      </c>
      <c r="K311" s="1262">
        <f t="shared" ref="K311:K312" si="60">H311+J311</f>
        <v>14640</v>
      </c>
      <c r="L311" s="1466"/>
    </row>
    <row r="312" spans="1:16" s="1199" customFormat="1" ht="24" customHeight="1">
      <c r="A312" s="1339"/>
      <c r="B312" s="1259" t="s">
        <v>1384</v>
      </c>
      <c r="C312" s="1221"/>
      <c r="D312" s="1221"/>
      <c r="E312" s="1404">
        <v>1</v>
      </c>
      <c r="F312" s="1412" t="s">
        <v>1104</v>
      </c>
      <c r="G312" s="1386">
        <f>SUM(H311)*15%</f>
        <v>1896</v>
      </c>
      <c r="H312" s="1343">
        <f t="shared" ref="H312" si="61">ROUND(G312*E312,)</f>
        <v>1896</v>
      </c>
      <c r="I312" s="1414">
        <f>G312*0.3</f>
        <v>568.79999999999995</v>
      </c>
      <c r="J312" s="1343">
        <f t="shared" si="59"/>
        <v>569</v>
      </c>
      <c r="K312" s="1262">
        <f t="shared" si="60"/>
        <v>2465</v>
      </c>
      <c r="L312" s="1466"/>
    </row>
    <row r="313" spans="1:16" s="1199" customFormat="1" ht="24" customHeight="1">
      <c r="A313" s="1339"/>
      <c r="B313" s="1259" t="s">
        <v>1117</v>
      </c>
      <c r="C313" s="1221"/>
      <c r="D313" s="1221"/>
      <c r="E313" s="1404"/>
      <c r="F313" s="1412"/>
      <c r="G313" s="1386"/>
      <c r="H313" s="1413"/>
      <c r="I313" s="1414"/>
      <c r="J313" s="1415"/>
      <c r="K313" s="1415"/>
      <c r="L313" s="1415"/>
      <c r="M313" s="1214"/>
      <c r="N313" s="1214"/>
      <c r="O313" s="1214"/>
      <c r="P313" s="1214"/>
    </row>
    <row r="314" spans="1:16" s="1199" customFormat="1" ht="24" customHeight="1">
      <c r="A314" s="1339"/>
      <c r="B314" s="1259" t="s">
        <v>1118</v>
      </c>
      <c r="C314" s="1221"/>
      <c r="D314" s="1221"/>
      <c r="E314" s="1404"/>
      <c r="F314" s="1412"/>
      <c r="G314" s="1386"/>
      <c r="H314" s="1413"/>
      <c r="I314" s="1414"/>
      <c r="J314" s="1415"/>
      <c r="K314" s="1415"/>
      <c r="L314" s="1415"/>
      <c r="M314" s="1214"/>
      <c r="N314" s="1214"/>
      <c r="O314" s="1214"/>
      <c r="P314" s="1214"/>
    </row>
    <row r="315" spans="1:16" s="1199" customFormat="1" ht="24" customHeight="1">
      <c r="A315" s="1339"/>
      <c r="B315" s="1259" t="s">
        <v>1118</v>
      </c>
      <c r="C315" s="1221"/>
      <c r="D315" s="1221"/>
      <c r="E315" s="1404"/>
      <c r="F315" s="1412"/>
      <c r="G315" s="1386"/>
      <c r="H315" s="1413"/>
      <c r="I315" s="1414"/>
      <c r="J315" s="1415"/>
      <c r="K315" s="1415"/>
      <c r="L315" s="1415"/>
      <c r="M315" s="1214"/>
      <c r="N315" s="1214"/>
      <c r="O315" s="1214"/>
      <c r="P315" s="1214"/>
    </row>
    <row r="316" spans="1:16" s="1199" customFormat="1" ht="24" customHeight="1">
      <c r="A316" s="1339"/>
      <c r="B316" s="2173"/>
      <c r="C316" s="1221"/>
      <c r="D316" s="1221"/>
      <c r="E316" s="1404"/>
      <c r="F316" s="1412"/>
      <c r="G316" s="1386"/>
      <c r="H316" s="1413"/>
      <c r="I316" s="1414"/>
      <c r="J316" s="1415"/>
      <c r="K316" s="1415"/>
      <c r="L316" s="1415"/>
      <c r="M316" s="1214"/>
      <c r="N316" s="1214"/>
      <c r="O316" s="1214"/>
      <c r="P316" s="1214"/>
    </row>
    <row r="317" spans="1:16" s="1199" customFormat="1" ht="24" customHeight="1">
      <c r="A317" s="1339"/>
      <c r="B317" s="2173"/>
      <c r="C317" s="1221"/>
      <c r="D317" s="1221"/>
      <c r="E317" s="1404"/>
      <c r="F317" s="1412"/>
      <c r="G317" s="1386"/>
      <c r="H317" s="1413"/>
      <c r="I317" s="1414"/>
      <c r="J317" s="1415"/>
      <c r="K317" s="1415"/>
      <c r="L317" s="1415"/>
      <c r="M317" s="1214"/>
      <c r="N317" s="1214"/>
      <c r="O317" s="1214"/>
      <c r="P317" s="1214"/>
    </row>
    <row r="318" spans="1:16" s="1199" customFormat="1" ht="24" customHeight="1">
      <c r="A318" s="1339"/>
      <c r="B318" s="2173"/>
      <c r="C318" s="1221"/>
      <c r="D318" s="1221"/>
      <c r="E318" s="1404"/>
      <c r="F318" s="1412"/>
      <c r="G318" s="1386"/>
      <c r="H318" s="1413"/>
      <c r="I318" s="1414"/>
      <c r="J318" s="1415"/>
      <c r="K318" s="1415"/>
      <c r="L318" s="1415"/>
      <c r="M318" s="1214"/>
      <c r="N318" s="1214"/>
      <c r="O318" s="1214"/>
      <c r="P318" s="1214"/>
    </row>
    <row r="319" spans="1:16" s="1199" customFormat="1" ht="24" customHeight="1">
      <c r="A319" s="1339"/>
      <c r="B319" s="2173"/>
      <c r="C319" s="1221"/>
      <c r="D319" s="1221"/>
      <c r="E319" s="1404"/>
      <c r="F319" s="1412"/>
      <c r="G319" s="1386"/>
      <c r="H319" s="1413"/>
      <c r="I319" s="1414"/>
      <c r="J319" s="1415"/>
      <c r="K319" s="1415"/>
      <c r="L319" s="1415"/>
      <c r="M319" s="1214"/>
      <c r="N319" s="1214"/>
      <c r="O319" s="1214"/>
      <c r="P319" s="1214"/>
    </row>
    <row r="320" spans="1:16" s="1199" customFormat="1" ht="24" customHeight="1">
      <c r="A320" s="1339"/>
      <c r="B320" s="2173"/>
      <c r="C320" s="1221"/>
      <c r="D320" s="1221"/>
      <c r="E320" s="1404"/>
      <c r="F320" s="1412"/>
      <c r="G320" s="1386"/>
      <c r="H320" s="1413"/>
      <c r="I320" s="1414"/>
      <c r="J320" s="1415"/>
      <c r="K320" s="1415"/>
      <c r="L320" s="1415"/>
      <c r="M320" s="1214"/>
      <c r="N320" s="1214"/>
      <c r="O320" s="1214"/>
      <c r="P320" s="1214"/>
    </row>
    <row r="321" spans="1:21" s="1199" customFormat="1" ht="24" customHeight="1">
      <c r="A321" s="1331"/>
      <c r="B321" s="1416"/>
      <c r="C321" s="1202"/>
      <c r="D321" s="1202"/>
      <c r="E321" s="1387"/>
      <c r="F321" s="1384"/>
      <c r="G321" s="2176"/>
      <c r="H321" s="1388"/>
      <c r="I321" s="2177"/>
      <c r="J321" s="1385"/>
      <c r="K321" s="1385"/>
      <c r="L321" s="1385"/>
      <c r="M321" s="1214"/>
      <c r="N321" s="1214"/>
      <c r="O321" s="1214"/>
      <c r="P321" s="1214"/>
    </row>
    <row r="322" spans="1:21" s="1199" customFormat="1" ht="24" customHeight="1">
      <c r="A322" s="1243"/>
      <c r="B322" s="2257" t="str">
        <f>"รวมราคารายการที่ "&amp;A292</f>
        <v>รวมราคารายการที่ 3.11</v>
      </c>
      <c r="C322" s="2258"/>
      <c r="D322" s="2259"/>
      <c r="E322" s="1244"/>
      <c r="F322" s="1245"/>
      <c r="G322" s="1246"/>
      <c r="H322" s="1247">
        <f>SUM(H292:H321)</f>
        <v>697020</v>
      </c>
      <c r="I322" s="1246"/>
      <c r="J322" s="1247">
        <f>SUM(J292:J321)</f>
        <v>67156</v>
      </c>
      <c r="K322" s="1247">
        <f>SUM(K292:K321)</f>
        <v>764176</v>
      </c>
      <c r="L322" s="1245"/>
    </row>
    <row r="323" spans="1:21" s="1199" customFormat="1" ht="24" customHeight="1">
      <c r="A323" s="1467" t="s">
        <v>2917</v>
      </c>
      <c r="B323" s="1292" t="s">
        <v>1571</v>
      </c>
      <c r="C323" s="1468"/>
      <c r="D323" s="1192"/>
      <c r="E323" s="1193"/>
      <c r="F323" s="1194"/>
      <c r="G323" s="1297"/>
      <c r="H323" s="1298"/>
      <c r="I323" s="1299"/>
      <c r="J323" s="1298"/>
      <c r="K323" s="1299"/>
      <c r="L323" s="1469"/>
      <c r="M323" s="1214"/>
      <c r="N323" s="1214"/>
      <c r="O323" s="1214"/>
      <c r="P323" s="1214"/>
      <c r="Q323" s="1214"/>
      <c r="R323" s="1214"/>
      <c r="S323" s="1214"/>
      <c r="T323" s="1214"/>
      <c r="U323" s="1214"/>
    </row>
    <row r="324" spans="1:21" s="1199" customFormat="1" ht="24" customHeight="1">
      <c r="A324" s="1470" t="s">
        <v>1352</v>
      </c>
      <c r="B324" s="2174" t="s">
        <v>1611</v>
      </c>
      <c r="C324" s="1191"/>
      <c r="D324" s="1471"/>
      <c r="E324" s="1472">
        <v>2</v>
      </c>
      <c r="F324" s="1267" t="s">
        <v>363</v>
      </c>
      <c r="G324" s="2178">
        <v>3200</v>
      </c>
      <c r="H324" s="1343">
        <f>ROUND(E324*G324,)</f>
        <v>6400</v>
      </c>
      <c r="I324" s="1344">
        <v>150</v>
      </c>
      <c r="J324" s="1343">
        <f>ROUND(I324*E324,)</f>
        <v>300</v>
      </c>
      <c r="K324" s="1344">
        <f>H324+J324</f>
        <v>6700</v>
      </c>
      <c r="L324" s="1473"/>
      <c r="M324" s="1214"/>
      <c r="N324" s="1214"/>
      <c r="O324" s="1214"/>
      <c r="P324" s="1214"/>
      <c r="Q324" s="1214"/>
      <c r="R324" s="1214"/>
      <c r="S324" s="1214"/>
      <c r="T324" s="1214"/>
      <c r="U324" s="1214"/>
    </row>
    <row r="325" spans="1:21" s="1199" customFormat="1" ht="24" customHeight="1">
      <c r="A325" s="1474" t="s">
        <v>1354</v>
      </c>
      <c r="B325" s="2174" t="s">
        <v>1612</v>
      </c>
      <c r="C325" s="1191"/>
      <c r="D325" s="1471"/>
      <c r="E325" s="1472">
        <v>2</v>
      </c>
      <c r="F325" s="1267" t="s">
        <v>363</v>
      </c>
      <c r="G325" s="2178">
        <v>2640</v>
      </c>
      <c r="H325" s="1343">
        <f>ROUND(E325*G325,)</f>
        <v>5280</v>
      </c>
      <c r="I325" s="1344">
        <v>150</v>
      </c>
      <c r="J325" s="1343">
        <f>ROUND(I325*E325,)</f>
        <v>300</v>
      </c>
      <c r="K325" s="1344">
        <f>H325+J325</f>
        <v>5580</v>
      </c>
      <c r="L325" s="1473"/>
      <c r="M325" s="1214"/>
      <c r="N325" s="1214"/>
      <c r="O325" s="1214"/>
      <c r="P325" s="1214"/>
      <c r="Q325" s="1214"/>
      <c r="R325" s="1214"/>
      <c r="S325" s="1214"/>
      <c r="T325" s="1214"/>
      <c r="U325" s="1214"/>
    </row>
    <row r="326" spans="1:21" s="1199" customFormat="1" ht="24" customHeight="1">
      <c r="A326" s="1474" t="s">
        <v>1357</v>
      </c>
      <c r="B326" s="2174" t="s">
        <v>1613</v>
      </c>
      <c r="C326" s="1191"/>
      <c r="D326" s="1471"/>
      <c r="E326" s="1206"/>
      <c r="F326" s="1207"/>
      <c r="G326" s="2175"/>
      <c r="H326" s="1264"/>
      <c r="I326" s="1265"/>
      <c r="J326" s="1264"/>
      <c r="K326" s="1265"/>
      <c r="L326" s="1473"/>
      <c r="M326" s="1214"/>
      <c r="N326" s="1214"/>
      <c r="O326" s="1214"/>
      <c r="P326" s="1214"/>
      <c r="Q326" s="1214"/>
      <c r="R326" s="1214"/>
      <c r="S326" s="1214"/>
      <c r="T326" s="1214"/>
      <c r="U326" s="1214"/>
    </row>
    <row r="327" spans="1:21" s="1199" customFormat="1" ht="24" customHeight="1">
      <c r="A327" s="1478"/>
      <c r="B327" s="1259" t="s">
        <v>1614</v>
      </c>
      <c r="C327" s="1191"/>
      <c r="D327" s="1471"/>
      <c r="E327" s="1206">
        <v>600</v>
      </c>
      <c r="F327" s="1207" t="s">
        <v>226</v>
      </c>
      <c r="G327" s="2178">
        <v>10</v>
      </c>
      <c r="H327" s="1264">
        <f>ROUND(E327*G327,)</f>
        <v>6000</v>
      </c>
      <c r="I327" s="1265">
        <v>5</v>
      </c>
      <c r="J327" s="1264">
        <f>ROUND(I327*E327,)</f>
        <v>3000</v>
      </c>
      <c r="K327" s="1265">
        <f>H327+J327</f>
        <v>9000</v>
      </c>
      <c r="L327" s="1473"/>
      <c r="M327" s="1214"/>
      <c r="N327" s="1214"/>
      <c r="O327" s="1214"/>
      <c r="P327" s="1214"/>
      <c r="Q327" s="1214"/>
      <c r="R327" s="1214"/>
      <c r="S327" s="1214"/>
      <c r="T327" s="1214"/>
      <c r="U327" s="1214"/>
    </row>
    <row r="328" spans="1:21" s="1199" customFormat="1" ht="24" customHeight="1">
      <c r="A328" s="1474" t="s">
        <v>2677</v>
      </c>
      <c r="B328" s="2174" t="s">
        <v>1526</v>
      </c>
      <c r="C328" s="1191"/>
      <c r="D328" s="1471"/>
      <c r="E328" s="1206"/>
      <c r="F328" s="1207"/>
      <c r="G328" s="2175"/>
      <c r="H328" s="1264"/>
      <c r="I328" s="1265"/>
      <c r="J328" s="1264"/>
      <c r="K328" s="1265"/>
      <c r="L328" s="1473"/>
      <c r="M328" s="1214"/>
      <c r="N328" s="1214"/>
      <c r="O328" s="1214"/>
      <c r="P328" s="1214"/>
      <c r="Q328" s="1214"/>
      <c r="R328" s="1214"/>
      <c r="S328" s="1214"/>
      <c r="T328" s="1214"/>
      <c r="U328" s="1214"/>
    </row>
    <row r="329" spans="1:21" s="1199" customFormat="1" ht="24" customHeight="1">
      <c r="A329" s="1479"/>
      <c r="B329" s="2174" t="s">
        <v>1350</v>
      </c>
      <c r="C329" s="1191"/>
      <c r="D329" s="1471"/>
      <c r="E329" s="1387"/>
      <c r="F329" s="1358" t="s">
        <v>226</v>
      </c>
      <c r="G329" s="2176">
        <v>27</v>
      </c>
      <c r="H329" s="1264">
        <f t="shared" ref="H329" si="62">ROUND(G329*E329,)</f>
        <v>0</v>
      </c>
      <c r="I329" s="2177">
        <v>22</v>
      </c>
      <c r="J329" s="1264">
        <f t="shared" ref="J329" si="63">ROUND(E329*I329,)</f>
        <v>0</v>
      </c>
      <c r="K329" s="1802">
        <f t="shared" ref="K329" si="64">H329+J329</f>
        <v>0</v>
      </c>
      <c r="L329" s="2001" t="s">
        <v>2667</v>
      </c>
      <c r="M329" s="1214"/>
      <c r="N329" s="1214"/>
      <c r="O329" s="1214"/>
      <c r="P329" s="1214"/>
      <c r="Q329" s="1214"/>
      <c r="R329" s="1214"/>
      <c r="S329" s="1214"/>
      <c r="T329" s="1214"/>
      <c r="U329" s="1214"/>
    </row>
    <row r="330" spans="1:21" s="1199" customFormat="1" ht="24" customHeight="1">
      <c r="A330" s="1474" t="s">
        <v>2679</v>
      </c>
      <c r="B330" s="2174" t="s">
        <v>1110</v>
      </c>
      <c r="C330" s="1191"/>
      <c r="D330" s="1471"/>
      <c r="E330" s="1206"/>
      <c r="F330" s="1207"/>
      <c r="G330" s="2175"/>
      <c r="H330" s="1264"/>
      <c r="I330" s="1265"/>
      <c r="J330" s="1264"/>
      <c r="K330" s="1265"/>
      <c r="L330" s="1473"/>
      <c r="M330" s="1214"/>
      <c r="N330" s="1214"/>
      <c r="O330" s="1214"/>
      <c r="P330" s="1214"/>
      <c r="Q330" s="1214"/>
      <c r="R330" s="1214"/>
      <c r="S330" s="1214"/>
      <c r="T330" s="1214"/>
      <c r="U330" s="1214"/>
    </row>
    <row r="331" spans="1:21" s="1199" customFormat="1" ht="24" customHeight="1">
      <c r="A331" s="1480"/>
      <c r="B331" s="2174" t="s">
        <v>1350</v>
      </c>
      <c r="C331" s="1191"/>
      <c r="D331" s="1471"/>
      <c r="E331" s="1387">
        <v>80</v>
      </c>
      <c r="F331" s="1358" t="s">
        <v>226</v>
      </c>
      <c r="G331" s="2176">
        <v>56</v>
      </c>
      <c r="H331" s="1264">
        <f>ROUND(E331*G331,)</f>
        <v>4480</v>
      </c>
      <c r="I331" s="2177">
        <v>26</v>
      </c>
      <c r="J331" s="1264">
        <f t="shared" ref="J331" si="65">ROUND(E331*I331,)</f>
        <v>2080</v>
      </c>
      <c r="K331" s="1801">
        <f t="shared" ref="K331" si="66">H331+J331</f>
        <v>6560</v>
      </c>
      <c r="L331" s="2001" t="s">
        <v>2667</v>
      </c>
      <c r="M331" s="1214"/>
      <c r="N331" s="1199">
        <v>169.2</v>
      </c>
      <c r="O331" s="1199">
        <f>ROUND(N331/3,)</f>
        <v>56</v>
      </c>
      <c r="P331" s="1214"/>
      <c r="Q331" s="1214"/>
      <c r="R331" s="1214"/>
      <c r="S331" s="1214"/>
      <c r="T331" s="1214"/>
      <c r="U331" s="1214"/>
    </row>
    <row r="332" spans="1:21" s="1199" customFormat="1" ht="24" customHeight="1">
      <c r="A332" s="1480"/>
      <c r="B332" s="2174" t="s">
        <v>1384</v>
      </c>
      <c r="C332" s="1191"/>
      <c r="D332" s="1471"/>
      <c r="E332" s="1206">
        <v>1</v>
      </c>
      <c r="F332" s="1207" t="s">
        <v>1104</v>
      </c>
      <c r="G332" s="2175">
        <f>ROUND(SUM(H329:H331)*15%,0)</f>
        <v>672</v>
      </c>
      <c r="H332" s="1264">
        <f>ROUND(E332*G332,)</f>
        <v>672</v>
      </c>
      <c r="I332" s="1265">
        <f>ROUND(G332*0.3,0)</f>
        <v>202</v>
      </c>
      <c r="J332" s="1264">
        <f>ROUND(I332*E332,)</f>
        <v>202</v>
      </c>
      <c r="K332" s="1265">
        <f>H332+I332</f>
        <v>874</v>
      </c>
      <c r="L332" s="1473"/>
      <c r="M332" s="1214"/>
      <c r="N332" s="1214"/>
      <c r="O332" s="1214"/>
      <c r="P332" s="1214"/>
      <c r="Q332" s="1214"/>
      <c r="R332" s="1214"/>
      <c r="S332" s="1214"/>
      <c r="T332" s="1214"/>
      <c r="U332" s="1214"/>
    </row>
    <row r="333" spans="1:21" s="1199" customFormat="1" ht="24" customHeight="1">
      <c r="A333" s="1474" t="s">
        <v>2918</v>
      </c>
      <c r="B333" s="2174" t="s">
        <v>1381</v>
      </c>
      <c r="C333" s="1191"/>
      <c r="D333" s="1471"/>
      <c r="E333" s="1206"/>
      <c r="F333" s="1207" t="s">
        <v>1104</v>
      </c>
      <c r="G333" s="2175"/>
      <c r="H333" s="1264"/>
      <c r="I333" s="1504"/>
      <c r="J333" s="1264"/>
      <c r="K333" s="1265"/>
      <c r="L333" s="1473"/>
      <c r="M333" s="1214"/>
      <c r="N333" s="1214"/>
      <c r="O333" s="1214"/>
      <c r="P333" s="1214"/>
      <c r="Q333" s="1214"/>
      <c r="R333" s="1214"/>
      <c r="S333" s="1214"/>
      <c r="T333" s="1214"/>
      <c r="U333" s="1214"/>
    </row>
    <row r="334" spans="1:21" s="1199" customFormat="1" ht="24" customHeight="1">
      <c r="A334" s="1480"/>
      <c r="B334" s="2174" t="s">
        <v>1117</v>
      </c>
      <c r="C334" s="1191"/>
      <c r="D334" s="1471"/>
      <c r="E334" s="1206"/>
      <c r="F334" s="1207"/>
      <c r="G334" s="2175"/>
      <c r="H334" s="1264"/>
      <c r="I334" s="1265"/>
      <c r="J334" s="1264"/>
      <c r="K334" s="1265"/>
      <c r="L334" s="1473"/>
      <c r="M334" s="1214"/>
      <c r="N334" s="1214"/>
      <c r="O334" s="1214"/>
      <c r="P334" s="1214"/>
      <c r="Q334" s="1214"/>
      <c r="R334" s="1214"/>
      <c r="S334" s="1214"/>
      <c r="T334" s="1214"/>
      <c r="U334" s="1214"/>
    </row>
    <row r="335" spans="1:21" s="1199" customFormat="1" ht="24" customHeight="1">
      <c r="A335" s="1339"/>
      <c r="B335" s="1220" t="s">
        <v>1118</v>
      </c>
      <c r="C335" s="1221"/>
      <c r="D335" s="1221"/>
      <c r="E335" s="1404"/>
      <c r="F335" s="1412"/>
      <c r="G335" s="1386"/>
      <c r="H335" s="1413"/>
      <c r="I335" s="1414"/>
      <c r="J335" s="1415"/>
      <c r="K335" s="1415"/>
      <c r="L335" s="1415"/>
      <c r="M335" s="1214"/>
      <c r="N335" s="1214"/>
      <c r="O335" s="1214"/>
      <c r="P335" s="1214"/>
    </row>
    <row r="336" spans="1:21" s="1199" customFormat="1" ht="24" customHeight="1">
      <c r="A336" s="1339"/>
      <c r="B336" s="1220" t="s">
        <v>1118</v>
      </c>
      <c r="C336" s="1221"/>
      <c r="D336" s="1221"/>
      <c r="E336" s="1404"/>
      <c r="F336" s="1412"/>
      <c r="G336" s="1386"/>
      <c r="H336" s="1413"/>
      <c r="I336" s="1414"/>
      <c r="J336" s="1415"/>
      <c r="K336" s="1415"/>
      <c r="L336" s="1415"/>
      <c r="M336" s="1214"/>
      <c r="N336" s="1214"/>
      <c r="O336" s="1214"/>
      <c r="P336" s="1214"/>
    </row>
    <row r="337" spans="1:21" s="1199" customFormat="1" ht="24" customHeight="1">
      <c r="A337" s="1339"/>
      <c r="B337" s="1505"/>
      <c r="C337" s="1221"/>
      <c r="D337" s="1221"/>
      <c r="E337" s="1404"/>
      <c r="F337" s="1412"/>
      <c r="G337" s="1386"/>
      <c r="H337" s="1413"/>
      <c r="I337" s="1414"/>
      <c r="J337" s="1415"/>
      <c r="K337" s="1415"/>
      <c r="L337" s="1415"/>
      <c r="M337" s="1214"/>
      <c r="N337" s="1214"/>
      <c r="O337" s="1214"/>
      <c r="P337" s="1214"/>
    </row>
    <row r="338" spans="1:21" s="1199" customFormat="1" ht="24" customHeight="1">
      <c r="A338" s="1339"/>
      <c r="B338" s="1505"/>
      <c r="C338" s="1221"/>
      <c r="D338" s="1221"/>
      <c r="E338" s="1404"/>
      <c r="F338" s="1412"/>
      <c r="G338" s="1386"/>
      <c r="H338" s="1413"/>
      <c r="I338" s="1414"/>
      <c r="J338" s="1415"/>
      <c r="K338" s="1415"/>
      <c r="L338" s="1415"/>
      <c r="M338" s="1214"/>
      <c r="N338" s="1214"/>
      <c r="O338" s="1214"/>
      <c r="P338" s="1214"/>
    </row>
    <row r="339" spans="1:21" s="1199" customFormat="1" ht="24" customHeight="1">
      <c r="A339" s="1339"/>
      <c r="B339" s="1505"/>
      <c r="C339" s="1221"/>
      <c r="D339" s="1221"/>
      <c r="E339" s="1404"/>
      <c r="F339" s="1412"/>
      <c r="G339" s="1386"/>
      <c r="H339" s="1413"/>
      <c r="I339" s="1414"/>
      <c r="J339" s="1415"/>
      <c r="K339" s="1415"/>
      <c r="L339" s="1415"/>
      <c r="M339" s="1214"/>
      <c r="N339" s="1214"/>
      <c r="O339" s="1214"/>
      <c r="P339" s="1214"/>
    </row>
    <row r="340" spans="1:21" s="1199" customFormat="1" ht="24" customHeight="1">
      <c r="A340" s="1339"/>
      <c r="B340" s="1505"/>
      <c r="C340" s="1221"/>
      <c r="D340" s="1221"/>
      <c r="E340" s="1404"/>
      <c r="F340" s="1412"/>
      <c r="G340" s="1386"/>
      <c r="H340" s="1413"/>
      <c r="I340" s="1414"/>
      <c r="J340" s="1415"/>
      <c r="K340" s="1415"/>
      <c r="L340" s="1415"/>
      <c r="M340" s="1214"/>
      <c r="N340" s="1214"/>
      <c r="O340" s="1214"/>
      <c r="P340" s="1214"/>
    </row>
    <row r="341" spans="1:21" s="1199" customFormat="1" ht="24" customHeight="1">
      <c r="A341" s="1339"/>
      <c r="B341" s="1505"/>
      <c r="C341" s="1221"/>
      <c r="D341" s="1221"/>
      <c r="E341" s="1404"/>
      <c r="F341" s="1412"/>
      <c r="G341" s="1386"/>
      <c r="H341" s="1413"/>
      <c r="I341" s="1414"/>
      <c r="J341" s="1415"/>
      <c r="K341" s="1415"/>
      <c r="L341" s="1415"/>
      <c r="M341" s="1214"/>
      <c r="N341" s="1214"/>
      <c r="O341" s="1214"/>
      <c r="P341" s="1214"/>
    </row>
    <row r="342" spans="1:21" s="1199" customFormat="1" ht="24" customHeight="1">
      <c r="A342" s="1339"/>
      <c r="B342" s="1505"/>
      <c r="C342" s="1221"/>
      <c r="D342" s="1221"/>
      <c r="E342" s="1404"/>
      <c r="F342" s="1412"/>
      <c r="G342" s="1386"/>
      <c r="H342" s="1413"/>
      <c r="I342" s="1414"/>
      <c r="J342" s="1415"/>
      <c r="K342" s="1415"/>
      <c r="L342" s="1415"/>
      <c r="M342" s="1214"/>
      <c r="N342" s="1214"/>
      <c r="O342" s="1214"/>
      <c r="P342" s="1214"/>
    </row>
    <row r="343" spans="1:21" s="1199" customFormat="1" ht="24" customHeight="1">
      <c r="A343" s="1339"/>
      <c r="B343" s="1505"/>
      <c r="C343" s="1221"/>
      <c r="D343" s="1221"/>
      <c r="E343" s="1404"/>
      <c r="F343" s="1412"/>
      <c r="G343" s="1386"/>
      <c r="H343" s="1413"/>
      <c r="I343" s="1414"/>
      <c r="J343" s="1415"/>
      <c r="K343" s="1415"/>
      <c r="L343" s="1415"/>
      <c r="M343" s="1214"/>
      <c r="N343" s="1214"/>
      <c r="O343" s="1214"/>
      <c r="P343" s="1214"/>
    </row>
    <row r="344" spans="1:21" s="1199" customFormat="1" ht="24" customHeight="1">
      <c r="A344" s="1339"/>
      <c r="B344" s="1505"/>
      <c r="C344" s="1221"/>
      <c r="D344" s="1221"/>
      <c r="E344" s="1404"/>
      <c r="F344" s="1412"/>
      <c r="G344" s="1386"/>
      <c r="H344" s="1413"/>
      <c r="I344" s="1414"/>
      <c r="J344" s="1415"/>
      <c r="K344" s="1415"/>
      <c r="L344" s="1415"/>
      <c r="M344" s="1214"/>
      <c r="N344" s="1214"/>
      <c r="O344" s="1214"/>
      <c r="P344" s="1214"/>
    </row>
    <row r="345" spans="1:21" s="1199" customFormat="1" ht="24" customHeight="1">
      <c r="A345" s="1331"/>
      <c r="B345" s="1416"/>
      <c r="C345" s="1202"/>
      <c r="D345" s="1202"/>
      <c r="E345" s="1387"/>
      <c r="F345" s="1384"/>
      <c r="G345" s="2176"/>
      <c r="H345" s="1388"/>
      <c r="I345" s="2177"/>
      <c r="J345" s="1385"/>
      <c r="K345" s="1385"/>
      <c r="L345" s="1385"/>
      <c r="M345" s="1214"/>
      <c r="N345" s="1214"/>
      <c r="O345" s="1214"/>
      <c r="P345" s="1214"/>
    </row>
    <row r="346" spans="1:21" s="1199" customFormat="1" ht="24" customHeight="1">
      <c r="A346" s="1245"/>
      <c r="B346" s="2257" t="str">
        <f>"รวมราคารายการที่ "&amp;A323</f>
        <v>รวมราคารายการที่ 3.12</v>
      </c>
      <c r="C346" s="2258"/>
      <c r="D346" s="2259"/>
      <c r="E346" s="1481"/>
      <c r="F346" s="1245"/>
      <c r="G346" s="1246"/>
      <c r="H346" s="1247">
        <f>SUM(H324:H334)</f>
        <v>22832</v>
      </c>
      <c r="I346" s="1246"/>
      <c r="J346" s="1247">
        <f t="shared" ref="J346:K346" si="67">SUM(J324:J334)</f>
        <v>5882</v>
      </c>
      <c r="K346" s="1247">
        <f t="shared" si="67"/>
        <v>28714</v>
      </c>
      <c r="L346" s="1245"/>
      <c r="M346" s="1214"/>
      <c r="N346" s="1214"/>
      <c r="O346" s="1214"/>
      <c r="P346" s="1214"/>
      <c r="Q346" s="1214"/>
      <c r="R346" s="1214"/>
      <c r="S346" s="1214"/>
      <c r="T346" s="1214"/>
      <c r="U346" s="1214"/>
    </row>
  </sheetData>
  <mergeCells count="21">
    <mergeCell ref="B161:D161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91:D91"/>
    <mergeCell ref="B106:D106"/>
    <mergeCell ref="B138:D138"/>
    <mergeCell ref="B346:D346"/>
    <mergeCell ref="B178:D178"/>
    <mergeCell ref="B208:D208"/>
    <mergeCell ref="B250:D250"/>
    <mergeCell ref="B267:D267"/>
    <mergeCell ref="B291:D291"/>
    <mergeCell ref="B322:D322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4-อาคารทิศตะวันตก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42B57-3553-401E-8827-DEC7C8B60B83}">
  <sheetPr>
    <tabColor rgb="FF92D050"/>
  </sheetPr>
  <dimension ref="A1:U322"/>
  <sheetViews>
    <sheetView view="pageBreakPreview" zoomScale="70" zoomScaleNormal="100" zoomScaleSheetLayoutView="70" workbookViewId="0">
      <selection activeCell="A152" sqref="A152:L157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" style="1" customWidth="1"/>
    <col min="13" max="96" width="7.703125" style="1" customWidth="1"/>
    <col min="97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2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1633</v>
      </c>
      <c r="C11" s="1177"/>
      <c r="D11" s="1178"/>
      <c r="E11" s="1179"/>
      <c r="F11" s="1180"/>
      <c r="G11" s="1509"/>
      <c r="H11" s="1182"/>
      <c r="I11" s="1183"/>
      <c r="J11" s="1182"/>
      <c r="K11" s="1184"/>
      <c r="L11" s="1430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510"/>
      <c r="H12" s="1196">
        <f>H82</f>
        <v>284870</v>
      </c>
      <c r="I12" s="1241"/>
      <c r="J12" s="1196">
        <f>J82</f>
        <v>19800</v>
      </c>
      <c r="K12" s="1196">
        <f>K82</f>
        <v>304670</v>
      </c>
      <c r="L12" s="1430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510"/>
      <c r="H13" s="1196">
        <f>H91</f>
        <v>0</v>
      </c>
      <c r="I13" s="1241"/>
      <c r="J13" s="1196">
        <f>J91</f>
        <v>0</v>
      </c>
      <c r="K13" s="1196">
        <f>K91</f>
        <v>0</v>
      </c>
      <c r="L13" s="1430"/>
    </row>
    <row r="14" spans="1:12" s="1199" customFormat="1" ht="24" customHeight="1">
      <c r="A14" s="1204">
        <f>A92</f>
        <v>3.3</v>
      </c>
      <c r="B14" s="1431" t="str">
        <f>B92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510"/>
      <c r="H14" s="1196">
        <f>H106</f>
        <v>0</v>
      </c>
      <c r="I14" s="1241"/>
      <c r="J14" s="1196">
        <f>J106</f>
        <v>0</v>
      </c>
      <c r="K14" s="1196">
        <f>K106</f>
        <v>0</v>
      </c>
      <c r="L14" s="1430"/>
    </row>
    <row r="15" spans="1:12" s="1199" customFormat="1" ht="24" customHeight="1">
      <c r="A15" s="1204">
        <f>A107</f>
        <v>3.4</v>
      </c>
      <c r="B15" s="1190" t="str">
        <f>B107</f>
        <v>สายไฟฟ้า (Cable &amp; Wire)</v>
      </c>
      <c r="C15" s="1202"/>
      <c r="D15" s="1203"/>
      <c r="E15" s="1193">
        <v>1</v>
      </c>
      <c r="F15" s="1194" t="s">
        <v>19</v>
      </c>
      <c r="G15" s="1510"/>
      <c r="H15" s="1196">
        <f>H139</f>
        <v>106008</v>
      </c>
      <c r="I15" s="1197"/>
      <c r="J15" s="1196">
        <f>J139</f>
        <v>32524</v>
      </c>
      <c r="K15" s="1196">
        <f t="shared" ref="K15:K21" si="0">SUM(H15:J15)</f>
        <v>138532</v>
      </c>
      <c r="L15" s="1430"/>
    </row>
    <row r="16" spans="1:12" s="1199" customFormat="1" ht="24" customHeight="1">
      <c r="A16" s="1204" t="str">
        <f>A140</f>
        <v>3.5</v>
      </c>
      <c r="B16" s="1190" t="str">
        <f>B140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510"/>
      <c r="H16" s="1196">
        <f>H161</f>
        <v>40280</v>
      </c>
      <c r="I16" s="1197"/>
      <c r="J16" s="1196">
        <f>J161</f>
        <v>12933</v>
      </c>
      <c r="K16" s="1196">
        <f t="shared" si="0"/>
        <v>53213</v>
      </c>
      <c r="L16" s="1430"/>
    </row>
    <row r="17" spans="1:12" s="1199" customFormat="1" ht="24" customHeight="1">
      <c r="A17" s="1204" t="str">
        <f>A162</f>
        <v>3.6</v>
      </c>
      <c r="B17" s="1190" t="str">
        <f>B162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510"/>
      <c r="H17" s="1196">
        <f>H178</f>
        <v>2376</v>
      </c>
      <c r="I17" s="1197"/>
      <c r="J17" s="1196">
        <f>J178</f>
        <v>1380</v>
      </c>
      <c r="K17" s="1196">
        <f t="shared" si="0"/>
        <v>3756</v>
      </c>
      <c r="L17" s="1430"/>
    </row>
    <row r="18" spans="1:12" s="1199" customFormat="1" ht="24" customHeight="1">
      <c r="A18" s="1204" t="str">
        <f>A179</f>
        <v>3.7</v>
      </c>
      <c r="B18" s="1190" t="str">
        <f>B179</f>
        <v>โคมไฟฟ้า (Luminaire)</v>
      </c>
      <c r="C18" s="1202"/>
      <c r="D18" s="1203"/>
      <c r="E18" s="1193">
        <v>1</v>
      </c>
      <c r="F18" s="1194" t="s">
        <v>19</v>
      </c>
      <c r="G18" s="1510"/>
      <c r="H18" s="1196">
        <f>H208</f>
        <v>14196</v>
      </c>
      <c r="I18" s="1197"/>
      <c r="J18" s="1196">
        <f>J208</f>
        <v>4043</v>
      </c>
      <c r="K18" s="1196">
        <f t="shared" si="0"/>
        <v>18239</v>
      </c>
      <c r="L18" s="1430"/>
    </row>
    <row r="19" spans="1:12" s="1199" customFormat="1" ht="24" customHeight="1">
      <c r="A19" s="1204">
        <f>A209</f>
        <v>3.8</v>
      </c>
      <c r="B19" s="2174" t="str">
        <f>B209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511"/>
      <c r="H19" s="1196">
        <f>H250</f>
        <v>1671571</v>
      </c>
      <c r="I19" s="1197"/>
      <c r="J19" s="1196">
        <f>J250</f>
        <v>270703</v>
      </c>
      <c r="K19" s="1196">
        <f t="shared" si="0"/>
        <v>1942274</v>
      </c>
      <c r="L19" s="1430"/>
    </row>
    <row r="20" spans="1:12" s="1199" customFormat="1" ht="24" customHeight="1">
      <c r="A20" s="1233" t="str">
        <f>A251</f>
        <v>3.9</v>
      </c>
      <c r="B20" s="1234" t="str">
        <f>B251</f>
        <v>ระบบเสียงและประกาศเรียก (Public Address System)</v>
      </c>
      <c r="C20" s="1235"/>
      <c r="D20" s="1236"/>
      <c r="E20" s="1193">
        <v>1</v>
      </c>
      <c r="F20" s="1194" t="s">
        <v>19</v>
      </c>
      <c r="G20" s="1512"/>
      <c r="H20" s="1238">
        <f>H266</f>
        <v>101467</v>
      </c>
      <c r="I20" s="1239"/>
      <c r="J20" s="1238">
        <f>J266</f>
        <v>37871</v>
      </c>
      <c r="K20" s="1196">
        <f t="shared" si="0"/>
        <v>139338</v>
      </c>
      <c r="L20" s="1430"/>
    </row>
    <row r="21" spans="1:12" s="1199" customFormat="1" ht="24" customHeight="1">
      <c r="A21" s="1204" t="str">
        <f>A267</f>
        <v>3.10</v>
      </c>
      <c r="B21" s="1190" t="str">
        <f>B267</f>
        <v>ระบบควบคุมประตูอัตโนมัติ (Access Control System)</v>
      </c>
      <c r="C21" s="1202"/>
      <c r="D21" s="1203"/>
      <c r="E21" s="1193">
        <v>1</v>
      </c>
      <c r="F21" s="1194" t="s">
        <v>19</v>
      </c>
      <c r="G21" s="1510"/>
      <c r="H21" s="1196">
        <f>H282</f>
        <v>244424</v>
      </c>
      <c r="I21" s="1197"/>
      <c r="J21" s="1196">
        <f>J282</f>
        <v>16838</v>
      </c>
      <c r="K21" s="1196">
        <f t="shared" si="0"/>
        <v>261262</v>
      </c>
      <c r="L21" s="1430"/>
    </row>
    <row r="22" spans="1:12" s="1199" customFormat="1" ht="24" customHeight="1">
      <c r="A22" s="1204" t="str">
        <f>A283</f>
        <v>3.11</v>
      </c>
      <c r="B22" s="1431" t="str">
        <f>B283</f>
        <v>ระบบบริหารจัดการอาคาร (Building Management System : BMS)</v>
      </c>
      <c r="C22" s="1202"/>
      <c r="D22" s="1203"/>
      <c r="E22" s="1193">
        <v>1</v>
      </c>
      <c r="F22" s="1194" t="s">
        <v>19</v>
      </c>
      <c r="G22" s="1510"/>
      <c r="H22" s="1196">
        <f>H298</f>
        <v>245480</v>
      </c>
      <c r="I22" s="1197"/>
      <c r="J22" s="1196">
        <f t="shared" ref="J22:K22" si="1">J298</f>
        <v>29028</v>
      </c>
      <c r="K22" s="1196">
        <f t="shared" si="1"/>
        <v>274508</v>
      </c>
      <c r="L22" s="1430"/>
    </row>
    <row r="23" spans="1:12" s="1199" customFormat="1" ht="24" customHeight="1">
      <c r="A23" s="1204" t="str">
        <f>A299</f>
        <v>3.12</v>
      </c>
      <c r="B23" s="1431" t="str">
        <f>B299</f>
        <v>ระบบแจ้งเหตุฉุกเฉิน (Panic Alarm System)</v>
      </c>
      <c r="C23" s="1202"/>
      <c r="D23" s="1203"/>
      <c r="E23" s="1193">
        <v>1</v>
      </c>
      <c r="F23" s="1194" t="s">
        <v>19</v>
      </c>
      <c r="G23" s="1510"/>
      <c r="H23" s="1196">
        <f>H322</f>
        <v>23082</v>
      </c>
      <c r="I23" s="1241"/>
      <c r="J23" s="1196">
        <f t="shared" ref="J23:K23" si="2">J322</f>
        <v>6007</v>
      </c>
      <c r="K23" s="1196">
        <f t="shared" si="2"/>
        <v>29089</v>
      </c>
      <c r="L23" s="1430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510"/>
      <c r="H24" s="1196"/>
      <c r="I24" s="1241"/>
      <c r="J24" s="1229"/>
      <c r="K24" s="1242"/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510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510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510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510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510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510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510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510"/>
      <c r="H32" s="1196"/>
      <c r="I32" s="1241"/>
      <c r="J32" s="1229"/>
      <c r="K32" s="1242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510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5</v>
      </c>
      <c r="C34" s="2258"/>
      <c r="D34" s="2259"/>
      <c r="E34" s="1244"/>
      <c r="F34" s="1245"/>
      <c r="G34" s="1246"/>
      <c r="H34" s="1247">
        <f>SUM(H11:H33)</f>
        <v>2733754</v>
      </c>
      <c r="I34" s="1246"/>
      <c r="J34" s="1247">
        <f>SUM(J11:J33)</f>
        <v>431127</v>
      </c>
      <c r="K34" s="1247">
        <f>SUM(K11:K33)</f>
        <v>3164881</v>
      </c>
      <c r="L34" s="1245"/>
      <c r="M34" s="1214"/>
      <c r="N34" s="1214"/>
      <c r="O34" s="1214"/>
      <c r="P34" s="1214"/>
      <c r="Q34" s="1214"/>
      <c r="R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1096</v>
      </c>
      <c r="B36" s="1362" t="s">
        <v>1236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3">ROUND(G38*E38,)</f>
        <v>0</v>
      </c>
      <c r="I38" s="1265"/>
      <c r="J38" s="1264"/>
      <c r="K38" s="1265">
        <f t="shared" ref="K38:K55" si="4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/>
      <c r="F39" s="1207" t="s">
        <v>363</v>
      </c>
      <c r="G39" s="2175">
        <v>2400</v>
      </c>
      <c r="H39" s="1264">
        <f t="shared" si="3"/>
        <v>0</v>
      </c>
      <c r="I39" s="1265"/>
      <c r="J39" s="1264"/>
      <c r="K39" s="1265">
        <f t="shared" si="4"/>
        <v>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/>
      <c r="F40" s="1207" t="s">
        <v>363</v>
      </c>
      <c r="G40" s="2175">
        <v>2400</v>
      </c>
      <c r="H40" s="1264">
        <f t="shared" si="3"/>
        <v>0</v>
      </c>
      <c r="I40" s="1265"/>
      <c r="J40" s="1264"/>
      <c r="K40" s="1265">
        <f t="shared" si="4"/>
        <v>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3"/>
        <v>0</v>
      </c>
      <c r="I41" s="1265"/>
      <c r="J41" s="1264"/>
      <c r="K41" s="1265">
        <f t="shared" si="4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3"/>
        <v>2400</v>
      </c>
      <c r="I42" s="1265"/>
      <c r="J42" s="1264"/>
      <c r="K42" s="1265">
        <f t="shared" si="4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3"/>
        <v>7200</v>
      </c>
      <c r="I43" s="1265"/>
      <c r="J43" s="1264"/>
      <c r="K43" s="1265">
        <f t="shared" si="4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3"/>
        <v>0</v>
      </c>
      <c r="I44" s="1265"/>
      <c r="J44" s="1264"/>
      <c r="K44" s="1265">
        <f t="shared" si="4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3"/>
        <v>0</v>
      </c>
      <c r="I45" s="1265"/>
      <c r="J45" s="1264"/>
      <c r="K45" s="1265">
        <f t="shared" si="4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3"/>
        <v>0</v>
      </c>
      <c r="I46" s="1265"/>
      <c r="J46" s="1264"/>
      <c r="K46" s="1265">
        <f t="shared" si="4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3"/>
        <v>0</v>
      </c>
      <c r="I47" s="1265"/>
      <c r="J47" s="1264"/>
      <c r="K47" s="1265">
        <f t="shared" si="4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/>
      <c r="F48" s="1207" t="s">
        <v>363</v>
      </c>
      <c r="G48" s="2175">
        <v>11500</v>
      </c>
      <c r="H48" s="1264">
        <f t="shared" si="3"/>
        <v>0</v>
      </c>
      <c r="I48" s="1265"/>
      <c r="J48" s="1264"/>
      <c r="K48" s="1265">
        <f t="shared" si="4"/>
        <v>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>
        <v>1</v>
      </c>
      <c r="F49" s="1207" t="s">
        <v>363</v>
      </c>
      <c r="G49" s="2175">
        <v>20200</v>
      </c>
      <c r="H49" s="1264">
        <f t="shared" si="3"/>
        <v>20200</v>
      </c>
      <c r="I49" s="1265"/>
      <c r="J49" s="1264"/>
      <c r="K49" s="1265">
        <f t="shared" si="4"/>
        <v>20200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3"/>
        <v>0</v>
      </c>
      <c r="I50" s="1265"/>
      <c r="J50" s="1264"/>
      <c r="K50" s="1265">
        <f t="shared" si="4"/>
        <v>0</v>
      </c>
      <c r="L50" s="1266"/>
    </row>
    <row r="51" spans="1:18" s="1199" customFormat="1" ht="24" customHeight="1">
      <c r="A51" s="1339"/>
      <c r="B51" s="1259" t="s">
        <v>1276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3"/>
        <v>1800</v>
      </c>
      <c r="I51" s="1265"/>
      <c r="J51" s="1264"/>
      <c r="K51" s="1265">
        <f t="shared" si="4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3"/>
        <v>360</v>
      </c>
      <c r="I52" s="1265"/>
      <c r="J52" s="1264"/>
      <c r="K52" s="1265">
        <f t="shared" si="4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3"/>
        <v>300</v>
      </c>
      <c r="I53" s="1265"/>
      <c r="J53" s="1264"/>
      <c r="K53" s="1265">
        <f t="shared" si="4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5</v>
      </c>
      <c r="F54" s="1207" t="s">
        <v>363</v>
      </c>
      <c r="G54" s="2175">
        <v>15435</v>
      </c>
      <c r="H54" s="1264">
        <f t="shared" si="3"/>
        <v>77175</v>
      </c>
      <c r="I54" s="1265"/>
      <c r="J54" s="1264"/>
      <c r="K54" s="1265">
        <f t="shared" si="4"/>
        <v>77175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33000</v>
      </c>
      <c r="H55" s="1264">
        <f t="shared" si="3"/>
        <v>33000</v>
      </c>
      <c r="I55" s="1265">
        <f>G55*0.3</f>
        <v>9900</v>
      </c>
      <c r="J55" s="1264">
        <f>ROUND(E55*I55,)</f>
        <v>9900</v>
      </c>
      <c r="K55" s="1265">
        <f t="shared" si="4"/>
        <v>42900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1247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5">ROUND(G61*E61,)</f>
        <v>0</v>
      </c>
      <c r="I61" s="1265"/>
      <c r="J61" s="1264"/>
      <c r="K61" s="1265">
        <f t="shared" ref="K61:K78" si="6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/>
      <c r="F62" s="1207" t="s">
        <v>363</v>
      </c>
      <c r="G62" s="2175">
        <v>2400</v>
      </c>
      <c r="H62" s="1264">
        <f t="shared" si="5"/>
        <v>0</v>
      </c>
      <c r="I62" s="1265"/>
      <c r="J62" s="1264"/>
      <c r="K62" s="1265">
        <f t="shared" si="6"/>
        <v>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/>
      <c r="F63" s="1207" t="s">
        <v>363</v>
      </c>
      <c r="G63" s="2175">
        <v>2400</v>
      </c>
      <c r="H63" s="1264">
        <f t="shared" si="5"/>
        <v>0</v>
      </c>
      <c r="I63" s="1265"/>
      <c r="J63" s="1264"/>
      <c r="K63" s="1265">
        <f t="shared" si="6"/>
        <v>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5"/>
        <v>0</v>
      </c>
      <c r="I64" s="1265"/>
      <c r="J64" s="1264"/>
      <c r="K64" s="1265">
        <f t="shared" si="6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5"/>
        <v>2400</v>
      </c>
      <c r="I65" s="1265"/>
      <c r="J65" s="1264"/>
      <c r="K65" s="1265">
        <f t="shared" si="6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3</v>
      </c>
      <c r="F66" s="1207" t="s">
        <v>363</v>
      </c>
      <c r="G66" s="2175">
        <v>2400</v>
      </c>
      <c r="H66" s="1264">
        <f t="shared" si="5"/>
        <v>7200</v>
      </c>
      <c r="I66" s="1265"/>
      <c r="J66" s="1264"/>
      <c r="K66" s="1265">
        <f t="shared" si="6"/>
        <v>7200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5"/>
        <v>0</v>
      </c>
      <c r="I67" s="1265"/>
      <c r="J67" s="1264"/>
      <c r="K67" s="1265">
        <f t="shared" si="6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5"/>
        <v>0</v>
      </c>
      <c r="I68" s="1265"/>
      <c r="J68" s="1264"/>
      <c r="K68" s="1265">
        <f t="shared" si="6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5"/>
        <v>0</v>
      </c>
      <c r="I69" s="1265"/>
      <c r="J69" s="1264"/>
      <c r="K69" s="1265">
        <f t="shared" si="6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5"/>
        <v>0</v>
      </c>
      <c r="I70" s="1265"/>
      <c r="J70" s="1264"/>
      <c r="K70" s="1265">
        <f t="shared" si="6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/>
      <c r="F71" s="1207" t="s">
        <v>363</v>
      </c>
      <c r="G71" s="2175">
        <v>11500</v>
      </c>
      <c r="H71" s="1264">
        <f t="shared" si="5"/>
        <v>0</v>
      </c>
      <c r="I71" s="1265"/>
      <c r="J71" s="1264"/>
      <c r="K71" s="1265">
        <f t="shared" si="6"/>
        <v>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>
        <v>1</v>
      </c>
      <c r="F72" s="1207" t="s">
        <v>363</v>
      </c>
      <c r="G72" s="2175">
        <v>20200</v>
      </c>
      <c r="H72" s="1264">
        <f t="shared" si="5"/>
        <v>20200</v>
      </c>
      <c r="I72" s="1265"/>
      <c r="J72" s="1264"/>
      <c r="K72" s="1265">
        <f t="shared" si="6"/>
        <v>20200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5"/>
        <v>0</v>
      </c>
      <c r="I73" s="1265"/>
      <c r="J73" s="1264"/>
      <c r="K73" s="1265">
        <f t="shared" si="6"/>
        <v>0</v>
      </c>
      <c r="L73" s="1266"/>
    </row>
    <row r="74" spans="1:17" s="1199" customFormat="1" ht="24" customHeight="1">
      <c r="A74" s="1339"/>
      <c r="B74" s="1259" t="s">
        <v>1276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5"/>
        <v>1800</v>
      </c>
      <c r="I74" s="1265"/>
      <c r="J74" s="1264"/>
      <c r="K74" s="1265">
        <f t="shared" si="6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5"/>
        <v>360</v>
      </c>
      <c r="I75" s="1265"/>
      <c r="J75" s="1264"/>
      <c r="K75" s="1265">
        <f t="shared" si="6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5"/>
        <v>300</v>
      </c>
      <c r="I76" s="1265"/>
      <c r="J76" s="1264"/>
      <c r="K76" s="1265">
        <f t="shared" si="6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5</v>
      </c>
      <c r="F77" s="1207" t="s">
        <v>363</v>
      </c>
      <c r="G77" s="2175">
        <v>15435</v>
      </c>
      <c r="H77" s="1264">
        <f t="shared" si="5"/>
        <v>77175</v>
      </c>
      <c r="I77" s="1265"/>
      <c r="J77" s="1264"/>
      <c r="K77" s="1265">
        <f t="shared" si="6"/>
        <v>77175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33000</v>
      </c>
      <c r="H78" s="1264">
        <f t="shared" si="5"/>
        <v>33000</v>
      </c>
      <c r="I78" s="1265">
        <f>G78*0.3</f>
        <v>9900</v>
      </c>
      <c r="J78" s="1264">
        <f>ROUND(E78*I78,)</f>
        <v>9900</v>
      </c>
      <c r="K78" s="1265">
        <f t="shared" si="6"/>
        <v>42900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7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7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284870</v>
      </c>
      <c r="I82" s="1246"/>
      <c r="J82" s="1247">
        <f>SUM(J35:J81)</f>
        <v>19800</v>
      </c>
      <c r="K82" s="1247">
        <f>SUM(K35:K81)</f>
        <v>304670</v>
      </c>
      <c r="L82" s="1245"/>
      <c r="M82" s="1214"/>
      <c r="N82" s="1214"/>
      <c r="O82" s="1214"/>
      <c r="P82" s="1214"/>
      <c r="Q82" s="1214"/>
    </row>
    <row r="83" spans="1:17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7" s="1199" customFormat="1" ht="24" customHeight="1">
      <c r="A84" s="1189"/>
      <c r="B84" s="1451" t="s">
        <v>1118</v>
      </c>
      <c r="C84" s="1202"/>
      <c r="D84" s="1202"/>
      <c r="E84" s="1387"/>
      <c r="F84" s="1207" t="s">
        <v>363</v>
      </c>
      <c r="G84" s="2176"/>
      <c r="H84" s="1264">
        <f>ROUND(E84*G84,)</f>
        <v>0</v>
      </c>
      <c r="I84" s="2177">
        <f>G84*0.05</f>
        <v>0</v>
      </c>
      <c r="J84" s="1264">
        <f>ROUND(E84*I84,)</f>
        <v>0</v>
      </c>
      <c r="K84" s="1273">
        <f>H84+J84</f>
        <v>0</v>
      </c>
      <c r="L84" s="1385"/>
      <c r="M84" s="1214"/>
      <c r="N84" s="1214"/>
      <c r="O84" s="1214"/>
      <c r="P84" s="1214"/>
    </row>
    <row r="85" spans="1:17" s="1199" customFormat="1" ht="24" customHeight="1">
      <c r="A85" s="1189"/>
      <c r="B85" s="1451" t="s">
        <v>1118</v>
      </c>
      <c r="C85" s="1202"/>
      <c r="D85" s="1202"/>
      <c r="E85" s="1387"/>
      <c r="F85" s="1207" t="s">
        <v>363</v>
      </c>
      <c r="G85" s="2176"/>
      <c r="H85" s="1264">
        <f>ROUND(E85*G85,)</f>
        <v>0</v>
      </c>
      <c r="I85" s="2177">
        <f>G85*0.05</f>
        <v>0</v>
      </c>
      <c r="J85" s="1264">
        <f>ROUND(E85*I85,)</f>
        <v>0</v>
      </c>
      <c r="K85" s="1273">
        <f>H85+J85</f>
        <v>0</v>
      </c>
      <c r="L85" s="1385"/>
      <c r="M85" s="1214"/>
      <c r="N85" s="1214"/>
      <c r="O85" s="1214"/>
      <c r="P85" s="1214"/>
    </row>
    <row r="86" spans="1:17" s="1199" customFormat="1" ht="24" customHeight="1">
      <c r="A86" s="1189"/>
      <c r="B86" s="1451" t="s">
        <v>1118</v>
      </c>
      <c r="C86" s="1202"/>
      <c r="D86" s="1202"/>
      <c r="E86" s="1387"/>
      <c r="F86" s="1207" t="s">
        <v>363</v>
      </c>
      <c r="G86" s="2176"/>
      <c r="H86" s="1264">
        <f>ROUND(E86*G86,)</f>
        <v>0</v>
      </c>
      <c r="I86" s="2177">
        <f>G86*0.05</f>
        <v>0</v>
      </c>
      <c r="J86" s="1264">
        <f>ROUND(E86*I86,)</f>
        <v>0</v>
      </c>
      <c r="K86" s="1273">
        <f>H86+J86</f>
        <v>0</v>
      </c>
      <c r="L86" s="1385"/>
      <c r="M86" s="1214"/>
      <c r="N86" s="1214"/>
      <c r="O86" s="1214"/>
      <c r="P86" s="1214"/>
    </row>
    <row r="87" spans="1:17" s="1199" customFormat="1" ht="24" customHeight="1">
      <c r="A87" s="1331"/>
      <c r="B87" s="1190" t="s">
        <v>1117</v>
      </c>
      <c r="C87" s="1275"/>
      <c r="D87" s="1275"/>
      <c r="E87" s="2145"/>
      <c r="F87" s="1358"/>
      <c r="G87" s="2175"/>
      <c r="H87" s="1264"/>
      <c r="I87" s="1265"/>
      <c r="J87" s="1264"/>
      <c r="K87" s="1299"/>
      <c r="L87" s="1432"/>
    </row>
    <row r="88" spans="1:17" s="1199" customFormat="1" ht="24" customHeight="1">
      <c r="A88" s="1331"/>
      <c r="B88" s="1190" t="s">
        <v>1118</v>
      </c>
      <c r="C88" s="1275"/>
      <c r="D88" s="1275"/>
      <c r="E88" s="2145"/>
      <c r="F88" s="1358"/>
      <c r="G88" s="2175"/>
      <c r="H88" s="1264"/>
      <c r="I88" s="1265"/>
      <c r="J88" s="1264"/>
      <c r="K88" s="1299"/>
      <c r="L88" s="1432"/>
    </row>
    <row r="89" spans="1:17" s="1199" customFormat="1" ht="24" customHeight="1">
      <c r="A89" s="1331"/>
      <c r="B89" s="1190" t="s">
        <v>1118</v>
      </c>
      <c r="C89" s="1275"/>
      <c r="D89" s="1275"/>
      <c r="E89" s="2145"/>
      <c r="F89" s="1358"/>
      <c r="G89" s="2175"/>
      <c r="H89" s="1264"/>
      <c r="I89" s="1265"/>
      <c r="J89" s="1264"/>
      <c r="K89" s="1299"/>
      <c r="L89" s="1432"/>
    </row>
    <row r="90" spans="1:17" s="1199" customFormat="1" ht="24" customHeight="1">
      <c r="A90" s="1189"/>
      <c r="B90" s="1650"/>
      <c r="C90" s="1275"/>
      <c r="D90" s="1275"/>
      <c r="E90" s="2145"/>
      <c r="F90" s="1358"/>
      <c r="G90" s="2175"/>
      <c r="H90" s="1264"/>
      <c r="I90" s="1265"/>
      <c r="J90" s="1264"/>
      <c r="K90" s="1299"/>
      <c r="L90" s="1432"/>
    </row>
    <row r="91" spans="1:17" s="1199" customFormat="1" ht="24" customHeight="1">
      <c r="A91" s="1243"/>
      <c r="B91" s="2257" t="str">
        <f>"รวมราคารายการที่ "&amp;A83</f>
        <v>รวมราคารายการที่ 3.2</v>
      </c>
      <c r="C91" s="2258"/>
      <c r="D91" s="2259"/>
      <c r="E91" s="1244"/>
      <c r="F91" s="1245"/>
      <c r="G91" s="1246"/>
      <c r="H91" s="1247">
        <f>SUM(H83:H90)</f>
        <v>0</v>
      </c>
      <c r="I91" s="1246"/>
      <c r="J91" s="1247">
        <f>SUM(J83:J90)</f>
        <v>0</v>
      </c>
      <c r="K91" s="1247">
        <f>SUM(K83:K90)</f>
        <v>0</v>
      </c>
      <c r="L91" s="1245"/>
      <c r="M91" s="1214"/>
      <c r="N91" s="1214"/>
      <c r="O91" s="1214"/>
      <c r="P91" s="1214"/>
      <c r="Q91" s="1214"/>
    </row>
    <row r="92" spans="1:17" s="1199" customFormat="1" ht="24" customHeight="1">
      <c r="A92" s="1381">
        <v>3.3</v>
      </c>
      <c r="B92" s="1292" t="s">
        <v>1427</v>
      </c>
      <c r="C92" s="1294"/>
      <c r="D92" s="1294"/>
      <c r="E92" s="1295"/>
      <c r="F92" s="1296"/>
      <c r="G92" s="1297"/>
      <c r="H92" s="1298"/>
      <c r="I92" s="1299"/>
      <c r="J92" s="1298"/>
      <c r="K92" s="1299"/>
      <c r="L92" s="1432"/>
    </row>
    <row r="93" spans="1:17" s="1199" customFormat="1" ht="24" customHeight="1">
      <c r="A93" s="1331" t="s">
        <v>1128</v>
      </c>
      <c r="B93" s="1190" t="s">
        <v>2892</v>
      </c>
      <c r="C93" s="1275"/>
      <c r="D93" s="1275"/>
      <c r="E93" s="1276"/>
      <c r="F93" s="1358"/>
      <c r="G93" s="2175"/>
      <c r="H93" s="1264"/>
      <c r="I93" s="1265"/>
      <c r="J93" s="1264"/>
      <c r="K93" s="1299"/>
      <c r="L93" s="1432"/>
    </row>
    <row r="94" spans="1:17" s="1199" customFormat="1" ht="24" customHeight="1">
      <c r="A94" s="1331"/>
      <c r="B94" s="1190" t="s">
        <v>2893</v>
      </c>
      <c r="C94" s="1275"/>
      <c r="D94" s="1275"/>
      <c r="E94" s="1276"/>
      <c r="F94" s="1194" t="s">
        <v>363</v>
      </c>
      <c r="G94" s="2175">
        <v>6800</v>
      </c>
      <c r="H94" s="1264">
        <f>ROUND(E94*G94,)</f>
        <v>0</v>
      </c>
      <c r="I94" s="1265">
        <v>1500</v>
      </c>
      <c r="J94" s="1264">
        <f>ROUND(E94*I94,)</f>
        <v>0</v>
      </c>
      <c r="K94" s="1299">
        <f>H94+J94</f>
        <v>0</v>
      </c>
      <c r="L94" s="1432"/>
    </row>
    <row r="95" spans="1:17" s="1199" customFormat="1" ht="24" customHeight="1">
      <c r="A95" s="1331"/>
      <c r="B95" s="1190" t="s">
        <v>2894</v>
      </c>
      <c r="C95" s="1275"/>
      <c r="D95" s="1275"/>
      <c r="E95" s="1276"/>
      <c r="F95" s="1194" t="s">
        <v>363</v>
      </c>
      <c r="G95" s="2175">
        <v>2400</v>
      </c>
      <c r="H95" s="1264"/>
      <c r="I95" s="1265"/>
      <c r="J95" s="1264"/>
      <c r="K95" s="1299"/>
      <c r="L95" s="1432"/>
    </row>
    <row r="96" spans="1:17" s="1199" customFormat="1" ht="24" customHeight="1">
      <c r="A96" s="1331"/>
      <c r="B96" s="1190" t="s">
        <v>2895</v>
      </c>
      <c r="C96" s="1275"/>
      <c r="D96" s="1275"/>
      <c r="E96" s="1276"/>
      <c r="F96" s="1194" t="s">
        <v>363</v>
      </c>
      <c r="G96" s="2175">
        <v>138</v>
      </c>
      <c r="H96" s="1264">
        <f>ROUND(E96*G96,)</f>
        <v>0</v>
      </c>
      <c r="I96" s="1265"/>
      <c r="J96" s="1264">
        <f>ROUND(E96*I96,)</f>
        <v>0</v>
      </c>
      <c r="K96" s="1299">
        <f>H96+J96</f>
        <v>0</v>
      </c>
      <c r="L96" s="1432"/>
    </row>
    <row r="97" spans="1:18" s="1199" customFormat="1" ht="24" customHeight="1">
      <c r="A97" s="1331"/>
      <c r="B97" s="1190" t="s">
        <v>1432</v>
      </c>
      <c r="C97" s="1275"/>
      <c r="D97" s="1275"/>
      <c r="E97" s="1276"/>
      <c r="F97" s="1194" t="s">
        <v>363</v>
      </c>
      <c r="G97" s="2175">
        <v>138</v>
      </c>
      <c r="H97" s="1264">
        <f t="shared" ref="H97:H98" si="7">ROUND(E97*G97,)</f>
        <v>0</v>
      </c>
      <c r="I97" s="1265"/>
      <c r="J97" s="1264">
        <f t="shared" ref="J97:J98" si="8">ROUND(E97*I97,)</f>
        <v>0</v>
      </c>
      <c r="K97" s="1299">
        <f t="shared" ref="K97:K98" si="9">H97+J97</f>
        <v>0</v>
      </c>
      <c r="L97" s="1432"/>
    </row>
    <row r="98" spans="1:18" s="1199" customFormat="1" ht="24" customHeight="1">
      <c r="A98" s="1331"/>
      <c r="B98" s="1190" t="s">
        <v>2896</v>
      </c>
      <c r="C98" s="1275"/>
      <c r="D98" s="1275"/>
      <c r="E98" s="1276"/>
      <c r="F98" s="1194" t="s">
        <v>363</v>
      </c>
      <c r="G98" s="2175">
        <v>619</v>
      </c>
      <c r="H98" s="1264">
        <f t="shared" si="7"/>
        <v>0</v>
      </c>
      <c r="I98" s="1265"/>
      <c r="J98" s="1264">
        <f t="shared" si="8"/>
        <v>0</v>
      </c>
      <c r="K98" s="1299">
        <f t="shared" si="9"/>
        <v>0</v>
      </c>
      <c r="L98" s="1432"/>
    </row>
    <row r="99" spans="1:18" s="1199" customFormat="1" ht="24" customHeight="1">
      <c r="A99" s="1331"/>
      <c r="B99" s="1190" t="s">
        <v>1117</v>
      </c>
      <c r="C99" s="1275"/>
      <c r="D99" s="1275"/>
      <c r="E99" s="2145"/>
      <c r="F99" s="1358"/>
      <c r="G99" s="2175"/>
      <c r="H99" s="1264"/>
      <c r="I99" s="1265"/>
      <c r="J99" s="1264"/>
      <c r="K99" s="1299"/>
      <c r="L99" s="1432"/>
    </row>
    <row r="100" spans="1:18" s="1199" customFormat="1" ht="24" customHeight="1">
      <c r="A100" s="1331"/>
      <c r="B100" s="1190" t="s">
        <v>1118</v>
      </c>
      <c r="C100" s="1275"/>
      <c r="D100" s="1275"/>
      <c r="E100" s="2145"/>
      <c r="F100" s="1358"/>
      <c r="G100" s="2175"/>
      <c r="H100" s="1264"/>
      <c r="I100" s="1265"/>
      <c r="J100" s="1264"/>
      <c r="K100" s="1299"/>
      <c r="L100" s="1432"/>
    </row>
    <row r="101" spans="1:18" s="1199" customFormat="1" ht="24" customHeight="1">
      <c r="A101" s="1331"/>
      <c r="B101" s="1190" t="s">
        <v>1118</v>
      </c>
      <c r="C101" s="1275"/>
      <c r="D101" s="1275"/>
      <c r="E101" s="2145"/>
      <c r="F101" s="1358"/>
      <c r="G101" s="2175"/>
      <c r="H101" s="1264"/>
      <c r="I101" s="1265"/>
      <c r="J101" s="1264"/>
      <c r="K101" s="1299"/>
      <c r="L101" s="1432"/>
    </row>
    <row r="102" spans="1:18" s="1199" customFormat="1" ht="24" customHeight="1">
      <c r="A102" s="1331"/>
      <c r="B102" s="1190"/>
      <c r="C102" s="1275"/>
      <c r="D102" s="1275"/>
      <c r="E102" s="2145"/>
      <c r="F102" s="1358"/>
      <c r="G102" s="2175"/>
      <c r="H102" s="1264"/>
      <c r="I102" s="1265"/>
      <c r="J102" s="1264"/>
      <c r="K102" s="1299"/>
      <c r="L102" s="1432"/>
    </row>
    <row r="103" spans="1:18" s="1199" customFormat="1" ht="24" customHeight="1">
      <c r="A103" s="1331"/>
      <c r="B103" s="1190"/>
      <c r="C103" s="1275"/>
      <c r="D103" s="1275"/>
      <c r="E103" s="2145"/>
      <c r="F103" s="1358"/>
      <c r="G103" s="2175"/>
      <c r="H103" s="1264"/>
      <c r="I103" s="1265"/>
      <c r="J103" s="1264"/>
      <c r="K103" s="1299"/>
      <c r="L103" s="1432"/>
    </row>
    <row r="104" spans="1:18" s="1199" customFormat="1" ht="24" customHeight="1">
      <c r="A104" s="1331"/>
      <c r="B104" s="1190"/>
      <c r="C104" s="1275"/>
      <c r="D104" s="1275"/>
      <c r="E104" s="2145"/>
      <c r="F104" s="1358"/>
      <c r="G104" s="2175"/>
      <c r="H104" s="1264"/>
      <c r="I104" s="1265"/>
      <c r="J104" s="1264"/>
      <c r="K104" s="1299"/>
      <c r="L104" s="1432"/>
    </row>
    <row r="105" spans="1:18" s="1199" customFormat="1" ht="24" customHeight="1">
      <c r="A105" s="1189"/>
      <c r="B105" s="1650"/>
      <c r="C105" s="1275"/>
      <c r="D105" s="1275"/>
      <c r="E105" s="2145"/>
      <c r="F105" s="1358"/>
      <c r="G105" s="2175"/>
      <c r="H105" s="1264"/>
      <c r="I105" s="1265"/>
      <c r="J105" s="1264"/>
      <c r="K105" s="1299"/>
      <c r="L105" s="1432"/>
    </row>
    <row r="106" spans="1:18" s="1199" customFormat="1" ht="24" customHeight="1">
      <c r="A106" s="1243"/>
      <c r="B106" s="2257" t="str">
        <f>"รวมราคารายการที่ "&amp;A92</f>
        <v>รวมราคารายการที่ 3.3</v>
      </c>
      <c r="C106" s="2258"/>
      <c r="D106" s="2259"/>
      <c r="E106" s="1244"/>
      <c r="F106" s="1245"/>
      <c r="G106" s="1246"/>
      <c r="H106" s="1247">
        <f>SUM(H93:H98)</f>
        <v>0</v>
      </c>
      <c r="I106" s="1246"/>
      <c r="J106" s="1247">
        <f>SUM(J93:J98)</f>
        <v>0</v>
      </c>
      <c r="K106" s="1245">
        <f>SUM(K93:K98)</f>
        <v>0</v>
      </c>
      <c r="L106" s="1245"/>
    </row>
    <row r="107" spans="1:18" s="1199" customFormat="1" ht="24" customHeight="1">
      <c r="A107" s="1308">
        <v>3.4</v>
      </c>
      <c r="B107" s="1436" t="s">
        <v>1312</v>
      </c>
      <c r="C107" s="1202"/>
      <c r="D107" s="1202"/>
      <c r="E107" s="1387"/>
      <c r="F107" s="1384"/>
      <c r="G107" s="2176"/>
      <c r="H107" s="1264">
        <f t="shared" ref="H107" si="10">ROUND(E107*G107,)</f>
        <v>0</v>
      </c>
      <c r="I107" s="2177"/>
      <c r="J107" s="1264">
        <f t="shared" ref="J107" si="11">ROUND(E107*I107,)</f>
        <v>0</v>
      </c>
      <c r="K107" s="1385"/>
      <c r="L107" s="1385"/>
      <c r="M107" s="1214"/>
      <c r="N107" s="1214"/>
      <c r="O107" s="1214"/>
      <c r="P107" s="1214"/>
      <c r="Q107" s="1214"/>
      <c r="R107" s="1214"/>
    </row>
    <row r="108" spans="1:18" s="1199" customFormat="1" ht="24" customHeight="1">
      <c r="A108" s="1331" t="s">
        <v>1135</v>
      </c>
      <c r="B108" s="2174" t="s">
        <v>1314</v>
      </c>
      <c r="C108" s="1275"/>
      <c r="D108" s="1275"/>
      <c r="E108" s="1276"/>
      <c r="F108" s="1358"/>
      <c r="G108" s="2175"/>
      <c r="H108" s="1264"/>
      <c r="I108" s="1265"/>
      <c r="J108" s="1264"/>
      <c r="K108" s="1273"/>
      <c r="L108" s="1269"/>
    </row>
    <row r="109" spans="1:18" s="1199" customFormat="1" ht="24" customHeight="1">
      <c r="A109" s="1331" t="s">
        <v>1137</v>
      </c>
      <c r="B109" s="2174" t="s">
        <v>1315</v>
      </c>
      <c r="C109" s="1275"/>
      <c r="D109" s="1275"/>
      <c r="E109" s="1276"/>
      <c r="F109" s="1358"/>
      <c r="G109" s="2176"/>
      <c r="H109" s="1264"/>
      <c r="I109" s="1265"/>
      <c r="J109" s="1264"/>
      <c r="K109" s="1273"/>
      <c r="L109" s="1269"/>
    </row>
    <row r="110" spans="1:18" s="1199" customFormat="1" ht="24" customHeight="1">
      <c r="A110" s="1331"/>
      <c r="B110" s="2174" t="s">
        <v>1316</v>
      </c>
      <c r="C110" s="1275"/>
      <c r="D110" s="1275"/>
      <c r="E110" s="1270"/>
      <c r="F110" s="1358" t="s">
        <v>226</v>
      </c>
      <c r="G110" s="2176">
        <v>14</v>
      </c>
      <c r="H110" s="1264">
        <f t="shared" ref="H110:H123" si="12">ROUND(E110*G110,)</f>
        <v>0</v>
      </c>
      <c r="I110" s="1265">
        <v>10</v>
      </c>
      <c r="J110" s="1264">
        <f t="shared" ref="J110:J123" si="13">ROUND(E110*I110,)</f>
        <v>0</v>
      </c>
      <c r="K110" s="1273">
        <f t="shared" ref="K110:K123" si="14">H110+J110</f>
        <v>0</v>
      </c>
      <c r="L110" s="2000" t="s">
        <v>2667</v>
      </c>
      <c r="N110" s="1199">
        <v>1375.8</v>
      </c>
      <c r="O110" s="1199">
        <f>ROUND(N110/100,)</f>
        <v>14</v>
      </c>
      <c r="P110" s="1199">
        <f>E110*1.1</f>
        <v>0</v>
      </c>
    </row>
    <row r="111" spans="1:18" s="1199" customFormat="1" ht="24" customHeight="1">
      <c r="A111" s="1331"/>
      <c r="B111" s="2174" t="s">
        <v>1317</v>
      </c>
      <c r="C111" s="1275"/>
      <c r="D111" s="1275"/>
      <c r="E111" s="1270">
        <v>230</v>
      </c>
      <c r="F111" s="1358" t="s">
        <v>226</v>
      </c>
      <c r="G111" s="2176">
        <v>23</v>
      </c>
      <c r="H111" s="1264">
        <f t="shared" si="12"/>
        <v>5290</v>
      </c>
      <c r="I111" s="1265">
        <v>12</v>
      </c>
      <c r="J111" s="1264">
        <f t="shared" si="13"/>
        <v>2760</v>
      </c>
      <c r="K111" s="1273">
        <f t="shared" si="14"/>
        <v>8050</v>
      </c>
      <c r="L111" s="2000" t="s">
        <v>2667</v>
      </c>
      <c r="N111" s="1199">
        <v>2264.1999999999998</v>
      </c>
      <c r="O111" s="1199">
        <f t="shared" ref="O111:O119" si="15">ROUND(N111/100,)</f>
        <v>23</v>
      </c>
      <c r="P111" s="1199">
        <f t="shared" ref="P111:P123" si="16">E111*1.1</f>
        <v>253.00000000000003</v>
      </c>
    </row>
    <row r="112" spans="1:18" s="1199" customFormat="1" ht="24" customHeight="1">
      <c r="A112" s="1331"/>
      <c r="B112" s="2174" t="s">
        <v>1318</v>
      </c>
      <c r="C112" s="1275"/>
      <c r="D112" s="1275"/>
      <c r="E112" s="1270"/>
      <c r="F112" s="1358" t="s">
        <v>226</v>
      </c>
      <c r="G112" s="2176">
        <v>39</v>
      </c>
      <c r="H112" s="1264">
        <f t="shared" si="12"/>
        <v>0</v>
      </c>
      <c r="I112" s="1265">
        <v>16</v>
      </c>
      <c r="J112" s="1264">
        <f t="shared" si="13"/>
        <v>0</v>
      </c>
      <c r="K112" s="1273">
        <f t="shared" si="14"/>
        <v>0</v>
      </c>
      <c r="L112" s="2000" t="s">
        <v>2667</v>
      </c>
      <c r="N112" s="1199">
        <v>3944.2</v>
      </c>
      <c r="O112" s="1199">
        <f t="shared" si="15"/>
        <v>39</v>
      </c>
      <c r="P112" s="1199">
        <f t="shared" si="16"/>
        <v>0</v>
      </c>
    </row>
    <row r="113" spans="1:17" s="1199" customFormat="1" ht="24" customHeight="1">
      <c r="A113" s="1331"/>
      <c r="B113" s="2174" t="s">
        <v>1319</v>
      </c>
      <c r="C113" s="1275"/>
      <c r="D113" s="1275"/>
      <c r="E113" s="1270"/>
      <c r="F113" s="1358" t="s">
        <v>226</v>
      </c>
      <c r="G113" s="2176">
        <v>61</v>
      </c>
      <c r="H113" s="1264">
        <f t="shared" si="12"/>
        <v>0</v>
      </c>
      <c r="I113" s="1265">
        <v>20</v>
      </c>
      <c r="J113" s="1264">
        <f t="shared" si="13"/>
        <v>0</v>
      </c>
      <c r="K113" s="1273">
        <f t="shared" si="14"/>
        <v>0</v>
      </c>
      <c r="L113" s="2000" t="s">
        <v>2667</v>
      </c>
      <c r="N113" s="1199">
        <v>6120</v>
      </c>
      <c r="O113" s="1199">
        <f t="shared" si="15"/>
        <v>61</v>
      </c>
      <c r="P113" s="1199">
        <f t="shared" si="16"/>
        <v>0</v>
      </c>
    </row>
    <row r="114" spans="1:17" s="1199" customFormat="1" ht="24" customHeight="1">
      <c r="A114" s="1331"/>
      <c r="B114" s="2174" t="s">
        <v>1320</v>
      </c>
      <c r="C114" s="1275"/>
      <c r="D114" s="1275"/>
      <c r="E114" s="1270">
        <v>920</v>
      </c>
      <c r="F114" s="1358" t="s">
        <v>226</v>
      </c>
      <c r="G114" s="2176">
        <v>96</v>
      </c>
      <c r="H114" s="1264">
        <f t="shared" si="12"/>
        <v>88320</v>
      </c>
      <c r="I114" s="1265">
        <v>25</v>
      </c>
      <c r="J114" s="1264">
        <f t="shared" si="13"/>
        <v>23000</v>
      </c>
      <c r="K114" s="1273">
        <f t="shared" si="14"/>
        <v>111320</v>
      </c>
      <c r="L114" s="2000" t="s">
        <v>2667</v>
      </c>
      <c r="N114" s="1199">
        <v>9600</v>
      </c>
      <c r="O114" s="1199">
        <f t="shared" si="15"/>
        <v>96</v>
      </c>
      <c r="P114" s="1199">
        <f t="shared" si="16"/>
        <v>1012.0000000000001</v>
      </c>
    </row>
    <row r="115" spans="1:17" s="1199" customFormat="1" ht="24" customHeight="1">
      <c r="A115" s="1331"/>
      <c r="B115" s="2174" t="s">
        <v>1321</v>
      </c>
      <c r="C115" s="1275"/>
      <c r="D115" s="1275"/>
      <c r="E115" s="1270"/>
      <c r="F115" s="1358" t="s">
        <v>226</v>
      </c>
      <c r="G115" s="2176">
        <v>127</v>
      </c>
      <c r="H115" s="1264">
        <f t="shared" si="12"/>
        <v>0</v>
      </c>
      <c r="I115" s="1265">
        <v>30</v>
      </c>
      <c r="J115" s="1264">
        <f t="shared" si="13"/>
        <v>0</v>
      </c>
      <c r="K115" s="1273">
        <f t="shared" si="14"/>
        <v>0</v>
      </c>
      <c r="L115" s="2000" t="s">
        <v>2667</v>
      </c>
      <c r="N115" s="1199">
        <v>12744.2</v>
      </c>
      <c r="O115" s="1199">
        <f t="shared" si="15"/>
        <v>127</v>
      </c>
      <c r="P115" s="1199">
        <f t="shared" si="16"/>
        <v>0</v>
      </c>
    </row>
    <row r="116" spans="1:17" s="1199" customFormat="1" ht="24" customHeight="1">
      <c r="A116" s="1331"/>
      <c r="B116" s="2174" t="s">
        <v>1322</v>
      </c>
      <c r="C116" s="1275"/>
      <c r="D116" s="1275"/>
      <c r="E116" s="1270"/>
      <c r="F116" s="1358" t="s">
        <v>226</v>
      </c>
      <c r="G116" s="2176">
        <v>183</v>
      </c>
      <c r="H116" s="1264">
        <f t="shared" si="12"/>
        <v>0</v>
      </c>
      <c r="I116" s="1265">
        <v>40</v>
      </c>
      <c r="J116" s="1264">
        <f t="shared" si="13"/>
        <v>0</v>
      </c>
      <c r="K116" s="1273">
        <f t="shared" si="14"/>
        <v>0</v>
      </c>
      <c r="L116" s="2000" t="s">
        <v>2667</v>
      </c>
      <c r="N116" s="1199">
        <v>18335.8</v>
      </c>
      <c r="O116" s="1199">
        <f t="shared" si="15"/>
        <v>183</v>
      </c>
      <c r="P116" s="1199">
        <f t="shared" si="16"/>
        <v>0</v>
      </c>
    </row>
    <row r="117" spans="1:17" s="1199" customFormat="1" ht="24" customHeight="1">
      <c r="A117" s="1331"/>
      <c r="B117" s="2174" t="s">
        <v>1323</v>
      </c>
      <c r="C117" s="1275"/>
      <c r="D117" s="1275"/>
      <c r="E117" s="1270"/>
      <c r="F117" s="1358" t="s">
        <v>226</v>
      </c>
      <c r="G117" s="2176">
        <v>262</v>
      </c>
      <c r="H117" s="1264">
        <f t="shared" si="12"/>
        <v>0</v>
      </c>
      <c r="I117" s="1265">
        <v>45</v>
      </c>
      <c r="J117" s="1264">
        <f t="shared" si="13"/>
        <v>0</v>
      </c>
      <c r="K117" s="1273">
        <f t="shared" si="14"/>
        <v>0</v>
      </c>
      <c r="L117" s="2000" t="s">
        <v>2667</v>
      </c>
      <c r="N117" s="1199">
        <v>26215.8</v>
      </c>
      <c r="O117" s="1199">
        <f t="shared" si="15"/>
        <v>262</v>
      </c>
      <c r="P117" s="1199">
        <f t="shared" si="16"/>
        <v>0</v>
      </c>
    </row>
    <row r="118" spans="1:17" s="1199" customFormat="1" ht="24" customHeight="1">
      <c r="A118" s="1331"/>
      <c r="B118" s="2174" t="s">
        <v>1324</v>
      </c>
      <c r="C118" s="1275"/>
      <c r="D118" s="1275"/>
      <c r="E118" s="1270"/>
      <c r="F118" s="1358" t="s">
        <v>226</v>
      </c>
      <c r="G118" s="2176">
        <v>361</v>
      </c>
      <c r="H118" s="1264">
        <f t="shared" si="12"/>
        <v>0</v>
      </c>
      <c r="I118" s="1265">
        <v>55</v>
      </c>
      <c r="J118" s="1264">
        <f t="shared" si="13"/>
        <v>0</v>
      </c>
      <c r="K118" s="1273">
        <f t="shared" si="14"/>
        <v>0</v>
      </c>
      <c r="L118" s="2000" t="s">
        <v>2667</v>
      </c>
      <c r="N118" s="1199">
        <v>36120</v>
      </c>
      <c r="O118" s="1199">
        <f t="shared" si="15"/>
        <v>361</v>
      </c>
      <c r="P118" s="1199">
        <f t="shared" si="16"/>
        <v>0</v>
      </c>
    </row>
    <row r="119" spans="1:17" s="1199" customFormat="1" ht="24" customHeight="1">
      <c r="A119" s="1331"/>
      <c r="B119" s="2174" t="s">
        <v>1325</v>
      </c>
      <c r="C119" s="1275"/>
      <c r="D119" s="1275"/>
      <c r="E119" s="1270"/>
      <c r="F119" s="1358" t="s">
        <v>226</v>
      </c>
      <c r="G119" s="2176">
        <v>458</v>
      </c>
      <c r="H119" s="1264">
        <f t="shared" si="12"/>
        <v>0</v>
      </c>
      <c r="I119" s="1265">
        <v>60</v>
      </c>
      <c r="J119" s="1264">
        <f t="shared" si="13"/>
        <v>0</v>
      </c>
      <c r="K119" s="1273">
        <f t="shared" si="14"/>
        <v>0</v>
      </c>
      <c r="L119" s="2000" t="s">
        <v>2667</v>
      </c>
      <c r="N119" s="1199">
        <v>45760</v>
      </c>
      <c r="O119" s="1199">
        <f t="shared" si="15"/>
        <v>458</v>
      </c>
      <c r="P119" s="1199">
        <f t="shared" si="16"/>
        <v>0</v>
      </c>
    </row>
    <row r="120" spans="1:17" s="1199" customFormat="1" ht="24" customHeight="1">
      <c r="A120" s="1331"/>
      <c r="B120" s="2174" t="s">
        <v>1326</v>
      </c>
      <c r="C120" s="1275"/>
      <c r="D120" s="1275"/>
      <c r="E120" s="1270"/>
      <c r="F120" s="1358" t="s">
        <v>226</v>
      </c>
      <c r="G120" s="2176">
        <v>525</v>
      </c>
      <c r="H120" s="1264">
        <f t="shared" si="12"/>
        <v>0</v>
      </c>
      <c r="I120" s="1265">
        <v>70</v>
      </c>
      <c r="J120" s="1264">
        <f t="shared" si="13"/>
        <v>0</v>
      </c>
      <c r="K120" s="1273">
        <f t="shared" si="14"/>
        <v>0</v>
      </c>
      <c r="L120" s="1269"/>
      <c r="P120" s="1199">
        <f t="shared" si="16"/>
        <v>0</v>
      </c>
    </row>
    <row r="121" spans="1:17" s="1199" customFormat="1" ht="24" customHeight="1">
      <c r="A121" s="1331"/>
      <c r="B121" s="2174" t="s">
        <v>1327</v>
      </c>
      <c r="C121" s="1275"/>
      <c r="D121" s="1275"/>
      <c r="E121" s="1270"/>
      <c r="F121" s="1358" t="s">
        <v>226</v>
      </c>
      <c r="G121" s="2176">
        <v>659</v>
      </c>
      <c r="H121" s="1264">
        <f t="shared" si="12"/>
        <v>0</v>
      </c>
      <c r="I121" s="1265">
        <v>85</v>
      </c>
      <c r="J121" s="1264">
        <f t="shared" si="13"/>
        <v>0</v>
      </c>
      <c r="K121" s="1273">
        <f t="shared" si="14"/>
        <v>0</v>
      </c>
      <c r="L121" s="1269"/>
      <c r="P121" s="1199">
        <f t="shared" si="16"/>
        <v>0</v>
      </c>
    </row>
    <row r="122" spans="1:17" s="1199" customFormat="1" ht="24" customHeight="1">
      <c r="A122" s="1331"/>
      <c r="B122" s="2174" t="s">
        <v>1328</v>
      </c>
      <c r="C122" s="1275"/>
      <c r="D122" s="1275"/>
      <c r="E122" s="1270"/>
      <c r="F122" s="1358" t="s">
        <v>226</v>
      </c>
      <c r="G122" s="2176">
        <v>865</v>
      </c>
      <c r="H122" s="1264">
        <f t="shared" si="12"/>
        <v>0</v>
      </c>
      <c r="I122" s="1265">
        <v>100</v>
      </c>
      <c r="J122" s="1264">
        <f t="shared" si="13"/>
        <v>0</v>
      </c>
      <c r="K122" s="1273">
        <f t="shared" si="14"/>
        <v>0</v>
      </c>
      <c r="L122" s="1269"/>
      <c r="P122" s="1199">
        <f t="shared" si="16"/>
        <v>0</v>
      </c>
    </row>
    <row r="123" spans="1:17" s="1199" customFormat="1" ht="24" customHeight="1">
      <c r="A123" s="1331"/>
      <c r="B123" s="2174" t="s">
        <v>1329</v>
      </c>
      <c r="C123" s="1275"/>
      <c r="D123" s="1275"/>
      <c r="E123" s="1270"/>
      <c r="F123" s="1358" t="s">
        <v>226</v>
      </c>
      <c r="G123" s="2176">
        <v>1084</v>
      </c>
      <c r="H123" s="1264">
        <f t="shared" si="12"/>
        <v>0</v>
      </c>
      <c r="I123" s="1265">
        <v>110</v>
      </c>
      <c r="J123" s="1264">
        <f t="shared" si="13"/>
        <v>0</v>
      </c>
      <c r="K123" s="1273">
        <f t="shared" si="14"/>
        <v>0</v>
      </c>
      <c r="L123" s="1269"/>
      <c r="P123" s="1199">
        <f t="shared" si="16"/>
        <v>0</v>
      </c>
    </row>
    <row r="124" spans="1:17" s="1199" customFormat="1" ht="24" customHeight="1">
      <c r="A124" s="1331" t="s">
        <v>1158</v>
      </c>
      <c r="B124" s="2174" t="s">
        <v>2897</v>
      </c>
      <c r="C124" s="1275"/>
      <c r="D124" s="1275"/>
      <c r="E124" s="1276"/>
      <c r="F124" s="1358"/>
      <c r="G124" s="2175"/>
      <c r="H124" s="1264"/>
      <c r="I124" s="1265"/>
      <c r="J124" s="1264"/>
      <c r="K124" s="1273"/>
      <c r="L124" s="1269"/>
    </row>
    <row r="125" spans="1:17" s="1199" customFormat="1" ht="24" customHeight="1">
      <c r="A125" s="1331" t="s">
        <v>2898</v>
      </c>
      <c r="B125" s="1190" t="s">
        <v>1597</v>
      </c>
      <c r="C125" s="1202"/>
      <c r="D125" s="1202"/>
      <c r="E125" s="1387"/>
      <c r="F125" s="1384"/>
      <c r="G125" s="2176"/>
      <c r="H125" s="1264">
        <f t="shared" ref="H125:H134" si="17">ROUND(E125*G125,)</f>
        <v>0</v>
      </c>
      <c r="I125" s="2177"/>
      <c r="J125" s="1264">
        <f t="shared" ref="J125:J134" si="18">ROUND(E125*I125,)</f>
        <v>0</v>
      </c>
      <c r="K125" s="1385"/>
      <c r="L125" s="1385"/>
      <c r="M125" s="1214"/>
      <c r="N125" s="1214"/>
      <c r="O125" s="1214"/>
      <c r="P125" s="1214"/>
      <c r="Q125" s="1214"/>
    </row>
    <row r="126" spans="1:17" s="1199" customFormat="1" ht="24" customHeight="1">
      <c r="A126" s="1331"/>
      <c r="B126" s="1190" t="s">
        <v>1443</v>
      </c>
      <c r="C126" s="1202"/>
      <c r="D126" s="1202"/>
      <c r="E126" s="1489"/>
      <c r="F126" s="1358" t="s">
        <v>226</v>
      </c>
      <c r="G126" s="2176">
        <v>9</v>
      </c>
      <c r="H126" s="1264">
        <f t="shared" si="17"/>
        <v>0</v>
      </c>
      <c r="I126" s="2177">
        <v>7</v>
      </c>
      <c r="J126" s="1264">
        <f t="shared" si="18"/>
        <v>0</v>
      </c>
      <c r="K126" s="1273">
        <f>H126+J126</f>
        <v>0</v>
      </c>
      <c r="L126" s="2001" t="s">
        <v>2667</v>
      </c>
      <c r="M126" s="1214"/>
      <c r="N126" s="1199">
        <v>912.1</v>
      </c>
      <c r="O126" s="1199">
        <f>ROUND(N126/100,)</f>
        <v>9</v>
      </c>
      <c r="P126" s="1214"/>
      <c r="Q126" s="1214"/>
    </row>
    <row r="127" spans="1:17" s="1199" customFormat="1" ht="24" customHeight="1">
      <c r="A127" s="1331"/>
      <c r="B127" s="2174" t="s">
        <v>1316</v>
      </c>
      <c r="C127" s="1202"/>
      <c r="D127" s="1202"/>
      <c r="E127" s="1489">
        <v>525</v>
      </c>
      <c r="F127" s="1358" t="s">
        <v>226</v>
      </c>
      <c r="G127" s="2176">
        <v>14</v>
      </c>
      <c r="H127" s="1264">
        <f t="shared" si="17"/>
        <v>7350</v>
      </c>
      <c r="I127" s="2177">
        <v>10</v>
      </c>
      <c r="J127" s="1264">
        <f t="shared" si="18"/>
        <v>5250</v>
      </c>
      <c r="K127" s="1273">
        <f>H127+J127</f>
        <v>12600</v>
      </c>
      <c r="L127" s="2001" t="s">
        <v>2667</v>
      </c>
      <c r="M127" s="1214"/>
      <c r="N127" s="1199">
        <v>1375.8</v>
      </c>
      <c r="O127" s="1199">
        <f>ROUND(N127/100,)</f>
        <v>14</v>
      </c>
      <c r="P127" s="1214"/>
      <c r="Q127" s="1214"/>
    </row>
    <row r="128" spans="1:17" s="1199" customFormat="1" ht="24" customHeight="1">
      <c r="A128" s="1331"/>
      <c r="B128" s="2174" t="s">
        <v>1317</v>
      </c>
      <c r="C128" s="1275"/>
      <c r="D128" s="1275"/>
      <c r="E128" s="1270"/>
      <c r="F128" s="1358" t="s">
        <v>226</v>
      </c>
      <c r="G128" s="2176">
        <v>23</v>
      </c>
      <c r="H128" s="1264">
        <f t="shared" si="17"/>
        <v>0</v>
      </c>
      <c r="I128" s="1265">
        <v>12</v>
      </c>
      <c r="J128" s="1264">
        <f t="shared" si="18"/>
        <v>0</v>
      </c>
      <c r="K128" s="1273">
        <f t="shared" ref="K128:K129" si="19">H128+J128</f>
        <v>0</v>
      </c>
      <c r="L128" s="2001" t="s">
        <v>2667</v>
      </c>
      <c r="N128" s="1199">
        <v>2264.1999999999998</v>
      </c>
      <c r="O128" s="1199">
        <f t="shared" ref="O128:O129" si="20">ROUND(N128/100,)</f>
        <v>23</v>
      </c>
    </row>
    <row r="129" spans="1:18" s="1199" customFormat="1" ht="24" customHeight="1">
      <c r="A129" s="1331"/>
      <c r="B129" s="2174" t="s">
        <v>1318</v>
      </c>
      <c r="C129" s="1275"/>
      <c r="D129" s="1275"/>
      <c r="E129" s="1270"/>
      <c r="F129" s="1358" t="s">
        <v>226</v>
      </c>
      <c r="G129" s="2176">
        <v>39</v>
      </c>
      <c r="H129" s="1264">
        <f t="shared" si="17"/>
        <v>0</v>
      </c>
      <c r="I129" s="1265">
        <v>16</v>
      </c>
      <c r="J129" s="1264">
        <f t="shared" si="18"/>
        <v>0</v>
      </c>
      <c r="K129" s="1273">
        <f t="shared" si="19"/>
        <v>0</v>
      </c>
      <c r="L129" s="2001" t="s">
        <v>2667</v>
      </c>
      <c r="N129" s="1199">
        <v>3944.2</v>
      </c>
      <c r="O129" s="1199">
        <f t="shared" si="20"/>
        <v>39</v>
      </c>
    </row>
    <row r="130" spans="1:18" s="1199" customFormat="1" ht="24" customHeight="1">
      <c r="A130" s="1331"/>
      <c r="B130" s="2174"/>
      <c r="C130" s="1275"/>
      <c r="D130" s="1275"/>
      <c r="E130" s="1270"/>
      <c r="F130" s="1358"/>
      <c r="G130" s="2176"/>
      <c r="H130" s="1264"/>
      <c r="I130" s="1265"/>
      <c r="J130" s="1264"/>
      <c r="K130" s="1273"/>
      <c r="L130" s="2172"/>
    </row>
    <row r="131" spans="1:18" s="1199" customFormat="1" ht="24" customHeight="1">
      <c r="A131" s="1331" t="s">
        <v>2899</v>
      </c>
      <c r="B131" s="2174" t="s">
        <v>1331</v>
      </c>
      <c r="C131" s="1202"/>
      <c r="D131" s="1202"/>
      <c r="E131" s="1513"/>
      <c r="F131" s="1384"/>
      <c r="G131" s="2176"/>
      <c r="H131" s="1264">
        <f t="shared" si="17"/>
        <v>0</v>
      </c>
      <c r="I131" s="2177"/>
      <c r="J131" s="1264">
        <f t="shared" si="18"/>
        <v>0</v>
      </c>
      <c r="K131" s="1385"/>
      <c r="L131" s="1385"/>
      <c r="M131" s="1214"/>
      <c r="N131" s="1214"/>
      <c r="O131" s="1214"/>
      <c r="P131" s="1214"/>
      <c r="Q131" s="1214"/>
    </row>
    <row r="132" spans="1:18" s="1199" customFormat="1" ht="24" customHeight="1">
      <c r="A132" s="1331"/>
      <c r="B132" s="2174" t="s">
        <v>1443</v>
      </c>
      <c r="C132" s="1202"/>
      <c r="D132" s="1202"/>
      <c r="E132" s="1270"/>
      <c r="F132" s="1358" t="s">
        <v>226</v>
      </c>
      <c r="G132" s="2176">
        <v>41</v>
      </c>
      <c r="H132" s="1264">
        <f t="shared" si="17"/>
        <v>0</v>
      </c>
      <c r="I132" s="2177">
        <v>12</v>
      </c>
      <c r="J132" s="1264">
        <f t="shared" si="18"/>
        <v>0</v>
      </c>
      <c r="K132" s="1273">
        <f>H132+J132</f>
        <v>0</v>
      </c>
      <c r="L132" s="1385"/>
      <c r="M132" s="1214"/>
      <c r="N132" s="1214"/>
      <c r="O132" s="1214"/>
      <c r="P132" s="1214"/>
      <c r="Q132" s="1214"/>
    </row>
    <row r="133" spans="1:18" s="1199" customFormat="1" ht="24" customHeight="1">
      <c r="A133" s="1331"/>
      <c r="B133" s="2174" t="s">
        <v>1316</v>
      </c>
      <c r="C133" s="1202"/>
      <c r="D133" s="1202"/>
      <c r="E133" s="1506"/>
      <c r="F133" s="1358" t="s">
        <v>226</v>
      </c>
      <c r="G133" s="2176">
        <v>53</v>
      </c>
      <c r="H133" s="1264">
        <f t="shared" si="17"/>
        <v>0</v>
      </c>
      <c r="I133" s="2177">
        <v>14</v>
      </c>
      <c r="J133" s="1264">
        <f t="shared" si="18"/>
        <v>0</v>
      </c>
      <c r="K133" s="1273">
        <f>H133+J133</f>
        <v>0</v>
      </c>
      <c r="L133" s="1385"/>
      <c r="M133" s="1214"/>
      <c r="N133" s="1214"/>
      <c r="O133" s="1214"/>
      <c r="P133" s="1214"/>
      <c r="Q133" s="1214"/>
    </row>
    <row r="134" spans="1:18" s="1199" customFormat="1" ht="24" customHeight="1">
      <c r="A134" s="1406"/>
      <c r="B134" s="2174" t="s">
        <v>1444</v>
      </c>
      <c r="C134" s="1202"/>
      <c r="D134" s="1202"/>
      <c r="E134" s="1490">
        <v>1</v>
      </c>
      <c r="F134" s="1358" t="s">
        <v>1104</v>
      </c>
      <c r="G134" s="2176">
        <f>ROUND(SUM(H108:H133)*0.05,)</f>
        <v>5048</v>
      </c>
      <c r="H134" s="1264">
        <f t="shared" si="17"/>
        <v>5048</v>
      </c>
      <c r="I134" s="2177">
        <f>ROUND(G134*0.3,)</f>
        <v>1514</v>
      </c>
      <c r="J134" s="1264">
        <f t="shared" si="18"/>
        <v>1514</v>
      </c>
      <c r="K134" s="1273">
        <f>H134+J134</f>
        <v>6562</v>
      </c>
      <c r="L134" s="1385"/>
      <c r="M134" s="1214"/>
      <c r="N134" s="1214"/>
      <c r="O134" s="1214"/>
      <c r="P134" s="1214"/>
      <c r="Q134" s="1214"/>
    </row>
    <row r="135" spans="1:18" s="1199" customFormat="1" ht="24" customHeight="1">
      <c r="A135" s="1331"/>
      <c r="B135" s="2174" t="s">
        <v>1117</v>
      </c>
      <c r="C135" s="1202"/>
      <c r="D135" s="1202"/>
      <c r="E135" s="1513"/>
      <c r="F135" s="1384"/>
      <c r="G135" s="2176"/>
      <c r="H135" s="1388"/>
      <c r="I135" s="2177"/>
      <c r="J135" s="1385"/>
      <c r="K135" s="1385"/>
      <c r="L135" s="1385"/>
      <c r="M135" s="1214"/>
      <c r="N135" s="1214"/>
      <c r="O135" s="1214"/>
      <c r="P135" s="1214"/>
      <c r="Q135" s="1214"/>
      <c r="R135" s="1214"/>
    </row>
    <row r="136" spans="1:18" s="1199" customFormat="1" ht="24" customHeight="1">
      <c r="A136" s="1331"/>
      <c r="B136" s="2174" t="s">
        <v>1118</v>
      </c>
      <c r="C136" s="1202"/>
      <c r="D136" s="1202"/>
      <c r="E136" s="1513"/>
      <c r="F136" s="1384"/>
      <c r="G136" s="2176"/>
      <c r="H136" s="1388"/>
      <c r="I136" s="2177"/>
      <c r="J136" s="1385"/>
      <c r="K136" s="1385"/>
      <c r="L136" s="1385"/>
      <c r="M136" s="1214"/>
      <c r="N136" s="1214"/>
      <c r="O136" s="1214"/>
      <c r="P136" s="1214"/>
      <c r="Q136" s="1214"/>
      <c r="R136" s="1214"/>
    </row>
    <row r="137" spans="1:18" s="1199" customFormat="1" ht="24" customHeight="1">
      <c r="A137" s="1331"/>
      <c r="B137" s="2174" t="s">
        <v>1118</v>
      </c>
      <c r="C137" s="1202"/>
      <c r="D137" s="1202"/>
      <c r="E137" s="1513"/>
      <c r="F137" s="1384"/>
      <c r="G137" s="2176"/>
      <c r="H137" s="1388"/>
      <c r="I137" s="2177"/>
      <c r="J137" s="1385"/>
      <c r="K137" s="1385"/>
      <c r="L137" s="1385"/>
      <c r="M137" s="1214"/>
      <c r="N137" s="1214"/>
      <c r="O137" s="1214"/>
      <c r="P137" s="1214"/>
      <c r="Q137" s="1214"/>
      <c r="R137" s="1214"/>
    </row>
    <row r="138" spans="1:18" s="1199" customFormat="1" ht="24" customHeight="1">
      <c r="A138" s="1331"/>
      <c r="B138" s="2174"/>
      <c r="C138" s="1202"/>
      <c r="D138" s="1202"/>
      <c r="E138" s="1513"/>
      <c r="F138" s="1384"/>
      <c r="G138" s="2176"/>
      <c r="H138" s="1388"/>
      <c r="I138" s="2177"/>
      <c r="J138" s="1385"/>
      <c r="K138" s="1385"/>
      <c r="L138" s="1385"/>
      <c r="M138" s="1214"/>
      <c r="N138" s="1214"/>
      <c r="O138" s="1214"/>
      <c r="P138" s="1214"/>
      <c r="Q138" s="1214"/>
      <c r="R138" s="1214"/>
    </row>
    <row r="139" spans="1:18" s="1199" customFormat="1" ht="24" customHeight="1">
      <c r="A139" s="1243"/>
      <c r="B139" s="2257" t="str">
        <f>"รวมราคารายการที่ "&amp;A107</f>
        <v>รวมราคารายการที่ 3.4</v>
      </c>
      <c r="C139" s="2258"/>
      <c r="D139" s="2259"/>
      <c r="E139" s="1244"/>
      <c r="F139" s="1245"/>
      <c r="G139" s="1246"/>
      <c r="H139" s="1247">
        <f>SUM(H107:H138)</f>
        <v>106008</v>
      </c>
      <c r="I139" s="1246"/>
      <c r="J139" s="1247">
        <f>SUM(J107:J138)</f>
        <v>32524</v>
      </c>
      <c r="K139" s="1247">
        <f>SUM(K107:K138)</f>
        <v>138532</v>
      </c>
      <c r="L139" s="1245"/>
      <c r="M139" s="1214"/>
      <c r="N139" s="1214"/>
      <c r="O139" s="1214"/>
      <c r="P139" s="1214"/>
      <c r="Q139" s="1214"/>
      <c r="R139" s="1214"/>
    </row>
    <row r="140" spans="1:18" s="1199" customFormat="1" ht="24" customHeight="1">
      <c r="A140" s="1435" t="s">
        <v>1461</v>
      </c>
      <c r="B140" s="1436" t="s">
        <v>1333</v>
      </c>
      <c r="C140" s="1202"/>
      <c r="D140" s="1202"/>
      <c r="E140" s="1387"/>
      <c r="F140" s="1384"/>
      <c r="G140" s="2176"/>
      <c r="H140" s="1388"/>
      <c r="I140" s="2177"/>
      <c r="J140" s="1385"/>
      <c r="K140" s="1385"/>
      <c r="L140" s="1385"/>
      <c r="M140" s="1214"/>
      <c r="N140" s="1214"/>
      <c r="O140" s="1214"/>
      <c r="P140" s="1214"/>
      <c r="Q140" s="1214"/>
      <c r="R140" s="1214"/>
    </row>
    <row r="141" spans="1:18" s="1199" customFormat="1" ht="24" customHeight="1">
      <c r="A141" s="1331" t="s">
        <v>1181</v>
      </c>
      <c r="B141" s="2174" t="s">
        <v>1446</v>
      </c>
      <c r="C141" s="1202"/>
      <c r="D141" s="1202"/>
      <c r="E141" s="1387"/>
      <c r="F141" s="1384"/>
      <c r="G141" s="2176"/>
      <c r="H141" s="1264">
        <f t="shared" ref="H141:H156" si="21">ROUND(E141*G141,)</f>
        <v>0</v>
      </c>
      <c r="I141" s="2177"/>
      <c r="J141" s="1264">
        <f t="shared" ref="J141:J156" si="22">ROUND(E141*I141,)</f>
        <v>0</v>
      </c>
      <c r="K141" s="1385"/>
      <c r="L141" s="1385"/>
      <c r="M141" s="1214"/>
      <c r="N141" s="1214"/>
      <c r="O141" s="1214"/>
      <c r="P141" s="1214"/>
      <c r="Q141" s="1214"/>
      <c r="R141" s="1214"/>
    </row>
    <row r="142" spans="1:18" s="1199" customFormat="1" ht="24" customHeight="1">
      <c r="A142" s="1331"/>
      <c r="B142" s="2174" t="s">
        <v>1350</v>
      </c>
      <c r="C142" s="1202"/>
      <c r="D142" s="1202"/>
      <c r="E142" s="1404">
        <v>175</v>
      </c>
      <c r="F142" s="1358" t="s">
        <v>226</v>
      </c>
      <c r="G142" s="2176">
        <v>27</v>
      </c>
      <c r="H142" s="1264">
        <f t="shared" si="21"/>
        <v>4725</v>
      </c>
      <c r="I142" s="2177">
        <v>22</v>
      </c>
      <c r="J142" s="1264">
        <f t="shared" si="22"/>
        <v>3850</v>
      </c>
      <c r="K142" s="1802">
        <f t="shared" ref="K142" si="23">H142+J142</f>
        <v>8575</v>
      </c>
      <c r="L142" s="2001" t="s">
        <v>2667</v>
      </c>
      <c r="M142" s="1214"/>
      <c r="N142" s="1199">
        <v>79.8</v>
      </c>
      <c r="O142" s="1199">
        <f>ROUND(N142/3,)</f>
        <v>27</v>
      </c>
      <c r="P142" s="1214"/>
      <c r="Q142" s="1214"/>
      <c r="R142" s="1214"/>
    </row>
    <row r="143" spans="1:18" s="1199" customFormat="1" ht="24" customHeight="1">
      <c r="A143" s="1331"/>
      <c r="B143" s="2174" t="s">
        <v>1108</v>
      </c>
      <c r="C143" s="1202"/>
      <c r="D143" s="1202"/>
      <c r="E143" s="1404">
        <v>1</v>
      </c>
      <c r="F143" s="1384" t="s">
        <v>1104</v>
      </c>
      <c r="G143" s="2176">
        <f>ROUND(SUM(H142:H142)*15%,)</f>
        <v>709</v>
      </c>
      <c r="H143" s="1264">
        <f t="shared" si="21"/>
        <v>709</v>
      </c>
      <c r="I143" s="2177">
        <f>ROUND(G143*0.3,)</f>
        <v>213</v>
      </c>
      <c r="J143" s="1264">
        <f t="shared" si="22"/>
        <v>213</v>
      </c>
      <c r="K143" s="1273">
        <f>H143+J143</f>
        <v>922</v>
      </c>
      <c r="L143" s="1385"/>
      <c r="M143" s="1214"/>
      <c r="N143" s="1214"/>
      <c r="O143" s="1214"/>
      <c r="P143" s="1214"/>
      <c r="Q143" s="1214"/>
      <c r="R143" s="1214"/>
    </row>
    <row r="144" spans="1:18" s="1199" customFormat="1" ht="24" customHeight="1">
      <c r="A144" s="1331" t="s">
        <v>1197</v>
      </c>
      <c r="B144" s="2174" t="s">
        <v>1110</v>
      </c>
      <c r="C144" s="1202"/>
      <c r="D144" s="1202"/>
      <c r="E144" s="1404"/>
      <c r="F144" s="1384"/>
      <c r="G144" s="2176"/>
      <c r="H144" s="1264">
        <f t="shared" si="21"/>
        <v>0</v>
      </c>
      <c r="I144" s="2177"/>
      <c r="J144" s="1264">
        <f t="shared" si="22"/>
        <v>0</v>
      </c>
      <c r="K144" s="1385"/>
      <c r="L144" s="1385"/>
      <c r="M144" s="1214"/>
      <c r="N144" s="1214"/>
      <c r="O144" s="1214"/>
      <c r="P144" s="1214"/>
      <c r="Q144" s="1214"/>
      <c r="R144" s="1214"/>
    </row>
    <row r="145" spans="1:19" s="1199" customFormat="1" ht="24" customHeight="1">
      <c r="A145" s="1331"/>
      <c r="B145" s="2174" t="s">
        <v>1350</v>
      </c>
      <c r="C145" s="1202"/>
      <c r="D145" s="1202"/>
      <c r="E145" s="1404"/>
      <c r="F145" s="1358" t="s">
        <v>226</v>
      </c>
      <c r="G145" s="2176">
        <v>56</v>
      </c>
      <c r="H145" s="1264">
        <f t="shared" si="21"/>
        <v>0</v>
      </c>
      <c r="I145" s="2177">
        <v>26</v>
      </c>
      <c r="J145" s="1264">
        <f t="shared" si="22"/>
        <v>0</v>
      </c>
      <c r="K145" s="1273">
        <f>H145+J145</f>
        <v>0</v>
      </c>
      <c r="L145" s="2001" t="s">
        <v>2667</v>
      </c>
      <c r="M145" s="1214"/>
      <c r="N145" s="1199">
        <v>169.2</v>
      </c>
      <c r="O145" s="1199">
        <f t="shared" ref="O145:O150" si="24">ROUND(N145/3,)</f>
        <v>56</v>
      </c>
      <c r="P145" s="1214"/>
      <c r="Q145" s="1214"/>
      <c r="R145" s="1214"/>
    </row>
    <row r="146" spans="1:19" s="1199" customFormat="1" ht="24" customHeight="1">
      <c r="A146" s="1331"/>
      <c r="B146" s="2174" t="s">
        <v>1448</v>
      </c>
      <c r="C146" s="1202"/>
      <c r="D146" s="1202"/>
      <c r="E146" s="1404"/>
      <c r="F146" s="1358" t="s">
        <v>226</v>
      </c>
      <c r="G146" s="2176">
        <v>75</v>
      </c>
      <c r="H146" s="1264">
        <f t="shared" si="21"/>
        <v>0</v>
      </c>
      <c r="I146" s="2177">
        <v>29</v>
      </c>
      <c r="J146" s="1264">
        <f t="shared" si="22"/>
        <v>0</v>
      </c>
      <c r="K146" s="1273">
        <f>H146+J146</f>
        <v>0</v>
      </c>
      <c r="L146" s="2001" t="s">
        <v>2667</v>
      </c>
      <c r="N146" s="1199">
        <v>225</v>
      </c>
      <c r="O146" s="1199">
        <f t="shared" si="24"/>
        <v>75</v>
      </c>
      <c r="P146" s="1214"/>
    </row>
    <row r="147" spans="1:19" s="1199" customFormat="1" ht="24" customHeight="1">
      <c r="A147" s="1331"/>
      <c r="B147" s="2174" t="s">
        <v>1337</v>
      </c>
      <c r="C147" s="1202"/>
      <c r="D147" s="1202"/>
      <c r="E147" s="1404"/>
      <c r="F147" s="1358" t="s">
        <v>226</v>
      </c>
      <c r="G147" s="2176">
        <v>101</v>
      </c>
      <c r="H147" s="1264">
        <f t="shared" si="21"/>
        <v>0</v>
      </c>
      <c r="I147" s="2177">
        <v>32</v>
      </c>
      <c r="J147" s="1264">
        <f t="shared" si="22"/>
        <v>0</v>
      </c>
      <c r="K147" s="1273">
        <f>H147+J147</f>
        <v>0</v>
      </c>
      <c r="L147" s="2001" t="s">
        <v>2667</v>
      </c>
      <c r="N147" s="1199">
        <v>303.60000000000002</v>
      </c>
      <c r="O147" s="1199">
        <f t="shared" si="24"/>
        <v>101</v>
      </c>
      <c r="P147" s="1214"/>
      <c r="Q147" s="1214"/>
      <c r="R147" s="1214"/>
    </row>
    <row r="148" spans="1:19" s="1199" customFormat="1" ht="24" customHeight="1">
      <c r="A148" s="1331"/>
      <c r="B148" s="2174" t="s">
        <v>1338</v>
      </c>
      <c r="C148" s="1202"/>
      <c r="D148" s="1202"/>
      <c r="E148" s="1270">
        <v>230</v>
      </c>
      <c r="F148" s="1358" t="s">
        <v>226</v>
      </c>
      <c r="G148" s="2176">
        <v>131</v>
      </c>
      <c r="H148" s="1264">
        <f t="shared" si="21"/>
        <v>30130</v>
      </c>
      <c r="I148" s="2177">
        <v>32</v>
      </c>
      <c r="J148" s="1264">
        <f t="shared" si="22"/>
        <v>7360</v>
      </c>
      <c r="K148" s="1273">
        <f t="shared" ref="K148:K153" si="25">H148+J148</f>
        <v>37490</v>
      </c>
      <c r="L148" s="2000" t="s">
        <v>2667</v>
      </c>
      <c r="N148" s="1199">
        <v>391.8</v>
      </c>
      <c r="O148" s="1199">
        <f t="shared" si="24"/>
        <v>131</v>
      </c>
    </row>
    <row r="149" spans="1:19" s="1199" customFormat="1" ht="24" customHeight="1">
      <c r="A149" s="1331"/>
      <c r="B149" s="2174" t="s">
        <v>1339</v>
      </c>
      <c r="C149" s="1202"/>
      <c r="D149" s="1202"/>
      <c r="E149" s="1270"/>
      <c r="F149" s="1358" t="s">
        <v>226</v>
      </c>
      <c r="G149" s="2176">
        <v>160</v>
      </c>
      <c r="H149" s="1264">
        <f t="shared" si="21"/>
        <v>0</v>
      </c>
      <c r="I149" s="2177">
        <v>38</v>
      </c>
      <c r="J149" s="1264">
        <f t="shared" si="22"/>
        <v>0</v>
      </c>
      <c r="K149" s="1273">
        <f t="shared" si="25"/>
        <v>0</v>
      </c>
      <c r="L149" s="2000" t="s">
        <v>2667</v>
      </c>
      <c r="N149" s="1199">
        <v>481.2</v>
      </c>
      <c r="O149" s="1199">
        <f t="shared" si="24"/>
        <v>160</v>
      </c>
    </row>
    <row r="150" spans="1:19" s="1199" customFormat="1" ht="24" customHeight="1">
      <c r="A150" s="1331"/>
      <c r="B150" s="2174" t="s">
        <v>1340</v>
      </c>
      <c r="C150" s="1202"/>
      <c r="D150" s="1202"/>
      <c r="E150" s="1270"/>
      <c r="F150" s="1358" t="s">
        <v>226</v>
      </c>
      <c r="G150" s="2176">
        <v>219</v>
      </c>
      <c r="H150" s="1264">
        <f t="shared" si="21"/>
        <v>0</v>
      </c>
      <c r="I150" s="2177">
        <v>42</v>
      </c>
      <c r="J150" s="1264">
        <f t="shared" si="22"/>
        <v>0</v>
      </c>
      <c r="K150" s="1273">
        <f t="shared" si="25"/>
        <v>0</v>
      </c>
      <c r="L150" s="2000" t="s">
        <v>2667</v>
      </c>
      <c r="N150" s="1199">
        <v>657.6</v>
      </c>
      <c r="O150" s="1199">
        <f t="shared" si="24"/>
        <v>219</v>
      </c>
    </row>
    <row r="151" spans="1:19" s="1199" customFormat="1" ht="24" customHeight="1">
      <c r="A151" s="1331"/>
      <c r="B151" s="2174" t="s">
        <v>1341</v>
      </c>
      <c r="C151" s="1202"/>
      <c r="D151" s="1202"/>
      <c r="E151" s="1270"/>
      <c r="F151" s="1358" t="s">
        <v>226</v>
      </c>
      <c r="G151" s="2176">
        <v>352</v>
      </c>
      <c r="H151" s="1264">
        <f t="shared" si="21"/>
        <v>0</v>
      </c>
      <c r="I151" s="2177">
        <v>48</v>
      </c>
      <c r="J151" s="1264">
        <f t="shared" si="22"/>
        <v>0</v>
      </c>
      <c r="K151" s="1273">
        <f t="shared" si="25"/>
        <v>0</v>
      </c>
      <c r="L151" s="1269"/>
    </row>
    <row r="152" spans="1:19" s="1199" customFormat="1" ht="24" customHeight="1">
      <c r="A152" s="1331"/>
      <c r="B152" s="2174" t="s">
        <v>1342</v>
      </c>
      <c r="C152" s="1202"/>
      <c r="D152" s="1202"/>
      <c r="E152" s="1270"/>
      <c r="F152" s="1358" t="s">
        <v>226</v>
      </c>
      <c r="G152" s="2176">
        <v>434</v>
      </c>
      <c r="H152" s="1264">
        <f t="shared" si="21"/>
        <v>0</v>
      </c>
      <c r="I152" s="2177">
        <v>55</v>
      </c>
      <c r="J152" s="1264">
        <f t="shared" si="22"/>
        <v>0</v>
      </c>
      <c r="K152" s="1273">
        <f t="shared" si="25"/>
        <v>0</v>
      </c>
      <c r="L152" s="1269"/>
    </row>
    <row r="153" spans="1:19" s="1199" customFormat="1" ht="24" customHeight="1">
      <c r="A153" s="1331"/>
      <c r="B153" s="2174" t="s">
        <v>1111</v>
      </c>
      <c r="C153" s="1202"/>
      <c r="D153" s="1202"/>
      <c r="E153" s="1270"/>
      <c r="F153" s="1358" t="s">
        <v>226</v>
      </c>
      <c r="G153" s="2176">
        <v>572</v>
      </c>
      <c r="H153" s="1264">
        <f t="shared" si="21"/>
        <v>0</v>
      </c>
      <c r="I153" s="2177">
        <v>65</v>
      </c>
      <c r="J153" s="1264">
        <f t="shared" si="22"/>
        <v>0</v>
      </c>
      <c r="K153" s="1273">
        <f t="shared" si="25"/>
        <v>0</v>
      </c>
      <c r="L153" s="1269"/>
    </row>
    <row r="154" spans="1:19" s="1199" customFormat="1" ht="24" customHeight="1">
      <c r="A154" s="1331"/>
      <c r="B154" s="2174" t="s">
        <v>1108</v>
      </c>
      <c r="C154" s="1202"/>
      <c r="D154" s="1202"/>
      <c r="E154" s="1404">
        <v>1</v>
      </c>
      <c r="F154" s="1384" t="s">
        <v>1104</v>
      </c>
      <c r="G154" s="2176">
        <f>ROUND(SUM(H145:H153)*15%,0)</f>
        <v>4520</v>
      </c>
      <c r="H154" s="1264">
        <f t="shared" si="21"/>
        <v>4520</v>
      </c>
      <c r="I154" s="2177">
        <f>ROUND(ROUND(G154*0.3,),0)</f>
        <v>1356</v>
      </c>
      <c r="J154" s="1264">
        <f t="shared" si="22"/>
        <v>1356</v>
      </c>
      <c r="K154" s="1273">
        <f>H154+J154</f>
        <v>5876</v>
      </c>
      <c r="L154" s="1385"/>
      <c r="M154" s="1214"/>
      <c r="N154" s="1214"/>
      <c r="O154" s="1214"/>
      <c r="P154" s="1214"/>
      <c r="Q154" s="1214"/>
    </row>
    <row r="155" spans="1:19" s="1199" customFormat="1" ht="24" customHeight="1">
      <c r="A155" s="1331" t="s">
        <v>1621</v>
      </c>
      <c r="B155" s="2174" t="s">
        <v>1449</v>
      </c>
      <c r="C155" s="1202"/>
      <c r="D155" s="1202"/>
      <c r="E155" s="1404"/>
      <c r="F155" s="1384"/>
      <c r="G155" s="2176"/>
      <c r="H155" s="1264"/>
      <c r="I155" s="2177"/>
      <c r="J155" s="1264"/>
      <c r="K155" s="1385"/>
      <c r="L155" s="1385"/>
      <c r="M155" s="1214"/>
      <c r="N155" s="1214"/>
      <c r="O155" s="1214"/>
      <c r="P155" s="1214"/>
      <c r="Q155" s="1214"/>
      <c r="R155" s="1214"/>
    </row>
    <row r="156" spans="1:19" s="1199" customFormat="1" ht="24" customHeight="1">
      <c r="A156" s="1514"/>
      <c r="B156" s="2174" t="s">
        <v>1350</v>
      </c>
      <c r="C156" s="1202"/>
      <c r="D156" s="1202"/>
      <c r="E156" s="1404">
        <v>14</v>
      </c>
      <c r="F156" s="1358" t="s">
        <v>226</v>
      </c>
      <c r="G156" s="2176">
        <v>14</v>
      </c>
      <c r="H156" s="1264">
        <f t="shared" si="21"/>
        <v>196</v>
      </c>
      <c r="I156" s="2177">
        <v>11</v>
      </c>
      <c r="J156" s="1264">
        <f t="shared" si="22"/>
        <v>154</v>
      </c>
      <c r="K156" s="1273">
        <f>H156+J156</f>
        <v>350</v>
      </c>
      <c r="L156" s="1385"/>
      <c r="M156" s="1214"/>
      <c r="N156" s="1214"/>
      <c r="O156" s="1214"/>
      <c r="P156" s="1214"/>
      <c r="Q156" s="1214"/>
      <c r="R156" s="1214"/>
    </row>
    <row r="157" spans="1:19" s="1199" customFormat="1" ht="24" customHeight="1">
      <c r="A157" s="1331"/>
      <c r="B157" s="2174" t="s">
        <v>1117</v>
      </c>
      <c r="C157" s="1202"/>
      <c r="D157" s="1202"/>
      <c r="E157" s="1387"/>
      <c r="F157" s="1384"/>
      <c r="G157" s="2176"/>
      <c r="H157" s="1388"/>
      <c r="I157" s="2177"/>
      <c r="J157" s="1385"/>
      <c r="K157" s="1385"/>
      <c r="L157" s="1385"/>
      <c r="M157" s="1214"/>
      <c r="N157" s="1214"/>
      <c r="O157" s="1214"/>
      <c r="P157" s="1214"/>
      <c r="Q157" s="1214"/>
      <c r="R157" s="1214"/>
    </row>
    <row r="158" spans="1:19" s="1199" customFormat="1" ht="24" customHeight="1">
      <c r="A158" s="1331"/>
      <c r="B158" s="2174" t="s">
        <v>1118</v>
      </c>
      <c r="C158" s="1202"/>
      <c r="D158" s="1202"/>
      <c r="E158" s="1387"/>
      <c r="F158" s="1384"/>
      <c r="G158" s="2176"/>
      <c r="H158" s="1388"/>
      <c r="I158" s="2177"/>
      <c r="J158" s="1385"/>
      <c r="K158" s="1385"/>
      <c r="L158" s="1385"/>
      <c r="M158" s="1214"/>
      <c r="N158" s="1214"/>
      <c r="O158" s="1214"/>
      <c r="P158" s="1214"/>
      <c r="Q158" s="1214"/>
      <c r="R158" s="1214"/>
    </row>
    <row r="159" spans="1:19" s="1199" customFormat="1" ht="24" customHeight="1">
      <c r="A159" s="1331"/>
      <c r="B159" s="2174" t="s">
        <v>1118</v>
      </c>
      <c r="C159" s="1202"/>
      <c r="D159" s="1202"/>
      <c r="E159" s="1387"/>
      <c r="F159" s="1384"/>
      <c r="G159" s="2176"/>
      <c r="H159" s="1388"/>
      <c r="I159" s="2177"/>
      <c r="J159" s="1385"/>
      <c r="K159" s="1385"/>
      <c r="L159" s="1385"/>
      <c r="M159" s="1214"/>
      <c r="N159" s="1214"/>
      <c r="O159" s="1214"/>
      <c r="P159" s="1214"/>
      <c r="Q159" s="1214"/>
      <c r="R159" s="1214"/>
    </row>
    <row r="160" spans="1:19" s="1199" customFormat="1" ht="24" customHeight="1">
      <c r="A160" s="1331"/>
      <c r="B160" s="2174"/>
      <c r="C160" s="1202"/>
      <c r="D160" s="1202"/>
      <c r="E160" s="1387"/>
      <c r="F160" s="1407"/>
      <c r="G160" s="2176"/>
      <c r="H160" s="1388"/>
      <c r="I160" s="2177"/>
      <c r="J160" s="1385"/>
      <c r="K160" s="1385"/>
      <c r="L160" s="1385"/>
      <c r="M160" s="1214"/>
      <c r="N160" s="1214"/>
      <c r="O160" s="1214"/>
      <c r="P160" s="1214"/>
      <c r="Q160" s="1214"/>
      <c r="R160" s="1214"/>
      <c r="S160" s="1214"/>
    </row>
    <row r="161" spans="1:18" s="1199" customFormat="1" ht="24" customHeight="1">
      <c r="A161" s="1243"/>
      <c r="B161" s="2257" t="str">
        <f>"รวมราคารายการที่ "&amp;A140</f>
        <v>รวมราคารายการที่ 3.5</v>
      </c>
      <c r="C161" s="2258"/>
      <c r="D161" s="2259"/>
      <c r="E161" s="1244"/>
      <c r="F161" s="1245"/>
      <c r="G161" s="1246"/>
      <c r="H161" s="1247">
        <f>SUM(H141:H159)</f>
        <v>40280</v>
      </c>
      <c r="I161" s="1246"/>
      <c r="J161" s="1247">
        <f>SUM(J141:J159)</f>
        <v>12933</v>
      </c>
      <c r="K161" s="1247">
        <f>SUM(K141:K159)</f>
        <v>53213</v>
      </c>
      <c r="L161" s="1245"/>
      <c r="M161" s="1214"/>
      <c r="N161" s="1214"/>
      <c r="O161" s="1214"/>
      <c r="P161" s="1214"/>
      <c r="Q161" s="1214"/>
      <c r="R161" s="1214"/>
    </row>
    <row r="162" spans="1:18" s="1199" customFormat="1" ht="24" customHeight="1">
      <c r="A162" s="1435" t="s">
        <v>1465</v>
      </c>
      <c r="B162" s="1436" t="s">
        <v>1451</v>
      </c>
      <c r="C162" s="1202"/>
      <c r="D162" s="1202"/>
      <c r="E162" s="1387"/>
      <c r="F162" s="1384"/>
      <c r="G162" s="2176"/>
      <c r="H162" s="1388"/>
      <c r="I162" s="2177"/>
      <c r="J162" s="1385"/>
      <c r="K162" s="1385"/>
      <c r="L162" s="1385"/>
      <c r="M162" s="1214"/>
      <c r="N162" s="1214"/>
      <c r="O162" s="1214"/>
      <c r="P162" s="1214"/>
      <c r="Q162" s="1214"/>
      <c r="R162" s="1214"/>
    </row>
    <row r="163" spans="1:18" s="1199" customFormat="1" ht="24" customHeight="1">
      <c r="A163" s="1331" t="s">
        <v>1207</v>
      </c>
      <c r="B163" s="2174" t="s">
        <v>1451</v>
      </c>
      <c r="C163" s="1202"/>
      <c r="D163" s="1202"/>
      <c r="E163" s="1387"/>
      <c r="F163" s="1384"/>
      <c r="G163" s="2176"/>
      <c r="H163" s="1388"/>
      <c r="I163" s="2177"/>
      <c r="J163" s="1385"/>
      <c r="K163" s="1385"/>
      <c r="L163" s="1385"/>
      <c r="M163" s="1214"/>
      <c r="N163" s="1214"/>
      <c r="O163" s="1214"/>
      <c r="P163" s="1214"/>
      <c r="Q163" s="1214"/>
      <c r="R163" s="1214"/>
    </row>
    <row r="164" spans="1:18" s="1199" customFormat="1" ht="24" customHeight="1">
      <c r="A164" s="1331"/>
      <c r="B164" s="2174" t="s">
        <v>1452</v>
      </c>
      <c r="C164" s="1202"/>
      <c r="D164" s="1202"/>
      <c r="E164" s="1387">
        <v>6</v>
      </c>
      <c r="F164" s="1207" t="s">
        <v>363</v>
      </c>
      <c r="G164" s="2176">
        <v>90</v>
      </c>
      <c r="H164" s="1264">
        <f t="shared" ref="H164:H171" si="26">ROUND(E164*G164,)</f>
        <v>540</v>
      </c>
      <c r="I164" s="2177">
        <v>80</v>
      </c>
      <c r="J164" s="1264">
        <f t="shared" ref="J164:J171" si="27">ROUND(E164*I164,)</f>
        <v>480</v>
      </c>
      <c r="K164" s="1273">
        <f t="shared" ref="K164:K171" si="28">H164+J164</f>
        <v>1020</v>
      </c>
      <c r="L164" s="1389"/>
      <c r="M164" s="1214"/>
      <c r="N164" s="1214"/>
      <c r="O164" s="1214"/>
    </row>
    <row r="165" spans="1:18" s="1199" customFormat="1" ht="24" customHeight="1">
      <c r="A165" s="1331"/>
      <c r="B165" s="2174" t="s">
        <v>1453</v>
      </c>
      <c r="C165" s="1202"/>
      <c r="D165" s="1202"/>
      <c r="E165" s="1387"/>
      <c r="F165" s="1207" t="s">
        <v>363</v>
      </c>
      <c r="G165" s="2176">
        <v>130</v>
      </c>
      <c r="H165" s="1264">
        <f t="shared" si="26"/>
        <v>0</v>
      </c>
      <c r="I165" s="2177">
        <v>90</v>
      </c>
      <c r="J165" s="1264">
        <f t="shared" si="27"/>
        <v>0</v>
      </c>
      <c r="K165" s="1273">
        <f t="shared" si="28"/>
        <v>0</v>
      </c>
      <c r="L165" s="1389"/>
      <c r="M165" s="1214"/>
      <c r="N165" s="1214"/>
      <c r="O165" s="1214"/>
    </row>
    <row r="166" spans="1:18" s="1199" customFormat="1" ht="24" customHeight="1">
      <c r="A166" s="1331"/>
      <c r="B166" s="2174" t="s">
        <v>1454</v>
      </c>
      <c r="C166" s="1202"/>
      <c r="D166" s="1202"/>
      <c r="E166" s="1387"/>
      <c r="F166" s="1207" t="s">
        <v>363</v>
      </c>
      <c r="G166" s="2176">
        <v>240</v>
      </c>
      <c r="H166" s="1264">
        <f t="shared" si="26"/>
        <v>0</v>
      </c>
      <c r="I166" s="2177">
        <v>90</v>
      </c>
      <c r="J166" s="1264">
        <f t="shared" si="27"/>
        <v>0</v>
      </c>
      <c r="K166" s="1273">
        <f t="shared" si="28"/>
        <v>0</v>
      </c>
      <c r="L166" s="1389"/>
      <c r="M166" s="1214"/>
      <c r="N166" s="1214"/>
      <c r="O166" s="1214"/>
    </row>
    <row r="167" spans="1:18" s="1199" customFormat="1" ht="24" customHeight="1">
      <c r="A167" s="1331"/>
      <c r="B167" s="2174" t="s">
        <v>1455</v>
      </c>
      <c r="C167" s="1202"/>
      <c r="D167" s="1202"/>
      <c r="E167" s="1387"/>
      <c r="F167" s="1207" t="s">
        <v>363</v>
      </c>
      <c r="G167" s="2176">
        <v>162</v>
      </c>
      <c r="H167" s="1264">
        <f t="shared" si="26"/>
        <v>0</v>
      </c>
      <c r="I167" s="2177">
        <v>90</v>
      </c>
      <c r="J167" s="1264">
        <f t="shared" si="27"/>
        <v>0</v>
      </c>
      <c r="K167" s="1273">
        <f t="shared" si="28"/>
        <v>0</v>
      </c>
      <c r="L167" s="1389"/>
      <c r="M167" s="1214"/>
      <c r="N167" s="1214"/>
      <c r="O167" s="1214"/>
    </row>
    <row r="168" spans="1:18" s="1199" customFormat="1" ht="24" customHeight="1">
      <c r="A168" s="1331"/>
      <c r="B168" s="2174" t="s">
        <v>1456</v>
      </c>
      <c r="C168" s="1202"/>
      <c r="D168" s="1202"/>
      <c r="E168" s="1387">
        <v>8</v>
      </c>
      <c r="F168" s="1207" t="s">
        <v>363</v>
      </c>
      <c r="G168" s="2176">
        <v>197</v>
      </c>
      <c r="H168" s="1264">
        <f t="shared" si="26"/>
        <v>1576</v>
      </c>
      <c r="I168" s="2177">
        <v>90</v>
      </c>
      <c r="J168" s="1264">
        <f t="shared" si="27"/>
        <v>720</v>
      </c>
      <c r="K168" s="1273">
        <f t="shared" si="28"/>
        <v>2296</v>
      </c>
      <c r="L168" s="1389"/>
      <c r="M168" s="1214"/>
      <c r="N168" s="1214"/>
      <c r="O168" s="1214"/>
    </row>
    <row r="169" spans="1:18" s="1199" customFormat="1" ht="24" customHeight="1">
      <c r="A169" s="1331"/>
      <c r="B169" s="2174" t="s">
        <v>1457</v>
      </c>
      <c r="C169" s="1202"/>
      <c r="D169" s="1202"/>
      <c r="E169" s="1387"/>
      <c r="F169" s="1207" t="s">
        <v>363</v>
      </c>
      <c r="G169" s="2176">
        <v>1500</v>
      </c>
      <c r="H169" s="1264">
        <f t="shared" si="26"/>
        <v>0</v>
      </c>
      <c r="I169" s="2177">
        <v>265</v>
      </c>
      <c r="J169" s="1264">
        <f t="shared" si="27"/>
        <v>0</v>
      </c>
      <c r="K169" s="1385">
        <f t="shared" si="28"/>
        <v>0</v>
      </c>
      <c r="L169" s="1389"/>
      <c r="M169" s="1214"/>
      <c r="N169" s="1214"/>
      <c r="O169" s="1214"/>
    </row>
    <row r="170" spans="1:18" s="1199" customFormat="1" ht="24" customHeight="1">
      <c r="A170" s="1331"/>
      <c r="B170" s="2174" t="s">
        <v>1458</v>
      </c>
      <c r="C170" s="1202"/>
      <c r="D170" s="1202"/>
      <c r="E170" s="1387"/>
      <c r="F170" s="1207" t="s">
        <v>363</v>
      </c>
      <c r="G170" s="2176">
        <v>518</v>
      </c>
      <c r="H170" s="1264">
        <f t="shared" si="26"/>
        <v>0</v>
      </c>
      <c r="I170" s="2177">
        <v>115</v>
      </c>
      <c r="J170" s="1264">
        <f t="shared" si="27"/>
        <v>0</v>
      </c>
      <c r="K170" s="1273">
        <f t="shared" si="28"/>
        <v>0</v>
      </c>
      <c r="L170" s="1389"/>
      <c r="M170" s="1214"/>
      <c r="N170" s="1214"/>
      <c r="O170" s="1214"/>
    </row>
    <row r="171" spans="1:18" s="1199" customFormat="1" ht="24" customHeight="1">
      <c r="A171" s="1331"/>
      <c r="B171" s="2174" t="s">
        <v>1459</v>
      </c>
      <c r="C171" s="1202"/>
      <c r="D171" s="1202"/>
      <c r="E171" s="1387"/>
      <c r="F171" s="1207" t="s">
        <v>363</v>
      </c>
      <c r="G171" s="2176">
        <v>850</v>
      </c>
      <c r="H171" s="1264">
        <f t="shared" si="26"/>
        <v>0</v>
      </c>
      <c r="I171" s="2177">
        <v>265</v>
      </c>
      <c r="J171" s="1264">
        <f t="shared" si="27"/>
        <v>0</v>
      </c>
      <c r="K171" s="1273">
        <f t="shared" si="28"/>
        <v>0</v>
      </c>
      <c r="L171" s="1389"/>
      <c r="M171" s="1214"/>
      <c r="N171" s="1214"/>
      <c r="O171" s="1214"/>
    </row>
    <row r="172" spans="1:18" s="1199" customFormat="1" ht="24" customHeight="1">
      <c r="A172" s="1331" t="s">
        <v>1229</v>
      </c>
      <c r="B172" s="2174" t="s">
        <v>1460</v>
      </c>
      <c r="C172" s="1202"/>
      <c r="D172" s="1202"/>
      <c r="E172" s="1387">
        <v>2</v>
      </c>
      <c r="F172" s="1207" t="s">
        <v>363</v>
      </c>
      <c r="G172" s="2176">
        <v>130</v>
      </c>
      <c r="H172" s="1264">
        <f>ROUND(E172*G172,)</f>
        <v>260</v>
      </c>
      <c r="I172" s="2177">
        <v>90</v>
      </c>
      <c r="J172" s="1264">
        <f>ROUND(E172*I172,)</f>
        <v>180</v>
      </c>
      <c r="K172" s="1273">
        <f>H172+J172</f>
        <v>440</v>
      </c>
      <c r="L172" s="1385"/>
      <c r="M172" s="1214"/>
      <c r="N172" s="1214"/>
      <c r="O172" s="1214"/>
      <c r="P172" s="1214"/>
      <c r="Q172" s="1214"/>
      <c r="R172" s="1214"/>
    </row>
    <row r="173" spans="1:18" s="1199" customFormat="1" ht="24" customHeight="1">
      <c r="A173" s="1331"/>
      <c r="B173" s="2174" t="s">
        <v>1117</v>
      </c>
      <c r="C173" s="1202"/>
      <c r="D173" s="1202"/>
      <c r="E173" s="1387"/>
      <c r="F173" s="1384"/>
      <c r="G173" s="2176"/>
      <c r="H173" s="1388"/>
      <c r="I173" s="2177"/>
      <c r="J173" s="1385"/>
      <c r="K173" s="1385"/>
      <c r="L173" s="1385"/>
      <c r="M173" s="1214"/>
      <c r="N173" s="1214"/>
      <c r="O173" s="1214"/>
      <c r="P173" s="1214"/>
      <c r="Q173" s="1214"/>
      <c r="R173" s="1214"/>
    </row>
    <row r="174" spans="1:18" s="1199" customFormat="1" ht="24" customHeight="1">
      <c r="A174" s="1331"/>
      <c r="B174" s="2174" t="s">
        <v>1118</v>
      </c>
      <c r="C174" s="1202"/>
      <c r="D174" s="1202"/>
      <c r="E174" s="1387"/>
      <c r="F174" s="1384"/>
      <c r="G174" s="2176"/>
      <c r="H174" s="1388"/>
      <c r="I174" s="2177"/>
      <c r="J174" s="1385"/>
      <c r="K174" s="1385"/>
      <c r="L174" s="1385"/>
      <c r="M174" s="1214"/>
      <c r="N174" s="1214"/>
      <c r="O174" s="1214"/>
      <c r="P174" s="1214"/>
      <c r="Q174" s="1214"/>
      <c r="R174" s="1214"/>
    </row>
    <row r="175" spans="1:18" s="1199" customFormat="1" ht="24" customHeight="1">
      <c r="A175" s="1331"/>
      <c r="B175" s="2174" t="s">
        <v>1369</v>
      </c>
      <c r="C175" s="1202"/>
      <c r="D175" s="1202"/>
      <c r="E175" s="1387"/>
      <c r="F175" s="1384"/>
      <c r="G175" s="2176"/>
      <c r="H175" s="1388"/>
      <c r="I175" s="2177"/>
      <c r="J175" s="1385"/>
      <c r="K175" s="1385"/>
      <c r="L175" s="1385"/>
      <c r="M175" s="1214"/>
      <c r="N175" s="1214"/>
      <c r="O175" s="1214"/>
      <c r="P175" s="1214"/>
      <c r="Q175" s="1214"/>
      <c r="R175" s="1214"/>
    </row>
    <row r="176" spans="1:18" s="1199" customFormat="1" ht="24" customHeight="1">
      <c r="A176" s="1331"/>
      <c r="B176" s="2174"/>
      <c r="C176" s="1202"/>
      <c r="D176" s="1202"/>
      <c r="E176" s="1387"/>
      <c r="F176" s="1407"/>
      <c r="G176" s="2176"/>
      <c r="H176" s="1388"/>
      <c r="I176" s="2177"/>
      <c r="J176" s="1385"/>
      <c r="K176" s="1385"/>
      <c r="L176" s="1385"/>
      <c r="M176" s="1214"/>
      <c r="N176" s="1214"/>
      <c r="O176" s="1214"/>
      <c r="P176" s="1214"/>
      <c r="Q176" s="1214"/>
      <c r="R176" s="1214"/>
    </row>
    <row r="177" spans="1:19" s="1199" customFormat="1" ht="24" customHeight="1">
      <c r="A177" s="1331"/>
      <c r="B177" s="2174"/>
      <c r="C177" s="1202"/>
      <c r="D177" s="1202"/>
      <c r="E177" s="1387"/>
      <c r="F177" s="1407"/>
      <c r="G177" s="2176"/>
      <c r="H177" s="1388"/>
      <c r="I177" s="2177"/>
      <c r="J177" s="1385"/>
      <c r="K177" s="1385"/>
      <c r="L177" s="1385"/>
      <c r="M177" s="1214"/>
      <c r="N177" s="1214"/>
      <c r="O177" s="1214"/>
      <c r="P177" s="1214"/>
      <c r="Q177" s="1214"/>
      <c r="R177" s="1214"/>
      <c r="S177" s="1214"/>
    </row>
    <row r="178" spans="1:19" s="1199" customFormat="1" ht="24" customHeight="1">
      <c r="A178" s="1243"/>
      <c r="B178" s="2257" t="str">
        <f>"รวมราคารายการที่ "&amp;A162</f>
        <v>รวมราคารายการที่ 3.6</v>
      </c>
      <c r="C178" s="2258"/>
      <c r="D178" s="2259"/>
      <c r="E178" s="1244"/>
      <c r="F178" s="1245"/>
      <c r="G178" s="1246"/>
      <c r="H178" s="1247">
        <f>SUM(H163:H174)</f>
        <v>2376</v>
      </c>
      <c r="I178" s="1246"/>
      <c r="J178" s="1247">
        <f>SUM(J163:J174)</f>
        <v>1380</v>
      </c>
      <c r="K178" s="1247">
        <f>SUM(K163:K174)</f>
        <v>3756</v>
      </c>
      <c r="L178" s="1245"/>
      <c r="M178" s="1214"/>
      <c r="N178" s="1214"/>
      <c r="O178" s="1214"/>
      <c r="P178" s="1214"/>
      <c r="Q178" s="1214"/>
      <c r="R178" s="1214"/>
    </row>
    <row r="179" spans="1:19" s="1199" customFormat="1" ht="24" customHeight="1">
      <c r="A179" s="1435" t="s">
        <v>1490</v>
      </c>
      <c r="B179" s="1436" t="s">
        <v>1466</v>
      </c>
      <c r="C179" s="1202"/>
      <c r="D179" s="1202"/>
      <c r="E179" s="1387"/>
      <c r="F179" s="1207"/>
      <c r="G179" s="2176"/>
      <c r="H179" s="1264"/>
      <c r="I179" s="2177"/>
      <c r="J179" s="1264"/>
      <c r="K179" s="1273"/>
      <c r="L179" s="1385"/>
      <c r="M179" s="1214"/>
      <c r="N179" s="1214"/>
      <c r="O179" s="1214"/>
      <c r="P179" s="1214"/>
      <c r="Q179" s="1214"/>
      <c r="R179" s="1214"/>
    </row>
    <row r="180" spans="1:19" s="1199" customFormat="1" ht="24" customHeight="1">
      <c r="A180" s="1339"/>
      <c r="B180" s="1259" t="s">
        <v>1467</v>
      </c>
      <c r="C180" s="1202"/>
      <c r="D180" s="1202"/>
      <c r="E180" s="1404">
        <v>12</v>
      </c>
      <c r="F180" s="1267" t="s">
        <v>363</v>
      </c>
      <c r="G180" s="1386">
        <v>420</v>
      </c>
      <c r="H180" s="1343">
        <f t="shared" ref="H180:H203" si="29">ROUND(E180*G180,)</f>
        <v>5040</v>
      </c>
      <c r="I180" s="1414">
        <v>115</v>
      </c>
      <c r="J180" s="1343">
        <f t="shared" ref="J180:J203" si="30">ROUND(E180*I180,)</f>
        <v>1380</v>
      </c>
      <c r="K180" s="1262">
        <f t="shared" ref="K180:K203" si="31">H180+J180</f>
        <v>6420</v>
      </c>
      <c r="L180" s="1415"/>
      <c r="M180" s="1214"/>
      <c r="N180" s="1214"/>
      <c r="O180" s="1214"/>
      <c r="P180" s="1214"/>
    </row>
    <row r="181" spans="1:19" s="1199" customFormat="1" ht="24" customHeight="1">
      <c r="A181" s="1339"/>
      <c r="B181" s="1259" t="s">
        <v>1468</v>
      </c>
      <c r="C181" s="1202"/>
      <c r="D181" s="1202"/>
      <c r="E181" s="1404">
        <v>4</v>
      </c>
      <c r="F181" s="1267" t="s">
        <v>363</v>
      </c>
      <c r="G181" s="1386">
        <v>500</v>
      </c>
      <c r="H181" s="1343">
        <f t="shared" si="29"/>
        <v>2000</v>
      </c>
      <c r="I181" s="1414">
        <v>115</v>
      </c>
      <c r="J181" s="1343">
        <f t="shared" si="30"/>
        <v>460</v>
      </c>
      <c r="K181" s="1262">
        <f t="shared" si="31"/>
        <v>2460</v>
      </c>
      <c r="L181" s="1415"/>
      <c r="M181" s="1214"/>
      <c r="N181" s="1214"/>
      <c r="O181" s="1214"/>
      <c r="P181" s="1214"/>
    </row>
    <row r="182" spans="1:19" s="1199" customFormat="1" ht="24" customHeight="1">
      <c r="A182" s="1339"/>
      <c r="B182" s="1259" t="s">
        <v>1469</v>
      </c>
      <c r="C182" s="1202"/>
      <c r="D182" s="1202"/>
      <c r="E182" s="1404"/>
      <c r="F182" s="1267" t="s">
        <v>363</v>
      </c>
      <c r="G182" s="1386">
        <v>550</v>
      </c>
      <c r="H182" s="1343">
        <f t="shared" si="29"/>
        <v>0</v>
      </c>
      <c r="I182" s="1414">
        <v>115</v>
      </c>
      <c r="J182" s="1343">
        <f t="shared" si="30"/>
        <v>0</v>
      </c>
      <c r="K182" s="1262">
        <f t="shared" si="31"/>
        <v>0</v>
      </c>
      <c r="L182" s="1415"/>
      <c r="M182" s="1214"/>
      <c r="N182" s="1214"/>
      <c r="O182" s="1214"/>
      <c r="P182" s="1214"/>
    </row>
    <row r="183" spans="1:19" s="1199" customFormat="1" ht="24" customHeight="1">
      <c r="A183" s="1339"/>
      <c r="B183" s="1259" t="s">
        <v>1470</v>
      </c>
      <c r="C183" s="1202"/>
      <c r="D183" s="1202"/>
      <c r="E183" s="1404"/>
      <c r="F183" s="1267" t="s">
        <v>363</v>
      </c>
      <c r="G183" s="1386">
        <v>750</v>
      </c>
      <c r="H183" s="1343">
        <f t="shared" si="29"/>
        <v>0</v>
      </c>
      <c r="I183" s="1414">
        <v>135</v>
      </c>
      <c r="J183" s="1343">
        <f t="shared" si="30"/>
        <v>0</v>
      </c>
      <c r="K183" s="1262">
        <f t="shared" si="31"/>
        <v>0</v>
      </c>
      <c r="L183" s="1415"/>
      <c r="M183" s="1214"/>
      <c r="N183" s="1214"/>
      <c r="O183" s="1214"/>
      <c r="P183" s="1214"/>
    </row>
    <row r="184" spans="1:19" s="1199" customFormat="1" ht="24" customHeight="1">
      <c r="A184" s="1339"/>
      <c r="B184" s="1259" t="s">
        <v>1471</v>
      </c>
      <c r="C184" s="1202"/>
      <c r="D184" s="1202"/>
      <c r="E184" s="1404"/>
      <c r="F184" s="1267" t="s">
        <v>363</v>
      </c>
      <c r="G184" s="1386">
        <v>1550</v>
      </c>
      <c r="H184" s="1343">
        <f t="shared" si="29"/>
        <v>0</v>
      </c>
      <c r="I184" s="1414">
        <v>135</v>
      </c>
      <c r="J184" s="1343">
        <f t="shared" si="30"/>
        <v>0</v>
      </c>
      <c r="K184" s="1262">
        <f t="shared" si="31"/>
        <v>0</v>
      </c>
      <c r="L184" s="1415"/>
      <c r="M184" s="1214"/>
      <c r="N184" s="1214"/>
      <c r="O184" s="1214"/>
      <c r="P184" s="1214"/>
    </row>
    <row r="185" spans="1:19" s="1199" customFormat="1" ht="24" customHeight="1">
      <c r="A185" s="1339"/>
      <c r="B185" s="1259" t="s">
        <v>1472</v>
      </c>
      <c r="C185" s="1202"/>
      <c r="D185" s="1202"/>
      <c r="E185" s="1404"/>
      <c r="F185" s="1267" t="s">
        <v>363</v>
      </c>
      <c r="G185" s="1386">
        <v>2090</v>
      </c>
      <c r="H185" s="1343">
        <f t="shared" si="29"/>
        <v>0</v>
      </c>
      <c r="I185" s="1414">
        <v>135</v>
      </c>
      <c r="J185" s="1343">
        <f t="shared" si="30"/>
        <v>0</v>
      </c>
      <c r="K185" s="1262">
        <f t="shared" si="31"/>
        <v>0</v>
      </c>
      <c r="L185" s="1415"/>
      <c r="M185" s="1214"/>
      <c r="N185" s="1214"/>
      <c r="O185" s="1214"/>
      <c r="P185" s="1214"/>
    </row>
    <row r="186" spans="1:19" s="1199" customFormat="1" ht="24" customHeight="1">
      <c r="A186" s="1339"/>
      <c r="B186" s="1259" t="s">
        <v>1473</v>
      </c>
      <c r="C186" s="1202"/>
      <c r="D186" s="1202"/>
      <c r="E186" s="1404"/>
      <c r="F186" s="1267" t="s">
        <v>363</v>
      </c>
      <c r="G186" s="1386">
        <v>3750</v>
      </c>
      <c r="H186" s="1343">
        <f t="shared" si="29"/>
        <v>0</v>
      </c>
      <c r="I186" s="1414">
        <v>135</v>
      </c>
      <c r="J186" s="1343">
        <f t="shared" si="30"/>
        <v>0</v>
      </c>
      <c r="K186" s="1262">
        <f t="shared" si="31"/>
        <v>0</v>
      </c>
      <c r="L186" s="1415"/>
      <c r="M186" s="1214"/>
      <c r="N186" s="1214"/>
      <c r="O186" s="1214"/>
      <c r="P186" s="1214"/>
    </row>
    <row r="187" spans="1:19" s="1199" customFormat="1" ht="24" customHeight="1">
      <c r="A187" s="1339"/>
      <c r="B187" s="1259" t="s">
        <v>1474</v>
      </c>
      <c r="C187" s="1202"/>
      <c r="D187" s="1202"/>
      <c r="E187" s="1404"/>
      <c r="F187" s="1267" t="s">
        <v>363</v>
      </c>
      <c r="G187" s="1386">
        <v>2450</v>
      </c>
      <c r="H187" s="1343">
        <f t="shared" si="29"/>
        <v>0</v>
      </c>
      <c r="I187" s="1414">
        <v>135</v>
      </c>
      <c r="J187" s="1343">
        <f t="shared" si="30"/>
        <v>0</v>
      </c>
      <c r="K187" s="1262">
        <f t="shared" si="31"/>
        <v>0</v>
      </c>
      <c r="L187" s="1415"/>
      <c r="M187" s="1214"/>
      <c r="N187" s="1214"/>
      <c r="O187" s="1214"/>
      <c r="P187" s="1214"/>
    </row>
    <row r="188" spans="1:19" s="1199" customFormat="1" ht="24" customHeight="1">
      <c r="A188" s="1339"/>
      <c r="B188" s="1259" t="s">
        <v>1475</v>
      </c>
      <c r="C188" s="1202"/>
      <c r="D188" s="1202"/>
      <c r="E188" s="1404"/>
      <c r="F188" s="1267" t="s">
        <v>363</v>
      </c>
      <c r="G188" s="1386">
        <v>1860</v>
      </c>
      <c r="H188" s="1343">
        <f t="shared" si="29"/>
        <v>0</v>
      </c>
      <c r="I188" s="1414">
        <v>135</v>
      </c>
      <c r="J188" s="1343">
        <f t="shared" si="30"/>
        <v>0</v>
      </c>
      <c r="K188" s="1262">
        <f t="shared" si="31"/>
        <v>0</v>
      </c>
      <c r="L188" s="1415"/>
      <c r="M188" s="1214"/>
      <c r="N188" s="1214"/>
      <c r="O188" s="1214"/>
      <c r="P188" s="1214"/>
    </row>
    <row r="189" spans="1:19" s="1199" customFormat="1" ht="24" customHeight="1">
      <c r="A189" s="1339"/>
      <c r="B189" s="1259" t="s">
        <v>1476</v>
      </c>
      <c r="C189" s="1202"/>
      <c r="D189" s="1202"/>
      <c r="E189" s="1404"/>
      <c r="F189" s="1267" t="s">
        <v>363</v>
      </c>
      <c r="G189" s="1386">
        <v>1200</v>
      </c>
      <c r="H189" s="1343">
        <f t="shared" si="29"/>
        <v>0</v>
      </c>
      <c r="I189" s="1414">
        <v>135</v>
      </c>
      <c r="J189" s="1343">
        <f t="shared" si="30"/>
        <v>0</v>
      </c>
      <c r="K189" s="1262">
        <f t="shared" si="31"/>
        <v>0</v>
      </c>
      <c r="L189" s="1415"/>
      <c r="M189" s="1214"/>
      <c r="N189" s="1214"/>
      <c r="O189" s="1214"/>
      <c r="P189" s="1214"/>
    </row>
    <row r="190" spans="1:19" s="1199" customFormat="1" ht="24" customHeight="1">
      <c r="A190" s="1339"/>
      <c r="B190" s="1259" t="s">
        <v>1477</v>
      </c>
      <c r="C190" s="1202"/>
      <c r="D190" s="1202"/>
      <c r="E190" s="1404"/>
      <c r="F190" s="1267" t="s">
        <v>363</v>
      </c>
      <c r="G190" s="1386">
        <v>1450</v>
      </c>
      <c r="H190" s="1343">
        <f t="shared" si="29"/>
        <v>0</v>
      </c>
      <c r="I190" s="1414">
        <v>135</v>
      </c>
      <c r="J190" s="1343">
        <f t="shared" si="30"/>
        <v>0</v>
      </c>
      <c r="K190" s="1262">
        <f t="shared" si="31"/>
        <v>0</v>
      </c>
      <c r="L190" s="1415"/>
      <c r="M190" s="1214"/>
      <c r="N190" s="1214"/>
      <c r="O190" s="1214"/>
      <c r="P190" s="1214"/>
    </row>
    <row r="191" spans="1:19" s="1199" customFormat="1" ht="24" customHeight="1">
      <c r="A191" s="1339"/>
      <c r="B191" s="1259" t="s">
        <v>1478</v>
      </c>
      <c r="C191" s="1202"/>
      <c r="D191" s="1202"/>
      <c r="E191" s="1404"/>
      <c r="F191" s="1267" t="s">
        <v>363</v>
      </c>
      <c r="G191" s="1386">
        <v>1250</v>
      </c>
      <c r="H191" s="1343">
        <f t="shared" si="29"/>
        <v>0</v>
      </c>
      <c r="I191" s="1414">
        <v>135</v>
      </c>
      <c r="J191" s="1343">
        <f t="shared" si="30"/>
        <v>0</v>
      </c>
      <c r="K191" s="1262">
        <f t="shared" si="31"/>
        <v>0</v>
      </c>
      <c r="L191" s="1415"/>
      <c r="M191" s="1214"/>
      <c r="N191" s="1214"/>
      <c r="O191" s="1214"/>
      <c r="P191" s="1214"/>
    </row>
    <row r="192" spans="1:19" s="1199" customFormat="1" ht="24" customHeight="1">
      <c r="A192" s="1339"/>
      <c r="B192" s="1259" t="s">
        <v>1479</v>
      </c>
      <c r="C192" s="1202"/>
      <c r="D192" s="1202"/>
      <c r="E192" s="1404"/>
      <c r="F192" s="1267" t="s">
        <v>363</v>
      </c>
      <c r="G192" s="1386">
        <v>650</v>
      </c>
      <c r="H192" s="1343">
        <f t="shared" si="29"/>
        <v>0</v>
      </c>
      <c r="I192" s="1414">
        <v>20</v>
      </c>
      <c r="J192" s="1343">
        <f t="shared" si="30"/>
        <v>0</v>
      </c>
      <c r="K192" s="1262">
        <f t="shared" si="31"/>
        <v>0</v>
      </c>
      <c r="L192" s="1415"/>
      <c r="M192" s="1214"/>
      <c r="N192" s="1214"/>
      <c r="O192" s="1214"/>
      <c r="P192" s="1214"/>
    </row>
    <row r="193" spans="1:19" s="1199" customFormat="1" ht="24" customHeight="1">
      <c r="A193" s="1339"/>
      <c r="B193" s="1259" t="s">
        <v>1480</v>
      </c>
      <c r="C193" s="1202"/>
      <c r="D193" s="1202"/>
      <c r="E193" s="1404"/>
      <c r="F193" s="1267" t="s">
        <v>363</v>
      </c>
      <c r="G193" s="1386">
        <v>2565</v>
      </c>
      <c r="H193" s="1343">
        <f t="shared" si="29"/>
        <v>0</v>
      </c>
      <c r="I193" s="1414">
        <v>135</v>
      </c>
      <c r="J193" s="1343">
        <f t="shared" si="30"/>
        <v>0</v>
      </c>
      <c r="K193" s="1262">
        <f t="shared" si="31"/>
        <v>0</v>
      </c>
      <c r="L193" s="1415"/>
      <c r="M193" s="1214"/>
      <c r="N193" s="1214"/>
      <c r="O193" s="1214"/>
      <c r="P193" s="1214"/>
    </row>
    <row r="194" spans="1:19" s="1199" customFormat="1" ht="24" customHeight="1">
      <c r="A194" s="1339"/>
      <c r="B194" s="1259" t="s">
        <v>1481</v>
      </c>
      <c r="C194" s="1202"/>
      <c r="D194" s="1202"/>
      <c r="E194" s="1404"/>
      <c r="F194" s="1267" t="s">
        <v>363</v>
      </c>
      <c r="G194" s="1386">
        <v>1200</v>
      </c>
      <c r="H194" s="1343">
        <f t="shared" si="29"/>
        <v>0</v>
      </c>
      <c r="I194" s="1414">
        <v>135</v>
      </c>
      <c r="J194" s="1343">
        <f t="shared" si="30"/>
        <v>0</v>
      </c>
      <c r="K194" s="1262">
        <f t="shared" si="31"/>
        <v>0</v>
      </c>
      <c r="L194" s="1415"/>
      <c r="M194" s="1214"/>
      <c r="N194" s="1214"/>
      <c r="O194" s="1214"/>
      <c r="P194" s="1214"/>
    </row>
    <row r="195" spans="1:19" s="1199" customFormat="1" ht="24" customHeight="1">
      <c r="A195" s="1339"/>
      <c r="B195" s="1259" t="s">
        <v>1482</v>
      </c>
      <c r="C195" s="1202"/>
      <c r="D195" s="1202"/>
      <c r="E195" s="1404"/>
      <c r="F195" s="1267" t="s">
        <v>363</v>
      </c>
      <c r="G195" s="1386">
        <v>1200</v>
      </c>
      <c r="H195" s="1343">
        <f t="shared" si="29"/>
        <v>0</v>
      </c>
      <c r="I195" s="1414">
        <v>135</v>
      </c>
      <c r="J195" s="1343">
        <f t="shared" si="30"/>
        <v>0</v>
      </c>
      <c r="K195" s="1262">
        <f t="shared" si="31"/>
        <v>0</v>
      </c>
      <c r="L195" s="1415"/>
      <c r="M195" s="1214"/>
      <c r="N195" s="1214"/>
      <c r="O195" s="1214"/>
      <c r="P195" s="1214"/>
    </row>
    <row r="196" spans="1:19" s="1199" customFormat="1" ht="24" customHeight="1">
      <c r="A196" s="1339"/>
      <c r="B196" s="1259" t="s">
        <v>1483</v>
      </c>
      <c r="C196" s="1202"/>
      <c r="D196" s="1202"/>
      <c r="E196" s="1404"/>
      <c r="F196" s="1267" t="s">
        <v>363</v>
      </c>
      <c r="G196" s="1386">
        <v>1860</v>
      </c>
      <c r="H196" s="1343">
        <f t="shared" si="29"/>
        <v>0</v>
      </c>
      <c r="I196" s="1414">
        <v>135</v>
      </c>
      <c r="J196" s="1343">
        <f t="shared" si="30"/>
        <v>0</v>
      </c>
      <c r="K196" s="1262">
        <f t="shared" si="31"/>
        <v>0</v>
      </c>
      <c r="L196" s="1415"/>
      <c r="M196" s="1214"/>
      <c r="N196" s="1214"/>
      <c r="O196" s="1214"/>
      <c r="P196" s="1214"/>
    </row>
    <row r="197" spans="1:19" s="1199" customFormat="1" ht="24" customHeight="1">
      <c r="A197" s="1339"/>
      <c r="B197" s="1259" t="s">
        <v>1484</v>
      </c>
      <c r="C197" s="1202"/>
      <c r="D197" s="1202"/>
      <c r="E197" s="1404"/>
      <c r="F197" s="1267" t="s">
        <v>363</v>
      </c>
      <c r="G197" s="1386">
        <v>1200</v>
      </c>
      <c r="H197" s="1343">
        <f t="shared" si="29"/>
        <v>0</v>
      </c>
      <c r="I197" s="1414">
        <v>135</v>
      </c>
      <c r="J197" s="1343">
        <f t="shared" si="30"/>
        <v>0</v>
      </c>
      <c r="K197" s="1262">
        <f t="shared" si="31"/>
        <v>0</v>
      </c>
      <c r="L197" s="1415"/>
      <c r="M197" s="1214"/>
      <c r="N197" s="1214"/>
      <c r="O197" s="1214"/>
      <c r="P197" s="1214"/>
    </row>
    <row r="198" spans="1:19" s="1199" customFormat="1" ht="24" customHeight="1">
      <c r="A198" s="1339"/>
      <c r="B198" s="1259" t="s">
        <v>1485</v>
      </c>
      <c r="C198" s="1202"/>
      <c r="D198" s="1202"/>
      <c r="E198" s="1404"/>
      <c r="F198" s="1267" t="s">
        <v>363</v>
      </c>
      <c r="G198" s="1386">
        <v>1200</v>
      </c>
      <c r="H198" s="1343">
        <f t="shared" si="29"/>
        <v>0</v>
      </c>
      <c r="I198" s="1414">
        <v>135</v>
      </c>
      <c r="J198" s="1343">
        <f t="shared" si="30"/>
        <v>0</v>
      </c>
      <c r="K198" s="1262">
        <f t="shared" si="31"/>
        <v>0</v>
      </c>
      <c r="L198" s="1415"/>
      <c r="M198" s="1214"/>
      <c r="N198" s="1214"/>
      <c r="O198" s="1214"/>
      <c r="P198" s="1214"/>
    </row>
    <row r="199" spans="1:19" s="1199" customFormat="1" ht="24" customHeight="1">
      <c r="A199" s="1339"/>
      <c r="B199" s="1259" t="s">
        <v>1486</v>
      </c>
      <c r="C199" s="1202"/>
      <c r="D199" s="1202"/>
      <c r="E199" s="1404"/>
      <c r="F199" s="1267" t="s">
        <v>363</v>
      </c>
      <c r="G199" s="1386">
        <v>1830</v>
      </c>
      <c r="H199" s="1343">
        <f t="shared" si="29"/>
        <v>0</v>
      </c>
      <c r="I199" s="1414">
        <v>500</v>
      </c>
      <c r="J199" s="1343">
        <f t="shared" si="30"/>
        <v>0</v>
      </c>
      <c r="K199" s="1262">
        <f t="shared" si="31"/>
        <v>0</v>
      </c>
      <c r="L199" s="1415"/>
      <c r="M199" s="1214"/>
      <c r="N199" s="1214"/>
      <c r="O199" s="1214"/>
      <c r="P199" s="1214"/>
      <c r="Q199" s="1214"/>
    </row>
    <row r="200" spans="1:19" s="1199" customFormat="1" ht="24" customHeight="1">
      <c r="A200" s="1339"/>
      <c r="B200" s="1259" t="s">
        <v>1487</v>
      </c>
      <c r="C200" s="1202"/>
      <c r="D200" s="1202"/>
      <c r="E200" s="1404">
        <v>4</v>
      </c>
      <c r="F200" s="1267" t="s">
        <v>363</v>
      </c>
      <c r="G200" s="1386">
        <v>1620</v>
      </c>
      <c r="H200" s="1343">
        <f t="shared" si="29"/>
        <v>6480</v>
      </c>
      <c r="I200" s="1414">
        <v>500</v>
      </c>
      <c r="J200" s="1343">
        <f t="shared" si="30"/>
        <v>2000</v>
      </c>
      <c r="K200" s="1262">
        <f t="shared" si="31"/>
        <v>8480</v>
      </c>
      <c r="L200" s="1415"/>
      <c r="M200" s="1214"/>
      <c r="N200" s="1214"/>
      <c r="O200" s="1214"/>
      <c r="P200" s="1214"/>
      <c r="Q200" s="1214"/>
    </row>
    <row r="201" spans="1:19" s="1199" customFormat="1" ht="24" customHeight="1">
      <c r="A201" s="1339"/>
      <c r="B201" s="1259" t="s">
        <v>1488</v>
      </c>
      <c r="C201" s="1202"/>
      <c r="D201" s="1202"/>
      <c r="E201" s="1404"/>
      <c r="F201" s="1267" t="s">
        <v>363</v>
      </c>
      <c r="G201" s="1386">
        <v>920</v>
      </c>
      <c r="H201" s="1343">
        <f t="shared" si="29"/>
        <v>0</v>
      </c>
      <c r="I201" s="1414">
        <v>250</v>
      </c>
      <c r="J201" s="1343">
        <f t="shared" si="30"/>
        <v>0</v>
      </c>
      <c r="K201" s="1262">
        <f t="shared" si="31"/>
        <v>0</v>
      </c>
      <c r="L201" s="1415"/>
      <c r="M201" s="1214"/>
      <c r="N201" s="1214"/>
      <c r="O201" s="1214"/>
      <c r="P201" s="1214"/>
      <c r="Q201" s="1214"/>
    </row>
    <row r="202" spans="1:19" s="1199" customFormat="1" ht="24" customHeight="1">
      <c r="A202" s="1339"/>
      <c r="B202" s="1259" t="s">
        <v>1489</v>
      </c>
      <c r="C202" s="1202"/>
      <c r="D202" s="1202"/>
      <c r="E202" s="1404"/>
      <c r="F202" s="1267" t="s">
        <v>363</v>
      </c>
      <c r="G202" s="1386">
        <v>2180</v>
      </c>
      <c r="H202" s="1343">
        <f t="shared" si="29"/>
        <v>0</v>
      </c>
      <c r="I202" s="1414">
        <v>500</v>
      </c>
      <c r="J202" s="1343">
        <f t="shared" si="30"/>
        <v>0</v>
      </c>
      <c r="K202" s="1262">
        <f t="shared" si="31"/>
        <v>0</v>
      </c>
      <c r="L202" s="1415"/>
      <c r="M202" s="1214"/>
      <c r="N202" s="1214"/>
      <c r="O202" s="1214"/>
      <c r="P202" s="1214"/>
    </row>
    <row r="203" spans="1:19" s="1199" customFormat="1" ht="24" customHeight="1">
      <c r="A203" s="1339"/>
      <c r="B203" s="1259" t="s">
        <v>1602</v>
      </c>
      <c r="C203" s="1202"/>
      <c r="D203" s="1202"/>
      <c r="E203" s="1404">
        <v>1</v>
      </c>
      <c r="F203" s="1267" t="s">
        <v>1104</v>
      </c>
      <c r="G203" s="1386">
        <f>SUM(H179:H201)*5%</f>
        <v>676</v>
      </c>
      <c r="H203" s="1343">
        <f t="shared" si="29"/>
        <v>676</v>
      </c>
      <c r="I203" s="1414">
        <f>ROUND(G203*0.3,)</f>
        <v>203</v>
      </c>
      <c r="J203" s="1343">
        <f t="shared" si="30"/>
        <v>203</v>
      </c>
      <c r="K203" s="1262">
        <f t="shared" si="31"/>
        <v>879</v>
      </c>
      <c r="L203" s="1415"/>
      <c r="M203" s="1214"/>
      <c r="N203" s="1214"/>
      <c r="O203" s="1214"/>
      <c r="P203" s="1214"/>
      <c r="Q203" s="1214"/>
    </row>
    <row r="204" spans="1:19" s="1199" customFormat="1" ht="24" customHeight="1">
      <c r="A204" s="1331"/>
      <c r="B204" s="2174" t="s">
        <v>1117</v>
      </c>
      <c r="C204" s="1202"/>
      <c r="D204" s="1202"/>
      <c r="E204" s="1387"/>
      <c r="F204" s="1207"/>
      <c r="G204" s="2176"/>
      <c r="H204" s="1388"/>
      <c r="I204" s="2177"/>
      <c r="J204" s="1385"/>
      <c r="K204" s="1385"/>
      <c r="L204" s="1385"/>
      <c r="M204" s="1214"/>
      <c r="N204" s="1214"/>
      <c r="O204" s="1214"/>
      <c r="P204" s="1214"/>
      <c r="Q204" s="1214"/>
      <c r="R204" s="1214"/>
    </row>
    <row r="205" spans="1:19" s="1199" customFormat="1" ht="24" customHeight="1">
      <c r="A205" s="1331"/>
      <c r="B205" s="2174" t="s">
        <v>1369</v>
      </c>
      <c r="C205" s="1202"/>
      <c r="D205" s="1202"/>
      <c r="E205" s="1387"/>
      <c r="F205" s="1207"/>
      <c r="G205" s="2176"/>
      <c r="H205" s="1388"/>
      <c r="I205" s="2177"/>
      <c r="J205" s="1385"/>
      <c r="K205" s="1385"/>
      <c r="L205" s="1385"/>
      <c r="M205" s="1214"/>
      <c r="N205" s="1214"/>
      <c r="O205" s="1214"/>
      <c r="P205" s="1214"/>
      <c r="Q205" s="1214"/>
      <c r="R205" s="1214"/>
    </row>
    <row r="206" spans="1:19" s="1199" customFormat="1" ht="24" customHeight="1">
      <c r="A206" s="1331"/>
      <c r="B206" s="2174" t="s">
        <v>1369</v>
      </c>
      <c r="C206" s="1202"/>
      <c r="D206" s="1202"/>
      <c r="E206" s="1387"/>
      <c r="F206" s="1384"/>
      <c r="G206" s="2176"/>
      <c r="H206" s="1388"/>
      <c r="I206" s="2177"/>
      <c r="J206" s="1385"/>
      <c r="K206" s="1385"/>
      <c r="L206" s="1385"/>
      <c r="M206" s="1214"/>
      <c r="N206" s="1214"/>
      <c r="O206" s="1214"/>
      <c r="P206" s="1214"/>
      <c r="Q206" s="1214"/>
      <c r="R206" s="1214"/>
    </row>
    <row r="207" spans="1:19" s="1199" customFormat="1" ht="24" customHeight="1">
      <c r="A207" s="1331"/>
      <c r="B207" s="2174"/>
      <c r="C207" s="1202"/>
      <c r="D207" s="1202"/>
      <c r="E207" s="1387"/>
      <c r="F207" s="1407"/>
      <c r="G207" s="2176"/>
      <c r="H207" s="1388"/>
      <c r="I207" s="2177"/>
      <c r="J207" s="1385"/>
      <c r="K207" s="1385"/>
      <c r="L207" s="1385"/>
      <c r="M207" s="1214"/>
      <c r="N207" s="1214"/>
      <c r="O207" s="1214"/>
      <c r="P207" s="1214"/>
      <c r="Q207" s="1214"/>
      <c r="R207" s="1214"/>
      <c r="S207" s="1214"/>
    </row>
    <row r="208" spans="1:19" s="1199" customFormat="1" ht="24" customHeight="1">
      <c r="A208" s="1243"/>
      <c r="B208" s="2257" t="str">
        <f>"รวมราคารายการที่ "&amp;A179</f>
        <v>รวมราคารายการที่ 3.7</v>
      </c>
      <c r="C208" s="2258"/>
      <c r="D208" s="2259"/>
      <c r="E208" s="1244"/>
      <c r="F208" s="1245"/>
      <c r="G208" s="1246"/>
      <c r="H208" s="1247">
        <f>SUM(H179:H205)</f>
        <v>14196</v>
      </c>
      <c r="I208" s="1246"/>
      <c r="J208" s="1247">
        <f t="shared" ref="J208:K208" si="32">SUM(J179:J205)</f>
        <v>4043</v>
      </c>
      <c r="K208" s="1247">
        <f t="shared" si="32"/>
        <v>18239</v>
      </c>
      <c r="L208" s="1245"/>
      <c r="M208" s="1214"/>
      <c r="N208" s="1214"/>
      <c r="O208" s="1214"/>
      <c r="P208" s="1214"/>
      <c r="Q208" s="1214"/>
      <c r="R208" s="1214"/>
    </row>
    <row r="209" spans="1:18" s="1199" customFormat="1" ht="24" customHeight="1">
      <c r="A209" s="1435">
        <v>3.8</v>
      </c>
      <c r="B209" s="1436" t="s">
        <v>1371</v>
      </c>
      <c r="C209" s="1202"/>
      <c r="D209" s="1202"/>
      <c r="E209" s="1387"/>
      <c r="F209" s="1384"/>
      <c r="G209" s="2176"/>
      <c r="H209" s="1388"/>
      <c r="I209" s="2177"/>
      <c r="J209" s="1385"/>
      <c r="K209" s="1385"/>
      <c r="L209" s="1385"/>
      <c r="M209" s="1214"/>
      <c r="N209" s="1214"/>
      <c r="O209" s="1214"/>
      <c r="P209" s="1214"/>
      <c r="Q209" s="1214"/>
      <c r="R209" s="1214"/>
    </row>
    <row r="210" spans="1:18" s="1199" customFormat="1" ht="24" customHeight="1">
      <c r="A210" s="1406" t="s">
        <v>1292</v>
      </c>
      <c r="B210" s="2174" t="s">
        <v>1491</v>
      </c>
      <c r="C210" s="1202"/>
      <c r="D210" s="1202"/>
      <c r="E210" s="1387">
        <v>2</v>
      </c>
      <c r="F210" s="1207" t="s">
        <v>363</v>
      </c>
      <c r="G210" s="2176">
        <f>30000+13500</f>
        <v>43500</v>
      </c>
      <c r="H210" s="1264">
        <f t="shared" ref="H210:H235" si="33">ROUND(E210*G210,)</f>
        <v>87000</v>
      </c>
      <c r="I210" s="2177">
        <f>G210*0.1</f>
        <v>4350</v>
      </c>
      <c r="J210" s="1264">
        <f t="shared" ref="J210:J244" si="34">ROUND(E210*I210,)</f>
        <v>8700</v>
      </c>
      <c r="K210" s="1273">
        <f t="shared" ref="K210:K244" si="35">H210+J210</f>
        <v>95700</v>
      </c>
      <c r="L210" s="1385"/>
      <c r="M210" s="1214"/>
      <c r="N210" s="1214"/>
      <c r="O210" s="1214"/>
      <c r="P210" s="1214"/>
      <c r="Q210" s="1214"/>
      <c r="R210" s="1214"/>
    </row>
    <row r="211" spans="1:18" s="1199" customFormat="1" ht="24" customHeight="1">
      <c r="A211" s="1406" t="s">
        <v>1299</v>
      </c>
      <c r="B211" s="2174" t="s">
        <v>1492</v>
      </c>
      <c r="C211" s="1202"/>
      <c r="D211" s="1202"/>
      <c r="E211" s="1387">
        <v>6</v>
      </c>
      <c r="F211" s="1207" t="s">
        <v>363</v>
      </c>
      <c r="G211" s="2176">
        <v>1850</v>
      </c>
      <c r="H211" s="1264">
        <f t="shared" si="33"/>
        <v>11100</v>
      </c>
      <c r="I211" s="2177">
        <v>250</v>
      </c>
      <c r="J211" s="1264">
        <f t="shared" si="34"/>
        <v>1500</v>
      </c>
      <c r="K211" s="1273">
        <f t="shared" si="35"/>
        <v>12600</v>
      </c>
      <c r="L211" s="1385"/>
      <c r="M211" s="1214"/>
      <c r="N211" s="1214"/>
      <c r="O211" s="1214"/>
      <c r="P211" s="1214"/>
      <c r="Q211" s="1214"/>
      <c r="R211" s="1214"/>
    </row>
    <row r="212" spans="1:18" s="1199" customFormat="1" ht="24" customHeight="1">
      <c r="A212" s="1406" t="s">
        <v>1301</v>
      </c>
      <c r="B212" s="2174" t="s">
        <v>1493</v>
      </c>
      <c r="C212" s="1202"/>
      <c r="D212" s="1202"/>
      <c r="E212" s="1387">
        <v>6</v>
      </c>
      <c r="F212" s="1207" t="s">
        <v>363</v>
      </c>
      <c r="G212" s="2176">
        <v>1850</v>
      </c>
      <c r="H212" s="1264">
        <f t="shared" si="33"/>
        <v>11100</v>
      </c>
      <c r="I212" s="2177">
        <v>250</v>
      </c>
      <c r="J212" s="1264">
        <f t="shared" si="34"/>
        <v>1500</v>
      </c>
      <c r="K212" s="1273">
        <f t="shared" si="35"/>
        <v>12600</v>
      </c>
      <c r="L212" s="1385"/>
      <c r="M212" s="1214"/>
      <c r="N212" s="1214"/>
      <c r="O212" s="1214"/>
      <c r="P212" s="1214"/>
      <c r="Q212" s="1214"/>
      <c r="R212" s="1214"/>
    </row>
    <row r="213" spans="1:18" s="1199" customFormat="1" ht="24" customHeight="1">
      <c r="A213" s="1406" t="s">
        <v>1309</v>
      </c>
      <c r="B213" s="2174" t="s">
        <v>1494</v>
      </c>
      <c r="C213" s="1202"/>
      <c r="D213" s="1202"/>
      <c r="E213" s="1387">
        <v>4</v>
      </c>
      <c r="F213" s="1207" t="s">
        <v>363</v>
      </c>
      <c r="G213" s="2176">
        <v>1850</v>
      </c>
      <c r="H213" s="1264">
        <f t="shared" si="33"/>
        <v>7400</v>
      </c>
      <c r="I213" s="2177">
        <v>250</v>
      </c>
      <c r="J213" s="1264">
        <f t="shared" si="34"/>
        <v>1000</v>
      </c>
      <c r="K213" s="1273">
        <f t="shared" si="35"/>
        <v>8400</v>
      </c>
      <c r="L213" s="1385"/>
      <c r="M213" s="1214"/>
      <c r="N213" s="1214"/>
      <c r="O213" s="1214"/>
      <c r="P213" s="1214"/>
      <c r="Q213" s="1214"/>
      <c r="R213" s="1214"/>
    </row>
    <row r="214" spans="1:18" s="1199" customFormat="1" ht="24" customHeight="1">
      <c r="A214" s="1406" t="s">
        <v>1533</v>
      </c>
      <c r="B214" s="2174" t="s">
        <v>1495</v>
      </c>
      <c r="C214" s="1202"/>
      <c r="D214" s="1202"/>
      <c r="E214" s="1387">
        <v>4</v>
      </c>
      <c r="F214" s="1207" t="s">
        <v>363</v>
      </c>
      <c r="G214" s="2176">
        <v>1850</v>
      </c>
      <c r="H214" s="1264">
        <f t="shared" si="33"/>
        <v>7400</v>
      </c>
      <c r="I214" s="2177">
        <v>250</v>
      </c>
      <c r="J214" s="1264">
        <f t="shared" si="34"/>
        <v>1000</v>
      </c>
      <c r="K214" s="1273">
        <f t="shared" si="35"/>
        <v>8400</v>
      </c>
      <c r="L214" s="1385"/>
      <c r="M214" s="1214"/>
      <c r="N214" s="1214"/>
      <c r="O214" s="1214"/>
      <c r="P214" s="1214"/>
      <c r="Q214" s="1214"/>
      <c r="R214" s="1214"/>
    </row>
    <row r="215" spans="1:18" s="1199" customFormat="1" ht="24" customHeight="1">
      <c r="A215" s="1406" t="s">
        <v>1536</v>
      </c>
      <c r="B215" s="2174" t="s">
        <v>1496</v>
      </c>
      <c r="C215" s="1202"/>
      <c r="D215" s="1202"/>
      <c r="E215" s="1387"/>
      <c r="F215" s="1207" t="s">
        <v>363</v>
      </c>
      <c r="G215" s="2176">
        <v>1850</v>
      </c>
      <c r="H215" s="1264">
        <f t="shared" si="33"/>
        <v>0</v>
      </c>
      <c r="I215" s="2177">
        <v>250</v>
      </c>
      <c r="J215" s="1264">
        <f t="shared" si="34"/>
        <v>0</v>
      </c>
      <c r="K215" s="1273">
        <f t="shared" si="35"/>
        <v>0</v>
      </c>
      <c r="L215" s="1385"/>
      <c r="M215" s="1214"/>
      <c r="N215" s="1214"/>
      <c r="O215" s="1214"/>
      <c r="P215" s="1214"/>
      <c r="Q215" s="1214"/>
      <c r="R215" s="1214"/>
    </row>
    <row r="216" spans="1:18" s="1199" customFormat="1" ht="24" customHeight="1">
      <c r="A216" s="1406" t="s">
        <v>1537</v>
      </c>
      <c r="B216" s="2174" t="s">
        <v>1497</v>
      </c>
      <c r="C216" s="1202"/>
      <c r="D216" s="1202"/>
      <c r="E216" s="1387">
        <v>2</v>
      </c>
      <c r="F216" s="1207" t="s">
        <v>363</v>
      </c>
      <c r="G216" s="2176">
        <v>2750</v>
      </c>
      <c r="H216" s="1264">
        <f t="shared" si="33"/>
        <v>5500</v>
      </c>
      <c r="I216" s="2177">
        <v>250</v>
      </c>
      <c r="J216" s="1264">
        <f t="shared" si="34"/>
        <v>500</v>
      </c>
      <c r="K216" s="1273">
        <f t="shared" si="35"/>
        <v>6000</v>
      </c>
      <c r="L216" s="1385"/>
      <c r="M216" s="1214"/>
      <c r="N216" s="1214"/>
      <c r="O216" s="1214"/>
      <c r="P216" s="1214"/>
      <c r="Q216" s="1214"/>
      <c r="R216" s="1214"/>
    </row>
    <row r="217" spans="1:18" s="1199" customFormat="1" ht="24" customHeight="1">
      <c r="A217" s="1406" t="s">
        <v>1538</v>
      </c>
      <c r="B217" s="2174" t="s">
        <v>1498</v>
      </c>
      <c r="C217" s="1202"/>
      <c r="D217" s="1202"/>
      <c r="E217" s="1387">
        <v>2</v>
      </c>
      <c r="F217" s="1207" t="s">
        <v>363</v>
      </c>
      <c r="G217" s="2176">
        <v>2750</v>
      </c>
      <c r="H217" s="1264">
        <f t="shared" si="33"/>
        <v>5500</v>
      </c>
      <c r="I217" s="2177">
        <v>250</v>
      </c>
      <c r="J217" s="1264">
        <f t="shared" si="34"/>
        <v>500</v>
      </c>
      <c r="K217" s="1273">
        <f t="shared" si="35"/>
        <v>6000</v>
      </c>
      <c r="L217" s="1385"/>
      <c r="M217" s="1214"/>
      <c r="N217" s="1214"/>
      <c r="O217" s="1214"/>
      <c r="P217" s="1214"/>
      <c r="Q217" s="1214"/>
      <c r="R217" s="1214"/>
    </row>
    <row r="218" spans="1:18" s="1199" customFormat="1" ht="24" customHeight="1">
      <c r="A218" s="1406" t="s">
        <v>2900</v>
      </c>
      <c r="B218" s="2174" t="s">
        <v>1500</v>
      </c>
      <c r="C218" s="1202"/>
      <c r="D218" s="1202"/>
      <c r="E218" s="1387">
        <v>2</v>
      </c>
      <c r="F218" s="1207" t="s">
        <v>363</v>
      </c>
      <c r="G218" s="2176">
        <v>2750</v>
      </c>
      <c r="H218" s="1264">
        <f t="shared" si="33"/>
        <v>5500</v>
      </c>
      <c r="I218" s="2177">
        <v>250</v>
      </c>
      <c r="J218" s="1264">
        <f t="shared" si="34"/>
        <v>500</v>
      </c>
      <c r="K218" s="1273">
        <f t="shared" si="35"/>
        <v>6000</v>
      </c>
      <c r="L218" s="1385"/>
      <c r="M218" s="1214"/>
      <c r="N218" s="1214"/>
      <c r="O218" s="1214"/>
      <c r="P218" s="1214"/>
      <c r="Q218" s="1214"/>
      <c r="R218" s="1214"/>
    </row>
    <row r="219" spans="1:18" s="1199" customFormat="1" ht="24" customHeight="1">
      <c r="A219" s="1406" t="s">
        <v>2901</v>
      </c>
      <c r="B219" s="1190" t="s">
        <v>1603</v>
      </c>
      <c r="C219" s="1202"/>
      <c r="D219" s="1202"/>
      <c r="E219" s="1387">
        <v>4</v>
      </c>
      <c r="F219" s="1194" t="s">
        <v>363</v>
      </c>
      <c r="G219" s="2176">
        <v>2750</v>
      </c>
      <c r="H219" s="1264">
        <f t="shared" si="33"/>
        <v>11000</v>
      </c>
      <c r="I219" s="2177">
        <v>250</v>
      </c>
      <c r="J219" s="1264">
        <f t="shared" si="34"/>
        <v>1000</v>
      </c>
      <c r="K219" s="1273">
        <f t="shared" si="35"/>
        <v>12000</v>
      </c>
      <c r="L219" s="1385"/>
      <c r="M219" s="1214"/>
      <c r="N219" s="1214"/>
      <c r="O219" s="1214"/>
      <c r="P219" s="1214"/>
      <c r="Q219" s="1214"/>
    </row>
    <row r="220" spans="1:18" s="1199" customFormat="1" ht="24" customHeight="1">
      <c r="A220" s="1406" t="s">
        <v>2902</v>
      </c>
      <c r="B220" s="2174" t="s">
        <v>1502</v>
      </c>
      <c r="C220" s="1202"/>
      <c r="D220" s="1202"/>
      <c r="E220" s="1387">
        <v>2</v>
      </c>
      <c r="F220" s="1207" t="s">
        <v>363</v>
      </c>
      <c r="G220" s="2176">
        <v>2750</v>
      </c>
      <c r="H220" s="1264">
        <f t="shared" si="33"/>
        <v>5500</v>
      </c>
      <c r="I220" s="2177">
        <v>250</v>
      </c>
      <c r="J220" s="1264">
        <f t="shared" si="34"/>
        <v>500</v>
      </c>
      <c r="K220" s="1273">
        <f t="shared" si="35"/>
        <v>6000</v>
      </c>
      <c r="L220" s="1385"/>
      <c r="M220" s="1214"/>
      <c r="N220" s="1214"/>
      <c r="O220" s="1214"/>
      <c r="P220" s="1214"/>
      <c r="Q220" s="1214"/>
      <c r="R220" s="1214"/>
    </row>
    <row r="221" spans="1:18" s="1199" customFormat="1" ht="24" customHeight="1">
      <c r="A221" s="1406" t="s">
        <v>2903</v>
      </c>
      <c r="B221" s="2174" t="s">
        <v>1504</v>
      </c>
      <c r="C221" s="1202"/>
      <c r="D221" s="1202"/>
      <c r="E221" s="1387">
        <v>2</v>
      </c>
      <c r="F221" s="1207" t="s">
        <v>363</v>
      </c>
      <c r="G221" s="2176">
        <v>2750</v>
      </c>
      <c r="H221" s="1264">
        <f t="shared" si="33"/>
        <v>5500</v>
      </c>
      <c r="I221" s="2177">
        <v>250</v>
      </c>
      <c r="J221" s="1264">
        <f t="shared" si="34"/>
        <v>500</v>
      </c>
      <c r="K221" s="1273">
        <f t="shared" si="35"/>
        <v>6000</v>
      </c>
      <c r="L221" s="1385"/>
      <c r="M221" s="1214"/>
      <c r="N221" s="1214"/>
      <c r="O221" s="1214"/>
      <c r="P221" s="1214"/>
      <c r="Q221" s="1214"/>
      <c r="R221" s="1214"/>
    </row>
    <row r="222" spans="1:18" s="1199" customFormat="1" ht="24" customHeight="1">
      <c r="A222" s="1406" t="s">
        <v>2904</v>
      </c>
      <c r="B222" s="2174" t="s">
        <v>1506</v>
      </c>
      <c r="C222" s="1202"/>
      <c r="D222" s="1202"/>
      <c r="E222" s="1387"/>
      <c r="F222" s="1207" t="s">
        <v>363</v>
      </c>
      <c r="G222" s="2176">
        <v>2750</v>
      </c>
      <c r="H222" s="1264">
        <f t="shared" si="33"/>
        <v>0</v>
      </c>
      <c r="I222" s="2177">
        <v>250</v>
      </c>
      <c r="J222" s="1264">
        <f t="shared" si="34"/>
        <v>0</v>
      </c>
      <c r="K222" s="1273">
        <f t="shared" si="35"/>
        <v>0</v>
      </c>
      <c r="L222" s="1385"/>
      <c r="M222" s="1214"/>
      <c r="N222" s="1214"/>
      <c r="O222" s="1214"/>
      <c r="P222" s="1214"/>
      <c r="Q222" s="1214"/>
      <c r="R222" s="1214"/>
    </row>
    <row r="223" spans="1:18" s="1199" customFormat="1" ht="24" customHeight="1">
      <c r="A223" s="1406" t="s">
        <v>2905</v>
      </c>
      <c r="B223" s="2174" t="s">
        <v>1508</v>
      </c>
      <c r="C223" s="1202"/>
      <c r="D223" s="1202"/>
      <c r="E223" s="1387">
        <v>4</v>
      </c>
      <c r="F223" s="1207" t="s">
        <v>363</v>
      </c>
      <c r="G223" s="2176">
        <v>2250</v>
      </c>
      <c r="H223" s="1264">
        <f t="shared" si="33"/>
        <v>9000</v>
      </c>
      <c r="I223" s="2177">
        <v>250</v>
      </c>
      <c r="J223" s="1264">
        <f t="shared" si="34"/>
        <v>1000</v>
      </c>
      <c r="K223" s="1273">
        <f t="shared" si="35"/>
        <v>10000</v>
      </c>
      <c r="L223" s="1385"/>
      <c r="M223" s="1214"/>
      <c r="N223" s="1214"/>
      <c r="O223" s="1214"/>
      <c r="P223" s="1214"/>
      <c r="Q223" s="1214"/>
      <c r="R223" s="1214"/>
    </row>
    <row r="224" spans="1:18" s="1199" customFormat="1" ht="24" customHeight="1">
      <c r="A224" s="1406" t="s">
        <v>2906</v>
      </c>
      <c r="B224" s="2174" t="s">
        <v>1510</v>
      </c>
      <c r="C224" s="1202"/>
      <c r="D224" s="1202"/>
      <c r="E224" s="1387">
        <v>224</v>
      </c>
      <c r="F224" s="1207" t="s">
        <v>363</v>
      </c>
      <c r="G224" s="2176">
        <f>3300+300</f>
        <v>3600</v>
      </c>
      <c r="H224" s="1264">
        <f t="shared" si="33"/>
        <v>806400</v>
      </c>
      <c r="I224" s="2177">
        <v>200</v>
      </c>
      <c r="J224" s="1264">
        <f t="shared" si="34"/>
        <v>44800</v>
      </c>
      <c r="K224" s="1273">
        <f t="shared" si="35"/>
        <v>851200</v>
      </c>
      <c r="L224" s="1385"/>
      <c r="M224" s="1214"/>
      <c r="N224" s="1214"/>
      <c r="O224" s="1214"/>
      <c r="P224" s="1214"/>
      <c r="Q224" s="1214"/>
      <c r="R224" s="1214"/>
    </row>
    <row r="225" spans="1:18" s="1199" customFormat="1" ht="24" customHeight="1">
      <c r="A225" s="1406" t="s">
        <v>2907</v>
      </c>
      <c r="B225" s="2174" t="s">
        <v>1512</v>
      </c>
      <c r="C225" s="1202"/>
      <c r="D225" s="1202"/>
      <c r="E225" s="1387">
        <v>10</v>
      </c>
      <c r="F225" s="1207" t="s">
        <v>363</v>
      </c>
      <c r="G225" s="2176">
        <v>5000</v>
      </c>
      <c r="H225" s="1264">
        <f t="shared" si="33"/>
        <v>50000</v>
      </c>
      <c r="I225" s="2177">
        <v>500</v>
      </c>
      <c r="J225" s="1264">
        <f t="shared" si="34"/>
        <v>5000</v>
      </c>
      <c r="K225" s="1273">
        <f t="shared" si="35"/>
        <v>55000</v>
      </c>
      <c r="L225" s="1385"/>
      <c r="M225" s="1214"/>
      <c r="N225" s="1214"/>
      <c r="O225" s="1214"/>
      <c r="P225" s="1214"/>
      <c r="Q225" s="1214"/>
      <c r="R225" s="1214"/>
    </row>
    <row r="226" spans="1:18" s="1199" customFormat="1" ht="24" customHeight="1">
      <c r="A226" s="1406" t="s">
        <v>2908</v>
      </c>
      <c r="B226" s="2174" t="s">
        <v>1514</v>
      </c>
      <c r="C226" s="1202"/>
      <c r="D226" s="1202"/>
      <c r="E226" s="1387">
        <v>6</v>
      </c>
      <c r="F226" s="1207" t="s">
        <v>363</v>
      </c>
      <c r="G226" s="2176">
        <v>350</v>
      </c>
      <c r="H226" s="1264">
        <f t="shared" si="33"/>
        <v>2100</v>
      </c>
      <c r="I226" s="2177">
        <v>200</v>
      </c>
      <c r="J226" s="1264">
        <f t="shared" si="34"/>
        <v>1200</v>
      </c>
      <c r="K226" s="1273">
        <f t="shared" si="35"/>
        <v>3300</v>
      </c>
      <c r="L226" s="1385"/>
      <c r="M226" s="1214"/>
      <c r="N226" s="1214"/>
      <c r="O226" s="1214"/>
      <c r="P226" s="1214"/>
      <c r="Q226" s="1214"/>
      <c r="R226" s="1214"/>
    </row>
    <row r="227" spans="1:18" s="1199" customFormat="1" ht="24" customHeight="1">
      <c r="A227" s="1406" t="s">
        <v>2909</v>
      </c>
      <c r="B227" s="2174" t="s">
        <v>1516</v>
      </c>
      <c r="C227" s="1202"/>
      <c r="D227" s="1202"/>
      <c r="E227" s="1387">
        <v>6</v>
      </c>
      <c r="F227" s="1207" t="s">
        <v>363</v>
      </c>
      <c r="G227" s="2176">
        <v>4200</v>
      </c>
      <c r="H227" s="1264">
        <f t="shared" si="33"/>
        <v>25200</v>
      </c>
      <c r="I227" s="2177">
        <v>200</v>
      </c>
      <c r="J227" s="1264">
        <f t="shared" si="34"/>
        <v>1200</v>
      </c>
      <c r="K227" s="1273">
        <f t="shared" si="35"/>
        <v>26400</v>
      </c>
      <c r="L227" s="1385"/>
      <c r="M227" s="1214"/>
      <c r="N227" s="1214"/>
      <c r="O227" s="1214"/>
      <c r="P227" s="1214"/>
      <c r="Q227" s="1214"/>
      <c r="R227" s="1214"/>
    </row>
    <row r="228" spans="1:18" s="1199" customFormat="1" ht="24" customHeight="1">
      <c r="A228" s="1406" t="s">
        <v>2910</v>
      </c>
      <c r="B228" s="2174" t="s">
        <v>1518</v>
      </c>
      <c r="C228" s="1202"/>
      <c r="D228" s="1202"/>
      <c r="E228" s="1387">
        <v>25</v>
      </c>
      <c r="F228" s="1207" t="s">
        <v>363</v>
      </c>
      <c r="G228" s="2176">
        <v>2200</v>
      </c>
      <c r="H228" s="1264">
        <f t="shared" si="33"/>
        <v>55000</v>
      </c>
      <c r="I228" s="2177">
        <v>200</v>
      </c>
      <c r="J228" s="1264">
        <f t="shared" si="34"/>
        <v>5000</v>
      </c>
      <c r="K228" s="1273">
        <f t="shared" si="35"/>
        <v>60000</v>
      </c>
      <c r="L228" s="1385"/>
      <c r="M228" s="1214"/>
      <c r="N228" s="1214"/>
      <c r="O228" s="1214"/>
      <c r="P228" s="1214"/>
      <c r="Q228" s="1214"/>
      <c r="R228" s="1214"/>
    </row>
    <row r="229" spans="1:18" s="1199" customFormat="1" ht="24" customHeight="1">
      <c r="A229" s="1406" t="s">
        <v>2911</v>
      </c>
      <c r="B229" s="2174" t="s">
        <v>1604</v>
      </c>
      <c r="C229" s="1202"/>
      <c r="D229" s="1202"/>
      <c r="E229" s="1387">
        <v>4</v>
      </c>
      <c r="F229" s="1207" t="s">
        <v>363</v>
      </c>
      <c r="G229" s="2176">
        <v>4785</v>
      </c>
      <c r="H229" s="1264">
        <f t="shared" si="33"/>
        <v>19140</v>
      </c>
      <c r="I229" s="2177">
        <v>100</v>
      </c>
      <c r="J229" s="1264">
        <f t="shared" si="34"/>
        <v>400</v>
      </c>
      <c r="K229" s="1273">
        <f t="shared" si="35"/>
        <v>19540</v>
      </c>
      <c r="L229" s="1385"/>
      <c r="M229" s="1214"/>
      <c r="N229" s="1214"/>
      <c r="O229" s="1214"/>
      <c r="P229" s="1214"/>
      <c r="Q229" s="1214"/>
    </row>
    <row r="230" spans="1:18" s="1199" customFormat="1" ht="24" customHeight="1">
      <c r="A230" s="1406" t="s">
        <v>2912</v>
      </c>
      <c r="B230" s="2174" t="s">
        <v>1521</v>
      </c>
      <c r="C230" s="1202"/>
      <c r="D230" s="1202"/>
      <c r="E230" s="1387">
        <v>2</v>
      </c>
      <c r="F230" s="1207" t="s">
        <v>363</v>
      </c>
      <c r="G230" s="2176">
        <v>5000</v>
      </c>
      <c r="H230" s="1264">
        <f t="shared" si="33"/>
        <v>10000</v>
      </c>
      <c r="I230" s="2177">
        <v>500</v>
      </c>
      <c r="J230" s="1264">
        <f t="shared" si="34"/>
        <v>1000</v>
      </c>
      <c r="K230" s="1273">
        <f t="shared" si="35"/>
        <v>11000</v>
      </c>
      <c r="L230" s="1385"/>
      <c r="M230" s="1214"/>
      <c r="N230" s="1214"/>
      <c r="O230" s="1214"/>
      <c r="P230" s="1214"/>
      <c r="Q230" s="1214"/>
      <c r="R230" s="1214"/>
    </row>
    <row r="231" spans="1:18" s="1199" customFormat="1" ht="24" customHeight="1">
      <c r="A231" s="1406" t="s">
        <v>2913</v>
      </c>
      <c r="B231" s="2174" t="s">
        <v>1312</v>
      </c>
      <c r="C231" s="1202"/>
      <c r="D231" s="1202"/>
      <c r="E231" s="1387"/>
      <c r="F231" s="1384"/>
      <c r="G231" s="2176"/>
      <c r="H231" s="1264">
        <f t="shared" si="33"/>
        <v>0</v>
      </c>
      <c r="I231" s="2177"/>
      <c r="J231" s="1264">
        <f t="shared" si="34"/>
        <v>0</v>
      </c>
      <c r="K231" s="1273">
        <f t="shared" si="35"/>
        <v>0</v>
      </c>
      <c r="L231" s="1385"/>
      <c r="M231" s="1214"/>
      <c r="N231" s="1214"/>
      <c r="O231" s="1214"/>
      <c r="P231" s="1214"/>
      <c r="Q231" s="1214"/>
      <c r="R231" s="1214"/>
    </row>
    <row r="232" spans="1:18" s="1199" customFormat="1" ht="24" customHeight="1">
      <c r="A232" s="1331"/>
      <c r="B232" s="2174" t="s">
        <v>1523</v>
      </c>
      <c r="C232" s="1202"/>
      <c r="D232" s="1202"/>
      <c r="E232" s="1404">
        <v>1680</v>
      </c>
      <c r="F232" s="1358" t="s">
        <v>226</v>
      </c>
      <c r="G232" s="2176">
        <v>82</v>
      </c>
      <c r="H232" s="1264">
        <f t="shared" si="33"/>
        <v>137760</v>
      </c>
      <c r="I232" s="2177">
        <v>12</v>
      </c>
      <c r="J232" s="1264">
        <f t="shared" si="34"/>
        <v>20160</v>
      </c>
      <c r="K232" s="1273">
        <f t="shared" si="35"/>
        <v>157920</v>
      </c>
      <c r="L232" s="1385"/>
      <c r="M232" s="1214"/>
      <c r="N232" s="1214"/>
      <c r="O232" s="1214"/>
      <c r="P232" s="1214"/>
      <c r="Q232" s="1214"/>
      <c r="R232" s="1214"/>
    </row>
    <row r="233" spans="1:18" s="1199" customFormat="1" ht="24" customHeight="1">
      <c r="A233" s="1331"/>
      <c r="B233" s="2174" t="s">
        <v>2553</v>
      </c>
      <c r="C233" s="1202"/>
      <c r="D233" s="1202"/>
      <c r="E233" s="1404">
        <v>2400</v>
      </c>
      <c r="F233" s="1358" t="s">
        <v>226</v>
      </c>
      <c r="G233" s="2176">
        <v>6</v>
      </c>
      <c r="H233" s="1264">
        <f t="shared" si="33"/>
        <v>14400</v>
      </c>
      <c r="I233" s="2177">
        <v>6</v>
      </c>
      <c r="J233" s="1264">
        <f t="shared" si="34"/>
        <v>14400</v>
      </c>
      <c r="K233" s="1273">
        <f t="shared" si="35"/>
        <v>28800</v>
      </c>
      <c r="L233" s="1385"/>
      <c r="M233" s="1214"/>
      <c r="N233" s="1214"/>
      <c r="O233" s="1214"/>
      <c r="P233" s="1214"/>
      <c r="Q233" s="1214"/>
      <c r="R233" s="1214"/>
    </row>
    <row r="234" spans="1:18" s="1199" customFormat="1" ht="24" customHeight="1">
      <c r="A234" s="1331"/>
      <c r="B234" s="2174" t="s">
        <v>1524</v>
      </c>
      <c r="C234" s="1202"/>
      <c r="D234" s="1202"/>
      <c r="E234" s="1404">
        <v>1780</v>
      </c>
      <c r="F234" s="1358" t="s">
        <v>226</v>
      </c>
      <c r="G234" s="2176">
        <v>18</v>
      </c>
      <c r="H234" s="1264">
        <f t="shared" si="33"/>
        <v>32040</v>
      </c>
      <c r="I234" s="2177">
        <v>8</v>
      </c>
      <c r="J234" s="1264">
        <f t="shared" si="34"/>
        <v>14240</v>
      </c>
      <c r="K234" s="1273">
        <f t="shared" si="35"/>
        <v>46280</v>
      </c>
      <c r="L234" s="1385"/>
      <c r="M234" s="1214"/>
      <c r="N234" s="1214"/>
      <c r="O234" s="1214"/>
      <c r="P234" s="1214"/>
      <c r="Q234" s="1214"/>
      <c r="R234" s="1214"/>
    </row>
    <row r="235" spans="1:18" s="1199" customFormat="1" ht="24" customHeight="1">
      <c r="A235" s="1331"/>
      <c r="B235" s="2174" t="s">
        <v>1525</v>
      </c>
      <c r="C235" s="1202"/>
      <c r="D235" s="1202"/>
      <c r="E235" s="1387">
        <v>1</v>
      </c>
      <c r="F235" s="1384" t="s">
        <v>1104</v>
      </c>
      <c r="G235" s="2176">
        <f>ROUND(SUM(H232:H234)*5%,)</f>
        <v>9210</v>
      </c>
      <c r="H235" s="1264">
        <f t="shared" si="33"/>
        <v>9210</v>
      </c>
      <c r="I235" s="1265">
        <f>ROUND(G235*0.3,)</f>
        <v>2763</v>
      </c>
      <c r="J235" s="1264">
        <f t="shared" si="34"/>
        <v>2763</v>
      </c>
      <c r="K235" s="1273">
        <f t="shared" si="35"/>
        <v>11973</v>
      </c>
      <c r="L235" s="1385"/>
      <c r="M235" s="1214"/>
      <c r="N235" s="1214"/>
      <c r="O235" s="1214"/>
      <c r="P235" s="1214"/>
      <c r="Q235" s="1214"/>
      <c r="R235" s="1214"/>
    </row>
    <row r="236" spans="1:18" s="1199" customFormat="1" ht="24" customHeight="1">
      <c r="A236" s="1406" t="s">
        <v>2914</v>
      </c>
      <c r="B236" s="2174" t="s">
        <v>1526</v>
      </c>
      <c r="C236" s="1202"/>
      <c r="D236" s="1202"/>
      <c r="E236" s="1387"/>
      <c r="F236" s="1384"/>
      <c r="G236" s="2176"/>
      <c r="H236" s="1264">
        <f>ROUND(G236*E236,)</f>
        <v>0</v>
      </c>
      <c r="I236" s="2177"/>
      <c r="J236" s="1264">
        <f t="shared" si="34"/>
        <v>0</v>
      </c>
      <c r="K236" s="1273">
        <f t="shared" si="35"/>
        <v>0</v>
      </c>
      <c r="L236" s="1385"/>
      <c r="M236" s="1214"/>
      <c r="N236" s="1214"/>
      <c r="O236" s="1214"/>
      <c r="P236" s="1214"/>
    </row>
    <row r="237" spans="1:18" s="1199" customFormat="1" ht="24" customHeight="1">
      <c r="A237" s="1331"/>
      <c r="B237" s="2174" t="s">
        <v>1350</v>
      </c>
      <c r="C237" s="1202"/>
      <c r="D237" s="1202"/>
      <c r="E237" s="1387">
        <v>1200</v>
      </c>
      <c r="F237" s="1358" t="s">
        <v>226</v>
      </c>
      <c r="G237" s="2176">
        <v>27</v>
      </c>
      <c r="H237" s="1264">
        <f t="shared" ref="H237" si="36">ROUND(E237*G237,)</f>
        <v>32400</v>
      </c>
      <c r="I237" s="2177">
        <v>22</v>
      </c>
      <c r="J237" s="1264">
        <f t="shared" si="34"/>
        <v>26400</v>
      </c>
      <c r="K237" s="1802">
        <f t="shared" si="35"/>
        <v>58800</v>
      </c>
      <c r="L237" s="2001" t="s">
        <v>2667</v>
      </c>
      <c r="M237" s="1214"/>
      <c r="N237" s="1199">
        <v>79.8</v>
      </c>
      <c r="O237" s="1199">
        <f>ROUND(N237/3,)</f>
        <v>27</v>
      </c>
      <c r="P237" s="1214"/>
    </row>
    <row r="238" spans="1:18" s="1199" customFormat="1" ht="24" customHeight="1">
      <c r="A238" s="1331"/>
      <c r="B238" s="2174" t="s">
        <v>1384</v>
      </c>
      <c r="C238" s="1202"/>
      <c r="D238" s="1202"/>
      <c r="E238" s="1387">
        <v>1</v>
      </c>
      <c r="F238" s="1407" t="s">
        <v>1104</v>
      </c>
      <c r="G238" s="2176">
        <f>SUM(H237:H237)*15%</f>
        <v>4860</v>
      </c>
      <c r="H238" s="1264">
        <f>ROUND(G238*E238,)</f>
        <v>4860</v>
      </c>
      <c r="I238" s="2177">
        <f>G238*0.3</f>
        <v>1458</v>
      </c>
      <c r="J238" s="1264">
        <f t="shared" si="34"/>
        <v>1458</v>
      </c>
      <c r="K238" s="1273">
        <f t="shared" si="35"/>
        <v>6318</v>
      </c>
      <c r="L238" s="1385"/>
      <c r="M238" s="1214"/>
      <c r="N238" s="1214"/>
      <c r="O238" s="1214"/>
      <c r="P238" s="1214"/>
    </row>
    <row r="239" spans="1:18" s="1199" customFormat="1" ht="24" customHeight="1">
      <c r="A239" s="1406" t="s">
        <v>2915</v>
      </c>
      <c r="B239" s="2174" t="s">
        <v>1110</v>
      </c>
      <c r="C239" s="1202"/>
      <c r="D239" s="1202"/>
      <c r="E239" s="1387"/>
      <c r="F239" s="1384"/>
      <c r="G239" s="2176"/>
      <c r="H239" s="1264">
        <f t="shared" ref="H239:H244" si="37">ROUND(E239*G239,)</f>
        <v>0</v>
      </c>
      <c r="I239" s="2177"/>
      <c r="J239" s="1264">
        <f t="shared" si="34"/>
        <v>0</v>
      </c>
      <c r="K239" s="1273">
        <f t="shared" si="35"/>
        <v>0</v>
      </c>
      <c r="L239" s="1385"/>
      <c r="M239" s="1214"/>
      <c r="N239" s="1214"/>
      <c r="O239" s="1214"/>
      <c r="P239" s="1214"/>
    </row>
    <row r="240" spans="1:18" s="1199" customFormat="1" ht="24" customHeight="1">
      <c r="A240" s="1331"/>
      <c r="B240" s="2174" t="s">
        <v>1350</v>
      </c>
      <c r="C240" s="1202"/>
      <c r="D240" s="1202"/>
      <c r="E240" s="1387"/>
      <c r="F240" s="1358" t="s">
        <v>226</v>
      </c>
      <c r="G240" s="2176">
        <v>56</v>
      </c>
      <c r="H240" s="1264">
        <f t="shared" si="37"/>
        <v>0</v>
      </c>
      <c r="I240" s="2177">
        <v>26</v>
      </c>
      <c r="J240" s="1264">
        <f t="shared" si="34"/>
        <v>0</v>
      </c>
      <c r="K240" s="1273">
        <f t="shared" si="35"/>
        <v>0</v>
      </c>
      <c r="L240" s="2001" t="s">
        <v>2667</v>
      </c>
      <c r="M240" s="1214"/>
      <c r="N240" s="1199">
        <v>169.2</v>
      </c>
      <c r="O240" s="1199">
        <f>ROUND(N240/3,)</f>
        <v>56</v>
      </c>
      <c r="P240" s="1214"/>
    </row>
    <row r="241" spans="1:19" s="1199" customFormat="1" ht="24" customHeight="1">
      <c r="A241" s="1331"/>
      <c r="B241" s="2174" t="s">
        <v>1448</v>
      </c>
      <c r="C241" s="1202"/>
      <c r="D241" s="1202"/>
      <c r="E241" s="1404">
        <v>3460</v>
      </c>
      <c r="F241" s="1358" t="s">
        <v>226</v>
      </c>
      <c r="G241" s="2176">
        <v>75</v>
      </c>
      <c r="H241" s="1264">
        <f t="shared" si="37"/>
        <v>259500</v>
      </c>
      <c r="I241" s="2177">
        <v>29</v>
      </c>
      <c r="J241" s="1264">
        <f t="shared" si="34"/>
        <v>100340</v>
      </c>
      <c r="K241" s="1273">
        <f>H241+J241</f>
        <v>359840</v>
      </c>
      <c r="L241" s="2001" t="s">
        <v>2667</v>
      </c>
      <c r="N241" s="1199">
        <v>225</v>
      </c>
      <c r="O241" s="1199">
        <f>ROUND(N241/3,)</f>
        <v>75</v>
      </c>
      <c r="P241" s="1214"/>
    </row>
    <row r="242" spans="1:19" s="1199" customFormat="1" ht="24" customHeight="1">
      <c r="A242" s="1331"/>
      <c r="B242" s="2174" t="s">
        <v>1108</v>
      </c>
      <c r="C242" s="1202"/>
      <c r="D242" s="1202"/>
      <c r="E242" s="1387">
        <v>1</v>
      </c>
      <c r="F242" s="1384" t="s">
        <v>1104</v>
      </c>
      <c r="G242" s="2176">
        <f>ROUND(SUM(H240:H241)*15%,)</f>
        <v>38925</v>
      </c>
      <c r="H242" s="1264">
        <f t="shared" si="37"/>
        <v>38925</v>
      </c>
      <c r="I242" s="1265">
        <f>ROUND(G242*0.3,)</f>
        <v>11678</v>
      </c>
      <c r="J242" s="1264">
        <f t="shared" si="34"/>
        <v>11678</v>
      </c>
      <c r="K242" s="1273">
        <f t="shared" si="35"/>
        <v>50603</v>
      </c>
      <c r="L242" s="1385"/>
      <c r="M242" s="1214"/>
      <c r="N242" s="1214"/>
      <c r="O242" s="1214"/>
      <c r="P242" s="1214"/>
    </row>
    <row r="243" spans="1:19" s="1199" customFormat="1" ht="24" customHeight="1">
      <c r="A243" s="1406" t="s">
        <v>2916</v>
      </c>
      <c r="B243" s="2174" t="s">
        <v>1449</v>
      </c>
      <c r="C243" s="1202"/>
      <c r="D243" s="1202"/>
      <c r="E243" s="1387"/>
      <c r="F243" s="1384"/>
      <c r="G243" s="2176"/>
      <c r="H243" s="1264">
        <f t="shared" si="37"/>
        <v>0</v>
      </c>
      <c r="I243" s="2177"/>
      <c r="J243" s="1264">
        <f t="shared" si="34"/>
        <v>0</v>
      </c>
      <c r="K243" s="1273">
        <f t="shared" si="35"/>
        <v>0</v>
      </c>
      <c r="L243" s="1385"/>
      <c r="M243" s="1214"/>
      <c r="N243" s="1214"/>
      <c r="O243" s="1214"/>
      <c r="P243" s="1214"/>
    </row>
    <row r="244" spans="1:19" s="1199" customFormat="1" ht="24" customHeight="1">
      <c r="A244" s="1331"/>
      <c r="B244" s="2174" t="s">
        <v>1350</v>
      </c>
      <c r="C244" s="1202"/>
      <c r="D244" s="1202"/>
      <c r="E244" s="1387">
        <v>224</v>
      </c>
      <c r="F244" s="1358" t="s">
        <v>226</v>
      </c>
      <c r="G244" s="2176">
        <v>14</v>
      </c>
      <c r="H244" s="1264">
        <f t="shared" si="37"/>
        <v>3136</v>
      </c>
      <c r="I244" s="2177">
        <v>11</v>
      </c>
      <c r="J244" s="1264">
        <f t="shared" si="34"/>
        <v>2464</v>
      </c>
      <c r="K244" s="1273">
        <f t="shared" si="35"/>
        <v>5600</v>
      </c>
      <c r="L244" s="1385"/>
      <c r="M244" s="1214"/>
      <c r="N244" s="1214"/>
      <c r="O244" s="1214"/>
      <c r="P244" s="1214"/>
    </row>
    <row r="245" spans="1:19" s="1199" customFormat="1" ht="24" customHeight="1">
      <c r="A245" s="1331"/>
      <c r="B245" s="2174" t="s">
        <v>1117</v>
      </c>
      <c r="C245" s="1202"/>
      <c r="D245" s="1202"/>
      <c r="E245" s="1387"/>
      <c r="F245" s="1384"/>
      <c r="G245" s="2176"/>
      <c r="H245" s="1388"/>
      <c r="I245" s="2177"/>
      <c r="J245" s="1385"/>
      <c r="K245" s="1385"/>
      <c r="L245" s="1385"/>
      <c r="M245" s="1214"/>
      <c r="N245" s="1214"/>
      <c r="O245" s="1214"/>
      <c r="P245" s="1214"/>
      <c r="Q245" s="1214"/>
      <c r="R245" s="1214"/>
    </row>
    <row r="246" spans="1:19" s="1199" customFormat="1" ht="24" customHeight="1">
      <c r="A246" s="1331"/>
      <c r="B246" s="2174" t="s">
        <v>1369</v>
      </c>
      <c r="C246" s="1202"/>
      <c r="D246" s="1202"/>
      <c r="E246" s="1387"/>
      <c r="F246" s="1384"/>
      <c r="G246" s="2176"/>
      <c r="H246" s="1388"/>
      <c r="I246" s="2177"/>
      <c r="J246" s="1385"/>
      <c r="K246" s="1385"/>
      <c r="L246" s="1385"/>
      <c r="M246" s="1214"/>
      <c r="N246" s="1214"/>
      <c r="O246" s="1214"/>
      <c r="P246" s="1214"/>
      <c r="Q246" s="1214"/>
      <c r="R246" s="1214"/>
    </row>
    <row r="247" spans="1:19" s="1199" customFormat="1" ht="24" customHeight="1">
      <c r="A247" s="1331"/>
      <c r="B247" s="2174" t="s">
        <v>1369</v>
      </c>
      <c r="C247" s="1202"/>
      <c r="D247" s="1202"/>
      <c r="E247" s="1387"/>
      <c r="F247" s="1384"/>
      <c r="G247" s="2176"/>
      <c r="H247" s="1388"/>
      <c r="I247" s="2177"/>
      <c r="J247" s="1385"/>
      <c r="K247" s="1385"/>
      <c r="L247" s="1385"/>
      <c r="M247" s="1214"/>
      <c r="N247" s="1214"/>
      <c r="O247" s="1214"/>
      <c r="P247" s="1214"/>
      <c r="Q247" s="1214"/>
      <c r="R247" s="1214"/>
    </row>
    <row r="248" spans="1:19" s="1199" customFormat="1" ht="24" customHeight="1">
      <c r="A248" s="1331"/>
      <c r="B248" s="2174"/>
      <c r="C248" s="1202"/>
      <c r="D248" s="1202"/>
      <c r="E248" s="1387"/>
      <c r="F248" s="1407"/>
      <c r="G248" s="2176"/>
      <c r="H248" s="1388"/>
      <c r="I248" s="2177"/>
      <c r="J248" s="1385"/>
      <c r="K248" s="1385"/>
      <c r="L248" s="1385"/>
      <c r="M248" s="1214"/>
      <c r="N248" s="1214"/>
      <c r="O248" s="1214"/>
      <c r="P248" s="1214"/>
      <c r="Q248" s="1214"/>
      <c r="R248" s="1214"/>
    </row>
    <row r="249" spans="1:19" s="1199" customFormat="1" ht="24" customHeight="1">
      <c r="A249" s="1331"/>
      <c r="B249" s="2174"/>
      <c r="C249" s="1202"/>
      <c r="D249" s="1202"/>
      <c r="E249" s="1387"/>
      <c r="F249" s="1407"/>
      <c r="G249" s="2176"/>
      <c r="H249" s="1388"/>
      <c r="I249" s="2177"/>
      <c r="J249" s="1385"/>
      <c r="K249" s="1385"/>
      <c r="L249" s="1385"/>
      <c r="M249" s="1214"/>
      <c r="N249" s="1214"/>
      <c r="O249" s="1214"/>
      <c r="P249" s="1214"/>
      <c r="Q249" s="1214"/>
      <c r="R249" s="1214"/>
      <c r="S249" s="1214"/>
    </row>
    <row r="250" spans="1:19" s="1199" customFormat="1" ht="24" customHeight="1">
      <c r="A250" s="1243"/>
      <c r="B250" s="2257" t="str">
        <f>"รวมราคารายการที่ "&amp;A209</f>
        <v>รวมราคารายการที่ 3.8</v>
      </c>
      <c r="C250" s="2258"/>
      <c r="D250" s="2259"/>
      <c r="E250" s="1244"/>
      <c r="F250" s="1245"/>
      <c r="G250" s="1246"/>
      <c r="H250" s="1247">
        <f>SUM(H210:H247)</f>
        <v>1671571</v>
      </c>
      <c r="I250" s="1246"/>
      <c r="J250" s="1247">
        <f>SUM(J210:J247)</f>
        <v>270703</v>
      </c>
      <c r="K250" s="1247">
        <f>SUM(K210:K247)</f>
        <v>1942274</v>
      </c>
      <c r="L250" s="1245"/>
      <c r="M250" s="1214"/>
      <c r="N250" s="1214"/>
      <c r="O250" s="1214"/>
      <c r="P250" s="1214"/>
      <c r="Q250" s="1214"/>
      <c r="R250" s="1214"/>
    </row>
    <row r="251" spans="1:19" s="1199" customFormat="1" ht="24" customHeight="1">
      <c r="A251" s="1435" t="s">
        <v>1311</v>
      </c>
      <c r="B251" s="1436" t="s">
        <v>1404</v>
      </c>
      <c r="C251" s="1202"/>
      <c r="D251" s="1202"/>
      <c r="E251" s="1387"/>
      <c r="F251" s="1407"/>
      <c r="G251" s="2176"/>
      <c r="H251" s="1388"/>
      <c r="I251" s="2177"/>
      <c r="J251" s="1385"/>
      <c r="K251" s="1385"/>
      <c r="L251" s="1385"/>
      <c r="M251" s="1214"/>
      <c r="N251" s="1214"/>
      <c r="O251" s="1214"/>
      <c r="P251" s="1214"/>
      <c r="Q251" s="1214"/>
      <c r="R251" s="1214"/>
    </row>
    <row r="252" spans="1:19" s="1199" customFormat="1" ht="24" customHeight="1">
      <c r="A252" s="1406" t="s">
        <v>1313</v>
      </c>
      <c r="B252" s="2174" t="s">
        <v>1529</v>
      </c>
      <c r="C252" s="1202"/>
      <c r="D252" s="1202"/>
      <c r="E252" s="1387">
        <v>24</v>
      </c>
      <c r="F252" s="1207" t="s">
        <v>363</v>
      </c>
      <c r="G252" s="2176">
        <v>900</v>
      </c>
      <c r="H252" s="1264">
        <f t="shared" ref="H252:H257" si="38">ROUND(G252*E252,)</f>
        <v>21600</v>
      </c>
      <c r="I252" s="2177">
        <v>140</v>
      </c>
      <c r="J252" s="1264">
        <f t="shared" ref="J252:J263" si="39">ROUND(E252*I252,)</f>
        <v>3360</v>
      </c>
      <c r="K252" s="1273">
        <f t="shared" ref="K252:K263" si="40">H252+J252</f>
        <v>24960</v>
      </c>
      <c r="L252" s="1385"/>
      <c r="M252" s="1214"/>
      <c r="N252" s="1214"/>
      <c r="O252" s="1214"/>
      <c r="P252" s="1214"/>
      <c r="Q252" s="1214"/>
      <c r="R252" s="1214"/>
    </row>
    <row r="253" spans="1:19" s="1199" customFormat="1" ht="24" customHeight="1">
      <c r="A253" s="1406" t="s">
        <v>1547</v>
      </c>
      <c r="B253" s="2174" t="s">
        <v>1531</v>
      </c>
      <c r="C253" s="1202"/>
      <c r="D253" s="1202"/>
      <c r="E253" s="1387">
        <v>2</v>
      </c>
      <c r="F253" s="1207" t="s">
        <v>363</v>
      </c>
      <c r="G253" s="2176">
        <v>3800</v>
      </c>
      <c r="H253" s="1264">
        <f t="shared" si="38"/>
        <v>7600</v>
      </c>
      <c r="I253" s="2177">
        <v>200</v>
      </c>
      <c r="J253" s="1264">
        <f t="shared" si="39"/>
        <v>400</v>
      </c>
      <c r="K253" s="1273">
        <f t="shared" si="40"/>
        <v>8000</v>
      </c>
      <c r="L253" s="1385"/>
      <c r="M253" s="1214"/>
      <c r="N253" s="1214"/>
      <c r="O253" s="1214"/>
      <c r="P253" s="1214"/>
      <c r="Q253" s="1214"/>
      <c r="R253" s="1214"/>
    </row>
    <row r="254" spans="1:19" s="1199" customFormat="1" ht="24" customHeight="1">
      <c r="A254" s="1406" t="s">
        <v>1549</v>
      </c>
      <c r="B254" s="2174" t="s">
        <v>1532</v>
      </c>
      <c r="C254" s="1202"/>
      <c r="D254" s="1202"/>
      <c r="E254" s="1387">
        <v>2</v>
      </c>
      <c r="F254" s="1207" t="s">
        <v>363</v>
      </c>
      <c r="G254" s="2176">
        <v>5000</v>
      </c>
      <c r="H254" s="1264">
        <f t="shared" si="38"/>
        <v>10000</v>
      </c>
      <c r="I254" s="2177">
        <f>G254*0.1</f>
        <v>500</v>
      </c>
      <c r="J254" s="1264">
        <f t="shared" si="39"/>
        <v>1000</v>
      </c>
      <c r="K254" s="1273">
        <f t="shared" si="40"/>
        <v>11000</v>
      </c>
      <c r="L254" s="1385"/>
      <c r="M254" s="1214"/>
      <c r="N254" s="1214"/>
      <c r="O254" s="1214"/>
      <c r="P254" s="1214"/>
      <c r="Q254" s="1214"/>
      <c r="R254" s="1214"/>
    </row>
    <row r="255" spans="1:19" s="1199" customFormat="1" ht="24" customHeight="1">
      <c r="A255" s="1406" t="s">
        <v>1631</v>
      </c>
      <c r="B255" s="2174" t="s">
        <v>1312</v>
      </c>
      <c r="C255" s="1202"/>
      <c r="D255" s="1202"/>
      <c r="E255" s="1387"/>
      <c r="F255" s="1384"/>
      <c r="G255" s="2176"/>
      <c r="H255" s="1264">
        <f t="shared" si="38"/>
        <v>0</v>
      </c>
      <c r="I255" s="2177"/>
      <c r="J255" s="1264">
        <f t="shared" si="39"/>
        <v>0</v>
      </c>
      <c r="K255" s="1273">
        <f t="shared" si="40"/>
        <v>0</v>
      </c>
      <c r="L255" s="1385"/>
      <c r="M255" s="1214"/>
      <c r="N255" s="1214"/>
      <c r="O255" s="1214"/>
      <c r="P255" s="1214"/>
      <c r="Q255" s="1214"/>
      <c r="R255" s="1214"/>
    </row>
    <row r="256" spans="1:19" s="1199" customFormat="1" ht="24" customHeight="1">
      <c r="A256" s="1331"/>
      <c r="B256" s="2174" t="s">
        <v>1534</v>
      </c>
      <c r="C256" s="1202"/>
      <c r="D256" s="1202"/>
      <c r="E256" s="1387">
        <v>827.99999999999989</v>
      </c>
      <c r="F256" s="1358" t="s">
        <v>226</v>
      </c>
      <c r="G256" s="2176">
        <v>32</v>
      </c>
      <c r="H256" s="1264">
        <f t="shared" si="38"/>
        <v>26496</v>
      </c>
      <c r="I256" s="2177">
        <v>11</v>
      </c>
      <c r="J256" s="1264">
        <f t="shared" si="39"/>
        <v>9108</v>
      </c>
      <c r="K256" s="1802">
        <f t="shared" si="40"/>
        <v>35604</v>
      </c>
      <c r="L256" s="2001" t="s">
        <v>2667</v>
      </c>
      <c r="M256" s="1214"/>
      <c r="N256" s="1199">
        <v>3183</v>
      </c>
      <c r="O256" s="1199">
        <f>ROUND(N256/100,)</f>
        <v>32</v>
      </c>
      <c r="P256" s="1214"/>
      <c r="Q256" s="1214"/>
      <c r="R256" s="1214"/>
    </row>
    <row r="257" spans="1:18" s="1199" customFormat="1" ht="24" customHeight="1">
      <c r="A257" s="1331"/>
      <c r="B257" s="2174" t="s">
        <v>1535</v>
      </c>
      <c r="C257" s="1202"/>
      <c r="D257" s="1202"/>
      <c r="E257" s="1387">
        <v>114.99999999999999</v>
      </c>
      <c r="F257" s="1358" t="s">
        <v>226</v>
      </c>
      <c r="G257" s="2176">
        <v>40</v>
      </c>
      <c r="H257" s="1264">
        <f t="shared" si="38"/>
        <v>4600</v>
      </c>
      <c r="I257" s="2177">
        <v>12</v>
      </c>
      <c r="J257" s="1264">
        <f t="shared" si="39"/>
        <v>1380</v>
      </c>
      <c r="K257" s="1802">
        <f t="shared" si="40"/>
        <v>5980</v>
      </c>
      <c r="L257" s="2001" t="s">
        <v>2667</v>
      </c>
      <c r="M257" s="1214"/>
      <c r="N257" s="1199">
        <v>4039</v>
      </c>
      <c r="O257" s="1199">
        <f>ROUND(N257/100,)</f>
        <v>40</v>
      </c>
      <c r="P257" s="1214"/>
      <c r="Q257" s="1214"/>
      <c r="R257" s="1214"/>
    </row>
    <row r="258" spans="1:18" s="1199" customFormat="1" ht="24" customHeight="1">
      <c r="A258" s="1331"/>
      <c r="B258" s="2174" t="s">
        <v>1525</v>
      </c>
      <c r="C258" s="1202"/>
      <c r="D258" s="1202"/>
      <c r="E258" s="1387">
        <v>1</v>
      </c>
      <c r="F258" s="1384" t="s">
        <v>1104</v>
      </c>
      <c r="G258" s="2176">
        <f>ROUND(SUM(H256:H257)*5%,)</f>
        <v>1555</v>
      </c>
      <c r="H258" s="1264">
        <f>ROUND(E258*G258,)</f>
        <v>1555</v>
      </c>
      <c r="I258" s="1265">
        <f>ROUND(G258*0.3,)</f>
        <v>467</v>
      </c>
      <c r="J258" s="1264">
        <f t="shared" si="39"/>
        <v>467</v>
      </c>
      <c r="K258" s="1273">
        <f t="shared" si="40"/>
        <v>2022</v>
      </c>
      <c r="L258" s="1385"/>
      <c r="M258" s="1214"/>
      <c r="N258" s="1214"/>
      <c r="O258" s="1214"/>
      <c r="P258" s="1214"/>
      <c r="Q258" s="1214"/>
      <c r="R258" s="1214"/>
    </row>
    <row r="259" spans="1:18" s="1199" customFormat="1" ht="24" customHeight="1">
      <c r="A259" s="1406" t="s">
        <v>1610</v>
      </c>
      <c r="B259" s="2174" t="s">
        <v>1526</v>
      </c>
      <c r="C259" s="1202"/>
      <c r="D259" s="1202"/>
      <c r="E259" s="1387"/>
      <c r="F259" s="1384"/>
      <c r="G259" s="2176"/>
      <c r="H259" s="1264">
        <f>ROUND(G259*E259,)</f>
        <v>0</v>
      </c>
      <c r="I259" s="2177"/>
      <c r="J259" s="1264">
        <f t="shared" si="39"/>
        <v>0</v>
      </c>
      <c r="K259" s="1273">
        <f t="shared" si="40"/>
        <v>0</v>
      </c>
      <c r="L259" s="1385"/>
      <c r="M259" s="1214"/>
      <c r="N259" s="1214"/>
      <c r="O259" s="1214"/>
      <c r="P259" s="1214"/>
      <c r="Q259" s="1214"/>
      <c r="R259" s="1214"/>
    </row>
    <row r="260" spans="1:18" s="1199" customFormat="1" ht="24" customHeight="1">
      <c r="A260" s="1331"/>
      <c r="B260" s="2174" t="s">
        <v>1350</v>
      </c>
      <c r="C260" s="1202"/>
      <c r="D260" s="1202"/>
      <c r="E260" s="1387">
        <v>942.99999999999989</v>
      </c>
      <c r="F260" s="1358" t="s">
        <v>226</v>
      </c>
      <c r="G260" s="2176">
        <v>27</v>
      </c>
      <c r="H260" s="1264">
        <f t="shared" ref="H260" si="41">ROUND(G260*E260,)</f>
        <v>25461</v>
      </c>
      <c r="I260" s="2177">
        <v>22</v>
      </c>
      <c r="J260" s="1264">
        <f t="shared" si="39"/>
        <v>20746</v>
      </c>
      <c r="K260" s="1801">
        <f t="shared" si="40"/>
        <v>46207</v>
      </c>
      <c r="L260" s="2001" t="s">
        <v>2667</v>
      </c>
      <c r="M260" s="1214"/>
      <c r="N260" s="1199">
        <v>79.8</v>
      </c>
      <c r="O260" s="1199">
        <f>ROUND(N260/3,)</f>
        <v>27</v>
      </c>
      <c r="P260" s="1214"/>
      <c r="Q260" s="1214"/>
      <c r="R260" s="1214"/>
    </row>
    <row r="261" spans="1:18" s="1199" customFormat="1" ht="24" customHeight="1">
      <c r="A261" s="1331"/>
      <c r="B261" s="2174" t="s">
        <v>1384</v>
      </c>
      <c r="C261" s="1202"/>
      <c r="D261" s="1202"/>
      <c r="E261" s="1387">
        <v>1</v>
      </c>
      <c r="F261" s="1407" t="s">
        <v>1104</v>
      </c>
      <c r="G261" s="2176">
        <f>ROUND(SUM(H260:H260)*15%,)</f>
        <v>3819</v>
      </c>
      <c r="H261" s="1264">
        <f>ROUND(G261*E261,)</f>
        <v>3819</v>
      </c>
      <c r="I261" s="1265">
        <f>ROUND(G261*0.3,)</f>
        <v>1146</v>
      </c>
      <c r="J261" s="1264">
        <f t="shared" si="39"/>
        <v>1146</v>
      </c>
      <c r="K261" s="1273">
        <f t="shared" si="40"/>
        <v>4965</v>
      </c>
      <c r="L261" s="1385"/>
      <c r="M261" s="1214"/>
      <c r="N261" s="1214"/>
      <c r="O261" s="1214"/>
      <c r="P261" s="1214"/>
      <c r="Q261" s="1214"/>
      <c r="R261" s="1214"/>
    </row>
    <row r="262" spans="1:18" s="1199" customFormat="1" ht="24" customHeight="1">
      <c r="A262" s="1331" t="s">
        <v>1632</v>
      </c>
      <c r="B262" s="2174" t="s">
        <v>1449</v>
      </c>
      <c r="C262" s="1202"/>
      <c r="D262" s="1202"/>
      <c r="E262" s="1387"/>
      <c r="F262" s="1384"/>
      <c r="G262" s="2176"/>
      <c r="H262" s="1264">
        <f>ROUND(G262*E262,)</f>
        <v>0</v>
      </c>
      <c r="I262" s="2177"/>
      <c r="J262" s="1264">
        <f t="shared" si="39"/>
        <v>0</v>
      </c>
      <c r="K262" s="1273">
        <f t="shared" si="40"/>
        <v>0</v>
      </c>
      <c r="L262" s="1385"/>
      <c r="M262" s="1214"/>
      <c r="N262" s="1214"/>
      <c r="O262" s="1214"/>
      <c r="P262" s="1214"/>
      <c r="Q262" s="1214"/>
      <c r="R262" s="1214"/>
    </row>
    <row r="263" spans="1:18" s="1199" customFormat="1" ht="24" customHeight="1">
      <c r="A263" s="1331"/>
      <c r="B263" s="2174" t="s">
        <v>1350</v>
      </c>
      <c r="C263" s="1202"/>
      <c r="D263" s="1202"/>
      <c r="E263" s="1387">
        <v>24</v>
      </c>
      <c r="F263" s="1358" t="s">
        <v>226</v>
      </c>
      <c r="G263" s="2176">
        <v>14</v>
      </c>
      <c r="H263" s="1264">
        <f>ROUND(G263*E263,)</f>
        <v>336</v>
      </c>
      <c r="I263" s="2177">
        <v>11</v>
      </c>
      <c r="J263" s="1264">
        <f t="shared" si="39"/>
        <v>264</v>
      </c>
      <c r="K263" s="1273">
        <f t="shared" si="40"/>
        <v>600</v>
      </c>
      <c r="L263" s="1385"/>
      <c r="M263" s="1214"/>
      <c r="N263" s="1214"/>
      <c r="O263" s="1214"/>
      <c r="P263" s="1214"/>
      <c r="Q263" s="1214"/>
      <c r="R263" s="1214"/>
    </row>
    <row r="264" spans="1:18" s="1199" customFormat="1" ht="24" customHeight="1">
      <c r="A264" s="1331"/>
      <c r="B264" s="2174" t="s">
        <v>1117</v>
      </c>
      <c r="C264" s="1202"/>
      <c r="D264" s="1202"/>
      <c r="E264" s="1387"/>
      <c r="F264" s="1384"/>
      <c r="G264" s="2176"/>
      <c r="H264" s="1388"/>
      <c r="I264" s="2177"/>
      <c r="J264" s="1385"/>
      <c r="K264" s="1385"/>
      <c r="L264" s="1385"/>
      <c r="M264" s="1214"/>
      <c r="N264" s="1214"/>
      <c r="O264" s="1214"/>
      <c r="P264" s="1214"/>
      <c r="Q264" s="1214"/>
      <c r="R264" s="1214"/>
    </row>
    <row r="265" spans="1:18" s="1199" customFormat="1" ht="24" customHeight="1">
      <c r="A265" s="1331"/>
      <c r="B265" s="2174" t="s">
        <v>1118</v>
      </c>
      <c r="C265" s="1202"/>
      <c r="D265" s="1202"/>
      <c r="E265" s="1387"/>
      <c r="F265" s="1384"/>
      <c r="G265" s="2176"/>
      <c r="H265" s="1388"/>
      <c r="I265" s="2177"/>
      <c r="J265" s="1385"/>
      <c r="K265" s="1385"/>
      <c r="L265" s="1385"/>
      <c r="M265" s="1214"/>
      <c r="N265" s="1214"/>
      <c r="O265" s="1214"/>
      <c r="P265" s="1214"/>
      <c r="Q265" s="1214"/>
      <c r="R265" s="1214"/>
    </row>
    <row r="266" spans="1:18" s="1199" customFormat="1" ht="24" customHeight="1">
      <c r="A266" s="1243"/>
      <c r="B266" s="2257" t="str">
        <f>"รวมราคารายการที่ "&amp;A251</f>
        <v>รวมราคารายการที่ 3.9</v>
      </c>
      <c r="C266" s="2258"/>
      <c r="D266" s="2259"/>
      <c r="E266" s="1244"/>
      <c r="F266" s="1245"/>
      <c r="G266" s="1246"/>
      <c r="H266" s="1247">
        <f>SUM(H252:H265)</f>
        <v>101467</v>
      </c>
      <c r="I266" s="1246"/>
      <c r="J266" s="1247">
        <f>SUM(J252:J265)</f>
        <v>37871</v>
      </c>
      <c r="K266" s="1247">
        <f>SUM(K252:K265)</f>
        <v>139338</v>
      </c>
      <c r="L266" s="1245"/>
      <c r="M266" s="1214"/>
      <c r="N266" s="1214"/>
      <c r="O266" s="1214"/>
      <c r="P266" s="1214"/>
      <c r="Q266" s="1214"/>
      <c r="R266" s="1214"/>
    </row>
    <row r="267" spans="1:18" s="1199" customFormat="1" ht="24" customHeight="1">
      <c r="A267" s="1381" t="s">
        <v>1332</v>
      </c>
      <c r="B267" s="1292" t="s">
        <v>1419</v>
      </c>
      <c r="C267" s="1235"/>
      <c r="D267" s="1235"/>
      <c r="E267" s="1397"/>
      <c r="F267" s="1398"/>
      <c r="G267" s="1399"/>
      <c r="H267" s="1400"/>
      <c r="I267" s="1401"/>
      <c r="J267" s="1402"/>
      <c r="K267" s="1402"/>
      <c r="L267" s="1402"/>
      <c r="M267" s="1214"/>
      <c r="N267" s="1214"/>
      <c r="O267" s="1214"/>
      <c r="P267" s="1214"/>
      <c r="Q267" s="1214"/>
      <c r="R267" s="1214"/>
    </row>
    <row r="268" spans="1:18" s="1199" customFormat="1" ht="24" customHeight="1">
      <c r="A268" s="1331" t="s">
        <v>1334</v>
      </c>
      <c r="B268" s="2174" t="s">
        <v>1539</v>
      </c>
      <c r="C268" s="1202"/>
      <c r="D268" s="1202"/>
      <c r="E268" s="1387"/>
      <c r="F268" s="1384"/>
      <c r="G268" s="2176"/>
      <c r="H268" s="1388"/>
      <c r="I268" s="2177"/>
      <c r="J268" s="1385"/>
      <c r="K268" s="1385"/>
      <c r="L268" s="1385"/>
      <c r="M268" s="1214"/>
      <c r="N268" s="1214"/>
      <c r="O268" s="1214"/>
      <c r="P268" s="1214"/>
      <c r="Q268" s="1214"/>
      <c r="R268" s="1214"/>
    </row>
    <row r="269" spans="1:18" s="1199" customFormat="1" ht="24" customHeight="1">
      <c r="A269" s="1331"/>
      <c r="B269" s="2174" t="s">
        <v>1540</v>
      </c>
      <c r="C269" s="1202"/>
      <c r="D269" s="1202"/>
      <c r="E269" s="1387">
        <v>2</v>
      </c>
      <c r="F269" s="1207" t="s">
        <v>363</v>
      </c>
      <c r="G269" s="2176">
        <v>46645</v>
      </c>
      <c r="H269" s="1388">
        <f t="shared" ref="H269:H274" si="42">ROUND(E269*G269,)</f>
        <v>93290</v>
      </c>
      <c r="I269" s="2177">
        <v>5000</v>
      </c>
      <c r="J269" s="1385">
        <f>ROUND(E269*I269,)</f>
        <v>10000</v>
      </c>
      <c r="K269" s="1385">
        <f t="shared" ref="K269:K274" si="43">H269+J269</f>
        <v>103290</v>
      </c>
      <c r="L269" s="1385"/>
      <c r="M269" s="1214"/>
      <c r="N269" s="1214"/>
      <c r="O269" s="1214"/>
      <c r="P269" s="1214"/>
      <c r="Q269" s="1214"/>
      <c r="R269" s="1214"/>
    </row>
    <row r="270" spans="1:18" s="1199" customFormat="1" ht="24" customHeight="1">
      <c r="A270" s="1331"/>
      <c r="B270" s="2174" t="s">
        <v>1541</v>
      </c>
      <c r="C270" s="1202"/>
      <c r="D270" s="1202"/>
      <c r="E270" s="1387">
        <v>4</v>
      </c>
      <c r="F270" s="1207" t="s">
        <v>363</v>
      </c>
      <c r="G270" s="2176">
        <v>21375</v>
      </c>
      <c r="H270" s="1388">
        <f t="shared" si="42"/>
        <v>85500</v>
      </c>
      <c r="I270" s="2177" t="s">
        <v>1542</v>
      </c>
      <c r="J270" s="1385"/>
      <c r="K270" s="1385">
        <f t="shared" si="43"/>
        <v>85500</v>
      </c>
      <c r="L270" s="1385"/>
      <c r="M270" s="1214"/>
      <c r="N270" s="1214"/>
      <c r="O270" s="1214"/>
      <c r="P270" s="1214"/>
      <c r="Q270" s="1214"/>
      <c r="R270" s="1214"/>
    </row>
    <row r="271" spans="1:18" s="1199" customFormat="1" ht="24" customHeight="1">
      <c r="A271" s="1331"/>
      <c r="B271" s="2174" t="s">
        <v>1543</v>
      </c>
      <c r="C271" s="1202"/>
      <c r="D271" s="1202"/>
      <c r="E271" s="1387">
        <v>4</v>
      </c>
      <c r="F271" s="1207" t="s">
        <v>363</v>
      </c>
      <c r="G271" s="2176">
        <v>9025</v>
      </c>
      <c r="H271" s="1388">
        <f t="shared" si="42"/>
        <v>36100</v>
      </c>
      <c r="I271" s="2177" t="s">
        <v>1542</v>
      </c>
      <c r="J271" s="1385"/>
      <c r="K271" s="1385">
        <f t="shared" si="43"/>
        <v>36100</v>
      </c>
      <c r="L271" s="1385"/>
      <c r="M271" s="1214"/>
      <c r="N271" s="1214"/>
      <c r="O271" s="1214"/>
      <c r="P271" s="1214"/>
      <c r="Q271" s="1214"/>
      <c r="R271" s="1214"/>
    </row>
    <row r="272" spans="1:18" s="1199" customFormat="1" ht="24" customHeight="1">
      <c r="A272" s="1331"/>
      <c r="B272" s="2174" t="s">
        <v>1544</v>
      </c>
      <c r="C272" s="1202"/>
      <c r="D272" s="1202"/>
      <c r="E272" s="1387">
        <v>4</v>
      </c>
      <c r="F272" s="1207" t="s">
        <v>363</v>
      </c>
      <c r="G272" s="2176">
        <v>1995</v>
      </c>
      <c r="H272" s="1388">
        <f t="shared" si="42"/>
        <v>7980</v>
      </c>
      <c r="I272" s="2177" t="s">
        <v>1542</v>
      </c>
      <c r="J272" s="1385"/>
      <c r="K272" s="1385">
        <f t="shared" si="43"/>
        <v>7980</v>
      </c>
      <c r="L272" s="1385"/>
      <c r="M272" s="1214"/>
      <c r="N272" s="1214"/>
      <c r="O272" s="1214"/>
      <c r="P272" s="1214"/>
      <c r="Q272" s="1214"/>
      <c r="R272" s="1214"/>
    </row>
    <row r="273" spans="1:18" s="1199" customFormat="1" ht="24" customHeight="1">
      <c r="A273" s="1331"/>
      <c r="B273" s="2174" t="s">
        <v>1545</v>
      </c>
      <c r="C273" s="1202"/>
      <c r="D273" s="1202"/>
      <c r="E273" s="1387">
        <v>4</v>
      </c>
      <c r="F273" s="1207" t="s">
        <v>363</v>
      </c>
      <c r="G273" s="2176">
        <v>427.5</v>
      </c>
      <c r="H273" s="1388">
        <f t="shared" si="42"/>
        <v>1710</v>
      </c>
      <c r="I273" s="2177" t="s">
        <v>1542</v>
      </c>
      <c r="J273" s="1385"/>
      <c r="K273" s="1385">
        <f t="shared" si="43"/>
        <v>1710</v>
      </c>
      <c r="L273" s="1385"/>
      <c r="M273" s="1214"/>
      <c r="N273" s="1214"/>
      <c r="O273" s="1214"/>
      <c r="P273" s="1214"/>
      <c r="Q273" s="1214"/>
      <c r="R273" s="1214"/>
    </row>
    <row r="274" spans="1:18" s="1199" customFormat="1" ht="24" customHeight="1">
      <c r="A274" s="1331"/>
      <c r="B274" s="2174" t="s">
        <v>1546</v>
      </c>
      <c r="C274" s="1202"/>
      <c r="D274" s="1202"/>
      <c r="E274" s="1404">
        <v>4</v>
      </c>
      <c r="F274" s="1207" t="s">
        <v>363</v>
      </c>
      <c r="G274" s="2176">
        <v>807.5</v>
      </c>
      <c r="H274" s="1388">
        <f t="shared" si="42"/>
        <v>3230</v>
      </c>
      <c r="I274" s="2177" t="s">
        <v>1542</v>
      </c>
      <c r="J274" s="1385"/>
      <c r="K274" s="1385">
        <f t="shared" si="43"/>
        <v>3230</v>
      </c>
      <c r="L274" s="1385"/>
      <c r="M274" s="1214"/>
      <c r="N274" s="1214"/>
      <c r="O274" s="1214"/>
      <c r="P274" s="1214"/>
      <c r="Q274" s="1214"/>
      <c r="R274" s="1214"/>
    </row>
    <row r="275" spans="1:18" s="1199" customFormat="1" ht="24" customHeight="1">
      <c r="A275" s="1406" t="s">
        <v>1556</v>
      </c>
      <c r="B275" s="2174" t="s">
        <v>1312</v>
      </c>
      <c r="C275" s="1202"/>
      <c r="D275" s="1202"/>
      <c r="E275" s="1404"/>
      <c r="F275" s="1384"/>
      <c r="G275" s="2176"/>
      <c r="H275" s="1388"/>
      <c r="I275" s="2177"/>
      <c r="J275" s="1385"/>
      <c r="K275" s="1385"/>
      <c r="L275" s="1385"/>
      <c r="M275" s="1214"/>
      <c r="N275" s="1214"/>
      <c r="O275" s="1214"/>
      <c r="P275" s="1214"/>
      <c r="Q275" s="1214"/>
      <c r="R275" s="1214"/>
    </row>
    <row r="276" spans="1:18" s="1199" customFormat="1" ht="24" customHeight="1">
      <c r="A276" s="1331"/>
      <c r="B276" s="2174" t="s">
        <v>1548</v>
      </c>
      <c r="C276" s="1202"/>
      <c r="D276" s="1202"/>
      <c r="E276" s="1404">
        <v>237.66666666666666</v>
      </c>
      <c r="F276" s="1358" t="s">
        <v>226</v>
      </c>
      <c r="G276" s="2176">
        <v>37</v>
      </c>
      <c r="H276" s="1388">
        <f>ROUND(E276*G276,)</f>
        <v>8794</v>
      </c>
      <c r="I276" s="2177">
        <v>5</v>
      </c>
      <c r="J276" s="1385">
        <f>ROUND(E276*I276,)</f>
        <v>1188</v>
      </c>
      <c r="K276" s="1385">
        <f>H276+J276</f>
        <v>9982</v>
      </c>
      <c r="L276" s="1385"/>
      <c r="M276" s="1214"/>
      <c r="N276" s="1214"/>
      <c r="O276" s="1214"/>
      <c r="P276" s="1214"/>
      <c r="Q276" s="1214"/>
      <c r="R276" s="1214"/>
    </row>
    <row r="277" spans="1:18" s="1199" customFormat="1" ht="24" customHeight="1">
      <c r="A277" s="1331"/>
      <c r="B277" s="2174" t="s">
        <v>1525</v>
      </c>
      <c r="C277" s="1202"/>
      <c r="D277" s="1202"/>
      <c r="E277" s="1404">
        <v>1</v>
      </c>
      <c r="F277" s="1384" t="s">
        <v>1104</v>
      </c>
      <c r="G277" s="2176">
        <f>ROUND(SUM(H276)*5%,)</f>
        <v>440</v>
      </c>
      <c r="H277" s="1264">
        <f>ROUND(E277*G277,)</f>
        <v>440</v>
      </c>
      <c r="I277" s="1265">
        <f>ROUND(G277*0.3,)</f>
        <v>132</v>
      </c>
      <c r="J277" s="1264">
        <f>ROUND(E277*I277,)</f>
        <v>132</v>
      </c>
      <c r="K277" s="1273">
        <f>H277+J277</f>
        <v>572</v>
      </c>
      <c r="L277" s="1385"/>
      <c r="M277" s="1214"/>
      <c r="N277" s="1214"/>
      <c r="O277" s="1214"/>
      <c r="P277" s="1214"/>
      <c r="Q277" s="1214"/>
      <c r="R277" s="1214"/>
    </row>
    <row r="278" spans="1:18" s="1199" customFormat="1" ht="24" customHeight="1">
      <c r="A278" s="1406" t="s">
        <v>1566</v>
      </c>
      <c r="B278" s="2174" t="s">
        <v>1526</v>
      </c>
      <c r="C278" s="1202"/>
      <c r="D278" s="1202"/>
      <c r="E278" s="1404"/>
      <c r="F278" s="1384"/>
      <c r="G278" s="2176"/>
      <c r="H278" s="1388"/>
      <c r="I278" s="2177"/>
      <c r="J278" s="1385"/>
      <c r="K278" s="1385"/>
      <c r="L278" s="1385"/>
      <c r="M278" s="1214"/>
      <c r="N278" s="1214"/>
      <c r="O278" s="1214"/>
      <c r="P278" s="1214"/>
      <c r="Q278" s="1214"/>
      <c r="R278" s="1214"/>
    </row>
    <row r="279" spans="1:18" s="1199" customFormat="1" ht="24" customHeight="1">
      <c r="A279" s="1331"/>
      <c r="B279" s="2174" t="s">
        <v>1350</v>
      </c>
      <c r="C279" s="1202"/>
      <c r="D279" s="1202"/>
      <c r="E279" s="1404">
        <v>237.66666666666666</v>
      </c>
      <c r="F279" s="1358" t="s">
        <v>226</v>
      </c>
      <c r="G279" s="2176">
        <v>27</v>
      </c>
      <c r="H279" s="1264">
        <f t="shared" ref="H279" si="44">ROUND(G279*E279,)</f>
        <v>6417</v>
      </c>
      <c r="I279" s="2177">
        <v>22</v>
      </c>
      <c r="J279" s="1264">
        <f t="shared" ref="J279" si="45">ROUND(E279*I279,)</f>
        <v>5229</v>
      </c>
      <c r="K279" s="1801">
        <f t="shared" ref="K279" si="46">H279+J279</f>
        <v>11646</v>
      </c>
      <c r="L279" s="2001" t="s">
        <v>2667</v>
      </c>
      <c r="M279" s="1214"/>
      <c r="N279" s="1199">
        <v>79.8</v>
      </c>
      <c r="O279" s="1199">
        <f>ROUND(N279/3,)</f>
        <v>27</v>
      </c>
      <c r="P279" s="1214"/>
      <c r="Q279" s="1214"/>
      <c r="R279" s="1214"/>
    </row>
    <row r="280" spans="1:18" s="1199" customFormat="1" ht="24" customHeight="1">
      <c r="A280" s="1331"/>
      <c r="B280" s="2174" t="s">
        <v>1384</v>
      </c>
      <c r="C280" s="1202"/>
      <c r="D280" s="1202"/>
      <c r="E280" s="1404">
        <v>1</v>
      </c>
      <c r="F280" s="1384" t="s">
        <v>1104</v>
      </c>
      <c r="G280" s="2176">
        <f>ROUND(H279*15%,)</f>
        <v>963</v>
      </c>
      <c r="H280" s="1264">
        <f>ROUND(G280*E280,)</f>
        <v>963</v>
      </c>
      <c r="I280" s="1265">
        <f>ROUND(G280*0.3,)</f>
        <v>289</v>
      </c>
      <c r="J280" s="1264">
        <f>ROUND(E280*I280,)</f>
        <v>289</v>
      </c>
      <c r="K280" s="1273">
        <f>H280+J280</f>
        <v>1252</v>
      </c>
      <c r="L280" s="1385"/>
      <c r="M280" s="1214"/>
      <c r="N280" s="1214"/>
      <c r="O280" s="1214"/>
      <c r="P280" s="1214"/>
      <c r="Q280" s="1214"/>
      <c r="R280" s="1214"/>
    </row>
    <row r="281" spans="1:18" s="1199" customFormat="1" ht="24" customHeight="1">
      <c r="A281" s="1331"/>
      <c r="B281" s="2174" t="s">
        <v>1117</v>
      </c>
      <c r="C281" s="1202"/>
      <c r="D281" s="1202"/>
      <c r="E281" s="1387"/>
      <c r="F281" s="1384"/>
      <c r="G281" s="2176"/>
      <c r="H281" s="1388"/>
      <c r="I281" s="2177"/>
      <c r="J281" s="1385"/>
      <c r="K281" s="1385"/>
      <c r="L281" s="1385"/>
      <c r="M281" s="1214"/>
      <c r="N281" s="1214"/>
      <c r="O281" s="1214"/>
      <c r="P281" s="1214"/>
      <c r="Q281" s="1214"/>
      <c r="R281" s="1214"/>
    </row>
    <row r="282" spans="1:18" s="1199" customFormat="1" ht="24" customHeight="1">
      <c r="A282" s="1243"/>
      <c r="B282" s="2257" t="str">
        <f>"รวมราคารายการที่ "&amp;A267</f>
        <v>รวมราคารายการที่ 3.10</v>
      </c>
      <c r="C282" s="2258"/>
      <c r="D282" s="2259"/>
      <c r="E282" s="1244"/>
      <c r="F282" s="1245"/>
      <c r="G282" s="1246"/>
      <c r="H282" s="1247">
        <f>SUM(H268:H281)</f>
        <v>244424</v>
      </c>
      <c r="I282" s="1246"/>
      <c r="J282" s="1247">
        <f>SUM(J268:J281)</f>
        <v>16838</v>
      </c>
      <c r="K282" s="1247">
        <f>SUM(K268:K281)</f>
        <v>261262</v>
      </c>
      <c r="L282" s="1245"/>
    </row>
    <row r="283" spans="1:18" s="1199" customFormat="1" ht="24" customHeight="1">
      <c r="A283" s="1367" t="s">
        <v>1570</v>
      </c>
      <c r="B283" s="1353" t="s">
        <v>1550</v>
      </c>
      <c r="C283" s="1452"/>
      <c r="D283" s="1452"/>
      <c r="E283" s="1453"/>
      <c r="F283" s="1454"/>
      <c r="G283" s="1455"/>
      <c r="H283" s="820"/>
      <c r="I283" s="1456"/>
      <c r="J283" s="1457"/>
      <c r="K283" s="1457"/>
      <c r="L283" s="1457"/>
      <c r="M283" s="1214"/>
      <c r="N283" s="1214"/>
      <c r="O283" s="1214"/>
      <c r="P283" s="1214"/>
    </row>
    <row r="284" spans="1:18" s="1199" customFormat="1" ht="24" customHeight="1">
      <c r="A284" s="1458" t="s">
        <v>1348</v>
      </c>
      <c r="B284" s="1220" t="s">
        <v>1551</v>
      </c>
      <c r="C284" s="1221"/>
      <c r="D284" s="1221"/>
      <c r="E284" s="1459"/>
      <c r="F284" s="1460"/>
      <c r="G284" s="1461"/>
      <c r="H284" s="1462"/>
      <c r="I284" s="1463"/>
      <c r="J284" s="1462"/>
      <c r="K284" s="1464"/>
      <c r="L284" s="1415"/>
      <c r="M284" s="1214"/>
      <c r="N284" s="1214"/>
      <c r="O284" s="1214"/>
      <c r="P284" s="1214"/>
    </row>
    <row r="285" spans="1:18" s="1199" customFormat="1" ht="24" customHeight="1">
      <c r="A285" s="1339"/>
      <c r="B285" s="1220" t="s">
        <v>2944</v>
      </c>
      <c r="C285" s="1221"/>
      <c r="D285" s="1221"/>
      <c r="E285" s="1404">
        <v>1</v>
      </c>
      <c r="F285" s="1223" t="s">
        <v>363</v>
      </c>
      <c r="G285" s="1386">
        <v>92400</v>
      </c>
      <c r="H285" s="1413">
        <f t="shared" ref="H285:H286" si="47">ROUND(E285*G285,)</f>
        <v>92400</v>
      </c>
      <c r="I285" s="1414">
        <f>G285*0.1</f>
        <v>9240</v>
      </c>
      <c r="J285" s="1415">
        <f>ROUND(E285*I285,)</f>
        <v>9240</v>
      </c>
      <c r="K285" s="1415">
        <f t="shared" ref="K285:K286" si="48">H285+J285</f>
        <v>101640</v>
      </c>
      <c r="L285" s="1415"/>
      <c r="M285" s="1214"/>
      <c r="N285" s="1214"/>
      <c r="O285" s="1214"/>
      <c r="P285" s="1214"/>
    </row>
    <row r="286" spans="1:18" s="1199" customFormat="1" ht="24" customHeight="1">
      <c r="A286" s="1339"/>
      <c r="B286" s="1220" t="s">
        <v>2945</v>
      </c>
      <c r="C286" s="1221"/>
      <c r="D286" s="1221"/>
      <c r="E286" s="1404">
        <v>1</v>
      </c>
      <c r="F286" s="1223" t="s">
        <v>363</v>
      </c>
      <c r="G286" s="1386">
        <v>92400</v>
      </c>
      <c r="H286" s="1413">
        <f t="shared" si="47"/>
        <v>92400</v>
      </c>
      <c r="I286" s="1414">
        <f>G286*0.1</f>
        <v>9240</v>
      </c>
      <c r="J286" s="1415">
        <f>ROUND(E286*I286,)</f>
        <v>9240</v>
      </c>
      <c r="K286" s="1415">
        <f t="shared" si="48"/>
        <v>101640</v>
      </c>
      <c r="L286" s="1415"/>
      <c r="M286" s="1214"/>
      <c r="N286" s="1214"/>
      <c r="O286" s="1214"/>
      <c r="P286" s="1214"/>
    </row>
    <row r="287" spans="1:18" s="1199" customFormat="1" ht="24" customHeight="1">
      <c r="A287" s="1458" t="s">
        <v>1349</v>
      </c>
      <c r="B287" s="1220" t="s">
        <v>1557</v>
      </c>
      <c r="C287" s="1221"/>
      <c r="D287" s="1221"/>
      <c r="E287" s="1459"/>
      <c r="F287" s="1460"/>
      <c r="G287" s="1461"/>
      <c r="H287" s="1462"/>
      <c r="I287" s="1463"/>
      <c r="J287" s="1462"/>
      <c r="K287" s="1464"/>
      <c r="L287" s="1415"/>
      <c r="M287" s="1214"/>
      <c r="N287" s="1214"/>
      <c r="O287" s="1214"/>
      <c r="P287" s="1214"/>
    </row>
    <row r="288" spans="1:18" s="1199" customFormat="1" ht="24" customHeight="1">
      <c r="A288" s="1339"/>
      <c r="B288" s="1220" t="s">
        <v>2946</v>
      </c>
      <c r="C288" s="1221"/>
      <c r="D288" s="1221"/>
      <c r="E288" s="1404">
        <v>1</v>
      </c>
      <c r="F288" s="1223" t="s">
        <v>363</v>
      </c>
      <c r="G288" s="1386">
        <v>3500</v>
      </c>
      <c r="H288" s="1413">
        <f t="shared" ref="H288:H289" si="49">ROUND(E288*G288,)</f>
        <v>3500</v>
      </c>
      <c r="I288" s="1414">
        <f t="shared" ref="I288:I289" si="50">G288*0.1</f>
        <v>350</v>
      </c>
      <c r="J288" s="1415">
        <f t="shared" ref="J288:J289" si="51">ROUND(E288*I288,)</f>
        <v>350</v>
      </c>
      <c r="K288" s="1415">
        <f t="shared" ref="K288:K289" si="52">H288+J288</f>
        <v>3850</v>
      </c>
      <c r="L288" s="1415"/>
      <c r="M288" s="1214"/>
      <c r="N288" s="1214"/>
      <c r="O288" s="1214"/>
      <c r="P288" s="1214"/>
    </row>
    <row r="289" spans="1:21" s="1199" customFormat="1" ht="24" customHeight="1">
      <c r="A289" s="1339"/>
      <c r="B289" s="1220" t="s">
        <v>2947</v>
      </c>
      <c r="C289" s="1221"/>
      <c r="D289" s="1221"/>
      <c r="E289" s="1404">
        <v>1</v>
      </c>
      <c r="F289" s="1223" t="s">
        <v>363</v>
      </c>
      <c r="G289" s="1386">
        <v>3500</v>
      </c>
      <c r="H289" s="1413">
        <f t="shared" si="49"/>
        <v>3500</v>
      </c>
      <c r="I289" s="1414">
        <f t="shared" si="50"/>
        <v>350</v>
      </c>
      <c r="J289" s="1415">
        <f t="shared" si="51"/>
        <v>350</v>
      </c>
      <c r="K289" s="1415">
        <f t="shared" si="52"/>
        <v>3850</v>
      </c>
      <c r="L289" s="1415"/>
      <c r="M289" s="1214"/>
      <c r="N289" s="1214"/>
      <c r="O289" s="1214"/>
      <c r="P289" s="1214"/>
    </row>
    <row r="290" spans="1:21" s="1199" customFormat="1" ht="24" customHeight="1">
      <c r="A290" s="1458" t="s">
        <v>1577</v>
      </c>
      <c r="B290" s="1465" t="s">
        <v>1312</v>
      </c>
      <c r="C290" s="1452"/>
      <c r="D290" s="1452"/>
      <c r="E290" s="1453"/>
      <c r="F290" s="1454"/>
      <c r="G290" s="1386"/>
      <c r="H290" s="1413"/>
      <c r="I290" s="1414"/>
      <c r="J290" s="1415"/>
      <c r="K290" s="1415"/>
      <c r="L290" s="1457"/>
      <c r="M290" s="1214"/>
      <c r="N290" s="1214"/>
      <c r="O290" s="1214"/>
      <c r="P290" s="1214"/>
    </row>
    <row r="291" spans="1:21" s="1199" customFormat="1" ht="24" customHeight="1">
      <c r="A291" s="1339"/>
      <c r="B291" s="1220" t="s">
        <v>1567</v>
      </c>
      <c r="C291" s="1221"/>
      <c r="D291" s="1221"/>
      <c r="E291" s="1404">
        <v>200</v>
      </c>
      <c r="F291" s="1262" t="s">
        <v>226</v>
      </c>
      <c r="G291" s="1386">
        <v>103</v>
      </c>
      <c r="H291" s="1413">
        <f>ROUND(E291*G291,)</f>
        <v>20600</v>
      </c>
      <c r="I291" s="1414">
        <v>21</v>
      </c>
      <c r="J291" s="1415">
        <f>ROUND(E291*I291,)</f>
        <v>4200</v>
      </c>
      <c r="K291" s="1415">
        <f>H291+J291</f>
        <v>24800</v>
      </c>
      <c r="L291" s="1415"/>
      <c r="M291" s="1214"/>
      <c r="N291" s="1214"/>
      <c r="O291" s="1214"/>
      <c r="P291" s="1214"/>
    </row>
    <row r="292" spans="1:21" s="1199" customFormat="1" ht="24" customHeight="1">
      <c r="A292" s="1339"/>
      <c r="B292" s="1220" t="s">
        <v>1568</v>
      </c>
      <c r="C292" s="1221"/>
      <c r="D292" s="1221"/>
      <c r="E292" s="1404">
        <v>120</v>
      </c>
      <c r="F292" s="1262" t="s">
        <v>226</v>
      </c>
      <c r="G292" s="1386">
        <v>139</v>
      </c>
      <c r="H292" s="1413">
        <f>ROUND(E292*G292,)</f>
        <v>16680</v>
      </c>
      <c r="I292" s="1414">
        <v>21</v>
      </c>
      <c r="J292" s="1415">
        <f>ROUND(E292*I292,)</f>
        <v>2520</v>
      </c>
      <c r="K292" s="1415">
        <f>H292+J292</f>
        <v>19200</v>
      </c>
      <c r="L292" s="1415"/>
      <c r="M292" s="1214"/>
      <c r="N292" s="1214"/>
      <c r="O292" s="1214"/>
      <c r="P292" s="1214"/>
    </row>
    <row r="293" spans="1:21" s="1199" customFormat="1" ht="24" customHeight="1">
      <c r="A293" s="1339"/>
      <c r="B293" s="1220" t="s">
        <v>1525</v>
      </c>
      <c r="C293" s="1221"/>
      <c r="D293" s="1221"/>
      <c r="E293" s="1404">
        <v>1</v>
      </c>
      <c r="F293" s="1412" t="s">
        <v>1104</v>
      </c>
      <c r="G293" s="1386">
        <f>SUM(H291:H292)*5%</f>
        <v>1864</v>
      </c>
      <c r="H293" s="1343">
        <f t="shared" ref="H293" si="53">ROUND(E293*G293,)</f>
        <v>1864</v>
      </c>
      <c r="I293" s="1414">
        <f>G293*0.3</f>
        <v>559.19999999999993</v>
      </c>
      <c r="J293" s="1343">
        <f t="shared" ref="J293" si="54">ROUND(E293*I293,)</f>
        <v>559</v>
      </c>
      <c r="K293" s="1262">
        <f t="shared" ref="K293" si="55">H293+J293</f>
        <v>2423</v>
      </c>
      <c r="L293" s="1415"/>
      <c r="M293" s="1214"/>
      <c r="N293" s="1214"/>
      <c r="O293" s="1214"/>
      <c r="P293" s="1214"/>
    </row>
    <row r="294" spans="1:21" s="1199" customFormat="1" ht="24" customHeight="1">
      <c r="A294" s="1339" t="s">
        <v>1359</v>
      </c>
      <c r="B294" s="1220" t="s">
        <v>1343</v>
      </c>
      <c r="C294" s="1221"/>
      <c r="D294" s="1221"/>
      <c r="E294" s="1404"/>
      <c r="F294" s="1412"/>
      <c r="G294" s="1386"/>
      <c r="H294" s="1343"/>
      <c r="I294" s="1414"/>
      <c r="J294" s="1343"/>
      <c r="K294" s="1262"/>
      <c r="L294" s="1466"/>
    </row>
    <row r="295" spans="1:21" s="1199" customFormat="1" ht="24" customHeight="1">
      <c r="A295" s="1339"/>
      <c r="B295" s="1220" t="s">
        <v>1344</v>
      </c>
      <c r="C295" s="1221"/>
      <c r="D295" s="1221"/>
      <c r="E295" s="1404">
        <v>40</v>
      </c>
      <c r="F295" s="1262" t="s">
        <v>226</v>
      </c>
      <c r="G295" s="1386">
        <v>316</v>
      </c>
      <c r="H295" s="1343">
        <f t="shared" ref="H295" si="56">ROUND(E295*G295,)</f>
        <v>12640</v>
      </c>
      <c r="I295" s="1414">
        <v>50</v>
      </c>
      <c r="J295" s="1343">
        <f t="shared" ref="J295:J296" si="57">ROUND(E295*I295,)</f>
        <v>2000</v>
      </c>
      <c r="K295" s="1262">
        <f t="shared" ref="K295:K296" si="58">H295+J295</f>
        <v>14640</v>
      </c>
      <c r="L295" s="1466"/>
    </row>
    <row r="296" spans="1:21" s="1199" customFormat="1" ht="24" customHeight="1">
      <c r="A296" s="1339"/>
      <c r="B296" s="1220" t="s">
        <v>1384</v>
      </c>
      <c r="C296" s="1221"/>
      <c r="D296" s="1221"/>
      <c r="E296" s="1404">
        <v>1</v>
      </c>
      <c r="F296" s="1412" t="s">
        <v>1104</v>
      </c>
      <c r="G296" s="1386">
        <f>SUM(H295)*15%</f>
        <v>1896</v>
      </c>
      <c r="H296" s="1343">
        <f t="shared" ref="H296" si="59">ROUND(G296*E296,)</f>
        <v>1896</v>
      </c>
      <c r="I296" s="1414">
        <f>G296*0.3</f>
        <v>568.79999999999995</v>
      </c>
      <c r="J296" s="1343">
        <f t="shared" si="57"/>
        <v>569</v>
      </c>
      <c r="K296" s="1262">
        <f t="shared" si="58"/>
        <v>2465</v>
      </c>
      <c r="L296" s="1466"/>
    </row>
    <row r="297" spans="1:21" s="1199" customFormat="1" ht="24" customHeight="1">
      <c r="A297" s="1339"/>
      <c r="B297" s="1220" t="s">
        <v>1117</v>
      </c>
      <c r="C297" s="1221"/>
      <c r="D297" s="1221"/>
      <c r="E297" s="1404"/>
      <c r="F297" s="1412"/>
      <c r="G297" s="1386"/>
      <c r="H297" s="1413"/>
      <c r="I297" s="1414"/>
      <c r="J297" s="1415"/>
      <c r="K297" s="1415"/>
      <c r="L297" s="1415"/>
      <c r="M297" s="1214"/>
      <c r="N297" s="1214"/>
      <c r="O297" s="1214"/>
      <c r="P297" s="1214"/>
    </row>
    <row r="298" spans="1:21" s="1199" customFormat="1" ht="24" customHeight="1">
      <c r="A298" s="1243"/>
      <c r="B298" s="2257" t="str">
        <f>"รวมราคารายการที่ "&amp;A283</f>
        <v>รวมราคารายการที่ 3.11</v>
      </c>
      <c r="C298" s="2258"/>
      <c r="D298" s="2259"/>
      <c r="E298" s="1244"/>
      <c r="F298" s="1245"/>
      <c r="G298" s="1246"/>
      <c r="H298" s="1247">
        <f>SUM(H283:H297)</f>
        <v>245480</v>
      </c>
      <c r="I298" s="1246"/>
      <c r="J298" s="1247">
        <f>SUM(J283:J297)</f>
        <v>29028</v>
      </c>
      <c r="K298" s="1247">
        <f>SUM(K283:K297)</f>
        <v>274508</v>
      </c>
      <c r="L298" s="1245"/>
    </row>
    <row r="299" spans="1:21" s="1199" customFormat="1" ht="24" customHeight="1">
      <c r="A299" s="1467" t="s">
        <v>2917</v>
      </c>
      <c r="B299" s="1292" t="s">
        <v>1571</v>
      </c>
      <c r="C299" s="1468"/>
      <c r="D299" s="1192"/>
      <c r="E299" s="1193"/>
      <c r="F299" s="1194"/>
      <c r="G299" s="1357"/>
      <c r="H299" s="1298"/>
      <c r="I299" s="1299"/>
      <c r="J299" s="1298"/>
      <c r="K299" s="1299"/>
      <c r="L299" s="1469"/>
      <c r="M299" s="1214"/>
      <c r="N299" s="1214"/>
      <c r="O299" s="1214"/>
      <c r="P299" s="1214"/>
      <c r="Q299" s="1214"/>
      <c r="R299" s="1214"/>
      <c r="S299" s="1214"/>
      <c r="T299" s="1214"/>
      <c r="U299" s="1214"/>
    </row>
    <row r="300" spans="1:21" s="1199" customFormat="1" ht="24" customHeight="1">
      <c r="A300" s="1470" t="s">
        <v>1352</v>
      </c>
      <c r="B300" s="2174" t="s">
        <v>1611</v>
      </c>
      <c r="C300" s="1191"/>
      <c r="D300" s="1471"/>
      <c r="E300" s="1472">
        <v>2</v>
      </c>
      <c r="F300" s="1267" t="s">
        <v>363</v>
      </c>
      <c r="G300" s="1515">
        <v>3200</v>
      </c>
      <c r="H300" s="1343">
        <f>ROUND(E300*G300,)</f>
        <v>6400</v>
      </c>
      <c r="I300" s="1344">
        <v>150</v>
      </c>
      <c r="J300" s="1343">
        <f>ROUND(I300*E300,)</f>
        <v>300</v>
      </c>
      <c r="K300" s="1344">
        <f>H300+J300</f>
        <v>6700</v>
      </c>
      <c r="L300" s="1473"/>
      <c r="M300" s="1214"/>
      <c r="N300" s="1214"/>
      <c r="O300" s="1214"/>
      <c r="P300" s="1214"/>
      <c r="Q300" s="1214"/>
      <c r="R300" s="1214"/>
      <c r="S300" s="1214"/>
      <c r="T300" s="1214"/>
      <c r="U300" s="1214"/>
    </row>
    <row r="301" spans="1:21" s="1199" customFormat="1" ht="24" customHeight="1">
      <c r="A301" s="1474" t="s">
        <v>1354</v>
      </c>
      <c r="B301" s="2174" t="s">
        <v>1612</v>
      </c>
      <c r="C301" s="1191"/>
      <c r="D301" s="1471"/>
      <c r="E301" s="1472">
        <v>2</v>
      </c>
      <c r="F301" s="1267" t="s">
        <v>363</v>
      </c>
      <c r="G301" s="1515">
        <v>2640</v>
      </c>
      <c r="H301" s="1343">
        <f>ROUND(E301*G301,)</f>
        <v>5280</v>
      </c>
      <c r="I301" s="1344">
        <v>150</v>
      </c>
      <c r="J301" s="1343">
        <f>ROUND(I301*E301,)</f>
        <v>300</v>
      </c>
      <c r="K301" s="1344">
        <f>H301+J301</f>
        <v>5580</v>
      </c>
      <c r="L301" s="1473"/>
      <c r="M301" s="1214"/>
      <c r="N301" s="1214"/>
      <c r="O301" s="1214"/>
      <c r="P301" s="1214"/>
      <c r="Q301" s="1214"/>
      <c r="R301" s="1214"/>
      <c r="S301" s="1214"/>
      <c r="T301" s="1214"/>
      <c r="U301" s="1214"/>
    </row>
    <row r="302" spans="1:21" s="1199" customFormat="1" ht="24" customHeight="1">
      <c r="A302" s="1474" t="s">
        <v>1357</v>
      </c>
      <c r="B302" s="2174" t="s">
        <v>1613</v>
      </c>
      <c r="C302" s="1191"/>
      <c r="D302" s="1471"/>
      <c r="E302" s="1206"/>
      <c r="F302" s="1207"/>
      <c r="G302" s="1516"/>
      <c r="H302" s="1264"/>
      <c r="I302" s="1265"/>
      <c r="J302" s="1264"/>
      <c r="K302" s="1265"/>
      <c r="L302" s="1473"/>
      <c r="M302" s="1214"/>
      <c r="N302" s="1214"/>
      <c r="O302" s="1214"/>
      <c r="P302" s="1214"/>
      <c r="Q302" s="1214"/>
      <c r="R302" s="1214"/>
      <c r="S302" s="1214"/>
      <c r="T302" s="1214"/>
      <c r="U302" s="1214"/>
    </row>
    <row r="303" spans="1:21" s="1199" customFormat="1" ht="24" customHeight="1">
      <c r="A303" s="1478"/>
      <c r="B303" s="1259" t="s">
        <v>1614</v>
      </c>
      <c r="C303" s="1191"/>
      <c r="D303" s="1471"/>
      <c r="E303" s="1206">
        <v>625</v>
      </c>
      <c r="F303" s="1207" t="s">
        <v>226</v>
      </c>
      <c r="G303" s="1515">
        <v>10</v>
      </c>
      <c r="H303" s="1264">
        <f>ROUND(E303*G303,)</f>
        <v>6250</v>
      </c>
      <c r="I303" s="1265">
        <v>5</v>
      </c>
      <c r="J303" s="1264">
        <f>ROUND(I303*E303,)</f>
        <v>3125</v>
      </c>
      <c r="K303" s="1265">
        <f>H303+J303</f>
        <v>9375</v>
      </c>
      <c r="L303" s="1473"/>
      <c r="M303" s="1214"/>
      <c r="N303" s="1214"/>
      <c r="O303" s="1214"/>
      <c r="P303" s="1214"/>
      <c r="Q303" s="1214"/>
      <c r="R303" s="1214"/>
      <c r="S303" s="1214"/>
      <c r="T303" s="1214"/>
      <c r="U303" s="1214"/>
    </row>
    <row r="304" spans="1:21" s="1199" customFormat="1" ht="24" customHeight="1">
      <c r="A304" s="1474" t="s">
        <v>2677</v>
      </c>
      <c r="B304" s="2174" t="s">
        <v>1526</v>
      </c>
      <c r="C304" s="1191"/>
      <c r="D304" s="1471"/>
      <c r="E304" s="1206"/>
      <c r="F304" s="1207"/>
      <c r="G304" s="1516"/>
      <c r="H304" s="1264"/>
      <c r="I304" s="1265"/>
      <c r="J304" s="1264"/>
      <c r="K304" s="1265"/>
      <c r="L304" s="1473"/>
      <c r="M304" s="1214"/>
      <c r="N304" s="1214"/>
      <c r="O304" s="1214"/>
      <c r="P304" s="1214"/>
      <c r="Q304" s="1214"/>
      <c r="R304" s="1214"/>
      <c r="S304" s="1214"/>
      <c r="T304" s="1214"/>
      <c r="U304" s="1214"/>
    </row>
    <row r="305" spans="1:21" s="1199" customFormat="1" ht="24" customHeight="1">
      <c r="A305" s="1479"/>
      <c r="B305" s="2174" t="s">
        <v>1350</v>
      </c>
      <c r="C305" s="1191"/>
      <c r="D305" s="1471"/>
      <c r="E305" s="1387"/>
      <c r="F305" s="1358" t="s">
        <v>226</v>
      </c>
      <c r="G305" s="2176">
        <v>27</v>
      </c>
      <c r="H305" s="1264">
        <f t="shared" ref="H305" si="60">ROUND(G305*E305,)</f>
        <v>0</v>
      </c>
      <c r="I305" s="2177">
        <v>22</v>
      </c>
      <c r="J305" s="1264">
        <f t="shared" ref="J305" si="61">ROUND(E305*I305,)</f>
        <v>0</v>
      </c>
      <c r="K305" s="1802">
        <f t="shared" ref="K305" si="62">H305+J305</f>
        <v>0</v>
      </c>
      <c r="L305" s="2001" t="s">
        <v>2667</v>
      </c>
      <c r="M305" s="1214"/>
      <c r="N305" s="1214"/>
      <c r="O305" s="1214"/>
      <c r="P305" s="1214"/>
      <c r="Q305" s="1214"/>
      <c r="R305" s="1214"/>
      <c r="S305" s="1214"/>
      <c r="T305" s="1214"/>
      <c r="U305" s="1214"/>
    </row>
    <row r="306" spans="1:21" s="1199" customFormat="1" ht="24" customHeight="1">
      <c r="A306" s="1474" t="s">
        <v>2679</v>
      </c>
      <c r="B306" s="2174" t="s">
        <v>1110</v>
      </c>
      <c r="C306" s="1191"/>
      <c r="D306" s="1471"/>
      <c r="E306" s="1206"/>
      <c r="F306" s="1207"/>
      <c r="G306" s="2175"/>
      <c r="H306" s="1264"/>
      <c r="I306" s="1265"/>
      <c r="J306" s="1264"/>
      <c r="K306" s="1265"/>
      <c r="L306" s="1473"/>
      <c r="M306" s="1214"/>
      <c r="N306" s="1214"/>
      <c r="O306" s="1214"/>
      <c r="P306" s="1214"/>
      <c r="Q306" s="1214"/>
      <c r="R306" s="1214"/>
      <c r="S306" s="1214"/>
      <c r="T306" s="1214"/>
      <c r="U306" s="1214"/>
    </row>
    <row r="307" spans="1:21" s="1199" customFormat="1" ht="24" customHeight="1">
      <c r="A307" s="1480"/>
      <c r="B307" s="2174" t="s">
        <v>1350</v>
      </c>
      <c r="C307" s="1191"/>
      <c r="D307" s="1471"/>
      <c r="E307" s="1387">
        <v>80</v>
      </c>
      <c r="F307" s="1358" t="s">
        <v>226</v>
      </c>
      <c r="G307" s="2176">
        <v>56</v>
      </c>
      <c r="H307" s="1264">
        <f>ROUND(E307*G307,)</f>
        <v>4480</v>
      </c>
      <c r="I307" s="2177">
        <v>26</v>
      </c>
      <c r="J307" s="1264">
        <f t="shared" ref="J307" si="63">ROUND(E307*I307,)</f>
        <v>2080</v>
      </c>
      <c r="K307" s="1801">
        <f t="shared" ref="K307" si="64">H307+J307</f>
        <v>6560</v>
      </c>
      <c r="L307" s="2001" t="s">
        <v>2667</v>
      </c>
      <c r="M307" s="1214"/>
      <c r="N307" s="1199">
        <v>169.2</v>
      </c>
      <c r="O307" s="1199">
        <f>ROUND(N307/3,)</f>
        <v>56</v>
      </c>
      <c r="P307" s="1214"/>
      <c r="Q307" s="1214"/>
      <c r="R307" s="1214"/>
      <c r="S307" s="1214"/>
      <c r="T307" s="1214"/>
      <c r="U307" s="1214"/>
    </row>
    <row r="308" spans="1:21" s="1199" customFormat="1" ht="24" customHeight="1">
      <c r="A308" s="1480"/>
      <c r="B308" s="2174" t="s">
        <v>1384</v>
      </c>
      <c r="C308" s="1191"/>
      <c r="D308" s="1471"/>
      <c r="E308" s="1206">
        <v>1</v>
      </c>
      <c r="F308" s="1207" t="s">
        <v>1104</v>
      </c>
      <c r="G308" s="2175">
        <f>ROUND(SUM(H305:H307)*15%,0)</f>
        <v>672</v>
      </c>
      <c r="H308" s="1264">
        <f>ROUND(E308*G308,)</f>
        <v>672</v>
      </c>
      <c r="I308" s="1265">
        <f>ROUND(G308*0.3,0)</f>
        <v>202</v>
      </c>
      <c r="J308" s="1264">
        <f>ROUND(I308*E308,)</f>
        <v>202</v>
      </c>
      <c r="K308" s="1265">
        <f>H308+I308</f>
        <v>874</v>
      </c>
      <c r="L308" s="1473"/>
      <c r="M308" s="1214"/>
      <c r="N308" s="1214"/>
      <c r="O308" s="1214"/>
      <c r="P308" s="1214"/>
      <c r="Q308" s="1214"/>
      <c r="R308" s="1214"/>
      <c r="S308" s="1214"/>
      <c r="T308" s="1214"/>
      <c r="U308" s="1214"/>
    </row>
    <row r="309" spans="1:21" s="1199" customFormat="1" ht="24" customHeight="1">
      <c r="A309" s="1474" t="s">
        <v>2918</v>
      </c>
      <c r="B309" s="2174" t="s">
        <v>1381</v>
      </c>
      <c r="C309" s="1191"/>
      <c r="D309" s="1471"/>
      <c r="E309" s="1206"/>
      <c r="F309" s="1207" t="s">
        <v>1104</v>
      </c>
      <c r="G309" s="1516"/>
      <c r="H309" s="1264"/>
      <c r="I309" s="1504"/>
      <c r="J309" s="1264"/>
      <c r="K309" s="1265"/>
      <c r="L309" s="1473"/>
      <c r="M309" s="1214"/>
      <c r="N309" s="1214"/>
      <c r="O309" s="1214"/>
      <c r="P309" s="1214"/>
      <c r="Q309" s="1214"/>
      <c r="R309" s="1214"/>
      <c r="S309" s="1214"/>
      <c r="T309" s="1214"/>
      <c r="U309" s="1214"/>
    </row>
    <row r="310" spans="1:21" s="1199" customFormat="1" ht="24" customHeight="1">
      <c r="A310" s="1480"/>
      <c r="B310" s="2174" t="s">
        <v>1117</v>
      </c>
      <c r="C310" s="1191"/>
      <c r="D310" s="1471"/>
      <c r="E310" s="1206"/>
      <c r="F310" s="1207"/>
      <c r="G310" s="1516"/>
      <c r="H310" s="1264"/>
      <c r="I310" s="1265"/>
      <c r="J310" s="1264"/>
      <c r="K310" s="1265"/>
      <c r="L310" s="1473"/>
      <c r="M310" s="1214"/>
      <c r="N310" s="1214"/>
      <c r="O310" s="1214"/>
      <c r="P310" s="1214"/>
      <c r="Q310" s="1214"/>
      <c r="R310" s="1214"/>
      <c r="S310" s="1214"/>
      <c r="T310" s="1214"/>
      <c r="U310" s="1214"/>
    </row>
    <row r="311" spans="1:21" s="1199" customFormat="1" ht="24" customHeight="1">
      <c r="A311" s="1339"/>
      <c r="B311" s="1220" t="s">
        <v>1118</v>
      </c>
      <c r="C311" s="1221"/>
      <c r="D311" s="1221"/>
      <c r="E311" s="1404"/>
      <c r="F311" s="1412"/>
      <c r="G311" s="1386"/>
      <c r="H311" s="1413"/>
      <c r="I311" s="1414"/>
      <c r="J311" s="1415"/>
      <c r="K311" s="1415"/>
      <c r="L311" s="1415"/>
      <c r="M311" s="1214"/>
      <c r="N311" s="1214"/>
      <c r="O311" s="1214"/>
      <c r="P311" s="1214"/>
    </row>
    <row r="312" spans="1:21" s="1199" customFormat="1" ht="24" customHeight="1">
      <c r="A312" s="1331"/>
      <c r="B312" s="2174" t="s">
        <v>1118</v>
      </c>
      <c r="C312" s="1202"/>
      <c r="D312" s="1202"/>
      <c r="E312" s="1387"/>
      <c r="F312" s="1384"/>
      <c r="G312" s="2176"/>
      <c r="H312" s="1388"/>
      <c r="I312" s="2177"/>
      <c r="J312" s="1385"/>
      <c r="K312" s="1385"/>
      <c r="L312" s="1385"/>
      <c r="M312" s="1214"/>
      <c r="N312" s="1214"/>
      <c r="O312" s="1214"/>
      <c r="P312" s="1214"/>
      <c r="Q312" s="1214"/>
      <c r="R312" s="1214"/>
    </row>
    <row r="313" spans="1:21" s="1199" customFormat="1" ht="24" customHeight="1">
      <c r="A313" s="1331"/>
      <c r="B313" s="2174"/>
      <c r="C313" s="1202"/>
      <c r="D313" s="1202"/>
      <c r="E313" s="1387"/>
      <c r="F313" s="1384"/>
      <c r="G313" s="2176"/>
      <c r="H313" s="1388"/>
      <c r="I313" s="2177"/>
      <c r="J313" s="1385"/>
      <c r="K313" s="1385"/>
      <c r="L313" s="1385"/>
      <c r="M313" s="1214"/>
      <c r="N313" s="1214"/>
      <c r="O313" s="1214"/>
      <c r="P313" s="1214"/>
      <c r="Q313" s="1214"/>
      <c r="R313" s="1214"/>
    </row>
    <row r="314" spans="1:21" s="1199" customFormat="1" ht="24" customHeight="1">
      <c r="A314" s="1331"/>
      <c r="B314" s="2174"/>
      <c r="C314" s="1202"/>
      <c r="D314" s="1202"/>
      <c r="E314" s="1387"/>
      <c r="F314" s="1384"/>
      <c r="G314" s="2176"/>
      <c r="H314" s="1388"/>
      <c r="I314" s="2177"/>
      <c r="J314" s="1385"/>
      <c r="K314" s="1385"/>
      <c r="L314" s="1385"/>
      <c r="M314" s="1214"/>
      <c r="N314" s="1214"/>
      <c r="O314" s="1214"/>
      <c r="P314" s="1214"/>
      <c r="Q314" s="1214"/>
      <c r="R314" s="1214"/>
    </row>
    <row r="315" spans="1:21" s="1199" customFormat="1" ht="24" customHeight="1">
      <c r="A315" s="1331"/>
      <c r="B315" s="2174"/>
      <c r="C315" s="1202"/>
      <c r="D315" s="1202"/>
      <c r="E315" s="1387"/>
      <c r="F315" s="1384"/>
      <c r="G315" s="2176"/>
      <c r="H315" s="1388"/>
      <c r="I315" s="2177"/>
      <c r="J315" s="1385"/>
      <c r="K315" s="1385"/>
      <c r="L315" s="1385"/>
      <c r="M315" s="1214"/>
      <c r="N315" s="1214"/>
      <c r="O315" s="1214"/>
      <c r="P315" s="1214"/>
      <c r="Q315" s="1214"/>
      <c r="R315" s="1214"/>
    </row>
    <row r="316" spans="1:21" s="1199" customFormat="1" ht="24" customHeight="1">
      <c r="A316" s="1331"/>
      <c r="B316" s="2174"/>
      <c r="C316" s="1202"/>
      <c r="D316" s="1202"/>
      <c r="E316" s="1387"/>
      <c r="F316" s="1384"/>
      <c r="G316" s="2176"/>
      <c r="H316" s="1388"/>
      <c r="I316" s="2177"/>
      <c r="J316" s="1385"/>
      <c r="K316" s="1385"/>
      <c r="L316" s="1385"/>
      <c r="M316" s="1214"/>
      <c r="N316" s="1214"/>
      <c r="O316" s="1214"/>
      <c r="P316" s="1214"/>
      <c r="Q316" s="1214"/>
      <c r="R316" s="1214"/>
    </row>
    <row r="317" spans="1:21" s="1199" customFormat="1" ht="24" customHeight="1">
      <c r="A317" s="1331"/>
      <c r="B317" s="2174"/>
      <c r="C317" s="1202"/>
      <c r="D317" s="1202"/>
      <c r="E317" s="1387"/>
      <c r="F317" s="1384"/>
      <c r="G317" s="2176"/>
      <c r="H317" s="1388"/>
      <c r="I317" s="2177"/>
      <c r="J317" s="1385"/>
      <c r="K317" s="1385"/>
      <c r="L317" s="1385"/>
      <c r="M317" s="1214"/>
      <c r="N317" s="1214"/>
      <c r="O317" s="1214"/>
      <c r="P317" s="1214"/>
      <c r="Q317" s="1214"/>
      <c r="R317" s="1214"/>
    </row>
    <row r="318" spans="1:21" s="1199" customFormat="1" ht="24" customHeight="1">
      <c r="A318" s="1331"/>
      <c r="B318" s="2174"/>
      <c r="C318" s="1202"/>
      <c r="D318" s="1202"/>
      <c r="E318" s="1387"/>
      <c r="F318" s="1384"/>
      <c r="G318" s="2176"/>
      <c r="H318" s="1388"/>
      <c r="I318" s="2177"/>
      <c r="J318" s="1385"/>
      <c r="K318" s="1385"/>
      <c r="L318" s="1385"/>
      <c r="M318" s="1214"/>
      <c r="N318" s="1214"/>
      <c r="O318" s="1214"/>
      <c r="P318" s="1214"/>
      <c r="Q318" s="1214"/>
      <c r="R318" s="1214"/>
    </row>
    <row r="319" spans="1:21" s="1199" customFormat="1" ht="24" customHeight="1">
      <c r="A319" s="1331"/>
      <c r="B319" s="2174"/>
      <c r="C319" s="1202"/>
      <c r="D319" s="1202"/>
      <c r="E319" s="1387"/>
      <c r="F319" s="1384"/>
      <c r="G319" s="2176"/>
      <c r="H319" s="1388"/>
      <c r="I319" s="2177"/>
      <c r="J319" s="1385"/>
      <c r="K319" s="1385"/>
      <c r="L319" s="1385"/>
      <c r="M319" s="1214"/>
      <c r="N319" s="1214"/>
      <c r="O319" s="1214"/>
      <c r="P319" s="1214"/>
      <c r="Q319" s="1214"/>
      <c r="R319" s="1214"/>
    </row>
    <row r="320" spans="1:21" s="1199" customFormat="1" ht="24" customHeight="1">
      <c r="A320" s="1331"/>
      <c r="B320" s="2174"/>
      <c r="C320" s="1202"/>
      <c r="D320" s="1202"/>
      <c r="E320" s="1387"/>
      <c r="F320" s="1384"/>
      <c r="G320" s="2176"/>
      <c r="H320" s="1388"/>
      <c r="I320" s="2177"/>
      <c r="J320" s="1385"/>
      <c r="K320" s="1385"/>
      <c r="L320" s="1385"/>
      <c r="M320" s="1214"/>
      <c r="N320" s="1214"/>
      <c r="O320" s="1214"/>
      <c r="P320" s="1214"/>
      <c r="Q320" s="1214"/>
      <c r="R320" s="1214"/>
    </row>
    <row r="321" spans="1:21" s="1199" customFormat="1" ht="24" customHeight="1">
      <c r="A321" s="1331"/>
      <c r="B321" s="2174"/>
      <c r="C321" s="1202"/>
      <c r="D321" s="1202"/>
      <c r="E321" s="1387"/>
      <c r="F321" s="1384"/>
      <c r="G321" s="2176"/>
      <c r="H321" s="1388"/>
      <c r="I321" s="2177"/>
      <c r="J321" s="1385"/>
      <c r="K321" s="1385"/>
      <c r="L321" s="1385"/>
      <c r="M321" s="1214"/>
      <c r="N321" s="1214"/>
      <c r="O321" s="1214"/>
      <c r="P321" s="1214"/>
      <c r="Q321" s="1214"/>
      <c r="R321" s="1214"/>
    </row>
    <row r="322" spans="1:21" s="1199" customFormat="1" ht="24" customHeight="1">
      <c r="A322" s="1245"/>
      <c r="B322" s="2257" t="str">
        <f>"รวมราคารายการที่ "&amp;A299</f>
        <v>รวมราคารายการที่ 3.12</v>
      </c>
      <c r="C322" s="2258"/>
      <c r="D322" s="2259"/>
      <c r="E322" s="1481"/>
      <c r="F322" s="1245"/>
      <c r="G322" s="1246"/>
      <c r="H322" s="1247">
        <f>SUM(H300:H310)</f>
        <v>23082</v>
      </c>
      <c r="I322" s="1246"/>
      <c r="J322" s="1247">
        <f t="shared" ref="J322:K322" si="65">SUM(J300:J310)</f>
        <v>6007</v>
      </c>
      <c r="K322" s="1247">
        <f t="shared" si="65"/>
        <v>29089</v>
      </c>
      <c r="L322" s="1245"/>
      <c r="M322" s="1214"/>
      <c r="N322" s="1214"/>
      <c r="O322" s="1214"/>
      <c r="P322" s="1214"/>
      <c r="Q322" s="1214"/>
      <c r="R322" s="1214"/>
      <c r="S322" s="1214"/>
      <c r="T322" s="1214"/>
      <c r="U322" s="1214"/>
    </row>
  </sheetData>
  <mergeCells count="21">
    <mergeCell ref="B161:D161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91:D91"/>
    <mergeCell ref="B106:D106"/>
    <mergeCell ref="B139:D139"/>
    <mergeCell ref="B322:D322"/>
    <mergeCell ref="B178:D178"/>
    <mergeCell ref="B208:D208"/>
    <mergeCell ref="B250:D250"/>
    <mergeCell ref="B266:D266"/>
    <mergeCell ref="B282:D282"/>
    <mergeCell ref="B298:D298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5-อาคารทิศตะวันตก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EE905-B832-4FE8-BF85-1B77A9B2ED96}">
  <sheetPr>
    <tabColor rgb="FF92D050"/>
  </sheetPr>
  <dimension ref="A1:U370"/>
  <sheetViews>
    <sheetView view="pageBreakPreview" topLeftCell="A279" zoomScale="70" zoomScaleNormal="100" zoomScaleSheetLayoutView="70" workbookViewId="0">
      <selection activeCell="D262" sqref="D262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" style="1" customWidth="1"/>
    <col min="13" max="97" width="7.703125" style="1" customWidth="1"/>
    <col min="98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1634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30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H82</f>
        <v>284870</v>
      </c>
      <c r="I12" s="1241"/>
      <c r="J12" s="1196">
        <f>J82</f>
        <v>19800</v>
      </c>
      <c r="K12" s="1196">
        <f>K82</f>
        <v>304670</v>
      </c>
      <c r="L12" s="1430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H138</f>
        <v>172730</v>
      </c>
      <c r="I13" s="1241"/>
      <c r="J13" s="1196">
        <f>J138</f>
        <v>16440</v>
      </c>
      <c r="K13" s="1196">
        <f>K138</f>
        <v>189170</v>
      </c>
      <c r="L13" s="1430"/>
    </row>
    <row r="14" spans="1:12" s="1199" customFormat="1" ht="24" customHeight="1">
      <c r="A14" s="1204">
        <f>A139</f>
        <v>3.3</v>
      </c>
      <c r="B14" s="1431" t="str">
        <f>B139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H154</f>
        <v>0</v>
      </c>
      <c r="I14" s="1241"/>
      <c r="J14" s="1196">
        <f>J154</f>
        <v>0</v>
      </c>
      <c r="K14" s="1196">
        <f>K154</f>
        <v>0</v>
      </c>
      <c r="L14" s="1430"/>
    </row>
    <row r="15" spans="1:12" s="1199" customFormat="1" ht="24" customHeight="1">
      <c r="A15" s="1204">
        <f>A155</f>
        <v>3.4</v>
      </c>
      <c r="B15" s="1190" t="str">
        <f>B155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H187</f>
        <v>106890</v>
      </c>
      <c r="I15" s="1197"/>
      <c r="J15" s="1196">
        <f>J187</f>
        <v>33137</v>
      </c>
      <c r="K15" s="1196">
        <f t="shared" ref="K15:K21" si="0">SUM(H15:J15)</f>
        <v>140027</v>
      </c>
      <c r="L15" s="1430"/>
    </row>
    <row r="16" spans="1:12" s="1199" customFormat="1" ht="24" customHeight="1">
      <c r="A16" s="1204" t="str">
        <f>A188</f>
        <v>3.5</v>
      </c>
      <c r="B16" s="1190" t="str">
        <f>B188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H209</f>
        <v>40901</v>
      </c>
      <c r="I16" s="1197"/>
      <c r="J16" s="1196">
        <f>J209</f>
        <v>13397</v>
      </c>
      <c r="K16" s="1196">
        <f t="shared" si="0"/>
        <v>54298</v>
      </c>
      <c r="L16" s="1430"/>
    </row>
    <row r="17" spans="1:12" s="1199" customFormat="1" ht="24" customHeight="1">
      <c r="A17" s="1204" t="str">
        <f>A210</f>
        <v>3.6</v>
      </c>
      <c r="B17" s="1190" t="str">
        <f>B210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H226</f>
        <v>2376</v>
      </c>
      <c r="I17" s="1197"/>
      <c r="J17" s="1196">
        <f>J226</f>
        <v>1380</v>
      </c>
      <c r="K17" s="1196">
        <f t="shared" si="0"/>
        <v>3756</v>
      </c>
      <c r="L17" s="1430"/>
    </row>
    <row r="18" spans="1:12" s="1199" customFormat="1" ht="24" customHeight="1">
      <c r="A18" s="1204" t="str">
        <f>A227</f>
        <v>3.7</v>
      </c>
      <c r="B18" s="1190" t="str">
        <f>B227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H256</f>
        <v>14196</v>
      </c>
      <c r="I18" s="1197"/>
      <c r="J18" s="1196">
        <f>J256</f>
        <v>4043</v>
      </c>
      <c r="K18" s="1196">
        <f t="shared" si="0"/>
        <v>18239</v>
      </c>
      <c r="L18" s="1430"/>
    </row>
    <row r="19" spans="1:12" s="1199" customFormat="1" ht="24" customHeight="1">
      <c r="A19" s="1204">
        <f>A257</f>
        <v>3.8</v>
      </c>
      <c r="B19" s="2174" t="str">
        <f>B257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H298</f>
        <v>1705301</v>
      </c>
      <c r="I19" s="1197"/>
      <c r="J19" s="1196">
        <f>J298</f>
        <v>268806</v>
      </c>
      <c r="K19" s="1196">
        <f t="shared" si="0"/>
        <v>1974107</v>
      </c>
      <c r="L19" s="1430"/>
    </row>
    <row r="20" spans="1:12" s="1199" customFormat="1" ht="24" customHeight="1">
      <c r="A20" s="1233" t="str">
        <f>A299</f>
        <v>3.9</v>
      </c>
      <c r="B20" s="1234" t="str">
        <f>B299</f>
        <v>ระบบเสียงและประกาศเรียก (Public Address System)</v>
      </c>
      <c r="C20" s="1235"/>
      <c r="D20" s="1236"/>
      <c r="E20" s="1193">
        <v>1</v>
      </c>
      <c r="F20" s="1194" t="s">
        <v>19</v>
      </c>
      <c r="G20" s="1237"/>
      <c r="H20" s="1238">
        <f>H314</f>
        <v>101467</v>
      </c>
      <c r="I20" s="1239"/>
      <c r="J20" s="1238">
        <f>J314</f>
        <v>37871</v>
      </c>
      <c r="K20" s="1196">
        <f t="shared" si="0"/>
        <v>139338</v>
      </c>
      <c r="L20" s="1430"/>
    </row>
    <row r="21" spans="1:12" s="1199" customFormat="1" ht="24" customHeight="1">
      <c r="A21" s="1204" t="str">
        <f>A315</f>
        <v>3.10</v>
      </c>
      <c r="B21" s="1190" t="str">
        <f>B315</f>
        <v>ระบบควบคุมประตูอัตโนมัติ (Access Control System)</v>
      </c>
      <c r="C21" s="1202"/>
      <c r="D21" s="1203"/>
      <c r="E21" s="1193">
        <v>1</v>
      </c>
      <c r="F21" s="1194" t="s">
        <v>19</v>
      </c>
      <c r="G21" s="1195"/>
      <c r="H21" s="1196">
        <f>H333</f>
        <v>244424</v>
      </c>
      <c r="I21" s="1197"/>
      <c r="J21" s="1196">
        <f>J333</f>
        <v>16838</v>
      </c>
      <c r="K21" s="1196">
        <f t="shared" si="0"/>
        <v>261262</v>
      </c>
      <c r="L21" s="1430"/>
    </row>
    <row r="22" spans="1:12" s="1199" customFormat="1" ht="24" customHeight="1">
      <c r="A22" s="1204" t="str">
        <f>A334</f>
        <v>3.11</v>
      </c>
      <c r="B22" s="1431" t="str">
        <f>B334</f>
        <v>ระบบบริหารจัดการอาคาร (Building Management System : BMS)</v>
      </c>
      <c r="C22" s="1202"/>
      <c r="D22" s="1203"/>
      <c r="E22" s="1193">
        <v>1</v>
      </c>
      <c r="F22" s="1194" t="s">
        <v>19</v>
      </c>
      <c r="G22" s="1195"/>
      <c r="H22" s="1196">
        <f>H354</f>
        <v>245480</v>
      </c>
      <c r="I22" s="1197"/>
      <c r="J22" s="1196">
        <f t="shared" ref="J22:K22" si="1">J354</f>
        <v>29028</v>
      </c>
      <c r="K22" s="1196">
        <f t="shared" si="1"/>
        <v>274508</v>
      </c>
      <c r="L22" s="1430"/>
    </row>
    <row r="23" spans="1:12" s="1199" customFormat="1" ht="24" customHeight="1">
      <c r="A23" s="1204" t="str">
        <f>A355</f>
        <v>3.12</v>
      </c>
      <c r="B23" s="1431" t="str">
        <f>B355</f>
        <v>ระบบแจ้งเหตุฉุกเฉิน (Panic Alarm System)</v>
      </c>
      <c r="C23" s="1202"/>
      <c r="D23" s="1203"/>
      <c r="E23" s="1193">
        <v>1</v>
      </c>
      <c r="F23" s="1194" t="s">
        <v>19</v>
      </c>
      <c r="G23" s="1195"/>
      <c r="H23" s="1196">
        <f>H370</f>
        <v>23332</v>
      </c>
      <c r="I23" s="1241"/>
      <c r="J23" s="1196">
        <f t="shared" ref="J23:K23" si="2">J370</f>
        <v>6132</v>
      </c>
      <c r="K23" s="1196">
        <f t="shared" si="2"/>
        <v>29464</v>
      </c>
      <c r="L23" s="1430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195"/>
      <c r="H24" s="1196"/>
      <c r="I24" s="1241"/>
      <c r="J24" s="1229"/>
      <c r="K24" s="1242"/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9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9" s="1199" customFormat="1" ht="24" customHeight="1">
      <c r="A34" s="1243"/>
      <c r="B34" s="2257" t="str">
        <f>"รวมราคา"&amp;B11</f>
        <v>รวมราคางานระบบไฟฟ้าและสื่อสาร ชั้น 6</v>
      </c>
      <c r="C34" s="2258"/>
      <c r="D34" s="2259"/>
      <c r="E34" s="1244"/>
      <c r="F34" s="1245"/>
      <c r="G34" s="1246"/>
      <c r="H34" s="1247">
        <f>SUM(H11:H33)</f>
        <v>2941967</v>
      </c>
      <c r="I34" s="1246"/>
      <c r="J34" s="1247">
        <f>SUM(J11:J33)</f>
        <v>446872</v>
      </c>
      <c r="K34" s="1247">
        <f>SUM(K11:K33)</f>
        <v>3388839</v>
      </c>
      <c r="L34" s="1245"/>
      <c r="M34" s="1214"/>
      <c r="N34" s="1214"/>
      <c r="O34" s="1214"/>
      <c r="P34" s="1214"/>
      <c r="Q34" s="1214"/>
      <c r="R34" s="1214"/>
      <c r="S34" s="1214"/>
    </row>
    <row r="35" spans="1:19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9" s="1199" customFormat="1" ht="24" customHeight="1">
      <c r="A36" s="1361" t="s">
        <v>1096</v>
      </c>
      <c r="B36" s="1362" t="s">
        <v>1237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9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9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3">ROUND(G38*E38,)</f>
        <v>0</v>
      </c>
      <c r="I38" s="1265"/>
      <c r="J38" s="1264"/>
      <c r="K38" s="1265">
        <f t="shared" ref="K38:K55" si="4">J38+H38</f>
        <v>0</v>
      </c>
      <c r="L38" s="1266"/>
      <c r="N38" s="1363"/>
      <c r="O38" s="1363"/>
      <c r="P38" s="1363"/>
      <c r="Q38" s="1363"/>
      <c r="R38" s="1363"/>
    </row>
    <row r="39" spans="1:19" s="1199" customFormat="1" ht="24" customHeight="1">
      <c r="A39" s="1339"/>
      <c r="B39" s="1259" t="s">
        <v>1212</v>
      </c>
      <c r="C39" s="1260"/>
      <c r="D39" s="1260"/>
      <c r="E39" s="1261"/>
      <c r="F39" s="1207" t="s">
        <v>363</v>
      </c>
      <c r="G39" s="2175">
        <v>2400</v>
      </c>
      <c r="H39" s="1264">
        <f t="shared" si="3"/>
        <v>0</v>
      </c>
      <c r="I39" s="1265"/>
      <c r="J39" s="1264"/>
      <c r="K39" s="1265">
        <f t="shared" si="4"/>
        <v>0</v>
      </c>
      <c r="L39" s="1266"/>
      <c r="N39" s="1363"/>
      <c r="O39" s="1363"/>
      <c r="P39" s="1363"/>
      <c r="Q39" s="1363"/>
      <c r="R39" s="1363"/>
    </row>
    <row r="40" spans="1:19" s="1199" customFormat="1" ht="24" customHeight="1">
      <c r="A40" s="1339"/>
      <c r="B40" s="1259" t="s">
        <v>1213</v>
      </c>
      <c r="C40" s="1260"/>
      <c r="D40" s="1260"/>
      <c r="E40" s="1261"/>
      <c r="F40" s="1207" t="s">
        <v>363</v>
      </c>
      <c r="G40" s="2175">
        <v>2400</v>
      </c>
      <c r="H40" s="1264">
        <f t="shared" si="3"/>
        <v>0</v>
      </c>
      <c r="I40" s="1265"/>
      <c r="J40" s="1264"/>
      <c r="K40" s="1265">
        <f t="shared" si="4"/>
        <v>0</v>
      </c>
      <c r="L40" s="1266"/>
      <c r="N40" s="1363"/>
      <c r="O40" s="1363"/>
      <c r="P40" s="1363"/>
      <c r="Q40" s="1363"/>
      <c r="R40" s="1363"/>
    </row>
    <row r="41" spans="1:19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3"/>
        <v>0</v>
      </c>
      <c r="I41" s="1265"/>
      <c r="J41" s="1264"/>
      <c r="K41" s="1265">
        <f t="shared" si="4"/>
        <v>0</v>
      </c>
      <c r="L41" s="1266"/>
    </row>
    <row r="42" spans="1:19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3"/>
        <v>2400</v>
      </c>
      <c r="I42" s="1265"/>
      <c r="J42" s="1264"/>
      <c r="K42" s="1265">
        <f t="shared" si="4"/>
        <v>2400</v>
      </c>
      <c r="L42" s="1266"/>
    </row>
    <row r="43" spans="1:19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3"/>
        <v>7200</v>
      </c>
      <c r="I43" s="1265"/>
      <c r="J43" s="1264"/>
      <c r="K43" s="1265">
        <f t="shared" si="4"/>
        <v>7200</v>
      </c>
      <c r="L43" s="1266"/>
    </row>
    <row r="44" spans="1:19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3"/>
        <v>0</v>
      </c>
      <c r="I44" s="1265"/>
      <c r="J44" s="1264"/>
      <c r="K44" s="1265">
        <f t="shared" si="4"/>
        <v>0</v>
      </c>
      <c r="L44" s="1266"/>
    </row>
    <row r="45" spans="1:19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3"/>
        <v>0</v>
      </c>
      <c r="I45" s="1265"/>
      <c r="J45" s="1264"/>
      <c r="K45" s="1265">
        <f t="shared" si="4"/>
        <v>0</v>
      </c>
      <c r="L45" s="1266"/>
    </row>
    <row r="46" spans="1:19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3"/>
        <v>0</v>
      </c>
      <c r="I46" s="1265"/>
      <c r="J46" s="1264"/>
      <c r="K46" s="1265">
        <f t="shared" si="4"/>
        <v>0</v>
      </c>
      <c r="L46" s="1266"/>
    </row>
    <row r="47" spans="1:19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3"/>
        <v>0</v>
      </c>
      <c r="I47" s="1265"/>
      <c r="J47" s="1264"/>
      <c r="K47" s="1265">
        <f t="shared" si="4"/>
        <v>0</v>
      </c>
      <c r="L47" s="1266"/>
    </row>
    <row r="48" spans="1:19" s="1199" customFormat="1" ht="24" customHeight="1">
      <c r="A48" s="1339"/>
      <c r="B48" s="1259" t="s">
        <v>1221</v>
      </c>
      <c r="C48" s="1260"/>
      <c r="D48" s="1260"/>
      <c r="E48" s="1261"/>
      <c r="F48" s="1207" t="s">
        <v>363</v>
      </c>
      <c r="G48" s="2175">
        <v>11500</v>
      </c>
      <c r="H48" s="1264">
        <f t="shared" si="3"/>
        <v>0</v>
      </c>
      <c r="I48" s="1265"/>
      <c r="J48" s="1264"/>
      <c r="K48" s="1265">
        <f t="shared" si="4"/>
        <v>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>
        <v>1</v>
      </c>
      <c r="F49" s="1207" t="s">
        <v>363</v>
      </c>
      <c r="G49" s="2175">
        <v>20200</v>
      </c>
      <c r="H49" s="1264">
        <f t="shared" si="3"/>
        <v>20200</v>
      </c>
      <c r="I49" s="1265"/>
      <c r="J49" s="1264"/>
      <c r="K49" s="1265">
        <f t="shared" si="4"/>
        <v>20200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3"/>
        <v>0</v>
      </c>
      <c r="I50" s="1265"/>
      <c r="J50" s="1264"/>
      <c r="K50" s="1265">
        <f t="shared" si="4"/>
        <v>0</v>
      </c>
      <c r="L50" s="1266"/>
    </row>
    <row r="51" spans="1:18" s="1199" customFormat="1" ht="24" customHeight="1">
      <c r="A51" s="1339"/>
      <c r="B51" s="1259" t="s">
        <v>1276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3"/>
        <v>1800</v>
      </c>
      <c r="I51" s="1265"/>
      <c r="J51" s="1264"/>
      <c r="K51" s="1265">
        <f t="shared" si="4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3"/>
        <v>360</v>
      </c>
      <c r="I52" s="1265"/>
      <c r="J52" s="1264"/>
      <c r="K52" s="1265">
        <f t="shared" si="4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3"/>
        <v>300</v>
      </c>
      <c r="I53" s="1265"/>
      <c r="J53" s="1264"/>
      <c r="K53" s="1265">
        <f t="shared" si="4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5</v>
      </c>
      <c r="F54" s="1207" t="s">
        <v>363</v>
      </c>
      <c r="G54" s="2175">
        <v>15435</v>
      </c>
      <c r="H54" s="1264">
        <f t="shared" si="3"/>
        <v>77175</v>
      </c>
      <c r="I54" s="1265"/>
      <c r="J54" s="1264"/>
      <c r="K54" s="1265">
        <f t="shared" si="4"/>
        <v>77175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33000</v>
      </c>
      <c r="H55" s="1264">
        <f t="shared" si="3"/>
        <v>33000</v>
      </c>
      <c r="I55" s="1265">
        <f>G55*0.3</f>
        <v>9900</v>
      </c>
      <c r="J55" s="1264">
        <f>ROUND(E55*I55,)</f>
        <v>9900</v>
      </c>
      <c r="K55" s="1265">
        <f t="shared" si="4"/>
        <v>42900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1248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5">ROUND(G61*E61,)</f>
        <v>0</v>
      </c>
      <c r="I61" s="1265"/>
      <c r="J61" s="1264"/>
      <c r="K61" s="1265">
        <f t="shared" ref="K61:K78" si="6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/>
      <c r="F62" s="1207" t="s">
        <v>363</v>
      </c>
      <c r="G62" s="2175">
        <v>2400</v>
      </c>
      <c r="H62" s="1264">
        <f t="shared" si="5"/>
        <v>0</v>
      </c>
      <c r="I62" s="1265"/>
      <c r="J62" s="1264"/>
      <c r="K62" s="1265">
        <f t="shared" si="6"/>
        <v>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/>
      <c r="F63" s="1207" t="s">
        <v>363</v>
      </c>
      <c r="G63" s="2175">
        <v>2400</v>
      </c>
      <c r="H63" s="1264">
        <f t="shared" si="5"/>
        <v>0</v>
      </c>
      <c r="I63" s="1265"/>
      <c r="J63" s="1264"/>
      <c r="K63" s="1265">
        <f t="shared" si="6"/>
        <v>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5"/>
        <v>0</v>
      </c>
      <c r="I64" s="1265"/>
      <c r="J64" s="1264"/>
      <c r="K64" s="1265">
        <f t="shared" si="6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5"/>
        <v>2400</v>
      </c>
      <c r="I65" s="1265"/>
      <c r="J65" s="1264"/>
      <c r="K65" s="1265">
        <f t="shared" si="6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3</v>
      </c>
      <c r="F66" s="1207" t="s">
        <v>363</v>
      </c>
      <c r="G66" s="2175">
        <v>2400</v>
      </c>
      <c r="H66" s="1264">
        <f t="shared" si="5"/>
        <v>7200</v>
      </c>
      <c r="I66" s="1265"/>
      <c r="J66" s="1264"/>
      <c r="K66" s="1265">
        <f t="shared" si="6"/>
        <v>7200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5"/>
        <v>0</v>
      </c>
      <c r="I67" s="1265"/>
      <c r="J67" s="1264"/>
      <c r="K67" s="1265">
        <f t="shared" si="6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5"/>
        <v>0</v>
      </c>
      <c r="I68" s="1265"/>
      <c r="J68" s="1264"/>
      <c r="K68" s="1265">
        <f t="shared" si="6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5"/>
        <v>0</v>
      </c>
      <c r="I69" s="1265"/>
      <c r="J69" s="1264"/>
      <c r="K69" s="1265">
        <f t="shared" si="6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5"/>
        <v>0</v>
      </c>
      <c r="I70" s="1265"/>
      <c r="J70" s="1264"/>
      <c r="K70" s="1265">
        <f t="shared" si="6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/>
      <c r="F71" s="1207" t="s">
        <v>363</v>
      </c>
      <c r="G71" s="2175">
        <v>11500</v>
      </c>
      <c r="H71" s="1264">
        <f t="shared" si="5"/>
        <v>0</v>
      </c>
      <c r="I71" s="1265"/>
      <c r="J71" s="1264"/>
      <c r="K71" s="1265">
        <f t="shared" si="6"/>
        <v>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>
        <v>1</v>
      </c>
      <c r="F72" s="1207" t="s">
        <v>363</v>
      </c>
      <c r="G72" s="2175">
        <v>20200</v>
      </c>
      <c r="H72" s="1264">
        <f t="shared" si="5"/>
        <v>20200</v>
      </c>
      <c r="I72" s="1265"/>
      <c r="J72" s="1264"/>
      <c r="K72" s="1265">
        <f t="shared" si="6"/>
        <v>20200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5"/>
        <v>0</v>
      </c>
      <c r="I73" s="1265"/>
      <c r="J73" s="1264"/>
      <c r="K73" s="1265">
        <f t="shared" si="6"/>
        <v>0</v>
      </c>
      <c r="L73" s="1266"/>
    </row>
    <row r="74" spans="1:17" s="1199" customFormat="1" ht="24" customHeight="1">
      <c r="A74" s="1339"/>
      <c r="B74" s="1259" t="s">
        <v>1276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5"/>
        <v>1800</v>
      </c>
      <c r="I74" s="1265"/>
      <c r="J74" s="1264"/>
      <c r="K74" s="1265">
        <f t="shared" si="6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5"/>
        <v>360</v>
      </c>
      <c r="I75" s="1265"/>
      <c r="J75" s="1264"/>
      <c r="K75" s="1265">
        <f t="shared" si="6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5"/>
        <v>300</v>
      </c>
      <c r="I76" s="1265"/>
      <c r="J76" s="1264"/>
      <c r="K76" s="1265">
        <f t="shared" si="6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5</v>
      </c>
      <c r="F77" s="1207" t="s">
        <v>363</v>
      </c>
      <c r="G77" s="2175">
        <v>15435</v>
      </c>
      <c r="H77" s="1264">
        <f t="shared" si="5"/>
        <v>77175</v>
      </c>
      <c r="I77" s="1265"/>
      <c r="J77" s="1264"/>
      <c r="K77" s="1265">
        <f t="shared" si="6"/>
        <v>77175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33000</v>
      </c>
      <c r="H78" s="1264">
        <f t="shared" si="5"/>
        <v>33000</v>
      </c>
      <c r="I78" s="1265">
        <f>G78*0.3</f>
        <v>9900</v>
      </c>
      <c r="J78" s="1264">
        <f>ROUND(E78*I78,)</f>
        <v>9900</v>
      </c>
      <c r="K78" s="1265">
        <f t="shared" si="6"/>
        <v>42900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8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8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284870</v>
      </c>
      <c r="I82" s="1246"/>
      <c r="J82" s="1247">
        <f>SUM(J35:J81)</f>
        <v>19800</v>
      </c>
      <c r="K82" s="1247">
        <f>SUM(K35:K81)</f>
        <v>304670</v>
      </c>
      <c r="L82" s="1245"/>
      <c r="M82" s="1214"/>
      <c r="N82" s="1214"/>
      <c r="O82" s="1214"/>
      <c r="P82" s="1214"/>
      <c r="Q82" s="1214"/>
    </row>
    <row r="83" spans="1:18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8" s="1199" customFormat="1" ht="24" customHeight="1">
      <c r="A84" s="1361" t="s">
        <v>1121</v>
      </c>
      <c r="B84" s="1362" t="s">
        <v>1271</v>
      </c>
      <c r="C84" s="1260"/>
      <c r="D84" s="1260"/>
      <c r="E84" s="1261"/>
      <c r="F84" s="1358"/>
      <c r="G84" s="2175"/>
      <c r="H84" s="1264"/>
      <c r="I84" s="1265"/>
      <c r="J84" s="1264"/>
      <c r="K84" s="1265"/>
      <c r="L84" s="1364"/>
    </row>
    <row r="85" spans="1:18" s="1199" customFormat="1" ht="24" customHeight="1">
      <c r="A85" s="1339" t="s">
        <v>1618</v>
      </c>
      <c r="B85" s="1259" t="s">
        <v>1210</v>
      </c>
      <c r="C85" s="1260"/>
      <c r="D85" s="1260"/>
      <c r="E85" s="1261"/>
      <c r="F85" s="1358"/>
      <c r="G85" s="2175"/>
      <c r="H85" s="1264"/>
      <c r="I85" s="1265"/>
      <c r="J85" s="1264"/>
      <c r="K85" s="1265"/>
      <c r="L85" s="1364"/>
    </row>
    <row r="86" spans="1:18" s="1199" customFormat="1" ht="24" customHeight="1">
      <c r="A86" s="1339"/>
      <c r="B86" s="1259" t="s">
        <v>1211</v>
      </c>
      <c r="C86" s="1260"/>
      <c r="D86" s="1260"/>
      <c r="E86" s="1261"/>
      <c r="F86" s="1207" t="s">
        <v>363</v>
      </c>
      <c r="G86" s="2175">
        <v>2400</v>
      </c>
      <c r="H86" s="1264">
        <f t="shared" ref="H86:H108" si="7">ROUND(G86*E86,)</f>
        <v>0</v>
      </c>
      <c r="I86" s="1265"/>
      <c r="J86" s="1264"/>
      <c r="K86" s="1265">
        <f t="shared" ref="K86:K108" si="8">J86+H86</f>
        <v>0</v>
      </c>
      <c r="L86" s="1266"/>
      <c r="N86" s="1363"/>
      <c r="O86" s="1363"/>
      <c r="P86" s="1363"/>
      <c r="Q86" s="1363"/>
      <c r="R86" s="1363"/>
    </row>
    <row r="87" spans="1:18" s="1199" customFormat="1" ht="24" customHeight="1">
      <c r="A87" s="1339"/>
      <c r="B87" s="1259" t="s">
        <v>1212</v>
      </c>
      <c r="C87" s="1260"/>
      <c r="D87" s="1260"/>
      <c r="E87" s="1261"/>
      <c r="F87" s="1207" t="s">
        <v>363</v>
      </c>
      <c r="G87" s="2175">
        <v>2400</v>
      </c>
      <c r="H87" s="1264">
        <f t="shared" si="7"/>
        <v>0</v>
      </c>
      <c r="I87" s="1265"/>
      <c r="J87" s="1264"/>
      <c r="K87" s="1265">
        <f t="shared" si="8"/>
        <v>0</v>
      </c>
      <c r="L87" s="1266"/>
      <c r="N87" s="1363"/>
      <c r="O87" s="1363"/>
      <c r="P87" s="1363"/>
      <c r="Q87" s="1363"/>
      <c r="R87" s="1363"/>
    </row>
    <row r="88" spans="1:18" s="1199" customFormat="1" ht="24" customHeight="1">
      <c r="A88" s="1339"/>
      <c r="B88" s="1259" t="s">
        <v>1213</v>
      </c>
      <c r="C88" s="1260"/>
      <c r="D88" s="1260"/>
      <c r="E88" s="1261"/>
      <c r="F88" s="1207" t="s">
        <v>363</v>
      </c>
      <c r="G88" s="2175">
        <v>2400</v>
      </c>
      <c r="H88" s="1264">
        <f t="shared" si="7"/>
        <v>0</v>
      </c>
      <c r="I88" s="1265"/>
      <c r="J88" s="1264"/>
      <c r="K88" s="1265">
        <f t="shared" si="8"/>
        <v>0</v>
      </c>
      <c r="L88" s="1266"/>
    </row>
    <row r="89" spans="1:18" s="1199" customFormat="1" ht="24" customHeight="1">
      <c r="A89" s="1339"/>
      <c r="B89" s="1259" t="s">
        <v>1214</v>
      </c>
      <c r="C89" s="1260"/>
      <c r="D89" s="1260"/>
      <c r="E89" s="1261"/>
      <c r="F89" s="1207" t="s">
        <v>363</v>
      </c>
      <c r="G89" s="2175">
        <v>2400</v>
      </c>
      <c r="H89" s="1264">
        <f t="shared" si="7"/>
        <v>0</v>
      </c>
      <c r="I89" s="1265"/>
      <c r="J89" s="1264"/>
      <c r="K89" s="1265">
        <f t="shared" si="8"/>
        <v>0</v>
      </c>
      <c r="L89" s="1266"/>
    </row>
    <row r="90" spans="1:18" s="1199" customFormat="1" ht="24" customHeight="1">
      <c r="A90" s="1339"/>
      <c r="B90" s="1259" t="s">
        <v>1215</v>
      </c>
      <c r="C90" s="1260"/>
      <c r="D90" s="1260"/>
      <c r="E90" s="1261">
        <v>3</v>
      </c>
      <c r="F90" s="1207" t="s">
        <v>363</v>
      </c>
      <c r="G90" s="2175">
        <v>2400</v>
      </c>
      <c r="H90" s="1264">
        <f t="shared" si="7"/>
        <v>7200</v>
      </c>
      <c r="I90" s="1265"/>
      <c r="J90" s="1264"/>
      <c r="K90" s="1265">
        <f t="shared" si="8"/>
        <v>7200</v>
      </c>
      <c r="L90" s="1266"/>
    </row>
    <row r="91" spans="1:18" s="1199" customFormat="1" ht="24" customHeight="1">
      <c r="A91" s="1339"/>
      <c r="B91" s="1259" t="s">
        <v>1216</v>
      </c>
      <c r="C91" s="1260"/>
      <c r="D91" s="1260"/>
      <c r="E91" s="1261"/>
      <c r="F91" s="1207" t="s">
        <v>363</v>
      </c>
      <c r="G91" s="2175">
        <v>2400</v>
      </c>
      <c r="H91" s="1264">
        <f t="shared" si="7"/>
        <v>0</v>
      </c>
      <c r="I91" s="1265"/>
      <c r="J91" s="1264"/>
      <c r="K91" s="1265">
        <f t="shared" si="8"/>
        <v>0</v>
      </c>
      <c r="L91" s="1266"/>
    </row>
    <row r="92" spans="1:18" s="1199" customFormat="1" ht="24" customHeight="1">
      <c r="A92" s="1339"/>
      <c r="B92" s="1259" t="s">
        <v>1257</v>
      </c>
      <c r="C92" s="1260"/>
      <c r="D92" s="1260"/>
      <c r="E92" s="1261"/>
      <c r="F92" s="1207" t="s">
        <v>363</v>
      </c>
      <c r="G92" s="2175">
        <v>2600</v>
      </c>
      <c r="H92" s="1264">
        <f t="shared" si="7"/>
        <v>0</v>
      </c>
      <c r="I92" s="1265"/>
      <c r="J92" s="1264"/>
      <c r="K92" s="1265">
        <f t="shared" si="8"/>
        <v>0</v>
      </c>
      <c r="L92" s="1266"/>
    </row>
    <row r="93" spans="1:18" s="1199" customFormat="1" ht="24" customHeight="1">
      <c r="A93" s="1339"/>
      <c r="B93" s="1259" t="s">
        <v>1217</v>
      </c>
      <c r="C93" s="1260"/>
      <c r="D93" s="1260"/>
      <c r="E93" s="1261">
        <v>1</v>
      </c>
      <c r="F93" s="1207" t="s">
        <v>363</v>
      </c>
      <c r="G93" s="2175">
        <v>3000</v>
      </c>
      <c r="H93" s="1264">
        <f t="shared" si="7"/>
        <v>3000</v>
      </c>
      <c r="I93" s="1265"/>
      <c r="J93" s="1264"/>
      <c r="K93" s="1265">
        <f t="shared" si="8"/>
        <v>3000</v>
      </c>
      <c r="L93" s="1266"/>
    </row>
    <row r="94" spans="1:18" s="1199" customFormat="1" ht="24" customHeight="1">
      <c r="A94" s="1339"/>
      <c r="B94" s="1259" t="s">
        <v>1218</v>
      </c>
      <c r="C94" s="1260"/>
      <c r="D94" s="1260"/>
      <c r="E94" s="1261"/>
      <c r="F94" s="1207" t="s">
        <v>363</v>
      </c>
      <c r="G94" s="2175">
        <v>5000</v>
      </c>
      <c r="H94" s="1264">
        <f t="shared" si="7"/>
        <v>0</v>
      </c>
      <c r="I94" s="1265"/>
      <c r="J94" s="1264"/>
      <c r="K94" s="1265">
        <f t="shared" si="8"/>
        <v>0</v>
      </c>
      <c r="L94" s="1266"/>
    </row>
    <row r="95" spans="1:18" s="1199" customFormat="1" ht="24" customHeight="1">
      <c r="A95" s="1339"/>
      <c r="B95" s="1259" t="s">
        <v>1258</v>
      </c>
      <c r="C95" s="1260"/>
      <c r="D95" s="1260"/>
      <c r="E95" s="1261"/>
      <c r="F95" s="1207" t="s">
        <v>363</v>
      </c>
      <c r="G95" s="2175">
        <v>5700</v>
      </c>
      <c r="H95" s="1264">
        <f t="shared" si="7"/>
        <v>0</v>
      </c>
      <c r="I95" s="1265"/>
      <c r="J95" s="1264"/>
      <c r="K95" s="1265">
        <f t="shared" si="8"/>
        <v>0</v>
      </c>
      <c r="L95" s="1266"/>
    </row>
    <row r="96" spans="1:18" s="1199" customFormat="1" ht="24" customHeight="1">
      <c r="A96" s="1339"/>
      <c r="B96" s="1259" t="s">
        <v>1259</v>
      </c>
      <c r="C96" s="1260"/>
      <c r="D96" s="1260"/>
      <c r="E96" s="1261"/>
      <c r="F96" s="1207" t="s">
        <v>363</v>
      </c>
      <c r="G96" s="2175">
        <v>5700</v>
      </c>
      <c r="H96" s="1264">
        <f t="shared" si="7"/>
        <v>0</v>
      </c>
      <c r="I96" s="1265"/>
      <c r="J96" s="1264"/>
      <c r="K96" s="1265">
        <f t="shared" si="8"/>
        <v>0</v>
      </c>
      <c r="L96" s="1266"/>
    </row>
    <row r="97" spans="1:18" s="1199" customFormat="1" ht="24" customHeight="1">
      <c r="A97" s="1339"/>
      <c r="B97" s="1259" t="s">
        <v>1220</v>
      </c>
      <c r="C97" s="1260"/>
      <c r="D97" s="1260"/>
      <c r="E97" s="1261"/>
      <c r="F97" s="1207" t="s">
        <v>363</v>
      </c>
      <c r="G97" s="2175">
        <v>8600</v>
      </c>
      <c r="H97" s="1264">
        <f t="shared" si="7"/>
        <v>0</v>
      </c>
      <c r="I97" s="1265"/>
      <c r="J97" s="1264"/>
      <c r="K97" s="1265">
        <f t="shared" si="8"/>
        <v>0</v>
      </c>
      <c r="L97" s="1266"/>
    </row>
    <row r="98" spans="1:18" s="1199" customFormat="1" ht="24" customHeight="1">
      <c r="A98" s="1339"/>
      <c r="B98" s="1259" t="s">
        <v>1260</v>
      </c>
      <c r="C98" s="1260"/>
      <c r="D98" s="1260"/>
      <c r="E98" s="1261"/>
      <c r="F98" s="1207" t="s">
        <v>363</v>
      </c>
      <c r="G98" s="2175">
        <v>8600</v>
      </c>
      <c r="H98" s="1264">
        <f t="shared" si="7"/>
        <v>0</v>
      </c>
      <c r="I98" s="1265"/>
      <c r="J98" s="1264"/>
      <c r="K98" s="1265">
        <f t="shared" si="8"/>
        <v>0</v>
      </c>
      <c r="L98" s="1266"/>
    </row>
    <row r="99" spans="1:18" s="1199" customFormat="1" ht="24" customHeight="1">
      <c r="A99" s="1339"/>
      <c r="B99" s="1259" t="s">
        <v>1261</v>
      </c>
      <c r="C99" s="1260"/>
      <c r="D99" s="1260"/>
      <c r="E99" s="1261"/>
      <c r="F99" s="1207" t="s">
        <v>363</v>
      </c>
      <c r="G99" s="2175">
        <v>8600</v>
      </c>
      <c r="H99" s="1264">
        <f t="shared" si="7"/>
        <v>0</v>
      </c>
      <c r="I99" s="1265"/>
      <c r="J99" s="1264"/>
      <c r="K99" s="1265">
        <f t="shared" si="8"/>
        <v>0</v>
      </c>
      <c r="L99" s="1266"/>
    </row>
    <row r="100" spans="1:18" s="1199" customFormat="1" ht="24" customHeight="1">
      <c r="A100" s="1339"/>
      <c r="B100" s="1259" t="s">
        <v>1221</v>
      </c>
      <c r="C100" s="1260"/>
      <c r="D100" s="1260"/>
      <c r="E100" s="1261"/>
      <c r="F100" s="1207" t="s">
        <v>363</v>
      </c>
      <c r="G100" s="2175">
        <v>11500</v>
      </c>
      <c r="H100" s="1264">
        <f t="shared" si="7"/>
        <v>0</v>
      </c>
      <c r="I100" s="1265"/>
      <c r="J100" s="1264"/>
      <c r="K100" s="1265">
        <f t="shared" si="8"/>
        <v>0</v>
      </c>
      <c r="L100" s="1266"/>
    </row>
    <row r="101" spans="1:18" s="1199" customFormat="1" ht="24" customHeight="1">
      <c r="A101" s="1339"/>
      <c r="B101" s="1259" t="s">
        <v>1262</v>
      </c>
      <c r="C101" s="1260"/>
      <c r="D101" s="1260"/>
      <c r="E101" s="1261"/>
      <c r="F101" s="1207" t="s">
        <v>363</v>
      </c>
      <c r="G101" s="2175">
        <v>20200</v>
      </c>
      <c r="H101" s="1264">
        <f t="shared" si="7"/>
        <v>0</v>
      </c>
      <c r="I101" s="1265"/>
      <c r="J101" s="1264"/>
      <c r="K101" s="1265">
        <f t="shared" si="8"/>
        <v>0</v>
      </c>
      <c r="L101" s="1266"/>
    </row>
    <row r="102" spans="1:18" s="1199" customFormat="1" ht="24" customHeight="1">
      <c r="A102" s="1339"/>
      <c r="B102" s="1259" t="s">
        <v>1263</v>
      </c>
      <c r="C102" s="1260"/>
      <c r="D102" s="1260"/>
      <c r="E102" s="1261"/>
      <c r="F102" s="1207" t="s">
        <v>363</v>
      </c>
      <c r="G102" s="2175">
        <v>20200</v>
      </c>
      <c r="H102" s="1264">
        <f t="shared" si="7"/>
        <v>0</v>
      </c>
      <c r="I102" s="1265"/>
      <c r="J102" s="1264"/>
      <c r="K102" s="1265">
        <f t="shared" si="8"/>
        <v>0</v>
      </c>
      <c r="L102" s="1266"/>
    </row>
    <row r="103" spans="1:18" s="1199" customFormat="1" ht="24" customHeight="1">
      <c r="A103" s="1339" t="s">
        <v>1619</v>
      </c>
      <c r="B103" s="1259" t="s">
        <v>1143</v>
      </c>
      <c r="C103" s="1260"/>
      <c r="D103" s="1260"/>
      <c r="E103" s="1261"/>
      <c r="F103" s="1358"/>
      <c r="G103" s="2175"/>
      <c r="H103" s="1264">
        <f t="shared" si="7"/>
        <v>0</v>
      </c>
      <c r="I103" s="1265"/>
      <c r="J103" s="1264"/>
      <c r="K103" s="1265">
        <f t="shared" si="8"/>
        <v>0</v>
      </c>
      <c r="L103" s="1364"/>
    </row>
    <row r="104" spans="1:18" s="1199" customFormat="1" ht="24" customHeight="1">
      <c r="A104" s="1339"/>
      <c r="B104" s="1259" t="s">
        <v>1267</v>
      </c>
      <c r="C104" s="1260"/>
      <c r="D104" s="1260"/>
      <c r="E104" s="1261">
        <v>3</v>
      </c>
      <c r="F104" s="1207" t="s">
        <v>363</v>
      </c>
      <c r="G104" s="2175">
        <v>600</v>
      </c>
      <c r="H104" s="1264">
        <f t="shared" si="7"/>
        <v>1800</v>
      </c>
      <c r="I104" s="1265"/>
      <c r="J104" s="1264"/>
      <c r="K104" s="1265">
        <f t="shared" si="8"/>
        <v>1800</v>
      </c>
      <c r="L104" s="1364"/>
    </row>
    <row r="105" spans="1:18" s="1199" customFormat="1" ht="24" customHeight="1">
      <c r="A105" s="1339"/>
      <c r="B105" s="1259" t="s">
        <v>1145</v>
      </c>
      <c r="C105" s="1260"/>
      <c r="D105" s="1260"/>
      <c r="E105" s="1261">
        <v>3</v>
      </c>
      <c r="F105" s="1207" t="s">
        <v>363</v>
      </c>
      <c r="G105" s="2175">
        <v>120</v>
      </c>
      <c r="H105" s="1264">
        <f t="shared" si="7"/>
        <v>360</v>
      </c>
      <c r="I105" s="1265"/>
      <c r="J105" s="1264"/>
      <c r="K105" s="1265">
        <f t="shared" si="8"/>
        <v>360</v>
      </c>
      <c r="L105" s="1364"/>
    </row>
    <row r="106" spans="1:18" s="1199" customFormat="1" ht="24" customHeight="1">
      <c r="A106" s="1339"/>
      <c r="B106" s="1259" t="s">
        <v>1146</v>
      </c>
      <c r="C106" s="1260"/>
      <c r="D106" s="1260"/>
      <c r="E106" s="1261">
        <v>3</v>
      </c>
      <c r="F106" s="1207" t="s">
        <v>363</v>
      </c>
      <c r="G106" s="2175">
        <v>100</v>
      </c>
      <c r="H106" s="1264">
        <f t="shared" si="7"/>
        <v>300</v>
      </c>
      <c r="I106" s="1265"/>
      <c r="J106" s="1264"/>
      <c r="K106" s="1265">
        <f t="shared" si="8"/>
        <v>300</v>
      </c>
      <c r="L106" s="1364"/>
    </row>
    <row r="107" spans="1:18" s="1199" customFormat="1" ht="24" customHeight="1">
      <c r="A107" s="1339"/>
      <c r="B107" s="1259" t="s">
        <v>1224</v>
      </c>
      <c r="C107" s="1260"/>
      <c r="D107" s="1260"/>
      <c r="E107" s="1261">
        <v>3</v>
      </c>
      <c r="F107" s="1207" t="s">
        <v>363</v>
      </c>
      <c r="G107" s="2175">
        <v>15435</v>
      </c>
      <c r="H107" s="1264">
        <f t="shared" si="7"/>
        <v>46305</v>
      </c>
      <c r="I107" s="1265"/>
      <c r="J107" s="1264"/>
      <c r="K107" s="1265">
        <f t="shared" si="8"/>
        <v>46305</v>
      </c>
      <c r="L107" s="1364"/>
    </row>
    <row r="108" spans="1:18" s="1199" customFormat="1" ht="24" customHeight="1">
      <c r="A108" s="1339" t="s">
        <v>1620</v>
      </c>
      <c r="B108" s="1259" t="s">
        <v>1226</v>
      </c>
      <c r="C108" s="1260"/>
      <c r="D108" s="1260"/>
      <c r="E108" s="1261">
        <v>1</v>
      </c>
      <c r="F108" s="1207" t="s">
        <v>1104</v>
      </c>
      <c r="G108" s="2175">
        <v>27400</v>
      </c>
      <c r="H108" s="1264">
        <f t="shared" si="7"/>
        <v>27400</v>
      </c>
      <c r="I108" s="1265">
        <f>G108*0.3</f>
        <v>8220</v>
      </c>
      <c r="J108" s="1264">
        <f>ROUND(E108*I108,)</f>
        <v>8220</v>
      </c>
      <c r="K108" s="1265">
        <f t="shared" si="8"/>
        <v>35620</v>
      </c>
      <c r="L108" s="1364"/>
    </row>
    <row r="109" spans="1:18" s="1199" customFormat="1" ht="24" customHeight="1">
      <c r="A109" s="1361" t="s">
        <v>1123</v>
      </c>
      <c r="B109" s="1362" t="s">
        <v>1285</v>
      </c>
      <c r="C109" s="1260"/>
      <c r="D109" s="1260"/>
      <c r="E109" s="1261"/>
      <c r="F109" s="1358"/>
      <c r="G109" s="2175"/>
      <c r="H109" s="1264"/>
      <c r="I109" s="1265"/>
      <c r="J109" s="1264"/>
      <c r="K109" s="1265"/>
      <c r="L109" s="1364"/>
    </row>
    <row r="110" spans="1:18" s="1199" customFormat="1" ht="24" customHeight="1">
      <c r="A110" s="1339" t="s">
        <v>2923</v>
      </c>
      <c r="B110" s="1259" t="s">
        <v>1210</v>
      </c>
      <c r="C110" s="1260"/>
      <c r="D110" s="1260"/>
      <c r="E110" s="1261"/>
      <c r="F110" s="1358"/>
      <c r="G110" s="2175"/>
      <c r="H110" s="1264"/>
      <c r="I110" s="1265"/>
      <c r="J110" s="1264"/>
      <c r="K110" s="1265"/>
      <c r="L110" s="1364"/>
    </row>
    <row r="111" spans="1:18" s="1199" customFormat="1" ht="24" customHeight="1">
      <c r="A111" s="1339"/>
      <c r="B111" s="1259" t="s">
        <v>1211</v>
      </c>
      <c r="C111" s="1260"/>
      <c r="D111" s="1260"/>
      <c r="E111" s="1261"/>
      <c r="F111" s="1207" t="s">
        <v>363</v>
      </c>
      <c r="G111" s="2175">
        <v>2400</v>
      </c>
      <c r="H111" s="1264">
        <f t="shared" ref="H111:H133" si="9">ROUND(G111*E111,)</f>
        <v>0</v>
      </c>
      <c r="I111" s="1265"/>
      <c r="J111" s="1264"/>
      <c r="K111" s="1265">
        <f t="shared" ref="K111:K133" si="10">J111+H111</f>
        <v>0</v>
      </c>
      <c r="L111" s="1266"/>
      <c r="N111" s="1363"/>
      <c r="O111" s="1363"/>
      <c r="P111" s="1363"/>
      <c r="Q111" s="1363"/>
      <c r="R111" s="1363"/>
    </row>
    <row r="112" spans="1:18" s="1199" customFormat="1" ht="24" customHeight="1">
      <c r="A112" s="1339"/>
      <c r="B112" s="1259" t="s">
        <v>1212</v>
      </c>
      <c r="C112" s="1260"/>
      <c r="D112" s="1260"/>
      <c r="E112" s="1261"/>
      <c r="F112" s="1207" t="s">
        <v>363</v>
      </c>
      <c r="G112" s="2175">
        <v>2400</v>
      </c>
      <c r="H112" s="1264">
        <f t="shared" si="9"/>
        <v>0</v>
      </c>
      <c r="I112" s="1265"/>
      <c r="J112" s="1264"/>
      <c r="K112" s="1265">
        <f t="shared" si="10"/>
        <v>0</v>
      </c>
      <c r="L112" s="1266"/>
      <c r="N112" s="1363"/>
      <c r="O112" s="1363"/>
      <c r="P112" s="1363"/>
      <c r="Q112" s="1363"/>
      <c r="R112" s="1363"/>
    </row>
    <row r="113" spans="1:12" s="1199" customFormat="1" ht="24" customHeight="1">
      <c r="A113" s="1339"/>
      <c r="B113" s="1259" t="s">
        <v>1213</v>
      </c>
      <c r="C113" s="1260"/>
      <c r="D113" s="1260"/>
      <c r="E113" s="1261"/>
      <c r="F113" s="1207" t="s">
        <v>363</v>
      </c>
      <c r="G113" s="2175">
        <v>2400</v>
      </c>
      <c r="H113" s="1264">
        <f t="shared" si="9"/>
        <v>0</v>
      </c>
      <c r="I113" s="1265"/>
      <c r="J113" s="1264"/>
      <c r="K113" s="1265">
        <f t="shared" si="10"/>
        <v>0</v>
      </c>
      <c r="L113" s="1266"/>
    </row>
    <row r="114" spans="1:12" s="1199" customFormat="1" ht="24" customHeight="1">
      <c r="A114" s="1339"/>
      <c r="B114" s="1259" t="s">
        <v>1214</v>
      </c>
      <c r="C114" s="1260"/>
      <c r="D114" s="1260"/>
      <c r="E114" s="1261"/>
      <c r="F114" s="1207" t="s">
        <v>363</v>
      </c>
      <c r="G114" s="2175">
        <v>2400</v>
      </c>
      <c r="H114" s="1264">
        <f t="shared" si="9"/>
        <v>0</v>
      </c>
      <c r="I114" s="1265"/>
      <c r="J114" s="1264"/>
      <c r="K114" s="1265">
        <f t="shared" si="10"/>
        <v>0</v>
      </c>
      <c r="L114" s="1266"/>
    </row>
    <row r="115" spans="1:12" s="1199" customFormat="1" ht="24" customHeight="1">
      <c r="A115" s="1339"/>
      <c r="B115" s="1259" t="s">
        <v>1215</v>
      </c>
      <c r="C115" s="1260"/>
      <c r="D115" s="1260"/>
      <c r="E115" s="1261">
        <v>3</v>
      </c>
      <c r="F115" s="1207" t="s">
        <v>363</v>
      </c>
      <c r="G115" s="2175">
        <v>2400</v>
      </c>
      <c r="H115" s="1264">
        <f t="shared" si="9"/>
        <v>7200</v>
      </c>
      <c r="I115" s="1265"/>
      <c r="J115" s="1264"/>
      <c r="K115" s="1265">
        <f t="shared" si="10"/>
        <v>7200</v>
      </c>
      <c r="L115" s="1266"/>
    </row>
    <row r="116" spans="1:12" s="1199" customFormat="1" ht="24" customHeight="1">
      <c r="A116" s="1339"/>
      <c r="B116" s="1259" t="s">
        <v>1216</v>
      </c>
      <c r="C116" s="1260"/>
      <c r="D116" s="1260"/>
      <c r="E116" s="1261"/>
      <c r="F116" s="1207" t="s">
        <v>363</v>
      </c>
      <c r="G116" s="2175">
        <v>2400</v>
      </c>
      <c r="H116" s="1264">
        <f t="shared" si="9"/>
        <v>0</v>
      </c>
      <c r="I116" s="1265"/>
      <c r="J116" s="1264"/>
      <c r="K116" s="1265">
        <f t="shared" si="10"/>
        <v>0</v>
      </c>
      <c r="L116" s="1266"/>
    </row>
    <row r="117" spans="1:12" s="1199" customFormat="1" ht="24" customHeight="1">
      <c r="A117" s="1339"/>
      <c r="B117" s="1259" t="s">
        <v>1257</v>
      </c>
      <c r="C117" s="1260"/>
      <c r="D117" s="1260"/>
      <c r="E117" s="1261"/>
      <c r="F117" s="1207" t="s">
        <v>363</v>
      </c>
      <c r="G117" s="2175">
        <v>2600</v>
      </c>
      <c r="H117" s="1264">
        <f t="shared" si="9"/>
        <v>0</v>
      </c>
      <c r="I117" s="1265"/>
      <c r="J117" s="1264"/>
      <c r="K117" s="1265">
        <f t="shared" si="10"/>
        <v>0</v>
      </c>
      <c r="L117" s="1266"/>
    </row>
    <row r="118" spans="1:12" s="1199" customFormat="1" ht="24" customHeight="1">
      <c r="A118" s="1339"/>
      <c r="B118" s="1259" t="s">
        <v>1217</v>
      </c>
      <c r="C118" s="1260"/>
      <c r="D118" s="1260"/>
      <c r="E118" s="1261">
        <v>1</v>
      </c>
      <c r="F118" s="1207" t="s">
        <v>363</v>
      </c>
      <c r="G118" s="2175">
        <v>3000</v>
      </c>
      <c r="H118" s="1264">
        <f t="shared" si="9"/>
        <v>3000</v>
      </c>
      <c r="I118" s="1265"/>
      <c r="J118" s="1264"/>
      <c r="K118" s="1265">
        <f t="shared" si="10"/>
        <v>3000</v>
      </c>
      <c r="L118" s="1266"/>
    </row>
    <row r="119" spans="1:12" s="1199" customFormat="1" ht="24" customHeight="1">
      <c r="A119" s="1339"/>
      <c r="B119" s="1259" t="s">
        <v>1218</v>
      </c>
      <c r="C119" s="1260"/>
      <c r="D119" s="1260"/>
      <c r="E119" s="1261"/>
      <c r="F119" s="1207" t="s">
        <v>363</v>
      </c>
      <c r="G119" s="2175">
        <v>5000</v>
      </c>
      <c r="H119" s="1264">
        <f t="shared" si="9"/>
        <v>0</v>
      </c>
      <c r="I119" s="1265"/>
      <c r="J119" s="1264"/>
      <c r="K119" s="1265">
        <f t="shared" si="10"/>
        <v>0</v>
      </c>
      <c r="L119" s="1266"/>
    </row>
    <row r="120" spans="1:12" s="1199" customFormat="1" ht="24" customHeight="1">
      <c r="A120" s="1339"/>
      <c r="B120" s="1259" t="s">
        <v>1258</v>
      </c>
      <c r="C120" s="1260"/>
      <c r="D120" s="1260"/>
      <c r="E120" s="1261"/>
      <c r="F120" s="1207" t="s">
        <v>363</v>
      </c>
      <c r="G120" s="2175">
        <v>5700</v>
      </c>
      <c r="H120" s="1264">
        <f t="shared" si="9"/>
        <v>0</v>
      </c>
      <c r="I120" s="1265"/>
      <c r="J120" s="1264"/>
      <c r="K120" s="1265">
        <f t="shared" si="10"/>
        <v>0</v>
      </c>
      <c r="L120" s="1266"/>
    </row>
    <row r="121" spans="1:12" s="1199" customFormat="1" ht="24" customHeight="1">
      <c r="A121" s="1339"/>
      <c r="B121" s="1259" t="s">
        <v>1259</v>
      </c>
      <c r="C121" s="1260"/>
      <c r="D121" s="1260"/>
      <c r="E121" s="1261"/>
      <c r="F121" s="1207" t="s">
        <v>363</v>
      </c>
      <c r="G121" s="2175">
        <v>5700</v>
      </c>
      <c r="H121" s="1264">
        <f t="shared" si="9"/>
        <v>0</v>
      </c>
      <c r="I121" s="1265"/>
      <c r="J121" s="1264"/>
      <c r="K121" s="1265">
        <f t="shared" si="10"/>
        <v>0</v>
      </c>
      <c r="L121" s="1266"/>
    </row>
    <row r="122" spans="1:12" s="1199" customFormat="1" ht="24" customHeight="1">
      <c r="A122" s="1339"/>
      <c r="B122" s="1259" t="s">
        <v>1220</v>
      </c>
      <c r="C122" s="1260"/>
      <c r="D122" s="1260"/>
      <c r="E122" s="1261"/>
      <c r="F122" s="1207" t="s">
        <v>363</v>
      </c>
      <c r="G122" s="2175">
        <v>8600</v>
      </c>
      <c r="H122" s="1264">
        <f t="shared" si="9"/>
        <v>0</v>
      </c>
      <c r="I122" s="1265"/>
      <c r="J122" s="1264"/>
      <c r="K122" s="1265">
        <f t="shared" si="10"/>
        <v>0</v>
      </c>
      <c r="L122" s="1266"/>
    </row>
    <row r="123" spans="1:12" s="1199" customFormat="1" ht="24" customHeight="1">
      <c r="A123" s="1339"/>
      <c r="B123" s="1259" t="s">
        <v>1260</v>
      </c>
      <c r="C123" s="1260"/>
      <c r="D123" s="1260"/>
      <c r="E123" s="1261"/>
      <c r="F123" s="1207" t="s">
        <v>363</v>
      </c>
      <c r="G123" s="2175">
        <v>8600</v>
      </c>
      <c r="H123" s="1264">
        <f t="shared" si="9"/>
        <v>0</v>
      </c>
      <c r="I123" s="1265"/>
      <c r="J123" s="1264"/>
      <c r="K123" s="1265">
        <f t="shared" si="10"/>
        <v>0</v>
      </c>
      <c r="L123" s="1266"/>
    </row>
    <row r="124" spans="1:12" s="1199" customFormat="1" ht="24" customHeight="1">
      <c r="A124" s="1339"/>
      <c r="B124" s="1259" t="s">
        <v>1261</v>
      </c>
      <c r="C124" s="1260"/>
      <c r="D124" s="1260"/>
      <c r="E124" s="1261"/>
      <c r="F124" s="1207" t="s">
        <v>363</v>
      </c>
      <c r="G124" s="2175">
        <v>8600</v>
      </c>
      <c r="H124" s="1264">
        <f t="shared" si="9"/>
        <v>0</v>
      </c>
      <c r="I124" s="1265"/>
      <c r="J124" s="1264"/>
      <c r="K124" s="1265">
        <f t="shared" si="10"/>
        <v>0</v>
      </c>
      <c r="L124" s="1266"/>
    </row>
    <row r="125" spans="1:12" s="1199" customFormat="1" ht="24" customHeight="1">
      <c r="A125" s="1339"/>
      <c r="B125" s="1259" t="s">
        <v>1221</v>
      </c>
      <c r="C125" s="1260"/>
      <c r="D125" s="1260"/>
      <c r="E125" s="1261"/>
      <c r="F125" s="1207" t="s">
        <v>363</v>
      </c>
      <c r="G125" s="2175">
        <v>11500</v>
      </c>
      <c r="H125" s="1264">
        <f t="shared" si="9"/>
        <v>0</v>
      </c>
      <c r="I125" s="1265"/>
      <c r="J125" s="1264"/>
      <c r="K125" s="1265">
        <f t="shared" si="10"/>
        <v>0</v>
      </c>
      <c r="L125" s="1266"/>
    </row>
    <row r="126" spans="1:12" s="1199" customFormat="1" ht="24" customHeight="1">
      <c r="A126" s="1339"/>
      <c r="B126" s="1259" t="s">
        <v>1262</v>
      </c>
      <c r="C126" s="1260"/>
      <c r="D126" s="1260"/>
      <c r="E126" s="1261"/>
      <c r="F126" s="1207" t="s">
        <v>363</v>
      </c>
      <c r="G126" s="2175">
        <v>20200</v>
      </c>
      <c r="H126" s="1264">
        <f t="shared" si="9"/>
        <v>0</v>
      </c>
      <c r="I126" s="1265"/>
      <c r="J126" s="1264"/>
      <c r="K126" s="1265">
        <f t="shared" si="10"/>
        <v>0</v>
      </c>
      <c r="L126" s="1266"/>
    </row>
    <row r="127" spans="1:12" s="1199" customFormat="1" ht="24" customHeight="1">
      <c r="A127" s="1339"/>
      <c r="B127" s="1259" t="s">
        <v>1263</v>
      </c>
      <c r="C127" s="1260"/>
      <c r="D127" s="1260"/>
      <c r="E127" s="1261"/>
      <c r="F127" s="1207" t="s">
        <v>363</v>
      </c>
      <c r="G127" s="2175">
        <v>20200</v>
      </c>
      <c r="H127" s="1264">
        <f t="shared" si="9"/>
        <v>0</v>
      </c>
      <c r="I127" s="1265"/>
      <c r="J127" s="1264"/>
      <c r="K127" s="1265">
        <f t="shared" si="10"/>
        <v>0</v>
      </c>
      <c r="L127" s="1266"/>
    </row>
    <row r="128" spans="1:12" s="1199" customFormat="1" ht="24" customHeight="1">
      <c r="A128" s="1339" t="s">
        <v>2924</v>
      </c>
      <c r="B128" s="1259" t="s">
        <v>1143</v>
      </c>
      <c r="C128" s="1260"/>
      <c r="D128" s="1260"/>
      <c r="E128" s="1261"/>
      <c r="F128" s="1358"/>
      <c r="G128" s="2175"/>
      <c r="H128" s="1264">
        <f t="shared" si="9"/>
        <v>0</v>
      </c>
      <c r="I128" s="1265"/>
      <c r="J128" s="1264"/>
      <c r="K128" s="1265">
        <f t="shared" si="10"/>
        <v>0</v>
      </c>
      <c r="L128" s="1364"/>
    </row>
    <row r="129" spans="1:17" s="1199" customFormat="1" ht="24" customHeight="1">
      <c r="A129" s="1339"/>
      <c r="B129" s="1259" t="s">
        <v>1267</v>
      </c>
      <c r="C129" s="1260"/>
      <c r="D129" s="1260"/>
      <c r="E129" s="1261">
        <v>3</v>
      </c>
      <c r="F129" s="1207" t="s">
        <v>363</v>
      </c>
      <c r="G129" s="2175">
        <v>600</v>
      </c>
      <c r="H129" s="1264">
        <f t="shared" si="9"/>
        <v>1800</v>
      </c>
      <c r="I129" s="1265"/>
      <c r="J129" s="1264"/>
      <c r="K129" s="1265">
        <f t="shared" si="10"/>
        <v>1800</v>
      </c>
      <c r="L129" s="1364"/>
    </row>
    <row r="130" spans="1:17" s="1199" customFormat="1" ht="24" customHeight="1">
      <c r="A130" s="1339"/>
      <c r="B130" s="1259" t="s">
        <v>1145</v>
      </c>
      <c r="C130" s="1260"/>
      <c r="D130" s="1260"/>
      <c r="E130" s="1261">
        <v>3</v>
      </c>
      <c r="F130" s="1207" t="s">
        <v>363</v>
      </c>
      <c r="G130" s="2175">
        <v>120</v>
      </c>
      <c r="H130" s="1264">
        <f t="shared" si="9"/>
        <v>360</v>
      </c>
      <c r="I130" s="1265"/>
      <c r="J130" s="1264"/>
      <c r="K130" s="1265">
        <f t="shared" si="10"/>
        <v>360</v>
      </c>
      <c r="L130" s="1364"/>
    </row>
    <row r="131" spans="1:17" s="1199" customFormat="1" ht="24" customHeight="1">
      <c r="A131" s="1339"/>
      <c r="B131" s="1259" t="s">
        <v>1146</v>
      </c>
      <c r="C131" s="1260"/>
      <c r="D131" s="1260"/>
      <c r="E131" s="1261">
        <v>3</v>
      </c>
      <c r="F131" s="1207" t="s">
        <v>363</v>
      </c>
      <c r="G131" s="2175">
        <v>100</v>
      </c>
      <c r="H131" s="1264">
        <f t="shared" si="9"/>
        <v>300</v>
      </c>
      <c r="I131" s="1265"/>
      <c r="J131" s="1264"/>
      <c r="K131" s="1265">
        <f t="shared" si="10"/>
        <v>300</v>
      </c>
      <c r="L131" s="1364"/>
    </row>
    <row r="132" spans="1:17" s="1199" customFormat="1" ht="24" customHeight="1">
      <c r="A132" s="1339"/>
      <c r="B132" s="1259" t="s">
        <v>1224</v>
      </c>
      <c r="C132" s="1260"/>
      <c r="D132" s="1260"/>
      <c r="E132" s="1261">
        <v>3</v>
      </c>
      <c r="F132" s="1207" t="s">
        <v>363</v>
      </c>
      <c r="G132" s="2175">
        <v>15435</v>
      </c>
      <c r="H132" s="1264">
        <f t="shared" si="9"/>
        <v>46305</v>
      </c>
      <c r="I132" s="1265"/>
      <c r="J132" s="1264"/>
      <c r="K132" s="1265">
        <f t="shared" si="10"/>
        <v>46305</v>
      </c>
      <c r="L132" s="1364"/>
    </row>
    <row r="133" spans="1:17" s="1199" customFormat="1" ht="24" customHeight="1">
      <c r="A133" s="1339" t="s">
        <v>2925</v>
      </c>
      <c r="B133" s="1259" t="s">
        <v>1226</v>
      </c>
      <c r="C133" s="1260"/>
      <c r="D133" s="1260"/>
      <c r="E133" s="1261">
        <v>1</v>
      </c>
      <c r="F133" s="1207" t="s">
        <v>1104</v>
      </c>
      <c r="G133" s="2175">
        <v>27400</v>
      </c>
      <c r="H133" s="1264">
        <f t="shared" si="9"/>
        <v>27400</v>
      </c>
      <c r="I133" s="1265">
        <f>G133*0.3</f>
        <v>8220</v>
      </c>
      <c r="J133" s="1264">
        <f>ROUND(E133*I133,)</f>
        <v>8220</v>
      </c>
      <c r="K133" s="1265">
        <f t="shared" si="10"/>
        <v>35620</v>
      </c>
      <c r="L133" s="1364"/>
    </row>
    <row r="134" spans="1:17" s="1199" customFormat="1" ht="24" customHeight="1">
      <c r="A134" s="1331"/>
      <c r="B134" s="1190" t="s">
        <v>1117</v>
      </c>
      <c r="C134" s="1275"/>
      <c r="D134" s="1275"/>
      <c r="E134" s="2145"/>
      <c r="F134" s="1358"/>
      <c r="G134" s="2175"/>
      <c r="H134" s="1264"/>
      <c r="I134" s="1265"/>
      <c r="J134" s="1264"/>
      <c r="K134" s="1299"/>
      <c r="L134" s="1432"/>
    </row>
    <row r="135" spans="1:17" s="1199" customFormat="1" ht="24" customHeight="1">
      <c r="A135" s="1331"/>
      <c r="B135" s="1190" t="s">
        <v>1118</v>
      </c>
      <c r="C135" s="1275"/>
      <c r="D135" s="1275"/>
      <c r="E135" s="2145"/>
      <c r="F135" s="1358"/>
      <c r="G135" s="2175"/>
      <c r="H135" s="1264"/>
      <c r="I135" s="1265"/>
      <c r="J135" s="1264"/>
      <c r="K135" s="1299"/>
      <c r="L135" s="1432"/>
    </row>
    <row r="136" spans="1:17" s="1199" customFormat="1" ht="24" customHeight="1">
      <c r="A136" s="1331"/>
      <c r="B136" s="1190" t="s">
        <v>1118</v>
      </c>
      <c r="C136" s="1275"/>
      <c r="D136" s="1275"/>
      <c r="E136" s="2145"/>
      <c r="F136" s="1358"/>
      <c r="G136" s="2175"/>
      <c r="H136" s="1264"/>
      <c r="I136" s="1265"/>
      <c r="J136" s="1264"/>
      <c r="K136" s="1299"/>
      <c r="L136" s="1432"/>
    </row>
    <row r="137" spans="1:17" s="1199" customFormat="1" ht="24" customHeight="1">
      <c r="A137" s="1189"/>
      <c r="B137" s="1650"/>
      <c r="C137" s="1275"/>
      <c r="D137" s="1275"/>
      <c r="E137" s="2145"/>
      <c r="F137" s="1358"/>
      <c r="G137" s="2175"/>
      <c r="H137" s="1264"/>
      <c r="I137" s="1265"/>
      <c r="J137" s="1264"/>
      <c r="K137" s="1299"/>
      <c r="L137" s="1432"/>
    </row>
    <row r="138" spans="1:17" s="1199" customFormat="1" ht="24" customHeight="1">
      <c r="A138" s="1243"/>
      <c r="B138" s="2257" t="str">
        <f>"รวมราคารายการที่ "&amp;A83</f>
        <v>รวมราคารายการที่ 3.2</v>
      </c>
      <c r="C138" s="2258"/>
      <c r="D138" s="2259"/>
      <c r="E138" s="1244"/>
      <c r="F138" s="1245"/>
      <c r="G138" s="1246"/>
      <c r="H138" s="1247">
        <f>SUM(H83:H137)</f>
        <v>172730</v>
      </c>
      <c r="I138" s="1246"/>
      <c r="J138" s="1247">
        <f>SUM(J83:J137)</f>
        <v>16440</v>
      </c>
      <c r="K138" s="1247">
        <f>SUM(K83:K137)</f>
        <v>189170</v>
      </c>
      <c r="L138" s="1245"/>
      <c r="M138" s="1214"/>
      <c r="N138" s="1214"/>
      <c r="O138" s="1214"/>
      <c r="P138" s="1214"/>
      <c r="Q138" s="1214"/>
    </row>
    <row r="139" spans="1:17" s="1199" customFormat="1" ht="24" customHeight="1">
      <c r="A139" s="1381">
        <v>3.3</v>
      </c>
      <c r="B139" s="1292" t="s">
        <v>1427</v>
      </c>
      <c r="C139" s="1294"/>
      <c r="D139" s="1294"/>
      <c r="E139" s="1295"/>
      <c r="F139" s="1296"/>
      <c r="G139" s="1297"/>
      <c r="H139" s="1298"/>
      <c r="I139" s="1299"/>
      <c r="J139" s="1298"/>
      <c r="K139" s="1299"/>
      <c r="L139" s="1432"/>
    </row>
    <row r="140" spans="1:17" s="1199" customFormat="1" ht="24" customHeight="1">
      <c r="A140" s="1331" t="s">
        <v>1128</v>
      </c>
      <c r="B140" s="1190" t="s">
        <v>2892</v>
      </c>
      <c r="C140" s="1275"/>
      <c r="D140" s="1275"/>
      <c r="E140" s="1276"/>
      <c r="F140" s="1358"/>
      <c r="G140" s="2175"/>
      <c r="H140" s="1264"/>
      <c r="I140" s="1265"/>
      <c r="J140" s="1264"/>
      <c r="K140" s="1299"/>
      <c r="L140" s="1432"/>
    </row>
    <row r="141" spans="1:17" s="1199" customFormat="1" ht="24" customHeight="1">
      <c r="A141" s="1331"/>
      <c r="B141" s="1190" t="s">
        <v>2893</v>
      </c>
      <c r="C141" s="1275"/>
      <c r="D141" s="1275"/>
      <c r="E141" s="1276"/>
      <c r="F141" s="1194" t="s">
        <v>363</v>
      </c>
      <c r="G141" s="2175">
        <v>6800</v>
      </c>
      <c r="H141" s="1264">
        <f>ROUND(E141*G141,)</f>
        <v>0</v>
      </c>
      <c r="I141" s="1265">
        <v>1500</v>
      </c>
      <c r="J141" s="1264">
        <f>ROUND(E141*I141,)</f>
        <v>0</v>
      </c>
      <c r="K141" s="1299">
        <f>H141+J141</f>
        <v>0</v>
      </c>
      <c r="L141" s="1432"/>
    </row>
    <row r="142" spans="1:17" s="1199" customFormat="1" ht="24" customHeight="1">
      <c r="A142" s="1331"/>
      <c r="B142" s="1190" t="s">
        <v>2894</v>
      </c>
      <c r="C142" s="1275"/>
      <c r="D142" s="1275"/>
      <c r="E142" s="1276"/>
      <c r="F142" s="1194" t="s">
        <v>363</v>
      </c>
      <c r="G142" s="2175">
        <v>2400</v>
      </c>
      <c r="H142" s="1264"/>
      <c r="I142" s="1265"/>
      <c r="J142" s="1264"/>
      <c r="K142" s="1299"/>
      <c r="L142" s="1432"/>
    </row>
    <row r="143" spans="1:17" s="1199" customFormat="1" ht="24" customHeight="1">
      <c r="A143" s="1331"/>
      <c r="B143" s="1190" t="s">
        <v>2895</v>
      </c>
      <c r="C143" s="1275"/>
      <c r="D143" s="1275"/>
      <c r="E143" s="1276"/>
      <c r="F143" s="1194" t="s">
        <v>363</v>
      </c>
      <c r="G143" s="2175">
        <v>138</v>
      </c>
      <c r="H143" s="1264">
        <f>ROUND(E143*G143,)</f>
        <v>0</v>
      </c>
      <c r="I143" s="1265"/>
      <c r="J143" s="1264">
        <f>ROUND(E143*I143,)</f>
        <v>0</v>
      </c>
      <c r="K143" s="1299">
        <f>H143+J143</f>
        <v>0</v>
      </c>
      <c r="L143" s="1432"/>
    </row>
    <row r="144" spans="1:17" s="1199" customFormat="1" ht="24" customHeight="1">
      <c r="A144" s="1331"/>
      <c r="B144" s="1190" t="s">
        <v>1432</v>
      </c>
      <c r="C144" s="1275"/>
      <c r="D144" s="1275"/>
      <c r="E144" s="1276"/>
      <c r="F144" s="1194" t="s">
        <v>363</v>
      </c>
      <c r="G144" s="2175">
        <v>138</v>
      </c>
      <c r="H144" s="1264">
        <f t="shared" ref="H144:H145" si="11">ROUND(E144*G144,)</f>
        <v>0</v>
      </c>
      <c r="I144" s="1265"/>
      <c r="J144" s="1264">
        <f t="shared" ref="J144:J145" si="12">ROUND(E144*I144,)</f>
        <v>0</v>
      </c>
      <c r="K144" s="1299">
        <f t="shared" ref="K144:K145" si="13">H144+J144</f>
        <v>0</v>
      </c>
      <c r="L144" s="1432"/>
    </row>
    <row r="145" spans="1:19" s="1199" customFormat="1" ht="24" customHeight="1">
      <c r="A145" s="1331"/>
      <c r="B145" s="1190" t="s">
        <v>2896</v>
      </c>
      <c r="C145" s="1275"/>
      <c r="D145" s="1275"/>
      <c r="E145" s="1276"/>
      <c r="F145" s="1194" t="s">
        <v>363</v>
      </c>
      <c r="G145" s="2175">
        <v>619</v>
      </c>
      <c r="H145" s="1264">
        <f t="shared" si="11"/>
        <v>0</v>
      </c>
      <c r="I145" s="1265"/>
      <c r="J145" s="1264">
        <f t="shared" si="12"/>
        <v>0</v>
      </c>
      <c r="K145" s="1299">
        <f t="shared" si="13"/>
        <v>0</v>
      </c>
      <c r="L145" s="1432"/>
    </row>
    <row r="146" spans="1:19" s="1199" customFormat="1" ht="24" customHeight="1">
      <c r="A146" s="1331"/>
      <c r="B146" s="1190" t="s">
        <v>1117</v>
      </c>
      <c r="C146" s="1275"/>
      <c r="D146" s="1275"/>
      <c r="E146" s="2145"/>
      <c r="F146" s="1358"/>
      <c r="G146" s="2175"/>
      <c r="H146" s="1264"/>
      <c r="I146" s="1265"/>
      <c r="J146" s="1264"/>
      <c r="K146" s="1299"/>
      <c r="L146" s="1432"/>
    </row>
    <row r="147" spans="1:19" s="1199" customFormat="1" ht="24" customHeight="1">
      <c r="A147" s="1331"/>
      <c r="B147" s="1190" t="s">
        <v>1118</v>
      </c>
      <c r="C147" s="1275"/>
      <c r="D147" s="1275"/>
      <c r="E147" s="2145"/>
      <c r="F147" s="1358"/>
      <c r="G147" s="2175"/>
      <c r="H147" s="1264"/>
      <c r="I147" s="1265"/>
      <c r="J147" s="1264"/>
      <c r="K147" s="1299"/>
      <c r="L147" s="1432"/>
    </row>
    <row r="148" spans="1:19" s="1199" customFormat="1" ht="24" customHeight="1">
      <c r="A148" s="1331"/>
      <c r="B148" s="1190" t="s">
        <v>1118</v>
      </c>
      <c r="C148" s="1275"/>
      <c r="D148" s="1275"/>
      <c r="E148" s="2145"/>
      <c r="F148" s="1358"/>
      <c r="G148" s="2175"/>
      <c r="H148" s="1264"/>
      <c r="I148" s="1265"/>
      <c r="J148" s="1264"/>
      <c r="K148" s="1299"/>
      <c r="L148" s="1432"/>
    </row>
    <row r="149" spans="1:19" s="1199" customFormat="1" ht="24" customHeight="1">
      <c r="A149" s="1331"/>
      <c r="B149" s="1190"/>
      <c r="C149" s="1275"/>
      <c r="D149" s="1275"/>
      <c r="E149" s="2145"/>
      <c r="F149" s="1358"/>
      <c r="G149" s="2175"/>
      <c r="H149" s="1264"/>
      <c r="I149" s="1265"/>
      <c r="J149" s="1264"/>
      <c r="K149" s="1299"/>
      <c r="L149" s="1432"/>
    </row>
    <row r="150" spans="1:19" s="1199" customFormat="1" ht="24" customHeight="1">
      <c r="A150" s="1331"/>
      <c r="B150" s="1190"/>
      <c r="C150" s="1275"/>
      <c r="D150" s="1275"/>
      <c r="E150" s="2145"/>
      <c r="F150" s="1358"/>
      <c r="G150" s="2175"/>
      <c r="H150" s="1264"/>
      <c r="I150" s="1265"/>
      <c r="J150" s="1264"/>
      <c r="K150" s="1299"/>
      <c r="L150" s="1432"/>
    </row>
    <row r="151" spans="1:19" s="1199" customFormat="1" ht="24" customHeight="1">
      <c r="A151" s="1331"/>
      <c r="B151" s="1190"/>
      <c r="C151" s="1275"/>
      <c r="D151" s="1275"/>
      <c r="E151" s="2145"/>
      <c r="F151" s="1358"/>
      <c r="G151" s="2175"/>
      <c r="H151" s="1264"/>
      <c r="I151" s="1265"/>
      <c r="J151" s="1264"/>
      <c r="K151" s="1299"/>
      <c r="L151" s="1432"/>
    </row>
    <row r="152" spans="1:19" s="1199" customFormat="1" ht="24" customHeight="1">
      <c r="A152" s="1331"/>
      <c r="B152" s="1190"/>
      <c r="C152" s="1275"/>
      <c r="D152" s="1275"/>
      <c r="E152" s="2145"/>
      <c r="F152" s="1358"/>
      <c r="G152" s="2175"/>
      <c r="H152" s="1264"/>
      <c r="I152" s="1265"/>
      <c r="J152" s="1264"/>
      <c r="K152" s="1299"/>
      <c r="L152" s="1432"/>
    </row>
    <row r="153" spans="1:19" s="1199" customFormat="1" ht="24" customHeight="1">
      <c r="A153" s="1189"/>
      <c r="B153" s="1650"/>
      <c r="C153" s="1275"/>
      <c r="D153" s="1275"/>
      <c r="E153" s="2145"/>
      <c r="F153" s="1358"/>
      <c r="G153" s="2175"/>
      <c r="H153" s="1264"/>
      <c r="I153" s="1265"/>
      <c r="J153" s="1264"/>
      <c r="K153" s="1299"/>
      <c r="L153" s="1432"/>
    </row>
    <row r="154" spans="1:19" s="1199" customFormat="1" ht="24" customHeight="1">
      <c r="A154" s="1243"/>
      <c r="B154" s="2257" t="str">
        <f>"รวมราคารายการที่ "&amp;A139</f>
        <v>รวมราคารายการที่ 3.3</v>
      </c>
      <c r="C154" s="2258"/>
      <c r="D154" s="2259"/>
      <c r="E154" s="1244"/>
      <c r="F154" s="1245"/>
      <c r="G154" s="1246"/>
      <c r="H154" s="1247">
        <f>SUM(H140:H145)</f>
        <v>0</v>
      </c>
      <c r="I154" s="1246"/>
      <c r="J154" s="1247">
        <f>SUM(J140:J145)</f>
        <v>0</v>
      </c>
      <c r="K154" s="1245">
        <f>SUM(K140:K145)</f>
        <v>0</v>
      </c>
      <c r="L154" s="1245"/>
    </row>
    <row r="155" spans="1:19" s="1199" customFormat="1" ht="24" customHeight="1">
      <c r="A155" s="1308">
        <v>3.4</v>
      </c>
      <c r="B155" s="1436" t="s">
        <v>1312</v>
      </c>
      <c r="C155" s="1202"/>
      <c r="D155" s="1202"/>
      <c r="E155" s="1387"/>
      <c r="F155" s="1384"/>
      <c r="G155" s="2176"/>
      <c r="H155" s="1264">
        <f t="shared" ref="H155" si="14">ROUND(E155*G155,)</f>
        <v>0</v>
      </c>
      <c r="I155" s="2177"/>
      <c r="J155" s="1264">
        <f t="shared" ref="J155" si="15">ROUND(E155*I155,)</f>
        <v>0</v>
      </c>
      <c r="K155" s="1385"/>
      <c r="L155" s="1385"/>
      <c r="M155" s="1214"/>
      <c r="N155" s="1214"/>
      <c r="O155" s="1214"/>
      <c r="P155" s="1214"/>
      <c r="Q155" s="1214"/>
      <c r="R155" s="1214"/>
      <c r="S155" s="1214"/>
    </row>
    <row r="156" spans="1:19" s="1199" customFormat="1" ht="24" customHeight="1">
      <c r="A156" s="1331" t="s">
        <v>1135</v>
      </c>
      <c r="B156" s="2174" t="s">
        <v>1314</v>
      </c>
      <c r="C156" s="1275"/>
      <c r="D156" s="1275"/>
      <c r="E156" s="1276"/>
      <c r="F156" s="1358"/>
      <c r="G156" s="2175"/>
      <c r="H156" s="1264"/>
      <c r="I156" s="1265"/>
      <c r="J156" s="1264"/>
      <c r="K156" s="1273"/>
      <c r="L156" s="1269"/>
    </row>
    <row r="157" spans="1:19" s="1199" customFormat="1" ht="24" customHeight="1">
      <c r="A157" s="1331" t="s">
        <v>1137</v>
      </c>
      <c r="B157" s="2174" t="s">
        <v>1315</v>
      </c>
      <c r="C157" s="1275"/>
      <c r="D157" s="1275"/>
      <c r="E157" s="1276"/>
      <c r="F157" s="1358"/>
      <c r="G157" s="2176"/>
      <c r="H157" s="1264"/>
      <c r="I157" s="1265"/>
      <c r="J157" s="1264"/>
      <c r="K157" s="1273"/>
      <c r="L157" s="1269"/>
    </row>
    <row r="158" spans="1:19" s="1199" customFormat="1" ht="24" customHeight="1">
      <c r="A158" s="1331"/>
      <c r="B158" s="2174" t="s">
        <v>1316</v>
      </c>
      <c r="C158" s="1275"/>
      <c r="D158" s="1275"/>
      <c r="E158" s="1270"/>
      <c r="F158" s="1358" t="s">
        <v>226</v>
      </c>
      <c r="G158" s="2176">
        <v>14</v>
      </c>
      <c r="H158" s="1264">
        <f t="shared" ref="H158:H171" si="16">ROUND(E158*G158,)</f>
        <v>0</v>
      </c>
      <c r="I158" s="1265">
        <v>10</v>
      </c>
      <c r="J158" s="1264">
        <f t="shared" ref="J158:J171" si="17">ROUND(E158*I158,)</f>
        <v>0</v>
      </c>
      <c r="K158" s="1273">
        <f t="shared" ref="K158:K171" si="18">H158+J158</f>
        <v>0</v>
      </c>
      <c r="L158" s="2000" t="s">
        <v>2667</v>
      </c>
      <c r="N158" s="1199">
        <v>1375.8</v>
      </c>
      <c r="O158" s="1199">
        <f>ROUND(N158/100,)</f>
        <v>14</v>
      </c>
      <c r="P158" s="1199">
        <f>E158*1.1</f>
        <v>0</v>
      </c>
    </row>
    <row r="159" spans="1:19" s="1199" customFormat="1" ht="24" customHeight="1">
      <c r="A159" s="1331"/>
      <c r="B159" s="2174" t="s">
        <v>1317</v>
      </c>
      <c r="C159" s="1275"/>
      <c r="D159" s="1275"/>
      <c r="E159" s="1270">
        <v>230</v>
      </c>
      <c r="F159" s="1358" t="s">
        <v>226</v>
      </c>
      <c r="G159" s="2176">
        <v>23</v>
      </c>
      <c r="H159" s="1264">
        <f t="shared" si="16"/>
        <v>5290</v>
      </c>
      <c r="I159" s="1265">
        <v>12</v>
      </c>
      <c r="J159" s="1264">
        <f t="shared" si="17"/>
        <v>2760</v>
      </c>
      <c r="K159" s="1273">
        <f t="shared" si="18"/>
        <v>8050</v>
      </c>
      <c r="L159" s="2000" t="s">
        <v>2667</v>
      </c>
      <c r="N159" s="1199">
        <v>2264.1999999999998</v>
      </c>
      <c r="O159" s="1199">
        <f t="shared" ref="O159:O167" si="19">ROUND(N159/100,)</f>
        <v>23</v>
      </c>
      <c r="P159" s="1199">
        <f t="shared" ref="P159:P171" si="20">E159*1.1</f>
        <v>253.00000000000003</v>
      </c>
    </row>
    <row r="160" spans="1:19" s="1199" customFormat="1" ht="24" customHeight="1">
      <c r="A160" s="1331"/>
      <c r="B160" s="2174" t="s">
        <v>1318</v>
      </c>
      <c r="C160" s="1275"/>
      <c r="D160" s="1275"/>
      <c r="E160" s="1270"/>
      <c r="F160" s="1358" t="s">
        <v>226</v>
      </c>
      <c r="G160" s="2176">
        <v>39</v>
      </c>
      <c r="H160" s="1264">
        <f t="shared" si="16"/>
        <v>0</v>
      </c>
      <c r="I160" s="1265">
        <v>16</v>
      </c>
      <c r="J160" s="1264">
        <f t="shared" si="17"/>
        <v>0</v>
      </c>
      <c r="K160" s="1273">
        <f t="shared" si="18"/>
        <v>0</v>
      </c>
      <c r="L160" s="2000" t="s">
        <v>2667</v>
      </c>
      <c r="N160" s="1199">
        <v>3944.2</v>
      </c>
      <c r="O160" s="1199">
        <f t="shared" si="19"/>
        <v>39</v>
      </c>
      <c r="P160" s="1199">
        <f t="shared" si="20"/>
        <v>0</v>
      </c>
    </row>
    <row r="161" spans="1:17" s="1199" customFormat="1" ht="24" customHeight="1">
      <c r="A161" s="1331"/>
      <c r="B161" s="2174" t="s">
        <v>1319</v>
      </c>
      <c r="C161" s="1275"/>
      <c r="D161" s="1275"/>
      <c r="E161" s="1270"/>
      <c r="F161" s="1358" t="s">
        <v>226</v>
      </c>
      <c r="G161" s="2176">
        <v>61</v>
      </c>
      <c r="H161" s="1264">
        <f t="shared" si="16"/>
        <v>0</v>
      </c>
      <c r="I161" s="1265">
        <v>20</v>
      </c>
      <c r="J161" s="1264">
        <f t="shared" si="17"/>
        <v>0</v>
      </c>
      <c r="K161" s="1273">
        <f t="shared" si="18"/>
        <v>0</v>
      </c>
      <c r="L161" s="2000" t="s">
        <v>2667</v>
      </c>
      <c r="N161" s="1199">
        <v>6120</v>
      </c>
      <c r="O161" s="1199">
        <f t="shared" si="19"/>
        <v>61</v>
      </c>
      <c r="P161" s="1199">
        <f t="shared" si="20"/>
        <v>0</v>
      </c>
    </row>
    <row r="162" spans="1:17" s="1199" customFormat="1" ht="24" customHeight="1">
      <c r="A162" s="1331"/>
      <c r="B162" s="2174" t="s">
        <v>1320</v>
      </c>
      <c r="C162" s="1275"/>
      <c r="D162" s="1275"/>
      <c r="E162" s="1270">
        <v>920</v>
      </c>
      <c r="F162" s="1358" t="s">
        <v>226</v>
      </c>
      <c r="G162" s="2176">
        <v>96</v>
      </c>
      <c r="H162" s="1264">
        <f t="shared" si="16"/>
        <v>88320</v>
      </c>
      <c r="I162" s="1265">
        <v>25</v>
      </c>
      <c r="J162" s="1264">
        <f t="shared" si="17"/>
        <v>23000</v>
      </c>
      <c r="K162" s="1273">
        <f t="shared" si="18"/>
        <v>111320</v>
      </c>
      <c r="L162" s="2000" t="s">
        <v>2667</v>
      </c>
      <c r="N162" s="1199">
        <v>9600</v>
      </c>
      <c r="O162" s="1199">
        <f t="shared" si="19"/>
        <v>96</v>
      </c>
      <c r="P162" s="1199">
        <f t="shared" si="20"/>
        <v>1012.0000000000001</v>
      </c>
    </row>
    <row r="163" spans="1:17" s="1199" customFormat="1" ht="24" customHeight="1">
      <c r="A163" s="1331"/>
      <c r="B163" s="2174" t="s">
        <v>1321</v>
      </c>
      <c r="C163" s="1275"/>
      <c r="D163" s="1275"/>
      <c r="E163" s="1270"/>
      <c r="F163" s="1358" t="s">
        <v>226</v>
      </c>
      <c r="G163" s="2176">
        <v>127</v>
      </c>
      <c r="H163" s="1264">
        <f t="shared" si="16"/>
        <v>0</v>
      </c>
      <c r="I163" s="1265">
        <v>30</v>
      </c>
      <c r="J163" s="1264">
        <f t="shared" si="17"/>
        <v>0</v>
      </c>
      <c r="K163" s="1273">
        <f t="shared" si="18"/>
        <v>0</v>
      </c>
      <c r="L163" s="2000" t="s">
        <v>2667</v>
      </c>
      <c r="N163" s="1199">
        <v>12744.2</v>
      </c>
      <c r="O163" s="1199">
        <f t="shared" si="19"/>
        <v>127</v>
      </c>
      <c r="P163" s="1199">
        <f t="shared" si="20"/>
        <v>0</v>
      </c>
    </row>
    <row r="164" spans="1:17" s="1199" customFormat="1" ht="24" customHeight="1">
      <c r="A164" s="1331"/>
      <c r="B164" s="2174" t="s">
        <v>1322</v>
      </c>
      <c r="C164" s="1275"/>
      <c r="D164" s="1275"/>
      <c r="E164" s="1270"/>
      <c r="F164" s="1358" t="s">
        <v>226</v>
      </c>
      <c r="G164" s="2176">
        <v>183</v>
      </c>
      <c r="H164" s="1264">
        <f t="shared" si="16"/>
        <v>0</v>
      </c>
      <c r="I164" s="1265">
        <v>40</v>
      </c>
      <c r="J164" s="1264">
        <f t="shared" si="17"/>
        <v>0</v>
      </c>
      <c r="K164" s="1273">
        <f t="shared" si="18"/>
        <v>0</v>
      </c>
      <c r="L164" s="2000" t="s">
        <v>2667</v>
      </c>
      <c r="N164" s="1199">
        <v>18335.8</v>
      </c>
      <c r="O164" s="1199">
        <f t="shared" si="19"/>
        <v>183</v>
      </c>
      <c r="P164" s="1199">
        <f t="shared" si="20"/>
        <v>0</v>
      </c>
    </row>
    <row r="165" spans="1:17" s="1199" customFormat="1" ht="24" customHeight="1">
      <c r="A165" s="1331"/>
      <c r="B165" s="2174" t="s">
        <v>1323</v>
      </c>
      <c r="C165" s="1275"/>
      <c r="D165" s="1275"/>
      <c r="E165" s="1270"/>
      <c r="F165" s="1358" t="s">
        <v>226</v>
      </c>
      <c r="G165" s="2176">
        <v>262</v>
      </c>
      <c r="H165" s="1264">
        <f t="shared" si="16"/>
        <v>0</v>
      </c>
      <c r="I165" s="1265">
        <v>45</v>
      </c>
      <c r="J165" s="1264">
        <f t="shared" si="17"/>
        <v>0</v>
      </c>
      <c r="K165" s="1273">
        <f t="shared" si="18"/>
        <v>0</v>
      </c>
      <c r="L165" s="2000" t="s">
        <v>2667</v>
      </c>
      <c r="N165" s="1199">
        <v>26215.8</v>
      </c>
      <c r="O165" s="1199">
        <f t="shared" si="19"/>
        <v>262</v>
      </c>
      <c r="P165" s="1199">
        <f t="shared" si="20"/>
        <v>0</v>
      </c>
    </row>
    <row r="166" spans="1:17" s="1199" customFormat="1" ht="24" customHeight="1">
      <c r="A166" s="1331"/>
      <c r="B166" s="2174" t="s">
        <v>1324</v>
      </c>
      <c r="C166" s="1275"/>
      <c r="D166" s="1275"/>
      <c r="E166" s="1270"/>
      <c r="F166" s="1358" t="s">
        <v>226</v>
      </c>
      <c r="G166" s="2176">
        <v>361</v>
      </c>
      <c r="H166" s="1264">
        <f t="shared" si="16"/>
        <v>0</v>
      </c>
      <c r="I166" s="1265">
        <v>55</v>
      </c>
      <c r="J166" s="1264">
        <f t="shared" si="17"/>
        <v>0</v>
      </c>
      <c r="K166" s="1273">
        <f t="shared" si="18"/>
        <v>0</v>
      </c>
      <c r="L166" s="2000" t="s">
        <v>2667</v>
      </c>
      <c r="N166" s="1199">
        <v>36120</v>
      </c>
      <c r="O166" s="1199">
        <f t="shared" si="19"/>
        <v>361</v>
      </c>
      <c r="P166" s="1199">
        <f t="shared" si="20"/>
        <v>0</v>
      </c>
    </row>
    <row r="167" spans="1:17" s="1199" customFormat="1" ht="24" customHeight="1">
      <c r="A167" s="1331"/>
      <c r="B167" s="2174" t="s">
        <v>1325</v>
      </c>
      <c r="C167" s="1275"/>
      <c r="D167" s="1275"/>
      <c r="E167" s="1270"/>
      <c r="F167" s="1358" t="s">
        <v>226</v>
      </c>
      <c r="G167" s="2176">
        <v>458</v>
      </c>
      <c r="H167" s="1264">
        <f t="shared" si="16"/>
        <v>0</v>
      </c>
      <c r="I167" s="1265">
        <v>60</v>
      </c>
      <c r="J167" s="1264">
        <f t="shared" si="17"/>
        <v>0</v>
      </c>
      <c r="K167" s="1273">
        <f t="shared" si="18"/>
        <v>0</v>
      </c>
      <c r="L167" s="2000" t="s">
        <v>2667</v>
      </c>
      <c r="N167" s="1199">
        <v>45760</v>
      </c>
      <c r="O167" s="1199">
        <f t="shared" si="19"/>
        <v>458</v>
      </c>
      <c r="P167" s="1199">
        <f t="shared" si="20"/>
        <v>0</v>
      </c>
    </row>
    <row r="168" spans="1:17" s="1199" customFormat="1" ht="24" customHeight="1">
      <c r="A168" s="1331"/>
      <c r="B168" s="2174" t="s">
        <v>1326</v>
      </c>
      <c r="C168" s="1275"/>
      <c r="D168" s="1275"/>
      <c r="E168" s="1270"/>
      <c r="F168" s="1358" t="s">
        <v>226</v>
      </c>
      <c r="G168" s="2176">
        <v>525</v>
      </c>
      <c r="H168" s="1264">
        <f t="shared" si="16"/>
        <v>0</v>
      </c>
      <c r="I168" s="1265">
        <v>70</v>
      </c>
      <c r="J168" s="1264">
        <f t="shared" si="17"/>
        <v>0</v>
      </c>
      <c r="K168" s="1273">
        <f t="shared" si="18"/>
        <v>0</v>
      </c>
      <c r="L168" s="1269"/>
      <c r="P168" s="1199">
        <f t="shared" si="20"/>
        <v>0</v>
      </c>
    </row>
    <row r="169" spans="1:17" s="1199" customFormat="1" ht="24" customHeight="1">
      <c r="A169" s="1331"/>
      <c r="B169" s="2174" t="s">
        <v>1327</v>
      </c>
      <c r="C169" s="1275"/>
      <c r="D169" s="1275"/>
      <c r="E169" s="1270"/>
      <c r="F169" s="1358" t="s">
        <v>226</v>
      </c>
      <c r="G169" s="2176">
        <v>659</v>
      </c>
      <c r="H169" s="1264">
        <f t="shared" si="16"/>
        <v>0</v>
      </c>
      <c r="I169" s="1265">
        <v>85</v>
      </c>
      <c r="J169" s="1264">
        <f t="shared" si="17"/>
        <v>0</v>
      </c>
      <c r="K169" s="1273">
        <f t="shared" si="18"/>
        <v>0</v>
      </c>
      <c r="L169" s="1269"/>
      <c r="P169" s="1199">
        <f t="shared" si="20"/>
        <v>0</v>
      </c>
    </row>
    <row r="170" spans="1:17" s="1199" customFormat="1" ht="24" customHeight="1">
      <c r="A170" s="1331"/>
      <c r="B170" s="2174" t="s">
        <v>1328</v>
      </c>
      <c r="C170" s="1275"/>
      <c r="D170" s="1275"/>
      <c r="E170" s="1270"/>
      <c r="F170" s="1358" t="s">
        <v>226</v>
      </c>
      <c r="G170" s="2176">
        <v>865</v>
      </c>
      <c r="H170" s="1264">
        <f t="shared" si="16"/>
        <v>0</v>
      </c>
      <c r="I170" s="1265">
        <v>100</v>
      </c>
      <c r="J170" s="1264">
        <f t="shared" si="17"/>
        <v>0</v>
      </c>
      <c r="K170" s="1273">
        <f t="shared" si="18"/>
        <v>0</v>
      </c>
      <c r="L170" s="1269"/>
      <c r="P170" s="1199">
        <f t="shared" si="20"/>
        <v>0</v>
      </c>
    </row>
    <row r="171" spans="1:17" s="1199" customFormat="1" ht="24" customHeight="1">
      <c r="A171" s="1331"/>
      <c r="B171" s="2174" t="s">
        <v>1329</v>
      </c>
      <c r="C171" s="1275"/>
      <c r="D171" s="1275"/>
      <c r="E171" s="1270"/>
      <c r="F171" s="1358" t="s">
        <v>226</v>
      </c>
      <c r="G171" s="2176">
        <v>1084</v>
      </c>
      <c r="H171" s="1264">
        <f t="shared" si="16"/>
        <v>0</v>
      </c>
      <c r="I171" s="1265">
        <v>110</v>
      </c>
      <c r="J171" s="1264">
        <f t="shared" si="17"/>
        <v>0</v>
      </c>
      <c r="K171" s="1273">
        <f t="shared" si="18"/>
        <v>0</v>
      </c>
      <c r="L171" s="1269"/>
      <c r="P171" s="1199">
        <f t="shared" si="20"/>
        <v>0</v>
      </c>
    </row>
    <row r="172" spans="1:17" s="1199" customFormat="1" ht="24" customHeight="1">
      <c r="A172" s="1331" t="s">
        <v>1158</v>
      </c>
      <c r="B172" s="2174" t="s">
        <v>2897</v>
      </c>
      <c r="C172" s="1275"/>
      <c r="D172" s="1275"/>
      <c r="E172" s="1276"/>
      <c r="F172" s="1358"/>
      <c r="G172" s="2175"/>
      <c r="H172" s="1264"/>
      <c r="I172" s="1265"/>
      <c r="J172" s="1264"/>
      <c r="K172" s="1273"/>
      <c r="L172" s="1269"/>
    </row>
    <row r="173" spans="1:17" s="1199" customFormat="1" ht="24" customHeight="1">
      <c r="A173" s="1331" t="s">
        <v>2898</v>
      </c>
      <c r="B173" s="1190" t="s">
        <v>1597</v>
      </c>
      <c r="C173" s="1202"/>
      <c r="D173" s="1202"/>
      <c r="E173" s="1387"/>
      <c r="F173" s="1384"/>
      <c r="G173" s="2176"/>
      <c r="H173" s="1264">
        <f t="shared" ref="H173:H182" si="21">ROUND(E173*G173,)</f>
        <v>0</v>
      </c>
      <c r="I173" s="2177"/>
      <c r="J173" s="1264">
        <f t="shared" ref="J173:J182" si="22">ROUND(E173*I173,)</f>
        <v>0</v>
      </c>
      <c r="K173" s="1385"/>
      <c r="L173" s="1385"/>
      <c r="M173" s="1214"/>
      <c r="N173" s="1214"/>
      <c r="O173" s="1214"/>
      <c r="P173" s="1214"/>
      <c r="Q173" s="1214"/>
    </row>
    <row r="174" spans="1:17" s="1199" customFormat="1" ht="24" customHeight="1">
      <c r="A174" s="1331"/>
      <c r="B174" s="2174" t="s">
        <v>1443</v>
      </c>
      <c r="C174" s="1202"/>
      <c r="D174" s="1202"/>
      <c r="E174" s="1270"/>
      <c r="F174" s="1358" t="s">
        <v>226</v>
      </c>
      <c r="G174" s="2176">
        <v>9</v>
      </c>
      <c r="H174" s="1264">
        <f t="shared" si="21"/>
        <v>0</v>
      </c>
      <c r="I174" s="2177">
        <v>7</v>
      </c>
      <c r="J174" s="1264">
        <f t="shared" si="22"/>
        <v>0</v>
      </c>
      <c r="K174" s="1273">
        <f>H174+J174</f>
        <v>0</v>
      </c>
      <c r="L174" s="2001" t="s">
        <v>2667</v>
      </c>
      <c r="M174" s="1214"/>
      <c r="N174" s="1199">
        <v>912.1</v>
      </c>
      <c r="O174" s="1199">
        <f>ROUND(N174/100,)</f>
        <v>9</v>
      </c>
      <c r="P174" s="1214"/>
      <c r="Q174" s="1214"/>
    </row>
    <row r="175" spans="1:17" s="1199" customFormat="1" ht="24" customHeight="1">
      <c r="A175" s="1331"/>
      <c r="B175" s="2174" t="s">
        <v>1316</v>
      </c>
      <c r="C175" s="1202"/>
      <c r="D175" s="1202"/>
      <c r="E175" s="1270">
        <v>585</v>
      </c>
      <c r="F175" s="1358" t="s">
        <v>226</v>
      </c>
      <c r="G175" s="2176">
        <v>14</v>
      </c>
      <c r="H175" s="1264">
        <f t="shared" si="21"/>
        <v>8190</v>
      </c>
      <c r="I175" s="2177">
        <v>10</v>
      </c>
      <c r="J175" s="1264">
        <f t="shared" si="22"/>
        <v>5850</v>
      </c>
      <c r="K175" s="1273">
        <f>H175+J175</f>
        <v>14040</v>
      </c>
      <c r="L175" s="2001" t="s">
        <v>2667</v>
      </c>
      <c r="M175" s="1214"/>
      <c r="N175" s="1199">
        <v>1375.8</v>
      </c>
      <c r="O175" s="1199">
        <f>ROUND(N175/100,)</f>
        <v>14</v>
      </c>
      <c r="P175" s="1214"/>
      <c r="Q175" s="1214"/>
    </row>
    <row r="176" spans="1:17" s="1199" customFormat="1" ht="24" customHeight="1">
      <c r="A176" s="1331"/>
      <c r="B176" s="2174" t="s">
        <v>1317</v>
      </c>
      <c r="C176" s="1275"/>
      <c r="D176" s="1275"/>
      <c r="E176" s="1270"/>
      <c r="F176" s="1358" t="s">
        <v>226</v>
      </c>
      <c r="G176" s="2176">
        <v>23</v>
      </c>
      <c r="H176" s="1264">
        <f t="shared" si="21"/>
        <v>0</v>
      </c>
      <c r="I176" s="1265">
        <v>12</v>
      </c>
      <c r="J176" s="1264">
        <f t="shared" si="22"/>
        <v>0</v>
      </c>
      <c r="K176" s="1273">
        <f t="shared" ref="K176:K177" si="23">H176+J176</f>
        <v>0</v>
      </c>
      <c r="L176" s="2001" t="s">
        <v>2667</v>
      </c>
      <c r="N176" s="1199">
        <v>2264.1999999999998</v>
      </c>
      <c r="O176" s="1199">
        <f t="shared" ref="O176:O177" si="24">ROUND(N176/100,)</f>
        <v>23</v>
      </c>
    </row>
    <row r="177" spans="1:19" s="1199" customFormat="1" ht="24" customHeight="1">
      <c r="A177" s="1331"/>
      <c r="B177" s="2174" t="s">
        <v>1318</v>
      </c>
      <c r="C177" s="1275"/>
      <c r="D177" s="1275"/>
      <c r="E177" s="1270"/>
      <c r="F177" s="1358" t="s">
        <v>226</v>
      </c>
      <c r="G177" s="2176">
        <v>39</v>
      </c>
      <c r="H177" s="1264">
        <f t="shared" si="21"/>
        <v>0</v>
      </c>
      <c r="I177" s="1265">
        <v>16</v>
      </c>
      <c r="J177" s="1264">
        <f t="shared" si="22"/>
        <v>0</v>
      </c>
      <c r="K177" s="1273">
        <f t="shared" si="23"/>
        <v>0</v>
      </c>
      <c r="L177" s="2001" t="s">
        <v>2667</v>
      </c>
      <c r="N177" s="1199">
        <v>3944.2</v>
      </c>
      <c r="O177" s="1199">
        <f t="shared" si="24"/>
        <v>39</v>
      </c>
    </row>
    <row r="178" spans="1:19" s="1199" customFormat="1" ht="24" customHeight="1">
      <c r="A178" s="1331"/>
      <c r="B178" s="2174"/>
      <c r="C178" s="1275"/>
      <c r="D178" s="1275"/>
      <c r="E178" s="1270"/>
      <c r="F178" s="1358"/>
      <c r="G178" s="2176"/>
      <c r="H178" s="1264"/>
      <c r="I178" s="1265"/>
      <c r="J178" s="1264"/>
      <c r="K178" s="1273"/>
      <c r="L178" s="2172"/>
    </row>
    <row r="179" spans="1:19" s="1199" customFormat="1" ht="24" customHeight="1">
      <c r="A179" s="1331" t="s">
        <v>2899</v>
      </c>
      <c r="B179" s="2174" t="s">
        <v>1331</v>
      </c>
      <c r="C179" s="1202"/>
      <c r="D179" s="1202"/>
      <c r="E179" s="1438"/>
      <c r="F179" s="1384"/>
      <c r="G179" s="2176"/>
      <c r="H179" s="1264">
        <f t="shared" si="21"/>
        <v>0</v>
      </c>
      <c r="I179" s="2177"/>
      <c r="J179" s="1264">
        <f t="shared" si="22"/>
        <v>0</v>
      </c>
      <c r="K179" s="1385"/>
      <c r="L179" s="1385"/>
      <c r="M179" s="1214"/>
      <c r="N179" s="1214"/>
      <c r="O179" s="1214"/>
      <c r="P179" s="1214"/>
      <c r="Q179" s="1214"/>
    </row>
    <row r="180" spans="1:19" s="1199" customFormat="1" ht="24" customHeight="1">
      <c r="A180" s="1331"/>
      <c r="B180" s="2174" t="s">
        <v>1443</v>
      </c>
      <c r="C180" s="1202"/>
      <c r="D180" s="1202"/>
      <c r="E180" s="1270"/>
      <c r="F180" s="1358" t="s">
        <v>226</v>
      </c>
      <c r="G180" s="2176">
        <v>41</v>
      </c>
      <c r="H180" s="1264">
        <f t="shared" si="21"/>
        <v>0</v>
      </c>
      <c r="I180" s="2177">
        <v>12</v>
      </c>
      <c r="J180" s="1264">
        <f t="shared" si="22"/>
        <v>0</v>
      </c>
      <c r="K180" s="1273">
        <f>H180+J180</f>
        <v>0</v>
      </c>
      <c r="L180" s="1385"/>
      <c r="M180" s="1214"/>
      <c r="N180" s="1214"/>
      <c r="O180" s="1214"/>
      <c r="P180" s="1214"/>
      <c r="Q180" s="1214"/>
    </row>
    <row r="181" spans="1:19" s="1199" customFormat="1" ht="24" customHeight="1">
      <c r="A181" s="1331"/>
      <c r="B181" s="2174" t="s">
        <v>1316</v>
      </c>
      <c r="C181" s="1202"/>
      <c r="D181" s="1202"/>
      <c r="E181" s="1506"/>
      <c r="F181" s="1358" t="s">
        <v>226</v>
      </c>
      <c r="G181" s="2176">
        <v>53</v>
      </c>
      <c r="H181" s="1264">
        <f t="shared" si="21"/>
        <v>0</v>
      </c>
      <c r="I181" s="2177">
        <v>14</v>
      </c>
      <c r="J181" s="1264">
        <f t="shared" si="22"/>
        <v>0</v>
      </c>
      <c r="K181" s="1273">
        <f>H181+J181</f>
        <v>0</v>
      </c>
      <c r="L181" s="1385"/>
      <c r="M181" s="1214"/>
      <c r="N181" s="1214"/>
      <c r="O181" s="1214"/>
      <c r="P181" s="1214"/>
      <c r="Q181" s="1214"/>
    </row>
    <row r="182" spans="1:19" s="1199" customFormat="1" ht="24" customHeight="1">
      <c r="A182" s="1406"/>
      <c r="B182" s="2174" t="s">
        <v>1444</v>
      </c>
      <c r="C182" s="1202"/>
      <c r="D182" s="1202"/>
      <c r="E182" s="1490">
        <v>1</v>
      </c>
      <c r="F182" s="1358" t="s">
        <v>1104</v>
      </c>
      <c r="G182" s="2176">
        <f>ROUND(SUM(H156:H181)*0.05,)</f>
        <v>5090</v>
      </c>
      <c r="H182" s="1264">
        <f t="shared" si="21"/>
        <v>5090</v>
      </c>
      <c r="I182" s="2177">
        <f>ROUND(G182*0.3,)</f>
        <v>1527</v>
      </c>
      <c r="J182" s="1264">
        <f t="shared" si="22"/>
        <v>1527</v>
      </c>
      <c r="K182" s="1273">
        <f>H182+J182</f>
        <v>6617</v>
      </c>
      <c r="L182" s="1385"/>
      <c r="M182" s="1214"/>
      <c r="N182" s="1214"/>
      <c r="O182" s="1214"/>
      <c r="P182" s="1214"/>
      <c r="Q182" s="1214"/>
    </row>
    <row r="183" spans="1:19" s="1199" customFormat="1" ht="24" customHeight="1">
      <c r="A183" s="1331"/>
      <c r="B183" s="2174" t="s">
        <v>1117</v>
      </c>
      <c r="C183" s="1202"/>
      <c r="D183" s="1202"/>
      <c r="E183" s="1513"/>
      <c r="F183" s="1384"/>
      <c r="G183" s="2176"/>
      <c r="H183" s="1388"/>
      <c r="I183" s="2177"/>
      <c r="J183" s="1385"/>
      <c r="K183" s="1385"/>
      <c r="L183" s="1385"/>
      <c r="M183" s="1214"/>
      <c r="N183" s="1214"/>
      <c r="O183" s="1214"/>
      <c r="P183" s="1214"/>
      <c r="Q183" s="1214"/>
      <c r="R183" s="1214"/>
      <c r="S183" s="1214"/>
    </row>
    <row r="184" spans="1:19" s="1199" customFormat="1" ht="24" customHeight="1">
      <c r="A184" s="1331"/>
      <c r="B184" s="2174" t="s">
        <v>1118</v>
      </c>
      <c r="C184" s="1202"/>
      <c r="D184" s="1202"/>
      <c r="E184" s="1387"/>
      <c r="F184" s="1384"/>
      <c r="G184" s="2176"/>
      <c r="H184" s="1388"/>
      <c r="I184" s="2177"/>
      <c r="J184" s="1385"/>
      <c r="K184" s="1385"/>
      <c r="L184" s="1385"/>
      <c r="M184" s="1214"/>
      <c r="N184" s="1214"/>
      <c r="O184" s="1214"/>
      <c r="P184" s="1214"/>
      <c r="Q184" s="1214"/>
      <c r="R184" s="1214"/>
      <c r="S184" s="1214"/>
    </row>
    <row r="185" spans="1:19" s="1199" customFormat="1" ht="24" customHeight="1">
      <c r="A185" s="1331"/>
      <c r="B185" s="2174" t="s">
        <v>1118</v>
      </c>
      <c r="C185" s="1202"/>
      <c r="D185" s="1202"/>
      <c r="E185" s="1387"/>
      <c r="F185" s="1384"/>
      <c r="G185" s="2176"/>
      <c r="H185" s="1388"/>
      <c r="I185" s="2177"/>
      <c r="J185" s="1385"/>
      <c r="K185" s="1385"/>
      <c r="L185" s="1385"/>
      <c r="M185" s="1214"/>
      <c r="N185" s="1214"/>
      <c r="O185" s="1214"/>
      <c r="P185" s="1214"/>
      <c r="Q185" s="1214"/>
      <c r="R185" s="1214"/>
      <c r="S185" s="1214"/>
    </row>
    <row r="186" spans="1:19" s="1199" customFormat="1" ht="24" customHeight="1">
      <c r="A186" s="1331"/>
      <c r="B186" s="1416"/>
      <c r="C186" s="1202"/>
      <c r="D186" s="1202"/>
      <c r="E186" s="1387"/>
      <c r="F186" s="1384"/>
      <c r="G186" s="2176"/>
      <c r="H186" s="1388"/>
      <c r="I186" s="2177"/>
      <c r="J186" s="1385"/>
      <c r="K186" s="1385"/>
      <c r="L186" s="1385"/>
      <c r="M186" s="1214"/>
      <c r="N186" s="1214"/>
      <c r="O186" s="1214"/>
      <c r="P186" s="1214"/>
      <c r="Q186" s="1214"/>
      <c r="R186" s="1214"/>
      <c r="S186" s="1214"/>
    </row>
    <row r="187" spans="1:19" s="1199" customFormat="1" ht="24" customHeight="1">
      <c r="A187" s="1243"/>
      <c r="B187" s="2257" t="str">
        <f>"รวมราคารายการที่ "&amp;A155</f>
        <v>รวมราคารายการที่ 3.4</v>
      </c>
      <c r="C187" s="2258"/>
      <c r="D187" s="2259"/>
      <c r="E187" s="1244"/>
      <c r="F187" s="1245"/>
      <c r="G187" s="1246"/>
      <c r="H187" s="1247">
        <f>SUM(H155:H183)</f>
        <v>106890</v>
      </c>
      <c r="I187" s="1246"/>
      <c r="J187" s="1247">
        <f>SUM(J155:J183)</f>
        <v>33137</v>
      </c>
      <c r="K187" s="1247">
        <f>SUM(K155:K183)</f>
        <v>140027</v>
      </c>
      <c r="L187" s="1245"/>
      <c r="M187" s="1214"/>
      <c r="N187" s="1214"/>
      <c r="O187" s="1214"/>
      <c r="P187" s="1214"/>
      <c r="Q187" s="1214"/>
      <c r="R187" s="1214"/>
      <c r="S187" s="1214"/>
    </row>
    <row r="188" spans="1:19" s="1199" customFormat="1" ht="24" customHeight="1">
      <c r="A188" s="1435" t="s">
        <v>1461</v>
      </c>
      <c r="B188" s="1436" t="s">
        <v>1333</v>
      </c>
      <c r="C188" s="1202"/>
      <c r="D188" s="1202"/>
      <c r="E188" s="1387"/>
      <c r="F188" s="1384"/>
      <c r="G188" s="2176"/>
      <c r="H188" s="1388"/>
      <c r="I188" s="2177"/>
      <c r="J188" s="1385"/>
      <c r="K188" s="1385"/>
      <c r="L188" s="1385"/>
      <c r="M188" s="1214"/>
      <c r="N188" s="1214"/>
      <c r="O188" s="1214"/>
      <c r="P188" s="1214"/>
      <c r="Q188" s="1214"/>
      <c r="R188" s="1214"/>
      <c r="S188" s="1214"/>
    </row>
    <row r="189" spans="1:19" s="1199" customFormat="1" ht="24" customHeight="1">
      <c r="A189" s="1331" t="s">
        <v>1181</v>
      </c>
      <c r="B189" s="2174" t="s">
        <v>1446</v>
      </c>
      <c r="C189" s="1202"/>
      <c r="D189" s="1202"/>
      <c r="E189" s="1387"/>
      <c r="F189" s="1384"/>
      <c r="G189" s="2176"/>
      <c r="H189" s="1264">
        <f t="shared" ref="H189:H204" si="25">ROUND(E189*G189,)</f>
        <v>0</v>
      </c>
      <c r="I189" s="2177"/>
      <c r="J189" s="1264">
        <f t="shared" ref="J189:J204" si="26">ROUND(E189*I189,)</f>
        <v>0</v>
      </c>
      <c r="K189" s="1385"/>
      <c r="L189" s="1385"/>
      <c r="M189" s="1214"/>
      <c r="N189" s="1214"/>
      <c r="O189" s="1214"/>
      <c r="P189" s="1214"/>
      <c r="Q189" s="1214"/>
      <c r="R189" s="1214"/>
      <c r="S189" s="1214"/>
    </row>
    <row r="190" spans="1:19" s="1199" customFormat="1" ht="24" customHeight="1">
      <c r="A190" s="1331"/>
      <c r="B190" s="2174" t="s">
        <v>1350</v>
      </c>
      <c r="C190" s="1202"/>
      <c r="D190" s="1202"/>
      <c r="E190" s="1404">
        <v>195</v>
      </c>
      <c r="F190" s="1358" t="s">
        <v>226</v>
      </c>
      <c r="G190" s="2176">
        <v>27</v>
      </c>
      <c r="H190" s="1264">
        <f t="shared" si="25"/>
        <v>5265</v>
      </c>
      <c r="I190" s="2177">
        <v>22</v>
      </c>
      <c r="J190" s="1264">
        <f t="shared" si="26"/>
        <v>4290</v>
      </c>
      <c r="K190" s="1802">
        <f t="shared" ref="K190" si="27">H190+J190</f>
        <v>9555</v>
      </c>
      <c r="L190" s="2001" t="s">
        <v>2667</v>
      </c>
      <c r="M190" s="1214"/>
      <c r="N190" s="1199">
        <v>79.8</v>
      </c>
      <c r="O190" s="1199">
        <f>ROUND(N190/3,)</f>
        <v>27</v>
      </c>
      <c r="P190" s="1214"/>
      <c r="Q190" s="1214"/>
      <c r="R190" s="1214"/>
      <c r="S190" s="1214"/>
    </row>
    <row r="191" spans="1:19" s="1199" customFormat="1" ht="24" customHeight="1">
      <c r="A191" s="1331"/>
      <c r="B191" s="2174" t="s">
        <v>1108</v>
      </c>
      <c r="C191" s="1202"/>
      <c r="D191" s="1202"/>
      <c r="E191" s="1404">
        <v>1</v>
      </c>
      <c r="F191" s="1384" t="s">
        <v>1104</v>
      </c>
      <c r="G191" s="2176">
        <f>ROUND(SUM(H190:H190)*15%,)</f>
        <v>790</v>
      </c>
      <c r="H191" s="1264">
        <f t="shared" si="25"/>
        <v>790</v>
      </c>
      <c r="I191" s="2177">
        <f>ROUND(G191*0.3,)</f>
        <v>237</v>
      </c>
      <c r="J191" s="1264">
        <f t="shared" si="26"/>
        <v>237</v>
      </c>
      <c r="K191" s="1273">
        <f>H191+J191</f>
        <v>1027</v>
      </c>
      <c r="L191" s="1385"/>
      <c r="M191" s="1214"/>
      <c r="N191" s="1214"/>
      <c r="O191" s="1214"/>
      <c r="P191" s="1214"/>
      <c r="Q191" s="1214"/>
      <c r="R191" s="1214"/>
      <c r="S191" s="1214"/>
    </row>
    <row r="192" spans="1:19" s="1199" customFormat="1" ht="24" customHeight="1">
      <c r="A192" s="1331" t="s">
        <v>1197</v>
      </c>
      <c r="B192" s="2174" t="s">
        <v>1110</v>
      </c>
      <c r="C192" s="1202"/>
      <c r="D192" s="1202"/>
      <c r="E192" s="1404"/>
      <c r="F192" s="1384"/>
      <c r="G192" s="2176"/>
      <c r="H192" s="1264">
        <f t="shared" si="25"/>
        <v>0</v>
      </c>
      <c r="I192" s="2177"/>
      <c r="J192" s="1264">
        <f t="shared" si="26"/>
        <v>0</v>
      </c>
      <c r="K192" s="1385"/>
      <c r="L192" s="1385"/>
      <c r="M192" s="1214"/>
      <c r="N192" s="1214"/>
      <c r="O192" s="1214"/>
      <c r="P192" s="1214"/>
      <c r="Q192" s="1214"/>
      <c r="R192" s="1214"/>
      <c r="S192" s="1214"/>
    </row>
    <row r="193" spans="1:19" s="1199" customFormat="1" ht="24" customHeight="1">
      <c r="A193" s="1331"/>
      <c r="B193" s="2174" t="s">
        <v>1350</v>
      </c>
      <c r="C193" s="1202"/>
      <c r="D193" s="1202"/>
      <c r="E193" s="1404"/>
      <c r="F193" s="1358" t="s">
        <v>226</v>
      </c>
      <c r="G193" s="2176">
        <v>56</v>
      </c>
      <c r="H193" s="1264">
        <f t="shared" si="25"/>
        <v>0</v>
      </c>
      <c r="I193" s="2177">
        <v>26</v>
      </c>
      <c r="J193" s="1264">
        <f t="shared" si="26"/>
        <v>0</v>
      </c>
      <c r="K193" s="1273">
        <f>H193+J193</f>
        <v>0</v>
      </c>
      <c r="L193" s="2001" t="s">
        <v>2667</v>
      </c>
      <c r="M193" s="1214"/>
      <c r="N193" s="1199">
        <v>169.2</v>
      </c>
      <c r="O193" s="1199">
        <f t="shared" ref="O193:O198" si="28">ROUND(N193/3,)</f>
        <v>56</v>
      </c>
      <c r="P193" s="1214"/>
      <c r="Q193" s="1214"/>
      <c r="R193" s="1214"/>
      <c r="S193" s="1214"/>
    </row>
    <row r="194" spans="1:19" s="1199" customFormat="1" ht="24" customHeight="1">
      <c r="A194" s="1331"/>
      <c r="B194" s="2174" t="s">
        <v>1448</v>
      </c>
      <c r="C194" s="1202"/>
      <c r="D194" s="1202"/>
      <c r="E194" s="1404"/>
      <c r="F194" s="1358" t="s">
        <v>226</v>
      </c>
      <c r="G194" s="2176">
        <v>75</v>
      </c>
      <c r="H194" s="1264">
        <f t="shared" si="25"/>
        <v>0</v>
      </c>
      <c r="I194" s="2177">
        <v>29</v>
      </c>
      <c r="J194" s="1264">
        <f t="shared" si="26"/>
        <v>0</v>
      </c>
      <c r="K194" s="1273">
        <f>H194+J194</f>
        <v>0</v>
      </c>
      <c r="L194" s="2001" t="s">
        <v>2667</v>
      </c>
      <c r="N194" s="1199">
        <v>225</v>
      </c>
      <c r="O194" s="1199">
        <f t="shared" si="28"/>
        <v>75</v>
      </c>
      <c r="P194" s="1214"/>
    </row>
    <row r="195" spans="1:19" s="1199" customFormat="1" ht="24" customHeight="1">
      <c r="A195" s="1331"/>
      <c r="B195" s="2174" t="s">
        <v>1337</v>
      </c>
      <c r="C195" s="1202"/>
      <c r="D195" s="1202"/>
      <c r="E195" s="1404">
        <v>0</v>
      </c>
      <c r="F195" s="1358" t="s">
        <v>226</v>
      </c>
      <c r="G195" s="2176">
        <v>101</v>
      </c>
      <c r="H195" s="1264">
        <f t="shared" si="25"/>
        <v>0</v>
      </c>
      <c r="I195" s="2177">
        <v>32</v>
      </c>
      <c r="J195" s="1264">
        <f t="shared" si="26"/>
        <v>0</v>
      </c>
      <c r="K195" s="1273">
        <f>H195+J195</f>
        <v>0</v>
      </c>
      <c r="L195" s="2001" t="s">
        <v>2667</v>
      </c>
      <c r="N195" s="1199">
        <v>303.60000000000002</v>
      </c>
      <c r="O195" s="1199">
        <f t="shared" si="28"/>
        <v>101</v>
      </c>
      <c r="P195" s="1214"/>
      <c r="Q195" s="1214"/>
      <c r="R195" s="1214"/>
      <c r="S195" s="1214"/>
    </row>
    <row r="196" spans="1:19" s="1199" customFormat="1" ht="24" customHeight="1">
      <c r="A196" s="1331"/>
      <c r="B196" s="2174" t="s">
        <v>1338</v>
      </c>
      <c r="C196" s="1202"/>
      <c r="D196" s="1202"/>
      <c r="E196" s="1270">
        <v>230</v>
      </c>
      <c r="F196" s="1358" t="s">
        <v>226</v>
      </c>
      <c r="G196" s="2176">
        <v>131</v>
      </c>
      <c r="H196" s="1264">
        <f t="shared" si="25"/>
        <v>30130</v>
      </c>
      <c r="I196" s="2177">
        <v>32</v>
      </c>
      <c r="J196" s="1264">
        <f t="shared" si="26"/>
        <v>7360</v>
      </c>
      <c r="K196" s="1273">
        <f t="shared" ref="K196:K201" si="29">H196+J196</f>
        <v>37490</v>
      </c>
      <c r="L196" s="2000" t="s">
        <v>2667</v>
      </c>
      <c r="N196" s="1199">
        <v>391.8</v>
      </c>
      <c r="O196" s="1199">
        <f t="shared" si="28"/>
        <v>131</v>
      </c>
    </row>
    <row r="197" spans="1:19" s="1199" customFormat="1" ht="24" customHeight="1">
      <c r="A197" s="1331"/>
      <c r="B197" s="2174" t="s">
        <v>1339</v>
      </c>
      <c r="C197" s="1202"/>
      <c r="D197" s="1202"/>
      <c r="E197" s="1270"/>
      <c r="F197" s="1358" t="s">
        <v>226</v>
      </c>
      <c r="G197" s="2176">
        <v>160</v>
      </c>
      <c r="H197" s="1264">
        <f t="shared" si="25"/>
        <v>0</v>
      </c>
      <c r="I197" s="2177">
        <v>38</v>
      </c>
      <c r="J197" s="1264">
        <f t="shared" si="26"/>
        <v>0</v>
      </c>
      <c r="K197" s="1273">
        <f t="shared" si="29"/>
        <v>0</v>
      </c>
      <c r="L197" s="2000" t="s">
        <v>2667</v>
      </c>
      <c r="N197" s="1199">
        <v>481.2</v>
      </c>
      <c r="O197" s="1199">
        <f t="shared" si="28"/>
        <v>160</v>
      </c>
    </row>
    <row r="198" spans="1:19" s="1199" customFormat="1" ht="24" customHeight="1">
      <c r="A198" s="1331"/>
      <c r="B198" s="2174" t="s">
        <v>1340</v>
      </c>
      <c r="C198" s="1202"/>
      <c r="D198" s="1202"/>
      <c r="E198" s="1270"/>
      <c r="F198" s="1358" t="s">
        <v>226</v>
      </c>
      <c r="G198" s="2176">
        <v>219</v>
      </c>
      <c r="H198" s="1264">
        <f t="shared" si="25"/>
        <v>0</v>
      </c>
      <c r="I198" s="2177">
        <v>42</v>
      </c>
      <c r="J198" s="1264">
        <f t="shared" si="26"/>
        <v>0</v>
      </c>
      <c r="K198" s="1273">
        <f t="shared" si="29"/>
        <v>0</v>
      </c>
      <c r="L198" s="2000" t="s">
        <v>2667</v>
      </c>
      <c r="N198" s="1199">
        <v>657.6</v>
      </c>
      <c r="O198" s="1199">
        <f t="shared" si="28"/>
        <v>219</v>
      </c>
    </row>
    <row r="199" spans="1:19" s="1199" customFormat="1" ht="24" customHeight="1">
      <c r="A199" s="1331"/>
      <c r="B199" s="2174" t="s">
        <v>1341</v>
      </c>
      <c r="C199" s="1202"/>
      <c r="D199" s="1202"/>
      <c r="E199" s="1270"/>
      <c r="F199" s="1358" t="s">
        <v>226</v>
      </c>
      <c r="G199" s="2176">
        <v>352</v>
      </c>
      <c r="H199" s="1264">
        <f t="shared" si="25"/>
        <v>0</v>
      </c>
      <c r="I199" s="2177">
        <v>48</v>
      </c>
      <c r="J199" s="1264">
        <f t="shared" si="26"/>
        <v>0</v>
      </c>
      <c r="K199" s="1273">
        <f t="shared" si="29"/>
        <v>0</v>
      </c>
      <c r="L199" s="1269"/>
    </row>
    <row r="200" spans="1:19" s="1199" customFormat="1" ht="24" customHeight="1">
      <c r="A200" s="1331"/>
      <c r="B200" s="2174" t="s">
        <v>1342</v>
      </c>
      <c r="C200" s="1202"/>
      <c r="D200" s="1202"/>
      <c r="E200" s="1270"/>
      <c r="F200" s="1358" t="s">
        <v>226</v>
      </c>
      <c r="G200" s="2176">
        <v>434</v>
      </c>
      <c r="H200" s="1264">
        <f t="shared" si="25"/>
        <v>0</v>
      </c>
      <c r="I200" s="2177">
        <v>55</v>
      </c>
      <c r="J200" s="1264">
        <f t="shared" si="26"/>
        <v>0</v>
      </c>
      <c r="K200" s="1273">
        <f t="shared" si="29"/>
        <v>0</v>
      </c>
      <c r="L200" s="1269"/>
    </row>
    <row r="201" spans="1:19" s="1199" customFormat="1" ht="24" customHeight="1">
      <c r="A201" s="1331"/>
      <c r="B201" s="2174" t="s">
        <v>1111</v>
      </c>
      <c r="C201" s="1202"/>
      <c r="D201" s="1202"/>
      <c r="E201" s="1270"/>
      <c r="F201" s="1358" t="s">
        <v>226</v>
      </c>
      <c r="G201" s="2176">
        <v>572</v>
      </c>
      <c r="H201" s="1264">
        <f t="shared" si="25"/>
        <v>0</v>
      </c>
      <c r="I201" s="2177">
        <v>65</v>
      </c>
      <c r="J201" s="1264">
        <f t="shared" si="26"/>
        <v>0</v>
      </c>
      <c r="K201" s="1273">
        <f t="shared" si="29"/>
        <v>0</v>
      </c>
      <c r="L201" s="1269"/>
    </row>
    <row r="202" spans="1:19" s="1199" customFormat="1" ht="23.5" customHeight="1">
      <c r="A202" s="1331"/>
      <c r="B202" s="2174" t="s">
        <v>1108</v>
      </c>
      <c r="C202" s="1202"/>
      <c r="D202" s="1202"/>
      <c r="E202" s="1404">
        <v>1</v>
      </c>
      <c r="F202" s="1384" t="s">
        <v>1104</v>
      </c>
      <c r="G202" s="2176">
        <f>ROUND(SUM(H193:H201)*15%,0)</f>
        <v>4520</v>
      </c>
      <c r="H202" s="1264">
        <f t="shared" si="25"/>
        <v>4520</v>
      </c>
      <c r="I202" s="2177">
        <f>ROUND(ROUND(G202*0.3,),0)</f>
        <v>1356</v>
      </c>
      <c r="J202" s="1264">
        <f t="shared" si="26"/>
        <v>1356</v>
      </c>
      <c r="K202" s="1273">
        <f>H202+J202</f>
        <v>5876</v>
      </c>
      <c r="L202" s="1385"/>
      <c r="M202" s="1214"/>
      <c r="N202" s="1214"/>
      <c r="O202" s="1214"/>
      <c r="P202" s="1214"/>
      <c r="Q202" s="1214"/>
    </row>
    <row r="203" spans="1:19" s="1199" customFormat="1" ht="24" customHeight="1">
      <c r="A203" s="1331" t="s">
        <v>1621</v>
      </c>
      <c r="B203" s="2174" t="s">
        <v>1449</v>
      </c>
      <c r="C203" s="1202"/>
      <c r="D203" s="1202"/>
      <c r="E203" s="1404"/>
      <c r="F203" s="1384"/>
      <c r="G203" s="2176"/>
      <c r="H203" s="1264">
        <f t="shared" si="25"/>
        <v>0</v>
      </c>
      <c r="I203" s="2177"/>
      <c r="J203" s="1264">
        <f t="shared" si="26"/>
        <v>0</v>
      </c>
      <c r="K203" s="1385"/>
      <c r="L203" s="1385"/>
      <c r="M203" s="1214"/>
      <c r="N203" s="1214"/>
      <c r="O203" s="1214"/>
      <c r="P203" s="1214"/>
      <c r="Q203" s="1214"/>
      <c r="R203" s="1214"/>
      <c r="S203" s="1214"/>
    </row>
    <row r="204" spans="1:19" s="1199" customFormat="1" ht="24" customHeight="1">
      <c r="A204" s="1331"/>
      <c r="B204" s="2174" t="s">
        <v>1350</v>
      </c>
      <c r="C204" s="1202"/>
      <c r="D204" s="1202"/>
      <c r="E204" s="1404">
        <v>14</v>
      </c>
      <c r="F204" s="1358" t="s">
        <v>226</v>
      </c>
      <c r="G204" s="2176">
        <v>14</v>
      </c>
      <c r="H204" s="1264">
        <f t="shared" si="25"/>
        <v>196</v>
      </c>
      <c r="I204" s="2177">
        <v>11</v>
      </c>
      <c r="J204" s="1264">
        <f t="shared" si="26"/>
        <v>154</v>
      </c>
      <c r="K204" s="1273">
        <f>H204+J204</f>
        <v>350</v>
      </c>
      <c r="L204" s="1385"/>
      <c r="M204" s="1214"/>
      <c r="N204" s="1214"/>
      <c r="O204" s="1214"/>
      <c r="P204" s="1214"/>
      <c r="Q204" s="1214"/>
      <c r="R204" s="1214"/>
      <c r="S204" s="1214"/>
    </row>
    <row r="205" spans="1:19" s="1199" customFormat="1" ht="24" customHeight="1">
      <c r="A205" s="1331"/>
      <c r="B205" s="2174" t="s">
        <v>1117</v>
      </c>
      <c r="C205" s="1202"/>
      <c r="D205" s="1202"/>
      <c r="E205" s="1387"/>
      <c r="F205" s="1384"/>
      <c r="G205" s="2176"/>
      <c r="H205" s="1388"/>
      <c r="I205" s="2177"/>
      <c r="J205" s="1385"/>
      <c r="K205" s="1385"/>
      <c r="L205" s="1385"/>
      <c r="M205" s="1214"/>
      <c r="N205" s="1214"/>
      <c r="O205" s="1214"/>
      <c r="P205" s="1214"/>
      <c r="Q205" s="1214"/>
      <c r="R205" s="1214"/>
      <c r="S205" s="1214"/>
    </row>
    <row r="206" spans="1:19" s="1199" customFormat="1" ht="24" customHeight="1">
      <c r="A206" s="1331"/>
      <c r="B206" s="2174" t="s">
        <v>1118</v>
      </c>
      <c r="C206" s="1202"/>
      <c r="D206" s="1202"/>
      <c r="E206" s="1387"/>
      <c r="F206" s="1384"/>
      <c r="G206" s="2176"/>
      <c r="H206" s="1388"/>
      <c r="I206" s="2177"/>
      <c r="J206" s="1385"/>
      <c r="K206" s="1385"/>
      <c r="L206" s="1385"/>
      <c r="M206" s="1214"/>
      <c r="N206" s="1214"/>
      <c r="O206" s="1214"/>
      <c r="P206" s="1214"/>
      <c r="Q206" s="1214"/>
      <c r="R206" s="1214"/>
      <c r="S206" s="1214"/>
    </row>
    <row r="207" spans="1:19" s="1199" customFormat="1" ht="24" customHeight="1">
      <c r="A207" s="1331"/>
      <c r="B207" s="2174" t="s">
        <v>1118</v>
      </c>
      <c r="C207" s="1202"/>
      <c r="D207" s="1202"/>
      <c r="E207" s="1387"/>
      <c r="F207" s="1384"/>
      <c r="G207" s="2176"/>
      <c r="H207" s="1388"/>
      <c r="I207" s="2177"/>
      <c r="J207" s="1385"/>
      <c r="K207" s="1385"/>
      <c r="L207" s="1385"/>
      <c r="M207" s="1214"/>
      <c r="N207" s="1214"/>
      <c r="O207" s="1214"/>
      <c r="P207" s="1214"/>
      <c r="Q207" s="1214"/>
      <c r="R207" s="1214"/>
      <c r="S207" s="1214"/>
    </row>
    <row r="208" spans="1:19" s="1199" customFormat="1" ht="24" customHeight="1">
      <c r="A208" s="1331"/>
      <c r="B208" s="1416"/>
      <c r="C208" s="1202"/>
      <c r="D208" s="1202"/>
      <c r="E208" s="1387"/>
      <c r="F208" s="1384"/>
      <c r="G208" s="2176"/>
      <c r="H208" s="1388"/>
      <c r="I208" s="2177"/>
      <c r="J208" s="1385"/>
      <c r="K208" s="1385"/>
      <c r="L208" s="1385"/>
      <c r="M208" s="1214"/>
      <c r="N208" s="1214"/>
      <c r="O208" s="1214"/>
      <c r="P208" s="1214"/>
      <c r="Q208" s="1214"/>
      <c r="R208" s="1214"/>
      <c r="S208" s="1214"/>
    </row>
    <row r="209" spans="1:19" s="1199" customFormat="1" ht="24" customHeight="1">
      <c r="A209" s="1243"/>
      <c r="B209" s="2257" t="str">
        <f>"รวมราคารายการที่ "&amp;A188</f>
        <v>รวมราคารายการที่ 3.5</v>
      </c>
      <c r="C209" s="2258"/>
      <c r="D209" s="2259"/>
      <c r="E209" s="1244"/>
      <c r="F209" s="1245"/>
      <c r="G209" s="1246"/>
      <c r="H209" s="1247">
        <f>SUM(H189:H207)</f>
        <v>40901</v>
      </c>
      <c r="I209" s="1246"/>
      <c r="J209" s="1247">
        <f>SUM(J189:J207)</f>
        <v>13397</v>
      </c>
      <c r="K209" s="1247">
        <f>SUM(K189:K207)</f>
        <v>54298</v>
      </c>
      <c r="L209" s="1245"/>
      <c r="M209" s="1214"/>
      <c r="N209" s="1214"/>
      <c r="O209" s="1214"/>
      <c r="P209" s="1214"/>
      <c r="Q209" s="1214"/>
      <c r="R209" s="1214"/>
      <c r="S209" s="1214"/>
    </row>
    <row r="210" spans="1:19" s="1199" customFormat="1" ht="24" customHeight="1">
      <c r="A210" s="1435" t="s">
        <v>1465</v>
      </c>
      <c r="B210" s="1436" t="s">
        <v>1451</v>
      </c>
      <c r="C210" s="1202"/>
      <c r="D210" s="1202"/>
      <c r="E210" s="1387"/>
      <c r="F210" s="1384"/>
      <c r="G210" s="2176"/>
      <c r="H210" s="1388"/>
      <c r="I210" s="2177"/>
      <c r="J210" s="1385"/>
      <c r="K210" s="1385"/>
      <c r="L210" s="1385"/>
      <c r="M210" s="1214"/>
      <c r="N210" s="1214"/>
      <c r="O210" s="1214"/>
      <c r="P210" s="1214"/>
      <c r="Q210" s="1214"/>
      <c r="R210" s="1214"/>
      <c r="S210" s="1214"/>
    </row>
    <row r="211" spans="1:19" s="1199" customFormat="1" ht="24" customHeight="1">
      <c r="A211" s="1331" t="s">
        <v>1207</v>
      </c>
      <c r="B211" s="2174" t="s">
        <v>1451</v>
      </c>
      <c r="C211" s="1202"/>
      <c r="D211" s="1202"/>
      <c r="E211" s="1387"/>
      <c r="F211" s="1384"/>
      <c r="G211" s="2176"/>
      <c r="H211" s="1388"/>
      <c r="I211" s="2177"/>
      <c r="J211" s="1385"/>
      <c r="K211" s="1385"/>
      <c r="L211" s="1385"/>
      <c r="M211" s="1214"/>
      <c r="N211" s="1214"/>
      <c r="O211" s="1214"/>
      <c r="P211" s="1214"/>
      <c r="Q211" s="1214"/>
      <c r="R211" s="1214"/>
      <c r="S211" s="1214"/>
    </row>
    <row r="212" spans="1:19" s="1199" customFormat="1" ht="24" customHeight="1">
      <c r="A212" s="1331"/>
      <c r="B212" s="2174" t="s">
        <v>1452</v>
      </c>
      <c r="C212" s="1202"/>
      <c r="D212" s="1202"/>
      <c r="E212" s="1387">
        <v>6</v>
      </c>
      <c r="F212" s="1207" t="s">
        <v>363</v>
      </c>
      <c r="G212" s="2176">
        <v>90</v>
      </c>
      <c r="H212" s="1264">
        <f t="shared" ref="H212:H220" si="30">ROUND(E212*G212,)</f>
        <v>540</v>
      </c>
      <c r="I212" s="2177">
        <v>80</v>
      </c>
      <c r="J212" s="1264">
        <f t="shared" ref="J212:J220" si="31">ROUND(E212*I212,)</f>
        <v>480</v>
      </c>
      <c r="K212" s="1273">
        <f t="shared" ref="K212:K220" si="32">H212+J212</f>
        <v>1020</v>
      </c>
      <c r="L212" s="1389"/>
      <c r="M212" s="1214"/>
      <c r="N212" s="1214"/>
      <c r="O212" s="1214"/>
    </row>
    <row r="213" spans="1:19" s="1199" customFormat="1" ht="24" customHeight="1">
      <c r="A213" s="1331"/>
      <c r="B213" s="2174" t="s">
        <v>1453</v>
      </c>
      <c r="C213" s="1202"/>
      <c r="D213" s="1202"/>
      <c r="E213" s="1387"/>
      <c r="F213" s="1207" t="s">
        <v>363</v>
      </c>
      <c r="G213" s="2176">
        <v>130</v>
      </c>
      <c r="H213" s="1264">
        <f t="shared" si="30"/>
        <v>0</v>
      </c>
      <c r="I213" s="2177">
        <v>90</v>
      </c>
      <c r="J213" s="1264">
        <f t="shared" si="31"/>
        <v>0</v>
      </c>
      <c r="K213" s="1273">
        <f t="shared" si="32"/>
        <v>0</v>
      </c>
      <c r="L213" s="1389"/>
      <c r="M213" s="1214"/>
      <c r="N213" s="1214"/>
      <c r="O213" s="1214"/>
    </row>
    <row r="214" spans="1:19" s="1199" customFormat="1" ht="24" customHeight="1">
      <c r="A214" s="1331"/>
      <c r="B214" s="2174" t="s">
        <v>1454</v>
      </c>
      <c r="C214" s="1202"/>
      <c r="D214" s="1202"/>
      <c r="E214" s="1387"/>
      <c r="F214" s="1207" t="s">
        <v>363</v>
      </c>
      <c r="G214" s="2176">
        <v>240</v>
      </c>
      <c r="H214" s="1264">
        <f t="shared" si="30"/>
        <v>0</v>
      </c>
      <c r="I214" s="2177">
        <v>90</v>
      </c>
      <c r="J214" s="1264">
        <f t="shared" si="31"/>
        <v>0</v>
      </c>
      <c r="K214" s="1273">
        <f t="shared" si="32"/>
        <v>0</v>
      </c>
      <c r="L214" s="1389"/>
      <c r="M214" s="1214"/>
      <c r="N214" s="1214"/>
      <c r="O214" s="1214"/>
    </row>
    <row r="215" spans="1:19" s="1199" customFormat="1" ht="24" customHeight="1">
      <c r="A215" s="1331"/>
      <c r="B215" s="2174" t="s">
        <v>1455</v>
      </c>
      <c r="C215" s="1202"/>
      <c r="D215" s="1202"/>
      <c r="E215" s="1387"/>
      <c r="F215" s="1207" t="s">
        <v>363</v>
      </c>
      <c r="G215" s="2176">
        <v>162</v>
      </c>
      <c r="H215" s="1264">
        <f t="shared" si="30"/>
        <v>0</v>
      </c>
      <c r="I215" s="2177">
        <v>90</v>
      </c>
      <c r="J215" s="1264">
        <f t="shared" si="31"/>
        <v>0</v>
      </c>
      <c r="K215" s="1273">
        <f t="shared" si="32"/>
        <v>0</v>
      </c>
      <c r="L215" s="1389"/>
      <c r="M215" s="1214"/>
      <c r="N215" s="1214"/>
      <c r="O215" s="1214"/>
    </row>
    <row r="216" spans="1:19" s="1199" customFormat="1" ht="24" customHeight="1">
      <c r="A216" s="1331"/>
      <c r="B216" s="2174" t="s">
        <v>1456</v>
      </c>
      <c r="C216" s="1202"/>
      <c r="D216" s="1202"/>
      <c r="E216" s="1387">
        <v>8</v>
      </c>
      <c r="F216" s="1207" t="s">
        <v>363</v>
      </c>
      <c r="G216" s="2176">
        <v>197</v>
      </c>
      <c r="H216" s="1264">
        <f t="shared" si="30"/>
        <v>1576</v>
      </c>
      <c r="I216" s="2177">
        <v>90</v>
      </c>
      <c r="J216" s="1264">
        <f t="shared" si="31"/>
        <v>720</v>
      </c>
      <c r="K216" s="1273">
        <f t="shared" si="32"/>
        <v>2296</v>
      </c>
      <c r="L216" s="1389"/>
      <c r="M216" s="1214"/>
      <c r="N216" s="1214"/>
      <c r="O216" s="1214"/>
    </row>
    <row r="217" spans="1:19" s="1199" customFormat="1" ht="24" customHeight="1">
      <c r="A217" s="1331"/>
      <c r="B217" s="2174" t="s">
        <v>1457</v>
      </c>
      <c r="C217" s="1202"/>
      <c r="D217" s="1202"/>
      <c r="E217" s="1387"/>
      <c r="F217" s="1207" t="s">
        <v>363</v>
      </c>
      <c r="G217" s="2176">
        <v>1500</v>
      </c>
      <c r="H217" s="1264">
        <f t="shared" si="30"/>
        <v>0</v>
      </c>
      <c r="I217" s="2177">
        <v>265</v>
      </c>
      <c r="J217" s="1264">
        <f t="shared" si="31"/>
        <v>0</v>
      </c>
      <c r="K217" s="1385">
        <f t="shared" si="32"/>
        <v>0</v>
      </c>
      <c r="L217" s="1389"/>
      <c r="M217" s="1214"/>
      <c r="N217" s="1214"/>
      <c r="O217" s="1214"/>
    </row>
    <row r="218" spans="1:19" s="1199" customFormat="1" ht="24" customHeight="1">
      <c r="A218" s="1331"/>
      <c r="B218" s="2174" t="s">
        <v>1458</v>
      </c>
      <c r="C218" s="1202"/>
      <c r="D218" s="1202"/>
      <c r="E218" s="1387"/>
      <c r="F218" s="1207" t="s">
        <v>363</v>
      </c>
      <c r="G218" s="2176">
        <v>518</v>
      </c>
      <c r="H218" s="1264">
        <f t="shared" si="30"/>
        <v>0</v>
      </c>
      <c r="I218" s="2177">
        <v>115</v>
      </c>
      <c r="J218" s="1264">
        <f t="shared" si="31"/>
        <v>0</v>
      </c>
      <c r="K218" s="1273">
        <f t="shared" si="32"/>
        <v>0</v>
      </c>
      <c r="L218" s="1389"/>
      <c r="M218" s="1214"/>
      <c r="N218" s="1214"/>
      <c r="O218" s="1214"/>
    </row>
    <row r="219" spans="1:19" s="1199" customFormat="1" ht="24" customHeight="1">
      <c r="A219" s="1331"/>
      <c r="B219" s="2174" t="s">
        <v>1459</v>
      </c>
      <c r="C219" s="1202"/>
      <c r="D219" s="1202"/>
      <c r="E219" s="1387"/>
      <c r="F219" s="1207" t="s">
        <v>363</v>
      </c>
      <c r="G219" s="2176">
        <v>850</v>
      </c>
      <c r="H219" s="1264">
        <f t="shared" si="30"/>
        <v>0</v>
      </c>
      <c r="I219" s="2177">
        <v>265</v>
      </c>
      <c r="J219" s="1264">
        <f t="shared" si="31"/>
        <v>0</v>
      </c>
      <c r="K219" s="1273">
        <f t="shared" si="32"/>
        <v>0</v>
      </c>
      <c r="L219" s="1389"/>
      <c r="M219" s="1214"/>
      <c r="N219" s="1214"/>
      <c r="O219" s="1214"/>
    </row>
    <row r="220" spans="1:19" s="1199" customFormat="1" ht="24" customHeight="1">
      <c r="A220" s="1331" t="s">
        <v>1229</v>
      </c>
      <c r="B220" s="2174" t="s">
        <v>1460</v>
      </c>
      <c r="C220" s="1202"/>
      <c r="D220" s="1202"/>
      <c r="E220" s="1387">
        <v>2</v>
      </c>
      <c r="F220" s="1207" t="s">
        <v>363</v>
      </c>
      <c r="G220" s="2176">
        <v>130</v>
      </c>
      <c r="H220" s="1264">
        <f t="shared" si="30"/>
        <v>260</v>
      </c>
      <c r="I220" s="2177">
        <v>90</v>
      </c>
      <c r="J220" s="1264">
        <f t="shared" si="31"/>
        <v>180</v>
      </c>
      <c r="K220" s="1273">
        <f t="shared" si="32"/>
        <v>440</v>
      </c>
      <c r="L220" s="1385"/>
      <c r="M220" s="1214"/>
      <c r="N220" s="1214"/>
      <c r="O220" s="1214"/>
      <c r="P220" s="1214"/>
      <c r="Q220" s="1214"/>
      <c r="R220" s="1214"/>
      <c r="S220" s="1214"/>
    </row>
    <row r="221" spans="1:19" s="1199" customFormat="1" ht="24" customHeight="1">
      <c r="A221" s="1331"/>
      <c r="B221" s="2174" t="s">
        <v>1117</v>
      </c>
      <c r="C221" s="1202"/>
      <c r="D221" s="1202"/>
      <c r="E221" s="1387"/>
      <c r="F221" s="1384"/>
      <c r="G221" s="2176"/>
      <c r="H221" s="1388"/>
      <c r="I221" s="2177"/>
      <c r="J221" s="1385"/>
      <c r="K221" s="1385"/>
      <c r="L221" s="1385"/>
      <c r="M221" s="1214"/>
      <c r="N221" s="1214"/>
      <c r="O221" s="1214"/>
      <c r="P221" s="1214"/>
      <c r="Q221" s="1214"/>
      <c r="R221" s="1214"/>
      <c r="S221" s="1214"/>
    </row>
    <row r="222" spans="1:19" s="1199" customFormat="1" ht="24" customHeight="1">
      <c r="A222" s="1331"/>
      <c r="B222" s="2174" t="s">
        <v>1118</v>
      </c>
      <c r="C222" s="1202"/>
      <c r="D222" s="1202"/>
      <c r="E222" s="1387"/>
      <c r="F222" s="1384"/>
      <c r="G222" s="2176"/>
      <c r="H222" s="1388"/>
      <c r="I222" s="2177"/>
      <c r="J222" s="1385"/>
      <c r="K222" s="1385"/>
      <c r="L222" s="1385"/>
      <c r="M222" s="1214"/>
      <c r="N222" s="1214"/>
      <c r="O222" s="1214"/>
      <c r="P222" s="1214"/>
      <c r="Q222" s="1214"/>
      <c r="R222" s="1214"/>
      <c r="S222" s="1214"/>
    </row>
    <row r="223" spans="1:19" s="1199" customFormat="1" ht="26.5" customHeight="1">
      <c r="A223" s="1331"/>
      <c r="B223" s="1240"/>
      <c r="C223" s="1202"/>
      <c r="D223" s="1202"/>
      <c r="E223" s="1387"/>
      <c r="F223" s="1384"/>
      <c r="G223" s="2176"/>
      <c r="H223" s="1388"/>
      <c r="I223" s="2177"/>
      <c r="J223" s="1385"/>
      <c r="K223" s="1385"/>
      <c r="L223" s="1385"/>
      <c r="M223" s="1214"/>
      <c r="N223" s="1214"/>
      <c r="O223" s="1214"/>
      <c r="P223" s="1214"/>
      <c r="Q223" s="1214"/>
      <c r="R223" s="1214"/>
      <c r="S223" s="1214"/>
    </row>
    <row r="224" spans="1:19" s="1199" customFormat="1" ht="24" customHeight="1">
      <c r="A224" s="1331"/>
      <c r="B224" s="1416"/>
      <c r="C224" s="1202"/>
      <c r="D224" s="1202"/>
      <c r="E224" s="1387"/>
      <c r="F224" s="1384"/>
      <c r="G224" s="2176"/>
      <c r="H224" s="1388"/>
      <c r="I224" s="2177"/>
      <c r="J224" s="1385"/>
      <c r="K224" s="1385"/>
      <c r="L224" s="1385"/>
      <c r="M224" s="1214"/>
      <c r="N224" s="1214"/>
      <c r="O224" s="1214"/>
      <c r="P224" s="1214"/>
      <c r="Q224" s="1214"/>
      <c r="R224" s="1214"/>
      <c r="S224" s="1214"/>
    </row>
    <row r="225" spans="1:19" s="1199" customFormat="1" ht="24" customHeight="1">
      <c r="A225" s="1440"/>
      <c r="B225" s="2367"/>
      <c r="C225" s="2368"/>
      <c r="D225" s="2368"/>
      <c r="E225" s="1443"/>
      <c r="F225" s="1444"/>
      <c r="G225" s="1445"/>
      <c r="H225" s="1446"/>
      <c r="I225" s="1447"/>
      <c r="J225" s="1448"/>
      <c r="K225" s="1448"/>
      <c r="L225" s="1448"/>
      <c r="M225" s="1214"/>
      <c r="N225" s="1214"/>
      <c r="O225" s="1214"/>
      <c r="P225" s="1214"/>
      <c r="Q225" s="1214"/>
      <c r="R225" s="1214"/>
      <c r="S225" s="1214"/>
    </row>
    <row r="226" spans="1:19" s="1199" customFormat="1" ht="24" customHeight="1">
      <c r="A226" s="1243"/>
      <c r="B226" s="2257" t="str">
        <f>"รวมราคารายการที่ "&amp;A210</f>
        <v>รวมราคารายการที่ 3.6</v>
      </c>
      <c r="C226" s="2258"/>
      <c r="D226" s="2259"/>
      <c r="E226" s="1244"/>
      <c r="F226" s="1245"/>
      <c r="G226" s="1246"/>
      <c r="H226" s="1247">
        <f>SUM(H211:H222)</f>
        <v>2376</v>
      </c>
      <c r="I226" s="1246"/>
      <c r="J226" s="1247">
        <f>SUM(J211:J222)</f>
        <v>1380</v>
      </c>
      <c r="K226" s="1247">
        <f>SUM(K211:K222)</f>
        <v>3756</v>
      </c>
      <c r="L226" s="1245"/>
      <c r="M226" s="1214"/>
      <c r="N226" s="1214"/>
      <c r="O226" s="1214"/>
      <c r="P226" s="1214"/>
      <c r="Q226" s="1214"/>
      <c r="R226" s="1214"/>
      <c r="S226" s="1214"/>
    </row>
    <row r="227" spans="1:19" s="1199" customFormat="1" ht="24" customHeight="1">
      <c r="A227" s="1435" t="s">
        <v>1490</v>
      </c>
      <c r="B227" s="1436" t="s">
        <v>1466</v>
      </c>
      <c r="C227" s="1202"/>
      <c r="D227" s="1202"/>
      <c r="E227" s="1387"/>
      <c r="F227" s="1207"/>
      <c r="G227" s="2176"/>
      <c r="H227" s="1264"/>
      <c r="I227" s="2177"/>
      <c r="J227" s="1264"/>
      <c r="K227" s="1273"/>
      <c r="L227" s="1385"/>
      <c r="M227" s="1214"/>
      <c r="N227" s="1214"/>
      <c r="O227" s="1214"/>
      <c r="P227" s="1214"/>
      <c r="Q227" s="1214"/>
      <c r="R227" s="1214"/>
      <c r="S227" s="1214"/>
    </row>
    <row r="228" spans="1:19" s="1199" customFormat="1" ht="24" customHeight="1">
      <c r="A228" s="1339"/>
      <c r="B228" s="1259" t="s">
        <v>1467</v>
      </c>
      <c r="C228" s="1202"/>
      <c r="D228" s="1202"/>
      <c r="E228" s="1404">
        <v>12</v>
      </c>
      <c r="F228" s="1267" t="s">
        <v>363</v>
      </c>
      <c r="G228" s="1386">
        <v>420</v>
      </c>
      <c r="H228" s="1343">
        <f t="shared" ref="H228:H251" si="33">ROUND(E228*G228,)</f>
        <v>5040</v>
      </c>
      <c r="I228" s="1414">
        <v>115</v>
      </c>
      <c r="J228" s="1343">
        <f t="shared" ref="J228:J251" si="34">ROUND(E228*I228,)</f>
        <v>1380</v>
      </c>
      <c r="K228" s="1262">
        <f t="shared" ref="K228:K251" si="35">H228+J228</f>
        <v>6420</v>
      </c>
      <c r="L228" s="1415"/>
      <c r="M228" s="1214"/>
      <c r="N228" s="1214"/>
      <c r="O228" s="1214"/>
      <c r="P228" s="1214"/>
    </row>
    <row r="229" spans="1:19" s="1199" customFormat="1" ht="24" customHeight="1">
      <c r="A229" s="1339"/>
      <c r="B229" s="1259" t="s">
        <v>1468</v>
      </c>
      <c r="C229" s="1202"/>
      <c r="D229" s="1202"/>
      <c r="E229" s="1404">
        <v>4</v>
      </c>
      <c r="F229" s="1267" t="s">
        <v>363</v>
      </c>
      <c r="G229" s="1386">
        <v>500</v>
      </c>
      <c r="H229" s="1343">
        <f t="shared" si="33"/>
        <v>2000</v>
      </c>
      <c r="I229" s="1414">
        <v>115</v>
      </c>
      <c r="J229" s="1343">
        <f t="shared" si="34"/>
        <v>460</v>
      </c>
      <c r="K229" s="1262">
        <f t="shared" si="35"/>
        <v>2460</v>
      </c>
      <c r="L229" s="1415"/>
      <c r="M229" s="1214"/>
      <c r="N229" s="1214"/>
      <c r="O229" s="1214"/>
      <c r="P229" s="1214"/>
    </row>
    <row r="230" spans="1:19" s="1199" customFormat="1" ht="24" customHeight="1">
      <c r="A230" s="1339"/>
      <c r="B230" s="1259" t="s">
        <v>1469</v>
      </c>
      <c r="C230" s="1202"/>
      <c r="D230" s="1202"/>
      <c r="E230" s="1404"/>
      <c r="F230" s="1267" t="s">
        <v>363</v>
      </c>
      <c r="G230" s="1386">
        <v>550</v>
      </c>
      <c r="H230" s="1343">
        <f t="shared" si="33"/>
        <v>0</v>
      </c>
      <c r="I230" s="1414">
        <v>115</v>
      </c>
      <c r="J230" s="1343">
        <f t="shared" si="34"/>
        <v>0</v>
      </c>
      <c r="K230" s="1262">
        <f t="shared" si="35"/>
        <v>0</v>
      </c>
      <c r="L230" s="1415"/>
      <c r="M230" s="1214"/>
      <c r="N230" s="1214"/>
      <c r="O230" s="1214"/>
      <c r="P230" s="1214"/>
    </row>
    <row r="231" spans="1:19" s="1199" customFormat="1" ht="24" customHeight="1">
      <c r="A231" s="1339"/>
      <c r="B231" s="1259" t="s">
        <v>1470</v>
      </c>
      <c r="C231" s="1202"/>
      <c r="D231" s="1202"/>
      <c r="E231" s="1404"/>
      <c r="F231" s="1267" t="s">
        <v>363</v>
      </c>
      <c r="G231" s="1386">
        <v>750</v>
      </c>
      <c r="H231" s="1343">
        <f t="shared" si="33"/>
        <v>0</v>
      </c>
      <c r="I231" s="1414">
        <v>135</v>
      </c>
      <c r="J231" s="1343">
        <f t="shared" si="34"/>
        <v>0</v>
      </c>
      <c r="K231" s="1262">
        <f t="shared" si="35"/>
        <v>0</v>
      </c>
      <c r="L231" s="1415"/>
      <c r="M231" s="1214"/>
      <c r="N231" s="1214"/>
      <c r="O231" s="1214"/>
      <c r="P231" s="1214"/>
    </row>
    <row r="232" spans="1:19" s="1199" customFormat="1" ht="24" customHeight="1">
      <c r="A232" s="1339"/>
      <c r="B232" s="1259" t="s">
        <v>1471</v>
      </c>
      <c r="C232" s="1202"/>
      <c r="D232" s="1202"/>
      <c r="E232" s="1404"/>
      <c r="F232" s="1267" t="s">
        <v>363</v>
      </c>
      <c r="G232" s="1386">
        <v>1550</v>
      </c>
      <c r="H232" s="1343">
        <f t="shared" si="33"/>
        <v>0</v>
      </c>
      <c r="I232" s="1414">
        <v>135</v>
      </c>
      <c r="J232" s="1343">
        <f t="shared" si="34"/>
        <v>0</v>
      </c>
      <c r="K232" s="1262">
        <f t="shared" si="35"/>
        <v>0</v>
      </c>
      <c r="L232" s="1415"/>
      <c r="M232" s="1214"/>
      <c r="N232" s="1214"/>
      <c r="O232" s="1214"/>
      <c r="P232" s="1214"/>
    </row>
    <row r="233" spans="1:19" s="1199" customFormat="1" ht="24" customHeight="1">
      <c r="A233" s="1339"/>
      <c r="B233" s="1259" t="s">
        <v>1472</v>
      </c>
      <c r="C233" s="1202"/>
      <c r="D233" s="1202"/>
      <c r="E233" s="1404"/>
      <c r="F233" s="1267" t="s">
        <v>363</v>
      </c>
      <c r="G233" s="1386">
        <v>2090</v>
      </c>
      <c r="H233" s="1343">
        <f t="shared" si="33"/>
        <v>0</v>
      </c>
      <c r="I233" s="1414">
        <v>135</v>
      </c>
      <c r="J233" s="1343">
        <f t="shared" si="34"/>
        <v>0</v>
      </c>
      <c r="K233" s="1262">
        <f t="shared" si="35"/>
        <v>0</v>
      </c>
      <c r="L233" s="1415"/>
      <c r="M233" s="1214"/>
      <c r="N233" s="1214"/>
      <c r="O233" s="1214"/>
      <c r="P233" s="1214"/>
    </row>
    <row r="234" spans="1:19" s="1199" customFormat="1" ht="24" customHeight="1">
      <c r="A234" s="1339"/>
      <c r="B234" s="1259" t="s">
        <v>1473</v>
      </c>
      <c r="C234" s="1202"/>
      <c r="D234" s="1202"/>
      <c r="E234" s="1404"/>
      <c r="F234" s="1267" t="s">
        <v>363</v>
      </c>
      <c r="G234" s="1386">
        <v>3750</v>
      </c>
      <c r="H234" s="1343">
        <f t="shared" si="33"/>
        <v>0</v>
      </c>
      <c r="I234" s="1414">
        <v>135</v>
      </c>
      <c r="J234" s="1343">
        <f t="shared" si="34"/>
        <v>0</v>
      </c>
      <c r="K234" s="1262">
        <f t="shared" si="35"/>
        <v>0</v>
      </c>
      <c r="L234" s="1415"/>
      <c r="M234" s="1214"/>
      <c r="N234" s="1214"/>
      <c r="O234" s="1214"/>
      <c r="P234" s="1214"/>
    </row>
    <row r="235" spans="1:19" s="1199" customFormat="1" ht="24" customHeight="1">
      <c r="A235" s="1339"/>
      <c r="B235" s="1259" t="s">
        <v>1474</v>
      </c>
      <c r="C235" s="1202"/>
      <c r="D235" s="1202"/>
      <c r="E235" s="1404"/>
      <c r="F235" s="1267" t="s">
        <v>363</v>
      </c>
      <c r="G235" s="1386">
        <v>2450</v>
      </c>
      <c r="H235" s="1343">
        <f t="shared" si="33"/>
        <v>0</v>
      </c>
      <c r="I235" s="1414">
        <v>135</v>
      </c>
      <c r="J235" s="1343">
        <f t="shared" si="34"/>
        <v>0</v>
      </c>
      <c r="K235" s="1262">
        <f t="shared" si="35"/>
        <v>0</v>
      </c>
      <c r="L235" s="1415"/>
      <c r="M235" s="1214"/>
      <c r="N235" s="1214"/>
      <c r="O235" s="1214"/>
      <c r="P235" s="1214"/>
    </row>
    <row r="236" spans="1:19" s="1199" customFormat="1" ht="24" customHeight="1">
      <c r="A236" s="1339"/>
      <c r="B236" s="1259" t="s">
        <v>1475</v>
      </c>
      <c r="C236" s="1202"/>
      <c r="D236" s="1202"/>
      <c r="E236" s="1404"/>
      <c r="F236" s="1267" t="s">
        <v>363</v>
      </c>
      <c r="G236" s="1386">
        <v>1860</v>
      </c>
      <c r="H236" s="1343">
        <f t="shared" si="33"/>
        <v>0</v>
      </c>
      <c r="I236" s="1414">
        <v>135</v>
      </c>
      <c r="J236" s="1343">
        <f t="shared" si="34"/>
        <v>0</v>
      </c>
      <c r="K236" s="1262">
        <f t="shared" si="35"/>
        <v>0</v>
      </c>
      <c r="L236" s="1415"/>
      <c r="M236" s="1214"/>
      <c r="N236" s="1214"/>
      <c r="O236" s="1214"/>
      <c r="P236" s="1214"/>
    </row>
    <row r="237" spans="1:19" s="1199" customFormat="1" ht="24" customHeight="1">
      <c r="A237" s="1339"/>
      <c r="B237" s="1259" t="s">
        <v>1476</v>
      </c>
      <c r="C237" s="1202"/>
      <c r="D237" s="1202"/>
      <c r="E237" s="1404"/>
      <c r="F237" s="1267" t="s">
        <v>363</v>
      </c>
      <c r="G237" s="1386">
        <v>1200</v>
      </c>
      <c r="H237" s="1343">
        <f t="shared" si="33"/>
        <v>0</v>
      </c>
      <c r="I237" s="1414">
        <v>135</v>
      </c>
      <c r="J237" s="1343">
        <f t="shared" si="34"/>
        <v>0</v>
      </c>
      <c r="K237" s="1262">
        <f t="shared" si="35"/>
        <v>0</v>
      </c>
      <c r="L237" s="1415"/>
      <c r="M237" s="1214"/>
      <c r="N237" s="1214"/>
      <c r="O237" s="1214"/>
      <c r="P237" s="1214"/>
    </row>
    <row r="238" spans="1:19" s="1199" customFormat="1" ht="24" customHeight="1">
      <c r="A238" s="1339"/>
      <c r="B238" s="1259" t="s">
        <v>1477</v>
      </c>
      <c r="C238" s="1202"/>
      <c r="D238" s="1202"/>
      <c r="E238" s="1404"/>
      <c r="F238" s="1267" t="s">
        <v>363</v>
      </c>
      <c r="G238" s="1386">
        <v>1450</v>
      </c>
      <c r="H238" s="1343">
        <f t="shared" si="33"/>
        <v>0</v>
      </c>
      <c r="I238" s="1414">
        <v>135</v>
      </c>
      <c r="J238" s="1343">
        <f t="shared" si="34"/>
        <v>0</v>
      </c>
      <c r="K238" s="1262">
        <f t="shared" si="35"/>
        <v>0</v>
      </c>
      <c r="L238" s="1415"/>
      <c r="M238" s="1214"/>
      <c r="N238" s="1214"/>
      <c r="O238" s="1214"/>
      <c r="P238" s="1214"/>
    </row>
    <row r="239" spans="1:19" s="1199" customFormat="1" ht="24" customHeight="1">
      <c r="A239" s="1339"/>
      <c r="B239" s="1259" t="s">
        <v>1478</v>
      </c>
      <c r="C239" s="1202"/>
      <c r="D239" s="1202"/>
      <c r="E239" s="1404"/>
      <c r="F239" s="1267" t="s">
        <v>363</v>
      </c>
      <c r="G239" s="1386">
        <v>1250</v>
      </c>
      <c r="H239" s="1343">
        <f t="shared" si="33"/>
        <v>0</v>
      </c>
      <c r="I239" s="1414">
        <v>135</v>
      </c>
      <c r="J239" s="1343">
        <f t="shared" si="34"/>
        <v>0</v>
      </c>
      <c r="K239" s="1262">
        <f t="shared" si="35"/>
        <v>0</v>
      </c>
      <c r="L239" s="1415"/>
      <c r="M239" s="1214"/>
      <c r="N239" s="1214"/>
      <c r="O239" s="1214"/>
      <c r="P239" s="1214"/>
    </row>
    <row r="240" spans="1:19" s="1199" customFormat="1" ht="24" customHeight="1">
      <c r="A240" s="1339"/>
      <c r="B240" s="1259" t="s">
        <v>1479</v>
      </c>
      <c r="C240" s="1202"/>
      <c r="D240" s="1202"/>
      <c r="E240" s="1404"/>
      <c r="F240" s="1267" t="s">
        <v>363</v>
      </c>
      <c r="G240" s="1386">
        <v>650</v>
      </c>
      <c r="H240" s="1343">
        <f t="shared" si="33"/>
        <v>0</v>
      </c>
      <c r="I240" s="1414">
        <v>20</v>
      </c>
      <c r="J240" s="1343">
        <f t="shared" si="34"/>
        <v>0</v>
      </c>
      <c r="K240" s="1262">
        <f t="shared" si="35"/>
        <v>0</v>
      </c>
      <c r="L240" s="1415"/>
      <c r="M240" s="1214"/>
      <c r="N240" s="1214"/>
      <c r="O240" s="1214"/>
      <c r="P240" s="1214"/>
    </row>
    <row r="241" spans="1:19" s="1199" customFormat="1" ht="24" customHeight="1">
      <c r="A241" s="1339"/>
      <c r="B241" s="1259" t="s">
        <v>1480</v>
      </c>
      <c r="C241" s="1202"/>
      <c r="D241" s="1202"/>
      <c r="E241" s="1404"/>
      <c r="F241" s="1267" t="s">
        <v>363</v>
      </c>
      <c r="G241" s="1386">
        <v>2565</v>
      </c>
      <c r="H241" s="1343">
        <f t="shared" si="33"/>
        <v>0</v>
      </c>
      <c r="I241" s="1414">
        <v>135</v>
      </c>
      <c r="J241" s="1343">
        <f t="shared" si="34"/>
        <v>0</v>
      </c>
      <c r="K241" s="1262">
        <f t="shared" si="35"/>
        <v>0</v>
      </c>
      <c r="L241" s="1415"/>
      <c r="M241" s="1214"/>
      <c r="N241" s="1214"/>
      <c r="O241" s="1214"/>
      <c r="P241" s="1214"/>
    </row>
    <row r="242" spans="1:19" s="1199" customFormat="1" ht="24" customHeight="1">
      <c r="A242" s="1339"/>
      <c r="B242" s="1259" t="s">
        <v>1481</v>
      </c>
      <c r="C242" s="1202"/>
      <c r="D242" s="1202"/>
      <c r="E242" s="1404"/>
      <c r="F242" s="1267" t="s">
        <v>363</v>
      </c>
      <c r="G242" s="1386">
        <v>1200</v>
      </c>
      <c r="H242" s="1343">
        <f t="shared" si="33"/>
        <v>0</v>
      </c>
      <c r="I242" s="1414">
        <v>135</v>
      </c>
      <c r="J242" s="1343">
        <f t="shared" si="34"/>
        <v>0</v>
      </c>
      <c r="K242" s="1262">
        <f t="shared" si="35"/>
        <v>0</v>
      </c>
      <c r="L242" s="1415"/>
      <c r="M242" s="1214"/>
      <c r="N242" s="1214"/>
      <c r="O242" s="1214"/>
      <c r="P242" s="1214"/>
    </row>
    <row r="243" spans="1:19" s="1199" customFormat="1" ht="24" customHeight="1">
      <c r="A243" s="1339"/>
      <c r="B243" s="1259" t="s">
        <v>1482</v>
      </c>
      <c r="C243" s="1202"/>
      <c r="D243" s="1202"/>
      <c r="E243" s="1404"/>
      <c r="F243" s="1267" t="s">
        <v>363</v>
      </c>
      <c r="G243" s="1386">
        <v>1200</v>
      </c>
      <c r="H243" s="1343">
        <f t="shared" si="33"/>
        <v>0</v>
      </c>
      <c r="I243" s="1414">
        <v>135</v>
      </c>
      <c r="J243" s="1343">
        <f t="shared" si="34"/>
        <v>0</v>
      </c>
      <c r="K243" s="1262">
        <f t="shared" si="35"/>
        <v>0</v>
      </c>
      <c r="L243" s="1415"/>
      <c r="M243" s="1214"/>
      <c r="N243" s="1214"/>
      <c r="O243" s="1214"/>
      <c r="P243" s="1214"/>
    </row>
    <row r="244" spans="1:19" s="1199" customFormat="1" ht="24" customHeight="1">
      <c r="A244" s="1339"/>
      <c r="B244" s="1259" t="s">
        <v>1483</v>
      </c>
      <c r="C244" s="1202"/>
      <c r="D244" s="1202"/>
      <c r="E244" s="1404"/>
      <c r="F244" s="1267" t="s">
        <v>363</v>
      </c>
      <c r="G244" s="1386">
        <v>1860</v>
      </c>
      <c r="H244" s="1343">
        <f t="shared" si="33"/>
        <v>0</v>
      </c>
      <c r="I244" s="1414">
        <v>135</v>
      </c>
      <c r="J244" s="1343">
        <f t="shared" si="34"/>
        <v>0</v>
      </c>
      <c r="K244" s="1262">
        <f t="shared" si="35"/>
        <v>0</v>
      </c>
      <c r="L244" s="1415"/>
      <c r="M244" s="1214"/>
      <c r="N244" s="1214"/>
      <c r="O244" s="1214"/>
      <c r="P244" s="1214"/>
    </row>
    <row r="245" spans="1:19" s="1199" customFormat="1" ht="24" customHeight="1">
      <c r="A245" s="1339"/>
      <c r="B245" s="1259" t="s">
        <v>1484</v>
      </c>
      <c r="C245" s="1202"/>
      <c r="D245" s="1202"/>
      <c r="E245" s="1404"/>
      <c r="F245" s="1267" t="s">
        <v>363</v>
      </c>
      <c r="G245" s="1386">
        <v>1200</v>
      </c>
      <c r="H245" s="1343">
        <f t="shared" si="33"/>
        <v>0</v>
      </c>
      <c r="I245" s="1414">
        <v>135</v>
      </c>
      <c r="J245" s="1343">
        <f t="shared" si="34"/>
        <v>0</v>
      </c>
      <c r="K245" s="1262">
        <f t="shared" si="35"/>
        <v>0</v>
      </c>
      <c r="L245" s="1415"/>
      <c r="M245" s="1214"/>
      <c r="N245" s="1214"/>
      <c r="O245" s="1214"/>
      <c r="P245" s="1214"/>
    </row>
    <row r="246" spans="1:19" s="1199" customFormat="1" ht="24" customHeight="1">
      <c r="A246" s="1339"/>
      <c r="B246" s="1259" t="s">
        <v>1485</v>
      </c>
      <c r="C246" s="1202"/>
      <c r="D246" s="1202"/>
      <c r="E246" s="1404"/>
      <c r="F246" s="1267" t="s">
        <v>363</v>
      </c>
      <c r="G246" s="1386">
        <v>1200</v>
      </c>
      <c r="H246" s="1343">
        <f t="shared" si="33"/>
        <v>0</v>
      </c>
      <c r="I246" s="1414">
        <v>135</v>
      </c>
      <c r="J246" s="1343">
        <f t="shared" si="34"/>
        <v>0</v>
      </c>
      <c r="K246" s="1262">
        <f t="shared" si="35"/>
        <v>0</v>
      </c>
      <c r="L246" s="1415"/>
      <c r="M246" s="1214"/>
      <c r="N246" s="1214"/>
      <c r="O246" s="1214"/>
      <c r="P246" s="1214"/>
    </row>
    <row r="247" spans="1:19" s="1199" customFormat="1" ht="24" customHeight="1">
      <c r="A247" s="1339"/>
      <c r="B247" s="1259" t="s">
        <v>1486</v>
      </c>
      <c r="C247" s="1202"/>
      <c r="D247" s="1202"/>
      <c r="E247" s="1404"/>
      <c r="F247" s="1267" t="s">
        <v>363</v>
      </c>
      <c r="G247" s="1386">
        <v>1830</v>
      </c>
      <c r="H247" s="1343">
        <f t="shared" si="33"/>
        <v>0</v>
      </c>
      <c r="I247" s="1414">
        <v>500</v>
      </c>
      <c r="J247" s="1343">
        <f t="shared" si="34"/>
        <v>0</v>
      </c>
      <c r="K247" s="1262">
        <f t="shared" si="35"/>
        <v>0</v>
      </c>
      <c r="L247" s="1415"/>
      <c r="M247" s="1214"/>
      <c r="N247" s="1214"/>
      <c r="O247" s="1214"/>
      <c r="P247" s="1214"/>
      <c r="Q247" s="1214"/>
    </row>
    <row r="248" spans="1:19" s="1199" customFormat="1" ht="24" customHeight="1">
      <c r="A248" s="1339"/>
      <c r="B248" s="1259" t="s">
        <v>1487</v>
      </c>
      <c r="C248" s="1202"/>
      <c r="D248" s="1202"/>
      <c r="E248" s="1404">
        <v>4</v>
      </c>
      <c r="F248" s="1267" t="s">
        <v>363</v>
      </c>
      <c r="G248" s="1386">
        <v>1620</v>
      </c>
      <c r="H248" s="1343">
        <f t="shared" si="33"/>
        <v>6480</v>
      </c>
      <c r="I248" s="1414">
        <v>500</v>
      </c>
      <c r="J248" s="1343">
        <f t="shared" si="34"/>
        <v>2000</v>
      </c>
      <c r="K248" s="1262">
        <f t="shared" si="35"/>
        <v>8480</v>
      </c>
      <c r="L248" s="1415"/>
      <c r="M248" s="1214"/>
      <c r="N248" s="1214"/>
      <c r="O248" s="1214"/>
      <c r="P248" s="1214"/>
      <c r="Q248" s="1214"/>
    </row>
    <row r="249" spans="1:19" s="1199" customFormat="1" ht="24" customHeight="1">
      <c r="A249" s="1339"/>
      <c r="B249" s="1259" t="s">
        <v>1488</v>
      </c>
      <c r="C249" s="1202"/>
      <c r="D249" s="1202"/>
      <c r="E249" s="1404"/>
      <c r="F249" s="1267" t="s">
        <v>363</v>
      </c>
      <c r="G249" s="1386">
        <v>920</v>
      </c>
      <c r="H249" s="1343">
        <f t="shared" si="33"/>
        <v>0</v>
      </c>
      <c r="I249" s="1414">
        <v>250</v>
      </c>
      <c r="J249" s="1343">
        <f t="shared" si="34"/>
        <v>0</v>
      </c>
      <c r="K249" s="1262">
        <f t="shared" si="35"/>
        <v>0</v>
      </c>
      <c r="L249" s="1415"/>
      <c r="M249" s="1214"/>
      <c r="N249" s="1214"/>
      <c r="O249" s="1214"/>
      <c r="P249" s="1214"/>
      <c r="Q249" s="1214"/>
    </row>
    <row r="250" spans="1:19" s="1199" customFormat="1" ht="24" customHeight="1">
      <c r="A250" s="1339"/>
      <c r="B250" s="1259" t="s">
        <v>1489</v>
      </c>
      <c r="C250" s="1202"/>
      <c r="D250" s="1202"/>
      <c r="E250" s="1404"/>
      <c r="F250" s="1267" t="s">
        <v>363</v>
      </c>
      <c r="G250" s="1386">
        <v>2180</v>
      </c>
      <c r="H250" s="1343">
        <f t="shared" si="33"/>
        <v>0</v>
      </c>
      <c r="I250" s="1414">
        <v>500</v>
      </c>
      <c r="J250" s="1343">
        <f t="shared" si="34"/>
        <v>0</v>
      </c>
      <c r="K250" s="1262">
        <f t="shared" si="35"/>
        <v>0</v>
      </c>
      <c r="L250" s="1415"/>
      <c r="M250" s="1214"/>
      <c r="N250" s="1214"/>
      <c r="O250" s="1214"/>
      <c r="P250" s="1214"/>
    </row>
    <row r="251" spans="1:19" s="1199" customFormat="1" ht="24" customHeight="1">
      <c r="A251" s="1339"/>
      <c r="B251" s="1259" t="s">
        <v>1602</v>
      </c>
      <c r="C251" s="1202"/>
      <c r="D251" s="1202"/>
      <c r="E251" s="1404">
        <v>1</v>
      </c>
      <c r="F251" s="1267" t="s">
        <v>1104</v>
      </c>
      <c r="G251" s="1386">
        <f>SUM(H227:H249)*5%</f>
        <v>676</v>
      </c>
      <c r="H251" s="1343">
        <f t="shared" si="33"/>
        <v>676</v>
      </c>
      <c r="I251" s="1414">
        <f>ROUND(G251*0.3,)</f>
        <v>203</v>
      </c>
      <c r="J251" s="1343">
        <f t="shared" si="34"/>
        <v>203</v>
      </c>
      <c r="K251" s="1262">
        <f t="shared" si="35"/>
        <v>879</v>
      </c>
      <c r="L251" s="1415"/>
      <c r="M251" s="1214"/>
      <c r="N251" s="1214"/>
      <c r="O251" s="1214"/>
      <c r="P251" s="1214"/>
      <c r="Q251" s="1214"/>
    </row>
    <row r="252" spans="1:19" s="1199" customFormat="1" ht="24" customHeight="1">
      <c r="A252" s="1331"/>
      <c r="B252" s="2174" t="s">
        <v>1117</v>
      </c>
      <c r="C252" s="1202"/>
      <c r="D252" s="1202"/>
      <c r="E252" s="1387"/>
      <c r="F252" s="1207"/>
      <c r="G252" s="2176"/>
      <c r="H252" s="1388"/>
      <c r="I252" s="2177"/>
      <c r="J252" s="1385"/>
      <c r="K252" s="1385"/>
      <c r="L252" s="1385"/>
      <c r="M252" s="1214"/>
      <c r="N252" s="1214"/>
      <c r="O252" s="1214"/>
      <c r="P252" s="1214"/>
      <c r="Q252" s="1214"/>
      <c r="R252" s="1214"/>
      <c r="S252" s="1214"/>
    </row>
    <row r="253" spans="1:19" s="1199" customFormat="1" ht="24" customHeight="1">
      <c r="A253" s="1331"/>
      <c r="B253" s="2174" t="s">
        <v>1369</v>
      </c>
      <c r="C253" s="1202"/>
      <c r="D253" s="1202"/>
      <c r="E253" s="1387"/>
      <c r="F253" s="1207"/>
      <c r="G253" s="2176"/>
      <c r="H253" s="1388"/>
      <c r="I253" s="2177"/>
      <c r="J253" s="1385"/>
      <c r="K253" s="1385"/>
      <c r="L253" s="1385"/>
      <c r="M253" s="1214"/>
      <c r="N253" s="1214"/>
      <c r="O253" s="1214"/>
      <c r="P253" s="1214"/>
      <c r="Q253" s="1214"/>
      <c r="R253" s="1214"/>
      <c r="S253" s="1214"/>
    </row>
    <row r="254" spans="1:19" s="1199" customFormat="1" ht="24" customHeight="1">
      <c r="A254" s="1331"/>
      <c r="B254" s="2174" t="s">
        <v>1369</v>
      </c>
      <c r="C254" s="1202"/>
      <c r="D254" s="1202"/>
      <c r="E254" s="1387"/>
      <c r="F254" s="1384"/>
      <c r="G254" s="2176"/>
      <c r="H254" s="1388"/>
      <c r="I254" s="2177"/>
      <c r="J254" s="1385"/>
      <c r="K254" s="1385"/>
      <c r="L254" s="1385"/>
      <c r="M254" s="1214"/>
      <c r="N254" s="1214"/>
      <c r="O254" s="1214"/>
      <c r="P254" s="1214"/>
      <c r="Q254" s="1214"/>
      <c r="R254" s="1214"/>
      <c r="S254" s="1214"/>
    </row>
    <row r="255" spans="1:19" s="1199" customFormat="1" ht="24" customHeight="1">
      <c r="A255" s="1331"/>
      <c r="B255" s="1416"/>
      <c r="C255" s="1202"/>
      <c r="D255" s="1202"/>
      <c r="E255" s="1387"/>
      <c r="F255" s="1384"/>
      <c r="G255" s="2176"/>
      <c r="H255" s="1388"/>
      <c r="I255" s="2177"/>
      <c r="J255" s="1385"/>
      <c r="K255" s="1385"/>
      <c r="L255" s="1385"/>
      <c r="M255" s="1214"/>
      <c r="N255" s="1214"/>
      <c r="O255" s="1214"/>
      <c r="P255" s="1214"/>
      <c r="Q255" s="1214"/>
      <c r="R255" s="1214"/>
      <c r="S255" s="1214"/>
    </row>
    <row r="256" spans="1:19" s="1199" customFormat="1" ht="24" customHeight="1">
      <c r="A256" s="1243"/>
      <c r="B256" s="2257" t="str">
        <f>"รวมราคารายการที่ "&amp;A227</f>
        <v>รวมราคารายการที่ 3.7</v>
      </c>
      <c r="C256" s="2258"/>
      <c r="D256" s="2259"/>
      <c r="E256" s="1244"/>
      <c r="F256" s="1245"/>
      <c r="G256" s="1246"/>
      <c r="H256" s="1247">
        <f>SUM(H227:H255)</f>
        <v>14196</v>
      </c>
      <c r="I256" s="1246"/>
      <c r="J256" s="1247">
        <f t="shared" ref="J256:K256" si="36">SUM(J227:J255)</f>
        <v>4043</v>
      </c>
      <c r="K256" s="1247">
        <f t="shared" si="36"/>
        <v>18239</v>
      </c>
      <c r="L256" s="1245"/>
      <c r="M256" s="1214"/>
      <c r="N256" s="1214"/>
      <c r="O256" s="1214"/>
      <c r="P256" s="1214"/>
      <c r="Q256" s="1214"/>
      <c r="R256" s="1214"/>
      <c r="S256" s="1214"/>
    </row>
    <row r="257" spans="1:19" s="1199" customFormat="1" ht="24" customHeight="1">
      <c r="A257" s="1435">
        <v>3.8</v>
      </c>
      <c r="B257" s="1436" t="s">
        <v>1371</v>
      </c>
      <c r="C257" s="1202"/>
      <c r="D257" s="1202"/>
      <c r="E257" s="1387"/>
      <c r="F257" s="1384"/>
      <c r="G257" s="2176"/>
      <c r="H257" s="1388"/>
      <c r="I257" s="2177"/>
      <c r="J257" s="1385"/>
      <c r="K257" s="1385"/>
      <c r="L257" s="1385"/>
      <c r="M257" s="1214"/>
      <c r="N257" s="1214"/>
      <c r="O257" s="1214"/>
      <c r="P257" s="1214"/>
      <c r="Q257" s="1214"/>
      <c r="R257" s="1214"/>
      <c r="S257" s="1214"/>
    </row>
    <row r="258" spans="1:19" s="1199" customFormat="1" ht="24" customHeight="1">
      <c r="A258" s="1406" t="s">
        <v>1292</v>
      </c>
      <c r="B258" s="2174" t="s">
        <v>1491</v>
      </c>
      <c r="C258" s="1202"/>
      <c r="D258" s="1202"/>
      <c r="E258" s="1387">
        <v>2</v>
      </c>
      <c r="F258" s="1207" t="s">
        <v>363</v>
      </c>
      <c r="G258" s="2176">
        <f>30000+13500</f>
        <v>43500</v>
      </c>
      <c r="H258" s="1264">
        <f t="shared" ref="H258:H283" si="37">ROUND(E258*G258,)</f>
        <v>87000</v>
      </c>
      <c r="I258" s="2177">
        <f>G258*0.1</f>
        <v>4350</v>
      </c>
      <c r="J258" s="1264">
        <f t="shared" ref="J258:J292" si="38">ROUND(E258*I258,)</f>
        <v>8700</v>
      </c>
      <c r="K258" s="1273">
        <f t="shared" ref="K258:K292" si="39">H258+J258</f>
        <v>95700</v>
      </c>
      <c r="L258" s="1385"/>
      <c r="M258" s="1214"/>
      <c r="N258" s="1214"/>
      <c r="O258" s="1214"/>
      <c r="P258" s="1214"/>
      <c r="Q258" s="1214"/>
      <c r="R258" s="1214"/>
      <c r="S258" s="1214"/>
    </row>
    <row r="259" spans="1:19" s="1199" customFormat="1" ht="24" customHeight="1">
      <c r="A259" s="1406" t="s">
        <v>1299</v>
      </c>
      <c r="B259" s="2174" t="s">
        <v>1492</v>
      </c>
      <c r="C259" s="1202"/>
      <c r="D259" s="1202"/>
      <c r="E259" s="1387">
        <v>6</v>
      </c>
      <c r="F259" s="1207" t="s">
        <v>363</v>
      </c>
      <c r="G259" s="2176">
        <v>1850</v>
      </c>
      <c r="H259" s="1264">
        <f t="shared" si="37"/>
        <v>11100</v>
      </c>
      <c r="I259" s="2177">
        <v>250</v>
      </c>
      <c r="J259" s="1264">
        <f t="shared" si="38"/>
        <v>1500</v>
      </c>
      <c r="K259" s="1273">
        <f t="shared" si="39"/>
        <v>12600</v>
      </c>
      <c r="L259" s="1385"/>
      <c r="M259" s="1214"/>
      <c r="N259" s="1214"/>
      <c r="O259" s="1214"/>
      <c r="P259" s="1214"/>
      <c r="Q259" s="1214"/>
      <c r="R259" s="1214"/>
      <c r="S259" s="1214"/>
    </row>
    <row r="260" spans="1:19" s="1199" customFormat="1" ht="24" customHeight="1">
      <c r="A260" s="1406" t="s">
        <v>1301</v>
      </c>
      <c r="B260" s="2174" t="s">
        <v>1493</v>
      </c>
      <c r="C260" s="1202"/>
      <c r="D260" s="1202"/>
      <c r="E260" s="1387">
        <v>6</v>
      </c>
      <c r="F260" s="1207" t="s">
        <v>363</v>
      </c>
      <c r="G260" s="2176">
        <v>1850</v>
      </c>
      <c r="H260" s="1264">
        <f t="shared" si="37"/>
        <v>11100</v>
      </c>
      <c r="I260" s="2177">
        <v>250</v>
      </c>
      <c r="J260" s="1264">
        <f t="shared" si="38"/>
        <v>1500</v>
      </c>
      <c r="K260" s="1273">
        <f t="shared" si="39"/>
        <v>12600</v>
      </c>
      <c r="L260" s="1385"/>
      <c r="M260" s="1214"/>
      <c r="N260" s="1214"/>
      <c r="O260" s="1214"/>
      <c r="P260" s="1214"/>
      <c r="Q260" s="1214"/>
      <c r="R260" s="1214"/>
      <c r="S260" s="1214"/>
    </row>
    <row r="261" spans="1:19" s="1199" customFormat="1" ht="24" customHeight="1">
      <c r="A261" s="1406" t="s">
        <v>1309</v>
      </c>
      <c r="B261" s="2174" t="s">
        <v>1494</v>
      </c>
      <c r="C261" s="1202"/>
      <c r="D261" s="1202"/>
      <c r="E261" s="1387">
        <v>4</v>
      </c>
      <c r="F261" s="1207" t="s">
        <v>363</v>
      </c>
      <c r="G261" s="2176">
        <v>1850</v>
      </c>
      <c r="H261" s="1264">
        <f t="shared" si="37"/>
        <v>7400</v>
      </c>
      <c r="I261" s="2177">
        <v>250</v>
      </c>
      <c r="J261" s="1264">
        <f t="shared" si="38"/>
        <v>1000</v>
      </c>
      <c r="K261" s="1273">
        <f t="shared" si="39"/>
        <v>8400</v>
      </c>
      <c r="L261" s="1385"/>
      <c r="M261" s="1214"/>
      <c r="N261" s="1214"/>
      <c r="O261" s="1214"/>
      <c r="P261" s="1214"/>
      <c r="Q261" s="1214"/>
      <c r="R261" s="1214"/>
      <c r="S261" s="1214"/>
    </row>
    <row r="262" spans="1:19" s="1199" customFormat="1" ht="24" customHeight="1">
      <c r="A262" s="1406" t="s">
        <v>1533</v>
      </c>
      <c r="B262" s="2174" t="s">
        <v>1495</v>
      </c>
      <c r="C262" s="1202"/>
      <c r="D262" s="1202"/>
      <c r="E262" s="1387">
        <v>4</v>
      </c>
      <c r="F262" s="1207" t="s">
        <v>363</v>
      </c>
      <c r="G262" s="2176">
        <v>1850</v>
      </c>
      <c r="H262" s="1264">
        <f t="shared" si="37"/>
        <v>7400</v>
      </c>
      <c r="I262" s="2177">
        <v>250</v>
      </c>
      <c r="J262" s="1264">
        <f t="shared" si="38"/>
        <v>1000</v>
      </c>
      <c r="K262" s="1273">
        <f t="shared" si="39"/>
        <v>8400</v>
      </c>
      <c r="L262" s="1385"/>
      <c r="M262" s="1214"/>
      <c r="N262" s="1214"/>
      <c r="O262" s="1214"/>
      <c r="P262" s="1214"/>
      <c r="Q262" s="1214"/>
      <c r="R262" s="1214"/>
      <c r="S262" s="1214"/>
    </row>
    <row r="263" spans="1:19" s="1199" customFormat="1" ht="24" customHeight="1">
      <c r="A263" s="1406" t="s">
        <v>1536</v>
      </c>
      <c r="B263" s="2174" t="s">
        <v>1496</v>
      </c>
      <c r="C263" s="1202"/>
      <c r="D263" s="1202"/>
      <c r="E263" s="1387"/>
      <c r="F263" s="1207" t="s">
        <v>363</v>
      </c>
      <c r="G263" s="2176">
        <v>1850</v>
      </c>
      <c r="H263" s="1264">
        <f t="shared" si="37"/>
        <v>0</v>
      </c>
      <c r="I263" s="2177">
        <v>250</v>
      </c>
      <c r="J263" s="1264">
        <f t="shared" si="38"/>
        <v>0</v>
      </c>
      <c r="K263" s="1273">
        <f t="shared" si="39"/>
        <v>0</v>
      </c>
      <c r="L263" s="1385"/>
      <c r="M263" s="1214"/>
      <c r="N263" s="1214"/>
      <c r="O263" s="1214"/>
      <c r="P263" s="1214"/>
      <c r="Q263" s="1214"/>
      <c r="R263" s="1214"/>
      <c r="S263" s="1214"/>
    </row>
    <row r="264" spans="1:19" s="1199" customFormat="1" ht="24" customHeight="1">
      <c r="A264" s="1406" t="s">
        <v>1537</v>
      </c>
      <c r="B264" s="2174" t="s">
        <v>1497</v>
      </c>
      <c r="C264" s="1202"/>
      <c r="D264" s="1202"/>
      <c r="E264" s="1387">
        <v>2</v>
      </c>
      <c r="F264" s="1207" t="s">
        <v>363</v>
      </c>
      <c r="G264" s="2176">
        <v>2750</v>
      </c>
      <c r="H264" s="1264">
        <f t="shared" si="37"/>
        <v>5500</v>
      </c>
      <c r="I264" s="2177">
        <v>250</v>
      </c>
      <c r="J264" s="1264">
        <f t="shared" si="38"/>
        <v>500</v>
      </c>
      <c r="K264" s="1273">
        <f t="shared" si="39"/>
        <v>6000</v>
      </c>
      <c r="L264" s="1385"/>
      <c r="M264" s="1214"/>
      <c r="N264" s="1214"/>
      <c r="O264" s="1214"/>
      <c r="P264" s="1214"/>
      <c r="Q264" s="1214"/>
      <c r="R264" s="1214"/>
      <c r="S264" s="1214"/>
    </row>
    <row r="265" spans="1:19" s="1199" customFormat="1" ht="24" customHeight="1">
      <c r="A265" s="1406" t="s">
        <v>1538</v>
      </c>
      <c r="B265" s="2174" t="s">
        <v>1498</v>
      </c>
      <c r="C265" s="1202"/>
      <c r="D265" s="1202"/>
      <c r="E265" s="1387">
        <v>2</v>
      </c>
      <c r="F265" s="1207" t="s">
        <v>363</v>
      </c>
      <c r="G265" s="2176">
        <v>2750</v>
      </c>
      <c r="H265" s="1264">
        <f t="shared" si="37"/>
        <v>5500</v>
      </c>
      <c r="I265" s="2177">
        <v>250</v>
      </c>
      <c r="J265" s="1264">
        <f t="shared" si="38"/>
        <v>500</v>
      </c>
      <c r="K265" s="1273">
        <f t="shared" si="39"/>
        <v>6000</v>
      </c>
      <c r="L265" s="1385"/>
      <c r="M265" s="1214"/>
      <c r="N265" s="1214"/>
      <c r="O265" s="1214"/>
      <c r="P265" s="1214"/>
      <c r="Q265" s="1214"/>
      <c r="R265" s="1214"/>
      <c r="S265" s="1214"/>
    </row>
    <row r="266" spans="1:19" s="1199" customFormat="1" ht="24" customHeight="1">
      <c r="A266" s="1406" t="s">
        <v>2900</v>
      </c>
      <c r="B266" s="2174" t="s">
        <v>1500</v>
      </c>
      <c r="C266" s="1202"/>
      <c r="D266" s="1202"/>
      <c r="E266" s="1387">
        <v>2</v>
      </c>
      <c r="F266" s="1207" t="s">
        <v>363</v>
      </c>
      <c r="G266" s="2176">
        <v>2750</v>
      </c>
      <c r="H266" s="1264">
        <f t="shared" si="37"/>
        <v>5500</v>
      </c>
      <c r="I266" s="2177">
        <v>250</v>
      </c>
      <c r="J266" s="1264">
        <f t="shared" si="38"/>
        <v>500</v>
      </c>
      <c r="K266" s="1273">
        <f t="shared" si="39"/>
        <v>6000</v>
      </c>
      <c r="L266" s="1385"/>
      <c r="M266" s="1214"/>
      <c r="N266" s="1214"/>
      <c r="O266" s="1214"/>
      <c r="P266" s="1214"/>
      <c r="Q266" s="1214"/>
      <c r="R266" s="1214"/>
      <c r="S266" s="1214"/>
    </row>
    <row r="267" spans="1:19" s="1199" customFormat="1" ht="24" customHeight="1">
      <c r="A267" s="1406" t="s">
        <v>2901</v>
      </c>
      <c r="B267" s="2174" t="s">
        <v>1603</v>
      </c>
      <c r="C267" s="1202"/>
      <c r="D267" s="1202"/>
      <c r="E267" s="1387">
        <v>2</v>
      </c>
      <c r="F267" s="1207" t="s">
        <v>363</v>
      </c>
      <c r="G267" s="2176">
        <v>2750</v>
      </c>
      <c r="H267" s="1264">
        <f t="shared" si="37"/>
        <v>5500</v>
      </c>
      <c r="I267" s="2177">
        <v>250</v>
      </c>
      <c r="J267" s="1264">
        <f t="shared" si="38"/>
        <v>500</v>
      </c>
      <c r="K267" s="1273">
        <f t="shared" si="39"/>
        <v>6000</v>
      </c>
      <c r="L267" s="1385"/>
      <c r="M267" s="1214"/>
      <c r="N267" s="1214"/>
      <c r="O267" s="1214"/>
      <c r="P267" s="1214"/>
      <c r="Q267" s="1214"/>
    </row>
    <row r="268" spans="1:19" s="1199" customFormat="1" ht="24" customHeight="1">
      <c r="A268" s="1406" t="s">
        <v>2902</v>
      </c>
      <c r="B268" s="2174" t="s">
        <v>1502</v>
      </c>
      <c r="C268" s="1202"/>
      <c r="D268" s="1202"/>
      <c r="E268" s="1387">
        <v>2</v>
      </c>
      <c r="F268" s="1207" t="s">
        <v>363</v>
      </c>
      <c r="G268" s="2176">
        <v>2750</v>
      </c>
      <c r="H268" s="1264">
        <f t="shared" si="37"/>
        <v>5500</v>
      </c>
      <c r="I268" s="2177">
        <v>250</v>
      </c>
      <c r="J268" s="1264">
        <f t="shared" si="38"/>
        <v>500</v>
      </c>
      <c r="K268" s="1273">
        <f t="shared" si="39"/>
        <v>6000</v>
      </c>
      <c r="L268" s="1385"/>
      <c r="M268" s="1214"/>
      <c r="N268" s="1214"/>
      <c r="O268" s="1214"/>
      <c r="P268" s="1214"/>
      <c r="Q268" s="1214"/>
      <c r="R268" s="1214"/>
      <c r="S268" s="1214"/>
    </row>
    <row r="269" spans="1:19" s="1199" customFormat="1" ht="24" customHeight="1">
      <c r="A269" s="1406" t="s">
        <v>2903</v>
      </c>
      <c r="B269" s="2174" t="s">
        <v>1504</v>
      </c>
      <c r="C269" s="1202"/>
      <c r="D269" s="1202"/>
      <c r="E269" s="1387">
        <v>2</v>
      </c>
      <c r="F269" s="1207" t="s">
        <v>363</v>
      </c>
      <c r="G269" s="2176">
        <v>2750</v>
      </c>
      <c r="H269" s="1264">
        <f t="shared" si="37"/>
        <v>5500</v>
      </c>
      <c r="I269" s="2177">
        <v>250</v>
      </c>
      <c r="J269" s="1264">
        <f t="shared" si="38"/>
        <v>500</v>
      </c>
      <c r="K269" s="1273">
        <f t="shared" si="39"/>
        <v>6000</v>
      </c>
      <c r="L269" s="1385"/>
      <c r="M269" s="1214"/>
      <c r="N269" s="1214"/>
      <c r="O269" s="1214"/>
      <c r="P269" s="1214"/>
      <c r="Q269" s="1214"/>
      <c r="R269" s="1214"/>
      <c r="S269" s="1214"/>
    </row>
    <row r="270" spans="1:19" s="1199" customFormat="1" ht="24" customHeight="1">
      <c r="A270" s="1406" t="s">
        <v>2904</v>
      </c>
      <c r="B270" s="2174" t="s">
        <v>1506</v>
      </c>
      <c r="C270" s="1202"/>
      <c r="D270" s="1202"/>
      <c r="E270" s="1387">
        <v>1</v>
      </c>
      <c r="F270" s="1207" t="s">
        <v>363</v>
      </c>
      <c r="G270" s="2176">
        <v>2750</v>
      </c>
      <c r="H270" s="1264">
        <f t="shared" si="37"/>
        <v>2750</v>
      </c>
      <c r="I270" s="2177">
        <v>250</v>
      </c>
      <c r="J270" s="1264">
        <f t="shared" si="38"/>
        <v>250</v>
      </c>
      <c r="K270" s="1273">
        <f t="shared" si="39"/>
        <v>3000</v>
      </c>
      <c r="L270" s="1385"/>
      <c r="M270" s="1214"/>
      <c r="N270" s="1214"/>
      <c r="O270" s="1214"/>
      <c r="P270" s="1214"/>
      <c r="Q270" s="1214"/>
      <c r="R270" s="1214"/>
      <c r="S270" s="1214"/>
    </row>
    <row r="271" spans="1:19" s="1199" customFormat="1" ht="24" customHeight="1">
      <c r="A271" s="1406" t="s">
        <v>2905</v>
      </c>
      <c r="B271" s="2174" t="s">
        <v>1508</v>
      </c>
      <c r="C271" s="1202"/>
      <c r="D271" s="1202"/>
      <c r="E271" s="1387">
        <v>4</v>
      </c>
      <c r="F271" s="1207" t="s">
        <v>363</v>
      </c>
      <c r="G271" s="2176">
        <v>2250</v>
      </c>
      <c r="H271" s="1264">
        <f t="shared" si="37"/>
        <v>9000</v>
      </c>
      <c r="I271" s="2177">
        <v>250</v>
      </c>
      <c r="J271" s="1264">
        <f t="shared" si="38"/>
        <v>1000</v>
      </c>
      <c r="K271" s="1273">
        <f t="shared" si="39"/>
        <v>10000</v>
      </c>
      <c r="L271" s="1385"/>
      <c r="M271" s="1214"/>
      <c r="N271" s="1214"/>
      <c r="O271" s="1214"/>
      <c r="P271" s="1214"/>
      <c r="Q271" s="1214"/>
      <c r="R271" s="1214"/>
      <c r="S271" s="1214"/>
    </row>
    <row r="272" spans="1:19" s="1199" customFormat="1" ht="24" customHeight="1">
      <c r="A272" s="1406" t="s">
        <v>2906</v>
      </c>
      <c r="B272" s="2174" t="s">
        <v>1510</v>
      </c>
      <c r="C272" s="1202"/>
      <c r="D272" s="1202"/>
      <c r="E272" s="1387">
        <v>244</v>
      </c>
      <c r="F272" s="1207" t="s">
        <v>363</v>
      </c>
      <c r="G272" s="2176">
        <f>3300+300</f>
        <v>3600</v>
      </c>
      <c r="H272" s="1264">
        <f t="shared" si="37"/>
        <v>878400</v>
      </c>
      <c r="I272" s="2177">
        <v>200</v>
      </c>
      <c r="J272" s="1264">
        <f t="shared" si="38"/>
        <v>48800</v>
      </c>
      <c r="K272" s="1273">
        <f t="shared" si="39"/>
        <v>927200</v>
      </c>
      <c r="L272" s="1385"/>
      <c r="M272" s="1214"/>
      <c r="N272" s="1214"/>
      <c r="O272" s="1214"/>
      <c r="P272" s="1214"/>
      <c r="Q272" s="1214"/>
      <c r="R272" s="1214"/>
      <c r="S272" s="1214"/>
    </row>
    <row r="273" spans="1:19" s="1199" customFormat="1" ht="24" customHeight="1">
      <c r="A273" s="1406" t="s">
        <v>2907</v>
      </c>
      <c r="B273" s="2174" t="s">
        <v>1512</v>
      </c>
      <c r="C273" s="1202"/>
      <c r="D273" s="1202"/>
      <c r="E273" s="1387">
        <v>10</v>
      </c>
      <c r="F273" s="1207" t="s">
        <v>363</v>
      </c>
      <c r="G273" s="2176">
        <v>5000</v>
      </c>
      <c r="H273" s="1264">
        <f t="shared" si="37"/>
        <v>50000</v>
      </c>
      <c r="I273" s="2177">
        <v>500</v>
      </c>
      <c r="J273" s="1264">
        <f t="shared" si="38"/>
        <v>5000</v>
      </c>
      <c r="K273" s="1273">
        <f t="shared" si="39"/>
        <v>55000</v>
      </c>
      <c r="L273" s="1385"/>
      <c r="M273" s="1214"/>
      <c r="N273" s="1214"/>
      <c r="O273" s="1214"/>
      <c r="P273" s="1214"/>
      <c r="Q273" s="1214"/>
      <c r="R273" s="1214"/>
      <c r="S273" s="1214"/>
    </row>
    <row r="274" spans="1:19" s="1199" customFormat="1" ht="24" customHeight="1">
      <c r="A274" s="1406" t="s">
        <v>2908</v>
      </c>
      <c r="B274" s="2174" t="s">
        <v>1514</v>
      </c>
      <c r="C274" s="1202"/>
      <c r="D274" s="1202"/>
      <c r="E274" s="1387">
        <v>6</v>
      </c>
      <c r="F274" s="1207" t="s">
        <v>363</v>
      </c>
      <c r="G274" s="2176">
        <v>350</v>
      </c>
      <c r="H274" s="1264">
        <f t="shared" si="37"/>
        <v>2100</v>
      </c>
      <c r="I274" s="2177">
        <v>200</v>
      </c>
      <c r="J274" s="1264">
        <f t="shared" si="38"/>
        <v>1200</v>
      </c>
      <c r="K274" s="1273">
        <f t="shared" si="39"/>
        <v>3300</v>
      </c>
      <c r="L274" s="1385"/>
      <c r="M274" s="1214"/>
      <c r="N274" s="1214"/>
      <c r="O274" s="1214"/>
      <c r="P274" s="1214"/>
      <c r="Q274" s="1214"/>
      <c r="R274" s="1214"/>
      <c r="S274" s="1214"/>
    </row>
    <row r="275" spans="1:19" s="1199" customFormat="1" ht="24" customHeight="1">
      <c r="A275" s="1406" t="s">
        <v>2909</v>
      </c>
      <c r="B275" s="2174" t="s">
        <v>1516</v>
      </c>
      <c r="C275" s="1202"/>
      <c r="D275" s="1202"/>
      <c r="E275" s="1387">
        <v>6</v>
      </c>
      <c r="F275" s="1207" t="s">
        <v>363</v>
      </c>
      <c r="G275" s="2176">
        <v>4200</v>
      </c>
      <c r="H275" s="1264">
        <f t="shared" si="37"/>
        <v>25200</v>
      </c>
      <c r="I275" s="2177">
        <v>200</v>
      </c>
      <c r="J275" s="1264">
        <f t="shared" si="38"/>
        <v>1200</v>
      </c>
      <c r="K275" s="1273">
        <f t="shared" si="39"/>
        <v>26400</v>
      </c>
      <c r="L275" s="1385"/>
      <c r="M275" s="1214"/>
      <c r="N275" s="1214"/>
      <c r="O275" s="1214"/>
      <c r="P275" s="1214"/>
      <c r="Q275" s="1214"/>
      <c r="R275" s="1214"/>
      <c r="S275" s="1214"/>
    </row>
    <row r="276" spans="1:19" s="1199" customFormat="1" ht="24" customHeight="1">
      <c r="A276" s="1406" t="s">
        <v>2910</v>
      </c>
      <c r="B276" s="2174" t="s">
        <v>1518</v>
      </c>
      <c r="C276" s="1202"/>
      <c r="D276" s="1202"/>
      <c r="E276" s="1387">
        <v>22</v>
      </c>
      <c r="F276" s="1207" t="s">
        <v>363</v>
      </c>
      <c r="G276" s="2176">
        <v>2200</v>
      </c>
      <c r="H276" s="1264">
        <f t="shared" si="37"/>
        <v>48400</v>
      </c>
      <c r="I276" s="2177">
        <v>200</v>
      </c>
      <c r="J276" s="1264">
        <f t="shared" si="38"/>
        <v>4400</v>
      </c>
      <c r="K276" s="1273">
        <f t="shared" si="39"/>
        <v>52800</v>
      </c>
      <c r="L276" s="1385"/>
      <c r="M276" s="1214"/>
      <c r="N276" s="1214"/>
      <c r="O276" s="1214"/>
      <c r="P276" s="1214"/>
      <c r="Q276" s="1214"/>
      <c r="R276" s="1214"/>
      <c r="S276" s="1214"/>
    </row>
    <row r="277" spans="1:19" s="1199" customFormat="1" ht="24" customHeight="1">
      <c r="A277" s="1406" t="s">
        <v>2911</v>
      </c>
      <c r="B277" s="2174" t="s">
        <v>1604</v>
      </c>
      <c r="C277" s="1202"/>
      <c r="D277" s="1202"/>
      <c r="E277" s="1387">
        <v>2</v>
      </c>
      <c r="F277" s="1207" t="s">
        <v>363</v>
      </c>
      <c r="G277" s="2176">
        <v>4785</v>
      </c>
      <c r="H277" s="1264">
        <f>ROUND(E277*G277,)</f>
        <v>9570</v>
      </c>
      <c r="I277" s="2177">
        <v>100</v>
      </c>
      <c r="J277" s="1264">
        <f>ROUND(E277*I277,)</f>
        <v>200</v>
      </c>
      <c r="K277" s="1273">
        <f>H277+J277</f>
        <v>9770</v>
      </c>
      <c r="L277" s="1385"/>
      <c r="M277" s="1214"/>
      <c r="N277" s="1214"/>
      <c r="O277" s="1214"/>
      <c r="P277" s="1214"/>
      <c r="Q277" s="1214"/>
    </row>
    <row r="278" spans="1:19" s="1199" customFormat="1" ht="24" customHeight="1">
      <c r="A278" s="1406" t="s">
        <v>2912</v>
      </c>
      <c r="B278" s="2174" t="s">
        <v>1521</v>
      </c>
      <c r="C278" s="1202"/>
      <c r="D278" s="1202"/>
      <c r="E278" s="1387">
        <v>2</v>
      </c>
      <c r="F278" s="1207" t="s">
        <v>363</v>
      </c>
      <c r="G278" s="2176">
        <v>5000</v>
      </c>
      <c r="H278" s="1264">
        <f t="shared" si="37"/>
        <v>10000</v>
      </c>
      <c r="I278" s="2177">
        <v>500</v>
      </c>
      <c r="J278" s="1264">
        <f t="shared" si="38"/>
        <v>1000</v>
      </c>
      <c r="K278" s="1273">
        <f t="shared" si="39"/>
        <v>11000</v>
      </c>
      <c r="L278" s="1385"/>
      <c r="M278" s="1214"/>
      <c r="N278" s="1214"/>
      <c r="O278" s="1214"/>
      <c r="P278" s="1214"/>
      <c r="Q278" s="1214"/>
      <c r="R278" s="1214"/>
      <c r="S278" s="1214"/>
    </row>
    <row r="279" spans="1:19" s="1199" customFormat="1" ht="24" customHeight="1">
      <c r="A279" s="1406" t="s">
        <v>2913</v>
      </c>
      <c r="B279" s="2174" t="s">
        <v>1312</v>
      </c>
      <c r="C279" s="1202"/>
      <c r="D279" s="1202"/>
      <c r="E279" s="1387"/>
      <c r="F279" s="1384"/>
      <c r="G279" s="2176"/>
      <c r="H279" s="1264">
        <f t="shared" si="37"/>
        <v>0</v>
      </c>
      <c r="I279" s="2177"/>
      <c r="J279" s="1264">
        <f t="shared" si="38"/>
        <v>0</v>
      </c>
      <c r="K279" s="1273">
        <f t="shared" si="39"/>
        <v>0</v>
      </c>
      <c r="L279" s="1385"/>
      <c r="M279" s="1214"/>
      <c r="N279" s="1214"/>
      <c r="O279" s="1214"/>
      <c r="P279" s="1214"/>
      <c r="Q279" s="1214"/>
      <c r="R279" s="1214"/>
      <c r="S279" s="1214"/>
    </row>
    <row r="280" spans="1:19" s="1199" customFormat="1" ht="24" customHeight="1">
      <c r="A280" s="1331"/>
      <c r="B280" s="2174" t="s">
        <v>1523</v>
      </c>
      <c r="C280" s="1202"/>
      <c r="D280" s="1202"/>
      <c r="E280" s="1404">
        <v>1560</v>
      </c>
      <c r="F280" s="1358" t="s">
        <v>226</v>
      </c>
      <c r="G280" s="2176">
        <v>82</v>
      </c>
      <c r="H280" s="1264">
        <f t="shared" si="37"/>
        <v>127920</v>
      </c>
      <c r="I280" s="2177">
        <v>12</v>
      </c>
      <c r="J280" s="1264">
        <f t="shared" si="38"/>
        <v>18720</v>
      </c>
      <c r="K280" s="1273">
        <f t="shared" si="39"/>
        <v>146640</v>
      </c>
      <c r="L280" s="1385"/>
      <c r="M280" s="1214"/>
      <c r="N280" s="1214"/>
      <c r="O280" s="1214"/>
      <c r="P280" s="1214"/>
      <c r="Q280" s="1214"/>
      <c r="R280" s="1214"/>
      <c r="S280" s="1214"/>
    </row>
    <row r="281" spans="1:19" s="1199" customFormat="1" ht="24" customHeight="1">
      <c r="A281" s="1331"/>
      <c r="B281" s="2174" t="s">
        <v>2553</v>
      </c>
      <c r="C281" s="1202"/>
      <c r="D281" s="1202"/>
      <c r="E281" s="1404">
        <v>2400</v>
      </c>
      <c r="F281" s="1358" t="s">
        <v>226</v>
      </c>
      <c r="G281" s="2176">
        <v>6</v>
      </c>
      <c r="H281" s="1264">
        <f t="shared" si="37"/>
        <v>14400</v>
      </c>
      <c r="I281" s="2177">
        <v>6</v>
      </c>
      <c r="J281" s="1264">
        <f t="shared" si="38"/>
        <v>14400</v>
      </c>
      <c r="K281" s="1273">
        <f t="shared" si="39"/>
        <v>28800</v>
      </c>
      <c r="L281" s="1385"/>
      <c r="M281" s="1214"/>
      <c r="N281" s="1214"/>
      <c r="O281" s="1214"/>
      <c r="P281" s="1214"/>
      <c r="Q281" s="1214"/>
      <c r="R281" s="1214"/>
      <c r="S281" s="1214"/>
    </row>
    <row r="282" spans="1:19" s="1199" customFormat="1" ht="24" customHeight="1">
      <c r="A282" s="1331"/>
      <c r="B282" s="1190" t="s">
        <v>1524</v>
      </c>
      <c r="C282" s="1202"/>
      <c r="D282" s="1202"/>
      <c r="E282" s="1404">
        <v>1790</v>
      </c>
      <c r="F282" s="1358" t="s">
        <v>226</v>
      </c>
      <c r="G282" s="2176">
        <v>18</v>
      </c>
      <c r="H282" s="1264">
        <f t="shared" si="37"/>
        <v>32220</v>
      </c>
      <c r="I282" s="2177">
        <v>8</v>
      </c>
      <c r="J282" s="1264">
        <f t="shared" si="38"/>
        <v>14320</v>
      </c>
      <c r="K282" s="1273">
        <f t="shared" si="39"/>
        <v>46540</v>
      </c>
      <c r="L282" s="1385"/>
      <c r="M282" s="1214"/>
      <c r="N282" s="1214"/>
      <c r="O282" s="1214"/>
      <c r="P282" s="1214"/>
      <c r="Q282" s="1214"/>
      <c r="R282" s="1214"/>
      <c r="S282" s="1214"/>
    </row>
    <row r="283" spans="1:19" s="1199" customFormat="1" ht="24" customHeight="1">
      <c r="A283" s="1331"/>
      <c r="B283" s="2174" t="s">
        <v>1525</v>
      </c>
      <c r="C283" s="1202"/>
      <c r="D283" s="1202"/>
      <c r="E283" s="1387">
        <v>1</v>
      </c>
      <c r="F283" s="1384" t="s">
        <v>1104</v>
      </c>
      <c r="G283" s="2176">
        <f>ROUND(SUM(H280:H282)*5%,)</f>
        <v>8727</v>
      </c>
      <c r="H283" s="1264">
        <f t="shared" si="37"/>
        <v>8727</v>
      </c>
      <c r="I283" s="2177">
        <f>ROUND(G283*0.3,)</f>
        <v>2618</v>
      </c>
      <c r="J283" s="1264">
        <f t="shared" si="38"/>
        <v>2618</v>
      </c>
      <c r="K283" s="1273">
        <f t="shared" si="39"/>
        <v>11345</v>
      </c>
      <c r="L283" s="1385"/>
      <c r="M283" s="1214"/>
      <c r="N283" s="1214"/>
      <c r="O283" s="1214"/>
      <c r="P283" s="1214"/>
      <c r="Q283" s="1214"/>
      <c r="R283" s="1214"/>
      <c r="S283" s="1214"/>
    </row>
    <row r="284" spans="1:19" s="1199" customFormat="1" ht="24" customHeight="1">
      <c r="A284" s="1406" t="s">
        <v>2914</v>
      </c>
      <c r="B284" s="2174" t="s">
        <v>1526</v>
      </c>
      <c r="C284" s="1202"/>
      <c r="D284" s="1202"/>
      <c r="E284" s="1387"/>
      <c r="F284" s="1384"/>
      <c r="G284" s="2176"/>
      <c r="H284" s="1264">
        <f>ROUND(G284*E284,)</f>
        <v>0</v>
      </c>
      <c r="I284" s="2177"/>
      <c r="J284" s="1264">
        <f t="shared" si="38"/>
        <v>0</v>
      </c>
      <c r="K284" s="1273">
        <f t="shared" si="39"/>
        <v>0</v>
      </c>
      <c r="L284" s="1385"/>
      <c r="M284" s="1214"/>
      <c r="N284" s="1214"/>
      <c r="O284" s="1214"/>
      <c r="P284" s="1214"/>
    </row>
    <row r="285" spans="1:19" s="1199" customFormat="1" ht="24" customHeight="1">
      <c r="A285" s="1331"/>
      <c r="B285" s="2174" t="s">
        <v>1350</v>
      </c>
      <c r="C285" s="1202"/>
      <c r="D285" s="1202"/>
      <c r="E285" s="1387">
        <v>1200</v>
      </c>
      <c r="F285" s="1358" t="s">
        <v>226</v>
      </c>
      <c r="G285" s="2176">
        <v>27</v>
      </c>
      <c r="H285" s="1264">
        <f t="shared" ref="H285" si="40">ROUND(E285*G285,)</f>
        <v>32400</v>
      </c>
      <c r="I285" s="2177">
        <v>22</v>
      </c>
      <c r="J285" s="1264">
        <f t="shared" si="38"/>
        <v>26400</v>
      </c>
      <c r="K285" s="1802">
        <f t="shared" si="39"/>
        <v>58800</v>
      </c>
      <c r="L285" s="2001" t="s">
        <v>2667</v>
      </c>
      <c r="M285" s="1214"/>
      <c r="N285" s="1199">
        <v>79.8</v>
      </c>
      <c r="O285" s="1199">
        <f>ROUND(N285/3,)</f>
        <v>27</v>
      </c>
      <c r="P285" s="1214"/>
    </row>
    <row r="286" spans="1:19" s="1199" customFormat="1" ht="24" customHeight="1">
      <c r="A286" s="1331"/>
      <c r="B286" s="2174" t="s">
        <v>1384</v>
      </c>
      <c r="C286" s="1202"/>
      <c r="D286" s="1202"/>
      <c r="E286" s="1387">
        <v>1</v>
      </c>
      <c r="F286" s="1407" t="s">
        <v>1104</v>
      </c>
      <c r="G286" s="2176">
        <f>SUM(H285:H285)*15%</f>
        <v>4860</v>
      </c>
      <c r="H286" s="1264">
        <f>ROUND(G286*E286,)</f>
        <v>4860</v>
      </c>
      <c r="I286" s="2177">
        <f>G286*0.3</f>
        <v>1458</v>
      </c>
      <c r="J286" s="1264">
        <f t="shared" si="38"/>
        <v>1458</v>
      </c>
      <c r="K286" s="1273">
        <f t="shared" si="39"/>
        <v>6318</v>
      </c>
      <c r="L286" s="1385"/>
      <c r="M286" s="1214"/>
      <c r="N286" s="1214"/>
      <c r="O286" s="1214"/>
      <c r="P286" s="1214"/>
    </row>
    <row r="287" spans="1:19" s="1199" customFormat="1" ht="24" customHeight="1">
      <c r="A287" s="1406" t="s">
        <v>2915</v>
      </c>
      <c r="B287" s="2174" t="s">
        <v>1110</v>
      </c>
      <c r="C287" s="1202"/>
      <c r="D287" s="1202"/>
      <c r="E287" s="1387"/>
      <c r="F287" s="1384"/>
      <c r="G287" s="2176"/>
      <c r="H287" s="1264">
        <f t="shared" ref="H287:H292" si="41">ROUND(E287*G287,)</f>
        <v>0</v>
      </c>
      <c r="I287" s="2177"/>
      <c r="J287" s="1264">
        <f t="shared" si="38"/>
        <v>0</v>
      </c>
      <c r="K287" s="1273">
        <f t="shared" si="39"/>
        <v>0</v>
      </c>
      <c r="L287" s="1385"/>
      <c r="M287" s="1214"/>
      <c r="N287" s="1214"/>
      <c r="O287" s="1214"/>
      <c r="P287" s="1214"/>
    </row>
    <row r="288" spans="1:19" s="1199" customFormat="1" ht="24" customHeight="1">
      <c r="A288" s="1331"/>
      <c r="B288" s="2174" t="s">
        <v>1350</v>
      </c>
      <c r="C288" s="1202"/>
      <c r="D288" s="1202"/>
      <c r="E288" s="1387"/>
      <c r="F288" s="1358" t="s">
        <v>226</v>
      </c>
      <c r="G288" s="2176">
        <v>56</v>
      </c>
      <c r="H288" s="1264">
        <f t="shared" si="41"/>
        <v>0</v>
      </c>
      <c r="I288" s="2177">
        <v>26</v>
      </c>
      <c r="J288" s="1264">
        <f t="shared" si="38"/>
        <v>0</v>
      </c>
      <c r="K288" s="1273">
        <f t="shared" si="39"/>
        <v>0</v>
      </c>
      <c r="L288" s="2001" t="s">
        <v>2667</v>
      </c>
      <c r="M288" s="1214"/>
      <c r="N288" s="1199">
        <v>169.2</v>
      </c>
      <c r="O288" s="1199">
        <f>ROUND(N288/3,)</f>
        <v>56</v>
      </c>
      <c r="P288" s="1214"/>
    </row>
    <row r="289" spans="1:19" s="1199" customFormat="1" ht="24" customHeight="1">
      <c r="A289" s="1331"/>
      <c r="B289" s="2174" t="s">
        <v>1448</v>
      </c>
      <c r="C289" s="1202"/>
      <c r="D289" s="1202"/>
      <c r="E289" s="1404">
        <v>3350</v>
      </c>
      <c r="F289" s="1358" t="s">
        <v>226</v>
      </c>
      <c r="G289" s="2176">
        <v>75</v>
      </c>
      <c r="H289" s="1264">
        <f t="shared" si="41"/>
        <v>251250</v>
      </c>
      <c r="I289" s="2177">
        <v>29</v>
      </c>
      <c r="J289" s="1264">
        <f t="shared" si="38"/>
        <v>97150</v>
      </c>
      <c r="K289" s="1273">
        <f>H289+J289</f>
        <v>348400</v>
      </c>
      <c r="L289" s="2001" t="s">
        <v>2667</v>
      </c>
      <c r="N289" s="1199">
        <v>225</v>
      </c>
      <c r="O289" s="1199">
        <f>ROUND(N289/3,)</f>
        <v>75</v>
      </c>
      <c r="P289" s="1214"/>
    </row>
    <row r="290" spans="1:19" s="1199" customFormat="1" ht="24" customHeight="1">
      <c r="A290" s="1331"/>
      <c r="B290" s="2174" t="s">
        <v>1108</v>
      </c>
      <c r="C290" s="1202"/>
      <c r="D290" s="1202"/>
      <c r="E290" s="1387">
        <v>1</v>
      </c>
      <c r="F290" s="1384" t="s">
        <v>1104</v>
      </c>
      <c r="G290" s="2176">
        <f>ROUND(SUM(H288:H289)*15%,)</f>
        <v>37688</v>
      </c>
      <c r="H290" s="1264">
        <f t="shared" si="41"/>
        <v>37688</v>
      </c>
      <c r="I290" s="2177">
        <f>ROUND(G290*0.3,)</f>
        <v>11306</v>
      </c>
      <c r="J290" s="1264">
        <f t="shared" si="38"/>
        <v>11306</v>
      </c>
      <c r="K290" s="1273">
        <f t="shared" si="39"/>
        <v>48994</v>
      </c>
      <c r="L290" s="1385"/>
      <c r="M290" s="1214"/>
      <c r="N290" s="1214"/>
      <c r="O290" s="1214"/>
      <c r="P290" s="1214"/>
    </row>
    <row r="291" spans="1:19" s="1199" customFormat="1" ht="24" customHeight="1">
      <c r="A291" s="1406" t="s">
        <v>2916</v>
      </c>
      <c r="B291" s="2174" t="s">
        <v>1449</v>
      </c>
      <c r="C291" s="1202"/>
      <c r="D291" s="1202"/>
      <c r="E291" s="1387"/>
      <c r="F291" s="1384"/>
      <c r="G291" s="2176"/>
      <c r="H291" s="1264">
        <f t="shared" si="41"/>
        <v>0</v>
      </c>
      <c r="I291" s="2177"/>
      <c r="J291" s="1264">
        <f t="shared" si="38"/>
        <v>0</v>
      </c>
      <c r="K291" s="1273">
        <f t="shared" si="39"/>
        <v>0</v>
      </c>
      <c r="L291" s="1385"/>
      <c r="M291" s="1214"/>
      <c r="N291" s="1214"/>
      <c r="O291" s="1214"/>
      <c r="P291" s="1214"/>
    </row>
    <row r="292" spans="1:19" s="1199" customFormat="1" ht="24" customHeight="1">
      <c r="A292" s="1331"/>
      <c r="B292" s="2174" t="s">
        <v>1350</v>
      </c>
      <c r="C292" s="1202"/>
      <c r="D292" s="1202"/>
      <c r="E292" s="1387">
        <v>244</v>
      </c>
      <c r="F292" s="1358" t="s">
        <v>226</v>
      </c>
      <c r="G292" s="2176">
        <v>14</v>
      </c>
      <c r="H292" s="1264">
        <f t="shared" si="41"/>
        <v>3416</v>
      </c>
      <c r="I292" s="2177">
        <v>11</v>
      </c>
      <c r="J292" s="1264">
        <f t="shared" si="38"/>
        <v>2684</v>
      </c>
      <c r="K292" s="1273">
        <f t="shared" si="39"/>
        <v>6100</v>
      </c>
      <c r="L292" s="1385"/>
      <c r="M292" s="1214"/>
      <c r="N292" s="1214"/>
      <c r="O292" s="1214"/>
      <c r="P292" s="1214"/>
    </row>
    <row r="293" spans="1:19" s="1199" customFormat="1" ht="24" customHeight="1">
      <c r="A293" s="1331"/>
      <c r="B293" s="2174" t="s">
        <v>1117</v>
      </c>
      <c r="C293" s="1202"/>
      <c r="D293" s="1202"/>
      <c r="E293" s="1387"/>
      <c r="F293" s="1384"/>
      <c r="G293" s="2176"/>
      <c r="H293" s="1388"/>
      <c r="I293" s="2177"/>
      <c r="J293" s="1385"/>
      <c r="K293" s="1385"/>
      <c r="L293" s="1385"/>
      <c r="M293" s="1214"/>
      <c r="N293" s="1214"/>
      <c r="O293" s="1214"/>
      <c r="P293" s="1214"/>
      <c r="Q293" s="1214"/>
      <c r="R293" s="1214"/>
      <c r="S293" s="1214"/>
    </row>
    <row r="294" spans="1:19" s="1199" customFormat="1" ht="24" customHeight="1">
      <c r="A294" s="1331"/>
      <c r="B294" s="2174" t="s">
        <v>1369</v>
      </c>
      <c r="C294" s="1202"/>
      <c r="D294" s="1202"/>
      <c r="E294" s="1387"/>
      <c r="F294" s="1384"/>
      <c r="G294" s="2176"/>
      <c r="H294" s="1388"/>
      <c r="I294" s="2177"/>
      <c r="J294" s="1385"/>
      <c r="K294" s="1385"/>
      <c r="L294" s="1385"/>
      <c r="M294" s="1214"/>
      <c r="N294" s="1214"/>
      <c r="O294" s="1214"/>
      <c r="P294" s="1214"/>
      <c r="Q294" s="1214"/>
      <c r="R294" s="1214"/>
      <c r="S294" s="1214"/>
    </row>
    <row r="295" spans="1:19" s="1199" customFormat="1" ht="24" customHeight="1">
      <c r="A295" s="1331"/>
      <c r="B295" s="2174" t="s">
        <v>1369</v>
      </c>
      <c r="C295" s="1202"/>
      <c r="D295" s="1202"/>
      <c r="E295" s="1387"/>
      <c r="F295" s="1384"/>
      <c r="G295" s="2176"/>
      <c r="H295" s="1388"/>
      <c r="I295" s="2177"/>
      <c r="J295" s="1385"/>
      <c r="K295" s="1385"/>
      <c r="L295" s="1385"/>
      <c r="M295" s="1214"/>
      <c r="N295" s="1214"/>
      <c r="O295" s="1214"/>
      <c r="P295" s="1214"/>
      <c r="Q295" s="1214"/>
      <c r="R295" s="1214"/>
      <c r="S295" s="1214"/>
    </row>
    <row r="296" spans="1:19" s="1199" customFormat="1" ht="24" customHeight="1">
      <c r="A296" s="1331"/>
      <c r="B296" s="1240"/>
      <c r="C296" s="1202"/>
      <c r="D296" s="1202"/>
      <c r="E296" s="1387"/>
      <c r="F296" s="1384"/>
      <c r="G296" s="2176"/>
      <c r="H296" s="1388"/>
      <c r="I296" s="2177"/>
      <c r="J296" s="1385"/>
      <c r="K296" s="1385"/>
      <c r="L296" s="1385"/>
      <c r="M296" s="1214"/>
      <c r="N296" s="1214"/>
      <c r="O296" s="1214"/>
      <c r="P296" s="1214"/>
      <c r="Q296" s="1214"/>
      <c r="R296" s="1214"/>
      <c r="S296" s="1214"/>
    </row>
    <row r="297" spans="1:19" s="1199" customFormat="1" ht="24" customHeight="1">
      <c r="A297" s="1331"/>
      <c r="B297" s="1416"/>
      <c r="C297" s="1202"/>
      <c r="D297" s="1202"/>
      <c r="E297" s="1387"/>
      <c r="F297" s="1384"/>
      <c r="G297" s="2176"/>
      <c r="H297" s="1388"/>
      <c r="I297" s="2177"/>
      <c r="J297" s="1385"/>
      <c r="K297" s="1385"/>
      <c r="L297" s="1385"/>
      <c r="M297" s="1214"/>
      <c r="N297" s="1214"/>
      <c r="O297" s="1214"/>
      <c r="P297" s="1214"/>
      <c r="Q297" s="1214"/>
      <c r="R297" s="1214"/>
      <c r="S297" s="1214"/>
    </row>
    <row r="298" spans="1:19" s="1199" customFormat="1" ht="24" customHeight="1">
      <c r="A298" s="1243"/>
      <c r="B298" s="2257" t="str">
        <f>"รวมราคารายการที่ "&amp;A257</f>
        <v>รวมราคารายการที่ 3.8</v>
      </c>
      <c r="C298" s="2258"/>
      <c r="D298" s="2259"/>
      <c r="E298" s="1244"/>
      <c r="F298" s="1245"/>
      <c r="G298" s="1246"/>
      <c r="H298" s="1247">
        <f>SUM(H258:H297)</f>
        <v>1705301</v>
      </c>
      <c r="I298" s="1246"/>
      <c r="J298" s="1247">
        <f>SUM(J258:J297)</f>
        <v>268806</v>
      </c>
      <c r="K298" s="1247">
        <f>SUM(K258:K297)</f>
        <v>1974107</v>
      </c>
      <c r="L298" s="1245"/>
      <c r="M298" s="1214"/>
      <c r="N298" s="1214"/>
      <c r="O298" s="1214"/>
      <c r="P298" s="1214"/>
      <c r="Q298" s="1214"/>
      <c r="R298" s="1214"/>
      <c r="S298" s="1214"/>
    </row>
    <row r="299" spans="1:19" s="1199" customFormat="1" ht="24" customHeight="1">
      <c r="A299" s="1435" t="s">
        <v>1311</v>
      </c>
      <c r="B299" s="1436" t="s">
        <v>1404</v>
      </c>
      <c r="C299" s="1202"/>
      <c r="D299" s="1202"/>
      <c r="E299" s="1387"/>
      <c r="F299" s="1407"/>
      <c r="G299" s="2176"/>
      <c r="H299" s="1388"/>
      <c r="I299" s="2177"/>
      <c r="J299" s="1385"/>
      <c r="K299" s="1385"/>
      <c r="L299" s="1385"/>
      <c r="M299" s="1214"/>
      <c r="N299" s="1214"/>
      <c r="O299" s="1214"/>
      <c r="P299" s="1214"/>
      <c r="Q299" s="1214"/>
      <c r="R299" s="1214"/>
      <c r="S299" s="1214"/>
    </row>
    <row r="300" spans="1:19" s="1199" customFormat="1" ht="24" customHeight="1">
      <c r="A300" s="1406" t="s">
        <v>1313</v>
      </c>
      <c r="B300" s="2174" t="s">
        <v>1529</v>
      </c>
      <c r="C300" s="1202"/>
      <c r="D300" s="1202"/>
      <c r="E300" s="1387">
        <v>24</v>
      </c>
      <c r="F300" s="1207" t="s">
        <v>363</v>
      </c>
      <c r="G300" s="2176">
        <v>900</v>
      </c>
      <c r="H300" s="1264">
        <f t="shared" ref="H300:H305" si="42">ROUND(G300*E300,)</f>
        <v>21600</v>
      </c>
      <c r="I300" s="2177">
        <v>140</v>
      </c>
      <c r="J300" s="1264">
        <f t="shared" ref="J300:J311" si="43">ROUND(E300*I300,)</f>
        <v>3360</v>
      </c>
      <c r="K300" s="1273">
        <f t="shared" ref="K300:K311" si="44">H300+J300</f>
        <v>24960</v>
      </c>
      <c r="L300" s="1385"/>
      <c r="M300" s="1214"/>
      <c r="N300" s="1214"/>
      <c r="O300" s="1214"/>
      <c r="P300" s="1214"/>
      <c r="Q300" s="1214"/>
      <c r="R300" s="1214"/>
      <c r="S300" s="1214"/>
    </row>
    <row r="301" spans="1:19" s="1199" customFormat="1" ht="24" customHeight="1">
      <c r="A301" s="1406" t="s">
        <v>1547</v>
      </c>
      <c r="B301" s="2174" t="s">
        <v>1531</v>
      </c>
      <c r="C301" s="1202"/>
      <c r="D301" s="1202"/>
      <c r="E301" s="1387">
        <v>2</v>
      </c>
      <c r="F301" s="1207" t="s">
        <v>363</v>
      </c>
      <c r="G301" s="2176">
        <v>3800</v>
      </c>
      <c r="H301" s="1264">
        <f t="shared" si="42"/>
        <v>7600</v>
      </c>
      <c r="I301" s="2177">
        <v>200</v>
      </c>
      <c r="J301" s="1264">
        <f t="shared" si="43"/>
        <v>400</v>
      </c>
      <c r="K301" s="1273">
        <f t="shared" si="44"/>
        <v>8000</v>
      </c>
      <c r="L301" s="1385"/>
      <c r="M301" s="1214"/>
      <c r="N301" s="1214"/>
      <c r="O301" s="1214"/>
      <c r="P301" s="1214"/>
      <c r="Q301" s="1214"/>
      <c r="R301" s="1214"/>
      <c r="S301" s="1214"/>
    </row>
    <row r="302" spans="1:19" s="1199" customFormat="1" ht="24" customHeight="1">
      <c r="A302" s="1406" t="s">
        <v>1549</v>
      </c>
      <c r="B302" s="2174" t="s">
        <v>1532</v>
      </c>
      <c r="C302" s="1202"/>
      <c r="D302" s="1202"/>
      <c r="E302" s="1387">
        <v>2</v>
      </c>
      <c r="F302" s="1207" t="s">
        <v>363</v>
      </c>
      <c r="G302" s="2176">
        <v>5000</v>
      </c>
      <c r="H302" s="1264">
        <f t="shared" si="42"/>
        <v>10000</v>
      </c>
      <c r="I302" s="2177">
        <f>G302*0.1</f>
        <v>500</v>
      </c>
      <c r="J302" s="1264">
        <f t="shared" si="43"/>
        <v>1000</v>
      </c>
      <c r="K302" s="1273">
        <f t="shared" si="44"/>
        <v>11000</v>
      </c>
      <c r="L302" s="1385"/>
      <c r="M302" s="1214"/>
      <c r="N302" s="1214"/>
      <c r="O302" s="1214"/>
      <c r="P302" s="1214"/>
      <c r="Q302" s="1214"/>
      <c r="R302" s="1214"/>
      <c r="S302" s="1214"/>
    </row>
    <row r="303" spans="1:19" s="1199" customFormat="1" ht="24" customHeight="1">
      <c r="A303" s="1406" t="s">
        <v>1631</v>
      </c>
      <c r="B303" s="2174" t="s">
        <v>1312</v>
      </c>
      <c r="C303" s="1202"/>
      <c r="D303" s="1202"/>
      <c r="E303" s="1387"/>
      <c r="F303" s="1384"/>
      <c r="G303" s="2176"/>
      <c r="H303" s="1264">
        <f t="shared" si="42"/>
        <v>0</v>
      </c>
      <c r="I303" s="2177"/>
      <c r="J303" s="1264">
        <f t="shared" si="43"/>
        <v>0</v>
      </c>
      <c r="K303" s="1273">
        <f t="shared" si="44"/>
        <v>0</v>
      </c>
      <c r="L303" s="1385"/>
      <c r="M303" s="1214"/>
      <c r="N303" s="1214"/>
      <c r="O303" s="1214"/>
      <c r="P303" s="1214"/>
      <c r="Q303" s="1214"/>
      <c r="R303" s="1214"/>
      <c r="S303" s="1214"/>
    </row>
    <row r="304" spans="1:19" s="1199" customFormat="1" ht="24" customHeight="1">
      <c r="A304" s="1331"/>
      <c r="B304" s="2174" t="s">
        <v>1534</v>
      </c>
      <c r="C304" s="1202"/>
      <c r="D304" s="1202"/>
      <c r="E304" s="1387">
        <v>827.99999999999989</v>
      </c>
      <c r="F304" s="1358" t="s">
        <v>226</v>
      </c>
      <c r="G304" s="2176">
        <v>32</v>
      </c>
      <c r="H304" s="1264">
        <f t="shared" si="42"/>
        <v>26496</v>
      </c>
      <c r="I304" s="2177">
        <v>11</v>
      </c>
      <c r="J304" s="1264">
        <f t="shared" si="43"/>
        <v>9108</v>
      </c>
      <c r="K304" s="1802">
        <f t="shared" si="44"/>
        <v>35604</v>
      </c>
      <c r="L304" s="2001" t="s">
        <v>2667</v>
      </c>
      <c r="M304" s="1214"/>
      <c r="N304" s="1199">
        <v>3183</v>
      </c>
      <c r="O304" s="1199">
        <f>ROUND(N304/100,)</f>
        <v>32</v>
      </c>
      <c r="P304" s="1214"/>
      <c r="Q304" s="1214"/>
      <c r="R304" s="1214"/>
      <c r="S304" s="1214"/>
    </row>
    <row r="305" spans="1:19" s="1199" customFormat="1" ht="24" customHeight="1">
      <c r="A305" s="1331"/>
      <c r="B305" s="2174" t="s">
        <v>1535</v>
      </c>
      <c r="C305" s="1202"/>
      <c r="D305" s="1202"/>
      <c r="E305" s="1387">
        <v>114.99999999999999</v>
      </c>
      <c r="F305" s="1358" t="s">
        <v>226</v>
      </c>
      <c r="G305" s="2176">
        <v>40</v>
      </c>
      <c r="H305" s="1264">
        <f t="shared" si="42"/>
        <v>4600</v>
      </c>
      <c r="I305" s="2177">
        <v>12</v>
      </c>
      <c r="J305" s="1264">
        <f t="shared" si="43"/>
        <v>1380</v>
      </c>
      <c r="K305" s="1802">
        <f t="shared" si="44"/>
        <v>5980</v>
      </c>
      <c r="L305" s="2001" t="s">
        <v>2667</v>
      </c>
      <c r="M305" s="1214"/>
      <c r="N305" s="1199">
        <v>4039</v>
      </c>
      <c r="O305" s="1199">
        <f>ROUND(N305/100,)</f>
        <v>40</v>
      </c>
      <c r="P305" s="1214"/>
      <c r="Q305" s="1214"/>
      <c r="R305" s="1214"/>
      <c r="S305" s="1214"/>
    </row>
    <row r="306" spans="1:19" s="1199" customFormat="1" ht="24" customHeight="1">
      <c r="A306" s="1331"/>
      <c r="B306" s="2174" t="s">
        <v>1525</v>
      </c>
      <c r="C306" s="1202"/>
      <c r="D306" s="1202"/>
      <c r="E306" s="1387">
        <v>1</v>
      </c>
      <c r="F306" s="1384" t="s">
        <v>1104</v>
      </c>
      <c r="G306" s="2176">
        <f>ROUND(SUM(H304:H305)*5%,)</f>
        <v>1555</v>
      </c>
      <c r="H306" s="1264">
        <f>ROUND(E306*G306,)</f>
        <v>1555</v>
      </c>
      <c r="I306" s="2177">
        <f>ROUND(G306*0.3,)</f>
        <v>467</v>
      </c>
      <c r="J306" s="1264">
        <f t="shared" si="43"/>
        <v>467</v>
      </c>
      <c r="K306" s="1273">
        <f t="shared" si="44"/>
        <v>2022</v>
      </c>
      <c r="L306" s="1385"/>
      <c r="M306" s="1214"/>
      <c r="N306" s="1214"/>
      <c r="O306" s="1214"/>
      <c r="P306" s="1214"/>
      <c r="Q306" s="1214"/>
      <c r="R306" s="1214"/>
      <c r="S306" s="1214"/>
    </row>
    <row r="307" spans="1:19" s="1199" customFormat="1" ht="24" customHeight="1">
      <c r="A307" s="1406" t="s">
        <v>1610</v>
      </c>
      <c r="B307" s="2174" t="s">
        <v>1526</v>
      </c>
      <c r="C307" s="1202"/>
      <c r="D307" s="1202"/>
      <c r="E307" s="1387"/>
      <c r="F307" s="1384"/>
      <c r="G307" s="2176"/>
      <c r="H307" s="1264">
        <f>ROUND(G307*E307,)</f>
        <v>0</v>
      </c>
      <c r="I307" s="2177"/>
      <c r="J307" s="1264">
        <f t="shared" si="43"/>
        <v>0</v>
      </c>
      <c r="K307" s="1273">
        <f t="shared" si="44"/>
        <v>0</v>
      </c>
      <c r="L307" s="1385"/>
      <c r="M307" s="1214"/>
      <c r="N307" s="1214"/>
      <c r="O307" s="1214"/>
      <c r="P307" s="1214"/>
      <c r="Q307" s="1214"/>
      <c r="R307" s="1214"/>
      <c r="S307" s="1214"/>
    </row>
    <row r="308" spans="1:19" s="1199" customFormat="1" ht="24" customHeight="1">
      <c r="A308" s="1331"/>
      <c r="B308" s="2174" t="s">
        <v>1350</v>
      </c>
      <c r="C308" s="1202"/>
      <c r="D308" s="1202"/>
      <c r="E308" s="1387">
        <v>942.99999999999989</v>
      </c>
      <c r="F308" s="1358" t="s">
        <v>226</v>
      </c>
      <c r="G308" s="2176">
        <v>27</v>
      </c>
      <c r="H308" s="1264">
        <f t="shared" ref="H308" si="45">ROUND(G308*E308,)</f>
        <v>25461</v>
      </c>
      <c r="I308" s="2177">
        <v>22</v>
      </c>
      <c r="J308" s="1264">
        <f t="shared" si="43"/>
        <v>20746</v>
      </c>
      <c r="K308" s="1801">
        <f t="shared" si="44"/>
        <v>46207</v>
      </c>
      <c r="L308" s="2001" t="s">
        <v>2667</v>
      </c>
      <c r="M308" s="1214"/>
      <c r="N308" s="1199">
        <v>79.8</v>
      </c>
      <c r="O308" s="1199">
        <f>ROUND(N308/3,)</f>
        <v>27</v>
      </c>
      <c r="P308" s="1214"/>
      <c r="Q308" s="1214"/>
      <c r="R308" s="1214"/>
      <c r="S308" s="1214"/>
    </row>
    <row r="309" spans="1:19" s="1199" customFormat="1" ht="24" customHeight="1">
      <c r="A309" s="1331"/>
      <c r="B309" s="2174" t="s">
        <v>1384</v>
      </c>
      <c r="C309" s="1202"/>
      <c r="D309" s="1202"/>
      <c r="E309" s="1387">
        <v>1</v>
      </c>
      <c r="F309" s="1407" t="s">
        <v>1104</v>
      </c>
      <c r="G309" s="2176">
        <f>ROUND(SUM(H308:H308)*15%,)</f>
        <v>3819</v>
      </c>
      <c r="H309" s="1264">
        <f>ROUND(G309*E309,)</f>
        <v>3819</v>
      </c>
      <c r="I309" s="2177">
        <f>ROUND(G309*0.3,)</f>
        <v>1146</v>
      </c>
      <c r="J309" s="1264">
        <f t="shared" si="43"/>
        <v>1146</v>
      </c>
      <c r="K309" s="1273">
        <f t="shared" si="44"/>
        <v>4965</v>
      </c>
      <c r="L309" s="1385"/>
      <c r="M309" s="1214"/>
      <c r="N309" s="1214"/>
      <c r="O309" s="1214"/>
      <c r="P309" s="1214"/>
      <c r="Q309" s="1214"/>
      <c r="R309" s="1214"/>
      <c r="S309" s="1214"/>
    </row>
    <row r="310" spans="1:19" s="1199" customFormat="1" ht="24" customHeight="1">
      <c r="A310" s="1331" t="s">
        <v>1632</v>
      </c>
      <c r="B310" s="2174" t="s">
        <v>1449</v>
      </c>
      <c r="C310" s="1202"/>
      <c r="D310" s="1202"/>
      <c r="E310" s="1387"/>
      <c r="F310" s="1384"/>
      <c r="G310" s="2176"/>
      <c r="H310" s="1264">
        <f>ROUND(G310*E310,)</f>
        <v>0</v>
      </c>
      <c r="I310" s="2177"/>
      <c r="J310" s="1264">
        <f t="shared" si="43"/>
        <v>0</v>
      </c>
      <c r="K310" s="1273">
        <f t="shared" si="44"/>
        <v>0</v>
      </c>
      <c r="L310" s="1385"/>
      <c r="M310" s="1214"/>
      <c r="N310" s="1214"/>
      <c r="O310" s="1214"/>
      <c r="P310" s="1214"/>
      <c r="Q310" s="1214"/>
      <c r="R310" s="1214"/>
      <c r="S310" s="1214"/>
    </row>
    <row r="311" spans="1:19" s="1199" customFormat="1" ht="24" customHeight="1">
      <c r="A311" s="1331"/>
      <c r="B311" s="2174" t="s">
        <v>1350</v>
      </c>
      <c r="C311" s="1202"/>
      <c r="D311" s="1202"/>
      <c r="E311" s="1387">
        <v>24</v>
      </c>
      <c r="F311" s="1358" t="s">
        <v>226</v>
      </c>
      <c r="G311" s="2176">
        <v>14</v>
      </c>
      <c r="H311" s="1264">
        <f>ROUND(G311*E311,)</f>
        <v>336</v>
      </c>
      <c r="I311" s="2177">
        <v>11</v>
      </c>
      <c r="J311" s="1264">
        <f t="shared" si="43"/>
        <v>264</v>
      </c>
      <c r="K311" s="1273">
        <f t="shared" si="44"/>
        <v>600</v>
      </c>
      <c r="L311" s="1385"/>
      <c r="M311" s="1214"/>
      <c r="N311" s="1214"/>
      <c r="O311" s="1214"/>
      <c r="P311" s="1214"/>
      <c r="Q311" s="1214"/>
      <c r="R311" s="1214"/>
      <c r="S311" s="1214"/>
    </row>
    <row r="312" spans="1:19" s="1199" customFormat="1" ht="24" customHeight="1">
      <c r="A312" s="1331"/>
      <c r="B312" s="2174" t="s">
        <v>1117</v>
      </c>
      <c r="C312" s="1202"/>
      <c r="D312" s="1202"/>
      <c r="E312" s="1387"/>
      <c r="F312" s="1384"/>
      <c r="G312" s="2176"/>
      <c r="H312" s="1388"/>
      <c r="I312" s="2177"/>
      <c r="J312" s="1385"/>
      <c r="K312" s="1385"/>
      <c r="L312" s="1385"/>
      <c r="M312" s="1214"/>
      <c r="N312" s="1214"/>
      <c r="O312" s="1214"/>
      <c r="P312" s="1214"/>
      <c r="Q312" s="1214"/>
      <c r="R312" s="1214"/>
      <c r="S312" s="1214"/>
    </row>
    <row r="313" spans="1:19" s="1199" customFormat="1" ht="24" customHeight="1">
      <c r="A313" s="1359"/>
      <c r="B313" s="1190" t="s">
        <v>1118</v>
      </c>
      <c r="C313" s="1225"/>
      <c r="D313" s="1225"/>
      <c r="E313" s="1390"/>
      <c r="F313" s="1391"/>
      <c r="G313" s="1392"/>
      <c r="H313" s="1393"/>
      <c r="I313" s="1394"/>
      <c r="J313" s="1395"/>
      <c r="K313" s="1395"/>
      <c r="L313" s="1395"/>
      <c r="M313" s="1214"/>
      <c r="N313" s="1214"/>
      <c r="O313" s="1214"/>
      <c r="P313" s="1214"/>
      <c r="Q313" s="1214"/>
      <c r="R313" s="1214"/>
      <c r="S313" s="1214"/>
    </row>
    <row r="314" spans="1:19" s="1199" customFormat="1" ht="24" customHeight="1">
      <c r="A314" s="1243"/>
      <c r="B314" s="2257" t="str">
        <f>"รวมราคารายการที่ "&amp;A299</f>
        <v>รวมราคารายการที่ 3.9</v>
      </c>
      <c r="C314" s="2258"/>
      <c r="D314" s="2259"/>
      <c r="E314" s="1244"/>
      <c r="F314" s="1245"/>
      <c r="G314" s="1246"/>
      <c r="H314" s="1247">
        <f>SUM(H300:H313)</f>
        <v>101467</v>
      </c>
      <c r="I314" s="1246"/>
      <c r="J314" s="1247">
        <f>SUM(J300:J313)</f>
        <v>37871</v>
      </c>
      <c r="K314" s="1247">
        <f>SUM(K300:K313)</f>
        <v>139338</v>
      </c>
      <c r="L314" s="1245"/>
      <c r="M314" s="1214"/>
      <c r="N314" s="1214"/>
      <c r="O314" s="1214"/>
      <c r="P314" s="1214"/>
      <c r="Q314" s="1214"/>
      <c r="R314" s="1214"/>
      <c r="S314" s="1214"/>
    </row>
    <row r="315" spans="1:19" s="1199" customFormat="1" ht="24" customHeight="1">
      <c r="A315" s="1381" t="s">
        <v>1332</v>
      </c>
      <c r="B315" s="1292" t="s">
        <v>1419</v>
      </c>
      <c r="C315" s="1235"/>
      <c r="D315" s="1235"/>
      <c r="E315" s="1397"/>
      <c r="F315" s="1398"/>
      <c r="G315" s="1399"/>
      <c r="H315" s="1400"/>
      <c r="I315" s="1401"/>
      <c r="J315" s="1402"/>
      <c r="K315" s="1402"/>
      <c r="L315" s="1402"/>
      <c r="M315" s="1214"/>
      <c r="N315" s="1214"/>
      <c r="O315" s="1214"/>
      <c r="P315" s="1214"/>
      <c r="Q315" s="1214"/>
      <c r="R315" s="1214"/>
      <c r="S315" s="1214"/>
    </row>
    <row r="316" spans="1:19" s="1199" customFormat="1" ht="24" customHeight="1">
      <c r="A316" s="1331" t="s">
        <v>1334</v>
      </c>
      <c r="B316" s="2174" t="s">
        <v>1539</v>
      </c>
      <c r="C316" s="1202"/>
      <c r="D316" s="1202"/>
      <c r="E316" s="1387"/>
      <c r="F316" s="1384"/>
      <c r="G316" s="2176"/>
      <c r="H316" s="1388"/>
      <c r="I316" s="2177"/>
      <c r="J316" s="1385"/>
      <c r="K316" s="1385"/>
      <c r="L316" s="1385"/>
      <c r="M316" s="1214"/>
      <c r="N316" s="1214"/>
      <c r="O316" s="1214"/>
      <c r="P316" s="1214"/>
      <c r="Q316" s="1214"/>
      <c r="R316" s="1214"/>
      <c r="S316" s="1214"/>
    </row>
    <row r="317" spans="1:19" s="1199" customFormat="1" ht="24" customHeight="1">
      <c r="A317" s="1331"/>
      <c r="B317" s="2174" t="s">
        <v>1540</v>
      </c>
      <c r="C317" s="1202"/>
      <c r="D317" s="1202"/>
      <c r="E317" s="1387">
        <v>2</v>
      </c>
      <c r="F317" s="1207" t="s">
        <v>363</v>
      </c>
      <c r="G317" s="2176">
        <v>46645</v>
      </c>
      <c r="H317" s="1388">
        <f t="shared" ref="H317:H322" si="46">ROUND(E317*G317,)</f>
        <v>93290</v>
      </c>
      <c r="I317" s="2177">
        <v>5000</v>
      </c>
      <c r="J317" s="1385">
        <f>ROUND(E317*I317,)</f>
        <v>10000</v>
      </c>
      <c r="K317" s="1385">
        <f t="shared" ref="K317:K322" si="47">H317+J317</f>
        <v>103290</v>
      </c>
      <c r="L317" s="1385"/>
      <c r="M317" s="1214"/>
      <c r="N317" s="1214"/>
      <c r="O317" s="1214"/>
      <c r="P317" s="1214"/>
      <c r="Q317" s="1214"/>
      <c r="R317" s="1214"/>
      <c r="S317" s="1214"/>
    </row>
    <row r="318" spans="1:19" s="1199" customFormat="1" ht="24" customHeight="1">
      <c r="A318" s="1331"/>
      <c r="B318" s="2174" t="s">
        <v>1541</v>
      </c>
      <c r="C318" s="1202"/>
      <c r="D318" s="1202"/>
      <c r="E318" s="1387">
        <v>4</v>
      </c>
      <c r="F318" s="1207" t="s">
        <v>363</v>
      </c>
      <c r="G318" s="2176">
        <v>21375</v>
      </c>
      <c r="H318" s="1388">
        <f t="shared" si="46"/>
        <v>85500</v>
      </c>
      <c r="I318" s="2177" t="s">
        <v>1542</v>
      </c>
      <c r="J318" s="1385"/>
      <c r="K318" s="1385">
        <f t="shared" si="47"/>
        <v>85500</v>
      </c>
      <c r="L318" s="1385"/>
      <c r="M318" s="1214"/>
      <c r="N318" s="1214"/>
      <c r="O318" s="1214"/>
      <c r="P318" s="1214"/>
      <c r="Q318" s="1214"/>
      <c r="R318" s="1214"/>
      <c r="S318" s="1214"/>
    </row>
    <row r="319" spans="1:19" s="1199" customFormat="1" ht="24" customHeight="1">
      <c r="A319" s="1331"/>
      <c r="B319" s="2174" t="s">
        <v>1543</v>
      </c>
      <c r="C319" s="1202"/>
      <c r="D319" s="1202"/>
      <c r="E319" s="1387">
        <v>4</v>
      </c>
      <c r="F319" s="1207" t="s">
        <v>363</v>
      </c>
      <c r="G319" s="2176">
        <v>9025</v>
      </c>
      <c r="H319" s="1388">
        <f t="shared" si="46"/>
        <v>36100</v>
      </c>
      <c r="I319" s="2177" t="s">
        <v>1542</v>
      </c>
      <c r="J319" s="1385"/>
      <c r="K319" s="1385">
        <f t="shared" si="47"/>
        <v>36100</v>
      </c>
      <c r="L319" s="1385"/>
      <c r="M319" s="1214"/>
      <c r="N319" s="1214"/>
      <c r="O319" s="1214"/>
      <c r="P319" s="1214"/>
      <c r="Q319" s="1214"/>
      <c r="R319" s="1214"/>
      <c r="S319" s="1214"/>
    </row>
    <row r="320" spans="1:19" s="1199" customFormat="1" ht="24" customHeight="1">
      <c r="A320" s="1331"/>
      <c r="B320" s="2174" t="s">
        <v>1544</v>
      </c>
      <c r="C320" s="1202"/>
      <c r="D320" s="1202"/>
      <c r="E320" s="1387">
        <v>4</v>
      </c>
      <c r="F320" s="1207" t="s">
        <v>363</v>
      </c>
      <c r="G320" s="2176">
        <v>1995</v>
      </c>
      <c r="H320" s="1388">
        <f t="shared" si="46"/>
        <v>7980</v>
      </c>
      <c r="I320" s="2177" t="s">
        <v>1542</v>
      </c>
      <c r="J320" s="1385"/>
      <c r="K320" s="1385">
        <f t="shared" si="47"/>
        <v>7980</v>
      </c>
      <c r="L320" s="1385"/>
      <c r="M320" s="1214"/>
      <c r="N320" s="1214"/>
      <c r="O320" s="1214"/>
      <c r="P320" s="1214"/>
      <c r="Q320" s="1214"/>
      <c r="R320" s="1214"/>
      <c r="S320" s="1214"/>
    </row>
    <row r="321" spans="1:19" s="1199" customFormat="1" ht="24" customHeight="1">
      <c r="A321" s="1331"/>
      <c r="B321" s="2174" t="s">
        <v>1545</v>
      </c>
      <c r="C321" s="1202"/>
      <c r="D321" s="1202"/>
      <c r="E321" s="1387">
        <v>4</v>
      </c>
      <c r="F321" s="1207" t="s">
        <v>363</v>
      </c>
      <c r="G321" s="2176">
        <v>427.5</v>
      </c>
      <c r="H321" s="1388">
        <f t="shared" si="46"/>
        <v>1710</v>
      </c>
      <c r="I321" s="2177" t="s">
        <v>1542</v>
      </c>
      <c r="J321" s="1385"/>
      <c r="K321" s="1385">
        <f t="shared" si="47"/>
        <v>1710</v>
      </c>
      <c r="L321" s="1385"/>
      <c r="M321" s="1214"/>
      <c r="N321" s="1214"/>
      <c r="O321" s="1214"/>
      <c r="P321" s="1214"/>
      <c r="Q321" s="1214"/>
      <c r="R321" s="1214"/>
      <c r="S321" s="1214"/>
    </row>
    <row r="322" spans="1:19" s="1199" customFormat="1" ht="24" customHeight="1">
      <c r="A322" s="1331"/>
      <c r="B322" s="2174" t="s">
        <v>1546</v>
      </c>
      <c r="C322" s="1202"/>
      <c r="D322" s="1202"/>
      <c r="E322" s="1404">
        <v>4</v>
      </c>
      <c r="F322" s="1207" t="s">
        <v>363</v>
      </c>
      <c r="G322" s="2176">
        <v>807.5</v>
      </c>
      <c r="H322" s="1388">
        <f t="shared" si="46"/>
        <v>3230</v>
      </c>
      <c r="I322" s="2177" t="s">
        <v>1542</v>
      </c>
      <c r="J322" s="1385"/>
      <c r="K322" s="1385">
        <f t="shared" si="47"/>
        <v>3230</v>
      </c>
      <c r="L322" s="1385"/>
      <c r="M322" s="1214"/>
      <c r="N322" s="1214"/>
      <c r="O322" s="1214"/>
      <c r="P322" s="1214"/>
      <c r="Q322" s="1214"/>
      <c r="R322" s="1214"/>
      <c r="S322" s="1214"/>
    </row>
    <row r="323" spans="1:19" s="1199" customFormat="1" ht="24" customHeight="1">
      <c r="A323" s="1406" t="s">
        <v>1556</v>
      </c>
      <c r="B323" s="2174" t="s">
        <v>1312</v>
      </c>
      <c r="C323" s="1202"/>
      <c r="D323" s="1202"/>
      <c r="E323" s="1404"/>
      <c r="F323" s="1384"/>
      <c r="G323" s="2176"/>
      <c r="H323" s="1388"/>
      <c r="I323" s="2177"/>
      <c r="J323" s="1385"/>
      <c r="K323" s="1385"/>
      <c r="L323" s="1385"/>
      <c r="M323" s="1214"/>
      <c r="N323" s="1214"/>
      <c r="O323" s="1214"/>
      <c r="P323" s="1214"/>
      <c r="Q323" s="1214"/>
      <c r="R323" s="1214"/>
      <c r="S323" s="1214"/>
    </row>
    <row r="324" spans="1:19" s="1199" customFormat="1" ht="24" customHeight="1">
      <c r="A324" s="1331"/>
      <c r="B324" s="2174" t="s">
        <v>1548</v>
      </c>
      <c r="C324" s="1202"/>
      <c r="D324" s="1202"/>
      <c r="E324" s="1404">
        <v>237.66666666666666</v>
      </c>
      <c r="F324" s="1358" t="s">
        <v>226</v>
      </c>
      <c r="G324" s="2176">
        <v>37</v>
      </c>
      <c r="H324" s="1388">
        <f>ROUND(E324*G324,)</f>
        <v>8794</v>
      </c>
      <c r="I324" s="2177">
        <v>5</v>
      </c>
      <c r="J324" s="1385">
        <f>ROUND(E324*I324,)</f>
        <v>1188</v>
      </c>
      <c r="K324" s="1385">
        <f>H324+J324</f>
        <v>9982</v>
      </c>
      <c r="L324" s="1385"/>
      <c r="M324" s="1214"/>
      <c r="N324" s="1214"/>
      <c r="O324" s="1214"/>
      <c r="P324" s="1214"/>
      <c r="Q324" s="1214"/>
      <c r="R324" s="1214"/>
      <c r="S324" s="1214"/>
    </row>
    <row r="325" spans="1:19" s="1199" customFormat="1" ht="24" customHeight="1">
      <c r="A325" s="1331"/>
      <c r="B325" s="2174" t="s">
        <v>1525</v>
      </c>
      <c r="C325" s="1202"/>
      <c r="D325" s="1202"/>
      <c r="E325" s="1404">
        <v>1</v>
      </c>
      <c r="F325" s="1384" t="s">
        <v>1104</v>
      </c>
      <c r="G325" s="2176">
        <f>ROUND(SUM(H324)*5%,)</f>
        <v>440</v>
      </c>
      <c r="H325" s="1264">
        <f>ROUND(E325*G325,)</f>
        <v>440</v>
      </c>
      <c r="I325" s="2177">
        <f>ROUND(G325*0.3,)</f>
        <v>132</v>
      </c>
      <c r="J325" s="1264">
        <f>ROUND(E325*I325,)</f>
        <v>132</v>
      </c>
      <c r="K325" s="1273">
        <f>H325+J325</f>
        <v>572</v>
      </c>
      <c r="L325" s="1385"/>
      <c r="M325" s="1214"/>
      <c r="N325" s="1214"/>
      <c r="O325" s="1214"/>
      <c r="P325" s="1214"/>
      <c r="Q325" s="1214"/>
      <c r="R325" s="1214"/>
      <c r="S325" s="1214"/>
    </row>
    <row r="326" spans="1:19" s="1199" customFormat="1" ht="24" customHeight="1">
      <c r="A326" s="1406" t="s">
        <v>1566</v>
      </c>
      <c r="B326" s="2174" t="s">
        <v>1526</v>
      </c>
      <c r="C326" s="1202"/>
      <c r="D326" s="1202"/>
      <c r="E326" s="1404"/>
      <c r="F326" s="1384"/>
      <c r="G326" s="2176"/>
      <c r="H326" s="1388"/>
      <c r="I326" s="2177"/>
      <c r="J326" s="1385"/>
      <c r="K326" s="1385"/>
      <c r="L326" s="1385"/>
      <c r="M326" s="1214"/>
      <c r="N326" s="1214"/>
      <c r="O326" s="1214"/>
      <c r="P326" s="1214"/>
      <c r="Q326" s="1214"/>
      <c r="R326" s="1214"/>
      <c r="S326" s="1214"/>
    </row>
    <row r="327" spans="1:19" s="1199" customFormat="1" ht="24" customHeight="1">
      <c r="A327" s="1331"/>
      <c r="B327" s="2174" t="s">
        <v>1350</v>
      </c>
      <c r="C327" s="1202"/>
      <c r="D327" s="1202"/>
      <c r="E327" s="1404">
        <v>237.66666666666666</v>
      </c>
      <c r="F327" s="1358" t="s">
        <v>226</v>
      </c>
      <c r="G327" s="2176">
        <v>27</v>
      </c>
      <c r="H327" s="1264">
        <f t="shared" ref="H327" si="48">ROUND(G327*E327,)</f>
        <v>6417</v>
      </c>
      <c r="I327" s="2177">
        <v>22</v>
      </c>
      <c r="J327" s="1264">
        <f t="shared" ref="J327" si="49">ROUND(E327*I327,)</f>
        <v>5229</v>
      </c>
      <c r="K327" s="1801">
        <f t="shared" ref="K327" si="50">H327+J327</f>
        <v>11646</v>
      </c>
      <c r="L327" s="2001" t="s">
        <v>2667</v>
      </c>
      <c r="M327" s="1214"/>
      <c r="N327" s="1199">
        <v>79.8</v>
      </c>
      <c r="O327" s="1199">
        <f>ROUND(N327/3,)</f>
        <v>27</v>
      </c>
      <c r="P327" s="1214"/>
      <c r="Q327" s="1214"/>
      <c r="R327" s="1214"/>
      <c r="S327" s="1214"/>
    </row>
    <row r="328" spans="1:19" s="1199" customFormat="1" ht="24" customHeight="1">
      <c r="A328" s="1331"/>
      <c r="B328" s="2174" t="s">
        <v>1384</v>
      </c>
      <c r="C328" s="1202"/>
      <c r="D328" s="1202"/>
      <c r="E328" s="1404">
        <v>1</v>
      </c>
      <c r="F328" s="1384" t="s">
        <v>1104</v>
      </c>
      <c r="G328" s="2176">
        <f>ROUND(H327*15%,)</f>
        <v>963</v>
      </c>
      <c r="H328" s="1264">
        <f>ROUND(G328*E328,)</f>
        <v>963</v>
      </c>
      <c r="I328" s="2177">
        <f>ROUND(G328*0.3,)</f>
        <v>289</v>
      </c>
      <c r="J328" s="1264">
        <f>ROUND(E328*I328,)</f>
        <v>289</v>
      </c>
      <c r="K328" s="1273">
        <f>H328+J328</f>
        <v>1252</v>
      </c>
      <c r="L328" s="1385"/>
      <c r="M328" s="1214"/>
      <c r="N328" s="1214"/>
      <c r="O328" s="1214"/>
      <c r="P328" s="1214"/>
      <c r="Q328" s="1214"/>
      <c r="R328" s="1214"/>
      <c r="S328" s="1214"/>
    </row>
    <row r="329" spans="1:19" s="1199" customFormat="1" ht="24" customHeight="1">
      <c r="A329" s="1331"/>
      <c r="B329" s="2174" t="s">
        <v>1117</v>
      </c>
      <c r="C329" s="1202"/>
      <c r="D329" s="1202"/>
      <c r="E329" s="1387"/>
      <c r="F329" s="1384"/>
      <c r="G329" s="2176"/>
      <c r="H329" s="1388"/>
      <c r="I329" s="2177"/>
      <c r="J329" s="1385"/>
      <c r="K329" s="1385"/>
      <c r="L329" s="1385"/>
      <c r="M329" s="1214"/>
      <c r="N329" s="1214"/>
      <c r="O329" s="1214"/>
      <c r="P329" s="1214"/>
      <c r="Q329" s="1214"/>
      <c r="R329" s="1214"/>
      <c r="S329" s="1214"/>
    </row>
    <row r="330" spans="1:19" s="1199" customFormat="1" ht="24" customHeight="1">
      <c r="A330" s="1331"/>
      <c r="B330" s="2174" t="s">
        <v>1118</v>
      </c>
      <c r="C330" s="1202"/>
      <c r="D330" s="1202"/>
      <c r="E330" s="1387"/>
      <c r="F330" s="1384"/>
      <c r="G330" s="2176"/>
      <c r="H330" s="1388"/>
      <c r="I330" s="2177"/>
      <c r="J330" s="1385"/>
      <c r="K330" s="1385"/>
      <c r="L330" s="1385"/>
      <c r="M330" s="1214"/>
      <c r="N330" s="1214"/>
      <c r="O330" s="1214"/>
      <c r="P330" s="1214"/>
      <c r="Q330" s="1214"/>
      <c r="R330" s="1214"/>
      <c r="S330" s="1214"/>
    </row>
    <row r="331" spans="1:19" s="1199" customFormat="1" ht="24" customHeight="1">
      <c r="A331" s="1331"/>
      <c r="B331" s="2174" t="s">
        <v>1118</v>
      </c>
      <c r="C331" s="1202"/>
      <c r="D331" s="1202"/>
      <c r="E331" s="1387"/>
      <c r="F331" s="1384"/>
      <c r="G331" s="2176"/>
      <c r="H331" s="1388"/>
      <c r="I331" s="2177"/>
      <c r="J331" s="1385"/>
      <c r="K331" s="1385"/>
      <c r="L331" s="1385"/>
      <c r="M331" s="1214"/>
      <c r="N331" s="1214"/>
      <c r="O331" s="1214"/>
      <c r="P331" s="1214"/>
      <c r="Q331" s="1214"/>
      <c r="R331" s="1214"/>
      <c r="S331" s="1214"/>
    </row>
    <row r="332" spans="1:19" s="1199" customFormat="1" ht="24" customHeight="1">
      <c r="A332" s="1417"/>
      <c r="B332" s="1499"/>
      <c r="C332" s="1419"/>
      <c r="D332" s="1419"/>
      <c r="E332" s="1420"/>
      <c r="F332" s="1421"/>
      <c r="G332" s="1422"/>
      <c r="H332" s="1423"/>
      <c r="I332" s="1424"/>
      <c r="J332" s="1500"/>
      <c r="K332" s="1500"/>
      <c r="L332" s="1500"/>
      <c r="M332" s="1214"/>
      <c r="N332" s="1214"/>
      <c r="O332" s="1214"/>
      <c r="P332" s="1214"/>
      <c r="Q332" s="1214"/>
      <c r="R332" s="1214"/>
      <c r="S332" s="1214"/>
    </row>
    <row r="333" spans="1:19" s="1199" customFormat="1" ht="24" customHeight="1">
      <c r="A333" s="1243"/>
      <c r="B333" s="2257" t="str">
        <f>"รวมราคารายการที่ "&amp;A315</f>
        <v>รวมราคารายการที่ 3.10</v>
      </c>
      <c r="C333" s="2258"/>
      <c r="D333" s="2259"/>
      <c r="E333" s="1244"/>
      <c r="F333" s="1245"/>
      <c r="G333" s="1246"/>
      <c r="H333" s="1247">
        <f>SUM(H316:H332)</f>
        <v>244424</v>
      </c>
      <c r="I333" s="1246"/>
      <c r="J333" s="1247">
        <f t="shared" ref="J333:K333" si="51">SUM(J316:J332)</f>
        <v>16838</v>
      </c>
      <c r="K333" s="1247">
        <f t="shared" si="51"/>
        <v>261262</v>
      </c>
      <c r="L333" s="1245"/>
    </row>
    <row r="334" spans="1:19" s="1199" customFormat="1" ht="24" customHeight="1">
      <c r="A334" s="1367" t="s">
        <v>1570</v>
      </c>
      <c r="B334" s="1353" t="s">
        <v>1550</v>
      </c>
      <c r="C334" s="1452"/>
      <c r="D334" s="1452"/>
      <c r="E334" s="1453"/>
      <c r="F334" s="1454"/>
      <c r="G334" s="1455"/>
      <c r="H334" s="820"/>
      <c r="I334" s="1456"/>
      <c r="J334" s="1457"/>
      <c r="K334" s="1457"/>
      <c r="L334" s="1457"/>
      <c r="M334" s="1214"/>
      <c r="N334" s="1214"/>
      <c r="O334" s="1214"/>
      <c r="P334" s="1214"/>
    </row>
    <row r="335" spans="1:19" s="1199" customFormat="1" ht="24" customHeight="1">
      <c r="A335" s="1458" t="s">
        <v>1348</v>
      </c>
      <c r="B335" s="1220" t="s">
        <v>1551</v>
      </c>
      <c r="C335" s="1221"/>
      <c r="D335" s="1221"/>
      <c r="E335" s="1459"/>
      <c r="F335" s="1460"/>
      <c r="G335" s="1461"/>
      <c r="H335" s="1462"/>
      <c r="I335" s="1463"/>
      <c r="J335" s="1462"/>
      <c r="K335" s="1464"/>
      <c r="L335" s="1415"/>
      <c r="M335" s="1214"/>
      <c r="N335" s="1214"/>
      <c r="O335" s="1214"/>
      <c r="P335" s="1214"/>
    </row>
    <row r="336" spans="1:19" s="1199" customFormat="1" ht="24" customHeight="1">
      <c r="A336" s="1339"/>
      <c r="B336" s="1220" t="s">
        <v>2940</v>
      </c>
      <c r="C336" s="1221"/>
      <c r="D336" s="1221"/>
      <c r="E336" s="1404">
        <v>1</v>
      </c>
      <c r="F336" s="1223" t="s">
        <v>363</v>
      </c>
      <c r="G336" s="1386">
        <v>92400</v>
      </c>
      <c r="H336" s="1413">
        <f t="shared" ref="H336:H337" si="52">ROUND(E336*G336,)</f>
        <v>92400</v>
      </c>
      <c r="I336" s="1414">
        <f>G336*0.1</f>
        <v>9240</v>
      </c>
      <c r="J336" s="1415">
        <f>ROUND(E336*I336,)</f>
        <v>9240</v>
      </c>
      <c r="K336" s="1415">
        <f t="shared" ref="K336:K337" si="53">H336+J336</f>
        <v>101640</v>
      </c>
      <c r="L336" s="1415"/>
      <c r="M336" s="1214"/>
      <c r="N336" s="1214"/>
      <c r="O336" s="1214"/>
      <c r="P336" s="1214"/>
    </row>
    <row r="337" spans="1:16" s="1199" customFormat="1" ht="24" customHeight="1">
      <c r="A337" s="1339"/>
      <c r="B337" s="1220" t="s">
        <v>2941</v>
      </c>
      <c r="C337" s="1221"/>
      <c r="D337" s="1221"/>
      <c r="E337" s="1404">
        <v>1</v>
      </c>
      <c r="F337" s="1223" t="s">
        <v>363</v>
      </c>
      <c r="G337" s="1386">
        <v>92400</v>
      </c>
      <c r="H337" s="1413">
        <f t="shared" si="52"/>
        <v>92400</v>
      </c>
      <c r="I337" s="1414">
        <f>G337*0.1</f>
        <v>9240</v>
      </c>
      <c r="J337" s="1415">
        <f>ROUND(E337*I337,)</f>
        <v>9240</v>
      </c>
      <c r="K337" s="1415">
        <f t="shared" si="53"/>
        <v>101640</v>
      </c>
      <c r="L337" s="1415"/>
      <c r="M337" s="1214"/>
      <c r="N337" s="1214"/>
      <c r="O337" s="1214"/>
      <c r="P337" s="1214"/>
    </row>
    <row r="338" spans="1:16" s="1199" customFormat="1" ht="24" customHeight="1">
      <c r="A338" s="1458" t="s">
        <v>1349</v>
      </c>
      <c r="B338" s="1220" t="s">
        <v>1557</v>
      </c>
      <c r="C338" s="1221"/>
      <c r="D338" s="1221"/>
      <c r="E338" s="1459"/>
      <c r="F338" s="1460"/>
      <c r="G338" s="1461"/>
      <c r="H338" s="1462"/>
      <c r="I338" s="1463"/>
      <c r="J338" s="1462"/>
      <c r="K338" s="1464"/>
      <c r="L338" s="1415"/>
      <c r="M338" s="1214"/>
      <c r="N338" s="1214"/>
      <c r="O338" s="1214"/>
      <c r="P338" s="1214"/>
    </row>
    <row r="339" spans="1:16" s="1199" customFormat="1" ht="24" customHeight="1">
      <c r="A339" s="1339"/>
      <c r="B339" s="1220" t="s">
        <v>2942</v>
      </c>
      <c r="C339" s="1221"/>
      <c r="D339" s="1221"/>
      <c r="E339" s="1404">
        <v>1</v>
      </c>
      <c r="F339" s="1223" t="s">
        <v>363</v>
      </c>
      <c r="G339" s="1386">
        <v>3500</v>
      </c>
      <c r="H339" s="1413">
        <f t="shared" ref="H339:H340" si="54">ROUND(E339*G339,)</f>
        <v>3500</v>
      </c>
      <c r="I339" s="1414">
        <f t="shared" ref="I339:I340" si="55">G339*0.1</f>
        <v>350</v>
      </c>
      <c r="J339" s="1415">
        <f t="shared" ref="J339:J340" si="56">ROUND(E339*I339,)</f>
        <v>350</v>
      </c>
      <c r="K339" s="1415">
        <f t="shared" ref="K339:K340" si="57">H339+J339</f>
        <v>3850</v>
      </c>
      <c r="L339" s="1415"/>
      <c r="M339" s="1214"/>
      <c r="N339" s="1214"/>
      <c r="O339" s="1214"/>
      <c r="P339" s="1214"/>
    </row>
    <row r="340" spans="1:16" s="1199" customFormat="1" ht="24" customHeight="1">
      <c r="A340" s="1339"/>
      <c r="B340" s="1220" t="s">
        <v>2943</v>
      </c>
      <c r="C340" s="1221"/>
      <c r="D340" s="1221"/>
      <c r="E340" s="1404">
        <v>1</v>
      </c>
      <c r="F340" s="1223" t="s">
        <v>363</v>
      </c>
      <c r="G340" s="1386">
        <v>3500</v>
      </c>
      <c r="H340" s="1413">
        <f t="shared" si="54"/>
        <v>3500</v>
      </c>
      <c r="I340" s="1414">
        <f t="shared" si="55"/>
        <v>350</v>
      </c>
      <c r="J340" s="1415">
        <f t="shared" si="56"/>
        <v>350</v>
      </c>
      <c r="K340" s="1415">
        <f t="shared" si="57"/>
        <v>3850</v>
      </c>
      <c r="L340" s="1415"/>
      <c r="M340" s="1214"/>
      <c r="N340" s="1214"/>
      <c r="O340" s="1214"/>
      <c r="P340" s="1214"/>
    </row>
    <row r="341" spans="1:16" s="1199" customFormat="1" ht="24" customHeight="1">
      <c r="A341" s="1458" t="s">
        <v>1577</v>
      </c>
      <c r="B341" s="1465" t="s">
        <v>1312</v>
      </c>
      <c r="C341" s="1452"/>
      <c r="D341" s="1452"/>
      <c r="E341" s="1453"/>
      <c r="F341" s="1454"/>
      <c r="G341" s="1386"/>
      <c r="H341" s="1413"/>
      <c r="I341" s="1414"/>
      <c r="J341" s="1415"/>
      <c r="K341" s="1415"/>
      <c r="L341" s="1457"/>
      <c r="M341" s="1214"/>
      <c r="N341" s="1214"/>
      <c r="O341" s="1214"/>
      <c r="P341" s="1214"/>
    </row>
    <row r="342" spans="1:16" s="1199" customFormat="1" ht="24" customHeight="1">
      <c r="A342" s="1339"/>
      <c r="B342" s="1220" t="s">
        <v>1567</v>
      </c>
      <c r="C342" s="1221"/>
      <c r="D342" s="1221"/>
      <c r="E342" s="1404">
        <v>200</v>
      </c>
      <c r="F342" s="1262" t="s">
        <v>226</v>
      </c>
      <c r="G342" s="1386">
        <v>103</v>
      </c>
      <c r="H342" s="1413">
        <f>ROUND(E342*G342,)</f>
        <v>20600</v>
      </c>
      <c r="I342" s="1414">
        <v>21</v>
      </c>
      <c r="J342" s="1415">
        <f>ROUND(E342*I342,)</f>
        <v>4200</v>
      </c>
      <c r="K342" s="1415">
        <f>H342+J342</f>
        <v>24800</v>
      </c>
      <c r="L342" s="1415"/>
      <c r="M342" s="1214"/>
      <c r="N342" s="1214"/>
      <c r="O342" s="1214"/>
      <c r="P342" s="1214"/>
    </row>
    <row r="343" spans="1:16" s="1199" customFormat="1" ht="24" customHeight="1">
      <c r="A343" s="1339"/>
      <c r="B343" s="1220" t="s">
        <v>1568</v>
      </c>
      <c r="C343" s="1221"/>
      <c r="D343" s="1221"/>
      <c r="E343" s="1404">
        <v>120</v>
      </c>
      <c r="F343" s="1262" t="s">
        <v>226</v>
      </c>
      <c r="G343" s="1386">
        <v>139</v>
      </c>
      <c r="H343" s="1413">
        <f>ROUND(E343*G343,)</f>
        <v>16680</v>
      </c>
      <c r="I343" s="1414">
        <v>21</v>
      </c>
      <c r="J343" s="1415">
        <f>ROUND(E343*I343,)</f>
        <v>2520</v>
      </c>
      <c r="K343" s="1415">
        <f>H343+J343</f>
        <v>19200</v>
      </c>
      <c r="L343" s="1415"/>
      <c r="M343" s="1214"/>
      <c r="N343" s="1214"/>
      <c r="O343" s="1214"/>
      <c r="P343" s="1214"/>
    </row>
    <row r="344" spans="1:16" s="1199" customFormat="1" ht="24" customHeight="1">
      <c r="A344" s="1339"/>
      <c r="B344" s="1220" t="s">
        <v>1525</v>
      </c>
      <c r="C344" s="1221"/>
      <c r="D344" s="1221"/>
      <c r="E344" s="1404">
        <v>1</v>
      </c>
      <c r="F344" s="1412" t="s">
        <v>1104</v>
      </c>
      <c r="G344" s="1386">
        <f>SUM(H342:H343)*5%</f>
        <v>1864</v>
      </c>
      <c r="H344" s="1343">
        <f t="shared" ref="H344" si="58">ROUND(E344*G344,)</f>
        <v>1864</v>
      </c>
      <c r="I344" s="1414">
        <f>G344*0.3</f>
        <v>559.19999999999993</v>
      </c>
      <c r="J344" s="1343">
        <f t="shared" ref="J344" si="59">ROUND(E344*I344,)</f>
        <v>559</v>
      </c>
      <c r="K344" s="1262">
        <f t="shared" ref="K344" si="60">H344+J344</f>
        <v>2423</v>
      </c>
      <c r="L344" s="1415"/>
      <c r="M344" s="1214"/>
      <c r="N344" s="1214"/>
      <c r="O344" s="1214"/>
      <c r="P344" s="1214"/>
    </row>
    <row r="345" spans="1:16" s="1199" customFormat="1" ht="24" customHeight="1">
      <c r="A345" s="1339"/>
      <c r="B345" s="1220"/>
      <c r="C345" s="1221"/>
      <c r="D345" s="1221"/>
      <c r="E345" s="1404"/>
      <c r="F345" s="1412"/>
      <c r="G345" s="1386"/>
      <c r="H345" s="1343"/>
      <c r="I345" s="1414"/>
      <c r="J345" s="1343"/>
      <c r="K345" s="1262"/>
      <c r="L345" s="1415"/>
      <c r="M345" s="1214"/>
      <c r="N345" s="1214"/>
      <c r="O345" s="1214"/>
      <c r="P345" s="1214"/>
    </row>
    <row r="346" spans="1:16" s="1199" customFormat="1" ht="24" customHeight="1">
      <c r="A346" s="1339"/>
      <c r="B346" s="1220"/>
      <c r="C346" s="1221"/>
      <c r="D346" s="1221"/>
      <c r="E346" s="1404"/>
      <c r="F346" s="1412"/>
      <c r="G346" s="1386"/>
      <c r="H346" s="1343"/>
      <c r="I346" s="1414"/>
      <c r="J346" s="1343"/>
      <c r="K346" s="1262"/>
      <c r="L346" s="1415"/>
      <c r="M346" s="1214"/>
      <c r="N346" s="1214"/>
      <c r="O346" s="1214"/>
      <c r="P346" s="1214"/>
    </row>
    <row r="347" spans="1:16" s="1199" customFormat="1" ht="24" customHeight="1">
      <c r="A347" s="1339" t="s">
        <v>1359</v>
      </c>
      <c r="B347" s="1220" t="s">
        <v>1343</v>
      </c>
      <c r="C347" s="1221"/>
      <c r="D347" s="1221"/>
      <c r="E347" s="1404"/>
      <c r="F347" s="1412"/>
      <c r="G347" s="1386"/>
      <c r="H347" s="1343"/>
      <c r="I347" s="1414"/>
      <c r="J347" s="1343"/>
      <c r="K347" s="1262"/>
      <c r="L347" s="1466"/>
    </row>
    <row r="348" spans="1:16" s="1199" customFormat="1" ht="24" customHeight="1">
      <c r="A348" s="1339"/>
      <c r="B348" s="1220" t="s">
        <v>1344</v>
      </c>
      <c r="C348" s="1221"/>
      <c r="D348" s="1221"/>
      <c r="E348" s="1404">
        <v>40</v>
      </c>
      <c r="F348" s="1262" t="s">
        <v>226</v>
      </c>
      <c r="G348" s="1386">
        <v>316</v>
      </c>
      <c r="H348" s="1343">
        <f t="shared" ref="H348" si="61">ROUND(E348*G348,)</f>
        <v>12640</v>
      </c>
      <c r="I348" s="1414">
        <v>50</v>
      </c>
      <c r="J348" s="1343">
        <f t="shared" ref="J348:J349" si="62">ROUND(E348*I348,)</f>
        <v>2000</v>
      </c>
      <c r="K348" s="1262">
        <f t="shared" ref="K348:K349" si="63">H348+J348</f>
        <v>14640</v>
      </c>
      <c r="L348" s="1466"/>
    </row>
    <row r="349" spans="1:16" s="1199" customFormat="1" ht="24" customHeight="1">
      <c r="A349" s="1339"/>
      <c r="B349" s="1220" t="s">
        <v>1384</v>
      </c>
      <c r="C349" s="1221"/>
      <c r="D349" s="1221"/>
      <c r="E349" s="1404">
        <v>1</v>
      </c>
      <c r="F349" s="1412" t="s">
        <v>1104</v>
      </c>
      <c r="G349" s="1386">
        <f>SUM(H348)*15%</f>
        <v>1896</v>
      </c>
      <c r="H349" s="1343">
        <f t="shared" ref="H349" si="64">ROUND(G349*E349,)</f>
        <v>1896</v>
      </c>
      <c r="I349" s="1414">
        <f>G349*0.3</f>
        <v>568.79999999999995</v>
      </c>
      <c r="J349" s="1343">
        <f t="shared" si="62"/>
        <v>569</v>
      </c>
      <c r="K349" s="1262">
        <f t="shared" si="63"/>
        <v>2465</v>
      </c>
      <c r="L349" s="1466"/>
    </row>
    <row r="350" spans="1:16" s="1199" customFormat="1" ht="24" customHeight="1">
      <c r="A350" s="1339"/>
      <c r="B350" s="1220" t="s">
        <v>1117</v>
      </c>
      <c r="C350" s="1221"/>
      <c r="D350" s="1221"/>
      <c r="E350" s="1404"/>
      <c r="F350" s="1412"/>
      <c r="G350" s="1386"/>
      <c r="H350" s="1413"/>
      <c r="I350" s="1414"/>
      <c r="J350" s="1415"/>
      <c r="K350" s="1415"/>
      <c r="L350" s="1415"/>
      <c r="M350" s="1214"/>
      <c r="N350" s="1214"/>
      <c r="O350" s="1214"/>
      <c r="P350" s="1214"/>
    </row>
    <row r="351" spans="1:16" s="1199" customFormat="1" ht="24" customHeight="1">
      <c r="A351" s="1339"/>
      <c r="B351" s="1220" t="s">
        <v>1118</v>
      </c>
      <c r="C351" s="1221"/>
      <c r="D351" s="1221"/>
      <c r="E351" s="1404"/>
      <c r="F351" s="1412"/>
      <c r="G351" s="1386"/>
      <c r="H351" s="1413"/>
      <c r="I351" s="1414"/>
      <c r="J351" s="1415"/>
      <c r="K351" s="1415"/>
      <c r="L351" s="1415"/>
      <c r="M351" s="1214"/>
      <c r="N351" s="1214"/>
      <c r="O351" s="1214"/>
      <c r="P351" s="1214"/>
    </row>
    <row r="352" spans="1:16" s="1199" customFormat="1" ht="24" customHeight="1">
      <c r="A352" s="1339"/>
      <c r="B352" s="1220" t="s">
        <v>1118</v>
      </c>
      <c r="C352" s="1221"/>
      <c r="D352" s="1221"/>
      <c r="E352" s="1404"/>
      <c r="F352" s="1412"/>
      <c r="G352" s="1386"/>
      <c r="H352" s="1413"/>
      <c r="I352" s="1414"/>
      <c r="J352" s="1415"/>
      <c r="K352" s="1415"/>
      <c r="L352" s="1415"/>
      <c r="M352" s="1214"/>
      <c r="N352" s="1214"/>
      <c r="O352" s="1214"/>
      <c r="P352" s="1214"/>
    </row>
    <row r="353" spans="1:21" s="1199" customFormat="1" ht="24" customHeight="1">
      <c r="A353" s="1339"/>
      <c r="B353" s="1220"/>
      <c r="C353" s="1221"/>
      <c r="D353" s="1221"/>
      <c r="E353" s="1404"/>
      <c r="F353" s="1412"/>
      <c r="G353" s="1386"/>
      <c r="H353" s="1413"/>
      <c r="I353" s="1414"/>
      <c r="J353" s="1415"/>
      <c r="K353" s="1415"/>
      <c r="L353" s="1415"/>
      <c r="M353" s="1214"/>
      <c r="N353" s="1214"/>
      <c r="O353" s="1214"/>
      <c r="P353" s="1214"/>
    </row>
    <row r="354" spans="1:21" s="1199" customFormat="1" ht="24" customHeight="1">
      <c r="A354" s="1243"/>
      <c r="B354" s="2257" t="str">
        <f>"รวมราคารายการที่ "&amp;A334</f>
        <v>รวมราคารายการที่ 3.11</v>
      </c>
      <c r="C354" s="2258"/>
      <c r="D354" s="2259"/>
      <c r="E354" s="1244"/>
      <c r="F354" s="1245"/>
      <c r="G354" s="1246"/>
      <c r="H354" s="1247">
        <f>SUM(H334:H353)</f>
        <v>245480</v>
      </c>
      <c r="I354" s="1246"/>
      <c r="J354" s="1247">
        <f>SUM(J334:J353)</f>
        <v>29028</v>
      </c>
      <c r="K354" s="1247">
        <f>SUM(K334:K353)</f>
        <v>274508</v>
      </c>
      <c r="L354" s="1245"/>
    </row>
    <row r="355" spans="1:21" s="1199" customFormat="1" ht="24" customHeight="1">
      <c r="A355" s="1467" t="s">
        <v>2917</v>
      </c>
      <c r="B355" s="1292" t="s">
        <v>1571</v>
      </c>
      <c r="C355" s="1468"/>
      <c r="D355" s="1192"/>
      <c r="E355" s="1193"/>
      <c r="F355" s="1194"/>
      <c r="G355" s="1297"/>
      <c r="H355" s="1298"/>
      <c r="I355" s="1299"/>
      <c r="J355" s="1298"/>
      <c r="K355" s="1299"/>
      <c r="L355" s="1469"/>
      <c r="M355" s="1214"/>
      <c r="N355" s="1214"/>
      <c r="O355" s="1214"/>
      <c r="P355" s="1214"/>
      <c r="Q355" s="1214"/>
      <c r="R355" s="1214"/>
      <c r="S355" s="1214"/>
      <c r="T355" s="1214"/>
      <c r="U355" s="1214"/>
    </row>
    <row r="356" spans="1:21" s="1199" customFormat="1" ht="24" customHeight="1">
      <c r="A356" s="1470" t="s">
        <v>1352</v>
      </c>
      <c r="B356" s="2174" t="s">
        <v>1611</v>
      </c>
      <c r="C356" s="1191"/>
      <c r="D356" s="1471"/>
      <c r="E356" s="1472">
        <v>2</v>
      </c>
      <c r="F356" s="1267" t="s">
        <v>363</v>
      </c>
      <c r="G356" s="2178">
        <v>3200</v>
      </c>
      <c r="H356" s="1343">
        <f>ROUND(E356*G356,)</f>
        <v>6400</v>
      </c>
      <c r="I356" s="1344">
        <v>150</v>
      </c>
      <c r="J356" s="1343">
        <f>ROUND(I356*E356,)</f>
        <v>300</v>
      </c>
      <c r="K356" s="1344">
        <f>H356+J356</f>
        <v>6700</v>
      </c>
      <c r="L356" s="1473"/>
      <c r="M356" s="1214"/>
      <c r="N356" s="1214"/>
      <c r="O356" s="1214"/>
      <c r="P356" s="1214"/>
      <c r="Q356" s="1214"/>
      <c r="R356" s="1214"/>
      <c r="S356" s="1214"/>
      <c r="T356" s="1214"/>
      <c r="U356" s="1214"/>
    </row>
    <row r="357" spans="1:21" s="1199" customFormat="1" ht="24" customHeight="1">
      <c r="A357" s="1474" t="s">
        <v>1354</v>
      </c>
      <c r="B357" s="2174" t="s">
        <v>1612</v>
      </c>
      <c r="C357" s="1191"/>
      <c r="D357" s="1471"/>
      <c r="E357" s="1472">
        <v>2</v>
      </c>
      <c r="F357" s="1267" t="s">
        <v>363</v>
      </c>
      <c r="G357" s="2178">
        <v>2640</v>
      </c>
      <c r="H357" s="1343">
        <f>ROUND(E357*G357,)</f>
        <v>5280</v>
      </c>
      <c r="I357" s="1344">
        <v>150</v>
      </c>
      <c r="J357" s="1343">
        <f>ROUND(I357*E357,)</f>
        <v>300</v>
      </c>
      <c r="K357" s="1344">
        <f>H357+J357</f>
        <v>5580</v>
      </c>
      <c r="L357" s="1473"/>
      <c r="M357" s="1214"/>
      <c r="N357" s="1214"/>
      <c r="O357" s="1214"/>
      <c r="P357" s="1214"/>
      <c r="Q357" s="1214"/>
      <c r="R357" s="1214"/>
      <c r="S357" s="1214"/>
      <c r="T357" s="1214"/>
      <c r="U357" s="1214"/>
    </row>
    <row r="358" spans="1:21" s="1199" customFormat="1" ht="24" customHeight="1">
      <c r="A358" s="1474" t="s">
        <v>1357</v>
      </c>
      <c r="B358" s="2174" t="s">
        <v>1613</v>
      </c>
      <c r="C358" s="1191"/>
      <c r="D358" s="1471"/>
      <c r="E358" s="1206"/>
      <c r="F358" s="1207"/>
      <c r="G358" s="2175"/>
      <c r="H358" s="1264"/>
      <c r="I358" s="1265"/>
      <c r="J358" s="1264"/>
      <c r="K358" s="1265"/>
      <c r="L358" s="1473"/>
      <c r="M358" s="1214"/>
      <c r="N358" s="1214"/>
      <c r="O358" s="1214"/>
      <c r="P358" s="1214"/>
      <c r="Q358" s="1214"/>
      <c r="R358" s="1214"/>
      <c r="S358" s="1214"/>
      <c r="T358" s="1214"/>
      <c r="U358" s="1214"/>
    </row>
    <row r="359" spans="1:21" s="1199" customFormat="1" ht="24" customHeight="1">
      <c r="A359" s="1478"/>
      <c r="B359" s="1259" t="s">
        <v>1614</v>
      </c>
      <c r="C359" s="1191"/>
      <c r="D359" s="1471"/>
      <c r="E359" s="1206">
        <v>650</v>
      </c>
      <c r="F359" s="1207" t="s">
        <v>226</v>
      </c>
      <c r="G359" s="1515">
        <v>10</v>
      </c>
      <c r="H359" s="1264">
        <f>ROUND(E359*G359,)</f>
        <v>6500</v>
      </c>
      <c r="I359" s="1265">
        <v>5</v>
      </c>
      <c r="J359" s="1264">
        <f>ROUND(I359*E359,)</f>
        <v>3250</v>
      </c>
      <c r="K359" s="1265">
        <f>H359+J359</f>
        <v>9750</v>
      </c>
      <c r="L359" s="1473"/>
      <c r="M359" s="1214"/>
      <c r="N359" s="1214"/>
      <c r="O359" s="1214"/>
      <c r="P359" s="1214"/>
      <c r="Q359" s="1214"/>
      <c r="R359" s="1214"/>
      <c r="S359" s="1214"/>
      <c r="T359" s="1214"/>
      <c r="U359" s="1214"/>
    </row>
    <row r="360" spans="1:21" s="1199" customFormat="1" ht="24" customHeight="1">
      <c r="A360" s="1474" t="s">
        <v>2677</v>
      </c>
      <c r="B360" s="2174" t="s">
        <v>1526</v>
      </c>
      <c r="C360" s="1191"/>
      <c r="D360" s="1471"/>
      <c r="E360" s="1206"/>
      <c r="F360" s="1207"/>
      <c r="G360" s="1516"/>
      <c r="H360" s="1264"/>
      <c r="I360" s="1265"/>
      <c r="J360" s="1264"/>
      <c r="K360" s="1265"/>
      <c r="L360" s="1473"/>
      <c r="M360" s="1214"/>
      <c r="N360" s="1214"/>
      <c r="O360" s="1214"/>
      <c r="P360" s="1214"/>
      <c r="Q360" s="1214"/>
      <c r="R360" s="1214"/>
      <c r="S360" s="1214"/>
      <c r="T360" s="1214"/>
      <c r="U360" s="1214"/>
    </row>
    <row r="361" spans="1:21" s="1199" customFormat="1" ht="24" customHeight="1">
      <c r="A361" s="1479"/>
      <c r="B361" s="2174" t="s">
        <v>1350</v>
      </c>
      <c r="C361" s="1191"/>
      <c r="D361" s="1471"/>
      <c r="E361" s="1387"/>
      <c r="F361" s="1358" t="s">
        <v>226</v>
      </c>
      <c r="G361" s="2176">
        <v>27</v>
      </c>
      <c r="H361" s="1264">
        <f t="shared" ref="H361" si="65">ROUND(G361*E361,)</f>
        <v>0</v>
      </c>
      <c r="I361" s="2177">
        <v>22</v>
      </c>
      <c r="J361" s="1264">
        <f t="shared" ref="J361" si="66">ROUND(E361*I361,)</f>
        <v>0</v>
      </c>
      <c r="K361" s="1802">
        <f t="shared" ref="K361" si="67">H361+J361</f>
        <v>0</v>
      </c>
      <c r="L361" s="2001" t="s">
        <v>2667</v>
      </c>
      <c r="M361" s="1214"/>
      <c r="N361" s="1214"/>
      <c r="O361" s="1214"/>
      <c r="P361" s="1214"/>
      <c r="Q361" s="1214"/>
      <c r="R361" s="1214"/>
      <c r="S361" s="1214"/>
      <c r="T361" s="1214"/>
      <c r="U361" s="1214"/>
    </row>
    <row r="362" spans="1:21" s="1199" customFormat="1" ht="24" customHeight="1">
      <c r="A362" s="1474" t="s">
        <v>2679</v>
      </c>
      <c r="B362" s="2174" t="s">
        <v>1110</v>
      </c>
      <c r="C362" s="1191"/>
      <c r="D362" s="1471"/>
      <c r="E362" s="1206"/>
      <c r="F362" s="1207"/>
      <c r="G362" s="2175"/>
      <c r="H362" s="1264"/>
      <c r="I362" s="1265"/>
      <c r="J362" s="1264"/>
      <c r="K362" s="1265"/>
      <c r="L362" s="1473"/>
      <c r="M362" s="1214"/>
      <c r="N362" s="1214"/>
      <c r="O362" s="1214"/>
      <c r="P362" s="1214"/>
      <c r="Q362" s="1214"/>
      <c r="R362" s="1214"/>
      <c r="S362" s="1214"/>
      <c r="T362" s="1214"/>
      <c r="U362" s="1214"/>
    </row>
    <row r="363" spans="1:21" s="1199" customFormat="1" ht="24" customHeight="1">
      <c r="A363" s="1480"/>
      <c r="B363" s="2174" t="s">
        <v>1350</v>
      </c>
      <c r="C363" s="1191"/>
      <c r="D363" s="1471"/>
      <c r="E363" s="1387">
        <v>80</v>
      </c>
      <c r="F363" s="1358" t="s">
        <v>226</v>
      </c>
      <c r="G363" s="2176">
        <v>56</v>
      </c>
      <c r="H363" s="1264">
        <f>ROUND(E363*G363,)</f>
        <v>4480</v>
      </c>
      <c r="I363" s="2177">
        <v>26</v>
      </c>
      <c r="J363" s="1264">
        <f t="shared" ref="J363" si="68">ROUND(E363*I363,)</f>
        <v>2080</v>
      </c>
      <c r="K363" s="1801">
        <f t="shared" ref="K363" si="69">H363+J363</f>
        <v>6560</v>
      </c>
      <c r="L363" s="2001" t="s">
        <v>2667</v>
      </c>
      <c r="M363" s="1214"/>
      <c r="N363" s="1199">
        <v>169.2</v>
      </c>
      <c r="O363" s="1199">
        <f>ROUND(N363/3,)</f>
        <v>56</v>
      </c>
      <c r="P363" s="1214"/>
      <c r="Q363" s="1214"/>
      <c r="R363" s="1214"/>
      <c r="S363" s="1214"/>
      <c r="T363" s="1214"/>
      <c r="U363" s="1214"/>
    </row>
    <row r="364" spans="1:21" s="1199" customFormat="1" ht="24" customHeight="1">
      <c r="A364" s="1480"/>
      <c r="B364" s="2174" t="s">
        <v>1384</v>
      </c>
      <c r="C364" s="1191"/>
      <c r="D364" s="1471"/>
      <c r="E364" s="1206">
        <v>1</v>
      </c>
      <c r="F364" s="1207" t="s">
        <v>1104</v>
      </c>
      <c r="G364" s="2175">
        <f>ROUND(SUM(H361:H363)*15%,0)</f>
        <v>672</v>
      </c>
      <c r="H364" s="1264">
        <f>ROUND(E364*G364,)</f>
        <v>672</v>
      </c>
      <c r="I364" s="1265">
        <f>ROUND(G364*0.3,0)</f>
        <v>202</v>
      </c>
      <c r="J364" s="1264">
        <f>ROUND(I364*E364,)</f>
        <v>202</v>
      </c>
      <c r="K364" s="1265">
        <f>H364+I364</f>
        <v>874</v>
      </c>
      <c r="L364" s="1473"/>
      <c r="M364" s="1214"/>
      <c r="N364" s="1214"/>
      <c r="O364" s="1214"/>
      <c r="P364" s="1214"/>
      <c r="Q364" s="1214"/>
      <c r="R364" s="1214"/>
      <c r="S364" s="1214"/>
      <c r="T364" s="1214"/>
      <c r="U364" s="1214"/>
    </row>
    <row r="365" spans="1:21" s="1199" customFormat="1" ht="24" customHeight="1">
      <c r="A365" s="1474" t="s">
        <v>2918</v>
      </c>
      <c r="B365" s="2174" t="s">
        <v>1381</v>
      </c>
      <c r="C365" s="1191"/>
      <c r="D365" s="1471"/>
      <c r="E365" s="1206"/>
      <c r="F365" s="1207" t="s">
        <v>1104</v>
      </c>
      <c r="G365" s="2175"/>
      <c r="H365" s="1264"/>
      <c r="I365" s="1504"/>
      <c r="J365" s="1264"/>
      <c r="K365" s="1265"/>
      <c r="L365" s="1473"/>
      <c r="M365" s="1214"/>
      <c r="N365" s="1214"/>
      <c r="O365" s="1214"/>
      <c r="P365" s="1214"/>
      <c r="Q365" s="1214"/>
      <c r="R365" s="1214"/>
      <c r="S365" s="1214"/>
      <c r="T365" s="1214"/>
      <c r="U365" s="1214"/>
    </row>
    <row r="366" spans="1:21" s="1199" customFormat="1" ht="24" customHeight="1">
      <c r="A366" s="1480"/>
      <c r="B366" s="2174" t="s">
        <v>1117</v>
      </c>
      <c r="C366" s="1191"/>
      <c r="D366" s="1471"/>
      <c r="E366" s="1206"/>
      <c r="F366" s="1207"/>
      <c r="G366" s="2175"/>
      <c r="H366" s="1264"/>
      <c r="I366" s="1265"/>
      <c r="J366" s="1264"/>
      <c r="K366" s="1265"/>
      <c r="L366" s="1473"/>
      <c r="M366" s="1214"/>
      <c r="N366" s="1214"/>
      <c r="O366" s="1214"/>
      <c r="P366" s="1214"/>
      <c r="Q366" s="1214"/>
      <c r="R366" s="1214"/>
      <c r="S366" s="1214"/>
      <c r="T366" s="1214"/>
      <c r="U366" s="1214"/>
    </row>
    <row r="367" spans="1:21" s="1199" customFormat="1" ht="24" customHeight="1">
      <c r="A367" s="1331"/>
      <c r="B367" s="2174" t="s">
        <v>1118</v>
      </c>
      <c r="C367" s="1202"/>
      <c r="D367" s="1202"/>
      <c r="E367" s="1387"/>
      <c r="F367" s="1384"/>
      <c r="G367" s="2176"/>
      <c r="H367" s="1388"/>
      <c r="I367" s="2177"/>
      <c r="J367" s="1385"/>
      <c r="K367" s="1385"/>
      <c r="L367" s="1385"/>
      <c r="M367" s="1214"/>
      <c r="N367" s="1214"/>
      <c r="O367" s="1214"/>
      <c r="P367" s="1214"/>
      <c r="Q367" s="1214"/>
      <c r="R367" s="1214"/>
      <c r="S367" s="1214"/>
    </row>
    <row r="368" spans="1:21" s="1199" customFormat="1" ht="24" customHeight="1">
      <c r="A368" s="1331"/>
      <c r="B368" s="2174" t="s">
        <v>1118</v>
      </c>
      <c r="C368" s="1202"/>
      <c r="D368" s="1202"/>
      <c r="E368" s="1387"/>
      <c r="F368" s="1384"/>
      <c r="G368" s="2176"/>
      <c r="H368" s="1388"/>
      <c r="I368" s="2177"/>
      <c r="J368" s="1385"/>
      <c r="K368" s="1385"/>
      <c r="L368" s="1385"/>
      <c r="M368" s="1214"/>
      <c r="N368" s="1214"/>
      <c r="O368" s="1214"/>
      <c r="P368" s="1214"/>
      <c r="Q368" s="1214"/>
      <c r="R368" s="1214"/>
      <c r="S368" s="1214"/>
    </row>
    <row r="369" spans="1:21" s="1199" customFormat="1" ht="24" customHeight="1">
      <c r="A369" s="1417"/>
      <c r="B369" s="1499"/>
      <c r="C369" s="1419"/>
      <c r="D369" s="1419"/>
      <c r="E369" s="1420"/>
      <c r="F369" s="1421"/>
      <c r="G369" s="1422"/>
      <c r="H369" s="1423"/>
      <c r="I369" s="1424"/>
      <c r="J369" s="1500"/>
      <c r="K369" s="1500"/>
      <c r="L369" s="1500"/>
      <c r="M369" s="1214"/>
      <c r="N369" s="1214"/>
      <c r="O369" s="1214"/>
      <c r="P369" s="1214"/>
      <c r="Q369" s="1214"/>
      <c r="R369" s="1214"/>
      <c r="S369" s="1214"/>
    </row>
    <row r="370" spans="1:21" s="1199" customFormat="1" ht="24" customHeight="1">
      <c r="A370" s="1245"/>
      <c r="B370" s="2257" t="str">
        <f>"รวมราคารายการที่ "&amp;A355</f>
        <v>รวมราคารายการที่ 3.12</v>
      </c>
      <c r="C370" s="2258"/>
      <c r="D370" s="2259"/>
      <c r="E370" s="1481"/>
      <c r="F370" s="1245"/>
      <c r="G370" s="1246"/>
      <c r="H370" s="1247">
        <f>SUM(H356:H366)</f>
        <v>23332</v>
      </c>
      <c r="I370" s="1246"/>
      <c r="J370" s="1247">
        <f t="shared" ref="J370:K370" si="70">SUM(J356:J366)</f>
        <v>6132</v>
      </c>
      <c r="K370" s="1247">
        <f t="shared" si="70"/>
        <v>29464</v>
      </c>
      <c r="L370" s="1245"/>
      <c r="M370" s="1214"/>
      <c r="N370" s="1214"/>
      <c r="O370" s="1214"/>
      <c r="P370" s="1214"/>
      <c r="Q370" s="1214"/>
      <c r="R370" s="1214"/>
      <c r="S370" s="1214"/>
      <c r="T370" s="1214"/>
      <c r="U370" s="1214"/>
    </row>
  </sheetData>
  <mergeCells count="21">
    <mergeCell ref="B209:D209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138:D138"/>
    <mergeCell ref="B154:D154"/>
    <mergeCell ref="B187:D187"/>
    <mergeCell ref="B370:D370"/>
    <mergeCell ref="B226:D226"/>
    <mergeCell ref="B256:D256"/>
    <mergeCell ref="B298:D298"/>
    <mergeCell ref="B314:D314"/>
    <mergeCell ref="B333:D333"/>
    <mergeCell ref="B354:D354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6-อาคารทิศตะวันตก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E0811-6087-4063-934C-8B93F3588258}">
  <sheetPr>
    <tabColor rgb="FF92D050"/>
  </sheetPr>
  <dimension ref="A1:U322"/>
  <sheetViews>
    <sheetView view="pageBreakPreview" topLeftCell="A289" zoomScale="70" zoomScaleNormal="100" zoomScaleSheetLayoutView="70" workbookViewId="0">
      <selection activeCell="A297" sqref="A297:L304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29296875" style="1" customWidth="1"/>
    <col min="13" max="96" width="7.703125" style="1" customWidth="1"/>
    <col min="97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1635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30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208"/>
      <c r="H12" s="1196">
        <f>H82</f>
        <v>284870</v>
      </c>
      <c r="I12" s="1197"/>
      <c r="J12" s="1196">
        <f>J82</f>
        <v>19800</v>
      </c>
      <c r="K12" s="1196">
        <f>K82</f>
        <v>304670</v>
      </c>
      <c r="L12" s="1430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208"/>
      <c r="H13" s="1196">
        <f>H91</f>
        <v>0</v>
      </c>
      <c r="I13" s="1197"/>
      <c r="J13" s="1196">
        <f>J91</f>
        <v>0</v>
      </c>
      <c r="K13" s="1196">
        <f>K91</f>
        <v>0</v>
      </c>
      <c r="L13" s="1430"/>
    </row>
    <row r="14" spans="1:12" s="1199" customFormat="1" ht="24" customHeight="1">
      <c r="A14" s="1204">
        <f>A92</f>
        <v>3.3</v>
      </c>
      <c r="B14" s="1431" t="str">
        <f>B92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208"/>
      <c r="H14" s="1196">
        <f>H106</f>
        <v>0</v>
      </c>
      <c r="I14" s="1197"/>
      <c r="J14" s="1196">
        <f>J106</f>
        <v>0</v>
      </c>
      <c r="K14" s="1196">
        <f>K106</f>
        <v>0</v>
      </c>
      <c r="L14" s="1430"/>
    </row>
    <row r="15" spans="1:12" s="1199" customFormat="1" ht="24" customHeight="1">
      <c r="A15" s="1204">
        <f>A107</f>
        <v>3.4</v>
      </c>
      <c r="B15" s="1190" t="str">
        <f>B107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H139</f>
        <v>106890</v>
      </c>
      <c r="I15" s="1197"/>
      <c r="J15" s="1196">
        <f>J139</f>
        <v>33137</v>
      </c>
      <c r="K15" s="1196">
        <f t="shared" ref="K15:K21" si="0">SUM(H15:J15)</f>
        <v>140027</v>
      </c>
      <c r="L15" s="1430"/>
    </row>
    <row r="16" spans="1:12" s="1199" customFormat="1" ht="24" customHeight="1">
      <c r="A16" s="1204" t="str">
        <f>A140</f>
        <v>3.5</v>
      </c>
      <c r="B16" s="1190" t="str">
        <f>B140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H161</f>
        <v>40901</v>
      </c>
      <c r="I16" s="1197"/>
      <c r="J16" s="1196">
        <f>J161</f>
        <v>13397</v>
      </c>
      <c r="K16" s="1196">
        <f t="shared" si="0"/>
        <v>54298</v>
      </c>
      <c r="L16" s="1430"/>
    </row>
    <row r="17" spans="1:12" s="1199" customFormat="1" ht="24" customHeight="1">
      <c r="A17" s="1204" t="str">
        <f>A162</f>
        <v>3.6</v>
      </c>
      <c r="B17" s="1190" t="str">
        <f>B162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H178</f>
        <v>2376</v>
      </c>
      <c r="I17" s="1197"/>
      <c r="J17" s="1196">
        <f>J178</f>
        <v>1380</v>
      </c>
      <c r="K17" s="1196">
        <f t="shared" si="0"/>
        <v>3756</v>
      </c>
      <c r="L17" s="1430"/>
    </row>
    <row r="18" spans="1:12" s="1199" customFormat="1" ht="24" customHeight="1">
      <c r="A18" s="1204" t="str">
        <f>A179</f>
        <v>3.7</v>
      </c>
      <c r="B18" s="1190" t="str">
        <f>B179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H208</f>
        <v>14196</v>
      </c>
      <c r="I18" s="1197"/>
      <c r="J18" s="1196">
        <f>J208</f>
        <v>4043</v>
      </c>
      <c r="K18" s="1196">
        <f t="shared" si="0"/>
        <v>18239</v>
      </c>
      <c r="L18" s="1430"/>
    </row>
    <row r="19" spans="1:12" s="1199" customFormat="1" ht="24" customHeight="1">
      <c r="A19" s="1204">
        <f>A209</f>
        <v>3.8</v>
      </c>
      <c r="B19" s="2174" t="str">
        <f>B209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H250</f>
        <v>1823623</v>
      </c>
      <c r="I19" s="1197"/>
      <c r="J19" s="1196">
        <f>J250</f>
        <v>265709</v>
      </c>
      <c r="K19" s="1196">
        <f t="shared" si="0"/>
        <v>2089332</v>
      </c>
      <c r="L19" s="1430"/>
    </row>
    <row r="20" spans="1:12" s="1199" customFormat="1" ht="24" customHeight="1">
      <c r="A20" s="1204" t="str">
        <f>A251</f>
        <v>3.9</v>
      </c>
      <c r="B20" s="2174" t="str">
        <f>B251</f>
        <v>ระบบเสียงและประกาศเรียก (Public Address System)</v>
      </c>
      <c r="C20" s="1202"/>
      <c r="D20" s="1203"/>
      <c r="E20" s="1193">
        <v>1</v>
      </c>
      <c r="F20" s="1207" t="s">
        <v>19</v>
      </c>
      <c r="G20" s="1208"/>
      <c r="H20" s="1196">
        <f>H267</f>
        <v>101467</v>
      </c>
      <c r="I20" s="1197"/>
      <c r="J20" s="1196">
        <f>J267</f>
        <v>37871</v>
      </c>
      <c r="K20" s="1196">
        <f t="shared" si="0"/>
        <v>139338</v>
      </c>
      <c r="L20" s="1430"/>
    </row>
    <row r="21" spans="1:12" s="1199" customFormat="1" ht="24" customHeight="1">
      <c r="A21" s="1204" t="str">
        <f>A268</f>
        <v>3.10</v>
      </c>
      <c r="B21" s="2174" t="str">
        <f>B268</f>
        <v>ระบบควบคุมประตูอัตโนมัติ (Access Control System)</v>
      </c>
      <c r="C21" s="1202"/>
      <c r="D21" s="1203"/>
      <c r="E21" s="1193">
        <v>1</v>
      </c>
      <c r="F21" s="1207" t="s">
        <v>19</v>
      </c>
      <c r="G21" s="1208"/>
      <c r="H21" s="1196">
        <f>H291</f>
        <v>413624</v>
      </c>
      <c r="I21" s="1197"/>
      <c r="J21" s="1196">
        <f>J291</f>
        <v>18530</v>
      </c>
      <c r="K21" s="1196">
        <f t="shared" si="0"/>
        <v>432154</v>
      </c>
      <c r="L21" s="1430"/>
    </row>
    <row r="22" spans="1:12" s="1199" customFormat="1" ht="24" customHeight="1">
      <c r="A22" s="1204" t="str">
        <f>A292</f>
        <v>3.11</v>
      </c>
      <c r="B22" s="1431" t="str">
        <f>B292</f>
        <v>ระบบบริหารจัดการอาคาร (Building Management System : BMS)</v>
      </c>
      <c r="C22" s="1202"/>
      <c r="D22" s="1203"/>
      <c r="E22" s="1193">
        <v>1</v>
      </c>
      <c r="F22" s="1207" t="s">
        <v>19</v>
      </c>
      <c r="G22" s="1208"/>
      <c r="H22" s="1196">
        <f>H308</f>
        <v>245480</v>
      </c>
      <c r="I22" s="1197"/>
      <c r="J22" s="1196">
        <f t="shared" ref="J22:K22" si="1">J308</f>
        <v>29028</v>
      </c>
      <c r="K22" s="1196">
        <f t="shared" si="1"/>
        <v>274508</v>
      </c>
      <c r="L22" s="1430"/>
    </row>
    <row r="23" spans="1:12" s="1199" customFormat="1" ht="24" customHeight="1">
      <c r="A23" s="1204" t="str">
        <f>A309</f>
        <v>3.12</v>
      </c>
      <c r="B23" s="1431" t="str">
        <f>B309</f>
        <v>ระบบแจ้งเหตุฉุกเฉิน (Panic Alarm System)</v>
      </c>
      <c r="C23" s="1202"/>
      <c r="D23" s="1203"/>
      <c r="E23" s="1193">
        <v>1</v>
      </c>
      <c r="F23" s="1207" t="s">
        <v>19</v>
      </c>
      <c r="G23" s="1208"/>
      <c r="H23" s="1196">
        <f>H322</f>
        <v>23582</v>
      </c>
      <c r="I23" s="1197"/>
      <c r="J23" s="1196">
        <f>J322</f>
        <v>6257</v>
      </c>
      <c r="K23" s="1196">
        <f>K322</f>
        <v>29839</v>
      </c>
      <c r="L23" s="1430"/>
    </row>
    <row r="24" spans="1:12" s="1199" customFormat="1" ht="24" customHeight="1">
      <c r="A24" s="1204"/>
      <c r="B24" s="2174"/>
      <c r="C24" s="1202"/>
      <c r="D24" s="1203"/>
      <c r="E24" s="1206"/>
      <c r="F24" s="1207"/>
      <c r="G24" s="1208"/>
      <c r="H24" s="1196"/>
      <c r="I24" s="1197"/>
      <c r="J24" s="1196"/>
      <c r="K24" s="1196"/>
      <c r="L24" s="1430"/>
    </row>
    <row r="25" spans="1:12" s="1199" customFormat="1" ht="24" customHeight="1">
      <c r="A25" s="1204"/>
      <c r="B25" s="2174"/>
      <c r="C25" s="1202"/>
      <c r="D25" s="1203"/>
      <c r="E25" s="1206"/>
      <c r="F25" s="1207"/>
      <c r="G25" s="1208"/>
      <c r="H25" s="1196"/>
      <c r="I25" s="1197"/>
      <c r="J25" s="1196"/>
      <c r="K25" s="1196"/>
      <c r="L25" s="1430"/>
    </row>
    <row r="26" spans="1:12" s="1199" customFormat="1" ht="24" customHeight="1">
      <c r="A26" s="1204"/>
      <c r="B26" s="2174"/>
      <c r="C26" s="1202"/>
      <c r="D26" s="1203"/>
      <c r="E26" s="1206"/>
      <c r="F26" s="1207"/>
      <c r="G26" s="1208"/>
      <c r="H26" s="1196"/>
      <c r="I26" s="1197"/>
      <c r="J26" s="1196"/>
      <c r="K26" s="1196"/>
      <c r="L26" s="1430"/>
    </row>
    <row r="27" spans="1:12" s="1199" customFormat="1" ht="24" customHeight="1">
      <c r="A27" s="1204"/>
      <c r="B27" s="2174"/>
      <c r="C27" s="1202"/>
      <c r="D27" s="1203"/>
      <c r="E27" s="1206"/>
      <c r="F27" s="1207"/>
      <c r="G27" s="1208"/>
      <c r="H27" s="1196"/>
      <c r="I27" s="1197"/>
      <c r="J27" s="1196"/>
      <c r="K27" s="1196"/>
      <c r="L27" s="1430"/>
    </row>
    <row r="28" spans="1:12" s="1199" customFormat="1" ht="24" customHeight="1">
      <c r="A28" s="1204"/>
      <c r="B28" s="2174"/>
      <c r="C28" s="1202"/>
      <c r="D28" s="1203"/>
      <c r="E28" s="1206"/>
      <c r="F28" s="1207"/>
      <c r="G28" s="1208"/>
      <c r="H28" s="1196"/>
      <c r="I28" s="1197"/>
      <c r="J28" s="1196"/>
      <c r="K28" s="1196"/>
      <c r="L28" s="1430"/>
    </row>
    <row r="29" spans="1:12" s="1199" customFormat="1" ht="24" customHeight="1">
      <c r="A29" s="1204"/>
      <c r="B29" s="2174"/>
      <c r="C29" s="1202"/>
      <c r="D29" s="1203"/>
      <c r="E29" s="1206"/>
      <c r="F29" s="1207"/>
      <c r="G29" s="1208"/>
      <c r="H29" s="1196"/>
      <c r="I29" s="1197"/>
      <c r="J29" s="1196"/>
      <c r="K29" s="1196"/>
      <c r="L29" s="1430"/>
    </row>
    <row r="30" spans="1:12" s="1199" customFormat="1" ht="24" customHeight="1">
      <c r="A30" s="1204"/>
      <c r="B30" s="2174"/>
      <c r="C30" s="1202"/>
      <c r="D30" s="1203"/>
      <c r="E30" s="1206"/>
      <c r="F30" s="1207"/>
      <c r="G30" s="1208"/>
      <c r="H30" s="1196"/>
      <c r="I30" s="1197"/>
      <c r="J30" s="1196"/>
      <c r="K30" s="1196"/>
      <c r="L30" s="1430"/>
    </row>
    <row r="31" spans="1:12" s="1199" customFormat="1" ht="24" customHeight="1">
      <c r="A31" s="1204"/>
      <c r="B31" s="2174"/>
      <c r="C31" s="1202"/>
      <c r="D31" s="1203"/>
      <c r="E31" s="1206"/>
      <c r="F31" s="1207"/>
      <c r="G31" s="1208"/>
      <c r="H31" s="1196"/>
      <c r="I31" s="1197"/>
      <c r="J31" s="1196"/>
      <c r="K31" s="1196"/>
      <c r="L31" s="1430"/>
    </row>
    <row r="32" spans="1:12" s="1199" customFormat="1" ht="24" customHeight="1">
      <c r="A32" s="1204"/>
      <c r="B32" s="2174"/>
      <c r="C32" s="1202"/>
      <c r="D32" s="1203"/>
      <c r="E32" s="1206"/>
      <c r="F32" s="1207"/>
      <c r="G32" s="1208"/>
      <c r="H32" s="1196"/>
      <c r="I32" s="1197"/>
      <c r="J32" s="1196"/>
      <c r="K32" s="1196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7</v>
      </c>
      <c r="C34" s="2258"/>
      <c r="D34" s="2259"/>
      <c r="E34" s="1244"/>
      <c r="F34" s="1245"/>
      <c r="G34" s="1246"/>
      <c r="H34" s="1247">
        <f>SUM(H11:H33)</f>
        <v>3057009</v>
      </c>
      <c r="I34" s="1246"/>
      <c r="J34" s="1247">
        <f>SUM(J11:J33)</f>
        <v>429152</v>
      </c>
      <c r="K34" s="1247">
        <f>SUM(K11:K33)</f>
        <v>3486161</v>
      </c>
      <c r="L34" s="1245"/>
      <c r="M34" s="1214"/>
      <c r="N34" s="1214"/>
      <c r="O34" s="1214"/>
      <c r="P34" s="1214"/>
      <c r="Q34" s="1214"/>
      <c r="R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1096</v>
      </c>
      <c r="B36" s="1362" t="s">
        <v>1238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2">ROUND(G38*E38,)</f>
        <v>0</v>
      </c>
      <c r="I38" s="1265"/>
      <c r="J38" s="1264"/>
      <c r="K38" s="1265">
        <f t="shared" ref="K38:K55" si="3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/>
      <c r="F39" s="1207" t="s">
        <v>363</v>
      </c>
      <c r="G39" s="2175">
        <v>2400</v>
      </c>
      <c r="H39" s="1264">
        <f t="shared" si="2"/>
        <v>0</v>
      </c>
      <c r="I39" s="1265"/>
      <c r="J39" s="1264"/>
      <c r="K39" s="1265">
        <f t="shared" si="3"/>
        <v>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/>
      <c r="F40" s="1207" t="s">
        <v>363</v>
      </c>
      <c r="G40" s="2175">
        <v>2400</v>
      </c>
      <c r="H40" s="1264">
        <f t="shared" si="2"/>
        <v>0</v>
      </c>
      <c r="I40" s="1265"/>
      <c r="J40" s="1264"/>
      <c r="K40" s="1265">
        <f t="shared" si="3"/>
        <v>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2"/>
        <v>0</v>
      </c>
      <c r="I41" s="1265"/>
      <c r="J41" s="1264"/>
      <c r="K41" s="1265">
        <f t="shared" si="3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2"/>
        <v>2400</v>
      </c>
      <c r="I42" s="1265"/>
      <c r="J42" s="1264"/>
      <c r="K42" s="1265">
        <f t="shared" si="3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2"/>
        <v>7200</v>
      </c>
      <c r="I43" s="1265"/>
      <c r="J43" s="1264"/>
      <c r="K43" s="1265">
        <f t="shared" si="3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2"/>
        <v>0</v>
      </c>
      <c r="I44" s="1265"/>
      <c r="J44" s="1264"/>
      <c r="K44" s="1265">
        <f t="shared" si="3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2"/>
        <v>0</v>
      </c>
      <c r="I45" s="1265"/>
      <c r="J45" s="1264"/>
      <c r="K45" s="1265">
        <f t="shared" si="3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2"/>
        <v>0</v>
      </c>
      <c r="I46" s="1265"/>
      <c r="J46" s="1264"/>
      <c r="K46" s="1265">
        <f t="shared" si="3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2"/>
        <v>0</v>
      </c>
      <c r="I47" s="1265"/>
      <c r="J47" s="1264"/>
      <c r="K47" s="1265">
        <f t="shared" si="3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/>
      <c r="F48" s="1207" t="s">
        <v>363</v>
      </c>
      <c r="G48" s="2175">
        <v>11500</v>
      </c>
      <c r="H48" s="1264">
        <f t="shared" si="2"/>
        <v>0</v>
      </c>
      <c r="I48" s="1265"/>
      <c r="J48" s="1264"/>
      <c r="K48" s="1265">
        <f t="shared" si="3"/>
        <v>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>
        <v>1</v>
      </c>
      <c r="F49" s="1207" t="s">
        <v>363</v>
      </c>
      <c r="G49" s="2175">
        <v>20200</v>
      </c>
      <c r="H49" s="1264">
        <f t="shared" si="2"/>
        <v>20200</v>
      </c>
      <c r="I49" s="1265"/>
      <c r="J49" s="1264"/>
      <c r="K49" s="1265">
        <f t="shared" si="3"/>
        <v>20200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2"/>
        <v>0</v>
      </c>
      <c r="I50" s="1265"/>
      <c r="J50" s="1264"/>
      <c r="K50" s="1265">
        <f t="shared" si="3"/>
        <v>0</v>
      </c>
      <c r="L50" s="1266"/>
    </row>
    <row r="51" spans="1:18" s="1199" customFormat="1" ht="24" customHeight="1">
      <c r="A51" s="1339"/>
      <c r="B51" s="1259" t="s">
        <v>1276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2"/>
        <v>1800</v>
      </c>
      <c r="I51" s="1265"/>
      <c r="J51" s="1264"/>
      <c r="K51" s="1265">
        <f t="shared" si="3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2"/>
        <v>360</v>
      </c>
      <c r="I52" s="1265"/>
      <c r="J52" s="1264"/>
      <c r="K52" s="1265">
        <f t="shared" si="3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2"/>
        <v>300</v>
      </c>
      <c r="I53" s="1265"/>
      <c r="J53" s="1264"/>
      <c r="K53" s="1265">
        <f t="shared" si="3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5</v>
      </c>
      <c r="F54" s="1207" t="s">
        <v>363</v>
      </c>
      <c r="G54" s="2175">
        <v>15435</v>
      </c>
      <c r="H54" s="1264">
        <f t="shared" si="2"/>
        <v>77175</v>
      </c>
      <c r="I54" s="1265"/>
      <c r="J54" s="1264"/>
      <c r="K54" s="1265">
        <f t="shared" si="3"/>
        <v>77175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33000</v>
      </c>
      <c r="H55" s="1264">
        <f t="shared" si="2"/>
        <v>33000</v>
      </c>
      <c r="I55" s="1265">
        <f>G55*0.3</f>
        <v>9900</v>
      </c>
      <c r="J55" s="1264">
        <f>ROUND(E55*I55,)</f>
        <v>9900</v>
      </c>
      <c r="K55" s="1265">
        <f t="shared" si="3"/>
        <v>42900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1249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4">ROUND(G61*E61,)</f>
        <v>0</v>
      </c>
      <c r="I61" s="1265"/>
      <c r="J61" s="1264"/>
      <c r="K61" s="1265">
        <f t="shared" ref="K61:K78" si="5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/>
      <c r="F62" s="1207" t="s">
        <v>363</v>
      </c>
      <c r="G62" s="2175">
        <v>2400</v>
      </c>
      <c r="H62" s="1264">
        <f t="shared" si="4"/>
        <v>0</v>
      </c>
      <c r="I62" s="1265"/>
      <c r="J62" s="1264"/>
      <c r="K62" s="1265">
        <f t="shared" si="5"/>
        <v>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/>
      <c r="F63" s="1207" t="s">
        <v>363</v>
      </c>
      <c r="G63" s="2175">
        <v>2400</v>
      </c>
      <c r="H63" s="1264">
        <f t="shared" si="4"/>
        <v>0</v>
      </c>
      <c r="I63" s="1265"/>
      <c r="J63" s="1264"/>
      <c r="K63" s="1265">
        <f t="shared" si="5"/>
        <v>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4"/>
        <v>0</v>
      </c>
      <c r="I64" s="1265"/>
      <c r="J64" s="1264"/>
      <c r="K64" s="1265">
        <f t="shared" si="5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4"/>
        <v>2400</v>
      </c>
      <c r="I65" s="1265"/>
      <c r="J65" s="1264"/>
      <c r="K65" s="1265">
        <f t="shared" si="5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3</v>
      </c>
      <c r="F66" s="1207" t="s">
        <v>363</v>
      </c>
      <c r="G66" s="2175">
        <v>2400</v>
      </c>
      <c r="H66" s="1264">
        <f t="shared" si="4"/>
        <v>7200</v>
      </c>
      <c r="I66" s="1265"/>
      <c r="J66" s="1264"/>
      <c r="K66" s="1265">
        <f t="shared" si="5"/>
        <v>7200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4"/>
        <v>0</v>
      </c>
      <c r="I67" s="1265"/>
      <c r="J67" s="1264"/>
      <c r="K67" s="1265">
        <f t="shared" si="5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4"/>
        <v>0</v>
      </c>
      <c r="I68" s="1265"/>
      <c r="J68" s="1264"/>
      <c r="K68" s="1265">
        <f t="shared" si="5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4"/>
        <v>0</v>
      </c>
      <c r="I69" s="1265"/>
      <c r="J69" s="1264"/>
      <c r="K69" s="1265">
        <f t="shared" si="5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4"/>
        <v>0</v>
      </c>
      <c r="I70" s="1265"/>
      <c r="J70" s="1264"/>
      <c r="K70" s="1265">
        <f t="shared" si="5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/>
      <c r="F71" s="1207" t="s">
        <v>363</v>
      </c>
      <c r="G71" s="2175">
        <v>11500</v>
      </c>
      <c r="H71" s="1264">
        <f t="shared" si="4"/>
        <v>0</v>
      </c>
      <c r="I71" s="1265"/>
      <c r="J71" s="1264"/>
      <c r="K71" s="1265">
        <f t="shared" si="5"/>
        <v>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>
        <v>1</v>
      </c>
      <c r="F72" s="1207" t="s">
        <v>363</v>
      </c>
      <c r="G72" s="2175">
        <v>20200</v>
      </c>
      <c r="H72" s="1264">
        <f t="shared" si="4"/>
        <v>20200</v>
      </c>
      <c r="I72" s="1265"/>
      <c r="J72" s="1264"/>
      <c r="K72" s="1265">
        <f t="shared" si="5"/>
        <v>20200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4"/>
        <v>0</v>
      </c>
      <c r="I73" s="1265"/>
      <c r="J73" s="1264"/>
      <c r="K73" s="1265">
        <f t="shared" si="5"/>
        <v>0</v>
      </c>
      <c r="L73" s="1266"/>
    </row>
    <row r="74" spans="1:17" s="1199" customFormat="1" ht="24" customHeight="1">
      <c r="A74" s="1339"/>
      <c r="B74" s="1259" t="s">
        <v>1276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4"/>
        <v>1800</v>
      </c>
      <c r="I74" s="1265"/>
      <c r="J74" s="1264"/>
      <c r="K74" s="1265">
        <f t="shared" si="5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4"/>
        <v>360</v>
      </c>
      <c r="I75" s="1265"/>
      <c r="J75" s="1264"/>
      <c r="K75" s="1265">
        <f t="shared" si="5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4"/>
        <v>300</v>
      </c>
      <c r="I76" s="1265"/>
      <c r="J76" s="1264"/>
      <c r="K76" s="1265">
        <f t="shared" si="5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5</v>
      </c>
      <c r="F77" s="1207" t="s">
        <v>363</v>
      </c>
      <c r="G77" s="2175">
        <v>15435</v>
      </c>
      <c r="H77" s="1264">
        <f t="shared" si="4"/>
        <v>77175</v>
      </c>
      <c r="I77" s="1265"/>
      <c r="J77" s="1264"/>
      <c r="K77" s="1265">
        <f t="shared" si="5"/>
        <v>77175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33000</v>
      </c>
      <c r="H78" s="1264">
        <f t="shared" si="4"/>
        <v>33000</v>
      </c>
      <c r="I78" s="1265">
        <f>G78*0.3</f>
        <v>9900</v>
      </c>
      <c r="J78" s="1264">
        <f>ROUND(E78*I78,)</f>
        <v>9900</v>
      </c>
      <c r="K78" s="1265">
        <f t="shared" si="5"/>
        <v>42900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7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7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284870</v>
      </c>
      <c r="I82" s="1246"/>
      <c r="J82" s="1247">
        <f>SUM(J35:J81)</f>
        <v>19800</v>
      </c>
      <c r="K82" s="1247">
        <f>SUM(K35:K81)</f>
        <v>304670</v>
      </c>
      <c r="L82" s="1245"/>
      <c r="M82" s="1214"/>
      <c r="N82" s="1214"/>
      <c r="O82" s="1214"/>
      <c r="P82" s="1214"/>
      <c r="Q82" s="1214"/>
    </row>
    <row r="83" spans="1:17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7" s="1199" customFormat="1" ht="24" customHeight="1">
      <c r="A84" s="1189"/>
      <c r="B84" s="1451" t="s">
        <v>1118</v>
      </c>
      <c r="C84" s="1202"/>
      <c r="D84" s="1202"/>
      <c r="E84" s="1387"/>
      <c r="F84" s="1207" t="s">
        <v>363</v>
      </c>
      <c r="G84" s="2176"/>
      <c r="H84" s="1264">
        <f>ROUND(E84*G84,)</f>
        <v>0</v>
      </c>
      <c r="I84" s="2177">
        <f>G84*0.05</f>
        <v>0</v>
      </c>
      <c r="J84" s="1264">
        <f>ROUND(E84*I84,)</f>
        <v>0</v>
      </c>
      <c r="K84" s="1273">
        <f>H84+J84</f>
        <v>0</v>
      </c>
      <c r="L84" s="1385"/>
      <c r="M84" s="1214"/>
      <c r="N84" s="1214"/>
      <c r="O84" s="1214"/>
      <c r="P84" s="1214"/>
    </row>
    <row r="85" spans="1:17" s="1199" customFormat="1" ht="24" customHeight="1">
      <c r="A85" s="1189"/>
      <c r="B85" s="1451" t="s">
        <v>1118</v>
      </c>
      <c r="C85" s="1202"/>
      <c r="D85" s="1202"/>
      <c r="E85" s="1387"/>
      <c r="F85" s="1207" t="s">
        <v>363</v>
      </c>
      <c r="G85" s="2176"/>
      <c r="H85" s="1264">
        <f>ROUND(E85*G85,)</f>
        <v>0</v>
      </c>
      <c r="I85" s="2177">
        <f>G85*0.05</f>
        <v>0</v>
      </c>
      <c r="J85" s="1264">
        <f>ROUND(E85*I85,)</f>
        <v>0</v>
      </c>
      <c r="K85" s="1273">
        <f>H85+J85</f>
        <v>0</v>
      </c>
      <c r="L85" s="1385"/>
      <c r="M85" s="1214"/>
      <c r="N85" s="1214"/>
      <c r="O85" s="1214"/>
      <c r="P85" s="1214"/>
    </row>
    <row r="86" spans="1:17" s="1199" customFormat="1" ht="24" customHeight="1">
      <c r="A86" s="1189"/>
      <c r="B86" s="1451" t="s">
        <v>1118</v>
      </c>
      <c r="C86" s="1202"/>
      <c r="D86" s="1202"/>
      <c r="E86" s="1387"/>
      <c r="F86" s="1207" t="s">
        <v>363</v>
      </c>
      <c r="G86" s="2176"/>
      <c r="H86" s="1264">
        <f>ROUND(E86*G86,)</f>
        <v>0</v>
      </c>
      <c r="I86" s="2177">
        <f>G86*0.05</f>
        <v>0</v>
      </c>
      <c r="J86" s="1264">
        <f>ROUND(E86*I86,)</f>
        <v>0</v>
      </c>
      <c r="K86" s="1273">
        <f>H86+J86</f>
        <v>0</v>
      </c>
      <c r="L86" s="1385"/>
      <c r="M86" s="1214"/>
      <c r="N86" s="1214"/>
      <c r="O86" s="1214"/>
      <c r="P86" s="1214"/>
    </row>
    <row r="87" spans="1:17" s="1199" customFormat="1" ht="24" customHeight="1">
      <c r="A87" s="1331"/>
      <c r="B87" s="1190" t="s">
        <v>1117</v>
      </c>
      <c r="C87" s="1275"/>
      <c r="D87" s="1275"/>
      <c r="E87" s="2145"/>
      <c r="F87" s="1358"/>
      <c r="G87" s="2175"/>
      <c r="H87" s="1264"/>
      <c r="I87" s="1265"/>
      <c r="J87" s="1264"/>
      <c r="K87" s="1299"/>
      <c r="L87" s="1432"/>
    </row>
    <row r="88" spans="1:17" s="1199" customFormat="1" ht="24" customHeight="1">
      <c r="A88" s="1331"/>
      <c r="B88" s="1190" t="s">
        <v>1118</v>
      </c>
      <c r="C88" s="1275"/>
      <c r="D88" s="1275"/>
      <c r="E88" s="2145"/>
      <c r="F88" s="1358"/>
      <c r="G88" s="2175"/>
      <c r="H88" s="1264"/>
      <c r="I88" s="1265"/>
      <c r="J88" s="1264"/>
      <c r="K88" s="1299"/>
      <c r="L88" s="1432"/>
    </row>
    <row r="89" spans="1:17" s="1199" customFormat="1" ht="24" customHeight="1">
      <c r="A89" s="1331"/>
      <c r="B89" s="1190" t="s">
        <v>1118</v>
      </c>
      <c r="C89" s="1275"/>
      <c r="D89" s="1275"/>
      <c r="E89" s="2145"/>
      <c r="F89" s="1358"/>
      <c r="G89" s="2175"/>
      <c r="H89" s="1264"/>
      <c r="I89" s="1265"/>
      <c r="J89" s="1264"/>
      <c r="K89" s="1299"/>
      <c r="L89" s="1432"/>
    </row>
    <row r="90" spans="1:17" s="1199" customFormat="1" ht="24" customHeight="1">
      <c r="A90" s="1189"/>
      <c r="B90" s="1650"/>
      <c r="C90" s="1275"/>
      <c r="D90" s="1275"/>
      <c r="E90" s="2145"/>
      <c r="F90" s="1358"/>
      <c r="G90" s="2175"/>
      <c r="H90" s="1264"/>
      <c r="I90" s="1265"/>
      <c r="J90" s="1264"/>
      <c r="K90" s="1299"/>
      <c r="L90" s="1432"/>
    </row>
    <row r="91" spans="1:17" s="1199" customFormat="1" ht="24" customHeight="1">
      <c r="A91" s="1243"/>
      <c r="B91" s="2257" t="str">
        <f>"รวมราคารายการที่ "&amp;A83</f>
        <v>รวมราคารายการที่ 3.2</v>
      </c>
      <c r="C91" s="2258"/>
      <c r="D91" s="2259"/>
      <c r="E91" s="1244"/>
      <c r="F91" s="1245"/>
      <c r="G91" s="1246"/>
      <c r="H91" s="1247">
        <f>SUM(H83:H90)</f>
        <v>0</v>
      </c>
      <c r="I91" s="1246"/>
      <c r="J91" s="1247">
        <f>SUM(J83:J90)</f>
        <v>0</v>
      </c>
      <c r="K91" s="1247">
        <f>SUM(K83:K90)</f>
        <v>0</v>
      </c>
      <c r="L91" s="1245"/>
      <c r="M91" s="1214"/>
      <c r="N91" s="1214"/>
      <c r="O91" s="1214"/>
      <c r="P91" s="1214"/>
      <c r="Q91" s="1214"/>
    </row>
    <row r="92" spans="1:17" s="1199" customFormat="1" ht="24" customHeight="1">
      <c r="A92" s="1381">
        <v>3.3</v>
      </c>
      <c r="B92" s="1292" t="s">
        <v>1427</v>
      </c>
      <c r="C92" s="1294"/>
      <c r="D92" s="1294"/>
      <c r="E92" s="1295"/>
      <c r="F92" s="1296"/>
      <c r="G92" s="1297"/>
      <c r="H92" s="1298"/>
      <c r="I92" s="1299"/>
      <c r="J92" s="1298"/>
      <c r="K92" s="1299"/>
      <c r="L92" s="1432"/>
    </row>
    <row r="93" spans="1:17" s="1199" customFormat="1" ht="24" customHeight="1">
      <c r="A93" s="1331" t="s">
        <v>1128</v>
      </c>
      <c r="B93" s="1190" t="s">
        <v>2892</v>
      </c>
      <c r="C93" s="1275"/>
      <c r="D93" s="1275"/>
      <c r="E93" s="1276"/>
      <c r="F93" s="1358"/>
      <c r="G93" s="2175"/>
      <c r="H93" s="1264"/>
      <c r="I93" s="1265"/>
      <c r="J93" s="1264"/>
      <c r="K93" s="1299"/>
      <c r="L93" s="1432"/>
    </row>
    <row r="94" spans="1:17" s="1199" customFormat="1" ht="24" customHeight="1">
      <c r="A94" s="1331"/>
      <c r="B94" s="1190" t="s">
        <v>2893</v>
      </c>
      <c r="C94" s="1275"/>
      <c r="D94" s="1275"/>
      <c r="E94" s="1276"/>
      <c r="F94" s="1194" t="s">
        <v>363</v>
      </c>
      <c r="G94" s="2175">
        <v>6800</v>
      </c>
      <c r="H94" s="1264">
        <f>ROUND(E94*G94,)</f>
        <v>0</v>
      </c>
      <c r="I94" s="1265">
        <v>1500</v>
      </c>
      <c r="J94" s="1264">
        <f>ROUND(E94*I94,)</f>
        <v>0</v>
      </c>
      <c r="K94" s="1299">
        <f>H94+J94</f>
        <v>0</v>
      </c>
      <c r="L94" s="1432"/>
    </row>
    <row r="95" spans="1:17" s="1199" customFormat="1" ht="24" customHeight="1">
      <c r="A95" s="1331"/>
      <c r="B95" s="1190" t="s">
        <v>2894</v>
      </c>
      <c r="C95" s="1275"/>
      <c r="D95" s="1275"/>
      <c r="E95" s="1276"/>
      <c r="F95" s="1194" t="s">
        <v>363</v>
      </c>
      <c r="G95" s="2175">
        <v>2400</v>
      </c>
      <c r="H95" s="1264"/>
      <c r="I95" s="1265"/>
      <c r="J95" s="1264"/>
      <c r="K95" s="1299"/>
      <c r="L95" s="1432"/>
    </row>
    <row r="96" spans="1:17" s="1199" customFormat="1" ht="24" customHeight="1">
      <c r="A96" s="1331"/>
      <c r="B96" s="1190" t="s">
        <v>2895</v>
      </c>
      <c r="C96" s="1275"/>
      <c r="D96" s="1275"/>
      <c r="E96" s="1276"/>
      <c r="F96" s="1194" t="s">
        <v>363</v>
      </c>
      <c r="G96" s="2175">
        <v>138</v>
      </c>
      <c r="H96" s="1264">
        <f>ROUND(E96*G96,)</f>
        <v>0</v>
      </c>
      <c r="I96" s="1265"/>
      <c r="J96" s="1264">
        <f>ROUND(E96*I96,)</f>
        <v>0</v>
      </c>
      <c r="K96" s="1299">
        <f>H96+J96</f>
        <v>0</v>
      </c>
      <c r="L96" s="1432"/>
    </row>
    <row r="97" spans="1:18" s="1199" customFormat="1" ht="24" customHeight="1">
      <c r="A97" s="1331"/>
      <c r="B97" s="1190" t="s">
        <v>1432</v>
      </c>
      <c r="C97" s="1275"/>
      <c r="D97" s="1275"/>
      <c r="E97" s="1276"/>
      <c r="F97" s="1194" t="s">
        <v>363</v>
      </c>
      <c r="G97" s="2175">
        <v>138</v>
      </c>
      <c r="H97" s="1264">
        <f t="shared" ref="H97:H98" si="6">ROUND(E97*G97,)</f>
        <v>0</v>
      </c>
      <c r="I97" s="1265"/>
      <c r="J97" s="1264">
        <f t="shared" ref="J97:J98" si="7">ROUND(E97*I97,)</f>
        <v>0</v>
      </c>
      <c r="K97" s="1299">
        <f t="shared" ref="K97:K98" si="8">H97+J97</f>
        <v>0</v>
      </c>
      <c r="L97" s="1432"/>
    </row>
    <row r="98" spans="1:18" s="1199" customFormat="1" ht="24" customHeight="1">
      <c r="A98" s="1331"/>
      <c r="B98" s="1190" t="s">
        <v>2896</v>
      </c>
      <c r="C98" s="1275"/>
      <c r="D98" s="1275"/>
      <c r="E98" s="1276"/>
      <c r="F98" s="1194" t="s">
        <v>363</v>
      </c>
      <c r="G98" s="2175">
        <v>619</v>
      </c>
      <c r="H98" s="1264">
        <f t="shared" si="6"/>
        <v>0</v>
      </c>
      <c r="I98" s="1265"/>
      <c r="J98" s="1264">
        <f t="shared" si="7"/>
        <v>0</v>
      </c>
      <c r="K98" s="1299">
        <f t="shared" si="8"/>
        <v>0</v>
      </c>
      <c r="L98" s="1432"/>
    </row>
    <row r="99" spans="1:18" s="1199" customFormat="1" ht="24" customHeight="1">
      <c r="A99" s="1331"/>
      <c r="B99" s="1190" t="s">
        <v>1117</v>
      </c>
      <c r="C99" s="1275"/>
      <c r="D99" s="1275"/>
      <c r="E99" s="2145"/>
      <c r="F99" s="1358"/>
      <c r="G99" s="2175"/>
      <c r="H99" s="1264"/>
      <c r="I99" s="1265"/>
      <c r="J99" s="1264"/>
      <c r="K99" s="1299"/>
      <c r="L99" s="1432"/>
    </row>
    <row r="100" spans="1:18" s="1199" customFormat="1" ht="24" customHeight="1">
      <c r="A100" s="1331"/>
      <c r="B100" s="1190" t="s">
        <v>1118</v>
      </c>
      <c r="C100" s="1275"/>
      <c r="D100" s="1275"/>
      <c r="E100" s="2145"/>
      <c r="F100" s="1358"/>
      <c r="G100" s="2175"/>
      <c r="H100" s="1264"/>
      <c r="I100" s="1265"/>
      <c r="J100" s="1264"/>
      <c r="K100" s="1299"/>
      <c r="L100" s="1432"/>
    </row>
    <row r="101" spans="1:18" s="1199" customFormat="1" ht="24" customHeight="1">
      <c r="A101" s="1331"/>
      <c r="B101" s="1190" t="s">
        <v>1118</v>
      </c>
      <c r="C101" s="1275"/>
      <c r="D101" s="1275"/>
      <c r="E101" s="2145"/>
      <c r="F101" s="1358"/>
      <c r="G101" s="2175"/>
      <c r="H101" s="1264"/>
      <c r="I101" s="1265"/>
      <c r="J101" s="1264"/>
      <c r="K101" s="1299"/>
      <c r="L101" s="1432"/>
    </row>
    <row r="102" spans="1:18" s="1199" customFormat="1" ht="24" customHeight="1">
      <c r="A102" s="1331"/>
      <c r="B102" s="1190"/>
      <c r="C102" s="1275"/>
      <c r="D102" s="1275"/>
      <c r="E102" s="2145"/>
      <c r="F102" s="1358"/>
      <c r="G102" s="2175"/>
      <c r="H102" s="1264"/>
      <c r="I102" s="1265"/>
      <c r="J102" s="1264"/>
      <c r="K102" s="1299"/>
      <c r="L102" s="1432"/>
    </row>
    <row r="103" spans="1:18" s="1199" customFormat="1" ht="24" customHeight="1">
      <c r="A103" s="1331"/>
      <c r="B103" s="1190"/>
      <c r="C103" s="1275"/>
      <c r="D103" s="1275"/>
      <c r="E103" s="2145"/>
      <c r="F103" s="1358"/>
      <c r="G103" s="2175"/>
      <c r="H103" s="1264"/>
      <c r="I103" s="1265"/>
      <c r="J103" s="1264"/>
      <c r="K103" s="1299"/>
      <c r="L103" s="1432"/>
    </row>
    <row r="104" spans="1:18" s="1199" customFormat="1" ht="24" customHeight="1">
      <c r="A104" s="1331"/>
      <c r="B104" s="1190"/>
      <c r="C104" s="1275"/>
      <c r="D104" s="1275"/>
      <c r="E104" s="2145"/>
      <c r="F104" s="1358"/>
      <c r="G104" s="2175"/>
      <c r="H104" s="1264"/>
      <c r="I104" s="1265"/>
      <c r="J104" s="1264"/>
      <c r="K104" s="1299"/>
      <c r="L104" s="1432"/>
    </row>
    <row r="105" spans="1:18" s="1199" customFormat="1" ht="24" customHeight="1">
      <c r="A105" s="1189"/>
      <c r="B105" s="1650"/>
      <c r="C105" s="1275"/>
      <c r="D105" s="1275"/>
      <c r="E105" s="2145"/>
      <c r="F105" s="1358"/>
      <c r="G105" s="2175"/>
      <c r="H105" s="1264"/>
      <c r="I105" s="1265"/>
      <c r="J105" s="1264"/>
      <c r="K105" s="1299"/>
      <c r="L105" s="1432"/>
    </row>
    <row r="106" spans="1:18" s="1199" customFormat="1" ht="24" customHeight="1">
      <c r="A106" s="1243"/>
      <c r="B106" s="2257" t="str">
        <f>"รวมราคารายการที่ "&amp;A92</f>
        <v>รวมราคารายการที่ 3.3</v>
      </c>
      <c r="C106" s="2258"/>
      <c r="D106" s="2259"/>
      <c r="E106" s="1244"/>
      <c r="F106" s="1245"/>
      <c r="G106" s="1246"/>
      <c r="H106" s="1247">
        <f>SUM(H93:H98)</f>
        <v>0</v>
      </c>
      <c r="I106" s="1246"/>
      <c r="J106" s="1247">
        <f>SUM(J93:J98)</f>
        <v>0</v>
      </c>
      <c r="K106" s="1245">
        <f>SUM(K93:K98)</f>
        <v>0</v>
      </c>
      <c r="L106" s="1245"/>
    </row>
    <row r="107" spans="1:18" s="1199" customFormat="1" ht="24" customHeight="1">
      <c r="A107" s="1491">
        <v>3.4</v>
      </c>
      <c r="B107" s="1292" t="s">
        <v>1312</v>
      </c>
      <c r="C107" s="1235"/>
      <c r="D107" s="1235"/>
      <c r="E107" s="1397"/>
      <c r="F107" s="1398"/>
      <c r="G107" s="1399"/>
      <c r="H107" s="1298">
        <f t="shared" ref="H107" si="9">ROUND(E107*G107,)</f>
        <v>0</v>
      </c>
      <c r="I107" s="1401"/>
      <c r="J107" s="1298">
        <f t="shared" ref="J107" si="10">ROUND(E107*I107,)</f>
        <v>0</v>
      </c>
      <c r="K107" s="1402"/>
      <c r="L107" s="1402"/>
      <c r="M107" s="1214"/>
      <c r="N107" s="1214"/>
      <c r="O107" s="1214"/>
      <c r="P107" s="1214"/>
      <c r="Q107" s="1214"/>
      <c r="R107" s="1214"/>
    </row>
    <row r="108" spans="1:18" s="1199" customFormat="1" ht="24" customHeight="1">
      <c r="A108" s="1331" t="s">
        <v>1135</v>
      </c>
      <c r="B108" s="2174" t="s">
        <v>1314</v>
      </c>
      <c r="C108" s="1275"/>
      <c r="D108" s="1275"/>
      <c r="E108" s="1276"/>
      <c r="F108" s="1358"/>
      <c r="G108" s="2175"/>
      <c r="H108" s="1264"/>
      <c r="I108" s="1265"/>
      <c r="J108" s="1264"/>
      <c r="K108" s="1273"/>
      <c r="L108" s="1269"/>
    </row>
    <row r="109" spans="1:18" s="1199" customFormat="1" ht="24" customHeight="1">
      <c r="A109" s="1331" t="s">
        <v>1137</v>
      </c>
      <c r="B109" s="2174" t="s">
        <v>1315</v>
      </c>
      <c r="C109" s="1275"/>
      <c r="D109" s="1275"/>
      <c r="E109" s="1276"/>
      <c r="F109" s="1358"/>
      <c r="G109" s="2176"/>
      <c r="H109" s="1264"/>
      <c r="I109" s="1265"/>
      <c r="J109" s="1264"/>
      <c r="K109" s="1273"/>
      <c r="L109" s="1269"/>
    </row>
    <row r="110" spans="1:18" s="1199" customFormat="1" ht="24" customHeight="1">
      <c r="A110" s="1331"/>
      <c r="B110" s="2174" t="s">
        <v>1316</v>
      </c>
      <c r="C110" s="1275"/>
      <c r="D110" s="1275"/>
      <c r="E110" s="1270"/>
      <c r="F110" s="1358" t="s">
        <v>226</v>
      </c>
      <c r="G110" s="2176">
        <v>14</v>
      </c>
      <c r="H110" s="1264">
        <f t="shared" ref="H110:H123" si="11">ROUND(E110*G110,)</f>
        <v>0</v>
      </c>
      <c r="I110" s="1265">
        <v>10</v>
      </c>
      <c r="J110" s="1264">
        <f t="shared" ref="J110:J123" si="12">ROUND(E110*I110,)</f>
        <v>0</v>
      </c>
      <c r="K110" s="1273">
        <f t="shared" ref="K110:K123" si="13">H110+J110</f>
        <v>0</v>
      </c>
      <c r="L110" s="2000" t="s">
        <v>2667</v>
      </c>
      <c r="N110" s="1199">
        <v>1375.8</v>
      </c>
      <c r="O110" s="1199">
        <f>ROUND(N110/100,)</f>
        <v>14</v>
      </c>
      <c r="P110" s="1199">
        <f>E110*1.1</f>
        <v>0</v>
      </c>
    </row>
    <row r="111" spans="1:18" s="1199" customFormat="1" ht="24" customHeight="1">
      <c r="A111" s="1331"/>
      <c r="B111" s="2174" t="s">
        <v>1317</v>
      </c>
      <c r="C111" s="1275"/>
      <c r="D111" s="1275"/>
      <c r="E111" s="1270">
        <v>230</v>
      </c>
      <c r="F111" s="1358" t="s">
        <v>226</v>
      </c>
      <c r="G111" s="2176">
        <v>23</v>
      </c>
      <c r="H111" s="1264">
        <f t="shared" si="11"/>
        <v>5290</v>
      </c>
      <c r="I111" s="1265">
        <v>12</v>
      </c>
      <c r="J111" s="1264">
        <f t="shared" si="12"/>
        <v>2760</v>
      </c>
      <c r="K111" s="1273">
        <f t="shared" si="13"/>
        <v>8050</v>
      </c>
      <c r="L111" s="2000" t="s">
        <v>2667</v>
      </c>
      <c r="N111" s="1199">
        <v>2264.1999999999998</v>
      </c>
      <c r="O111" s="1199">
        <f t="shared" ref="O111:O119" si="14">ROUND(N111/100,)</f>
        <v>23</v>
      </c>
      <c r="P111" s="1199">
        <f t="shared" ref="P111:P123" si="15">E111*1.1</f>
        <v>253.00000000000003</v>
      </c>
    </row>
    <row r="112" spans="1:18" s="1199" customFormat="1" ht="24" customHeight="1">
      <c r="A112" s="1331"/>
      <c r="B112" s="2174" t="s">
        <v>1318</v>
      </c>
      <c r="C112" s="1275"/>
      <c r="D112" s="1275"/>
      <c r="E112" s="1270"/>
      <c r="F112" s="1358" t="s">
        <v>226</v>
      </c>
      <c r="G112" s="2176">
        <v>39</v>
      </c>
      <c r="H112" s="1264">
        <f t="shared" si="11"/>
        <v>0</v>
      </c>
      <c r="I112" s="1265">
        <v>16</v>
      </c>
      <c r="J112" s="1264">
        <f t="shared" si="12"/>
        <v>0</v>
      </c>
      <c r="K112" s="1273">
        <f t="shared" si="13"/>
        <v>0</v>
      </c>
      <c r="L112" s="2000" t="s">
        <v>2667</v>
      </c>
      <c r="N112" s="1199">
        <v>3944.2</v>
      </c>
      <c r="O112" s="1199">
        <f t="shared" si="14"/>
        <v>39</v>
      </c>
      <c r="P112" s="1199">
        <f t="shared" si="15"/>
        <v>0</v>
      </c>
    </row>
    <row r="113" spans="1:17" s="1199" customFormat="1" ht="24" customHeight="1">
      <c r="A113" s="1331"/>
      <c r="B113" s="2174" t="s">
        <v>1319</v>
      </c>
      <c r="C113" s="1275"/>
      <c r="D113" s="1275"/>
      <c r="E113" s="1270"/>
      <c r="F113" s="1358" t="s">
        <v>226</v>
      </c>
      <c r="G113" s="2176">
        <v>61</v>
      </c>
      <c r="H113" s="1264">
        <f t="shared" si="11"/>
        <v>0</v>
      </c>
      <c r="I113" s="1265">
        <v>20</v>
      </c>
      <c r="J113" s="1264">
        <f t="shared" si="12"/>
        <v>0</v>
      </c>
      <c r="K113" s="1273">
        <f t="shared" si="13"/>
        <v>0</v>
      </c>
      <c r="L113" s="2000" t="s">
        <v>2667</v>
      </c>
      <c r="N113" s="1199">
        <v>6120</v>
      </c>
      <c r="O113" s="1199">
        <f t="shared" si="14"/>
        <v>61</v>
      </c>
      <c r="P113" s="1199">
        <f t="shared" si="15"/>
        <v>0</v>
      </c>
    </row>
    <row r="114" spans="1:17" s="1199" customFormat="1" ht="24" customHeight="1">
      <c r="A114" s="1331"/>
      <c r="B114" s="2174" t="s">
        <v>1320</v>
      </c>
      <c r="C114" s="1275"/>
      <c r="D114" s="1275"/>
      <c r="E114" s="1270">
        <v>920</v>
      </c>
      <c r="F114" s="1358" t="s">
        <v>226</v>
      </c>
      <c r="G114" s="2176">
        <v>96</v>
      </c>
      <c r="H114" s="1264">
        <f t="shared" si="11"/>
        <v>88320</v>
      </c>
      <c r="I114" s="1265">
        <v>25</v>
      </c>
      <c r="J114" s="1264">
        <f t="shared" si="12"/>
        <v>23000</v>
      </c>
      <c r="K114" s="1273">
        <f t="shared" si="13"/>
        <v>111320</v>
      </c>
      <c r="L114" s="2000" t="s">
        <v>2667</v>
      </c>
      <c r="N114" s="1199">
        <v>9600</v>
      </c>
      <c r="O114" s="1199">
        <f t="shared" si="14"/>
        <v>96</v>
      </c>
      <c r="P114" s="1199">
        <f t="shared" si="15"/>
        <v>1012.0000000000001</v>
      </c>
    </row>
    <row r="115" spans="1:17" s="1199" customFormat="1" ht="24" customHeight="1">
      <c r="A115" s="1331"/>
      <c r="B115" s="2174" t="s">
        <v>1321</v>
      </c>
      <c r="C115" s="1275"/>
      <c r="D115" s="1275"/>
      <c r="E115" s="1270"/>
      <c r="F115" s="1358" t="s">
        <v>226</v>
      </c>
      <c r="G115" s="2176">
        <v>127</v>
      </c>
      <c r="H115" s="1264">
        <f t="shared" si="11"/>
        <v>0</v>
      </c>
      <c r="I115" s="1265">
        <v>30</v>
      </c>
      <c r="J115" s="1264">
        <f t="shared" si="12"/>
        <v>0</v>
      </c>
      <c r="K115" s="1273">
        <f t="shared" si="13"/>
        <v>0</v>
      </c>
      <c r="L115" s="2000" t="s">
        <v>2667</v>
      </c>
      <c r="N115" s="1199">
        <v>12744.2</v>
      </c>
      <c r="O115" s="1199">
        <f t="shared" si="14"/>
        <v>127</v>
      </c>
      <c r="P115" s="1199">
        <f t="shared" si="15"/>
        <v>0</v>
      </c>
    </row>
    <row r="116" spans="1:17" s="1199" customFormat="1" ht="24" customHeight="1">
      <c r="A116" s="1331"/>
      <c r="B116" s="2174" t="s">
        <v>1322</v>
      </c>
      <c r="C116" s="1275"/>
      <c r="D116" s="1275"/>
      <c r="E116" s="1270"/>
      <c r="F116" s="1358" t="s">
        <v>226</v>
      </c>
      <c r="G116" s="2176">
        <v>183</v>
      </c>
      <c r="H116" s="1264">
        <f t="shared" si="11"/>
        <v>0</v>
      </c>
      <c r="I116" s="1265">
        <v>40</v>
      </c>
      <c r="J116" s="1264">
        <f t="shared" si="12"/>
        <v>0</v>
      </c>
      <c r="K116" s="1273">
        <f t="shared" si="13"/>
        <v>0</v>
      </c>
      <c r="L116" s="2000" t="s">
        <v>2667</v>
      </c>
      <c r="N116" s="1199">
        <v>18335.8</v>
      </c>
      <c r="O116" s="1199">
        <f t="shared" si="14"/>
        <v>183</v>
      </c>
      <c r="P116" s="1199">
        <f t="shared" si="15"/>
        <v>0</v>
      </c>
    </row>
    <row r="117" spans="1:17" s="1199" customFormat="1" ht="24" customHeight="1">
      <c r="A117" s="1331"/>
      <c r="B117" s="2174" t="s">
        <v>1323</v>
      </c>
      <c r="C117" s="1275"/>
      <c r="D117" s="1275"/>
      <c r="E117" s="1270"/>
      <c r="F117" s="1358" t="s">
        <v>226</v>
      </c>
      <c r="G117" s="2176">
        <v>262</v>
      </c>
      <c r="H117" s="1264">
        <f t="shared" si="11"/>
        <v>0</v>
      </c>
      <c r="I117" s="1265">
        <v>45</v>
      </c>
      <c r="J117" s="1264">
        <f t="shared" si="12"/>
        <v>0</v>
      </c>
      <c r="K117" s="1273">
        <f t="shared" si="13"/>
        <v>0</v>
      </c>
      <c r="L117" s="2000" t="s">
        <v>2667</v>
      </c>
      <c r="N117" s="1199">
        <v>26215.8</v>
      </c>
      <c r="O117" s="1199">
        <f t="shared" si="14"/>
        <v>262</v>
      </c>
      <c r="P117" s="1199">
        <f t="shared" si="15"/>
        <v>0</v>
      </c>
    </row>
    <row r="118" spans="1:17" s="1199" customFormat="1" ht="24" customHeight="1">
      <c r="A118" s="1331"/>
      <c r="B118" s="2174" t="s">
        <v>1324</v>
      </c>
      <c r="C118" s="1275"/>
      <c r="D118" s="1275"/>
      <c r="E118" s="1270"/>
      <c r="F118" s="1358" t="s">
        <v>226</v>
      </c>
      <c r="G118" s="2176">
        <v>361</v>
      </c>
      <c r="H118" s="1264">
        <f t="shared" si="11"/>
        <v>0</v>
      </c>
      <c r="I118" s="1265">
        <v>55</v>
      </c>
      <c r="J118" s="1264">
        <f t="shared" si="12"/>
        <v>0</v>
      </c>
      <c r="K118" s="1273">
        <f t="shared" si="13"/>
        <v>0</v>
      </c>
      <c r="L118" s="2000" t="s">
        <v>2667</v>
      </c>
      <c r="N118" s="1199">
        <v>36120</v>
      </c>
      <c r="O118" s="1199">
        <f t="shared" si="14"/>
        <v>361</v>
      </c>
      <c r="P118" s="1199">
        <f t="shared" si="15"/>
        <v>0</v>
      </c>
    </row>
    <row r="119" spans="1:17" s="1199" customFormat="1" ht="24" customHeight="1">
      <c r="A119" s="1331"/>
      <c r="B119" s="2174" t="s">
        <v>1325</v>
      </c>
      <c r="C119" s="1275"/>
      <c r="D119" s="1275"/>
      <c r="E119" s="1270"/>
      <c r="F119" s="1358" t="s">
        <v>226</v>
      </c>
      <c r="G119" s="2176">
        <v>458</v>
      </c>
      <c r="H119" s="1264">
        <f t="shared" si="11"/>
        <v>0</v>
      </c>
      <c r="I119" s="1265">
        <v>60</v>
      </c>
      <c r="J119" s="1264">
        <f t="shared" si="12"/>
        <v>0</v>
      </c>
      <c r="K119" s="1273">
        <f t="shared" si="13"/>
        <v>0</v>
      </c>
      <c r="L119" s="2000" t="s">
        <v>2667</v>
      </c>
      <c r="N119" s="1199">
        <v>45760</v>
      </c>
      <c r="O119" s="1199">
        <f t="shared" si="14"/>
        <v>458</v>
      </c>
      <c r="P119" s="1199">
        <f t="shared" si="15"/>
        <v>0</v>
      </c>
    </row>
    <row r="120" spans="1:17" s="1199" customFormat="1" ht="24" customHeight="1">
      <c r="A120" s="1331"/>
      <c r="B120" s="2174" t="s">
        <v>1326</v>
      </c>
      <c r="C120" s="1275"/>
      <c r="D120" s="1275"/>
      <c r="E120" s="1270"/>
      <c r="F120" s="1358" t="s">
        <v>226</v>
      </c>
      <c r="G120" s="2176">
        <v>525</v>
      </c>
      <c r="H120" s="1264">
        <f t="shared" si="11"/>
        <v>0</v>
      </c>
      <c r="I120" s="1265">
        <v>70</v>
      </c>
      <c r="J120" s="1264">
        <f t="shared" si="12"/>
        <v>0</v>
      </c>
      <c r="K120" s="1273">
        <f t="shared" si="13"/>
        <v>0</v>
      </c>
      <c r="L120" s="1269"/>
      <c r="P120" s="1199">
        <f t="shared" si="15"/>
        <v>0</v>
      </c>
    </row>
    <row r="121" spans="1:17" s="1199" customFormat="1" ht="24" customHeight="1">
      <c r="A121" s="1331"/>
      <c r="B121" s="2174" t="s">
        <v>1327</v>
      </c>
      <c r="C121" s="1275"/>
      <c r="D121" s="1275"/>
      <c r="E121" s="1270"/>
      <c r="F121" s="1358" t="s">
        <v>226</v>
      </c>
      <c r="G121" s="2176">
        <v>659</v>
      </c>
      <c r="H121" s="1264">
        <f t="shared" si="11"/>
        <v>0</v>
      </c>
      <c r="I121" s="1265">
        <v>85</v>
      </c>
      <c r="J121" s="1264">
        <f t="shared" si="12"/>
        <v>0</v>
      </c>
      <c r="K121" s="1273">
        <f t="shared" si="13"/>
        <v>0</v>
      </c>
      <c r="L121" s="1269"/>
      <c r="P121" s="1199">
        <f t="shared" si="15"/>
        <v>0</v>
      </c>
    </row>
    <row r="122" spans="1:17" s="1199" customFormat="1" ht="24" customHeight="1">
      <c r="A122" s="1331"/>
      <c r="B122" s="2174" t="s">
        <v>1328</v>
      </c>
      <c r="C122" s="1275"/>
      <c r="D122" s="1275"/>
      <c r="E122" s="1270"/>
      <c r="F122" s="1358" t="s">
        <v>226</v>
      </c>
      <c r="G122" s="2176">
        <v>865</v>
      </c>
      <c r="H122" s="1264">
        <f t="shared" si="11"/>
        <v>0</v>
      </c>
      <c r="I122" s="1265">
        <v>100</v>
      </c>
      <c r="J122" s="1264">
        <f t="shared" si="12"/>
        <v>0</v>
      </c>
      <c r="K122" s="1273">
        <f t="shared" si="13"/>
        <v>0</v>
      </c>
      <c r="L122" s="1269"/>
      <c r="P122" s="1199">
        <f t="shared" si="15"/>
        <v>0</v>
      </c>
    </row>
    <row r="123" spans="1:17" s="1199" customFormat="1" ht="24" customHeight="1">
      <c r="A123" s="1331"/>
      <c r="B123" s="2174" t="s">
        <v>1329</v>
      </c>
      <c r="C123" s="1275"/>
      <c r="D123" s="1275"/>
      <c r="E123" s="1270"/>
      <c r="F123" s="1358" t="s">
        <v>226</v>
      </c>
      <c r="G123" s="2176">
        <v>1084</v>
      </c>
      <c r="H123" s="1264">
        <f t="shared" si="11"/>
        <v>0</v>
      </c>
      <c r="I123" s="1265">
        <v>110</v>
      </c>
      <c r="J123" s="1264">
        <f t="shared" si="12"/>
        <v>0</v>
      </c>
      <c r="K123" s="1273">
        <f t="shared" si="13"/>
        <v>0</v>
      </c>
      <c r="L123" s="1269"/>
      <c r="P123" s="1199">
        <f t="shared" si="15"/>
        <v>0</v>
      </c>
    </row>
    <row r="124" spans="1:17" s="1199" customFormat="1" ht="24" customHeight="1">
      <c r="A124" s="1331" t="s">
        <v>1158</v>
      </c>
      <c r="B124" s="2174" t="s">
        <v>2897</v>
      </c>
      <c r="C124" s="1275"/>
      <c r="D124" s="1275"/>
      <c r="E124" s="1276"/>
      <c r="F124" s="1358"/>
      <c r="G124" s="2175"/>
      <c r="H124" s="1264"/>
      <c r="I124" s="1265"/>
      <c r="J124" s="1264"/>
      <c r="K124" s="1273"/>
      <c r="L124" s="1269"/>
    </row>
    <row r="125" spans="1:17" s="1199" customFormat="1" ht="24" customHeight="1">
      <c r="A125" s="1331" t="s">
        <v>2898</v>
      </c>
      <c r="B125" s="1190" t="s">
        <v>1597</v>
      </c>
      <c r="C125" s="1202"/>
      <c r="D125" s="1202"/>
      <c r="E125" s="1387"/>
      <c r="F125" s="1384"/>
      <c r="G125" s="2176"/>
      <c r="H125" s="1264">
        <f t="shared" ref="H125:H134" si="16">ROUND(E125*G125,)</f>
        <v>0</v>
      </c>
      <c r="I125" s="2177"/>
      <c r="J125" s="1264">
        <f t="shared" ref="J125:J134" si="17">ROUND(E125*I125,)</f>
        <v>0</v>
      </c>
      <c r="K125" s="1385"/>
      <c r="L125" s="1385"/>
      <c r="M125" s="1214"/>
      <c r="N125" s="1214"/>
      <c r="O125" s="1214"/>
      <c r="P125" s="1214"/>
      <c r="Q125" s="1214"/>
    </row>
    <row r="126" spans="1:17" s="1199" customFormat="1" ht="24" customHeight="1">
      <c r="A126" s="1331"/>
      <c r="B126" s="1190" t="s">
        <v>1443</v>
      </c>
      <c r="C126" s="1202"/>
      <c r="D126" s="1202"/>
      <c r="E126" s="1270"/>
      <c r="F126" s="1358" t="s">
        <v>226</v>
      </c>
      <c r="G126" s="2176">
        <v>9</v>
      </c>
      <c r="H126" s="1264">
        <f t="shared" si="16"/>
        <v>0</v>
      </c>
      <c r="I126" s="2177">
        <v>7</v>
      </c>
      <c r="J126" s="1264">
        <f t="shared" si="17"/>
        <v>0</v>
      </c>
      <c r="K126" s="1273">
        <f>H126+J126</f>
        <v>0</v>
      </c>
      <c r="L126" s="2001" t="s">
        <v>2667</v>
      </c>
      <c r="M126" s="1214"/>
      <c r="N126" s="1199">
        <v>912.1</v>
      </c>
      <c r="O126" s="1199">
        <f>ROUND(N126/100,)</f>
        <v>9</v>
      </c>
      <c r="P126" s="1214"/>
      <c r="Q126" s="1214"/>
    </row>
    <row r="127" spans="1:17" s="1199" customFormat="1" ht="24" customHeight="1">
      <c r="A127" s="1331"/>
      <c r="B127" s="1190" t="s">
        <v>1316</v>
      </c>
      <c r="C127" s="1202"/>
      <c r="D127" s="1202"/>
      <c r="E127" s="1270">
        <v>585</v>
      </c>
      <c r="F127" s="1358" t="s">
        <v>226</v>
      </c>
      <c r="G127" s="2176">
        <v>14</v>
      </c>
      <c r="H127" s="1264">
        <f t="shared" si="16"/>
        <v>8190</v>
      </c>
      <c r="I127" s="2177">
        <v>10</v>
      </c>
      <c r="J127" s="1264">
        <f t="shared" si="17"/>
        <v>5850</v>
      </c>
      <c r="K127" s="1273">
        <f>H127+J127</f>
        <v>14040</v>
      </c>
      <c r="L127" s="2001" t="s">
        <v>2667</v>
      </c>
      <c r="M127" s="1214"/>
      <c r="N127" s="1199">
        <v>1375.8</v>
      </c>
      <c r="O127" s="1199">
        <f>ROUND(N127/100,)</f>
        <v>14</v>
      </c>
      <c r="P127" s="1214"/>
      <c r="Q127" s="1214"/>
    </row>
    <row r="128" spans="1:17" s="1199" customFormat="1" ht="24" customHeight="1">
      <c r="A128" s="1331"/>
      <c r="B128" s="2174" t="s">
        <v>1317</v>
      </c>
      <c r="C128" s="1275"/>
      <c r="D128" s="1275"/>
      <c r="E128" s="1270"/>
      <c r="F128" s="1358" t="s">
        <v>226</v>
      </c>
      <c r="G128" s="2176">
        <v>23</v>
      </c>
      <c r="H128" s="1264">
        <f t="shared" si="16"/>
        <v>0</v>
      </c>
      <c r="I128" s="1265">
        <v>12</v>
      </c>
      <c r="J128" s="1264">
        <f t="shared" si="17"/>
        <v>0</v>
      </c>
      <c r="K128" s="1273">
        <f t="shared" ref="K128:K129" si="18">H128+J128</f>
        <v>0</v>
      </c>
      <c r="L128" s="2001" t="s">
        <v>2667</v>
      </c>
      <c r="N128" s="1199">
        <v>2264.1999999999998</v>
      </c>
      <c r="O128" s="1199">
        <f t="shared" ref="O128:O129" si="19">ROUND(N128/100,)</f>
        <v>23</v>
      </c>
    </row>
    <row r="129" spans="1:18" s="1199" customFormat="1" ht="24" customHeight="1">
      <c r="A129" s="1331"/>
      <c r="B129" s="2174" t="s">
        <v>1318</v>
      </c>
      <c r="C129" s="1275"/>
      <c r="D129" s="1275"/>
      <c r="E129" s="1270"/>
      <c r="F129" s="1358" t="s">
        <v>226</v>
      </c>
      <c r="G129" s="2176">
        <v>39</v>
      </c>
      <c r="H129" s="1264">
        <f t="shared" si="16"/>
        <v>0</v>
      </c>
      <c r="I129" s="1265">
        <v>16</v>
      </c>
      <c r="J129" s="1264">
        <f t="shared" si="17"/>
        <v>0</v>
      </c>
      <c r="K129" s="1273">
        <f t="shared" si="18"/>
        <v>0</v>
      </c>
      <c r="L129" s="2001" t="s">
        <v>2667</v>
      </c>
      <c r="N129" s="1199">
        <v>3944.2</v>
      </c>
      <c r="O129" s="1199">
        <f t="shared" si="19"/>
        <v>39</v>
      </c>
    </row>
    <row r="130" spans="1:18" s="1199" customFormat="1" ht="24" customHeight="1">
      <c r="A130" s="1331"/>
      <c r="B130" s="2174"/>
      <c r="C130" s="1275"/>
      <c r="D130" s="1275"/>
      <c r="E130" s="1270"/>
      <c r="F130" s="1358"/>
      <c r="G130" s="2176"/>
      <c r="H130" s="1264"/>
      <c r="I130" s="1265"/>
      <c r="J130" s="1264"/>
      <c r="K130" s="1273"/>
      <c r="L130" s="2172"/>
    </row>
    <row r="131" spans="1:18" s="1199" customFormat="1" ht="24" customHeight="1">
      <c r="A131" s="1331" t="s">
        <v>2899</v>
      </c>
      <c r="B131" s="2174" t="s">
        <v>1331</v>
      </c>
      <c r="C131" s="1202"/>
      <c r="D131" s="1202"/>
      <c r="E131" s="1438"/>
      <c r="F131" s="1384"/>
      <c r="G131" s="2176"/>
      <c r="H131" s="1264">
        <f t="shared" si="16"/>
        <v>0</v>
      </c>
      <c r="I131" s="2177"/>
      <c r="J131" s="1264">
        <f t="shared" si="17"/>
        <v>0</v>
      </c>
      <c r="K131" s="1385"/>
      <c r="L131" s="1385"/>
      <c r="M131" s="1214"/>
      <c r="N131" s="1214"/>
      <c r="O131" s="1214"/>
      <c r="P131" s="1214"/>
      <c r="Q131" s="1214"/>
    </row>
    <row r="132" spans="1:18" s="1199" customFormat="1" ht="24" customHeight="1">
      <c r="A132" s="1331"/>
      <c r="B132" s="2174" t="s">
        <v>1443</v>
      </c>
      <c r="C132" s="1202"/>
      <c r="D132" s="1202"/>
      <c r="E132" s="1270"/>
      <c r="F132" s="1358" t="s">
        <v>226</v>
      </c>
      <c r="G132" s="2176">
        <v>41</v>
      </c>
      <c r="H132" s="1264">
        <f t="shared" si="16"/>
        <v>0</v>
      </c>
      <c r="I132" s="2177">
        <v>12</v>
      </c>
      <c r="J132" s="1264">
        <f t="shared" si="17"/>
        <v>0</v>
      </c>
      <c r="K132" s="1273">
        <f>H132+J132</f>
        <v>0</v>
      </c>
      <c r="L132" s="1385"/>
      <c r="M132" s="1214"/>
      <c r="N132" s="1214"/>
      <c r="O132" s="1214"/>
      <c r="P132" s="1214"/>
      <c r="Q132" s="1214"/>
    </row>
    <row r="133" spans="1:18" s="1199" customFormat="1" ht="24" customHeight="1">
      <c r="A133" s="1331"/>
      <c r="B133" s="2174" t="s">
        <v>1316</v>
      </c>
      <c r="C133" s="1202"/>
      <c r="D133" s="1202"/>
      <c r="E133" s="1506"/>
      <c r="F133" s="1358" t="s">
        <v>226</v>
      </c>
      <c r="G133" s="2176">
        <v>53</v>
      </c>
      <c r="H133" s="1264">
        <f t="shared" si="16"/>
        <v>0</v>
      </c>
      <c r="I133" s="2177">
        <v>14</v>
      </c>
      <c r="J133" s="1264">
        <f t="shared" si="17"/>
        <v>0</v>
      </c>
      <c r="K133" s="1273">
        <f>H133+J133</f>
        <v>0</v>
      </c>
      <c r="L133" s="1385"/>
      <c r="M133" s="1214"/>
      <c r="N133" s="1214"/>
      <c r="O133" s="1214"/>
      <c r="P133" s="1214"/>
      <c r="Q133" s="1214"/>
    </row>
    <row r="134" spans="1:18" s="1199" customFormat="1" ht="24" customHeight="1">
      <c r="A134" s="1406"/>
      <c r="B134" s="2174" t="s">
        <v>1444</v>
      </c>
      <c r="C134" s="1202"/>
      <c r="D134" s="1202"/>
      <c r="E134" s="1490">
        <v>1</v>
      </c>
      <c r="F134" s="1358" t="s">
        <v>1104</v>
      </c>
      <c r="G134" s="2176">
        <f>ROUND(SUM(H108:H133)*0.05,)</f>
        <v>5090</v>
      </c>
      <c r="H134" s="1264">
        <f t="shared" si="16"/>
        <v>5090</v>
      </c>
      <c r="I134" s="2177">
        <f>ROUND(G134*0.3,)</f>
        <v>1527</v>
      </c>
      <c r="J134" s="1264">
        <f t="shared" si="17"/>
        <v>1527</v>
      </c>
      <c r="K134" s="1273">
        <f>H134+J134</f>
        <v>6617</v>
      </c>
      <c r="L134" s="1385"/>
      <c r="M134" s="1214"/>
      <c r="N134" s="1214"/>
      <c r="O134" s="1214"/>
      <c r="P134" s="1214"/>
      <c r="Q134" s="1214"/>
    </row>
    <row r="135" spans="1:18" s="1199" customFormat="1" ht="24" customHeight="1">
      <c r="A135" s="1331"/>
      <c r="B135" s="2174" t="s">
        <v>1117</v>
      </c>
      <c r="C135" s="1202"/>
      <c r="D135" s="1202"/>
      <c r="E135" s="1387"/>
      <c r="F135" s="1384"/>
      <c r="G135" s="2176"/>
      <c r="H135" s="1388"/>
      <c r="I135" s="2177"/>
      <c r="J135" s="1385"/>
      <c r="K135" s="1385"/>
      <c r="L135" s="1385"/>
      <c r="M135" s="1214"/>
      <c r="N135" s="1214"/>
      <c r="O135" s="1214"/>
      <c r="P135" s="1214"/>
      <c r="Q135" s="1214"/>
      <c r="R135" s="1214"/>
    </row>
    <row r="136" spans="1:18" s="1199" customFormat="1" ht="24" customHeight="1">
      <c r="A136" s="1331"/>
      <c r="B136" s="2174" t="s">
        <v>1118</v>
      </c>
      <c r="C136" s="1202"/>
      <c r="D136" s="1202"/>
      <c r="E136" s="1387"/>
      <c r="F136" s="1384"/>
      <c r="G136" s="2176"/>
      <c r="H136" s="1388"/>
      <c r="I136" s="2177"/>
      <c r="J136" s="1385"/>
      <c r="K136" s="1385"/>
      <c r="L136" s="1385"/>
      <c r="M136" s="1214"/>
      <c r="N136" s="1214"/>
      <c r="O136" s="1214"/>
      <c r="P136" s="1214"/>
      <c r="Q136" s="1214"/>
      <c r="R136" s="1214"/>
    </row>
    <row r="137" spans="1:18" s="1199" customFormat="1" ht="24" customHeight="1">
      <c r="A137" s="1189"/>
      <c r="B137" s="2174" t="s">
        <v>1118</v>
      </c>
      <c r="C137" s="1202"/>
      <c r="D137" s="1202"/>
      <c r="E137" s="1387"/>
      <c r="F137" s="1384"/>
      <c r="G137" s="2176"/>
      <c r="H137" s="1388"/>
      <c r="I137" s="2177"/>
      <c r="J137" s="1385"/>
      <c r="K137" s="1385"/>
      <c r="L137" s="1385"/>
      <c r="M137" s="1214"/>
      <c r="N137" s="1214"/>
      <c r="O137" s="1214"/>
      <c r="P137" s="1214"/>
      <c r="Q137" s="1214"/>
      <c r="R137" s="1214"/>
    </row>
    <row r="138" spans="1:18" s="1199" customFormat="1" ht="24" customHeight="1">
      <c r="A138" s="1331"/>
      <c r="B138" s="2174"/>
      <c r="C138" s="1202"/>
      <c r="D138" s="1202"/>
      <c r="E138" s="1387"/>
      <c r="F138" s="1384"/>
      <c r="G138" s="2176"/>
      <c r="H138" s="1388"/>
      <c r="I138" s="2177"/>
      <c r="J138" s="1385"/>
      <c r="K138" s="1385"/>
      <c r="L138" s="1385"/>
      <c r="M138" s="1214"/>
      <c r="N138" s="1214"/>
      <c r="O138" s="1214"/>
      <c r="P138" s="1214"/>
      <c r="Q138" s="1214"/>
      <c r="R138" s="1214"/>
    </row>
    <row r="139" spans="1:18" s="1199" customFormat="1" ht="24" customHeight="1">
      <c r="A139" s="1243"/>
      <c r="B139" s="2257" t="str">
        <f>"รวมราคารายการที่ "&amp;A107</f>
        <v>รวมราคารายการที่ 3.4</v>
      </c>
      <c r="C139" s="2258"/>
      <c r="D139" s="2259"/>
      <c r="E139" s="1244"/>
      <c r="F139" s="1245"/>
      <c r="G139" s="1246"/>
      <c r="H139" s="1247">
        <f>SUM(H107:H136)</f>
        <v>106890</v>
      </c>
      <c r="I139" s="1246"/>
      <c r="J139" s="1247">
        <f>SUM(J107:J136)</f>
        <v>33137</v>
      </c>
      <c r="K139" s="1247">
        <f>SUM(K107:K136)</f>
        <v>140027</v>
      </c>
      <c r="L139" s="1245"/>
      <c r="M139" s="1214"/>
      <c r="N139" s="1214"/>
      <c r="O139" s="1214"/>
      <c r="P139" s="1214"/>
      <c r="Q139" s="1214"/>
      <c r="R139" s="1214"/>
    </row>
    <row r="140" spans="1:18" s="1199" customFormat="1" ht="24" customHeight="1">
      <c r="A140" s="1435" t="s">
        <v>1461</v>
      </c>
      <c r="B140" s="1436" t="s">
        <v>1333</v>
      </c>
      <c r="C140" s="1202"/>
      <c r="D140" s="1202"/>
      <c r="E140" s="1387"/>
      <c r="F140" s="1384"/>
      <c r="G140" s="2176"/>
      <c r="H140" s="1388"/>
      <c r="I140" s="2177"/>
      <c r="J140" s="1385"/>
      <c r="K140" s="1385"/>
      <c r="L140" s="1385"/>
      <c r="M140" s="1214"/>
      <c r="N140" s="1214"/>
      <c r="O140" s="1214"/>
      <c r="P140" s="1214"/>
      <c r="Q140" s="1214"/>
      <c r="R140" s="1214"/>
    </row>
    <row r="141" spans="1:18" s="1199" customFormat="1" ht="24" customHeight="1">
      <c r="A141" s="1331" t="s">
        <v>1181</v>
      </c>
      <c r="B141" s="2174" t="s">
        <v>1446</v>
      </c>
      <c r="C141" s="1202"/>
      <c r="D141" s="1202"/>
      <c r="E141" s="1387"/>
      <c r="F141" s="1384"/>
      <c r="G141" s="2176"/>
      <c r="H141" s="1264">
        <f t="shared" ref="H141:H156" si="20">ROUND(E141*G141,)</f>
        <v>0</v>
      </c>
      <c r="I141" s="2177"/>
      <c r="J141" s="1264">
        <f t="shared" ref="J141:J156" si="21">ROUND(E141*I141,)</f>
        <v>0</v>
      </c>
      <c r="K141" s="1385"/>
      <c r="L141" s="1385"/>
      <c r="M141" s="1214"/>
      <c r="N141" s="1214"/>
      <c r="O141" s="1214"/>
      <c r="P141" s="1214"/>
      <c r="Q141" s="1214"/>
      <c r="R141" s="1214"/>
    </row>
    <row r="142" spans="1:18" s="1199" customFormat="1" ht="24" customHeight="1">
      <c r="A142" s="1331"/>
      <c r="B142" s="2174" t="s">
        <v>1350</v>
      </c>
      <c r="C142" s="1202"/>
      <c r="D142" s="1202"/>
      <c r="E142" s="1404">
        <v>195</v>
      </c>
      <c r="F142" s="1358" t="s">
        <v>226</v>
      </c>
      <c r="G142" s="2176">
        <v>27</v>
      </c>
      <c r="H142" s="1264">
        <f t="shared" si="20"/>
        <v>5265</v>
      </c>
      <c r="I142" s="2177">
        <v>22</v>
      </c>
      <c r="J142" s="1264">
        <f t="shared" si="21"/>
        <v>4290</v>
      </c>
      <c r="K142" s="1802">
        <f>H142+J142</f>
        <v>9555</v>
      </c>
      <c r="L142" s="2001" t="s">
        <v>2667</v>
      </c>
      <c r="M142" s="1214"/>
      <c r="N142" s="1199">
        <v>79.8</v>
      </c>
      <c r="O142" s="1199">
        <f>ROUND(N142/3,)</f>
        <v>27</v>
      </c>
      <c r="P142" s="1214"/>
      <c r="Q142" s="1214"/>
      <c r="R142" s="1214"/>
    </row>
    <row r="143" spans="1:18" s="1199" customFormat="1" ht="24" customHeight="1">
      <c r="A143" s="1331"/>
      <c r="B143" s="2174" t="s">
        <v>1108</v>
      </c>
      <c r="C143" s="1202"/>
      <c r="D143" s="1202"/>
      <c r="E143" s="1404">
        <v>1</v>
      </c>
      <c r="F143" s="1384" t="s">
        <v>1104</v>
      </c>
      <c r="G143" s="2176">
        <f>ROUND(SUM(H142:H142)*15%,)</f>
        <v>790</v>
      </c>
      <c r="H143" s="1264">
        <f t="shared" si="20"/>
        <v>790</v>
      </c>
      <c r="I143" s="2177">
        <f>ROUND(G143*0.3,)</f>
        <v>237</v>
      </c>
      <c r="J143" s="1264">
        <f t="shared" si="21"/>
        <v>237</v>
      </c>
      <c r="K143" s="1273">
        <f>H143+J143</f>
        <v>1027</v>
      </c>
      <c r="L143" s="1385"/>
      <c r="M143" s="1214"/>
      <c r="N143" s="1214"/>
      <c r="O143" s="1214"/>
      <c r="P143" s="1214"/>
      <c r="Q143" s="1214"/>
      <c r="R143" s="1214"/>
    </row>
    <row r="144" spans="1:18" s="1199" customFormat="1" ht="24" customHeight="1">
      <c r="A144" s="1331" t="s">
        <v>1197</v>
      </c>
      <c r="B144" s="2174" t="s">
        <v>1110</v>
      </c>
      <c r="C144" s="1202"/>
      <c r="D144" s="1202"/>
      <c r="E144" s="1404"/>
      <c r="F144" s="1384"/>
      <c r="G144" s="2176"/>
      <c r="H144" s="1264">
        <f t="shared" si="20"/>
        <v>0</v>
      </c>
      <c r="I144" s="2177"/>
      <c r="J144" s="1264">
        <f t="shared" si="21"/>
        <v>0</v>
      </c>
      <c r="K144" s="1385"/>
      <c r="L144" s="1385"/>
      <c r="M144" s="1214"/>
      <c r="N144" s="1214"/>
      <c r="O144" s="1214"/>
      <c r="P144" s="1214"/>
      <c r="Q144" s="1214"/>
      <c r="R144" s="1214"/>
    </row>
    <row r="145" spans="1:18" s="1199" customFormat="1" ht="24" customHeight="1">
      <c r="A145" s="1331"/>
      <c r="B145" s="2174" t="s">
        <v>1350</v>
      </c>
      <c r="C145" s="1202"/>
      <c r="D145" s="1202"/>
      <c r="E145" s="1404"/>
      <c r="F145" s="1358" t="s">
        <v>226</v>
      </c>
      <c r="G145" s="2176">
        <v>56</v>
      </c>
      <c r="H145" s="1264">
        <f t="shared" si="20"/>
        <v>0</v>
      </c>
      <c r="I145" s="2177">
        <v>26</v>
      </c>
      <c r="J145" s="1264">
        <f t="shared" si="21"/>
        <v>0</v>
      </c>
      <c r="K145" s="1273">
        <f>H145+J145</f>
        <v>0</v>
      </c>
      <c r="L145" s="2001" t="s">
        <v>2667</v>
      </c>
      <c r="M145" s="1214"/>
      <c r="N145" s="1199">
        <v>169.2</v>
      </c>
      <c r="O145" s="1199">
        <f t="shared" ref="O145:O150" si="22">ROUND(N145/3,)</f>
        <v>56</v>
      </c>
      <c r="P145" s="1214"/>
      <c r="Q145" s="1214"/>
      <c r="R145" s="1214"/>
    </row>
    <row r="146" spans="1:18" s="1199" customFormat="1" ht="24" customHeight="1">
      <c r="A146" s="1331"/>
      <c r="B146" s="2174" t="s">
        <v>1448</v>
      </c>
      <c r="C146" s="1202"/>
      <c r="D146" s="1202"/>
      <c r="E146" s="1404"/>
      <c r="F146" s="1358" t="s">
        <v>226</v>
      </c>
      <c r="G146" s="2176">
        <v>75</v>
      </c>
      <c r="H146" s="1264">
        <f t="shared" si="20"/>
        <v>0</v>
      </c>
      <c r="I146" s="2177">
        <v>29</v>
      </c>
      <c r="J146" s="1264">
        <f t="shared" si="21"/>
        <v>0</v>
      </c>
      <c r="K146" s="1273">
        <f>H146+J146</f>
        <v>0</v>
      </c>
      <c r="L146" s="2001" t="s">
        <v>2667</v>
      </c>
      <c r="N146" s="1199">
        <v>225</v>
      </c>
      <c r="O146" s="1199">
        <f t="shared" si="22"/>
        <v>75</v>
      </c>
      <c r="P146" s="1214"/>
    </row>
    <row r="147" spans="1:18" s="1199" customFormat="1" ht="24" customHeight="1">
      <c r="A147" s="1331"/>
      <c r="B147" s="2174" t="s">
        <v>1337</v>
      </c>
      <c r="C147" s="1202"/>
      <c r="D147" s="1202"/>
      <c r="E147" s="1404">
        <v>0</v>
      </c>
      <c r="F147" s="1358" t="s">
        <v>226</v>
      </c>
      <c r="G147" s="2176">
        <v>101</v>
      </c>
      <c r="H147" s="1264">
        <f t="shared" si="20"/>
        <v>0</v>
      </c>
      <c r="I147" s="2177">
        <v>32</v>
      </c>
      <c r="J147" s="1264">
        <f t="shared" si="21"/>
        <v>0</v>
      </c>
      <c r="K147" s="1273">
        <f>H147+J147</f>
        <v>0</v>
      </c>
      <c r="L147" s="2001" t="s">
        <v>2667</v>
      </c>
      <c r="N147" s="1199">
        <v>303.60000000000002</v>
      </c>
      <c r="O147" s="1199">
        <f t="shared" si="22"/>
        <v>101</v>
      </c>
      <c r="P147" s="1214"/>
      <c r="Q147" s="1214"/>
      <c r="R147" s="1214"/>
    </row>
    <row r="148" spans="1:18" s="1199" customFormat="1" ht="24" customHeight="1">
      <c r="A148" s="1331"/>
      <c r="B148" s="2174" t="s">
        <v>1338</v>
      </c>
      <c r="C148" s="1202"/>
      <c r="D148" s="1202"/>
      <c r="E148" s="1270">
        <v>230</v>
      </c>
      <c r="F148" s="1358" t="s">
        <v>226</v>
      </c>
      <c r="G148" s="2176">
        <v>131</v>
      </c>
      <c r="H148" s="1264">
        <f t="shared" si="20"/>
        <v>30130</v>
      </c>
      <c r="I148" s="2177">
        <v>32</v>
      </c>
      <c r="J148" s="1264">
        <f t="shared" si="21"/>
        <v>7360</v>
      </c>
      <c r="K148" s="1273">
        <f t="shared" ref="K148:K153" si="23">H148+J148</f>
        <v>37490</v>
      </c>
      <c r="L148" s="2000" t="s">
        <v>2667</v>
      </c>
      <c r="N148" s="1199">
        <v>391.8</v>
      </c>
      <c r="O148" s="1199">
        <f t="shared" si="22"/>
        <v>131</v>
      </c>
    </row>
    <row r="149" spans="1:18" s="1199" customFormat="1" ht="24" customHeight="1">
      <c r="A149" s="1331"/>
      <c r="B149" s="2174" t="s">
        <v>1339</v>
      </c>
      <c r="C149" s="1202"/>
      <c r="D149" s="1202"/>
      <c r="E149" s="1270"/>
      <c r="F149" s="1358" t="s">
        <v>226</v>
      </c>
      <c r="G149" s="2176">
        <v>160</v>
      </c>
      <c r="H149" s="1264">
        <f t="shared" si="20"/>
        <v>0</v>
      </c>
      <c r="I149" s="2177">
        <v>38</v>
      </c>
      <c r="J149" s="1264">
        <f t="shared" si="21"/>
        <v>0</v>
      </c>
      <c r="K149" s="1273">
        <f t="shared" si="23"/>
        <v>0</v>
      </c>
      <c r="L149" s="2000" t="s">
        <v>2667</v>
      </c>
      <c r="N149" s="1199">
        <v>481.2</v>
      </c>
      <c r="O149" s="1199">
        <f t="shared" si="22"/>
        <v>160</v>
      </c>
    </row>
    <row r="150" spans="1:18" s="1199" customFormat="1" ht="24" customHeight="1">
      <c r="A150" s="1331"/>
      <c r="B150" s="2174" t="s">
        <v>1340</v>
      </c>
      <c r="C150" s="1202"/>
      <c r="D150" s="1202"/>
      <c r="E150" s="1270"/>
      <c r="F150" s="1358" t="s">
        <v>226</v>
      </c>
      <c r="G150" s="2176">
        <v>219</v>
      </c>
      <c r="H150" s="1264">
        <f t="shared" si="20"/>
        <v>0</v>
      </c>
      <c r="I150" s="2177">
        <v>42</v>
      </c>
      <c r="J150" s="1264">
        <f t="shared" si="21"/>
        <v>0</v>
      </c>
      <c r="K150" s="1273">
        <f t="shared" si="23"/>
        <v>0</v>
      </c>
      <c r="L150" s="2000" t="s">
        <v>2667</v>
      </c>
      <c r="N150" s="1199">
        <v>657.6</v>
      </c>
      <c r="O150" s="1199">
        <f t="shared" si="22"/>
        <v>219</v>
      </c>
    </row>
    <row r="151" spans="1:18" s="1199" customFormat="1" ht="24" customHeight="1">
      <c r="A151" s="1331"/>
      <c r="B151" s="2174" t="s">
        <v>1341</v>
      </c>
      <c r="C151" s="1202"/>
      <c r="D151" s="1202"/>
      <c r="E151" s="1270"/>
      <c r="F151" s="1358" t="s">
        <v>226</v>
      </c>
      <c r="G151" s="2176">
        <v>352</v>
      </c>
      <c r="H151" s="1264">
        <f t="shared" si="20"/>
        <v>0</v>
      </c>
      <c r="I151" s="2177">
        <v>48</v>
      </c>
      <c r="J151" s="1264">
        <f t="shared" si="21"/>
        <v>0</v>
      </c>
      <c r="K151" s="1273">
        <f t="shared" si="23"/>
        <v>0</v>
      </c>
      <c r="L151" s="1269"/>
    </row>
    <row r="152" spans="1:18" s="1199" customFormat="1" ht="24" customHeight="1">
      <c r="A152" s="1331"/>
      <c r="B152" s="2174" t="s">
        <v>1342</v>
      </c>
      <c r="C152" s="1202"/>
      <c r="D152" s="1202"/>
      <c r="E152" s="1270"/>
      <c r="F152" s="1358" t="s">
        <v>226</v>
      </c>
      <c r="G152" s="2176">
        <v>434</v>
      </c>
      <c r="H152" s="1264">
        <f t="shared" si="20"/>
        <v>0</v>
      </c>
      <c r="I152" s="2177">
        <v>55</v>
      </c>
      <c r="J152" s="1264">
        <f t="shared" si="21"/>
        <v>0</v>
      </c>
      <c r="K152" s="1273">
        <f t="shared" si="23"/>
        <v>0</v>
      </c>
      <c r="L152" s="1269"/>
    </row>
    <row r="153" spans="1:18" s="1199" customFormat="1" ht="24" customHeight="1">
      <c r="A153" s="1331"/>
      <c r="B153" s="2174" t="s">
        <v>1111</v>
      </c>
      <c r="C153" s="1202"/>
      <c r="D153" s="1202"/>
      <c r="E153" s="1270"/>
      <c r="F153" s="1358" t="s">
        <v>226</v>
      </c>
      <c r="G153" s="2176">
        <v>572</v>
      </c>
      <c r="H153" s="1264">
        <f t="shared" si="20"/>
        <v>0</v>
      </c>
      <c r="I153" s="2177">
        <v>65</v>
      </c>
      <c r="J153" s="1264">
        <f t="shared" si="21"/>
        <v>0</v>
      </c>
      <c r="K153" s="1273">
        <f t="shared" si="23"/>
        <v>0</v>
      </c>
      <c r="L153" s="1269"/>
    </row>
    <row r="154" spans="1:18" s="1199" customFormat="1" ht="23.5" customHeight="1">
      <c r="A154" s="1331"/>
      <c r="B154" s="2174" t="s">
        <v>1108</v>
      </c>
      <c r="C154" s="1202"/>
      <c r="D154" s="1202"/>
      <c r="E154" s="1404">
        <v>1</v>
      </c>
      <c r="F154" s="1384" t="s">
        <v>1104</v>
      </c>
      <c r="G154" s="2176">
        <f>ROUND(SUM(H145:H153)*15%,0)</f>
        <v>4520</v>
      </c>
      <c r="H154" s="1264">
        <f t="shared" si="20"/>
        <v>4520</v>
      </c>
      <c r="I154" s="2177">
        <f>ROUND(ROUND(G154*0.3,),0)</f>
        <v>1356</v>
      </c>
      <c r="J154" s="1264">
        <f t="shared" si="21"/>
        <v>1356</v>
      </c>
      <c r="K154" s="1273">
        <f>H154+J154</f>
        <v>5876</v>
      </c>
      <c r="L154" s="1385"/>
      <c r="M154" s="1214"/>
      <c r="N154" s="1214"/>
      <c r="O154" s="1214"/>
      <c r="P154" s="1214"/>
      <c r="Q154" s="1214"/>
    </row>
    <row r="155" spans="1:18" s="1199" customFormat="1" ht="24" customHeight="1">
      <c r="A155" s="1331" t="s">
        <v>1621</v>
      </c>
      <c r="B155" s="2174" t="s">
        <v>1449</v>
      </c>
      <c r="C155" s="1202"/>
      <c r="D155" s="1202"/>
      <c r="E155" s="1404"/>
      <c r="F155" s="1384"/>
      <c r="G155" s="2176"/>
      <c r="H155" s="1264">
        <f t="shared" si="20"/>
        <v>0</v>
      </c>
      <c r="I155" s="2177"/>
      <c r="J155" s="1264">
        <f t="shared" si="21"/>
        <v>0</v>
      </c>
      <c r="K155" s="1385"/>
      <c r="L155" s="1385"/>
      <c r="M155" s="1214"/>
      <c r="N155" s="1214"/>
      <c r="O155" s="1214"/>
      <c r="P155" s="1214"/>
      <c r="Q155" s="1214"/>
      <c r="R155" s="1214"/>
    </row>
    <row r="156" spans="1:18" s="1199" customFormat="1" ht="24" customHeight="1">
      <c r="A156" s="1331"/>
      <c r="B156" s="2174" t="s">
        <v>1350</v>
      </c>
      <c r="C156" s="1202"/>
      <c r="D156" s="1202"/>
      <c r="E156" s="1404">
        <v>14</v>
      </c>
      <c r="F156" s="1358" t="s">
        <v>226</v>
      </c>
      <c r="G156" s="2176">
        <v>14</v>
      </c>
      <c r="H156" s="1264">
        <f t="shared" si="20"/>
        <v>196</v>
      </c>
      <c r="I156" s="2177">
        <v>11</v>
      </c>
      <c r="J156" s="1264">
        <f t="shared" si="21"/>
        <v>154</v>
      </c>
      <c r="K156" s="1273">
        <f>H156+J156</f>
        <v>350</v>
      </c>
      <c r="L156" s="1385"/>
      <c r="M156" s="1214"/>
      <c r="N156" s="1214"/>
      <c r="O156" s="1214"/>
      <c r="P156" s="1214"/>
      <c r="Q156" s="1214"/>
      <c r="R156" s="1214"/>
    </row>
    <row r="157" spans="1:18" s="1199" customFormat="1" ht="24" customHeight="1">
      <c r="A157" s="1331"/>
      <c r="B157" s="2174" t="s">
        <v>1117</v>
      </c>
      <c r="C157" s="1202"/>
      <c r="D157" s="1202"/>
      <c r="E157" s="1387"/>
      <c r="F157" s="1384"/>
      <c r="G157" s="2176"/>
      <c r="H157" s="1388"/>
      <c r="I157" s="2177"/>
      <c r="J157" s="1385"/>
      <c r="K157" s="1385"/>
      <c r="L157" s="1385"/>
      <c r="M157" s="1214"/>
      <c r="N157" s="1214"/>
      <c r="O157" s="1214"/>
      <c r="P157" s="1214"/>
      <c r="Q157" s="1214"/>
      <c r="R157" s="1214"/>
    </row>
    <row r="158" spans="1:18" s="1199" customFormat="1" ht="24" customHeight="1">
      <c r="A158" s="1331"/>
      <c r="B158" s="2174" t="s">
        <v>1118</v>
      </c>
      <c r="C158" s="1202"/>
      <c r="D158" s="1202"/>
      <c r="E158" s="1387"/>
      <c r="F158" s="1384"/>
      <c r="G158" s="2176"/>
      <c r="H158" s="1388"/>
      <c r="I158" s="2177"/>
      <c r="J158" s="1385"/>
      <c r="K158" s="1385"/>
      <c r="L158" s="1385"/>
      <c r="M158" s="1214"/>
      <c r="N158" s="1214"/>
      <c r="O158" s="1214"/>
      <c r="P158" s="1214"/>
      <c r="Q158" s="1214"/>
      <c r="R158" s="1214"/>
    </row>
    <row r="159" spans="1:18" s="1199" customFormat="1" ht="24" customHeight="1">
      <c r="A159" s="1189"/>
      <c r="B159" s="2174" t="s">
        <v>1118</v>
      </c>
      <c r="C159" s="1202"/>
      <c r="D159" s="1202"/>
      <c r="E159" s="1387"/>
      <c r="F159" s="1384"/>
      <c r="G159" s="2176"/>
      <c r="H159" s="1388"/>
      <c r="I159" s="2177"/>
      <c r="J159" s="1385"/>
      <c r="K159" s="1385"/>
      <c r="L159" s="1385"/>
      <c r="M159" s="1214"/>
      <c r="N159" s="1214"/>
      <c r="O159" s="1214"/>
      <c r="P159" s="1214"/>
      <c r="Q159" s="1214"/>
      <c r="R159" s="1214"/>
    </row>
    <row r="160" spans="1:18" s="1199" customFormat="1" ht="24" customHeight="1">
      <c r="A160" s="1331"/>
      <c r="B160" s="1416"/>
      <c r="C160" s="1202"/>
      <c r="D160" s="1202"/>
      <c r="E160" s="1387"/>
      <c r="F160" s="1384"/>
      <c r="G160" s="2176"/>
      <c r="H160" s="1388"/>
      <c r="I160" s="2177"/>
      <c r="J160" s="1385"/>
      <c r="K160" s="1385"/>
      <c r="L160" s="1385"/>
      <c r="M160" s="1214"/>
      <c r="N160" s="1214"/>
      <c r="O160" s="1214"/>
      <c r="P160" s="1214"/>
      <c r="Q160" s="1214"/>
      <c r="R160" s="1214"/>
    </row>
    <row r="161" spans="1:18" s="1199" customFormat="1" ht="24" customHeight="1">
      <c r="A161" s="1243"/>
      <c r="B161" s="2257" t="str">
        <f>"รวมราคารายการที่ "&amp;A140</f>
        <v>รวมราคารายการที่ 3.5</v>
      </c>
      <c r="C161" s="2258"/>
      <c r="D161" s="2259"/>
      <c r="E161" s="1244"/>
      <c r="F161" s="1245"/>
      <c r="G161" s="1246"/>
      <c r="H161" s="1247">
        <f>SUM(H141:H158)</f>
        <v>40901</v>
      </c>
      <c r="I161" s="1246"/>
      <c r="J161" s="1247">
        <f>SUM(J141:J158)</f>
        <v>13397</v>
      </c>
      <c r="K161" s="1247">
        <f>SUM(K141:K158)</f>
        <v>54298</v>
      </c>
      <c r="L161" s="1245"/>
      <c r="M161" s="1214"/>
      <c r="N161" s="1214"/>
      <c r="O161" s="1214"/>
      <c r="P161" s="1214"/>
      <c r="Q161" s="1214"/>
      <c r="R161" s="1214"/>
    </row>
    <row r="162" spans="1:18" s="1199" customFormat="1" ht="24" customHeight="1">
      <c r="A162" s="1435" t="s">
        <v>1465</v>
      </c>
      <c r="B162" s="1436" t="s">
        <v>1451</v>
      </c>
      <c r="C162" s="1202"/>
      <c r="D162" s="1202"/>
      <c r="E162" s="1387"/>
      <c r="F162" s="1384"/>
      <c r="G162" s="2176"/>
      <c r="H162" s="1388"/>
      <c r="I162" s="2177"/>
      <c r="J162" s="1385"/>
      <c r="K162" s="1385"/>
      <c r="L162" s="1385"/>
      <c r="M162" s="1214"/>
      <c r="N162" s="1214"/>
      <c r="O162" s="1214"/>
      <c r="P162" s="1214"/>
      <c r="Q162" s="1214"/>
      <c r="R162" s="1214"/>
    </row>
    <row r="163" spans="1:18" s="1199" customFormat="1" ht="24" customHeight="1">
      <c r="A163" s="1331" t="s">
        <v>1207</v>
      </c>
      <c r="B163" s="2174" t="s">
        <v>1451</v>
      </c>
      <c r="C163" s="1202"/>
      <c r="D163" s="1202"/>
      <c r="E163" s="1387"/>
      <c r="F163" s="1384"/>
      <c r="G163" s="2176"/>
      <c r="H163" s="1388"/>
      <c r="I163" s="2177"/>
      <c r="J163" s="1385"/>
      <c r="K163" s="1385"/>
      <c r="L163" s="1385"/>
      <c r="M163" s="1214"/>
      <c r="N163" s="1214"/>
      <c r="O163" s="1214"/>
      <c r="P163" s="1214"/>
      <c r="Q163" s="1214"/>
      <c r="R163" s="1214"/>
    </row>
    <row r="164" spans="1:18" s="1199" customFormat="1" ht="24" customHeight="1">
      <c r="A164" s="1331"/>
      <c r="B164" s="2174" t="s">
        <v>1452</v>
      </c>
      <c r="C164" s="1202"/>
      <c r="D164" s="1202"/>
      <c r="E164" s="1387">
        <v>6</v>
      </c>
      <c r="F164" s="1207" t="s">
        <v>363</v>
      </c>
      <c r="G164" s="2176">
        <v>90</v>
      </c>
      <c r="H164" s="1264">
        <f t="shared" ref="H164:H173" si="24">ROUND(E164*G164,)</f>
        <v>540</v>
      </c>
      <c r="I164" s="2177">
        <v>80</v>
      </c>
      <c r="J164" s="1264">
        <f t="shared" ref="J164:J173" si="25">ROUND(E164*I164,)</f>
        <v>480</v>
      </c>
      <c r="K164" s="1273">
        <f t="shared" ref="K164:K173" si="26">H164+J164</f>
        <v>1020</v>
      </c>
      <c r="L164" s="1389"/>
      <c r="M164" s="1214"/>
      <c r="N164" s="1214"/>
      <c r="O164" s="1214"/>
    </row>
    <row r="165" spans="1:18" s="1199" customFormat="1" ht="24" customHeight="1">
      <c r="A165" s="1331"/>
      <c r="B165" s="2174" t="s">
        <v>1453</v>
      </c>
      <c r="C165" s="1202"/>
      <c r="D165" s="1202"/>
      <c r="E165" s="1387"/>
      <c r="F165" s="1207" t="s">
        <v>363</v>
      </c>
      <c r="G165" s="2176">
        <v>130</v>
      </c>
      <c r="H165" s="1264">
        <f t="shared" si="24"/>
        <v>0</v>
      </c>
      <c r="I165" s="2177">
        <v>90</v>
      </c>
      <c r="J165" s="1264">
        <f t="shared" si="25"/>
        <v>0</v>
      </c>
      <c r="K165" s="1273">
        <f t="shared" si="26"/>
        <v>0</v>
      </c>
      <c r="L165" s="1389"/>
      <c r="M165" s="1214"/>
      <c r="N165" s="1214"/>
      <c r="O165" s="1214"/>
    </row>
    <row r="166" spans="1:18" s="1199" customFormat="1" ht="24" customHeight="1">
      <c r="A166" s="1331"/>
      <c r="B166" s="2174" t="s">
        <v>1454</v>
      </c>
      <c r="C166" s="1202"/>
      <c r="D166" s="1202"/>
      <c r="E166" s="1387"/>
      <c r="F166" s="1207" t="s">
        <v>363</v>
      </c>
      <c r="G166" s="2176">
        <v>240</v>
      </c>
      <c r="H166" s="1264">
        <f t="shared" si="24"/>
        <v>0</v>
      </c>
      <c r="I166" s="2177">
        <v>90</v>
      </c>
      <c r="J166" s="1264">
        <f t="shared" si="25"/>
        <v>0</v>
      </c>
      <c r="K166" s="1273">
        <f t="shared" si="26"/>
        <v>0</v>
      </c>
      <c r="L166" s="1389"/>
      <c r="M166" s="1214"/>
      <c r="N166" s="1214"/>
      <c r="O166" s="1214"/>
    </row>
    <row r="167" spans="1:18" s="1199" customFormat="1" ht="24" customHeight="1">
      <c r="A167" s="1331"/>
      <c r="B167" s="2174" t="s">
        <v>1455</v>
      </c>
      <c r="C167" s="1202"/>
      <c r="D167" s="1202"/>
      <c r="E167" s="1387"/>
      <c r="F167" s="1207" t="s">
        <v>363</v>
      </c>
      <c r="G167" s="2176">
        <v>162</v>
      </c>
      <c r="H167" s="1264">
        <f t="shared" si="24"/>
        <v>0</v>
      </c>
      <c r="I167" s="2177">
        <v>90</v>
      </c>
      <c r="J167" s="1264">
        <f t="shared" si="25"/>
        <v>0</v>
      </c>
      <c r="K167" s="1273">
        <f t="shared" si="26"/>
        <v>0</v>
      </c>
      <c r="L167" s="1389"/>
      <c r="M167" s="1214"/>
      <c r="N167" s="1214"/>
      <c r="O167" s="1214"/>
    </row>
    <row r="168" spans="1:18" s="1199" customFormat="1" ht="24" customHeight="1">
      <c r="A168" s="1331"/>
      <c r="B168" s="2174" t="s">
        <v>1456</v>
      </c>
      <c r="C168" s="1202"/>
      <c r="D168" s="1202"/>
      <c r="E168" s="1387">
        <v>8</v>
      </c>
      <c r="F168" s="1207" t="s">
        <v>363</v>
      </c>
      <c r="G168" s="2176">
        <v>197</v>
      </c>
      <c r="H168" s="1264">
        <f t="shared" si="24"/>
        <v>1576</v>
      </c>
      <c r="I168" s="2177">
        <v>90</v>
      </c>
      <c r="J168" s="1264">
        <f t="shared" si="25"/>
        <v>720</v>
      </c>
      <c r="K168" s="1273">
        <f t="shared" si="26"/>
        <v>2296</v>
      </c>
      <c r="L168" s="1389"/>
      <c r="M168" s="1214"/>
      <c r="N168" s="1214"/>
      <c r="O168" s="1214"/>
    </row>
    <row r="169" spans="1:18" s="1199" customFormat="1" ht="24" customHeight="1">
      <c r="A169" s="1331"/>
      <c r="B169" s="2174" t="s">
        <v>1457</v>
      </c>
      <c r="C169" s="1202"/>
      <c r="D169" s="1202"/>
      <c r="E169" s="1387"/>
      <c r="F169" s="1207" t="s">
        <v>363</v>
      </c>
      <c r="G169" s="2176">
        <v>1500</v>
      </c>
      <c r="H169" s="1264">
        <f t="shared" si="24"/>
        <v>0</v>
      </c>
      <c r="I169" s="2177">
        <v>265</v>
      </c>
      <c r="J169" s="1264">
        <f t="shared" si="25"/>
        <v>0</v>
      </c>
      <c r="K169" s="1385">
        <f t="shared" si="26"/>
        <v>0</v>
      </c>
      <c r="L169" s="1389"/>
      <c r="M169" s="1214"/>
      <c r="N169" s="1214"/>
      <c r="O169" s="1214"/>
    </row>
    <row r="170" spans="1:18" s="1199" customFormat="1" ht="24" customHeight="1">
      <c r="A170" s="1331"/>
      <c r="B170" s="2174" t="s">
        <v>1458</v>
      </c>
      <c r="C170" s="1202"/>
      <c r="D170" s="1202"/>
      <c r="E170" s="1387"/>
      <c r="F170" s="1207" t="s">
        <v>363</v>
      </c>
      <c r="G170" s="2176">
        <v>518</v>
      </c>
      <c r="H170" s="1264">
        <f t="shared" si="24"/>
        <v>0</v>
      </c>
      <c r="I170" s="2177">
        <v>115</v>
      </c>
      <c r="J170" s="1264">
        <f t="shared" si="25"/>
        <v>0</v>
      </c>
      <c r="K170" s="1273">
        <f t="shared" si="26"/>
        <v>0</v>
      </c>
      <c r="L170" s="1389"/>
      <c r="M170" s="1214"/>
      <c r="N170" s="1214"/>
      <c r="O170" s="1214"/>
    </row>
    <row r="171" spans="1:18" s="1199" customFormat="1" ht="24" customHeight="1">
      <c r="A171" s="1331"/>
      <c r="B171" s="2174" t="s">
        <v>1459</v>
      </c>
      <c r="C171" s="1202"/>
      <c r="D171" s="1202"/>
      <c r="E171" s="1387"/>
      <c r="F171" s="1207" t="s">
        <v>363</v>
      </c>
      <c r="G171" s="2176">
        <v>850</v>
      </c>
      <c r="H171" s="1264">
        <f t="shared" si="24"/>
        <v>0</v>
      </c>
      <c r="I171" s="2177">
        <v>265</v>
      </c>
      <c r="J171" s="1264">
        <f t="shared" si="25"/>
        <v>0</v>
      </c>
      <c r="K171" s="1273">
        <f t="shared" si="26"/>
        <v>0</v>
      </c>
      <c r="L171" s="1389"/>
      <c r="M171" s="1214"/>
      <c r="N171" s="1214"/>
      <c r="O171" s="1214"/>
    </row>
    <row r="172" spans="1:18" s="1199" customFormat="1" ht="24" customHeight="1">
      <c r="A172" s="1331" t="s">
        <v>1229</v>
      </c>
      <c r="B172" s="2174" t="s">
        <v>1460</v>
      </c>
      <c r="C172" s="1202"/>
      <c r="D172" s="1202"/>
      <c r="E172" s="1387">
        <v>2</v>
      </c>
      <c r="F172" s="1207" t="s">
        <v>363</v>
      </c>
      <c r="G172" s="2176">
        <v>130</v>
      </c>
      <c r="H172" s="1264">
        <f t="shared" si="24"/>
        <v>260</v>
      </c>
      <c r="I172" s="2177">
        <v>90</v>
      </c>
      <c r="J172" s="1264">
        <f t="shared" si="25"/>
        <v>180</v>
      </c>
      <c r="K172" s="1273">
        <f t="shared" si="26"/>
        <v>440</v>
      </c>
      <c r="L172" s="1385"/>
      <c r="M172" s="1214"/>
      <c r="N172" s="1214"/>
      <c r="O172" s="1214"/>
      <c r="P172" s="1214"/>
      <c r="Q172" s="1214"/>
      <c r="R172" s="1214"/>
    </row>
    <row r="173" spans="1:18" s="1199" customFormat="1" ht="24" customHeight="1">
      <c r="A173" s="1331" t="s">
        <v>1234</v>
      </c>
      <c r="B173" s="2174" t="s">
        <v>1636</v>
      </c>
      <c r="C173" s="1202"/>
      <c r="D173" s="1202"/>
      <c r="E173" s="1387"/>
      <c r="F173" s="1207" t="s">
        <v>363</v>
      </c>
      <c r="G173" s="2176">
        <v>150</v>
      </c>
      <c r="H173" s="1264">
        <f t="shared" si="24"/>
        <v>0</v>
      </c>
      <c r="I173" s="2177">
        <v>90</v>
      </c>
      <c r="J173" s="1264">
        <f t="shared" si="25"/>
        <v>0</v>
      </c>
      <c r="K173" s="1273">
        <f t="shared" si="26"/>
        <v>0</v>
      </c>
      <c r="L173" s="1385"/>
      <c r="M173" s="1214"/>
      <c r="N173" s="1214"/>
      <c r="O173" s="1214"/>
      <c r="P173" s="1214"/>
      <c r="Q173" s="1214"/>
      <c r="R173" s="1214"/>
    </row>
    <row r="174" spans="1:18" s="1199" customFormat="1" ht="24" customHeight="1">
      <c r="A174" s="1331"/>
      <c r="B174" s="2174" t="s">
        <v>1117</v>
      </c>
      <c r="C174" s="1202"/>
      <c r="D174" s="1202"/>
      <c r="E174" s="1387"/>
      <c r="F174" s="1384"/>
      <c r="G174" s="2176"/>
      <c r="H174" s="1388"/>
      <c r="I174" s="2177"/>
      <c r="J174" s="1385"/>
      <c r="K174" s="1385"/>
      <c r="L174" s="1385"/>
      <c r="M174" s="1214"/>
      <c r="N174" s="1214"/>
      <c r="O174" s="1214"/>
      <c r="P174" s="1214"/>
      <c r="Q174" s="1214"/>
      <c r="R174" s="1214"/>
    </row>
    <row r="175" spans="1:18" s="1199" customFormat="1" ht="24" customHeight="1">
      <c r="A175" s="1331"/>
      <c r="B175" s="2174" t="s">
        <v>1118</v>
      </c>
      <c r="C175" s="1202"/>
      <c r="D175" s="1202"/>
      <c r="E175" s="1387"/>
      <c r="F175" s="1384"/>
      <c r="G175" s="2176"/>
      <c r="H175" s="1388"/>
      <c r="I175" s="2177"/>
      <c r="J175" s="1385"/>
      <c r="K175" s="1385"/>
      <c r="L175" s="1385"/>
      <c r="M175" s="1214"/>
      <c r="N175" s="1214"/>
      <c r="O175" s="1214"/>
      <c r="P175" s="1214"/>
      <c r="Q175" s="1214"/>
      <c r="R175" s="1214"/>
    </row>
    <row r="176" spans="1:18" s="1199" customFormat="1" ht="24" customHeight="1">
      <c r="A176" s="1189"/>
      <c r="B176" s="1451" t="s">
        <v>1118</v>
      </c>
      <c r="C176" s="1202"/>
      <c r="D176" s="1202"/>
      <c r="E176" s="1387"/>
      <c r="F176" s="1384"/>
      <c r="G176" s="2176"/>
      <c r="H176" s="1388"/>
      <c r="I176" s="2177"/>
      <c r="J176" s="1385"/>
      <c r="K176" s="1385"/>
      <c r="L176" s="1385"/>
      <c r="M176" s="1214"/>
      <c r="N176" s="1214"/>
      <c r="O176" s="1214"/>
      <c r="P176" s="1214"/>
      <c r="Q176" s="1214"/>
      <c r="R176" s="1214"/>
    </row>
    <row r="177" spans="1:18" s="1199" customFormat="1" ht="24" customHeight="1">
      <c r="A177" s="1331"/>
      <c r="B177" s="1416"/>
      <c r="C177" s="1202"/>
      <c r="D177" s="1202"/>
      <c r="E177" s="1387"/>
      <c r="F177" s="1384"/>
      <c r="G177" s="2176"/>
      <c r="H177" s="1388"/>
      <c r="I177" s="2177"/>
      <c r="J177" s="1385"/>
      <c r="K177" s="1385"/>
      <c r="L177" s="1385"/>
      <c r="M177" s="1214"/>
      <c r="N177" s="1214"/>
      <c r="O177" s="1214"/>
      <c r="P177" s="1214"/>
      <c r="Q177" s="1214"/>
      <c r="R177" s="1214"/>
    </row>
    <row r="178" spans="1:18" s="1199" customFormat="1" ht="24" customHeight="1">
      <c r="A178" s="1243"/>
      <c r="B178" s="2257" t="str">
        <f>"รวมราคารายการที่ "&amp;A162</f>
        <v>รวมราคารายการที่ 3.6</v>
      </c>
      <c r="C178" s="2258"/>
      <c r="D178" s="2259"/>
      <c r="E178" s="1244"/>
      <c r="F178" s="1245"/>
      <c r="G178" s="1246"/>
      <c r="H178" s="1247">
        <f>SUM(H163:H175)</f>
        <v>2376</v>
      </c>
      <c r="I178" s="1246"/>
      <c r="J178" s="1247">
        <f t="shared" ref="J178:K178" si="27">SUM(J163:J175)</f>
        <v>1380</v>
      </c>
      <c r="K178" s="1247">
        <f t="shared" si="27"/>
        <v>3756</v>
      </c>
      <c r="L178" s="1245"/>
      <c r="M178" s="1214"/>
      <c r="N178" s="1214"/>
      <c r="O178" s="1214"/>
      <c r="P178" s="1214"/>
      <c r="Q178" s="1214"/>
      <c r="R178" s="1214"/>
    </row>
    <row r="179" spans="1:18" s="1199" customFormat="1" ht="24" customHeight="1">
      <c r="A179" s="1435" t="s">
        <v>1490</v>
      </c>
      <c r="B179" s="1436" t="s">
        <v>1466</v>
      </c>
      <c r="C179" s="1202"/>
      <c r="D179" s="1202"/>
      <c r="E179" s="1387"/>
      <c r="F179" s="1207"/>
      <c r="G179" s="2176"/>
      <c r="H179" s="1264"/>
      <c r="I179" s="2177"/>
      <c r="J179" s="1264"/>
      <c r="K179" s="1273"/>
      <c r="L179" s="1385"/>
      <c r="M179" s="1214"/>
      <c r="N179" s="1214"/>
      <c r="O179" s="1214"/>
      <c r="P179" s="1214"/>
      <c r="Q179" s="1214"/>
      <c r="R179" s="1214"/>
    </row>
    <row r="180" spans="1:18" s="1199" customFormat="1" ht="24" customHeight="1">
      <c r="A180" s="1339"/>
      <c r="B180" s="1259" t="s">
        <v>1467</v>
      </c>
      <c r="C180" s="1202"/>
      <c r="D180" s="1202"/>
      <c r="E180" s="1404">
        <v>12</v>
      </c>
      <c r="F180" s="1267" t="s">
        <v>363</v>
      </c>
      <c r="G180" s="1386">
        <v>420</v>
      </c>
      <c r="H180" s="1343">
        <f t="shared" ref="H180:H203" si="28">ROUND(E180*G180,)</f>
        <v>5040</v>
      </c>
      <c r="I180" s="1414">
        <v>115</v>
      </c>
      <c r="J180" s="1343">
        <f t="shared" ref="J180:J203" si="29">ROUND(E180*I180,)</f>
        <v>1380</v>
      </c>
      <c r="K180" s="1262">
        <f t="shared" ref="K180:K203" si="30">H180+J180</f>
        <v>6420</v>
      </c>
      <c r="L180" s="1415"/>
      <c r="M180" s="1214"/>
      <c r="N180" s="1214"/>
      <c r="O180" s="1214"/>
      <c r="P180" s="1214"/>
    </row>
    <row r="181" spans="1:18" s="1199" customFormat="1" ht="24" customHeight="1">
      <c r="A181" s="1339"/>
      <c r="B181" s="1259" t="s">
        <v>1468</v>
      </c>
      <c r="C181" s="1202"/>
      <c r="D181" s="1202"/>
      <c r="E181" s="1404">
        <v>4</v>
      </c>
      <c r="F181" s="1267" t="s">
        <v>363</v>
      </c>
      <c r="G181" s="1386">
        <v>500</v>
      </c>
      <c r="H181" s="1343">
        <f t="shared" si="28"/>
        <v>2000</v>
      </c>
      <c r="I181" s="1414">
        <v>115</v>
      </c>
      <c r="J181" s="1343">
        <f t="shared" si="29"/>
        <v>460</v>
      </c>
      <c r="K181" s="1262">
        <f t="shared" si="30"/>
        <v>2460</v>
      </c>
      <c r="L181" s="1415"/>
      <c r="M181" s="1214"/>
      <c r="N181" s="1214"/>
      <c r="O181" s="1214"/>
      <c r="P181" s="1214"/>
    </row>
    <row r="182" spans="1:18" s="1199" customFormat="1" ht="24" customHeight="1">
      <c r="A182" s="1339"/>
      <c r="B182" s="1259" t="s">
        <v>1469</v>
      </c>
      <c r="C182" s="1202"/>
      <c r="D182" s="1202"/>
      <c r="E182" s="1404"/>
      <c r="F182" s="1267" t="s">
        <v>363</v>
      </c>
      <c r="G182" s="1386">
        <v>550</v>
      </c>
      <c r="H182" s="1343">
        <f t="shared" si="28"/>
        <v>0</v>
      </c>
      <c r="I182" s="1414">
        <v>115</v>
      </c>
      <c r="J182" s="1343">
        <f t="shared" si="29"/>
        <v>0</v>
      </c>
      <c r="K182" s="1262">
        <f t="shared" si="30"/>
        <v>0</v>
      </c>
      <c r="L182" s="1415"/>
      <c r="M182" s="1214"/>
      <c r="N182" s="1214"/>
      <c r="O182" s="1214"/>
      <c r="P182" s="1214"/>
    </row>
    <row r="183" spans="1:18" s="1199" customFormat="1" ht="24" customHeight="1">
      <c r="A183" s="1339"/>
      <c r="B183" s="1259" t="s">
        <v>1470</v>
      </c>
      <c r="C183" s="1202"/>
      <c r="D183" s="1202"/>
      <c r="E183" s="1404"/>
      <c r="F183" s="1267" t="s">
        <v>363</v>
      </c>
      <c r="G183" s="1386">
        <v>750</v>
      </c>
      <c r="H183" s="1343">
        <f t="shared" si="28"/>
        <v>0</v>
      </c>
      <c r="I183" s="1414">
        <v>135</v>
      </c>
      <c r="J183" s="1343">
        <f t="shared" si="29"/>
        <v>0</v>
      </c>
      <c r="K183" s="1262">
        <f t="shared" si="30"/>
        <v>0</v>
      </c>
      <c r="L183" s="1415"/>
      <c r="M183" s="1214"/>
      <c r="N183" s="1214"/>
      <c r="O183" s="1214"/>
      <c r="P183" s="1214"/>
    </row>
    <row r="184" spans="1:18" s="1199" customFormat="1" ht="24" customHeight="1">
      <c r="A184" s="1339"/>
      <c r="B184" s="1259" t="s">
        <v>1471</v>
      </c>
      <c r="C184" s="1202"/>
      <c r="D184" s="1202"/>
      <c r="E184" s="1404"/>
      <c r="F184" s="1267" t="s">
        <v>363</v>
      </c>
      <c r="G184" s="1386">
        <v>1550</v>
      </c>
      <c r="H184" s="1343">
        <f t="shared" si="28"/>
        <v>0</v>
      </c>
      <c r="I184" s="1414">
        <v>135</v>
      </c>
      <c r="J184" s="1343">
        <f t="shared" si="29"/>
        <v>0</v>
      </c>
      <c r="K184" s="1262">
        <f t="shared" si="30"/>
        <v>0</v>
      </c>
      <c r="L184" s="1415"/>
      <c r="M184" s="1214"/>
      <c r="N184" s="1214"/>
      <c r="O184" s="1214"/>
      <c r="P184" s="1214"/>
    </row>
    <row r="185" spans="1:18" s="1199" customFormat="1" ht="24" customHeight="1">
      <c r="A185" s="1339"/>
      <c r="B185" s="1259" t="s">
        <v>1472</v>
      </c>
      <c r="C185" s="1202"/>
      <c r="D185" s="1202"/>
      <c r="E185" s="1404"/>
      <c r="F185" s="1267" t="s">
        <v>363</v>
      </c>
      <c r="G185" s="1386">
        <v>2090</v>
      </c>
      <c r="H185" s="1343">
        <f t="shared" si="28"/>
        <v>0</v>
      </c>
      <c r="I185" s="1414">
        <v>135</v>
      </c>
      <c r="J185" s="1343">
        <f t="shared" si="29"/>
        <v>0</v>
      </c>
      <c r="K185" s="1262">
        <f t="shared" si="30"/>
        <v>0</v>
      </c>
      <c r="L185" s="1415"/>
      <c r="M185" s="1214"/>
      <c r="N185" s="1214"/>
      <c r="O185" s="1214"/>
      <c r="P185" s="1214"/>
    </row>
    <row r="186" spans="1:18" s="1199" customFormat="1" ht="24" customHeight="1">
      <c r="A186" s="1339"/>
      <c r="B186" s="1259" t="s">
        <v>1473</v>
      </c>
      <c r="C186" s="1202"/>
      <c r="D186" s="1202"/>
      <c r="E186" s="1404"/>
      <c r="F186" s="1267" t="s">
        <v>363</v>
      </c>
      <c r="G186" s="1386">
        <v>3750</v>
      </c>
      <c r="H186" s="1343">
        <f t="shared" si="28"/>
        <v>0</v>
      </c>
      <c r="I186" s="1414">
        <v>135</v>
      </c>
      <c r="J186" s="1343">
        <f t="shared" si="29"/>
        <v>0</v>
      </c>
      <c r="K186" s="1262">
        <f t="shared" si="30"/>
        <v>0</v>
      </c>
      <c r="L186" s="1415"/>
      <c r="M186" s="1214"/>
      <c r="N186" s="1214"/>
      <c r="O186" s="1214"/>
      <c r="P186" s="1214"/>
    </row>
    <row r="187" spans="1:18" s="1199" customFormat="1" ht="24" customHeight="1">
      <c r="A187" s="1339"/>
      <c r="B187" s="1259" t="s">
        <v>1474</v>
      </c>
      <c r="C187" s="1202"/>
      <c r="D187" s="1202"/>
      <c r="E187" s="1404"/>
      <c r="F187" s="1267" t="s">
        <v>363</v>
      </c>
      <c r="G187" s="1386">
        <v>2450</v>
      </c>
      <c r="H187" s="1343">
        <f t="shared" si="28"/>
        <v>0</v>
      </c>
      <c r="I187" s="1414">
        <v>135</v>
      </c>
      <c r="J187" s="1343">
        <f t="shared" si="29"/>
        <v>0</v>
      </c>
      <c r="K187" s="1262">
        <f t="shared" si="30"/>
        <v>0</v>
      </c>
      <c r="L187" s="1415"/>
      <c r="M187" s="1214"/>
      <c r="N187" s="1214"/>
      <c r="O187" s="1214"/>
      <c r="P187" s="1214"/>
    </row>
    <row r="188" spans="1:18" s="1199" customFormat="1" ht="24" customHeight="1">
      <c r="A188" s="1339"/>
      <c r="B188" s="1259" t="s">
        <v>1475</v>
      </c>
      <c r="C188" s="1202"/>
      <c r="D188" s="1202"/>
      <c r="E188" s="1404"/>
      <c r="F188" s="1267" t="s">
        <v>363</v>
      </c>
      <c r="G188" s="1386">
        <v>1860</v>
      </c>
      <c r="H188" s="1343">
        <f t="shared" si="28"/>
        <v>0</v>
      </c>
      <c r="I188" s="1414">
        <v>135</v>
      </c>
      <c r="J188" s="1343">
        <f t="shared" si="29"/>
        <v>0</v>
      </c>
      <c r="K188" s="1262">
        <f t="shared" si="30"/>
        <v>0</v>
      </c>
      <c r="L188" s="1415"/>
      <c r="M188" s="1214"/>
      <c r="N188" s="1214"/>
      <c r="O188" s="1214"/>
      <c r="P188" s="1214"/>
    </row>
    <row r="189" spans="1:18" s="1199" customFormat="1" ht="24" customHeight="1">
      <c r="A189" s="1339"/>
      <c r="B189" s="1259" t="s">
        <v>1476</v>
      </c>
      <c r="C189" s="1202"/>
      <c r="D189" s="1202"/>
      <c r="E189" s="1404"/>
      <c r="F189" s="1267" t="s">
        <v>363</v>
      </c>
      <c r="G189" s="1386">
        <v>1200</v>
      </c>
      <c r="H189" s="1343">
        <f t="shared" si="28"/>
        <v>0</v>
      </c>
      <c r="I189" s="1414">
        <v>135</v>
      </c>
      <c r="J189" s="1343">
        <f t="shared" si="29"/>
        <v>0</v>
      </c>
      <c r="K189" s="1262">
        <f t="shared" si="30"/>
        <v>0</v>
      </c>
      <c r="L189" s="1415"/>
      <c r="M189" s="1214"/>
      <c r="N189" s="1214"/>
      <c r="O189" s="1214"/>
      <c r="P189" s="1214"/>
    </row>
    <row r="190" spans="1:18" s="1199" customFormat="1" ht="24" customHeight="1">
      <c r="A190" s="1339"/>
      <c r="B190" s="1259" t="s">
        <v>1477</v>
      </c>
      <c r="C190" s="1202"/>
      <c r="D190" s="1202"/>
      <c r="E190" s="1404"/>
      <c r="F190" s="1267" t="s">
        <v>363</v>
      </c>
      <c r="G190" s="1386">
        <v>1450</v>
      </c>
      <c r="H190" s="1343">
        <f t="shared" si="28"/>
        <v>0</v>
      </c>
      <c r="I190" s="1414">
        <v>135</v>
      </c>
      <c r="J190" s="1343">
        <f t="shared" si="29"/>
        <v>0</v>
      </c>
      <c r="K190" s="1262">
        <f t="shared" si="30"/>
        <v>0</v>
      </c>
      <c r="L190" s="1415"/>
      <c r="M190" s="1214"/>
      <c r="N190" s="1214"/>
      <c r="O190" s="1214"/>
      <c r="P190" s="1214"/>
    </row>
    <row r="191" spans="1:18" s="1199" customFormat="1" ht="24" customHeight="1">
      <c r="A191" s="1339"/>
      <c r="B191" s="1259" t="s">
        <v>1478</v>
      </c>
      <c r="C191" s="1202"/>
      <c r="D191" s="1202"/>
      <c r="E191" s="1404"/>
      <c r="F191" s="1267" t="s">
        <v>363</v>
      </c>
      <c r="G191" s="1386">
        <v>1250</v>
      </c>
      <c r="H191" s="1343">
        <f t="shared" si="28"/>
        <v>0</v>
      </c>
      <c r="I191" s="1414">
        <v>135</v>
      </c>
      <c r="J191" s="1343">
        <f t="shared" si="29"/>
        <v>0</v>
      </c>
      <c r="K191" s="1262">
        <f t="shared" si="30"/>
        <v>0</v>
      </c>
      <c r="L191" s="1415"/>
      <c r="M191" s="1214"/>
      <c r="N191" s="1214"/>
      <c r="O191" s="1214"/>
      <c r="P191" s="1214"/>
    </row>
    <row r="192" spans="1:18" s="1199" customFormat="1" ht="24" customHeight="1">
      <c r="A192" s="1339"/>
      <c r="B192" s="1259" t="s">
        <v>1479</v>
      </c>
      <c r="C192" s="1202"/>
      <c r="D192" s="1202"/>
      <c r="E192" s="1404"/>
      <c r="F192" s="1267" t="s">
        <v>363</v>
      </c>
      <c r="G192" s="1386">
        <v>650</v>
      </c>
      <c r="H192" s="1343">
        <f t="shared" si="28"/>
        <v>0</v>
      </c>
      <c r="I192" s="1414">
        <v>20</v>
      </c>
      <c r="J192" s="1343">
        <f t="shared" si="29"/>
        <v>0</v>
      </c>
      <c r="K192" s="1262">
        <f t="shared" si="30"/>
        <v>0</v>
      </c>
      <c r="L192" s="1415"/>
      <c r="M192" s="1214"/>
      <c r="N192" s="1214"/>
      <c r="O192" s="1214"/>
      <c r="P192" s="1214"/>
    </row>
    <row r="193" spans="1:18" s="1199" customFormat="1" ht="24" customHeight="1">
      <c r="A193" s="1339"/>
      <c r="B193" s="1259" t="s">
        <v>1480</v>
      </c>
      <c r="C193" s="1202"/>
      <c r="D193" s="1202"/>
      <c r="E193" s="1404"/>
      <c r="F193" s="1267" t="s">
        <v>363</v>
      </c>
      <c r="G193" s="1386">
        <v>2565</v>
      </c>
      <c r="H193" s="1343">
        <f t="shared" si="28"/>
        <v>0</v>
      </c>
      <c r="I193" s="1414">
        <v>135</v>
      </c>
      <c r="J193" s="1343">
        <f t="shared" si="29"/>
        <v>0</v>
      </c>
      <c r="K193" s="1262">
        <f t="shared" si="30"/>
        <v>0</v>
      </c>
      <c r="L193" s="1415"/>
      <c r="M193" s="1214"/>
      <c r="N193" s="1214"/>
      <c r="O193" s="1214"/>
      <c r="P193" s="1214"/>
    </row>
    <row r="194" spans="1:18" s="1199" customFormat="1" ht="24" customHeight="1">
      <c r="A194" s="1339"/>
      <c r="B194" s="1259" t="s">
        <v>1481</v>
      </c>
      <c r="C194" s="1202"/>
      <c r="D194" s="1202"/>
      <c r="E194" s="1404"/>
      <c r="F194" s="1267" t="s">
        <v>363</v>
      </c>
      <c r="G194" s="1386">
        <v>1200</v>
      </c>
      <c r="H194" s="1343">
        <f t="shared" si="28"/>
        <v>0</v>
      </c>
      <c r="I194" s="1414">
        <v>135</v>
      </c>
      <c r="J194" s="1343">
        <f t="shared" si="29"/>
        <v>0</v>
      </c>
      <c r="K194" s="1262">
        <f t="shared" si="30"/>
        <v>0</v>
      </c>
      <c r="L194" s="1415"/>
      <c r="M194" s="1214"/>
      <c r="N194" s="1214"/>
      <c r="O194" s="1214"/>
      <c r="P194" s="1214"/>
    </row>
    <row r="195" spans="1:18" s="1199" customFormat="1" ht="24" customHeight="1">
      <c r="A195" s="1339"/>
      <c r="B195" s="1259" t="s">
        <v>1482</v>
      </c>
      <c r="C195" s="1202"/>
      <c r="D195" s="1202"/>
      <c r="E195" s="1404"/>
      <c r="F195" s="1267" t="s">
        <v>363</v>
      </c>
      <c r="G195" s="1386">
        <v>1200</v>
      </c>
      <c r="H195" s="1343">
        <f t="shared" si="28"/>
        <v>0</v>
      </c>
      <c r="I195" s="1414">
        <v>135</v>
      </c>
      <c r="J195" s="1343">
        <f t="shared" si="29"/>
        <v>0</v>
      </c>
      <c r="K195" s="1262">
        <f t="shared" si="30"/>
        <v>0</v>
      </c>
      <c r="L195" s="1415"/>
      <c r="M195" s="1214"/>
      <c r="N195" s="1214"/>
      <c r="O195" s="1214"/>
      <c r="P195" s="1214"/>
    </row>
    <row r="196" spans="1:18" s="1199" customFormat="1" ht="24" customHeight="1">
      <c r="A196" s="1339"/>
      <c r="B196" s="1259" t="s">
        <v>1483</v>
      </c>
      <c r="C196" s="1202"/>
      <c r="D196" s="1202"/>
      <c r="E196" s="1404"/>
      <c r="F196" s="1267" t="s">
        <v>363</v>
      </c>
      <c r="G196" s="1386">
        <v>1860</v>
      </c>
      <c r="H196" s="1343">
        <f t="shared" si="28"/>
        <v>0</v>
      </c>
      <c r="I196" s="1414">
        <v>135</v>
      </c>
      <c r="J196" s="1343">
        <f t="shared" si="29"/>
        <v>0</v>
      </c>
      <c r="K196" s="1262">
        <f t="shared" si="30"/>
        <v>0</v>
      </c>
      <c r="L196" s="1415"/>
      <c r="M196" s="1214"/>
      <c r="N196" s="1214"/>
      <c r="O196" s="1214"/>
      <c r="P196" s="1214"/>
    </row>
    <row r="197" spans="1:18" s="1199" customFormat="1" ht="24" customHeight="1">
      <c r="A197" s="1339"/>
      <c r="B197" s="1259" t="s">
        <v>1484</v>
      </c>
      <c r="C197" s="1202"/>
      <c r="D197" s="1202"/>
      <c r="E197" s="1404"/>
      <c r="F197" s="1267" t="s">
        <v>363</v>
      </c>
      <c r="G197" s="1386">
        <v>1200</v>
      </c>
      <c r="H197" s="1343">
        <f t="shared" si="28"/>
        <v>0</v>
      </c>
      <c r="I197" s="1414">
        <v>135</v>
      </c>
      <c r="J197" s="1343">
        <f t="shared" si="29"/>
        <v>0</v>
      </c>
      <c r="K197" s="1262">
        <f t="shared" si="30"/>
        <v>0</v>
      </c>
      <c r="L197" s="1415"/>
      <c r="M197" s="1214"/>
      <c r="N197" s="1214"/>
      <c r="O197" s="1214"/>
      <c r="P197" s="1214"/>
    </row>
    <row r="198" spans="1:18" s="1199" customFormat="1" ht="24" customHeight="1">
      <c r="A198" s="1339"/>
      <c r="B198" s="1259" t="s">
        <v>1485</v>
      </c>
      <c r="C198" s="1202"/>
      <c r="D198" s="1202"/>
      <c r="E198" s="1404"/>
      <c r="F198" s="1267" t="s">
        <v>363</v>
      </c>
      <c r="G198" s="1386">
        <v>1200</v>
      </c>
      <c r="H198" s="1343">
        <f t="shared" si="28"/>
        <v>0</v>
      </c>
      <c r="I198" s="1414">
        <v>135</v>
      </c>
      <c r="J198" s="1343">
        <f t="shared" si="29"/>
        <v>0</v>
      </c>
      <c r="K198" s="1262">
        <f t="shared" si="30"/>
        <v>0</v>
      </c>
      <c r="L198" s="1415"/>
      <c r="M198" s="1214"/>
      <c r="N198" s="1214"/>
      <c r="O198" s="1214"/>
      <c r="P198" s="1214"/>
    </row>
    <row r="199" spans="1:18" s="1199" customFormat="1" ht="24" customHeight="1">
      <c r="A199" s="1339"/>
      <c r="B199" s="1259" t="s">
        <v>1486</v>
      </c>
      <c r="C199" s="1202"/>
      <c r="D199" s="1202"/>
      <c r="E199" s="1404"/>
      <c r="F199" s="1267" t="s">
        <v>363</v>
      </c>
      <c r="G199" s="1386">
        <v>1830</v>
      </c>
      <c r="H199" s="1343">
        <f t="shared" si="28"/>
        <v>0</v>
      </c>
      <c r="I199" s="1414">
        <v>500</v>
      </c>
      <c r="J199" s="1343">
        <f t="shared" si="29"/>
        <v>0</v>
      </c>
      <c r="K199" s="1262">
        <f t="shared" si="30"/>
        <v>0</v>
      </c>
      <c r="L199" s="1415"/>
      <c r="M199" s="1214"/>
      <c r="N199" s="1214"/>
      <c r="O199" s="1214"/>
      <c r="P199" s="1214"/>
      <c r="Q199" s="1214"/>
    </row>
    <row r="200" spans="1:18" s="1199" customFormat="1" ht="24" customHeight="1">
      <c r="A200" s="1339"/>
      <c r="B200" s="1259" t="s">
        <v>1487</v>
      </c>
      <c r="C200" s="1202"/>
      <c r="D200" s="1202"/>
      <c r="E200" s="1404">
        <v>4</v>
      </c>
      <c r="F200" s="1267" t="s">
        <v>363</v>
      </c>
      <c r="G200" s="1386">
        <v>1620</v>
      </c>
      <c r="H200" s="1343">
        <f t="shared" si="28"/>
        <v>6480</v>
      </c>
      <c r="I200" s="1414">
        <v>500</v>
      </c>
      <c r="J200" s="1343">
        <f t="shared" si="29"/>
        <v>2000</v>
      </c>
      <c r="K200" s="1262">
        <f t="shared" si="30"/>
        <v>8480</v>
      </c>
      <c r="L200" s="1415"/>
      <c r="M200" s="1214"/>
      <c r="N200" s="1214"/>
      <c r="O200" s="1214"/>
      <c r="P200" s="1214"/>
      <c r="Q200" s="1214"/>
    </row>
    <row r="201" spans="1:18" s="1199" customFormat="1" ht="24" customHeight="1">
      <c r="A201" s="1339"/>
      <c r="B201" s="1259" t="s">
        <v>1488</v>
      </c>
      <c r="C201" s="1202"/>
      <c r="D201" s="1202"/>
      <c r="E201" s="1404"/>
      <c r="F201" s="1267" t="s">
        <v>363</v>
      </c>
      <c r="G201" s="1386">
        <v>920</v>
      </c>
      <c r="H201" s="1343">
        <f t="shared" si="28"/>
        <v>0</v>
      </c>
      <c r="I201" s="1414">
        <v>250</v>
      </c>
      <c r="J201" s="1343">
        <f t="shared" si="29"/>
        <v>0</v>
      </c>
      <c r="K201" s="1262">
        <f t="shared" si="30"/>
        <v>0</v>
      </c>
      <c r="L201" s="1415"/>
      <c r="M201" s="1214"/>
      <c r="N201" s="1214"/>
      <c r="O201" s="1214"/>
      <c r="P201" s="1214"/>
      <c r="Q201" s="1214"/>
    </row>
    <row r="202" spans="1:18" s="1199" customFormat="1" ht="24" customHeight="1">
      <c r="A202" s="1339"/>
      <c r="B202" s="1259" t="s">
        <v>1489</v>
      </c>
      <c r="C202" s="1202"/>
      <c r="D202" s="1202"/>
      <c r="E202" s="1404"/>
      <c r="F202" s="1267" t="s">
        <v>363</v>
      </c>
      <c r="G202" s="1386">
        <v>2180</v>
      </c>
      <c r="H202" s="1343">
        <f t="shared" si="28"/>
        <v>0</v>
      </c>
      <c r="I202" s="1414">
        <v>500</v>
      </c>
      <c r="J202" s="1343">
        <f t="shared" si="29"/>
        <v>0</v>
      </c>
      <c r="K202" s="1262">
        <f t="shared" si="30"/>
        <v>0</v>
      </c>
      <c r="L202" s="1415"/>
      <c r="M202" s="1214"/>
      <c r="N202" s="1214"/>
      <c r="O202" s="1214"/>
      <c r="P202" s="1214"/>
    </row>
    <row r="203" spans="1:18" s="1199" customFormat="1" ht="24" customHeight="1">
      <c r="A203" s="1339"/>
      <c r="B203" s="1259" t="s">
        <v>1602</v>
      </c>
      <c r="C203" s="1202"/>
      <c r="D203" s="1202"/>
      <c r="E203" s="1404">
        <v>1</v>
      </c>
      <c r="F203" s="1267" t="s">
        <v>1104</v>
      </c>
      <c r="G203" s="1386">
        <f>SUM(H179:H201)*5%</f>
        <v>676</v>
      </c>
      <c r="H203" s="1343">
        <f t="shared" si="28"/>
        <v>676</v>
      </c>
      <c r="I203" s="1414">
        <f>ROUND(G203*0.3,)</f>
        <v>203</v>
      </c>
      <c r="J203" s="1343">
        <f t="shared" si="29"/>
        <v>203</v>
      </c>
      <c r="K203" s="1262">
        <f t="shared" si="30"/>
        <v>879</v>
      </c>
      <c r="L203" s="1415"/>
      <c r="M203" s="1214"/>
      <c r="N203" s="1214"/>
      <c r="O203" s="1214"/>
      <c r="P203" s="1214"/>
      <c r="Q203" s="1214"/>
    </row>
    <row r="204" spans="1:18" s="1199" customFormat="1" ht="24" customHeight="1">
      <c r="A204" s="1331"/>
      <c r="B204" s="2174" t="s">
        <v>1117</v>
      </c>
      <c r="C204" s="1202"/>
      <c r="D204" s="1202"/>
      <c r="E204" s="1387"/>
      <c r="F204" s="1207"/>
      <c r="G204" s="2176"/>
      <c r="H204" s="1388"/>
      <c r="I204" s="2177"/>
      <c r="J204" s="1385"/>
      <c r="K204" s="1385"/>
      <c r="L204" s="1385"/>
      <c r="M204" s="1214"/>
      <c r="N204" s="1214"/>
      <c r="O204" s="1214"/>
      <c r="P204" s="1214"/>
      <c r="Q204" s="1214"/>
      <c r="R204" s="1214"/>
    </row>
    <row r="205" spans="1:18" s="1199" customFormat="1" ht="24" customHeight="1">
      <c r="A205" s="1331"/>
      <c r="B205" s="2174" t="s">
        <v>1118</v>
      </c>
      <c r="C205" s="1202"/>
      <c r="D205" s="1202"/>
      <c r="E205" s="1387"/>
      <c r="F205" s="1384"/>
      <c r="G205" s="2176"/>
      <c r="H205" s="1388"/>
      <c r="I205" s="2177"/>
      <c r="J205" s="1385"/>
      <c r="K205" s="1385"/>
      <c r="L205" s="1385"/>
      <c r="M205" s="1214"/>
      <c r="N205" s="1214"/>
      <c r="O205" s="1214"/>
      <c r="P205" s="1214"/>
      <c r="Q205" s="1214"/>
      <c r="R205" s="1214"/>
    </row>
    <row r="206" spans="1:18" s="1199" customFormat="1" ht="24" customHeight="1">
      <c r="A206" s="1331"/>
      <c r="B206" s="2174" t="s">
        <v>1369</v>
      </c>
      <c r="C206" s="1202"/>
      <c r="D206" s="1202"/>
      <c r="E206" s="1387"/>
      <c r="F206" s="1407"/>
      <c r="G206" s="2176"/>
      <c r="H206" s="1388"/>
      <c r="I206" s="2177"/>
      <c r="J206" s="1385"/>
      <c r="K206" s="1385"/>
      <c r="L206" s="1385"/>
      <c r="M206" s="1214"/>
      <c r="N206" s="1214"/>
      <c r="O206" s="1214"/>
      <c r="P206" s="1214"/>
    </row>
    <row r="207" spans="1:18" s="1199" customFormat="1" ht="24" customHeight="1">
      <c r="A207" s="1440"/>
      <c r="B207" s="1441"/>
      <c r="C207" s="1442"/>
      <c r="D207" s="1442"/>
      <c r="E207" s="1443"/>
      <c r="F207" s="1507"/>
      <c r="G207" s="1445"/>
      <c r="H207" s="1446"/>
      <c r="I207" s="1447"/>
      <c r="J207" s="1448"/>
      <c r="K207" s="1448"/>
      <c r="L207" s="1448"/>
      <c r="M207" s="1214"/>
      <c r="N207" s="1214"/>
      <c r="O207" s="1214"/>
      <c r="P207" s="1214"/>
    </row>
    <row r="208" spans="1:18" s="1199" customFormat="1" ht="24" customHeight="1">
      <c r="A208" s="1243"/>
      <c r="B208" s="2257" t="str">
        <f>"รวมราคารายการที่ "&amp;A179</f>
        <v>รวมราคารายการที่ 3.7</v>
      </c>
      <c r="C208" s="2258"/>
      <c r="D208" s="2259"/>
      <c r="E208" s="1244"/>
      <c r="F208" s="1245"/>
      <c r="G208" s="1246"/>
      <c r="H208" s="1247">
        <f>SUM(H179:H204)</f>
        <v>14196</v>
      </c>
      <c r="I208" s="1246"/>
      <c r="J208" s="1247">
        <f t="shared" ref="J208:K208" si="31">SUM(J179:J204)</f>
        <v>4043</v>
      </c>
      <c r="K208" s="1247">
        <f t="shared" si="31"/>
        <v>18239</v>
      </c>
      <c r="L208" s="1245"/>
      <c r="M208" s="1214"/>
      <c r="N208" s="1214"/>
      <c r="O208" s="1214"/>
      <c r="P208" s="1214"/>
      <c r="Q208" s="1214"/>
      <c r="R208" s="1214"/>
    </row>
    <row r="209" spans="1:18" s="1199" customFormat="1" ht="24" customHeight="1">
      <c r="A209" s="1435">
        <v>3.8</v>
      </c>
      <c r="B209" s="1436" t="s">
        <v>1371</v>
      </c>
      <c r="C209" s="1202"/>
      <c r="D209" s="1202"/>
      <c r="E209" s="1387"/>
      <c r="F209" s="1384"/>
      <c r="G209" s="2176"/>
      <c r="H209" s="1388"/>
      <c r="I209" s="2177"/>
      <c r="J209" s="1385"/>
      <c r="K209" s="1385"/>
      <c r="L209" s="1385"/>
      <c r="M209" s="1214"/>
      <c r="N209" s="1214"/>
      <c r="O209" s="1214"/>
      <c r="P209" s="1214"/>
      <c r="Q209" s="1214"/>
      <c r="R209" s="1214"/>
    </row>
    <row r="210" spans="1:18" s="1199" customFormat="1" ht="24" customHeight="1">
      <c r="A210" s="1406" t="s">
        <v>1292</v>
      </c>
      <c r="B210" s="2174" t="s">
        <v>1491</v>
      </c>
      <c r="C210" s="1202"/>
      <c r="D210" s="1202"/>
      <c r="E210" s="1387">
        <v>2</v>
      </c>
      <c r="F210" s="1207" t="s">
        <v>363</v>
      </c>
      <c r="G210" s="2176">
        <f>30000+13500</f>
        <v>43500</v>
      </c>
      <c r="H210" s="1264">
        <f t="shared" ref="H210:H237" si="32">ROUND(E210*G210,)</f>
        <v>87000</v>
      </c>
      <c r="I210" s="2177">
        <f>G210*0.1</f>
        <v>4350</v>
      </c>
      <c r="J210" s="1264">
        <f t="shared" ref="J210:J246" si="33">ROUND(E210*I210,)</f>
        <v>8700</v>
      </c>
      <c r="K210" s="1273">
        <f t="shared" ref="K210:K246" si="34">H210+J210</f>
        <v>95700</v>
      </c>
      <c r="L210" s="1385"/>
      <c r="M210" s="1214"/>
      <c r="N210" s="1214"/>
      <c r="O210" s="1214"/>
      <c r="P210" s="1214"/>
      <c r="Q210" s="1214"/>
      <c r="R210" s="1214"/>
    </row>
    <row r="211" spans="1:18" s="1199" customFormat="1" ht="24" customHeight="1">
      <c r="A211" s="1406" t="s">
        <v>1299</v>
      </c>
      <c r="B211" s="2174" t="s">
        <v>1492</v>
      </c>
      <c r="C211" s="1202"/>
      <c r="D211" s="1202"/>
      <c r="E211" s="1387">
        <v>6</v>
      </c>
      <c r="F211" s="1207" t="s">
        <v>363</v>
      </c>
      <c r="G211" s="2176">
        <v>1850</v>
      </c>
      <c r="H211" s="1264">
        <f t="shared" si="32"/>
        <v>11100</v>
      </c>
      <c r="I211" s="2177">
        <v>250</v>
      </c>
      <c r="J211" s="1264">
        <f t="shared" si="33"/>
        <v>1500</v>
      </c>
      <c r="K211" s="1273">
        <f t="shared" si="34"/>
        <v>12600</v>
      </c>
      <c r="L211" s="1385"/>
      <c r="M211" s="1214"/>
      <c r="N211" s="1214"/>
      <c r="O211" s="1214"/>
      <c r="P211" s="1214"/>
      <c r="Q211" s="1214"/>
      <c r="R211" s="1214"/>
    </row>
    <row r="212" spans="1:18" s="1199" customFormat="1" ht="24" customHeight="1">
      <c r="A212" s="1406" t="s">
        <v>1301</v>
      </c>
      <c r="B212" s="2174" t="s">
        <v>1493</v>
      </c>
      <c r="C212" s="1202"/>
      <c r="D212" s="1202"/>
      <c r="E212" s="1387">
        <v>6</v>
      </c>
      <c r="F212" s="1207" t="s">
        <v>363</v>
      </c>
      <c r="G212" s="2176">
        <v>1850</v>
      </c>
      <c r="H212" s="1264">
        <f t="shared" si="32"/>
        <v>11100</v>
      </c>
      <c r="I212" s="2177">
        <v>250</v>
      </c>
      <c r="J212" s="1264">
        <f t="shared" si="33"/>
        <v>1500</v>
      </c>
      <c r="K212" s="1273">
        <f t="shared" si="34"/>
        <v>12600</v>
      </c>
      <c r="L212" s="1385"/>
      <c r="M212" s="1214"/>
      <c r="N212" s="1214"/>
      <c r="O212" s="1214"/>
      <c r="P212" s="1214"/>
      <c r="Q212" s="1214"/>
      <c r="R212" s="1214"/>
    </row>
    <row r="213" spans="1:18" s="1199" customFormat="1" ht="24" customHeight="1">
      <c r="A213" s="1406" t="s">
        <v>1309</v>
      </c>
      <c r="B213" s="2174" t="s">
        <v>1494</v>
      </c>
      <c r="C213" s="1202"/>
      <c r="D213" s="1202"/>
      <c r="E213" s="1387">
        <v>4</v>
      </c>
      <c r="F213" s="1207" t="s">
        <v>363</v>
      </c>
      <c r="G213" s="2176">
        <v>1850</v>
      </c>
      <c r="H213" s="1264">
        <f t="shared" si="32"/>
        <v>7400</v>
      </c>
      <c r="I213" s="2177">
        <v>250</v>
      </c>
      <c r="J213" s="1264">
        <f t="shared" si="33"/>
        <v>1000</v>
      </c>
      <c r="K213" s="1273">
        <f t="shared" si="34"/>
        <v>8400</v>
      </c>
      <c r="L213" s="1385"/>
      <c r="M213" s="1214"/>
      <c r="N213" s="1214"/>
      <c r="O213" s="1214"/>
      <c r="P213" s="1214"/>
      <c r="Q213" s="1214"/>
      <c r="R213" s="1214"/>
    </row>
    <row r="214" spans="1:18" s="1199" customFormat="1" ht="24" customHeight="1">
      <c r="A214" s="1406" t="s">
        <v>1533</v>
      </c>
      <c r="B214" s="2174" t="s">
        <v>1495</v>
      </c>
      <c r="C214" s="1202"/>
      <c r="D214" s="1202"/>
      <c r="E214" s="1387">
        <v>4</v>
      </c>
      <c r="F214" s="1207" t="s">
        <v>363</v>
      </c>
      <c r="G214" s="2176">
        <v>1850</v>
      </c>
      <c r="H214" s="1264">
        <f t="shared" si="32"/>
        <v>7400</v>
      </c>
      <c r="I214" s="2177">
        <v>250</v>
      </c>
      <c r="J214" s="1264">
        <f t="shared" si="33"/>
        <v>1000</v>
      </c>
      <c r="K214" s="1273">
        <f t="shared" si="34"/>
        <v>8400</v>
      </c>
      <c r="L214" s="1385"/>
      <c r="M214" s="1214"/>
      <c r="N214" s="1214"/>
      <c r="O214" s="1214"/>
      <c r="P214" s="1214"/>
      <c r="Q214" s="1214"/>
      <c r="R214" s="1214"/>
    </row>
    <row r="215" spans="1:18" s="1199" customFormat="1" ht="24" customHeight="1">
      <c r="A215" s="1406" t="s">
        <v>1536</v>
      </c>
      <c r="B215" s="2174" t="s">
        <v>1624</v>
      </c>
      <c r="C215" s="1202"/>
      <c r="D215" s="1202"/>
      <c r="E215" s="1387"/>
      <c r="F215" s="1207" t="s">
        <v>363</v>
      </c>
      <c r="G215" s="2176">
        <v>1850</v>
      </c>
      <c r="H215" s="1264">
        <f t="shared" si="32"/>
        <v>0</v>
      </c>
      <c r="I215" s="2177">
        <v>250</v>
      </c>
      <c r="J215" s="1264">
        <f t="shared" si="33"/>
        <v>0</v>
      </c>
      <c r="K215" s="1273">
        <f t="shared" si="34"/>
        <v>0</v>
      </c>
      <c r="L215" s="1385"/>
      <c r="M215" s="1214"/>
      <c r="N215" s="1214"/>
      <c r="O215" s="1214"/>
      <c r="P215" s="1214"/>
      <c r="Q215" s="1214"/>
      <c r="R215" s="1214"/>
    </row>
    <row r="216" spans="1:18" s="1199" customFormat="1" ht="24" customHeight="1">
      <c r="A216" s="1406" t="s">
        <v>1537</v>
      </c>
      <c r="B216" s="2174" t="s">
        <v>1497</v>
      </c>
      <c r="C216" s="1202"/>
      <c r="D216" s="1202"/>
      <c r="E216" s="1387">
        <v>2</v>
      </c>
      <c r="F216" s="1207" t="s">
        <v>363</v>
      </c>
      <c r="G216" s="2176">
        <v>2750</v>
      </c>
      <c r="H216" s="1264">
        <f t="shared" si="32"/>
        <v>5500</v>
      </c>
      <c r="I216" s="2177">
        <v>250</v>
      </c>
      <c r="J216" s="1264">
        <f t="shared" si="33"/>
        <v>500</v>
      </c>
      <c r="K216" s="1273">
        <f t="shared" si="34"/>
        <v>6000</v>
      </c>
      <c r="L216" s="1385"/>
      <c r="M216" s="1214"/>
      <c r="N216" s="1214"/>
      <c r="O216" s="1214"/>
      <c r="P216" s="1214"/>
      <c r="Q216" s="1214"/>
      <c r="R216" s="1214"/>
    </row>
    <row r="217" spans="1:18" s="1199" customFormat="1" ht="24" customHeight="1">
      <c r="A217" s="1406" t="s">
        <v>1538</v>
      </c>
      <c r="B217" s="2174" t="s">
        <v>1498</v>
      </c>
      <c r="C217" s="1202"/>
      <c r="D217" s="1202"/>
      <c r="E217" s="1387">
        <v>2</v>
      </c>
      <c r="F217" s="1207" t="s">
        <v>363</v>
      </c>
      <c r="G217" s="2176">
        <v>2750</v>
      </c>
      <c r="H217" s="1264">
        <f t="shared" si="32"/>
        <v>5500</v>
      </c>
      <c r="I217" s="2177">
        <v>250</v>
      </c>
      <c r="J217" s="1264">
        <f t="shared" si="33"/>
        <v>500</v>
      </c>
      <c r="K217" s="1273">
        <f t="shared" si="34"/>
        <v>6000</v>
      </c>
      <c r="L217" s="1385"/>
      <c r="M217" s="1214"/>
      <c r="N217" s="1214"/>
      <c r="O217" s="1214"/>
      <c r="P217" s="1214"/>
      <c r="Q217" s="1214"/>
      <c r="R217" s="1214"/>
    </row>
    <row r="218" spans="1:18" s="1199" customFormat="1" ht="24" customHeight="1">
      <c r="A218" s="1406" t="s">
        <v>2900</v>
      </c>
      <c r="B218" s="2174" t="s">
        <v>1500</v>
      </c>
      <c r="C218" s="1202"/>
      <c r="D218" s="1202"/>
      <c r="E218" s="1387">
        <v>2</v>
      </c>
      <c r="F218" s="1207" t="s">
        <v>363</v>
      </c>
      <c r="G218" s="2176">
        <v>2750</v>
      </c>
      <c r="H218" s="1264">
        <f t="shared" si="32"/>
        <v>5500</v>
      </c>
      <c r="I218" s="2177">
        <v>250</v>
      </c>
      <c r="J218" s="1264">
        <f t="shared" si="33"/>
        <v>500</v>
      </c>
      <c r="K218" s="1273">
        <f t="shared" si="34"/>
        <v>6000</v>
      </c>
      <c r="L218" s="1385"/>
      <c r="M218" s="1214"/>
      <c r="N218" s="1214"/>
      <c r="O218" s="1214"/>
      <c r="P218" s="1214"/>
      <c r="Q218" s="1214"/>
      <c r="R218" s="1214"/>
    </row>
    <row r="219" spans="1:18" s="1199" customFormat="1" ht="24" customHeight="1">
      <c r="A219" s="1406" t="s">
        <v>2901</v>
      </c>
      <c r="B219" s="1190" t="s">
        <v>1603</v>
      </c>
      <c r="C219" s="1202"/>
      <c r="D219" s="1202"/>
      <c r="E219" s="1387">
        <v>2</v>
      </c>
      <c r="F219" s="1194" t="s">
        <v>363</v>
      </c>
      <c r="G219" s="2176">
        <v>2750</v>
      </c>
      <c r="H219" s="1264">
        <f t="shared" si="32"/>
        <v>5500</v>
      </c>
      <c r="I219" s="2177">
        <v>250</v>
      </c>
      <c r="J219" s="1264">
        <f t="shared" si="33"/>
        <v>500</v>
      </c>
      <c r="K219" s="1273">
        <f t="shared" si="34"/>
        <v>6000</v>
      </c>
      <c r="L219" s="1385"/>
      <c r="M219" s="1214"/>
      <c r="N219" s="1214"/>
      <c r="O219" s="1214"/>
      <c r="P219" s="1214"/>
      <c r="Q219" s="1214"/>
    </row>
    <row r="220" spans="1:18" s="1199" customFormat="1" ht="24" customHeight="1">
      <c r="A220" s="1406" t="s">
        <v>2902</v>
      </c>
      <c r="B220" s="2174" t="s">
        <v>1502</v>
      </c>
      <c r="C220" s="1202"/>
      <c r="D220" s="1202"/>
      <c r="E220" s="1387">
        <v>2</v>
      </c>
      <c r="F220" s="1207" t="s">
        <v>363</v>
      </c>
      <c r="G220" s="2176">
        <v>2750</v>
      </c>
      <c r="H220" s="1264">
        <f t="shared" si="32"/>
        <v>5500</v>
      </c>
      <c r="I220" s="2177">
        <v>250</v>
      </c>
      <c r="J220" s="1264">
        <f t="shared" si="33"/>
        <v>500</v>
      </c>
      <c r="K220" s="1273">
        <f t="shared" si="34"/>
        <v>6000</v>
      </c>
      <c r="L220" s="1385"/>
      <c r="M220" s="1214"/>
      <c r="N220" s="1214"/>
      <c r="O220" s="1214"/>
      <c r="P220" s="1214"/>
      <c r="Q220" s="1214"/>
      <c r="R220" s="1214"/>
    </row>
    <row r="221" spans="1:18" s="1199" customFormat="1" ht="24" customHeight="1">
      <c r="A221" s="1406" t="s">
        <v>2903</v>
      </c>
      <c r="B221" s="2174" t="s">
        <v>1504</v>
      </c>
      <c r="C221" s="1202"/>
      <c r="D221" s="1202"/>
      <c r="E221" s="1387">
        <v>2</v>
      </c>
      <c r="F221" s="1207" t="s">
        <v>363</v>
      </c>
      <c r="G221" s="2176">
        <v>2750</v>
      </c>
      <c r="H221" s="1264">
        <f t="shared" si="32"/>
        <v>5500</v>
      </c>
      <c r="I221" s="2177">
        <v>250</v>
      </c>
      <c r="J221" s="1264">
        <f t="shared" si="33"/>
        <v>500</v>
      </c>
      <c r="K221" s="1273">
        <f t="shared" si="34"/>
        <v>6000</v>
      </c>
      <c r="L221" s="1385"/>
      <c r="M221" s="1214"/>
      <c r="N221" s="1214"/>
      <c r="O221" s="1214"/>
      <c r="P221" s="1214"/>
      <c r="Q221" s="1214"/>
      <c r="R221" s="1214"/>
    </row>
    <row r="222" spans="1:18" s="1199" customFormat="1" ht="24" customHeight="1">
      <c r="A222" s="1406" t="s">
        <v>2904</v>
      </c>
      <c r="B222" s="2174" t="s">
        <v>1506</v>
      </c>
      <c r="C222" s="1202"/>
      <c r="D222" s="1202"/>
      <c r="E222" s="1387"/>
      <c r="F222" s="1207" t="s">
        <v>363</v>
      </c>
      <c r="G222" s="2176">
        <v>2750</v>
      </c>
      <c r="H222" s="1264">
        <f t="shared" si="32"/>
        <v>0</v>
      </c>
      <c r="I222" s="2177">
        <v>250</v>
      </c>
      <c r="J222" s="1264">
        <f t="shared" si="33"/>
        <v>0</v>
      </c>
      <c r="K222" s="1273">
        <f t="shared" si="34"/>
        <v>0</v>
      </c>
      <c r="L222" s="1385"/>
      <c r="M222" s="1214"/>
      <c r="N222" s="1214"/>
      <c r="O222" s="1214"/>
      <c r="P222" s="1214"/>
      <c r="Q222" s="1214"/>
      <c r="R222" s="1214"/>
    </row>
    <row r="223" spans="1:18" s="1199" customFormat="1" ht="24" customHeight="1">
      <c r="A223" s="1406" t="s">
        <v>2905</v>
      </c>
      <c r="B223" s="2174" t="s">
        <v>1508</v>
      </c>
      <c r="C223" s="1202"/>
      <c r="D223" s="1202"/>
      <c r="E223" s="1387">
        <v>4</v>
      </c>
      <c r="F223" s="1207" t="s">
        <v>363</v>
      </c>
      <c r="G223" s="2176">
        <v>2250</v>
      </c>
      <c r="H223" s="1264">
        <f t="shared" si="32"/>
        <v>9000</v>
      </c>
      <c r="I223" s="2177">
        <v>250</v>
      </c>
      <c r="J223" s="1264">
        <f t="shared" si="33"/>
        <v>1000</v>
      </c>
      <c r="K223" s="1273">
        <f t="shared" si="34"/>
        <v>10000</v>
      </c>
      <c r="L223" s="1385"/>
      <c r="M223" s="1214"/>
      <c r="N223" s="1214"/>
      <c r="O223" s="1214"/>
      <c r="P223" s="1214"/>
      <c r="Q223" s="1214"/>
      <c r="R223" s="1214"/>
    </row>
    <row r="224" spans="1:18" s="1199" customFormat="1" ht="24" customHeight="1">
      <c r="A224" s="1406" t="s">
        <v>2906</v>
      </c>
      <c r="B224" s="2174" t="s">
        <v>1510</v>
      </c>
      <c r="C224" s="1202"/>
      <c r="D224" s="1202"/>
      <c r="E224" s="1387">
        <v>246</v>
      </c>
      <c r="F224" s="1207" t="s">
        <v>363</v>
      </c>
      <c r="G224" s="2176">
        <f>3300+300</f>
        <v>3600</v>
      </c>
      <c r="H224" s="1264">
        <f t="shared" si="32"/>
        <v>885600</v>
      </c>
      <c r="I224" s="2177">
        <v>200</v>
      </c>
      <c r="J224" s="1264">
        <f t="shared" si="33"/>
        <v>49200</v>
      </c>
      <c r="K224" s="1273">
        <f t="shared" si="34"/>
        <v>934800</v>
      </c>
      <c r="L224" s="1385"/>
      <c r="M224" s="1214"/>
      <c r="N224" s="1214"/>
      <c r="O224" s="1214"/>
      <c r="P224" s="1214"/>
      <c r="Q224" s="1214"/>
      <c r="R224" s="1214"/>
    </row>
    <row r="225" spans="1:18" s="1199" customFormat="1" ht="24" customHeight="1">
      <c r="A225" s="1406" t="s">
        <v>2907</v>
      </c>
      <c r="B225" s="2174" t="s">
        <v>1637</v>
      </c>
      <c r="C225" s="1202"/>
      <c r="D225" s="1202"/>
      <c r="E225" s="1387">
        <v>2</v>
      </c>
      <c r="F225" s="1207" t="s">
        <v>363</v>
      </c>
      <c r="G225" s="2176">
        <v>33500</v>
      </c>
      <c r="H225" s="1264">
        <f t="shared" si="32"/>
        <v>67000</v>
      </c>
      <c r="I225" s="2177">
        <v>500</v>
      </c>
      <c r="J225" s="1264">
        <f t="shared" si="33"/>
        <v>1000</v>
      </c>
      <c r="K225" s="1273">
        <f t="shared" si="34"/>
        <v>68000</v>
      </c>
      <c r="L225" s="1385"/>
      <c r="M225" s="1214"/>
      <c r="N225" s="1214"/>
      <c r="O225" s="1214"/>
      <c r="P225" s="1214"/>
      <c r="Q225" s="1214"/>
      <c r="R225" s="1214"/>
    </row>
    <row r="226" spans="1:18" s="1199" customFormat="1" ht="24" customHeight="1">
      <c r="A226" s="1406" t="s">
        <v>2908</v>
      </c>
      <c r="B226" s="2174" t="s">
        <v>1638</v>
      </c>
      <c r="C226" s="1202"/>
      <c r="D226" s="1202"/>
      <c r="E226" s="1387">
        <v>2</v>
      </c>
      <c r="F226" s="1207" t="s">
        <v>363</v>
      </c>
      <c r="G226" s="2176">
        <v>33500</v>
      </c>
      <c r="H226" s="1264">
        <f t="shared" si="32"/>
        <v>67000</v>
      </c>
      <c r="I226" s="2177">
        <v>500</v>
      </c>
      <c r="J226" s="1264">
        <f t="shared" si="33"/>
        <v>1000</v>
      </c>
      <c r="K226" s="1273">
        <f t="shared" si="34"/>
        <v>68000</v>
      </c>
      <c r="L226" s="1385"/>
      <c r="M226" s="1214"/>
      <c r="N226" s="1214"/>
      <c r="O226" s="1214"/>
      <c r="P226" s="1214"/>
      <c r="Q226" s="1214"/>
      <c r="R226" s="1214"/>
    </row>
    <row r="227" spans="1:18" s="1199" customFormat="1" ht="24" customHeight="1">
      <c r="A227" s="1406" t="s">
        <v>2909</v>
      </c>
      <c r="B227" s="2174" t="s">
        <v>1512</v>
      </c>
      <c r="C227" s="1202"/>
      <c r="D227" s="1202"/>
      <c r="E227" s="1387">
        <v>10</v>
      </c>
      <c r="F227" s="1207" t="s">
        <v>363</v>
      </c>
      <c r="G227" s="2176">
        <v>5000</v>
      </c>
      <c r="H227" s="1264">
        <f t="shared" si="32"/>
        <v>50000</v>
      </c>
      <c r="I227" s="2177">
        <v>500</v>
      </c>
      <c r="J227" s="1264">
        <f t="shared" si="33"/>
        <v>5000</v>
      </c>
      <c r="K227" s="1273">
        <f t="shared" si="34"/>
        <v>55000</v>
      </c>
      <c r="L227" s="1385"/>
      <c r="M227" s="1214"/>
      <c r="N227" s="1214"/>
      <c r="O227" s="1214"/>
      <c r="P227" s="1214"/>
      <c r="Q227" s="1214"/>
      <c r="R227" s="1214"/>
    </row>
    <row r="228" spans="1:18" s="1199" customFormat="1" ht="24" customHeight="1">
      <c r="A228" s="1406" t="s">
        <v>2910</v>
      </c>
      <c r="B228" s="2174" t="s">
        <v>1514</v>
      </c>
      <c r="C228" s="1202"/>
      <c r="D228" s="1202"/>
      <c r="E228" s="1387">
        <v>6</v>
      </c>
      <c r="F228" s="1207" t="s">
        <v>363</v>
      </c>
      <c r="G228" s="2176">
        <v>350</v>
      </c>
      <c r="H228" s="1264">
        <f t="shared" si="32"/>
        <v>2100</v>
      </c>
      <c r="I228" s="2177">
        <v>200</v>
      </c>
      <c r="J228" s="1264">
        <f t="shared" si="33"/>
        <v>1200</v>
      </c>
      <c r="K228" s="1273">
        <f t="shared" si="34"/>
        <v>3300</v>
      </c>
      <c r="L228" s="1385"/>
      <c r="M228" s="1214"/>
      <c r="N228" s="1214"/>
      <c r="O228" s="1214"/>
      <c r="P228" s="1214"/>
      <c r="Q228" s="1214"/>
      <c r="R228" s="1214"/>
    </row>
    <row r="229" spans="1:18" s="1199" customFormat="1" ht="24" customHeight="1">
      <c r="A229" s="1406" t="s">
        <v>2911</v>
      </c>
      <c r="B229" s="2174" t="s">
        <v>1516</v>
      </c>
      <c r="C229" s="1202"/>
      <c r="D229" s="1202"/>
      <c r="E229" s="1387">
        <v>6</v>
      </c>
      <c r="F229" s="1207" t="s">
        <v>363</v>
      </c>
      <c r="G229" s="2176">
        <v>4200</v>
      </c>
      <c r="H229" s="1264">
        <f t="shared" si="32"/>
        <v>25200</v>
      </c>
      <c r="I229" s="2177">
        <v>200</v>
      </c>
      <c r="J229" s="1264">
        <f t="shared" si="33"/>
        <v>1200</v>
      </c>
      <c r="K229" s="1273">
        <f t="shared" si="34"/>
        <v>26400</v>
      </c>
      <c r="L229" s="1385"/>
      <c r="M229" s="1214"/>
      <c r="N229" s="1214"/>
      <c r="O229" s="1214"/>
      <c r="P229" s="1214"/>
      <c r="Q229" s="1214"/>
      <c r="R229" s="1214"/>
    </row>
    <row r="230" spans="1:18" s="1199" customFormat="1" ht="24" customHeight="1">
      <c r="A230" s="1406" t="s">
        <v>2912</v>
      </c>
      <c r="B230" s="2174" t="s">
        <v>1518</v>
      </c>
      <c r="C230" s="1202"/>
      <c r="D230" s="1202"/>
      <c r="E230" s="1387">
        <v>22</v>
      </c>
      <c r="F230" s="1207" t="s">
        <v>363</v>
      </c>
      <c r="G230" s="2176">
        <v>2200</v>
      </c>
      <c r="H230" s="1264">
        <f t="shared" si="32"/>
        <v>48400</v>
      </c>
      <c r="I230" s="2177">
        <v>200</v>
      </c>
      <c r="J230" s="1264">
        <f t="shared" si="33"/>
        <v>4400</v>
      </c>
      <c r="K230" s="1273">
        <f t="shared" si="34"/>
        <v>52800</v>
      </c>
      <c r="L230" s="1385"/>
      <c r="M230" s="1214"/>
      <c r="N230" s="1214"/>
      <c r="O230" s="1214"/>
      <c r="P230" s="1214"/>
      <c r="Q230" s="1214"/>
      <c r="R230" s="1214"/>
    </row>
    <row r="231" spans="1:18" s="1199" customFormat="1" ht="24" customHeight="1">
      <c r="A231" s="1406" t="s">
        <v>2913</v>
      </c>
      <c r="B231" s="2174" t="s">
        <v>1604</v>
      </c>
      <c r="C231" s="1202"/>
      <c r="D231" s="1202"/>
      <c r="E231" s="1387">
        <v>2</v>
      </c>
      <c r="F231" s="1207" t="s">
        <v>363</v>
      </c>
      <c r="G231" s="2176">
        <v>4785</v>
      </c>
      <c r="H231" s="1264">
        <f t="shared" si="32"/>
        <v>9570</v>
      </c>
      <c r="I231" s="2177">
        <v>100</v>
      </c>
      <c r="J231" s="1264">
        <f t="shared" si="33"/>
        <v>200</v>
      </c>
      <c r="K231" s="1273">
        <f t="shared" si="34"/>
        <v>9770</v>
      </c>
      <c r="L231" s="1385"/>
      <c r="M231" s="1214"/>
      <c r="N231" s="1214"/>
      <c r="O231" s="1214"/>
      <c r="P231" s="1214"/>
      <c r="Q231" s="1214"/>
    </row>
    <row r="232" spans="1:18" s="1199" customFormat="1" ht="24" customHeight="1">
      <c r="A232" s="1406" t="s">
        <v>2914</v>
      </c>
      <c r="B232" s="2174" t="s">
        <v>1521</v>
      </c>
      <c r="C232" s="1202"/>
      <c r="D232" s="1202"/>
      <c r="E232" s="1404">
        <v>2</v>
      </c>
      <c r="F232" s="1207" t="s">
        <v>363</v>
      </c>
      <c r="G232" s="2176">
        <v>5000</v>
      </c>
      <c r="H232" s="1264">
        <f t="shared" si="32"/>
        <v>10000</v>
      </c>
      <c r="I232" s="2177">
        <v>500</v>
      </c>
      <c r="J232" s="1264">
        <f t="shared" si="33"/>
        <v>1000</v>
      </c>
      <c r="K232" s="1273">
        <f t="shared" si="34"/>
        <v>11000</v>
      </c>
      <c r="L232" s="1385"/>
      <c r="M232" s="1214"/>
      <c r="N232" s="1214"/>
      <c r="O232" s="1214"/>
      <c r="P232" s="1214"/>
      <c r="Q232" s="1214"/>
      <c r="R232" s="1214"/>
    </row>
    <row r="233" spans="1:18" s="1199" customFormat="1" ht="24" customHeight="1">
      <c r="A233" s="1406" t="s">
        <v>2915</v>
      </c>
      <c r="B233" s="2174" t="s">
        <v>1312</v>
      </c>
      <c r="C233" s="1202"/>
      <c r="D233" s="1202"/>
      <c r="E233" s="1404"/>
      <c r="F233" s="1384"/>
      <c r="G233" s="2176"/>
      <c r="H233" s="1264">
        <f t="shared" si="32"/>
        <v>0</v>
      </c>
      <c r="I233" s="2177"/>
      <c r="J233" s="1264">
        <f t="shared" si="33"/>
        <v>0</v>
      </c>
      <c r="K233" s="1273">
        <f t="shared" si="34"/>
        <v>0</v>
      </c>
      <c r="L233" s="1385"/>
      <c r="M233" s="1214"/>
      <c r="N233" s="1214"/>
      <c r="O233" s="1214"/>
      <c r="P233" s="1214"/>
      <c r="Q233" s="1214"/>
      <c r="R233" s="1214"/>
    </row>
    <row r="234" spans="1:18" s="1199" customFormat="1" ht="24" customHeight="1">
      <c r="A234" s="1331"/>
      <c r="B234" s="2174" t="s">
        <v>1523</v>
      </c>
      <c r="C234" s="1202"/>
      <c r="D234" s="1202"/>
      <c r="E234" s="1404">
        <v>1440</v>
      </c>
      <c r="F234" s="1358" t="s">
        <v>226</v>
      </c>
      <c r="G234" s="2176">
        <v>82</v>
      </c>
      <c r="H234" s="1264">
        <f t="shared" si="32"/>
        <v>118080</v>
      </c>
      <c r="I234" s="2177">
        <v>12</v>
      </c>
      <c r="J234" s="1264">
        <f t="shared" si="33"/>
        <v>17280</v>
      </c>
      <c r="K234" s="1273">
        <f t="shared" si="34"/>
        <v>135360</v>
      </c>
      <c r="L234" s="1385"/>
      <c r="M234" s="1214"/>
      <c r="N234" s="1214"/>
      <c r="O234" s="1214"/>
      <c r="P234" s="1214"/>
      <c r="Q234" s="1214"/>
      <c r="R234" s="1214"/>
    </row>
    <row r="235" spans="1:18" s="1199" customFormat="1" ht="24" customHeight="1">
      <c r="A235" s="1331"/>
      <c r="B235" s="2174" t="s">
        <v>2553</v>
      </c>
      <c r="C235" s="1202"/>
      <c r="D235" s="1202"/>
      <c r="E235" s="1404">
        <v>2400</v>
      </c>
      <c r="F235" s="1358" t="s">
        <v>226</v>
      </c>
      <c r="G235" s="2176">
        <v>6</v>
      </c>
      <c r="H235" s="1264">
        <f t="shared" si="32"/>
        <v>14400</v>
      </c>
      <c r="I235" s="2177">
        <v>6</v>
      </c>
      <c r="J235" s="1264">
        <f t="shared" si="33"/>
        <v>14400</v>
      </c>
      <c r="K235" s="1273">
        <f t="shared" si="34"/>
        <v>28800</v>
      </c>
      <c r="L235" s="1385"/>
      <c r="M235" s="1214"/>
      <c r="N235" s="1214"/>
      <c r="O235" s="1214"/>
      <c r="P235" s="1214"/>
      <c r="Q235" s="1214"/>
      <c r="R235" s="1214"/>
    </row>
    <row r="236" spans="1:18" s="1199" customFormat="1" ht="24" customHeight="1">
      <c r="A236" s="1331"/>
      <c r="B236" s="2174" t="s">
        <v>1524</v>
      </c>
      <c r="C236" s="1202"/>
      <c r="D236" s="1202"/>
      <c r="E236" s="1404">
        <v>1795</v>
      </c>
      <c r="F236" s="1358" t="s">
        <v>226</v>
      </c>
      <c r="G236" s="2176">
        <v>18</v>
      </c>
      <c r="H236" s="1264">
        <f t="shared" si="32"/>
        <v>32310</v>
      </c>
      <c r="I236" s="2177">
        <v>8</v>
      </c>
      <c r="J236" s="1264">
        <f t="shared" si="33"/>
        <v>14360</v>
      </c>
      <c r="K236" s="1273">
        <f t="shared" si="34"/>
        <v>46670</v>
      </c>
      <c r="L236" s="1385"/>
      <c r="M236" s="1214"/>
      <c r="N236" s="1214"/>
      <c r="O236" s="1214"/>
      <c r="P236" s="1214"/>
      <c r="Q236" s="1214"/>
      <c r="R236" s="1214"/>
    </row>
    <row r="237" spans="1:18" s="1199" customFormat="1" ht="24" customHeight="1">
      <c r="A237" s="1331"/>
      <c r="B237" s="2174" t="s">
        <v>1525</v>
      </c>
      <c r="C237" s="1202"/>
      <c r="D237" s="1202"/>
      <c r="E237" s="1404">
        <v>1</v>
      </c>
      <c r="F237" s="1384" t="s">
        <v>1104</v>
      </c>
      <c r="G237" s="2176">
        <f>ROUND(SUM(H234:H236)*5%,)</f>
        <v>8240</v>
      </c>
      <c r="H237" s="1264">
        <f t="shared" si="32"/>
        <v>8240</v>
      </c>
      <c r="I237" s="1265">
        <f>ROUND(G237*0.3,)</f>
        <v>2472</v>
      </c>
      <c r="J237" s="1264">
        <f t="shared" si="33"/>
        <v>2472</v>
      </c>
      <c r="K237" s="1273">
        <f t="shared" si="34"/>
        <v>10712</v>
      </c>
      <c r="L237" s="1385"/>
      <c r="M237" s="1214"/>
      <c r="N237" s="1214"/>
      <c r="O237" s="1214"/>
      <c r="P237" s="1214"/>
      <c r="Q237" s="1214"/>
      <c r="R237" s="1214"/>
    </row>
    <row r="238" spans="1:18" s="1199" customFormat="1" ht="24" customHeight="1">
      <c r="A238" s="1406" t="s">
        <v>2916</v>
      </c>
      <c r="B238" s="2174" t="s">
        <v>1526</v>
      </c>
      <c r="C238" s="1202"/>
      <c r="D238" s="1202"/>
      <c r="E238" s="1387"/>
      <c r="F238" s="1384"/>
      <c r="G238" s="2176"/>
      <c r="H238" s="1264">
        <f>ROUND(G238*E238,)</f>
        <v>0</v>
      </c>
      <c r="I238" s="2177"/>
      <c r="J238" s="1264">
        <f t="shared" si="33"/>
        <v>0</v>
      </c>
      <c r="K238" s="1273">
        <f t="shared" si="34"/>
        <v>0</v>
      </c>
      <c r="L238" s="1385"/>
      <c r="M238" s="1214"/>
      <c r="N238" s="1214"/>
      <c r="O238" s="1214"/>
      <c r="P238" s="1214"/>
    </row>
    <row r="239" spans="1:18" s="1199" customFormat="1" ht="24" customHeight="1">
      <c r="A239" s="1331"/>
      <c r="B239" s="2174" t="s">
        <v>1350</v>
      </c>
      <c r="C239" s="1202"/>
      <c r="D239" s="1202"/>
      <c r="E239" s="1387">
        <v>1200</v>
      </c>
      <c r="F239" s="1358" t="s">
        <v>226</v>
      </c>
      <c r="G239" s="2176">
        <v>27</v>
      </c>
      <c r="H239" s="1264">
        <f>ROUND(E239*G239,)</f>
        <v>32400</v>
      </c>
      <c r="I239" s="2177">
        <v>22</v>
      </c>
      <c r="J239" s="1264">
        <f t="shared" si="33"/>
        <v>26400</v>
      </c>
      <c r="K239" s="1802">
        <f t="shared" si="34"/>
        <v>58800</v>
      </c>
      <c r="L239" s="2001" t="s">
        <v>2667</v>
      </c>
      <c r="M239" s="1214"/>
      <c r="N239" s="1199">
        <v>79.8</v>
      </c>
      <c r="O239" s="1199">
        <f>ROUND(N239/3,)</f>
        <v>27</v>
      </c>
      <c r="P239" s="1214"/>
    </row>
    <row r="240" spans="1:18" s="1199" customFormat="1" ht="24" customHeight="1">
      <c r="A240" s="1331"/>
      <c r="B240" s="2174" t="s">
        <v>1384</v>
      </c>
      <c r="C240" s="1202"/>
      <c r="D240" s="1202"/>
      <c r="E240" s="1387">
        <v>1</v>
      </c>
      <c r="F240" s="1407" t="s">
        <v>1104</v>
      </c>
      <c r="G240" s="2176">
        <f>SUM(H239:H239)*15%</f>
        <v>4860</v>
      </c>
      <c r="H240" s="1264">
        <f>ROUND(G240*E240,)</f>
        <v>4860</v>
      </c>
      <c r="I240" s="2177">
        <f>G240*0.3</f>
        <v>1458</v>
      </c>
      <c r="J240" s="1264">
        <f t="shared" si="33"/>
        <v>1458</v>
      </c>
      <c r="K240" s="1273">
        <f t="shared" si="34"/>
        <v>6318</v>
      </c>
      <c r="L240" s="1385"/>
      <c r="M240" s="1214"/>
      <c r="N240" s="1214"/>
      <c r="O240" s="1214"/>
      <c r="P240" s="1214"/>
    </row>
    <row r="241" spans="1:18" s="1199" customFormat="1" ht="24" customHeight="1">
      <c r="A241" s="1406" t="s">
        <v>2934</v>
      </c>
      <c r="B241" s="2174" t="s">
        <v>1110</v>
      </c>
      <c r="C241" s="1202"/>
      <c r="D241" s="1202"/>
      <c r="E241" s="1387"/>
      <c r="F241" s="1384"/>
      <c r="G241" s="2176"/>
      <c r="H241" s="1264">
        <f t="shared" ref="H241:H246" si="35">ROUND(E241*G241,)</f>
        <v>0</v>
      </c>
      <c r="I241" s="2177"/>
      <c r="J241" s="1264">
        <f t="shared" si="33"/>
        <v>0</v>
      </c>
      <c r="K241" s="1273">
        <f t="shared" si="34"/>
        <v>0</v>
      </c>
      <c r="L241" s="1385"/>
      <c r="M241" s="1214"/>
      <c r="N241" s="1214"/>
      <c r="O241" s="1214"/>
      <c r="P241" s="1214"/>
    </row>
    <row r="242" spans="1:18" s="1199" customFormat="1" ht="24" customHeight="1">
      <c r="A242" s="1331"/>
      <c r="B242" s="2174" t="s">
        <v>1350</v>
      </c>
      <c r="C242" s="1202"/>
      <c r="D242" s="1202"/>
      <c r="E242" s="1387"/>
      <c r="F242" s="1358" t="s">
        <v>226</v>
      </c>
      <c r="G242" s="2176">
        <v>56</v>
      </c>
      <c r="H242" s="1264">
        <f t="shared" si="35"/>
        <v>0</v>
      </c>
      <c r="I242" s="2177">
        <v>26</v>
      </c>
      <c r="J242" s="1264">
        <f t="shared" si="33"/>
        <v>0</v>
      </c>
      <c r="K242" s="1273">
        <f t="shared" si="34"/>
        <v>0</v>
      </c>
      <c r="L242" s="2001" t="s">
        <v>2667</v>
      </c>
      <c r="M242" s="1214"/>
      <c r="N242" s="1199">
        <v>169.2</v>
      </c>
      <c r="O242" s="1199">
        <f>ROUND(N242/3,)</f>
        <v>56</v>
      </c>
      <c r="P242" s="1214"/>
    </row>
    <row r="243" spans="1:18" s="1199" customFormat="1" ht="24" customHeight="1">
      <c r="A243" s="1331"/>
      <c r="B243" s="2174" t="s">
        <v>1448</v>
      </c>
      <c r="C243" s="1202"/>
      <c r="D243" s="1202"/>
      <c r="E243" s="1404">
        <v>3235</v>
      </c>
      <c r="F243" s="1358" t="s">
        <v>226</v>
      </c>
      <c r="G243" s="2176">
        <v>75</v>
      </c>
      <c r="H243" s="1264">
        <f t="shared" si="35"/>
        <v>242625</v>
      </c>
      <c r="I243" s="2177">
        <v>29</v>
      </c>
      <c r="J243" s="1264">
        <f t="shared" si="33"/>
        <v>93815</v>
      </c>
      <c r="K243" s="1273">
        <f t="shared" si="34"/>
        <v>336440</v>
      </c>
      <c r="L243" s="2001" t="s">
        <v>2667</v>
      </c>
      <c r="N243" s="1199">
        <v>225</v>
      </c>
      <c r="O243" s="1199">
        <f>ROUND(N243/3,)</f>
        <v>75</v>
      </c>
      <c r="P243" s="1214"/>
    </row>
    <row r="244" spans="1:18" s="1199" customFormat="1" ht="24" customHeight="1">
      <c r="A244" s="1331"/>
      <c r="B244" s="2174" t="s">
        <v>1108</v>
      </c>
      <c r="C244" s="1202"/>
      <c r="D244" s="1202"/>
      <c r="E244" s="1387">
        <v>1</v>
      </c>
      <c r="F244" s="1384" t="s">
        <v>1104</v>
      </c>
      <c r="G244" s="2176">
        <f>SUM(H242:H243)*15%</f>
        <v>36393.75</v>
      </c>
      <c r="H244" s="1264">
        <f t="shared" si="35"/>
        <v>36394</v>
      </c>
      <c r="I244" s="1265">
        <f>ROUND(G244*0.3,)</f>
        <v>10918</v>
      </c>
      <c r="J244" s="1264">
        <f t="shared" si="33"/>
        <v>10918</v>
      </c>
      <c r="K244" s="1273">
        <f t="shared" si="34"/>
        <v>47312</v>
      </c>
      <c r="L244" s="1385"/>
      <c r="M244" s="1214"/>
      <c r="N244" s="1214"/>
      <c r="O244" s="1214"/>
      <c r="P244" s="1214"/>
    </row>
    <row r="245" spans="1:18" s="1199" customFormat="1" ht="24" customHeight="1">
      <c r="A245" s="1406" t="s">
        <v>2935</v>
      </c>
      <c r="B245" s="2174" t="s">
        <v>1449</v>
      </c>
      <c r="C245" s="1202"/>
      <c r="D245" s="1202"/>
      <c r="E245" s="1387"/>
      <c r="F245" s="1384"/>
      <c r="G245" s="2176"/>
      <c r="H245" s="1264">
        <f t="shared" si="35"/>
        <v>0</v>
      </c>
      <c r="I245" s="2177"/>
      <c r="J245" s="1264">
        <f t="shared" si="33"/>
        <v>0</v>
      </c>
      <c r="K245" s="1273">
        <f t="shared" si="34"/>
        <v>0</v>
      </c>
      <c r="L245" s="1385"/>
      <c r="M245" s="1214"/>
      <c r="N245" s="1214"/>
      <c r="O245" s="1214"/>
      <c r="P245" s="1214"/>
    </row>
    <row r="246" spans="1:18" s="1199" customFormat="1" ht="24" customHeight="1">
      <c r="A246" s="1331"/>
      <c r="B246" s="2174" t="s">
        <v>1350</v>
      </c>
      <c r="C246" s="1202"/>
      <c r="D246" s="1202"/>
      <c r="E246" s="1387">
        <v>246</v>
      </c>
      <c r="F246" s="1358" t="s">
        <v>226</v>
      </c>
      <c r="G246" s="2176">
        <v>14</v>
      </c>
      <c r="H246" s="1264">
        <f t="shared" si="35"/>
        <v>3444</v>
      </c>
      <c r="I246" s="2177">
        <v>11</v>
      </c>
      <c r="J246" s="1264">
        <f t="shared" si="33"/>
        <v>2706</v>
      </c>
      <c r="K246" s="1273">
        <f t="shared" si="34"/>
        <v>6150</v>
      </c>
      <c r="L246" s="1385"/>
      <c r="M246" s="1214"/>
      <c r="N246" s="1214"/>
      <c r="O246" s="1214"/>
      <c r="P246" s="1214"/>
    </row>
    <row r="247" spans="1:18" s="1199" customFormat="1" ht="24" customHeight="1">
      <c r="A247" s="1331"/>
      <c r="B247" s="2174" t="s">
        <v>1117</v>
      </c>
      <c r="C247" s="1202"/>
      <c r="D247" s="1202"/>
      <c r="E247" s="1404"/>
      <c r="F247" s="1384"/>
      <c r="G247" s="2176"/>
      <c r="H247" s="1388"/>
      <c r="I247" s="2177"/>
      <c r="J247" s="1385"/>
      <c r="K247" s="1385"/>
      <c r="L247" s="1385"/>
      <c r="M247" s="1214"/>
      <c r="N247" s="1214"/>
      <c r="O247" s="1214"/>
      <c r="P247" s="1214"/>
      <c r="Q247" s="1214"/>
      <c r="R247" s="1214"/>
    </row>
    <row r="248" spans="1:18" s="1199" customFormat="1" ht="24" customHeight="1">
      <c r="A248" s="1331"/>
      <c r="B248" s="2174" t="s">
        <v>1118</v>
      </c>
      <c r="C248" s="1202"/>
      <c r="D248" s="1202"/>
      <c r="E248" s="1387"/>
      <c r="F248" s="1384"/>
      <c r="G248" s="2176"/>
      <c r="H248" s="1388"/>
      <c r="I248" s="2177"/>
      <c r="J248" s="1385"/>
      <c r="K248" s="1385"/>
      <c r="L248" s="1385"/>
      <c r="M248" s="1214"/>
      <c r="N248" s="1214"/>
      <c r="O248" s="1214"/>
      <c r="P248" s="1214"/>
      <c r="Q248" s="1214"/>
      <c r="R248" s="1214"/>
    </row>
    <row r="249" spans="1:18" s="1199" customFormat="1" ht="24" customHeight="1">
      <c r="A249" s="1331"/>
      <c r="B249" s="2174" t="s">
        <v>1369</v>
      </c>
      <c r="C249" s="1202"/>
      <c r="D249" s="1202"/>
      <c r="E249" s="1387"/>
      <c r="F249" s="1407"/>
      <c r="G249" s="2176"/>
      <c r="H249" s="1388"/>
      <c r="I249" s="2177"/>
      <c r="J249" s="1385"/>
      <c r="K249" s="1385"/>
      <c r="L249" s="1385"/>
      <c r="M249" s="1214"/>
      <c r="N249" s="1214"/>
      <c r="O249" s="1214"/>
      <c r="P249" s="1214"/>
    </row>
    <row r="250" spans="1:18" s="1199" customFormat="1" ht="24" customHeight="1">
      <c r="A250" s="1243"/>
      <c r="B250" s="2257" t="str">
        <f>"รวมราคารายการที่ "&amp;A209</f>
        <v>รวมราคารายการที่ 3.8</v>
      </c>
      <c r="C250" s="2258"/>
      <c r="D250" s="2259"/>
      <c r="E250" s="1244"/>
      <c r="F250" s="1245"/>
      <c r="G250" s="1246"/>
      <c r="H250" s="1247">
        <f>SUM(H210:H248)</f>
        <v>1823623</v>
      </c>
      <c r="I250" s="1246"/>
      <c r="J250" s="1247">
        <f>SUM(J210:J248)</f>
        <v>265709</v>
      </c>
      <c r="K250" s="1247">
        <f>SUM(K210:K248)</f>
        <v>2089332</v>
      </c>
      <c r="L250" s="1245"/>
      <c r="M250" s="1214"/>
      <c r="N250" s="1214"/>
      <c r="O250" s="1214"/>
      <c r="P250" s="1214"/>
      <c r="Q250" s="1214"/>
      <c r="R250" s="1214"/>
    </row>
    <row r="251" spans="1:18" s="1199" customFormat="1" ht="24" customHeight="1">
      <c r="A251" s="1435" t="s">
        <v>1311</v>
      </c>
      <c r="B251" s="1436" t="s">
        <v>1404</v>
      </c>
      <c r="C251" s="1202"/>
      <c r="D251" s="1202"/>
      <c r="E251" s="1387"/>
      <c r="F251" s="1407"/>
      <c r="G251" s="2176"/>
      <c r="H251" s="1388"/>
      <c r="I251" s="2177"/>
      <c r="J251" s="1385"/>
      <c r="K251" s="1385"/>
      <c r="L251" s="1385"/>
      <c r="M251" s="1214"/>
      <c r="N251" s="1214"/>
      <c r="O251" s="1214"/>
      <c r="P251" s="1214"/>
      <c r="Q251" s="1214"/>
      <c r="R251" s="1214"/>
    </row>
    <row r="252" spans="1:18" s="1199" customFormat="1" ht="24" customHeight="1">
      <c r="A252" s="1406" t="s">
        <v>1313</v>
      </c>
      <c r="B252" s="2174" t="s">
        <v>1529</v>
      </c>
      <c r="C252" s="1202"/>
      <c r="D252" s="1202"/>
      <c r="E252" s="1387">
        <v>24</v>
      </c>
      <c r="F252" s="1207" t="s">
        <v>363</v>
      </c>
      <c r="G252" s="2176">
        <v>900</v>
      </c>
      <c r="H252" s="1264">
        <f t="shared" ref="H252:H257" si="36">ROUND(G252*E252,)</f>
        <v>21600</v>
      </c>
      <c r="I252" s="2177">
        <v>140</v>
      </c>
      <c r="J252" s="1264">
        <f t="shared" ref="J252:J263" si="37">ROUND(E252*I252,)</f>
        <v>3360</v>
      </c>
      <c r="K252" s="1273">
        <f t="shared" ref="K252:K263" si="38">H252+J252</f>
        <v>24960</v>
      </c>
      <c r="L252" s="1385"/>
      <c r="M252" s="1214"/>
      <c r="N252" s="1214"/>
      <c r="O252" s="1214"/>
      <c r="P252" s="1214"/>
      <c r="Q252" s="1214"/>
      <c r="R252" s="1214"/>
    </row>
    <row r="253" spans="1:18" s="1199" customFormat="1" ht="24" customHeight="1">
      <c r="A253" s="1406" t="s">
        <v>1547</v>
      </c>
      <c r="B253" s="2174" t="s">
        <v>1531</v>
      </c>
      <c r="C253" s="1202"/>
      <c r="D253" s="1202"/>
      <c r="E253" s="1387">
        <v>2</v>
      </c>
      <c r="F253" s="1207" t="s">
        <v>363</v>
      </c>
      <c r="G253" s="2176">
        <v>3800</v>
      </c>
      <c r="H253" s="1264">
        <f t="shared" si="36"/>
        <v>7600</v>
      </c>
      <c r="I253" s="2177">
        <v>200</v>
      </c>
      <c r="J253" s="1264">
        <f t="shared" si="37"/>
        <v>400</v>
      </c>
      <c r="K253" s="1273">
        <f t="shared" si="38"/>
        <v>8000</v>
      </c>
      <c r="L253" s="1385"/>
      <c r="M253" s="1214"/>
      <c r="N253" s="1214"/>
      <c r="O253" s="1214"/>
      <c r="P253" s="1214"/>
      <c r="Q253" s="1214"/>
      <c r="R253" s="1214"/>
    </row>
    <row r="254" spans="1:18" s="1199" customFormat="1" ht="24" customHeight="1">
      <c r="A254" s="1406" t="s">
        <v>1549</v>
      </c>
      <c r="B254" s="2174" t="s">
        <v>1532</v>
      </c>
      <c r="C254" s="1202"/>
      <c r="D254" s="1202"/>
      <c r="E254" s="1387">
        <v>2</v>
      </c>
      <c r="F254" s="1207" t="s">
        <v>363</v>
      </c>
      <c r="G254" s="2176">
        <v>5000</v>
      </c>
      <c r="H254" s="1264">
        <f t="shared" si="36"/>
        <v>10000</v>
      </c>
      <c r="I254" s="2177">
        <f>G254*0.1</f>
        <v>500</v>
      </c>
      <c r="J254" s="1264">
        <f t="shared" si="37"/>
        <v>1000</v>
      </c>
      <c r="K254" s="1273">
        <f t="shared" si="38"/>
        <v>11000</v>
      </c>
      <c r="L254" s="1385"/>
      <c r="M254" s="1214"/>
      <c r="N254" s="1214"/>
      <c r="O254" s="1214"/>
      <c r="P254" s="1214"/>
      <c r="Q254" s="1214"/>
      <c r="R254" s="1214"/>
    </row>
    <row r="255" spans="1:18" s="1199" customFormat="1" ht="24" customHeight="1">
      <c r="A255" s="1406" t="s">
        <v>1631</v>
      </c>
      <c r="B255" s="2174" t="s">
        <v>1312</v>
      </c>
      <c r="C255" s="1202"/>
      <c r="D255" s="1202"/>
      <c r="E255" s="1387"/>
      <c r="F255" s="1384"/>
      <c r="G255" s="2176"/>
      <c r="H255" s="1264">
        <f t="shared" si="36"/>
        <v>0</v>
      </c>
      <c r="I255" s="2177"/>
      <c r="J255" s="1264">
        <f t="shared" si="37"/>
        <v>0</v>
      </c>
      <c r="K255" s="1273">
        <f t="shared" si="38"/>
        <v>0</v>
      </c>
      <c r="L255" s="1385"/>
      <c r="M255" s="1214"/>
      <c r="N255" s="1214"/>
      <c r="O255" s="1214"/>
      <c r="P255" s="1214"/>
      <c r="Q255" s="1214"/>
      <c r="R255" s="1214"/>
    </row>
    <row r="256" spans="1:18" s="1199" customFormat="1" ht="24" customHeight="1">
      <c r="A256" s="1331"/>
      <c r="B256" s="2174" t="s">
        <v>1534</v>
      </c>
      <c r="C256" s="1202"/>
      <c r="D256" s="1202"/>
      <c r="E256" s="1387">
        <v>827.99999999999989</v>
      </c>
      <c r="F256" s="1358" t="s">
        <v>226</v>
      </c>
      <c r="G256" s="2176">
        <v>32</v>
      </c>
      <c r="H256" s="1264">
        <f t="shared" si="36"/>
        <v>26496</v>
      </c>
      <c r="I256" s="2177">
        <v>11</v>
      </c>
      <c r="J256" s="1264">
        <f t="shared" si="37"/>
        <v>9108</v>
      </c>
      <c r="K256" s="1802">
        <f t="shared" si="38"/>
        <v>35604</v>
      </c>
      <c r="L256" s="2001" t="s">
        <v>2667</v>
      </c>
      <c r="M256" s="1214"/>
      <c r="N256" s="1199">
        <v>3183</v>
      </c>
      <c r="O256" s="1199">
        <f>ROUND(N256/100,)</f>
        <v>32</v>
      </c>
      <c r="P256" s="1214"/>
      <c r="Q256" s="1214"/>
      <c r="R256" s="1214"/>
    </row>
    <row r="257" spans="1:21" s="1199" customFormat="1" ht="24" customHeight="1">
      <c r="A257" s="1331"/>
      <c r="B257" s="2174" t="s">
        <v>1535</v>
      </c>
      <c r="C257" s="1202"/>
      <c r="D257" s="1202"/>
      <c r="E257" s="1387">
        <v>114.99999999999999</v>
      </c>
      <c r="F257" s="1358" t="s">
        <v>226</v>
      </c>
      <c r="G257" s="2176">
        <v>40</v>
      </c>
      <c r="H257" s="1264">
        <f t="shared" si="36"/>
        <v>4600</v>
      </c>
      <c r="I257" s="2177">
        <v>12</v>
      </c>
      <c r="J257" s="1264">
        <f t="shared" si="37"/>
        <v>1380</v>
      </c>
      <c r="K257" s="1802">
        <f t="shared" si="38"/>
        <v>5980</v>
      </c>
      <c r="L257" s="2001" t="s">
        <v>2667</v>
      </c>
      <c r="M257" s="1214"/>
      <c r="N257" s="1199">
        <v>4039</v>
      </c>
      <c r="O257" s="1199">
        <f>ROUND(N257/100,)</f>
        <v>40</v>
      </c>
      <c r="P257" s="1214"/>
      <c r="Q257" s="1214"/>
      <c r="R257" s="1214"/>
    </row>
    <row r="258" spans="1:21" s="1199" customFormat="1" ht="24" customHeight="1">
      <c r="A258" s="1331"/>
      <c r="B258" s="2174" t="s">
        <v>1525</v>
      </c>
      <c r="C258" s="1202"/>
      <c r="D258" s="1202"/>
      <c r="E258" s="1387">
        <v>1</v>
      </c>
      <c r="F258" s="1384" t="s">
        <v>1104</v>
      </c>
      <c r="G258" s="2176">
        <f>ROUND(SUM(H256:H257)*5%,)</f>
        <v>1555</v>
      </c>
      <c r="H258" s="1264">
        <f>ROUND(E258*G258,)</f>
        <v>1555</v>
      </c>
      <c r="I258" s="1265">
        <f>ROUND(G258*0.3,)</f>
        <v>467</v>
      </c>
      <c r="J258" s="1264">
        <f t="shared" si="37"/>
        <v>467</v>
      </c>
      <c r="K258" s="1273">
        <f t="shared" si="38"/>
        <v>2022</v>
      </c>
      <c r="L258" s="1385"/>
      <c r="M258" s="1214"/>
      <c r="N258" s="1214"/>
      <c r="O258" s="1214"/>
      <c r="P258" s="1214"/>
      <c r="Q258" s="1214"/>
      <c r="R258" s="1214"/>
    </row>
    <row r="259" spans="1:21" s="1199" customFormat="1" ht="24" customHeight="1">
      <c r="A259" s="1406" t="s">
        <v>1610</v>
      </c>
      <c r="B259" s="2174" t="s">
        <v>1526</v>
      </c>
      <c r="C259" s="1202"/>
      <c r="D259" s="1202"/>
      <c r="E259" s="1387"/>
      <c r="F259" s="1384"/>
      <c r="G259" s="2176"/>
      <c r="H259" s="1264">
        <f>ROUND(G259*E259,)</f>
        <v>0</v>
      </c>
      <c r="I259" s="2177"/>
      <c r="J259" s="1264">
        <f t="shared" si="37"/>
        <v>0</v>
      </c>
      <c r="K259" s="1273">
        <f t="shared" si="38"/>
        <v>0</v>
      </c>
      <c r="L259" s="1385"/>
      <c r="M259" s="1214"/>
      <c r="N259" s="1214"/>
      <c r="O259" s="1214"/>
      <c r="P259" s="1214"/>
      <c r="Q259" s="1214"/>
      <c r="R259" s="1214"/>
    </row>
    <row r="260" spans="1:21" s="1199" customFormat="1" ht="24" customHeight="1">
      <c r="A260" s="1331"/>
      <c r="B260" s="2174" t="s">
        <v>1350</v>
      </c>
      <c r="C260" s="1202"/>
      <c r="D260" s="1202"/>
      <c r="E260" s="1387">
        <v>942.99999999999989</v>
      </c>
      <c r="F260" s="1358" t="s">
        <v>226</v>
      </c>
      <c r="G260" s="2176">
        <v>27</v>
      </c>
      <c r="H260" s="1264">
        <f>ROUND(G260*E260,)</f>
        <v>25461</v>
      </c>
      <c r="I260" s="2177">
        <v>22</v>
      </c>
      <c r="J260" s="1264">
        <f t="shared" si="37"/>
        <v>20746</v>
      </c>
      <c r="K260" s="1801">
        <f t="shared" si="38"/>
        <v>46207</v>
      </c>
      <c r="L260" s="2001" t="s">
        <v>2667</v>
      </c>
      <c r="M260" s="1214"/>
      <c r="N260" s="1199">
        <v>79.8</v>
      </c>
      <c r="O260" s="1199">
        <f>ROUND(N260/3,)</f>
        <v>27</v>
      </c>
      <c r="P260" s="1214"/>
      <c r="Q260" s="1214"/>
      <c r="R260" s="1214"/>
    </row>
    <row r="261" spans="1:21" s="1199" customFormat="1" ht="24" customHeight="1">
      <c r="A261" s="1331"/>
      <c r="B261" s="2174" t="s">
        <v>1384</v>
      </c>
      <c r="C261" s="1202"/>
      <c r="D261" s="1202"/>
      <c r="E261" s="1387">
        <v>1</v>
      </c>
      <c r="F261" s="1407" t="s">
        <v>1104</v>
      </c>
      <c r="G261" s="2176">
        <f>ROUND(SUM(H260:H260)*15%,)</f>
        <v>3819</v>
      </c>
      <c r="H261" s="1264">
        <f>ROUND(G261*E261,)</f>
        <v>3819</v>
      </c>
      <c r="I261" s="1265">
        <f>ROUND(G261*0.3,)</f>
        <v>1146</v>
      </c>
      <c r="J261" s="1264">
        <f t="shared" si="37"/>
        <v>1146</v>
      </c>
      <c r="K261" s="1273">
        <f t="shared" si="38"/>
        <v>4965</v>
      </c>
      <c r="L261" s="1385"/>
      <c r="M261" s="1214"/>
      <c r="N261" s="1214"/>
      <c r="O261" s="1214"/>
      <c r="P261" s="1214"/>
      <c r="Q261" s="1214"/>
      <c r="R261" s="1214"/>
    </row>
    <row r="262" spans="1:21" s="1199" customFormat="1" ht="24" customHeight="1">
      <c r="A262" s="1331" t="s">
        <v>1632</v>
      </c>
      <c r="B262" s="2174" t="s">
        <v>1449</v>
      </c>
      <c r="C262" s="1202"/>
      <c r="D262" s="1202"/>
      <c r="E262" s="1387"/>
      <c r="F262" s="1384"/>
      <c r="G262" s="2176"/>
      <c r="H262" s="1264">
        <f>ROUND(G262*E262,)</f>
        <v>0</v>
      </c>
      <c r="I262" s="2177"/>
      <c r="J262" s="1264">
        <f t="shared" si="37"/>
        <v>0</v>
      </c>
      <c r="K262" s="1273">
        <f t="shared" si="38"/>
        <v>0</v>
      </c>
      <c r="L262" s="1385"/>
      <c r="M262" s="1214"/>
      <c r="N262" s="1214"/>
      <c r="O262" s="1214"/>
      <c r="P262" s="1214"/>
      <c r="Q262" s="1214"/>
      <c r="R262" s="1214"/>
    </row>
    <row r="263" spans="1:21" s="1199" customFormat="1" ht="24" customHeight="1">
      <c r="A263" s="1331"/>
      <c r="B263" s="2174" t="s">
        <v>1350</v>
      </c>
      <c r="C263" s="1202"/>
      <c r="D263" s="1202"/>
      <c r="E263" s="1387">
        <v>24</v>
      </c>
      <c r="F263" s="1358" t="s">
        <v>226</v>
      </c>
      <c r="G263" s="2176">
        <v>14</v>
      </c>
      <c r="H263" s="1264">
        <f>ROUND(G263*E263,)</f>
        <v>336</v>
      </c>
      <c r="I263" s="2177">
        <v>11</v>
      </c>
      <c r="J263" s="1264">
        <f t="shared" si="37"/>
        <v>264</v>
      </c>
      <c r="K263" s="1273">
        <f t="shared" si="38"/>
        <v>600</v>
      </c>
      <c r="L263" s="1385"/>
      <c r="M263" s="1214"/>
      <c r="N263" s="1214"/>
      <c r="O263" s="1214"/>
      <c r="P263" s="1214"/>
      <c r="Q263" s="1214"/>
      <c r="R263" s="1214"/>
    </row>
    <row r="264" spans="1:21" s="1199" customFormat="1" ht="24" customHeight="1">
      <c r="A264" s="1331"/>
      <c r="B264" s="2174" t="s">
        <v>1117</v>
      </c>
      <c r="C264" s="1202"/>
      <c r="D264" s="1202"/>
      <c r="E264" s="1387"/>
      <c r="F264" s="1384"/>
      <c r="G264" s="2176"/>
      <c r="H264" s="1388"/>
      <c r="I264" s="2177"/>
      <c r="J264" s="1385"/>
      <c r="K264" s="1385"/>
      <c r="L264" s="1385"/>
      <c r="M264" s="1214"/>
      <c r="N264" s="1214"/>
      <c r="O264" s="1214"/>
      <c r="P264" s="1214"/>
      <c r="Q264" s="1214"/>
      <c r="R264" s="1214"/>
    </row>
    <row r="265" spans="1:21" s="1199" customFormat="1" ht="24" customHeight="1">
      <c r="A265" s="1331"/>
      <c r="B265" s="2174" t="s">
        <v>1118</v>
      </c>
      <c r="C265" s="1202"/>
      <c r="D265" s="1202"/>
      <c r="E265" s="1387"/>
      <c r="F265" s="1384"/>
      <c r="G265" s="2176"/>
      <c r="H265" s="1388"/>
      <c r="I265" s="2177"/>
      <c r="J265" s="1385"/>
      <c r="K265" s="1385"/>
      <c r="L265" s="1385"/>
      <c r="M265" s="1214"/>
      <c r="N265" s="1214"/>
      <c r="O265" s="1214"/>
      <c r="P265" s="1214"/>
      <c r="Q265" s="1214"/>
      <c r="R265" s="1214"/>
    </row>
    <row r="266" spans="1:21" s="1199" customFormat="1" ht="24" customHeight="1">
      <c r="A266" s="1331"/>
      <c r="B266" s="2174" t="s">
        <v>1118</v>
      </c>
      <c r="C266" s="1202"/>
      <c r="D266" s="1202"/>
      <c r="E266" s="1387"/>
      <c r="F266" s="1384"/>
      <c r="G266" s="2176"/>
      <c r="H266" s="1388"/>
      <c r="I266" s="2177"/>
      <c r="J266" s="1385"/>
      <c r="K266" s="1385"/>
      <c r="L266" s="1385"/>
      <c r="M266" s="1214"/>
      <c r="N266" s="1214"/>
      <c r="O266" s="1214"/>
      <c r="P266" s="1214"/>
      <c r="Q266" s="1214"/>
      <c r="R266" s="1214"/>
    </row>
    <row r="267" spans="1:21" s="1199" customFormat="1" ht="24" customHeight="1">
      <c r="A267" s="1243"/>
      <c r="B267" s="2257" t="str">
        <f>"รวมราคารายการที่ "&amp;A251</f>
        <v>รวมราคารายการที่ 3.9</v>
      </c>
      <c r="C267" s="2258"/>
      <c r="D267" s="2259"/>
      <c r="E267" s="1244"/>
      <c r="F267" s="1245"/>
      <c r="G267" s="1246"/>
      <c r="H267" s="1247">
        <f>SUM(H252:H265)</f>
        <v>101467</v>
      </c>
      <c r="I267" s="1246"/>
      <c r="J267" s="1247">
        <f>SUM(J252:J265)</f>
        <v>37871</v>
      </c>
      <c r="K267" s="1247">
        <f>SUM(K252:K265)</f>
        <v>139338</v>
      </c>
      <c r="L267" s="1245"/>
      <c r="M267" s="1214"/>
      <c r="N267" s="1214"/>
      <c r="O267" s="1214"/>
      <c r="P267" s="1214"/>
      <c r="Q267" s="1214"/>
      <c r="R267" s="1214"/>
    </row>
    <row r="268" spans="1:21" s="1199" customFormat="1" ht="24" customHeight="1">
      <c r="A268" s="1435" t="s">
        <v>1332</v>
      </c>
      <c r="B268" s="1436" t="s">
        <v>1419</v>
      </c>
      <c r="C268" s="1202"/>
      <c r="D268" s="1202"/>
      <c r="E268" s="1387"/>
      <c r="F268" s="1384"/>
      <c r="G268" s="2176"/>
      <c r="H268" s="1388"/>
      <c r="I268" s="2177"/>
      <c r="J268" s="1385"/>
      <c r="K268" s="1385"/>
      <c r="L268" s="1385"/>
      <c r="M268" s="1214"/>
      <c r="N268" s="1214"/>
      <c r="O268" s="1214"/>
      <c r="P268" s="1214"/>
      <c r="Q268" s="1214"/>
      <c r="R268" s="1214"/>
    </row>
    <row r="269" spans="1:21" s="1199" customFormat="1" ht="24" customHeight="1">
      <c r="A269" s="1474" t="s">
        <v>1334</v>
      </c>
      <c r="B269" s="2174" t="s">
        <v>2715</v>
      </c>
      <c r="C269" s="1191"/>
      <c r="D269" s="1471"/>
      <c r="E269" s="1206"/>
      <c r="F269" s="1207"/>
      <c r="G269" s="1541"/>
      <c r="H269" s="1273"/>
      <c r="I269" s="2177"/>
      <c r="J269" s="1264"/>
      <c r="K269" s="1265"/>
      <c r="L269" s="1473"/>
      <c r="M269" s="1214"/>
      <c r="N269" s="1214"/>
      <c r="O269" s="1214"/>
      <c r="P269" s="1214"/>
      <c r="Q269" s="1214"/>
      <c r="R269" s="1214"/>
      <c r="S269" s="1214"/>
      <c r="T269" s="1214"/>
      <c r="U269" s="1214"/>
    </row>
    <row r="270" spans="1:21" s="1199" customFormat="1" ht="24" customHeight="1">
      <c r="A270" s="1474"/>
      <c r="B270" s="2174" t="s">
        <v>1573</v>
      </c>
      <c r="C270" s="1191"/>
      <c r="D270" s="1471"/>
      <c r="E270" s="1206">
        <v>2</v>
      </c>
      <c r="F270" s="1207" t="s">
        <v>363</v>
      </c>
      <c r="G270" s="2179">
        <v>50000</v>
      </c>
      <c r="H270" s="1343">
        <f>ROUND(E270*G270,)</f>
        <v>100000</v>
      </c>
      <c r="I270" s="1344">
        <f>G270*0.01</f>
        <v>500</v>
      </c>
      <c r="J270" s="1343">
        <f>ROUND(I270*E270,)</f>
        <v>1000</v>
      </c>
      <c r="K270" s="1344">
        <f>H270+J270</f>
        <v>101000</v>
      </c>
      <c r="L270" s="1473"/>
      <c r="M270" s="1214"/>
      <c r="N270" s="1214"/>
      <c r="O270" s="1214"/>
      <c r="P270" s="1214"/>
      <c r="Q270" s="1214"/>
      <c r="R270" s="1214"/>
      <c r="S270" s="1214"/>
      <c r="T270" s="1214"/>
      <c r="U270" s="1214"/>
    </row>
    <row r="271" spans="1:21" s="1199" customFormat="1" ht="24" customHeight="1">
      <c r="A271" s="1474"/>
      <c r="B271" s="2174" t="s">
        <v>1574</v>
      </c>
      <c r="C271" s="1191"/>
      <c r="D271" s="1471"/>
      <c r="E271" s="1206">
        <v>2</v>
      </c>
      <c r="F271" s="1207" t="s">
        <v>363</v>
      </c>
      <c r="G271" s="2179">
        <v>25000</v>
      </c>
      <c r="H271" s="1343">
        <f>ROUND(E271*G271,)</f>
        <v>50000</v>
      </c>
      <c r="I271" s="1344">
        <f>ROUND(G271*0.01,)</f>
        <v>250</v>
      </c>
      <c r="J271" s="1343">
        <f>ROUND(I271*E271,)</f>
        <v>500</v>
      </c>
      <c r="K271" s="1344">
        <f>H271+J271</f>
        <v>50500</v>
      </c>
      <c r="L271" s="1473"/>
      <c r="M271" s="1214"/>
      <c r="N271" s="1214"/>
      <c r="O271" s="1214"/>
      <c r="P271" s="1214"/>
      <c r="Q271" s="1214"/>
      <c r="R271" s="1214"/>
      <c r="S271" s="1214"/>
      <c r="T271" s="1214"/>
      <c r="U271" s="1214"/>
    </row>
    <row r="272" spans="1:21" s="1199" customFormat="1" ht="24" customHeight="1">
      <c r="A272" s="1475"/>
      <c r="B272" s="2174" t="s">
        <v>1575</v>
      </c>
      <c r="C272" s="1191"/>
      <c r="D272" s="1471"/>
      <c r="E272" s="1206">
        <v>48</v>
      </c>
      <c r="F272" s="1207" t="s">
        <v>363</v>
      </c>
      <c r="G272" s="2179">
        <v>400</v>
      </c>
      <c r="H272" s="1343">
        <f>ROUND(E272*G272,)</f>
        <v>19200</v>
      </c>
      <c r="I272" s="1344">
        <f>ROUND(G272*0.01,)</f>
        <v>4</v>
      </c>
      <c r="J272" s="1343">
        <f>ROUND(I272*E272,)</f>
        <v>192</v>
      </c>
      <c r="K272" s="1344">
        <f>H272+J272</f>
        <v>19392</v>
      </c>
      <c r="L272" s="1473"/>
      <c r="M272" s="1214"/>
      <c r="N272" s="1214"/>
      <c r="O272" s="1214"/>
      <c r="P272" s="1214"/>
      <c r="Q272" s="1214"/>
      <c r="R272" s="1214"/>
      <c r="S272" s="1214"/>
      <c r="T272" s="1214"/>
      <c r="U272" s="1214"/>
    </row>
    <row r="273" spans="1:21" s="1199" customFormat="1" ht="24" customHeight="1">
      <c r="A273" s="1475"/>
      <c r="B273" s="2174" t="s">
        <v>2710</v>
      </c>
      <c r="C273" s="1191"/>
      <c r="D273" s="1471"/>
      <c r="E273" s="1206"/>
      <c r="F273" s="1207" t="s">
        <v>363</v>
      </c>
      <c r="G273" s="2179"/>
      <c r="H273" s="1273"/>
      <c r="I273" s="1265"/>
      <c r="J273" s="1264"/>
      <c r="K273" s="1265"/>
      <c r="L273" s="1473"/>
      <c r="M273" s="1214"/>
      <c r="N273" s="1214"/>
      <c r="O273" s="1214"/>
      <c r="P273" s="1214"/>
      <c r="Q273" s="1214"/>
      <c r="R273" s="1214"/>
      <c r="S273" s="1214"/>
      <c r="T273" s="1214"/>
      <c r="U273" s="1214"/>
    </row>
    <row r="274" spans="1:21" s="1199" customFormat="1" ht="24" customHeight="1">
      <c r="A274" s="1559"/>
      <c r="B274" s="2174" t="s">
        <v>1684</v>
      </c>
      <c r="C274" s="1191"/>
      <c r="D274" s="1471"/>
      <c r="E274" s="1206"/>
      <c r="F274" s="1207" t="s">
        <v>363</v>
      </c>
      <c r="G274" s="2179"/>
      <c r="H274" s="1273"/>
      <c r="I274" s="1265"/>
      <c r="J274" s="1264"/>
      <c r="K274" s="1265"/>
      <c r="L274" s="1469"/>
      <c r="M274" s="1214"/>
      <c r="N274" s="1214"/>
      <c r="O274" s="1214"/>
      <c r="P274" s="1214"/>
      <c r="Q274" s="1214"/>
      <c r="R274" s="1214"/>
      <c r="S274" s="1214"/>
      <c r="T274" s="1214"/>
      <c r="U274" s="1214"/>
    </row>
    <row r="275" spans="1:21" s="1199" customFormat="1" ht="24" customHeight="1">
      <c r="A275" s="1331" t="s">
        <v>1556</v>
      </c>
      <c r="B275" s="2174" t="s">
        <v>1539</v>
      </c>
      <c r="C275" s="1202"/>
      <c r="D275" s="1202"/>
      <c r="E275" s="1387"/>
      <c r="F275" s="1384"/>
      <c r="G275" s="2176"/>
      <c r="H275" s="1388"/>
      <c r="I275" s="2177"/>
      <c r="J275" s="1385"/>
      <c r="K275" s="1385"/>
      <c r="L275" s="1385"/>
      <c r="M275" s="1214"/>
      <c r="N275" s="1214"/>
      <c r="O275" s="1214"/>
      <c r="P275" s="1214"/>
      <c r="Q275" s="1214"/>
      <c r="R275" s="1214"/>
    </row>
    <row r="276" spans="1:21" s="1199" customFormat="1" ht="24" customHeight="1">
      <c r="A276" s="1331"/>
      <c r="B276" s="2174" t="s">
        <v>1540</v>
      </c>
      <c r="C276" s="1202"/>
      <c r="D276" s="1202"/>
      <c r="E276" s="1387">
        <v>2</v>
      </c>
      <c r="F276" s="1207" t="s">
        <v>363</v>
      </c>
      <c r="G276" s="2176">
        <v>46645</v>
      </c>
      <c r="H276" s="1388">
        <f t="shared" ref="H276:H281" si="39">ROUND(E276*G276,)</f>
        <v>93290</v>
      </c>
      <c r="I276" s="2177">
        <v>5000</v>
      </c>
      <c r="J276" s="1385">
        <f>ROUND(E276*I276,)</f>
        <v>10000</v>
      </c>
      <c r="K276" s="1385">
        <f t="shared" ref="K276:K281" si="40">H276+J276</f>
        <v>103290</v>
      </c>
      <c r="L276" s="1385"/>
      <c r="M276" s="1214"/>
      <c r="N276" s="1214"/>
      <c r="O276" s="1214"/>
      <c r="P276" s="1214"/>
      <c r="Q276" s="1214"/>
      <c r="R276" s="1214"/>
    </row>
    <row r="277" spans="1:21" s="1199" customFormat="1" ht="24" customHeight="1">
      <c r="A277" s="1331"/>
      <c r="B277" s="2174" t="s">
        <v>1541</v>
      </c>
      <c r="C277" s="1202"/>
      <c r="D277" s="1202"/>
      <c r="E277" s="1387">
        <v>4</v>
      </c>
      <c r="F277" s="1207" t="s">
        <v>363</v>
      </c>
      <c r="G277" s="2176">
        <v>21375</v>
      </c>
      <c r="H277" s="1388">
        <f t="shared" si="39"/>
        <v>85500</v>
      </c>
      <c r="I277" s="2177" t="s">
        <v>1542</v>
      </c>
      <c r="J277" s="1385"/>
      <c r="K277" s="1385">
        <f t="shared" si="40"/>
        <v>85500</v>
      </c>
      <c r="L277" s="1385"/>
      <c r="M277" s="1214"/>
      <c r="N277" s="1214"/>
      <c r="O277" s="1214"/>
      <c r="P277" s="1214"/>
      <c r="Q277" s="1214"/>
      <c r="R277" s="1214"/>
    </row>
    <row r="278" spans="1:21" s="1199" customFormat="1" ht="24" customHeight="1">
      <c r="A278" s="1331"/>
      <c r="B278" s="2174" t="s">
        <v>1543</v>
      </c>
      <c r="C278" s="1202"/>
      <c r="D278" s="1202"/>
      <c r="E278" s="1387">
        <v>4</v>
      </c>
      <c r="F278" s="1207" t="s">
        <v>363</v>
      </c>
      <c r="G278" s="2176">
        <v>9025</v>
      </c>
      <c r="H278" s="1388">
        <f t="shared" si="39"/>
        <v>36100</v>
      </c>
      <c r="I278" s="2177" t="s">
        <v>1542</v>
      </c>
      <c r="J278" s="1385"/>
      <c r="K278" s="1385">
        <f t="shared" si="40"/>
        <v>36100</v>
      </c>
      <c r="L278" s="1385"/>
      <c r="M278" s="1214"/>
      <c r="N278" s="1214"/>
      <c r="O278" s="1214"/>
      <c r="P278" s="1214"/>
      <c r="Q278" s="1214"/>
      <c r="R278" s="1214"/>
    </row>
    <row r="279" spans="1:21" s="1199" customFormat="1" ht="24" customHeight="1">
      <c r="A279" s="1331"/>
      <c r="B279" s="2174" t="s">
        <v>1544</v>
      </c>
      <c r="C279" s="1202"/>
      <c r="D279" s="1202"/>
      <c r="E279" s="1387">
        <v>4</v>
      </c>
      <c r="F279" s="1207" t="s">
        <v>363</v>
      </c>
      <c r="G279" s="2176">
        <v>1995</v>
      </c>
      <c r="H279" s="1388">
        <f t="shared" si="39"/>
        <v>7980</v>
      </c>
      <c r="I279" s="2177" t="s">
        <v>1542</v>
      </c>
      <c r="J279" s="1385"/>
      <c r="K279" s="1385">
        <f t="shared" si="40"/>
        <v>7980</v>
      </c>
      <c r="L279" s="1385"/>
      <c r="M279" s="1214"/>
      <c r="N279" s="1214"/>
      <c r="O279" s="1214"/>
      <c r="P279" s="1214"/>
      <c r="Q279" s="1214"/>
      <c r="R279" s="1214"/>
    </row>
    <row r="280" spans="1:21" s="1199" customFormat="1" ht="24" customHeight="1">
      <c r="A280" s="1331"/>
      <c r="B280" s="2174" t="s">
        <v>1545</v>
      </c>
      <c r="C280" s="1202"/>
      <c r="D280" s="1202"/>
      <c r="E280" s="1387">
        <v>4</v>
      </c>
      <c r="F280" s="1207" t="s">
        <v>363</v>
      </c>
      <c r="G280" s="2176">
        <v>427.5</v>
      </c>
      <c r="H280" s="1388">
        <f t="shared" si="39"/>
        <v>1710</v>
      </c>
      <c r="I280" s="2177" t="s">
        <v>1542</v>
      </c>
      <c r="J280" s="1385"/>
      <c r="K280" s="1385">
        <f t="shared" si="40"/>
        <v>1710</v>
      </c>
      <c r="L280" s="1385"/>
      <c r="M280" s="1214"/>
      <c r="N280" s="1214"/>
      <c r="O280" s="1214"/>
      <c r="P280" s="1214"/>
      <c r="Q280" s="1214"/>
      <c r="R280" s="1214"/>
    </row>
    <row r="281" spans="1:21" s="1199" customFormat="1" ht="24" customHeight="1">
      <c r="A281" s="1331"/>
      <c r="B281" s="2174" t="s">
        <v>1546</v>
      </c>
      <c r="C281" s="1202"/>
      <c r="D281" s="1202"/>
      <c r="E281" s="1404">
        <v>4</v>
      </c>
      <c r="F281" s="1207" t="s">
        <v>363</v>
      </c>
      <c r="G281" s="2176">
        <v>807.5</v>
      </c>
      <c r="H281" s="1388">
        <f t="shared" si="39"/>
        <v>3230</v>
      </c>
      <c r="I281" s="2177" t="s">
        <v>1542</v>
      </c>
      <c r="J281" s="1385"/>
      <c r="K281" s="1385">
        <f t="shared" si="40"/>
        <v>3230</v>
      </c>
      <c r="L281" s="1385"/>
      <c r="M281" s="1214"/>
      <c r="N281" s="1214"/>
      <c r="O281" s="1214"/>
      <c r="P281" s="1214"/>
      <c r="Q281" s="1214"/>
      <c r="R281" s="1214"/>
    </row>
    <row r="282" spans="1:21" s="1199" customFormat="1" ht="24" customHeight="1">
      <c r="A282" s="1406" t="s">
        <v>1566</v>
      </c>
      <c r="B282" s="2174" t="s">
        <v>1312</v>
      </c>
      <c r="C282" s="1202"/>
      <c r="D282" s="1202"/>
      <c r="E282" s="1404"/>
      <c r="F282" s="1384"/>
      <c r="G282" s="2176"/>
      <c r="H282" s="1388"/>
      <c r="I282" s="2177"/>
      <c r="J282" s="1385"/>
      <c r="K282" s="1385"/>
      <c r="L282" s="1385"/>
      <c r="M282" s="1214"/>
      <c r="N282" s="1214"/>
      <c r="O282" s="1214"/>
      <c r="P282" s="1214"/>
      <c r="Q282" s="1214"/>
      <c r="R282" s="1214"/>
    </row>
    <row r="283" spans="1:21" s="1199" customFormat="1" ht="24" customHeight="1">
      <c r="A283" s="1331"/>
      <c r="B283" s="2174" t="s">
        <v>1548</v>
      </c>
      <c r="C283" s="1202"/>
      <c r="D283" s="1202"/>
      <c r="E283" s="1404">
        <v>237.66666666666666</v>
      </c>
      <c r="F283" s="1358" t="s">
        <v>226</v>
      </c>
      <c r="G283" s="2176">
        <v>37</v>
      </c>
      <c r="H283" s="1388">
        <f>ROUND(E283*G283,)</f>
        <v>8794</v>
      </c>
      <c r="I283" s="2177">
        <v>5</v>
      </c>
      <c r="J283" s="1385">
        <f>ROUND(E283*I283,)</f>
        <v>1188</v>
      </c>
      <c r="K283" s="1385">
        <f>H283+J283</f>
        <v>9982</v>
      </c>
      <c r="L283" s="1385"/>
      <c r="M283" s="1214"/>
      <c r="N283" s="1214"/>
      <c r="O283" s="1214"/>
      <c r="P283" s="1214"/>
      <c r="Q283" s="1214"/>
      <c r="R283" s="1214"/>
    </row>
    <row r="284" spans="1:21" s="1199" customFormat="1" ht="24" customHeight="1">
      <c r="A284" s="1331"/>
      <c r="B284" s="2174" t="s">
        <v>1525</v>
      </c>
      <c r="C284" s="1202"/>
      <c r="D284" s="1202"/>
      <c r="E284" s="1404">
        <v>1</v>
      </c>
      <c r="F284" s="1384" t="s">
        <v>1104</v>
      </c>
      <c r="G284" s="2176">
        <f>ROUND(SUM(H283)*5%,)</f>
        <v>440</v>
      </c>
      <c r="H284" s="1264">
        <f>ROUND(E284*G284,)</f>
        <v>440</v>
      </c>
      <c r="I284" s="1265">
        <f>ROUND(G284*0.3,)</f>
        <v>132</v>
      </c>
      <c r="J284" s="1264">
        <f>ROUND(E284*I284,)</f>
        <v>132</v>
      </c>
      <c r="K284" s="1273">
        <f>H284+J284</f>
        <v>572</v>
      </c>
      <c r="L284" s="1385"/>
      <c r="M284" s="1214"/>
      <c r="N284" s="1214"/>
      <c r="O284" s="1214"/>
      <c r="P284" s="1214"/>
      <c r="Q284" s="1214"/>
      <c r="R284" s="1214"/>
    </row>
    <row r="285" spans="1:21" s="1199" customFormat="1" ht="24" customHeight="1">
      <c r="A285" s="1406" t="s">
        <v>1615</v>
      </c>
      <c r="B285" s="2174" t="s">
        <v>1526</v>
      </c>
      <c r="C285" s="1202"/>
      <c r="D285" s="1202"/>
      <c r="E285" s="1404"/>
      <c r="F285" s="1384"/>
      <c r="G285" s="2176"/>
      <c r="H285" s="1388"/>
      <c r="I285" s="2177"/>
      <c r="J285" s="1385"/>
      <c r="K285" s="1385"/>
      <c r="L285" s="1385"/>
      <c r="M285" s="1214"/>
      <c r="N285" s="1214"/>
      <c r="O285" s="1214"/>
      <c r="P285" s="1214"/>
      <c r="Q285" s="1214"/>
      <c r="R285" s="1214"/>
    </row>
    <row r="286" spans="1:21" s="1199" customFormat="1" ht="24" customHeight="1">
      <c r="A286" s="1331"/>
      <c r="B286" s="2174" t="s">
        <v>1350</v>
      </c>
      <c r="C286" s="1202"/>
      <c r="D286" s="1202"/>
      <c r="E286" s="1404">
        <v>237.66666666666666</v>
      </c>
      <c r="F286" s="1358" t="s">
        <v>226</v>
      </c>
      <c r="G286" s="2176">
        <v>27</v>
      </c>
      <c r="H286" s="1264">
        <f>ROUND(G286*E286,)</f>
        <v>6417</v>
      </c>
      <c r="I286" s="2177">
        <v>22</v>
      </c>
      <c r="J286" s="1264">
        <f>ROUND(E286*I286,)</f>
        <v>5229</v>
      </c>
      <c r="K286" s="1801">
        <f>H286+J286</f>
        <v>11646</v>
      </c>
      <c r="L286" s="2001" t="s">
        <v>2667</v>
      </c>
      <c r="M286" s="1214"/>
      <c r="N286" s="1199">
        <v>79.8</v>
      </c>
      <c r="O286" s="1199">
        <f>ROUND(N286/3,)</f>
        <v>27</v>
      </c>
      <c r="P286" s="1214"/>
      <c r="Q286" s="1214"/>
      <c r="R286" s="1214"/>
    </row>
    <row r="287" spans="1:21" s="1199" customFormat="1" ht="24" customHeight="1">
      <c r="A287" s="1331"/>
      <c r="B287" s="2174" t="s">
        <v>1384</v>
      </c>
      <c r="C287" s="1202"/>
      <c r="D287" s="1202"/>
      <c r="E287" s="1404">
        <v>1</v>
      </c>
      <c r="F287" s="1384" t="s">
        <v>1104</v>
      </c>
      <c r="G287" s="2176">
        <f>ROUND(H286*15%,)</f>
        <v>963</v>
      </c>
      <c r="H287" s="1264">
        <f>ROUND(G287*E287,)</f>
        <v>963</v>
      </c>
      <c r="I287" s="1265">
        <f>ROUND(G287*0.3,)</f>
        <v>289</v>
      </c>
      <c r="J287" s="1264">
        <f>ROUND(E287*I287,)</f>
        <v>289</v>
      </c>
      <c r="K287" s="1273">
        <f>H287+J287</f>
        <v>1252</v>
      </c>
      <c r="L287" s="1385"/>
      <c r="M287" s="1214"/>
      <c r="N287" s="1214"/>
      <c r="O287" s="1214"/>
      <c r="P287" s="1214"/>
      <c r="Q287" s="1214"/>
      <c r="R287" s="1214"/>
    </row>
    <row r="288" spans="1:21" s="1199" customFormat="1" ht="24" customHeight="1">
      <c r="A288" s="1331"/>
      <c r="B288" s="2174" t="s">
        <v>1117</v>
      </c>
      <c r="C288" s="1202"/>
      <c r="D288" s="1202"/>
      <c r="E288" s="1387"/>
      <c r="F288" s="1384"/>
      <c r="G288" s="2176"/>
      <c r="H288" s="1388"/>
      <c r="I288" s="2177"/>
      <c r="J288" s="1385"/>
      <c r="K288" s="1385"/>
      <c r="L288" s="1385"/>
      <c r="M288" s="1214"/>
      <c r="N288" s="1214"/>
      <c r="O288" s="1214"/>
      <c r="P288" s="1214"/>
      <c r="Q288" s="1214"/>
      <c r="R288" s="1214"/>
    </row>
    <row r="289" spans="1:18" s="1199" customFormat="1" ht="24" customHeight="1">
      <c r="A289" s="1331"/>
      <c r="B289" s="2174" t="s">
        <v>1118</v>
      </c>
      <c r="C289" s="1202"/>
      <c r="D289" s="1202"/>
      <c r="E289" s="1387"/>
      <c r="F289" s="1384"/>
      <c r="G289" s="2176"/>
      <c r="H289" s="1388"/>
      <c r="I289" s="2177"/>
      <c r="J289" s="1385"/>
      <c r="K289" s="1385"/>
      <c r="L289" s="1385"/>
      <c r="M289" s="1214"/>
      <c r="N289" s="1214"/>
      <c r="O289" s="1214"/>
      <c r="P289" s="1214"/>
      <c r="Q289" s="1214"/>
      <c r="R289" s="1214"/>
    </row>
    <row r="290" spans="1:18" s="1199" customFormat="1" ht="24" customHeight="1">
      <c r="A290" s="1331"/>
      <c r="B290" s="2174" t="s">
        <v>1118</v>
      </c>
      <c r="C290" s="1202"/>
      <c r="D290" s="1202"/>
      <c r="E290" s="1387"/>
      <c r="F290" s="1384"/>
      <c r="G290" s="2176"/>
      <c r="H290" s="1388"/>
      <c r="I290" s="2177"/>
      <c r="J290" s="1385"/>
      <c r="K290" s="1385"/>
      <c r="L290" s="1385"/>
      <c r="M290" s="1214"/>
      <c r="N290" s="1214"/>
      <c r="O290" s="1214"/>
      <c r="P290" s="1214"/>
      <c r="Q290" s="1214"/>
      <c r="R290" s="1214"/>
    </row>
    <row r="291" spans="1:18" s="1199" customFormat="1" ht="24" customHeight="1">
      <c r="A291" s="1243"/>
      <c r="B291" s="2257" t="str">
        <f>"รวมราคารายการที่ "&amp;A268</f>
        <v>รวมราคารายการที่ 3.10</v>
      </c>
      <c r="C291" s="2258"/>
      <c r="D291" s="2259"/>
      <c r="E291" s="1244"/>
      <c r="F291" s="1245"/>
      <c r="G291" s="1246"/>
      <c r="H291" s="1247">
        <f>SUM(H268:H290)</f>
        <v>413624</v>
      </c>
      <c r="I291" s="1246"/>
      <c r="J291" s="1247">
        <f>SUM(J268:J290)</f>
        <v>18530</v>
      </c>
      <c r="K291" s="1247">
        <f>SUM(K268:K290)</f>
        <v>432154</v>
      </c>
      <c r="L291" s="1245"/>
    </row>
    <row r="292" spans="1:18" s="1199" customFormat="1" ht="24" customHeight="1">
      <c r="A292" s="1367" t="s">
        <v>1570</v>
      </c>
      <c r="B292" s="1353" t="s">
        <v>1550</v>
      </c>
      <c r="C292" s="1452"/>
      <c r="D292" s="1452"/>
      <c r="E292" s="1453"/>
      <c r="F292" s="1454"/>
      <c r="G292" s="1455"/>
      <c r="H292" s="820"/>
      <c r="I292" s="1456"/>
      <c r="J292" s="1457"/>
      <c r="K292" s="1457"/>
      <c r="L292" s="1457"/>
      <c r="M292" s="1214"/>
      <c r="N292" s="1214"/>
      <c r="O292" s="1214"/>
      <c r="P292" s="1214"/>
    </row>
    <row r="293" spans="1:18" s="1199" customFormat="1" ht="24" customHeight="1">
      <c r="A293" s="1458" t="s">
        <v>1348</v>
      </c>
      <c r="B293" s="1220" t="s">
        <v>1551</v>
      </c>
      <c r="C293" s="1221"/>
      <c r="D293" s="1221"/>
      <c r="E293" s="1459"/>
      <c r="F293" s="1460"/>
      <c r="G293" s="1461"/>
      <c r="H293" s="1462"/>
      <c r="I293" s="1463"/>
      <c r="J293" s="1462"/>
      <c r="K293" s="1464"/>
      <c r="L293" s="1415"/>
      <c r="M293" s="1214"/>
      <c r="N293" s="1214"/>
      <c r="O293" s="1214"/>
      <c r="P293" s="1214"/>
    </row>
    <row r="294" spans="1:18" s="1199" customFormat="1" ht="24" customHeight="1">
      <c r="A294" s="1339"/>
      <c r="B294" s="1220" t="s">
        <v>2936</v>
      </c>
      <c r="C294" s="1221"/>
      <c r="D294" s="1221"/>
      <c r="E294" s="1404">
        <v>1</v>
      </c>
      <c r="F294" s="1223" t="s">
        <v>363</v>
      </c>
      <c r="G294" s="1386">
        <v>92400</v>
      </c>
      <c r="H294" s="1413">
        <f t="shared" ref="H294:H295" si="41">ROUND(E294*G294,)</f>
        <v>92400</v>
      </c>
      <c r="I294" s="1414">
        <f>G294*0.1</f>
        <v>9240</v>
      </c>
      <c r="J294" s="1415">
        <f>ROUND(E294*I294,)</f>
        <v>9240</v>
      </c>
      <c r="K294" s="1415">
        <f t="shared" ref="K294:K295" si="42">H294+J294</f>
        <v>101640</v>
      </c>
      <c r="L294" s="1415"/>
      <c r="M294" s="1214"/>
      <c r="N294" s="1214"/>
      <c r="O294" s="1214"/>
      <c r="P294" s="1214"/>
    </row>
    <row r="295" spans="1:18" s="1199" customFormat="1" ht="24" customHeight="1">
      <c r="A295" s="1339"/>
      <c r="B295" s="1220" t="s">
        <v>2937</v>
      </c>
      <c r="C295" s="1221"/>
      <c r="D295" s="1221"/>
      <c r="E295" s="1404">
        <v>1</v>
      </c>
      <c r="F295" s="1223" t="s">
        <v>363</v>
      </c>
      <c r="G295" s="1386">
        <v>92400</v>
      </c>
      <c r="H295" s="1413">
        <f t="shared" si="41"/>
        <v>92400</v>
      </c>
      <c r="I295" s="1414">
        <f>G295*0.1</f>
        <v>9240</v>
      </c>
      <c r="J295" s="1415">
        <f>ROUND(E295*I295,)</f>
        <v>9240</v>
      </c>
      <c r="K295" s="1415">
        <f t="shared" si="42"/>
        <v>101640</v>
      </c>
      <c r="L295" s="1415"/>
      <c r="M295" s="1214"/>
      <c r="N295" s="1214"/>
      <c r="O295" s="1214"/>
      <c r="P295" s="1214"/>
    </row>
    <row r="296" spans="1:18" s="1199" customFormat="1" ht="24" customHeight="1">
      <c r="A296" s="1458" t="s">
        <v>1349</v>
      </c>
      <c r="B296" s="1220" t="s">
        <v>1557</v>
      </c>
      <c r="C296" s="1221"/>
      <c r="D296" s="1221"/>
      <c r="E296" s="1459"/>
      <c r="F296" s="1460"/>
      <c r="G296" s="1461"/>
      <c r="H296" s="1462"/>
      <c r="I296" s="1463"/>
      <c r="J296" s="1462"/>
      <c r="K296" s="1464"/>
      <c r="L296" s="1415"/>
      <c r="M296" s="1214"/>
      <c r="N296" s="1214"/>
      <c r="O296" s="1214"/>
      <c r="P296" s="1214"/>
    </row>
    <row r="297" spans="1:18" s="1199" customFormat="1" ht="24" customHeight="1">
      <c r="A297" s="1339"/>
      <c r="B297" s="1259" t="s">
        <v>2938</v>
      </c>
      <c r="C297" s="1221"/>
      <c r="D297" s="1221"/>
      <c r="E297" s="1404">
        <v>1</v>
      </c>
      <c r="F297" s="1267" t="s">
        <v>363</v>
      </c>
      <c r="G297" s="1386">
        <v>3500</v>
      </c>
      <c r="H297" s="1413">
        <f t="shared" ref="H297:H298" si="43">ROUND(E297*G297,)</f>
        <v>3500</v>
      </c>
      <c r="I297" s="1414">
        <f t="shared" ref="I297:I298" si="44">G297*0.1</f>
        <v>350</v>
      </c>
      <c r="J297" s="1415">
        <f t="shared" ref="J297:J298" si="45">ROUND(E297*I297,)</f>
        <v>350</v>
      </c>
      <c r="K297" s="1415">
        <f t="shared" ref="K297:K298" si="46">H297+J297</f>
        <v>3850</v>
      </c>
      <c r="L297" s="1415"/>
      <c r="M297" s="1214"/>
      <c r="N297" s="1214"/>
      <c r="O297" s="1214"/>
      <c r="P297" s="1214"/>
    </row>
    <row r="298" spans="1:18" s="1199" customFormat="1" ht="24" customHeight="1">
      <c r="A298" s="1339"/>
      <c r="B298" s="1259" t="s">
        <v>2939</v>
      </c>
      <c r="C298" s="1221"/>
      <c r="D298" s="1221"/>
      <c r="E298" s="1404">
        <v>1</v>
      </c>
      <c r="F298" s="1267" t="s">
        <v>363</v>
      </c>
      <c r="G298" s="1386">
        <v>3500</v>
      </c>
      <c r="H298" s="1413">
        <f t="shared" si="43"/>
        <v>3500</v>
      </c>
      <c r="I298" s="1414">
        <f t="shared" si="44"/>
        <v>350</v>
      </c>
      <c r="J298" s="1415">
        <f t="shared" si="45"/>
        <v>350</v>
      </c>
      <c r="K298" s="1415">
        <f t="shared" si="46"/>
        <v>3850</v>
      </c>
      <c r="L298" s="1415"/>
      <c r="M298" s="1214"/>
      <c r="N298" s="1214"/>
      <c r="O298" s="1214"/>
      <c r="P298" s="1214"/>
    </row>
    <row r="299" spans="1:18" s="1199" customFormat="1" ht="24" customHeight="1">
      <c r="A299" s="1458" t="s">
        <v>1577</v>
      </c>
      <c r="B299" s="1259" t="s">
        <v>1312</v>
      </c>
      <c r="C299" s="1221"/>
      <c r="D299" s="1221"/>
      <c r="E299" s="1404"/>
      <c r="F299" s="1412"/>
      <c r="G299" s="1386"/>
      <c r="H299" s="1413"/>
      <c r="I299" s="1414"/>
      <c r="J299" s="1415"/>
      <c r="K299" s="1415"/>
      <c r="L299" s="1415"/>
      <c r="M299" s="1214"/>
      <c r="N299" s="1214"/>
      <c r="O299" s="1214"/>
      <c r="P299" s="1214"/>
    </row>
    <row r="300" spans="1:18" s="1199" customFormat="1" ht="24" customHeight="1">
      <c r="A300" s="1339"/>
      <c r="B300" s="1259" t="s">
        <v>1567</v>
      </c>
      <c r="C300" s="1221"/>
      <c r="D300" s="1221"/>
      <c r="E300" s="1404">
        <v>200</v>
      </c>
      <c r="F300" s="1262" t="s">
        <v>226</v>
      </c>
      <c r="G300" s="1386">
        <v>103</v>
      </c>
      <c r="H300" s="1413">
        <f>ROUND(E300*G300,)</f>
        <v>20600</v>
      </c>
      <c r="I300" s="1414">
        <v>21</v>
      </c>
      <c r="J300" s="1415">
        <f>ROUND(E300*I300,)</f>
        <v>4200</v>
      </c>
      <c r="K300" s="1415">
        <f>H300+J300</f>
        <v>24800</v>
      </c>
      <c r="L300" s="1415"/>
      <c r="M300" s="1214"/>
      <c r="N300" s="1214"/>
      <c r="O300" s="1214"/>
      <c r="P300" s="1214"/>
    </row>
    <row r="301" spans="1:18" s="1199" customFormat="1" ht="24" customHeight="1">
      <c r="A301" s="1339"/>
      <c r="B301" s="1259" t="s">
        <v>1568</v>
      </c>
      <c r="C301" s="1221"/>
      <c r="D301" s="1221"/>
      <c r="E301" s="1404">
        <v>120</v>
      </c>
      <c r="F301" s="1262" t="s">
        <v>226</v>
      </c>
      <c r="G301" s="1386">
        <v>139</v>
      </c>
      <c r="H301" s="1413">
        <f>ROUND(E301*G301,)</f>
        <v>16680</v>
      </c>
      <c r="I301" s="1414">
        <v>21</v>
      </c>
      <c r="J301" s="1415">
        <f>ROUND(E301*I301,)</f>
        <v>2520</v>
      </c>
      <c r="K301" s="1415">
        <f>H301+J301</f>
        <v>19200</v>
      </c>
      <c r="L301" s="1415"/>
      <c r="M301" s="1214"/>
      <c r="N301" s="1214"/>
      <c r="O301" s="1214"/>
      <c r="P301" s="1214"/>
    </row>
    <row r="302" spans="1:18" s="1199" customFormat="1" ht="24" customHeight="1">
      <c r="A302" s="1339"/>
      <c r="B302" s="1259" t="s">
        <v>1525</v>
      </c>
      <c r="C302" s="1221"/>
      <c r="D302" s="1221"/>
      <c r="E302" s="1404">
        <v>1</v>
      </c>
      <c r="F302" s="1412" t="s">
        <v>1104</v>
      </c>
      <c r="G302" s="1386">
        <f>SUM(H300:H301)*5%</f>
        <v>1864</v>
      </c>
      <c r="H302" s="1343">
        <f t="shared" ref="H302" si="47">ROUND(E302*G302,)</f>
        <v>1864</v>
      </c>
      <c r="I302" s="1414">
        <f>G302*0.3</f>
        <v>559.19999999999993</v>
      </c>
      <c r="J302" s="1343">
        <f t="shared" ref="J302" si="48">ROUND(E302*I302,)</f>
        <v>559</v>
      </c>
      <c r="K302" s="1262">
        <f t="shared" ref="K302" si="49">H302+J302</f>
        <v>2423</v>
      </c>
      <c r="L302" s="1415"/>
      <c r="M302" s="1214"/>
      <c r="N302" s="1214"/>
      <c r="O302" s="1214"/>
      <c r="P302" s="1214"/>
    </row>
    <row r="303" spans="1:18" s="1199" customFormat="1" ht="24" customHeight="1">
      <c r="A303" s="1339" t="s">
        <v>1359</v>
      </c>
      <c r="B303" s="1259" t="s">
        <v>1343</v>
      </c>
      <c r="C303" s="1221"/>
      <c r="D303" s="1221"/>
      <c r="E303" s="1404"/>
      <c r="F303" s="1412"/>
      <c r="G303" s="1386"/>
      <c r="H303" s="1343"/>
      <c r="I303" s="1414"/>
      <c r="J303" s="1343"/>
      <c r="K303" s="1262"/>
      <c r="L303" s="1466"/>
    </row>
    <row r="304" spans="1:18" s="1199" customFormat="1" ht="24" customHeight="1">
      <c r="A304" s="1339"/>
      <c r="B304" s="1259" t="s">
        <v>1344</v>
      </c>
      <c r="C304" s="1221"/>
      <c r="D304" s="1221"/>
      <c r="E304" s="1404">
        <v>40</v>
      </c>
      <c r="F304" s="1262" t="s">
        <v>226</v>
      </c>
      <c r="G304" s="1386">
        <v>316</v>
      </c>
      <c r="H304" s="1343">
        <f t="shared" ref="H304" si="50">ROUND(E304*G304,)</f>
        <v>12640</v>
      </c>
      <c r="I304" s="1414">
        <v>50</v>
      </c>
      <c r="J304" s="1343">
        <f t="shared" ref="J304:J305" si="51">ROUND(E304*I304,)</f>
        <v>2000</v>
      </c>
      <c r="K304" s="1262">
        <f t="shared" ref="K304:K305" si="52">H304+J304</f>
        <v>14640</v>
      </c>
      <c r="L304" s="1466"/>
    </row>
    <row r="305" spans="1:21" s="1199" customFormat="1" ht="24" customHeight="1">
      <c r="A305" s="1339"/>
      <c r="B305" s="1220" t="s">
        <v>1384</v>
      </c>
      <c r="C305" s="1221"/>
      <c r="D305" s="1221"/>
      <c r="E305" s="1404">
        <v>1</v>
      </c>
      <c r="F305" s="1412" t="s">
        <v>1104</v>
      </c>
      <c r="G305" s="1386">
        <f>SUM(H304)*15%</f>
        <v>1896</v>
      </c>
      <c r="H305" s="1343">
        <f t="shared" ref="H305" si="53">ROUND(G305*E305,)</f>
        <v>1896</v>
      </c>
      <c r="I305" s="1414">
        <f>G305*0.3</f>
        <v>568.79999999999995</v>
      </c>
      <c r="J305" s="1343">
        <f t="shared" si="51"/>
        <v>569</v>
      </c>
      <c r="K305" s="1262">
        <f t="shared" si="52"/>
        <v>2465</v>
      </c>
      <c r="L305" s="1466"/>
    </row>
    <row r="306" spans="1:21" s="1199" customFormat="1" ht="24" customHeight="1">
      <c r="A306" s="1339"/>
      <c r="B306" s="1220" t="s">
        <v>1117</v>
      </c>
      <c r="C306" s="1221"/>
      <c r="D306" s="1221"/>
      <c r="E306" s="1404"/>
      <c r="F306" s="1412"/>
      <c r="G306" s="1386"/>
      <c r="H306" s="1413"/>
      <c r="I306" s="1414"/>
      <c r="J306" s="1415"/>
      <c r="K306" s="1415"/>
      <c r="L306" s="1415"/>
      <c r="M306" s="1214"/>
      <c r="N306" s="1214"/>
      <c r="O306" s="1214"/>
      <c r="P306" s="1214"/>
    </row>
    <row r="307" spans="1:21" s="1199" customFormat="1" ht="24" customHeight="1">
      <c r="A307" s="1339"/>
      <c r="B307" s="1220" t="s">
        <v>1118</v>
      </c>
      <c r="C307" s="1221"/>
      <c r="D307" s="1221"/>
      <c r="E307" s="1404"/>
      <c r="F307" s="1412"/>
      <c r="G307" s="1386"/>
      <c r="H307" s="1413"/>
      <c r="I307" s="1414"/>
      <c r="J307" s="1415"/>
      <c r="K307" s="1415"/>
      <c r="L307" s="1415"/>
      <c r="M307" s="1214"/>
      <c r="N307" s="1214"/>
      <c r="O307" s="1214"/>
      <c r="P307" s="1214"/>
    </row>
    <row r="308" spans="1:21" s="1199" customFormat="1" ht="24" customHeight="1">
      <c r="A308" s="1243"/>
      <c r="B308" s="2257" t="str">
        <f>"รวมราคารายการที่ "&amp;A292</f>
        <v>รวมราคารายการที่ 3.11</v>
      </c>
      <c r="C308" s="2258"/>
      <c r="D308" s="2259"/>
      <c r="E308" s="1244"/>
      <c r="F308" s="1245"/>
      <c r="G308" s="1246"/>
      <c r="H308" s="1247">
        <f>SUM(H292:H307)</f>
        <v>245480</v>
      </c>
      <c r="I308" s="1246"/>
      <c r="J308" s="1247">
        <f>SUM(J292:J307)</f>
        <v>29028</v>
      </c>
      <c r="K308" s="1247">
        <f>SUM(K292:K307)</f>
        <v>274508</v>
      </c>
      <c r="L308" s="1245"/>
    </row>
    <row r="309" spans="1:21" s="1199" customFormat="1" ht="24" customHeight="1">
      <c r="A309" s="1467" t="s">
        <v>2917</v>
      </c>
      <c r="B309" s="1292" t="s">
        <v>1571</v>
      </c>
      <c r="C309" s="1468"/>
      <c r="D309" s="1192"/>
      <c r="E309" s="1193"/>
      <c r="F309" s="1194"/>
      <c r="G309" s="1297"/>
      <c r="H309" s="1298"/>
      <c r="I309" s="1299"/>
      <c r="J309" s="1298"/>
      <c r="K309" s="1299"/>
      <c r="L309" s="1469"/>
      <c r="M309" s="1214"/>
      <c r="N309" s="1214"/>
      <c r="O309" s="1214"/>
      <c r="P309" s="1214"/>
      <c r="Q309" s="1214"/>
      <c r="R309" s="1214"/>
      <c r="S309" s="1214"/>
      <c r="T309" s="1214"/>
      <c r="U309" s="1214"/>
    </row>
    <row r="310" spans="1:21" s="1199" customFormat="1" ht="24" customHeight="1">
      <c r="A310" s="1470" t="s">
        <v>1352</v>
      </c>
      <c r="B310" s="2174" t="s">
        <v>1611</v>
      </c>
      <c r="C310" s="1191"/>
      <c r="D310" s="1471"/>
      <c r="E310" s="1472">
        <v>2</v>
      </c>
      <c r="F310" s="1267" t="s">
        <v>363</v>
      </c>
      <c r="G310" s="2178">
        <v>3200</v>
      </c>
      <c r="H310" s="1343">
        <f>ROUND(E310*G310,)</f>
        <v>6400</v>
      </c>
      <c r="I310" s="1344">
        <v>150</v>
      </c>
      <c r="J310" s="1343">
        <f>ROUND(I310*E310,)</f>
        <v>300</v>
      </c>
      <c r="K310" s="1344">
        <f>H310+J310</f>
        <v>6700</v>
      </c>
      <c r="L310" s="1473"/>
      <c r="M310" s="1214"/>
      <c r="N310" s="1214"/>
      <c r="O310" s="1214"/>
      <c r="P310" s="1214"/>
      <c r="Q310" s="1214"/>
      <c r="R310" s="1214"/>
      <c r="S310" s="1214"/>
      <c r="T310" s="1214"/>
      <c r="U310" s="1214"/>
    </row>
    <row r="311" spans="1:21" s="1199" customFormat="1" ht="24" customHeight="1">
      <c r="A311" s="1474" t="s">
        <v>1354</v>
      </c>
      <c r="B311" s="2174" t="s">
        <v>1612</v>
      </c>
      <c r="C311" s="1191"/>
      <c r="D311" s="1471"/>
      <c r="E311" s="1472">
        <v>2</v>
      </c>
      <c r="F311" s="1267" t="s">
        <v>363</v>
      </c>
      <c r="G311" s="2178">
        <v>2640</v>
      </c>
      <c r="H311" s="1343">
        <f>ROUND(E311*G311,)</f>
        <v>5280</v>
      </c>
      <c r="I311" s="1344">
        <v>150</v>
      </c>
      <c r="J311" s="1343">
        <f>ROUND(I311*E311,)</f>
        <v>300</v>
      </c>
      <c r="K311" s="1344">
        <f>H311+J311</f>
        <v>5580</v>
      </c>
      <c r="L311" s="1473"/>
      <c r="M311" s="1214"/>
      <c r="N311" s="1214"/>
      <c r="O311" s="1214"/>
      <c r="P311" s="1214"/>
      <c r="Q311" s="1214"/>
      <c r="R311" s="1214"/>
      <c r="S311" s="1214"/>
      <c r="T311" s="1214"/>
      <c r="U311" s="1214"/>
    </row>
    <row r="312" spans="1:21" s="1199" customFormat="1" ht="24" customHeight="1">
      <c r="A312" s="1474" t="s">
        <v>1357</v>
      </c>
      <c r="B312" s="2174" t="s">
        <v>1613</v>
      </c>
      <c r="C312" s="1191"/>
      <c r="D312" s="1471"/>
      <c r="E312" s="1206"/>
      <c r="F312" s="1207"/>
      <c r="G312" s="2175"/>
      <c r="H312" s="1264"/>
      <c r="I312" s="1265"/>
      <c r="J312" s="1264"/>
      <c r="K312" s="1265"/>
      <c r="L312" s="1473"/>
      <c r="M312" s="1214"/>
      <c r="N312" s="1214"/>
      <c r="O312" s="1214"/>
      <c r="P312" s="1214"/>
      <c r="Q312" s="1214"/>
      <c r="R312" s="1214"/>
      <c r="S312" s="1214"/>
      <c r="T312" s="1214"/>
      <c r="U312" s="1214"/>
    </row>
    <row r="313" spans="1:21" s="1199" customFormat="1" ht="24" customHeight="1">
      <c r="A313" s="1478"/>
      <c r="B313" s="1259" t="s">
        <v>1614</v>
      </c>
      <c r="C313" s="1191"/>
      <c r="D313" s="1471"/>
      <c r="E313" s="1206">
        <v>675</v>
      </c>
      <c r="F313" s="1207" t="s">
        <v>226</v>
      </c>
      <c r="G313" s="2178">
        <v>10</v>
      </c>
      <c r="H313" s="1264">
        <f>ROUND(E313*G313,)</f>
        <v>6750</v>
      </c>
      <c r="I313" s="1265">
        <v>5</v>
      </c>
      <c r="J313" s="1264">
        <f>ROUND(I313*E313,)</f>
        <v>3375</v>
      </c>
      <c r="K313" s="1265">
        <f>H313+J313</f>
        <v>10125</v>
      </c>
      <c r="L313" s="1473"/>
      <c r="M313" s="1214"/>
      <c r="N313" s="1214"/>
      <c r="O313" s="1214"/>
      <c r="P313" s="1214"/>
      <c r="Q313" s="1214"/>
      <c r="R313" s="1214"/>
      <c r="S313" s="1214"/>
      <c r="T313" s="1214"/>
      <c r="U313" s="1214"/>
    </row>
    <row r="314" spans="1:21" s="1199" customFormat="1" ht="24" customHeight="1">
      <c r="A314" s="1474" t="s">
        <v>2677</v>
      </c>
      <c r="B314" s="2174" t="s">
        <v>1526</v>
      </c>
      <c r="C314" s="1191"/>
      <c r="D314" s="1471"/>
      <c r="E314" s="1206"/>
      <c r="F314" s="1207"/>
      <c r="G314" s="2175"/>
      <c r="H314" s="1264"/>
      <c r="I314" s="1265"/>
      <c r="J314" s="1264"/>
      <c r="K314" s="1265"/>
      <c r="L314" s="1473"/>
      <c r="M314" s="1214"/>
      <c r="N314" s="1214"/>
      <c r="O314" s="1214"/>
      <c r="P314" s="1214"/>
      <c r="Q314" s="1214"/>
      <c r="R314" s="1214"/>
      <c r="S314" s="1214"/>
      <c r="T314" s="1214"/>
      <c r="U314" s="1214"/>
    </row>
    <row r="315" spans="1:21" s="1199" customFormat="1" ht="24" customHeight="1">
      <c r="A315" s="1479"/>
      <c r="B315" s="2174" t="s">
        <v>1350</v>
      </c>
      <c r="C315" s="1191"/>
      <c r="D315" s="1471"/>
      <c r="E315" s="1387"/>
      <c r="F315" s="1358" t="s">
        <v>226</v>
      </c>
      <c r="G315" s="2176">
        <v>27</v>
      </c>
      <c r="H315" s="1264">
        <f t="shared" ref="H315" si="54">ROUND(G315*E315,)</f>
        <v>0</v>
      </c>
      <c r="I315" s="2177">
        <v>22</v>
      </c>
      <c r="J315" s="1264">
        <f t="shared" ref="J315" si="55">ROUND(E315*I315,)</f>
        <v>0</v>
      </c>
      <c r="K315" s="1802">
        <f t="shared" ref="K315" si="56">H315+J315</f>
        <v>0</v>
      </c>
      <c r="L315" s="2001" t="s">
        <v>2667</v>
      </c>
      <c r="M315" s="1214"/>
      <c r="N315" s="1214"/>
      <c r="O315" s="1214"/>
      <c r="P315" s="1214"/>
      <c r="Q315" s="1214"/>
      <c r="R315" s="1214"/>
      <c r="S315" s="1214"/>
      <c r="T315" s="1214"/>
      <c r="U315" s="1214"/>
    </row>
    <row r="316" spans="1:21" s="1199" customFormat="1" ht="24" customHeight="1">
      <c r="A316" s="1474" t="s">
        <v>2679</v>
      </c>
      <c r="B316" s="2174" t="s">
        <v>1110</v>
      </c>
      <c r="C316" s="1191"/>
      <c r="D316" s="1471"/>
      <c r="E316" s="1206"/>
      <c r="F316" s="1207"/>
      <c r="G316" s="2175"/>
      <c r="H316" s="1264"/>
      <c r="I316" s="1265"/>
      <c r="J316" s="1264"/>
      <c r="K316" s="1265"/>
      <c r="L316" s="1473"/>
      <c r="M316" s="1214"/>
      <c r="N316" s="1214"/>
      <c r="O316" s="1214"/>
      <c r="P316" s="1214"/>
      <c r="Q316" s="1214"/>
      <c r="R316" s="1214"/>
      <c r="S316" s="1214"/>
      <c r="T316" s="1214"/>
      <c r="U316" s="1214"/>
    </row>
    <row r="317" spans="1:21" s="1199" customFormat="1" ht="24" customHeight="1">
      <c r="A317" s="1480"/>
      <c r="B317" s="2174" t="s">
        <v>1350</v>
      </c>
      <c r="C317" s="1191"/>
      <c r="D317" s="1471"/>
      <c r="E317" s="1387">
        <v>80</v>
      </c>
      <c r="F317" s="1358" t="s">
        <v>226</v>
      </c>
      <c r="G317" s="2176">
        <v>56</v>
      </c>
      <c r="H317" s="1264">
        <f>ROUND(E317*G317,)</f>
        <v>4480</v>
      </c>
      <c r="I317" s="2177">
        <v>26</v>
      </c>
      <c r="J317" s="1264">
        <f t="shared" ref="J317" si="57">ROUND(E317*I317,)</f>
        <v>2080</v>
      </c>
      <c r="K317" s="1801">
        <f t="shared" ref="K317" si="58">H317+J317</f>
        <v>6560</v>
      </c>
      <c r="L317" s="2001" t="s">
        <v>2667</v>
      </c>
      <c r="M317" s="1214"/>
      <c r="N317" s="1199">
        <v>169.2</v>
      </c>
      <c r="O317" s="1199">
        <f>ROUND(N317/3,)</f>
        <v>56</v>
      </c>
      <c r="P317" s="1214"/>
      <c r="Q317" s="1214"/>
      <c r="R317" s="1214"/>
      <c r="S317" s="1214"/>
      <c r="T317" s="1214"/>
      <c r="U317" s="1214"/>
    </row>
    <row r="318" spans="1:21" s="1199" customFormat="1" ht="24" customHeight="1">
      <c r="A318" s="1480"/>
      <c r="B318" s="2174" t="s">
        <v>1384</v>
      </c>
      <c r="C318" s="1191"/>
      <c r="D318" s="1471"/>
      <c r="E318" s="1206">
        <v>1</v>
      </c>
      <c r="F318" s="1207" t="s">
        <v>1104</v>
      </c>
      <c r="G318" s="2175">
        <f>ROUND(SUM(H315:H317)*15%,0)</f>
        <v>672</v>
      </c>
      <c r="H318" s="1264">
        <f>ROUND(E318*G318,)</f>
        <v>672</v>
      </c>
      <c r="I318" s="1265">
        <f>ROUND(G318*0.3,0)</f>
        <v>202</v>
      </c>
      <c r="J318" s="1264">
        <f>ROUND(I318*E318,)</f>
        <v>202</v>
      </c>
      <c r="K318" s="1265">
        <f>H318+I318</f>
        <v>874</v>
      </c>
      <c r="L318" s="1473"/>
      <c r="M318" s="1214"/>
      <c r="N318" s="1214"/>
      <c r="O318" s="1214"/>
      <c r="P318" s="1214"/>
      <c r="Q318" s="1214"/>
      <c r="R318" s="1214"/>
      <c r="S318" s="1214"/>
      <c r="T318" s="1214"/>
      <c r="U318" s="1214"/>
    </row>
    <row r="319" spans="1:21" s="1199" customFormat="1" ht="24" customHeight="1">
      <c r="A319" s="1474" t="s">
        <v>2918</v>
      </c>
      <c r="B319" s="2174" t="s">
        <v>1381</v>
      </c>
      <c r="C319" s="1191"/>
      <c r="D319" s="1471"/>
      <c r="E319" s="1206"/>
      <c r="F319" s="1207" t="s">
        <v>1104</v>
      </c>
      <c r="G319" s="2175"/>
      <c r="H319" s="1264"/>
      <c r="I319" s="1504"/>
      <c r="J319" s="1264"/>
      <c r="K319" s="1265"/>
      <c r="L319" s="1473"/>
      <c r="M319" s="1214"/>
      <c r="N319" s="1214"/>
      <c r="O319" s="1214"/>
      <c r="P319" s="1214"/>
      <c r="Q319" s="1214"/>
      <c r="R319" s="1214"/>
      <c r="S319" s="1214"/>
      <c r="T319" s="1214"/>
      <c r="U319" s="1214"/>
    </row>
    <row r="320" spans="1:21" s="1199" customFormat="1" ht="24" customHeight="1">
      <c r="A320" s="1480"/>
      <c r="B320" s="2174" t="s">
        <v>1117</v>
      </c>
      <c r="C320" s="1191"/>
      <c r="D320" s="1471"/>
      <c r="E320" s="1387"/>
      <c r="F320" s="1358"/>
      <c r="G320" s="2176"/>
      <c r="H320" s="1264"/>
      <c r="I320" s="2177"/>
      <c r="J320" s="1264"/>
      <c r="K320" s="1801"/>
      <c r="L320" s="2001"/>
      <c r="M320" s="1214"/>
      <c r="N320" s="1214"/>
      <c r="O320" s="1214"/>
      <c r="P320" s="1214"/>
      <c r="Q320" s="1214"/>
      <c r="R320" s="1214"/>
      <c r="S320" s="1214"/>
      <c r="T320" s="1214"/>
      <c r="U320" s="1214"/>
    </row>
    <row r="321" spans="1:21" s="1199" customFormat="1" ht="24" customHeight="1">
      <c r="A321" s="1331"/>
      <c r="B321" s="2174" t="s">
        <v>1118</v>
      </c>
      <c r="C321" s="1202"/>
      <c r="D321" s="1202"/>
      <c r="E321" s="1387"/>
      <c r="F321" s="1384"/>
      <c r="G321" s="2176"/>
      <c r="H321" s="1388"/>
      <c r="I321" s="2177"/>
      <c r="J321" s="1385"/>
      <c r="K321" s="1385"/>
      <c r="L321" s="1385"/>
      <c r="M321" s="1214"/>
      <c r="N321" s="1214"/>
      <c r="O321" s="1214"/>
      <c r="P321" s="1214"/>
      <c r="Q321" s="1214"/>
      <c r="R321" s="1214"/>
    </row>
    <row r="322" spans="1:21" s="1199" customFormat="1" ht="24" customHeight="1">
      <c r="A322" s="1245"/>
      <c r="B322" s="2257" t="str">
        <f>"รวมราคารายการที่ "&amp;A309</f>
        <v>รวมราคารายการที่ 3.12</v>
      </c>
      <c r="C322" s="2258"/>
      <c r="D322" s="2259"/>
      <c r="E322" s="1481"/>
      <c r="F322" s="1245"/>
      <c r="G322" s="1246"/>
      <c r="H322" s="1247">
        <f>SUM(H310:H320)</f>
        <v>23582</v>
      </c>
      <c r="I322" s="1246"/>
      <c r="J322" s="1247">
        <f t="shared" ref="J322:K322" si="59">SUM(J310:J320)</f>
        <v>6257</v>
      </c>
      <c r="K322" s="1247">
        <f t="shared" si="59"/>
        <v>29839</v>
      </c>
      <c r="L322" s="1245"/>
      <c r="M322" s="1214"/>
      <c r="N322" s="1214"/>
      <c r="O322" s="1214"/>
      <c r="P322" s="1214"/>
      <c r="Q322" s="1214"/>
      <c r="R322" s="1214"/>
      <c r="S322" s="1214"/>
      <c r="T322" s="1214"/>
      <c r="U322" s="1214"/>
    </row>
  </sheetData>
  <mergeCells count="21">
    <mergeCell ref="B161:D161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91:D91"/>
    <mergeCell ref="B106:D106"/>
    <mergeCell ref="B139:D139"/>
    <mergeCell ref="B322:D322"/>
    <mergeCell ref="B178:D178"/>
    <mergeCell ref="B208:D208"/>
    <mergeCell ref="B250:D250"/>
    <mergeCell ref="B267:D267"/>
    <mergeCell ref="B291:D291"/>
    <mergeCell ref="B308:D308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7-อาคารทิศตะวันตก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8D449-C26B-45F0-A1BE-825D9A7B7F72}">
  <sheetPr>
    <tabColor rgb="FF92D050"/>
  </sheetPr>
  <dimension ref="A1:U322"/>
  <sheetViews>
    <sheetView view="pageBreakPreview" topLeftCell="A301" zoomScale="70" zoomScaleNormal="100" zoomScaleSheetLayoutView="70" workbookViewId="0">
      <selection activeCell="A296" sqref="A296:L301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" customWidth="1"/>
    <col min="13" max="95" width="7.703125" style="1" customWidth="1"/>
    <col min="96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1639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29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206"/>
      <c r="F12" s="1207"/>
      <c r="G12" s="1195"/>
      <c r="H12" s="1196">
        <f>H82</f>
        <v>284870</v>
      </c>
      <c r="I12" s="1197"/>
      <c r="J12" s="1196">
        <f>J82</f>
        <v>19800</v>
      </c>
      <c r="K12" s="1196">
        <f>K82</f>
        <v>304670</v>
      </c>
      <c r="L12" s="1430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206"/>
      <c r="F13" s="1207"/>
      <c r="G13" s="1195"/>
      <c r="H13" s="1196">
        <f>H91</f>
        <v>0</v>
      </c>
      <c r="I13" s="1197"/>
      <c r="J13" s="1196">
        <f>J91</f>
        <v>0</v>
      </c>
      <c r="K13" s="1196">
        <f>K91</f>
        <v>0</v>
      </c>
      <c r="L13" s="1430"/>
    </row>
    <row r="14" spans="1:12" s="1199" customFormat="1" ht="24" customHeight="1">
      <c r="A14" s="1204">
        <f>A92</f>
        <v>3.3</v>
      </c>
      <c r="B14" s="1431" t="str">
        <f>B92</f>
        <v>แผงสวิทช์ย่อยและเซอร์กิต เบรคเกอร์ (Panelboard &amp; CB)</v>
      </c>
      <c r="C14" s="1202"/>
      <c r="D14" s="1203"/>
      <c r="E14" s="1206"/>
      <c r="F14" s="1207"/>
      <c r="G14" s="1195"/>
      <c r="H14" s="1196">
        <f>H106</f>
        <v>0</v>
      </c>
      <c r="I14" s="1241"/>
      <c r="J14" s="1196">
        <f>J106</f>
        <v>0</v>
      </c>
      <c r="K14" s="1196">
        <f>K106</f>
        <v>0</v>
      </c>
      <c r="L14" s="1430"/>
    </row>
    <row r="15" spans="1:12" s="1199" customFormat="1" ht="24" customHeight="1">
      <c r="A15" s="1204">
        <f>A107</f>
        <v>3.4</v>
      </c>
      <c r="B15" s="1190" t="str">
        <f>B107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H139</f>
        <v>106008</v>
      </c>
      <c r="I15" s="1197"/>
      <c r="J15" s="1196">
        <f>J139</f>
        <v>32524</v>
      </c>
      <c r="K15" s="1196">
        <f t="shared" ref="K15:K21" si="0">SUM(H15:J15)</f>
        <v>138532</v>
      </c>
      <c r="L15" s="1430"/>
    </row>
    <row r="16" spans="1:12" s="1199" customFormat="1" ht="24" customHeight="1">
      <c r="A16" s="1204" t="str">
        <f>A140</f>
        <v>3.5</v>
      </c>
      <c r="B16" s="1190" t="str">
        <f>B140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H161</f>
        <v>40280</v>
      </c>
      <c r="I16" s="1197"/>
      <c r="J16" s="1196">
        <f>J161</f>
        <v>12933</v>
      </c>
      <c r="K16" s="1196">
        <f t="shared" si="0"/>
        <v>53213</v>
      </c>
      <c r="L16" s="1430"/>
    </row>
    <row r="17" spans="1:12" s="1199" customFormat="1" ht="24" customHeight="1">
      <c r="A17" s="1204" t="str">
        <f>A162</f>
        <v>3.6</v>
      </c>
      <c r="B17" s="1190" t="str">
        <f>B162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H178</f>
        <v>2376</v>
      </c>
      <c r="I17" s="1197"/>
      <c r="J17" s="1196">
        <f>J178</f>
        <v>1380</v>
      </c>
      <c r="K17" s="1196">
        <f t="shared" si="0"/>
        <v>3756</v>
      </c>
      <c r="L17" s="1430"/>
    </row>
    <row r="18" spans="1:12" s="1199" customFormat="1" ht="24" customHeight="1">
      <c r="A18" s="1204" t="str">
        <f>A179</f>
        <v>3.7</v>
      </c>
      <c r="B18" s="1190" t="str">
        <f>B179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H208</f>
        <v>14196</v>
      </c>
      <c r="I18" s="1197"/>
      <c r="J18" s="1196">
        <f>J208</f>
        <v>4043</v>
      </c>
      <c r="K18" s="1196">
        <f t="shared" si="0"/>
        <v>18239</v>
      </c>
      <c r="L18" s="1430"/>
    </row>
    <row r="19" spans="1:12" s="1199" customFormat="1" ht="24" customHeight="1">
      <c r="A19" s="1204">
        <f>A209</f>
        <v>3.8</v>
      </c>
      <c r="B19" s="2174" t="str">
        <f>B209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H250</f>
        <v>1687586</v>
      </c>
      <c r="I19" s="1197"/>
      <c r="J19" s="1196">
        <f>J250</f>
        <v>264108</v>
      </c>
      <c r="K19" s="1196">
        <f t="shared" si="0"/>
        <v>1951694</v>
      </c>
      <c r="L19" s="1430"/>
    </row>
    <row r="20" spans="1:12" s="1199" customFormat="1" ht="24" customHeight="1">
      <c r="A20" s="1204" t="str">
        <f>A251</f>
        <v>3.9</v>
      </c>
      <c r="B20" s="2174" t="str">
        <f>B251</f>
        <v>ระบบเสียงและประกาศเรียก (Public Address System)</v>
      </c>
      <c r="C20" s="1202"/>
      <c r="D20" s="1203"/>
      <c r="E20" s="1193">
        <v>1</v>
      </c>
      <c r="F20" s="1207" t="s">
        <v>19</v>
      </c>
      <c r="G20" s="1195"/>
      <c r="H20" s="1196">
        <f>H266</f>
        <v>101467</v>
      </c>
      <c r="I20" s="1197"/>
      <c r="J20" s="1196">
        <f>J266</f>
        <v>37871</v>
      </c>
      <c r="K20" s="1196">
        <f t="shared" si="0"/>
        <v>139338</v>
      </c>
      <c r="L20" s="1430"/>
    </row>
    <row r="21" spans="1:12" s="1199" customFormat="1" ht="24" customHeight="1">
      <c r="A21" s="1204" t="str">
        <f>A267</f>
        <v>3.10</v>
      </c>
      <c r="B21" s="2174" t="str">
        <f>B267</f>
        <v>ระบบควบคุมประตูอัตโนมัติ (Access Control System)</v>
      </c>
      <c r="C21" s="1202"/>
      <c r="D21" s="1203"/>
      <c r="E21" s="1193">
        <v>1</v>
      </c>
      <c r="F21" s="1207" t="s">
        <v>19</v>
      </c>
      <c r="G21" s="1195"/>
      <c r="H21" s="1196">
        <f>H285</f>
        <v>244424</v>
      </c>
      <c r="I21" s="1197"/>
      <c r="J21" s="1196">
        <f>J285</f>
        <v>16838</v>
      </c>
      <c r="K21" s="1196">
        <f t="shared" si="0"/>
        <v>261262</v>
      </c>
      <c r="L21" s="1430"/>
    </row>
    <row r="22" spans="1:12" s="1199" customFormat="1" ht="24" customHeight="1">
      <c r="A22" s="1204" t="str">
        <f>A286</f>
        <v>3.11</v>
      </c>
      <c r="B22" s="1431" t="str">
        <f>B286</f>
        <v>ระบบบริหารจัดการอาคาร (Building Management System : BMS)</v>
      </c>
      <c r="C22" s="1202"/>
      <c r="D22" s="1203"/>
      <c r="E22" s="1193">
        <v>1</v>
      </c>
      <c r="F22" s="1207" t="s">
        <v>19</v>
      </c>
      <c r="G22" s="1195"/>
      <c r="H22" s="1196">
        <f>H306</f>
        <v>245480</v>
      </c>
      <c r="I22" s="1197"/>
      <c r="J22" s="1196">
        <f t="shared" ref="J22:K22" si="1">J306</f>
        <v>29028</v>
      </c>
      <c r="K22" s="1196">
        <f t="shared" si="1"/>
        <v>274508</v>
      </c>
      <c r="L22" s="1430"/>
    </row>
    <row r="23" spans="1:12" s="1199" customFormat="1" ht="24" customHeight="1">
      <c r="A23" s="1204" t="str">
        <f>A307</f>
        <v>3.12</v>
      </c>
      <c r="B23" s="1431" t="str">
        <f>B307</f>
        <v>ระบบแจ้งเหตุฉุกเฉิน (Panic Alarm System)</v>
      </c>
      <c r="C23" s="1202"/>
      <c r="D23" s="1203"/>
      <c r="E23" s="1193">
        <v>1</v>
      </c>
      <c r="F23" s="1207" t="s">
        <v>19</v>
      </c>
      <c r="G23" s="1195"/>
      <c r="H23" s="1196">
        <f>H322</f>
        <v>23832</v>
      </c>
      <c r="I23" s="1197"/>
      <c r="J23" s="1196">
        <f t="shared" ref="J23:K23" si="2">J322</f>
        <v>6382</v>
      </c>
      <c r="K23" s="1196">
        <f t="shared" si="2"/>
        <v>30214</v>
      </c>
      <c r="L23" s="1430"/>
    </row>
    <row r="24" spans="1:12" s="1199" customFormat="1" ht="24" customHeight="1">
      <c r="A24" s="1204"/>
      <c r="B24" s="2174"/>
      <c r="C24" s="1202"/>
      <c r="D24" s="1203"/>
      <c r="E24" s="1206"/>
      <c r="F24" s="1207"/>
      <c r="G24" s="1195"/>
      <c r="H24" s="1196"/>
      <c r="I24" s="1197"/>
      <c r="J24" s="1196"/>
      <c r="K24" s="1196"/>
      <c r="L24" s="1430"/>
    </row>
    <row r="25" spans="1:12" s="1199" customFormat="1" ht="24" customHeight="1">
      <c r="A25" s="1204"/>
      <c r="B25" s="2174"/>
      <c r="C25" s="1202"/>
      <c r="D25" s="1203"/>
      <c r="E25" s="1206"/>
      <c r="F25" s="1207"/>
      <c r="G25" s="1195"/>
      <c r="H25" s="1196"/>
      <c r="I25" s="1197"/>
      <c r="J25" s="1196"/>
      <c r="K25" s="1196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8</v>
      </c>
      <c r="C34" s="2258"/>
      <c r="D34" s="2259"/>
      <c r="E34" s="1244"/>
      <c r="F34" s="1245"/>
      <c r="G34" s="1246"/>
      <c r="H34" s="1247">
        <f>SUM(H11:H33)</f>
        <v>2750519</v>
      </c>
      <c r="I34" s="1246"/>
      <c r="J34" s="1247">
        <f>SUM(J11:J33)</f>
        <v>424907</v>
      </c>
      <c r="K34" s="1247">
        <f>SUM(K11:K33)</f>
        <v>3175426</v>
      </c>
      <c r="L34" s="1245"/>
      <c r="M34" s="1214"/>
      <c r="N34" s="1214"/>
      <c r="O34" s="1214"/>
      <c r="P34" s="1214"/>
      <c r="Q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1096</v>
      </c>
      <c r="B36" s="1362" t="s">
        <v>1239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3">ROUND(G38*E38,)</f>
        <v>0</v>
      </c>
      <c r="I38" s="1265"/>
      <c r="J38" s="1264"/>
      <c r="K38" s="1265">
        <f t="shared" ref="K38:K55" si="4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/>
      <c r="F39" s="1207" t="s">
        <v>363</v>
      </c>
      <c r="G39" s="2175">
        <v>2400</v>
      </c>
      <c r="H39" s="1264">
        <f t="shared" si="3"/>
        <v>0</v>
      </c>
      <c r="I39" s="1265"/>
      <c r="J39" s="1264"/>
      <c r="K39" s="1265">
        <f t="shared" si="4"/>
        <v>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/>
      <c r="F40" s="1207" t="s">
        <v>363</v>
      </c>
      <c r="G40" s="2175">
        <v>2400</v>
      </c>
      <c r="H40" s="1264">
        <f t="shared" si="3"/>
        <v>0</v>
      </c>
      <c r="I40" s="1265"/>
      <c r="J40" s="1264"/>
      <c r="K40" s="1265">
        <f t="shared" si="4"/>
        <v>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3"/>
        <v>0</v>
      </c>
      <c r="I41" s="1265"/>
      <c r="J41" s="1264"/>
      <c r="K41" s="1265">
        <f t="shared" si="4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3"/>
        <v>2400</v>
      </c>
      <c r="I42" s="1265"/>
      <c r="J42" s="1264"/>
      <c r="K42" s="1265">
        <f t="shared" si="4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3"/>
        <v>7200</v>
      </c>
      <c r="I43" s="1265"/>
      <c r="J43" s="1264"/>
      <c r="K43" s="1265">
        <f t="shared" si="4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3"/>
        <v>0</v>
      </c>
      <c r="I44" s="1265"/>
      <c r="J44" s="1264"/>
      <c r="K44" s="1265">
        <f t="shared" si="4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3"/>
        <v>0</v>
      </c>
      <c r="I45" s="1265"/>
      <c r="J45" s="1264"/>
      <c r="K45" s="1265">
        <f t="shared" si="4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3"/>
        <v>0</v>
      </c>
      <c r="I46" s="1265"/>
      <c r="J46" s="1264"/>
      <c r="K46" s="1265">
        <f t="shared" si="4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3"/>
        <v>0</v>
      </c>
      <c r="I47" s="1265"/>
      <c r="J47" s="1264"/>
      <c r="K47" s="1265">
        <f t="shared" si="4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/>
      <c r="F48" s="1207" t="s">
        <v>363</v>
      </c>
      <c r="G48" s="2175">
        <v>11500</v>
      </c>
      <c r="H48" s="1264">
        <f t="shared" si="3"/>
        <v>0</v>
      </c>
      <c r="I48" s="1265"/>
      <c r="J48" s="1264"/>
      <c r="K48" s="1265">
        <f t="shared" si="4"/>
        <v>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>
        <v>1</v>
      </c>
      <c r="F49" s="1207" t="s">
        <v>363</v>
      </c>
      <c r="G49" s="2175">
        <v>20200</v>
      </c>
      <c r="H49" s="1264">
        <f t="shared" si="3"/>
        <v>20200</v>
      </c>
      <c r="I49" s="1265"/>
      <c r="J49" s="1264"/>
      <c r="K49" s="1265">
        <f t="shared" si="4"/>
        <v>20200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3"/>
        <v>0</v>
      </c>
      <c r="I50" s="1265"/>
      <c r="J50" s="1264"/>
      <c r="K50" s="1265">
        <f t="shared" si="4"/>
        <v>0</v>
      </c>
      <c r="L50" s="1266"/>
    </row>
    <row r="51" spans="1:18" s="1199" customFormat="1" ht="24" customHeight="1">
      <c r="A51" s="1339"/>
      <c r="B51" s="1259" t="s">
        <v>1276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3"/>
        <v>1800</v>
      </c>
      <c r="I51" s="1265"/>
      <c r="J51" s="1264"/>
      <c r="K51" s="1265">
        <f t="shared" si="4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3"/>
        <v>360</v>
      </c>
      <c r="I52" s="1265"/>
      <c r="J52" s="1264"/>
      <c r="K52" s="1265">
        <f t="shared" si="4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3"/>
        <v>300</v>
      </c>
      <c r="I53" s="1265"/>
      <c r="J53" s="1264"/>
      <c r="K53" s="1265">
        <f t="shared" si="4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5</v>
      </c>
      <c r="F54" s="1207" t="s">
        <v>363</v>
      </c>
      <c r="G54" s="2175">
        <v>15435</v>
      </c>
      <c r="H54" s="1264">
        <f t="shared" si="3"/>
        <v>77175</v>
      </c>
      <c r="I54" s="1265"/>
      <c r="J54" s="1264"/>
      <c r="K54" s="1265">
        <f t="shared" si="4"/>
        <v>77175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33000</v>
      </c>
      <c r="H55" s="1264">
        <f t="shared" si="3"/>
        <v>33000</v>
      </c>
      <c r="I55" s="1265">
        <f>G55*0.3</f>
        <v>9900</v>
      </c>
      <c r="J55" s="1264">
        <f>ROUND(E55*I55,)</f>
        <v>9900</v>
      </c>
      <c r="K55" s="1265">
        <f t="shared" si="4"/>
        <v>42900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1250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5">ROUND(G61*E61,)</f>
        <v>0</v>
      </c>
      <c r="I61" s="1265"/>
      <c r="J61" s="1264"/>
      <c r="K61" s="1265">
        <f t="shared" ref="K61:K78" si="6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/>
      <c r="F62" s="1207" t="s">
        <v>363</v>
      </c>
      <c r="G62" s="2175">
        <v>2400</v>
      </c>
      <c r="H62" s="1264">
        <f t="shared" si="5"/>
        <v>0</v>
      </c>
      <c r="I62" s="1265"/>
      <c r="J62" s="1264"/>
      <c r="K62" s="1265">
        <f t="shared" si="6"/>
        <v>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/>
      <c r="F63" s="1207" t="s">
        <v>363</v>
      </c>
      <c r="G63" s="2175">
        <v>2400</v>
      </c>
      <c r="H63" s="1264">
        <f t="shared" si="5"/>
        <v>0</v>
      </c>
      <c r="I63" s="1265"/>
      <c r="J63" s="1264"/>
      <c r="K63" s="1265">
        <f t="shared" si="6"/>
        <v>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5"/>
        <v>0</v>
      </c>
      <c r="I64" s="1265"/>
      <c r="J64" s="1264"/>
      <c r="K64" s="1265">
        <f t="shared" si="6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5"/>
        <v>2400</v>
      </c>
      <c r="I65" s="1265"/>
      <c r="J65" s="1264"/>
      <c r="K65" s="1265">
        <f t="shared" si="6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3</v>
      </c>
      <c r="F66" s="1207" t="s">
        <v>363</v>
      </c>
      <c r="G66" s="2175">
        <v>2400</v>
      </c>
      <c r="H66" s="1264">
        <f t="shared" si="5"/>
        <v>7200</v>
      </c>
      <c r="I66" s="1265"/>
      <c r="J66" s="1264"/>
      <c r="K66" s="1265">
        <f t="shared" si="6"/>
        <v>7200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5"/>
        <v>0</v>
      </c>
      <c r="I67" s="1265"/>
      <c r="J67" s="1264"/>
      <c r="K67" s="1265">
        <f t="shared" si="6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5"/>
        <v>0</v>
      </c>
      <c r="I68" s="1265"/>
      <c r="J68" s="1264"/>
      <c r="K68" s="1265">
        <f t="shared" si="6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5"/>
        <v>0</v>
      </c>
      <c r="I69" s="1265"/>
      <c r="J69" s="1264"/>
      <c r="K69" s="1265">
        <f t="shared" si="6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5"/>
        <v>0</v>
      </c>
      <c r="I70" s="1265"/>
      <c r="J70" s="1264"/>
      <c r="K70" s="1265">
        <f t="shared" si="6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/>
      <c r="F71" s="1207" t="s">
        <v>363</v>
      </c>
      <c r="G71" s="2175">
        <v>11500</v>
      </c>
      <c r="H71" s="1264">
        <f t="shared" si="5"/>
        <v>0</v>
      </c>
      <c r="I71" s="1265"/>
      <c r="J71" s="1264"/>
      <c r="K71" s="1265">
        <f t="shared" si="6"/>
        <v>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>
        <v>1</v>
      </c>
      <c r="F72" s="1207" t="s">
        <v>363</v>
      </c>
      <c r="G72" s="2175">
        <v>20200</v>
      </c>
      <c r="H72" s="1264">
        <f t="shared" si="5"/>
        <v>20200</v>
      </c>
      <c r="I72" s="1265"/>
      <c r="J72" s="1264"/>
      <c r="K72" s="1265">
        <f t="shared" si="6"/>
        <v>20200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5"/>
        <v>0</v>
      </c>
      <c r="I73" s="1265"/>
      <c r="J73" s="1264"/>
      <c r="K73" s="1265">
        <f t="shared" si="6"/>
        <v>0</v>
      </c>
      <c r="L73" s="1266"/>
    </row>
    <row r="74" spans="1:17" s="1199" customFormat="1" ht="24" customHeight="1">
      <c r="A74" s="1339"/>
      <c r="B74" s="1259" t="s">
        <v>1276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5"/>
        <v>1800</v>
      </c>
      <c r="I74" s="1265"/>
      <c r="J74" s="1264"/>
      <c r="K74" s="1265">
        <f t="shared" si="6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5"/>
        <v>360</v>
      </c>
      <c r="I75" s="1265"/>
      <c r="J75" s="1264"/>
      <c r="K75" s="1265">
        <f t="shared" si="6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5"/>
        <v>300</v>
      </c>
      <c r="I76" s="1265"/>
      <c r="J76" s="1264"/>
      <c r="K76" s="1265">
        <f t="shared" si="6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5</v>
      </c>
      <c r="F77" s="1207" t="s">
        <v>363</v>
      </c>
      <c r="G77" s="2175">
        <v>15435</v>
      </c>
      <c r="H77" s="1264">
        <f t="shared" si="5"/>
        <v>77175</v>
      </c>
      <c r="I77" s="1265"/>
      <c r="J77" s="1264"/>
      <c r="K77" s="1265">
        <f t="shared" si="6"/>
        <v>77175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33000</v>
      </c>
      <c r="H78" s="1264">
        <f t="shared" si="5"/>
        <v>33000</v>
      </c>
      <c r="I78" s="1265">
        <f>G78*0.3</f>
        <v>9900</v>
      </c>
      <c r="J78" s="1264">
        <f>ROUND(E78*I78,)</f>
        <v>9900</v>
      </c>
      <c r="K78" s="1265">
        <f t="shared" si="6"/>
        <v>42900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7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7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284870</v>
      </c>
      <c r="I82" s="1246"/>
      <c r="J82" s="1247">
        <f>SUM(J35:J81)</f>
        <v>19800</v>
      </c>
      <c r="K82" s="1247">
        <f>SUM(K35:K81)</f>
        <v>304670</v>
      </c>
      <c r="L82" s="1245"/>
      <c r="M82" s="1214"/>
      <c r="N82" s="1214"/>
      <c r="O82" s="1214"/>
      <c r="P82" s="1214"/>
      <c r="Q82" s="1214"/>
    </row>
    <row r="83" spans="1:17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7" s="1199" customFormat="1" ht="24" customHeight="1">
      <c r="A84" s="1189"/>
      <c r="B84" s="1451" t="s">
        <v>1118</v>
      </c>
      <c r="C84" s="1202"/>
      <c r="D84" s="1202"/>
      <c r="E84" s="1387"/>
      <c r="F84" s="1207" t="s">
        <v>363</v>
      </c>
      <c r="G84" s="2176"/>
      <c r="H84" s="1264">
        <f>ROUND(E84*G84,)</f>
        <v>0</v>
      </c>
      <c r="I84" s="2177">
        <f>G84*0.05</f>
        <v>0</v>
      </c>
      <c r="J84" s="1264">
        <f>ROUND(E84*I84,)</f>
        <v>0</v>
      </c>
      <c r="K84" s="1273">
        <f>H84+J84</f>
        <v>0</v>
      </c>
      <c r="L84" s="1385"/>
      <c r="M84" s="1214"/>
      <c r="N84" s="1214"/>
      <c r="O84" s="1214"/>
      <c r="P84" s="1214"/>
    </row>
    <row r="85" spans="1:17" s="1199" customFormat="1" ht="24" customHeight="1">
      <c r="A85" s="1189"/>
      <c r="B85" s="1451" t="s">
        <v>1118</v>
      </c>
      <c r="C85" s="1202"/>
      <c r="D85" s="1202"/>
      <c r="E85" s="1387"/>
      <c r="F85" s="1207" t="s">
        <v>363</v>
      </c>
      <c r="G85" s="2176"/>
      <c r="H85" s="1264">
        <f>ROUND(E85*G85,)</f>
        <v>0</v>
      </c>
      <c r="I85" s="2177">
        <f>G85*0.05</f>
        <v>0</v>
      </c>
      <c r="J85" s="1264">
        <f>ROUND(E85*I85,)</f>
        <v>0</v>
      </c>
      <c r="K85" s="1273">
        <f>H85+J85</f>
        <v>0</v>
      </c>
      <c r="L85" s="1385"/>
      <c r="M85" s="1214"/>
      <c r="N85" s="1214"/>
      <c r="O85" s="1214"/>
      <c r="P85" s="1214"/>
    </row>
    <row r="86" spans="1:17" s="1199" customFormat="1" ht="24" customHeight="1">
      <c r="A86" s="1189"/>
      <c r="B86" s="1451" t="s">
        <v>1118</v>
      </c>
      <c r="C86" s="1202"/>
      <c r="D86" s="1202"/>
      <c r="E86" s="1387"/>
      <c r="F86" s="1207" t="s">
        <v>363</v>
      </c>
      <c r="G86" s="2176"/>
      <c r="H86" s="1264">
        <f>ROUND(E86*G86,)</f>
        <v>0</v>
      </c>
      <c r="I86" s="2177">
        <f>G86*0.05</f>
        <v>0</v>
      </c>
      <c r="J86" s="1264">
        <f>ROUND(E86*I86,)</f>
        <v>0</v>
      </c>
      <c r="K86" s="1273">
        <f>H86+J86</f>
        <v>0</v>
      </c>
      <c r="L86" s="1385"/>
      <c r="M86" s="1214"/>
      <c r="N86" s="1214"/>
      <c r="O86" s="1214"/>
      <c r="P86" s="1214"/>
    </row>
    <row r="87" spans="1:17" s="1199" customFormat="1" ht="24" customHeight="1">
      <c r="A87" s="1331"/>
      <c r="B87" s="1190" t="s">
        <v>1117</v>
      </c>
      <c r="C87" s="1275"/>
      <c r="D87" s="1275"/>
      <c r="E87" s="2145"/>
      <c r="F87" s="1358"/>
      <c r="G87" s="2175"/>
      <c r="H87" s="1264"/>
      <c r="I87" s="1265"/>
      <c r="J87" s="1264"/>
      <c r="K87" s="1299"/>
      <c r="L87" s="1432"/>
    </row>
    <row r="88" spans="1:17" s="1199" customFormat="1" ht="24" customHeight="1">
      <c r="A88" s="1331"/>
      <c r="B88" s="1190" t="s">
        <v>1118</v>
      </c>
      <c r="C88" s="1275"/>
      <c r="D88" s="1275"/>
      <c r="E88" s="2145"/>
      <c r="F88" s="1358"/>
      <c r="G88" s="2175"/>
      <c r="H88" s="1264"/>
      <c r="I88" s="1265"/>
      <c r="J88" s="1264"/>
      <c r="K88" s="1299"/>
      <c r="L88" s="1432"/>
    </row>
    <row r="89" spans="1:17" s="1199" customFormat="1" ht="24" customHeight="1">
      <c r="A89" s="1331"/>
      <c r="B89" s="1190" t="s">
        <v>1118</v>
      </c>
      <c r="C89" s="1275"/>
      <c r="D89" s="1275"/>
      <c r="E89" s="2145"/>
      <c r="F89" s="1358"/>
      <c r="G89" s="2175"/>
      <c r="H89" s="1264"/>
      <c r="I89" s="1265"/>
      <c r="J89" s="1264"/>
      <c r="K89" s="1299"/>
      <c r="L89" s="1432"/>
    </row>
    <row r="90" spans="1:17" s="1199" customFormat="1" ht="24" customHeight="1">
      <c r="A90" s="1189"/>
      <c r="B90" s="1650"/>
      <c r="C90" s="1275"/>
      <c r="D90" s="1275"/>
      <c r="E90" s="2145"/>
      <c r="F90" s="1358"/>
      <c r="G90" s="2175"/>
      <c r="H90" s="1264"/>
      <c r="I90" s="1265"/>
      <c r="J90" s="1264"/>
      <c r="K90" s="1299"/>
      <c r="L90" s="1432"/>
    </row>
    <row r="91" spans="1:17" s="1199" customFormat="1" ht="24" customHeight="1">
      <c r="A91" s="1243"/>
      <c r="B91" s="2257" t="str">
        <f>"รวมราคารายการที่ "&amp;A83</f>
        <v>รวมราคารายการที่ 3.2</v>
      </c>
      <c r="C91" s="2258"/>
      <c r="D91" s="2259"/>
      <c r="E91" s="1244"/>
      <c r="F91" s="1245"/>
      <c r="G91" s="1246"/>
      <c r="H91" s="1247">
        <f>SUM(H83:H90)</f>
        <v>0</v>
      </c>
      <c r="I91" s="1246"/>
      <c r="J91" s="1247">
        <f>SUM(J83:J90)</f>
        <v>0</v>
      </c>
      <c r="K91" s="1247">
        <f>SUM(K83:K90)</f>
        <v>0</v>
      </c>
      <c r="L91" s="1245"/>
      <c r="M91" s="1214"/>
      <c r="N91" s="1214"/>
      <c r="O91" s="1214"/>
      <c r="P91" s="1214"/>
      <c r="Q91" s="1214"/>
    </row>
    <row r="92" spans="1:17" s="1199" customFormat="1" ht="24" customHeight="1">
      <c r="A92" s="1381">
        <v>3.3</v>
      </c>
      <c r="B92" s="1292" t="s">
        <v>1427</v>
      </c>
      <c r="C92" s="1294"/>
      <c r="D92" s="1294"/>
      <c r="E92" s="1295"/>
      <c r="F92" s="1296"/>
      <c r="G92" s="1297"/>
      <c r="H92" s="1298"/>
      <c r="I92" s="1299"/>
      <c r="J92" s="1298"/>
      <c r="K92" s="1299"/>
      <c r="L92" s="1432"/>
    </row>
    <row r="93" spans="1:17" s="1199" customFormat="1" ht="24" customHeight="1">
      <c r="A93" s="1331" t="s">
        <v>1128</v>
      </c>
      <c r="B93" s="1190" t="s">
        <v>2892</v>
      </c>
      <c r="C93" s="1275"/>
      <c r="D93" s="1275"/>
      <c r="E93" s="1276"/>
      <c r="F93" s="1358"/>
      <c r="G93" s="2175"/>
      <c r="H93" s="1264"/>
      <c r="I93" s="1265"/>
      <c r="J93" s="1264"/>
      <c r="K93" s="1299"/>
      <c r="L93" s="1432"/>
    </row>
    <row r="94" spans="1:17" s="1199" customFormat="1" ht="24" customHeight="1">
      <c r="A94" s="1331"/>
      <c r="B94" s="1190" t="s">
        <v>2893</v>
      </c>
      <c r="C94" s="1275"/>
      <c r="D94" s="1275"/>
      <c r="E94" s="1276"/>
      <c r="F94" s="1194" t="s">
        <v>363</v>
      </c>
      <c r="G94" s="2175">
        <v>6800</v>
      </c>
      <c r="H94" s="1264">
        <f>ROUND(E94*G94,)</f>
        <v>0</v>
      </c>
      <c r="I94" s="1265">
        <v>1500</v>
      </c>
      <c r="J94" s="1264">
        <f>ROUND(E94*I94,)</f>
        <v>0</v>
      </c>
      <c r="K94" s="1299">
        <f>H94+J94</f>
        <v>0</v>
      </c>
      <c r="L94" s="1432"/>
    </row>
    <row r="95" spans="1:17" s="1199" customFormat="1" ht="24" customHeight="1">
      <c r="A95" s="1331"/>
      <c r="B95" s="1190" t="s">
        <v>2894</v>
      </c>
      <c r="C95" s="1275"/>
      <c r="D95" s="1275"/>
      <c r="E95" s="1276"/>
      <c r="F95" s="1194" t="s">
        <v>363</v>
      </c>
      <c r="G95" s="2175">
        <v>2400</v>
      </c>
      <c r="H95" s="1264"/>
      <c r="I95" s="1265"/>
      <c r="J95" s="1264"/>
      <c r="K95" s="1299"/>
      <c r="L95" s="1432"/>
    </row>
    <row r="96" spans="1:17" s="1199" customFormat="1" ht="24" customHeight="1">
      <c r="A96" s="1331"/>
      <c r="B96" s="1190" t="s">
        <v>2895</v>
      </c>
      <c r="C96" s="1275"/>
      <c r="D96" s="1275"/>
      <c r="E96" s="1276"/>
      <c r="F96" s="1194" t="s">
        <v>363</v>
      </c>
      <c r="G96" s="2175">
        <v>138</v>
      </c>
      <c r="H96" s="1264">
        <f>ROUND(E96*G96,)</f>
        <v>0</v>
      </c>
      <c r="I96" s="1265"/>
      <c r="J96" s="1264">
        <f>ROUND(E96*I96,)</f>
        <v>0</v>
      </c>
      <c r="K96" s="1299">
        <f>H96+J96</f>
        <v>0</v>
      </c>
      <c r="L96" s="1432"/>
    </row>
    <row r="97" spans="1:17" s="1199" customFormat="1" ht="24" customHeight="1">
      <c r="A97" s="1331"/>
      <c r="B97" s="1190" t="s">
        <v>1432</v>
      </c>
      <c r="C97" s="1275"/>
      <c r="D97" s="1275"/>
      <c r="E97" s="1276"/>
      <c r="F97" s="1194" t="s">
        <v>363</v>
      </c>
      <c r="G97" s="2175">
        <v>138</v>
      </c>
      <c r="H97" s="1264">
        <f t="shared" ref="H97:H98" si="7">ROUND(E97*G97,)</f>
        <v>0</v>
      </c>
      <c r="I97" s="1265"/>
      <c r="J97" s="1264">
        <f t="shared" ref="J97:J98" si="8">ROUND(E97*I97,)</f>
        <v>0</v>
      </c>
      <c r="K97" s="1299">
        <f t="shared" ref="K97:K98" si="9">H97+J97</f>
        <v>0</v>
      </c>
      <c r="L97" s="1432"/>
    </row>
    <row r="98" spans="1:17" s="1199" customFormat="1" ht="24" customHeight="1">
      <c r="A98" s="1331"/>
      <c r="B98" s="1190" t="s">
        <v>2896</v>
      </c>
      <c r="C98" s="1275"/>
      <c r="D98" s="1275"/>
      <c r="E98" s="1276"/>
      <c r="F98" s="1194" t="s">
        <v>363</v>
      </c>
      <c r="G98" s="2175">
        <v>619</v>
      </c>
      <c r="H98" s="1264">
        <f t="shared" si="7"/>
        <v>0</v>
      </c>
      <c r="I98" s="1265"/>
      <c r="J98" s="1264">
        <f t="shared" si="8"/>
        <v>0</v>
      </c>
      <c r="K98" s="1299">
        <f t="shared" si="9"/>
        <v>0</v>
      </c>
      <c r="L98" s="1432"/>
    </row>
    <row r="99" spans="1:17" s="1199" customFormat="1" ht="24" customHeight="1">
      <c r="A99" s="1331"/>
      <c r="B99" s="1190" t="s">
        <v>1117</v>
      </c>
      <c r="C99" s="1275"/>
      <c r="D99" s="1275"/>
      <c r="E99" s="2145"/>
      <c r="F99" s="1358"/>
      <c r="G99" s="2175"/>
      <c r="H99" s="1264"/>
      <c r="I99" s="1265"/>
      <c r="J99" s="1264"/>
      <c r="K99" s="1299"/>
      <c r="L99" s="1432"/>
    </row>
    <row r="100" spans="1:17" s="1199" customFormat="1" ht="24" customHeight="1">
      <c r="A100" s="1331"/>
      <c r="B100" s="1190" t="s">
        <v>1118</v>
      </c>
      <c r="C100" s="1275"/>
      <c r="D100" s="1275"/>
      <c r="E100" s="2145"/>
      <c r="F100" s="1358"/>
      <c r="G100" s="2175"/>
      <c r="H100" s="1264"/>
      <c r="I100" s="1265"/>
      <c r="J100" s="1264"/>
      <c r="K100" s="1299"/>
      <c r="L100" s="1432"/>
    </row>
    <row r="101" spans="1:17" s="1199" customFormat="1" ht="24" customHeight="1">
      <c r="A101" s="1331"/>
      <c r="B101" s="1190" t="s">
        <v>1118</v>
      </c>
      <c r="C101" s="1275"/>
      <c r="D101" s="1275"/>
      <c r="E101" s="2145"/>
      <c r="F101" s="1358"/>
      <c r="G101" s="2175"/>
      <c r="H101" s="1264"/>
      <c r="I101" s="1265"/>
      <c r="J101" s="1264"/>
      <c r="K101" s="1299"/>
      <c r="L101" s="1432"/>
    </row>
    <row r="102" spans="1:17" s="1199" customFormat="1" ht="24" customHeight="1">
      <c r="A102" s="1331"/>
      <c r="B102" s="1190"/>
      <c r="C102" s="1275"/>
      <c r="D102" s="1275"/>
      <c r="E102" s="2145"/>
      <c r="F102" s="1358"/>
      <c r="G102" s="2175"/>
      <c r="H102" s="1264"/>
      <c r="I102" s="1265"/>
      <c r="J102" s="1264"/>
      <c r="K102" s="1299"/>
      <c r="L102" s="1432"/>
    </row>
    <row r="103" spans="1:17" s="1199" customFormat="1" ht="24" customHeight="1">
      <c r="A103" s="1331"/>
      <c r="B103" s="1190"/>
      <c r="C103" s="1275"/>
      <c r="D103" s="1275"/>
      <c r="E103" s="2145"/>
      <c r="F103" s="1358"/>
      <c r="G103" s="2175"/>
      <c r="H103" s="1264"/>
      <c r="I103" s="1265"/>
      <c r="J103" s="1264"/>
      <c r="K103" s="1299"/>
      <c r="L103" s="1432"/>
    </row>
    <row r="104" spans="1:17" s="1199" customFormat="1" ht="24" customHeight="1">
      <c r="A104" s="1331"/>
      <c r="B104" s="1190"/>
      <c r="C104" s="1275"/>
      <c r="D104" s="1275"/>
      <c r="E104" s="2145"/>
      <c r="F104" s="1358"/>
      <c r="G104" s="2175"/>
      <c r="H104" s="1264"/>
      <c r="I104" s="1265"/>
      <c r="J104" s="1264"/>
      <c r="K104" s="1299"/>
      <c r="L104" s="1432"/>
    </row>
    <row r="105" spans="1:17" s="1199" customFormat="1" ht="24" customHeight="1">
      <c r="A105" s="1189"/>
      <c r="B105" s="1650"/>
      <c r="C105" s="1275"/>
      <c r="D105" s="1275"/>
      <c r="E105" s="2145"/>
      <c r="F105" s="1358"/>
      <c r="G105" s="2175"/>
      <c r="H105" s="1264"/>
      <c r="I105" s="1265"/>
      <c r="J105" s="1264"/>
      <c r="K105" s="1299"/>
      <c r="L105" s="1432"/>
    </row>
    <row r="106" spans="1:17" s="1199" customFormat="1" ht="24" customHeight="1">
      <c r="A106" s="1243"/>
      <c r="B106" s="2257" t="str">
        <f>"รวมราคารายการที่ "&amp;A92</f>
        <v>รวมราคารายการที่ 3.3</v>
      </c>
      <c r="C106" s="2258"/>
      <c r="D106" s="2259"/>
      <c r="E106" s="1244"/>
      <c r="F106" s="1245"/>
      <c r="G106" s="1246"/>
      <c r="H106" s="1247">
        <f>SUM(H93:H98)</f>
        <v>0</v>
      </c>
      <c r="I106" s="1246"/>
      <c r="J106" s="1247">
        <f>SUM(J93:J98)</f>
        <v>0</v>
      </c>
      <c r="K106" s="1245">
        <f>SUM(K93:K98)</f>
        <v>0</v>
      </c>
      <c r="L106" s="1245"/>
    </row>
    <row r="107" spans="1:17" s="1199" customFormat="1" ht="24" customHeight="1">
      <c r="A107" s="1308">
        <v>3.4</v>
      </c>
      <c r="B107" s="1436" t="s">
        <v>1312</v>
      </c>
      <c r="C107" s="1202"/>
      <c r="D107" s="1202"/>
      <c r="E107" s="1387"/>
      <c r="F107" s="1384"/>
      <c r="G107" s="2176"/>
      <c r="H107" s="1264">
        <f t="shared" ref="H107" si="10">ROUND(E107*G107,)</f>
        <v>0</v>
      </c>
      <c r="I107" s="2177"/>
      <c r="J107" s="1264">
        <f t="shared" ref="J107" si="11">ROUND(E107*I107,)</f>
        <v>0</v>
      </c>
      <c r="K107" s="1385"/>
      <c r="L107" s="1385"/>
      <c r="M107" s="1214"/>
      <c r="N107" s="1214"/>
      <c r="O107" s="1214"/>
      <c r="P107" s="1214"/>
      <c r="Q107" s="1214"/>
    </row>
    <row r="108" spans="1:17" s="1199" customFormat="1" ht="24" customHeight="1">
      <c r="A108" s="1331" t="s">
        <v>1135</v>
      </c>
      <c r="B108" s="2174" t="s">
        <v>1314</v>
      </c>
      <c r="C108" s="1275"/>
      <c r="D108" s="1275"/>
      <c r="E108" s="1276"/>
      <c r="F108" s="1358"/>
      <c r="G108" s="2175"/>
      <c r="H108" s="1264"/>
      <c r="I108" s="1265"/>
      <c r="J108" s="1264"/>
      <c r="K108" s="1273"/>
      <c r="L108" s="1269"/>
    </row>
    <row r="109" spans="1:17" s="1199" customFormat="1" ht="24" customHeight="1">
      <c r="A109" s="1331" t="s">
        <v>1137</v>
      </c>
      <c r="B109" s="2174" t="s">
        <v>1315</v>
      </c>
      <c r="C109" s="1275"/>
      <c r="D109" s="1275"/>
      <c r="E109" s="1276"/>
      <c r="F109" s="1358"/>
      <c r="G109" s="2176"/>
      <c r="H109" s="1264"/>
      <c r="I109" s="1265"/>
      <c r="J109" s="1264"/>
      <c r="K109" s="1273"/>
      <c r="L109" s="1269"/>
    </row>
    <row r="110" spans="1:17" s="1199" customFormat="1" ht="24" customHeight="1">
      <c r="A110" s="1331"/>
      <c r="B110" s="2174" t="s">
        <v>1316</v>
      </c>
      <c r="C110" s="1275"/>
      <c r="D110" s="1275"/>
      <c r="E110" s="1270"/>
      <c r="F110" s="1358" t="s">
        <v>226</v>
      </c>
      <c r="G110" s="2176">
        <v>14</v>
      </c>
      <c r="H110" s="1264">
        <f t="shared" ref="H110:H123" si="12">ROUND(E110*G110,)</f>
        <v>0</v>
      </c>
      <c r="I110" s="1265">
        <v>10</v>
      </c>
      <c r="J110" s="1264">
        <f t="shared" ref="J110:J123" si="13">ROUND(E110*I110,)</f>
        <v>0</v>
      </c>
      <c r="K110" s="1273">
        <f t="shared" ref="K110:K123" si="14">H110+J110</f>
        <v>0</v>
      </c>
      <c r="L110" s="2000" t="s">
        <v>2667</v>
      </c>
      <c r="N110" s="1199">
        <v>1375.8</v>
      </c>
      <c r="O110" s="1199">
        <f>ROUND(N110/100,)</f>
        <v>14</v>
      </c>
      <c r="P110" s="1199">
        <f>E110*1.1</f>
        <v>0</v>
      </c>
    </row>
    <row r="111" spans="1:17" s="1199" customFormat="1" ht="24" customHeight="1">
      <c r="A111" s="1331"/>
      <c r="B111" s="2174" t="s">
        <v>1317</v>
      </c>
      <c r="C111" s="1275"/>
      <c r="D111" s="1275"/>
      <c r="E111" s="1270">
        <v>230</v>
      </c>
      <c r="F111" s="1358" t="s">
        <v>226</v>
      </c>
      <c r="G111" s="2176">
        <v>23</v>
      </c>
      <c r="H111" s="1264">
        <f t="shared" si="12"/>
        <v>5290</v>
      </c>
      <c r="I111" s="1265">
        <v>12</v>
      </c>
      <c r="J111" s="1264">
        <f t="shared" si="13"/>
        <v>2760</v>
      </c>
      <c r="K111" s="1273">
        <f t="shared" si="14"/>
        <v>8050</v>
      </c>
      <c r="L111" s="2000" t="s">
        <v>2667</v>
      </c>
      <c r="N111" s="1199">
        <v>2264.1999999999998</v>
      </c>
      <c r="O111" s="1199">
        <f t="shared" ref="O111:O119" si="15">ROUND(N111/100,)</f>
        <v>23</v>
      </c>
      <c r="P111" s="1199">
        <f t="shared" ref="P111:P123" si="16">E111*1.1</f>
        <v>253.00000000000003</v>
      </c>
    </row>
    <row r="112" spans="1:17" s="1199" customFormat="1" ht="24" customHeight="1">
      <c r="A112" s="1331"/>
      <c r="B112" s="2174" t="s">
        <v>1318</v>
      </c>
      <c r="C112" s="1275"/>
      <c r="D112" s="1275"/>
      <c r="E112" s="1270"/>
      <c r="F112" s="1358" t="s">
        <v>226</v>
      </c>
      <c r="G112" s="2176">
        <v>39</v>
      </c>
      <c r="H112" s="1264">
        <f t="shared" si="12"/>
        <v>0</v>
      </c>
      <c r="I112" s="1265">
        <v>16</v>
      </c>
      <c r="J112" s="1264">
        <f t="shared" si="13"/>
        <v>0</v>
      </c>
      <c r="K112" s="1273">
        <f t="shared" si="14"/>
        <v>0</v>
      </c>
      <c r="L112" s="2000" t="s">
        <v>2667</v>
      </c>
      <c r="N112" s="1199">
        <v>3944.2</v>
      </c>
      <c r="O112" s="1199">
        <f t="shared" si="15"/>
        <v>39</v>
      </c>
      <c r="P112" s="1199">
        <f t="shared" si="16"/>
        <v>0</v>
      </c>
    </row>
    <row r="113" spans="1:17" s="1199" customFormat="1" ht="24" customHeight="1">
      <c r="A113" s="1331"/>
      <c r="B113" s="2174" t="s">
        <v>1319</v>
      </c>
      <c r="C113" s="1275"/>
      <c r="D113" s="1275"/>
      <c r="E113" s="1270"/>
      <c r="F113" s="1358" t="s">
        <v>226</v>
      </c>
      <c r="G113" s="2176">
        <v>61</v>
      </c>
      <c r="H113" s="1264">
        <f t="shared" si="12"/>
        <v>0</v>
      </c>
      <c r="I113" s="1265">
        <v>20</v>
      </c>
      <c r="J113" s="1264">
        <f t="shared" si="13"/>
        <v>0</v>
      </c>
      <c r="K113" s="1273">
        <f t="shared" si="14"/>
        <v>0</v>
      </c>
      <c r="L113" s="2000" t="s">
        <v>2667</v>
      </c>
      <c r="N113" s="1199">
        <v>6120</v>
      </c>
      <c r="O113" s="1199">
        <f t="shared" si="15"/>
        <v>61</v>
      </c>
      <c r="P113" s="1199">
        <f t="shared" si="16"/>
        <v>0</v>
      </c>
    </row>
    <row r="114" spans="1:17" s="1199" customFormat="1" ht="24" customHeight="1">
      <c r="A114" s="1331"/>
      <c r="B114" s="2174" t="s">
        <v>1320</v>
      </c>
      <c r="C114" s="1275"/>
      <c r="D114" s="1275"/>
      <c r="E114" s="1270">
        <v>920</v>
      </c>
      <c r="F114" s="1358" t="s">
        <v>226</v>
      </c>
      <c r="G114" s="2176">
        <v>96</v>
      </c>
      <c r="H114" s="1264">
        <f t="shared" si="12"/>
        <v>88320</v>
      </c>
      <c r="I114" s="1265">
        <v>25</v>
      </c>
      <c r="J114" s="1264">
        <f t="shared" si="13"/>
        <v>23000</v>
      </c>
      <c r="K114" s="1273">
        <f t="shared" si="14"/>
        <v>111320</v>
      </c>
      <c r="L114" s="2000" t="s">
        <v>2667</v>
      </c>
      <c r="N114" s="1199">
        <v>9600</v>
      </c>
      <c r="O114" s="1199">
        <f t="shared" si="15"/>
        <v>96</v>
      </c>
      <c r="P114" s="1199">
        <f t="shared" si="16"/>
        <v>1012.0000000000001</v>
      </c>
    </row>
    <row r="115" spans="1:17" s="1199" customFormat="1" ht="24" customHeight="1">
      <c r="A115" s="1331"/>
      <c r="B115" s="2174" t="s">
        <v>1321</v>
      </c>
      <c r="C115" s="1275"/>
      <c r="D115" s="1275"/>
      <c r="E115" s="1270"/>
      <c r="F115" s="1358" t="s">
        <v>226</v>
      </c>
      <c r="G115" s="2176">
        <v>127</v>
      </c>
      <c r="H115" s="1264">
        <f t="shared" si="12"/>
        <v>0</v>
      </c>
      <c r="I115" s="1265">
        <v>30</v>
      </c>
      <c r="J115" s="1264">
        <f t="shared" si="13"/>
        <v>0</v>
      </c>
      <c r="K115" s="1273">
        <f t="shared" si="14"/>
        <v>0</v>
      </c>
      <c r="L115" s="2000" t="s">
        <v>2667</v>
      </c>
      <c r="N115" s="1199">
        <v>12744.2</v>
      </c>
      <c r="O115" s="1199">
        <f t="shared" si="15"/>
        <v>127</v>
      </c>
      <c r="P115" s="1199">
        <f t="shared" si="16"/>
        <v>0</v>
      </c>
    </row>
    <row r="116" spans="1:17" s="1199" customFormat="1" ht="24" customHeight="1">
      <c r="A116" s="1331"/>
      <c r="B116" s="2174" t="s">
        <v>1322</v>
      </c>
      <c r="C116" s="1275"/>
      <c r="D116" s="1275"/>
      <c r="E116" s="1270"/>
      <c r="F116" s="1358" t="s">
        <v>226</v>
      </c>
      <c r="G116" s="2176">
        <v>183</v>
      </c>
      <c r="H116" s="1264">
        <f t="shared" si="12"/>
        <v>0</v>
      </c>
      <c r="I116" s="1265">
        <v>40</v>
      </c>
      <c r="J116" s="1264">
        <f t="shared" si="13"/>
        <v>0</v>
      </c>
      <c r="K116" s="1273">
        <f t="shared" si="14"/>
        <v>0</v>
      </c>
      <c r="L116" s="2000" t="s">
        <v>2667</v>
      </c>
      <c r="N116" s="1199">
        <v>18335.8</v>
      </c>
      <c r="O116" s="1199">
        <f t="shared" si="15"/>
        <v>183</v>
      </c>
      <c r="P116" s="1199">
        <f t="shared" si="16"/>
        <v>0</v>
      </c>
    </row>
    <row r="117" spans="1:17" s="1199" customFormat="1" ht="24" customHeight="1">
      <c r="A117" s="1331"/>
      <c r="B117" s="2174" t="s">
        <v>1323</v>
      </c>
      <c r="C117" s="1275"/>
      <c r="D117" s="1275"/>
      <c r="E117" s="1270"/>
      <c r="F117" s="1358" t="s">
        <v>226</v>
      </c>
      <c r="G117" s="2176">
        <v>262</v>
      </c>
      <c r="H117" s="1264">
        <f t="shared" si="12"/>
        <v>0</v>
      </c>
      <c r="I117" s="1265">
        <v>45</v>
      </c>
      <c r="J117" s="1264">
        <f t="shared" si="13"/>
        <v>0</v>
      </c>
      <c r="K117" s="1273">
        <f t="shared" si="14"/>
        <v>0</v>
      </c>
      <c r="L117" s="2000" t="s">
        <v>2667</v>
      </c>
      <c r="N117" s="1199">
        <v>26215.8</v>
      </c>
      <c r="O117" s="1199">
        <f t="shared" si="15"/>
        <v>262</v>
      </c>
      <c r="P117" s="1199">
        <f t="shared" si="16"/>
        <v>0</v>
      </c>
    </row>
    <row r="118" spans="1:17" s="1199" customFormat="1" ht="24" customHeight="1">
      <c r="A118" s="1331"/>
      <c r="B118" s="2174" t="s">
        <v>1324</v>
      </c>
      <c r="C118" s="1275"/>
      <c r="D118" s="1275"/>
      <c r="E118" s="1270"/>
      <c r="F118" s="1358" t="s">
        <v>226</v>
      </c>
      <c r="G118" s="2176">
        <v>361</v>
      </c>
      <c r="H118" s="1264">
        <f t="shared" si="12"/>
        <v>0</v>
      </c>
      <c r="I118" s="1265">
        <v>55</v>
      </c>
      <c r="J118" s="1264">
        <f t="shared" si="13"/>
        <v>0</v>
      </c>
      <c r="K118" s="1273">
        <f t="shared" si="14"/>
        <v>0</v>
      </c>
      <c r="L118" s="2000" t="s">
        <v>2667</v>
      </c>
      <c r="N118" s="1199">
        <v>36120</v>
      </c>
      <c r="O118" s="1199">
        <f t="shared" si="15"/>
        <v>361</v>
      </c>
      <c r="P118" s="1199">
        <f t="shared" si="16"/>
        <v>0</v>
      </c>
    </row>
    <row r="119" spans="1:17" s="1199" customFormat="1" ht="24" customHeight="1">
      <c r="A119" s="1331"/>
      <c r="B119" s="2174" t="s">
        <v>1325</v>
      </c>
      <c r="C119" s="1275"/>
      <c r="D119" s="1275"/>
      <c r="E119" s="1270"/>
      <c r="F119" s="1358" t="s">
        <v>226</v>
      </c>
      <c r="G119" s="2176">
        <v>458</v>
      </c>
      <c r="H119" s="1264">
        <f t="shared" si="12"/>
        <v>0</v>
      </c>
      <c r="I119" s="1265">
        <v>60</v>
      </c>
      <c r="J119" s="1264">
        <f t="shared" si="13"/>
        <v>0</v>
      </c>
      <c r="K119" s="1273">
        <f t="shared" si="14"/>
        <v>0</v>
      </c>
      <c r="L119" s="2000" t="s">
        <v>2667</v>
      </c>
      <c r="N119" s="1199">
        <v>45760</v>
      </c>
      <c r="O119" s="1199">
        <f t="shared" si="15"/>
        <v>458</v>
      </c>
      <c r="P119" s="1199">
        <f t="shared" si="16"/>
        <v>0</v>
      </c>
    </row>
    <row r="120" spans="1:17" s="1199" customFormat="1" ht="24" customHeight="1">
      <c r="A120" s="1331"/>
      <c r="B120" s="2174" t="s">
        <v>1326</v>
      </c>
      <c r="C120" s="1275"/>
      <c r="D120" s="1275"/>
      <c r="E120" s="1270"/>
      <c r="F120" s="1358" t="s">
        <v>226</v>
      </c>
      <c r="G120" s="2176">
        <v>525</v>
      </c>
      <c r="H120" s="1264">
        <f t="shared" si="12"/>
        <v>0</v>
      </c>
      <c r="I120" s="1265">
        <v>70</v>
      </c>
      <c r="J120" s="1264">
        <f t="shared" si="13"/>
        <v>0</v>
      </c>
      <c r="K120" s="1273">
        <f t="shared" si="14"/>
        <v>0</v>
      </c>
      <c r="L120" s="1269"/>
      <c r="P120" s="1199">
        <f t="shared" si="16"/>
        <v>0</v>
      </c>
    </row>
    <row r="121" spans="1:17" s="1199" customFormat="1" ht="24" customHeight="1">
      <c r="A121" s="1331"/>
      <c r="B121" s="2174" t="s">
        <v>1327</v>
      </c>
      <c r="C121" s="1275"/>
      <c r="D121" s="1275"/>
      <c r="E121" s="1270"/>
      <c r="F121" s="1358" t="s">
        <v>226</v>
      </c>
      <c r="G121" s="2176">
        <v>659</v>
      </c>
      <c r="H121" s="1264">
        <f t="shared" si="12"/>
        <v>0</v>
      </c>
      <c r="I121" s="1265">
        <v>85</v>
      </c>
      <c r="J121" s="1264">
        <f t="shared" si="13"/>
        <v>0</v>
      </c>
      <c r="K121" s="1273">
        <f t="shared" si="14"/>
        <v>0</v>
      </c>
      <c r="L121" s="1269"/>
      <c r="P121" s="1199">
        <f t="shared" si="16"/>
        <v>0</v>
      </c>
    </row>
    <row r="122" spans="1:17" s="1199" customFormat="1" ht="24" customHeight="1">
      <c r="A122" s="1331"/>
      <c r="B122" s="2174" t="s">
        <v>1328</v>
      </c>
      <c r="C122" s="1275"/>
      <c r="D122" s="1275"/>
      <c r="E122" s="1270"/>
      <c r="F122" s="1358" t="s">
        <v>226</v>
      </c>
      <c r="G122" s="2176">
        <v>865</v>
      </c>
      <c r="H122" s="1264">
        <f t="shared" si="12"/>
        <v>0</v>
      </c>
      <c r="I122" s="1265">
        <v>100</v>
      </c>
      <c r="J122" s="1264">
        <f t="shared" si="13"/>
        <v>0</v>
      </c>
      <c r="K122" s="1273">
        <f t="shared" si="14"/>
        <v>0</v>
      </c>
      <c r="L122" s="1269"/>
      <c r="P122" s="1199">
        <f t="shared" si="16"/>
        <v>0</v>
      </c>
    </row>
    <row r="123" spans="1:17" s="1199" customFormat="1" ht="24" customHeight="1">
      <c r="A123" s="1331"/>
      <c r="B123" s="2174" t="s">
        <v>1329</v>
      </c>
      <c r="C123" s="1275"/>
      <c r="D123" s="1275"/>
      <c r="E123" s="1270"/>
      <c r="F123" s="1358" t="s">
        <v>226</v>
      </c>
      <c r="G123" s="2176">
        <v>1084</v>
      </c>
      <c r="H123" s="1264">
        <f t="shared" si="12"/>
        <v>0</v>
      </c>
      <c r="I123" s="1265">
        <v>110</v>
      </c>
      <c r="J123" s="1264">
        <f t="shared" si="13"/>
        <v>0</v>
      </c>
      <c r="K123" s="1273">
        <f t="shared" si="14"/>
        <v>0</v>
      </c>
      <c r="L123" s="1269"/>
      <c r="P123" s="1199">
        <f t="shared" si="16"/>
        <v>0</v>
      </c>
    </row>
    <row r="124" spans="1:17" s="1199" customFormat="1" ht="24" customHeight="1">
      <c r="A124" s="1331" t="s">
        <v>1158</v>
      </c>
      <c r="B124" s="2174" t="s">
        <v>2897</v>
      </c>
      <c r="C124" s="1275"/>
      <c r="D124" s="1275"/>
      <c r="E124" s="1276"/>
      <c r="F124" s="1358"/>
      <c r="G124" s="2175"/>
      <c r="H124" s="1264"/>
      <c r="I124" s="1265"/>
      <c r="J124" s="1264"/>
      <c r="K124" s="1273"/>
      <c r="L124" s="1269"/>
    </row>
    <row r="125" spans="1:17" s="1199" customFormat="1" ht="24" customHeight="1">
      <c r="A125" s="1331" t="s">
        <v>2898</v>
      </c>
      <c r="B125" s="1190" t="s">
        <v>1597</v>
      </c>
      <c r="C125" s="1202"/>
      <c r="D125" s="1202"/>
      <c r="E125" s="1387"/>
      <c r="F125" s="1384"/>
      <c r="G125" s="2176"/>
      <c r="H125" s="1264">
        <f t="shared" ref="H125:H134" si="17">ROUND(E125*G125,)</f>
        <v>0</v>
      </c>
      <c r="I125" s="2177"/>
      <c r="J125" s="1264">
        <f t="shared" ref="J125:J134" si="18">ROUND(E125*I125,)</f>
        <v>0</v>
      </c>
      <c r="K125" s="1385"/>
      <c r="L125" s="1385"/>
      <c r="M125" s="1214"/>
      <c r="N125" s="1214"/>
      <c r="O125" s="1214"/>
      <c r="P125" s="1214"/>
      <c r="Q125" s="1214"/>
    </row>
    <row r="126" spans="1:17" s="1199" customFormat="1" ht="24" customHeight="1">
      <c r="A126" s="1331"/>
      <c r="B126" s="1190" t="s">
        <v>1443</v>
      </c>
      <c r="C126" s="1202"/>
      <c r="D126" s="1202"/>
      <c r="E126" s="1489"/>
      <c r="F126" s="1358" t="s">
        <v>226</v>
      </c>
      <c r="G126" s="2176">
        <v>9</v>
      </c>
      <c r="H126" s="1264">
        <f t="shared" si="17"/>
        <v>0</v>
      </c>
      <c r="I126" s="2177">
        <v>7</v>
      </c>
      <c r="J126" s="1264">
        <f t="shared" si="18"/>
        <v>0</v>
      </c>
      <c r="K126" s="1273">
        <f>H126+J126</f>
        <v>0</v>
      </c>
      <c r="L126" s="2001" t="s">
        <v>2667</v>
      </c>
      <c r="M126" s="1214"/>
      <c r="N126" s="1199">
        <v>912.1</v>
      </c>
      <c r="O126" s="1199">
        <f>ROUND(N126/100,)</f>
        <v>9</v>
      </c>
      <c r="P126" s="1214"/>
      <c r="Q126" s="1214"/>
    </row>
    <row r="127" spans="1:17" s="1199" customFormat="1" ht="24" customHeight="1">
      <c r="A127" s="1331"/>
      <c r="B127" s="2174" t="s">
        <v>1316</v>
      </c>
      <c r="C127" s="1202"/>
      <c r="D127" s="1202"/>
      <c r="E127" s="1489">
        <v>525</v>
      </c>
      <c r="F127" s="1358" t="s">
        <v>226</v>
      </c>
      <c r="G127" s="2176">
        <v>14</v>
      </c>
      <c r="H127" s="1264">
        <f t="shared" si="17"/>
        <v>7350</v>
      </c>
      <c r="I127" s="2177">
        <v>10</v>
      </c>
      <c r="J127" s="1264">
        <f t="shared" si="18"/>
        <v>5250</v>
      </c>
      <c r="K127" s="1273">
        <f>H127+J127</f>
        <v>12600</v>
      </c>
      <c r="L127" s="2001" t="s">
        <v>2667</v>
      </c>
      <c r="M127" s="1214"/>
      <c r="N127" s="1199">
        <v>1375.8</v>
      </c>
      <c r="O127" s="1199">
        <f>ROUND(N127/100,)</f>
        <v>14</v>
      </c>
      <c r="P127" s="1214"/>
      <c r="Q127" s="1214"/>
    </row>
    <row r="128" spans="1:17" s="1199" customFormat="1" ht="24" customHeight="1">
      <c r="A128" s="1331"/>
      <c r="B128" s="2174" t="s">
        <v>1317</v>
      </c>
      <c r="C128" s="1275"/>
      <c r="D128" s="1275"/>
      <c r="E128" s="1270"/>
      <c r="F128" s="1358" t="s">
        <v>226</v>
      </c>
      <c r="G128" s="2176">
        <v>23</v>
      </c>
      <c r="H128" s="1264">
        <f t="shared" si="17"/>
        <v>0</v>
      </c>
      <c r="I128" s="1265">
        <v>12</v>
      </c>
      <c r="J128" s="1264">
        <f t="shared" si="18"/>
        <v>0</v>
      </c>
      <c r="K128" s="1273">
        <f t="shared" ref="K128:K129" si="19">H128+J128</f>
        <v>0</v>
      </c>
      <c r="L128" s="2001" t="s">
        <v>2667</v>
      </c>
      <c r="N128" s="1199">
        <v>2264.1999999999998</v>
      </c>
      <c r="O128" s="1199">
        <f t="shared" ref="O128:O129" si="20">ROUND(N128/100,)</f>
        <v>23</v>
      </c>
    </row>
    <row r="129" spans="1:17" s="1199" customFormat="1" ht="24" customHeight="1">
      <c r="A129" s="1331"/>
      <c r="B129" s="2174" t="s">
        <v>1318</v>
      </c>
      <c r="C129" s="1275"/>
      <c r="D129" s="1275"/>
      <c r="E129" s="1270"/>
      <c r="F129" s="1358" t="s">
        <v>226</v>
      </c>
      <c r="G129" s="2176">
        <v>39</v>
      </c>
      <c r="H129" s="1264">
        <f t="shared" si="17"/>
        <v>0</v>
      </c>
      <c r="I129" s="1265">
        <v>16</v>
      </c>
      <c r="J129" s="1264">
        <f t="shared" si="18"/>
        <v>0</v>
      </c>
      <c r="K129" s="1273">
        <f t="shared" si="19"/>
        <v>0</v>
      </c>
      <c r="L129" s="2001" t="s">
        <v>2667</v>
      </c>
      <c r="N129" s="1199">
        <v>3944.2</v>
      </c>
      <c r="O129" s="1199">
        <f t="shared" si="20"/>
        <v>39</v>
      </c>
    </row>
    <row r="130" spans="1:17" s="1199" customFormat="1" ht="24" customHeight="1">
      <c r="A130" s="1331"/>
      <c r="B130" s="2174"/>
      <c r="C130" s="1275"/>
      <c r="D130" s="1275"/>
      <c r="E130" s="1270"/>
      <c r="F130" s="1358"/>
      <c r="G130" s="2176"/>
      <c r="H130" s="1264"/>
      <c r="I130" s="1265"/>
      <c r="J130" s="1264"/>
      <c r="K130" s="1273"/>
      <c r="L130" s="2172"/>
    </row>
    <row r="131" spans="1:17" s="1199" customFormat="1" ht="24" customHeight="1">
      <c r="A131" s="1331" t="s">
        <v>2899</v>
      </c>
      <c r="B131" s="2174" t="s">
        <v>1331</v>
      </c>
      <c r="C131" s="1202"/>
      <c r="D131" s="1202"/>
      <c r="E131" s="1513"/>
      <c r="F131" s="1384"/>
      <c r="G131" s="2176"/>
      <c r="H131" s="1264">
        <f t="shared" si="17"/>
        <v>0</v>
      </c>
      <c r="I131" s="2177"/>
      <c r="J131" s="1264">
        <f t="shared" si="18"/>
        <v>0</v>
      </c>
      <c r="K131" s="1385"/>
      <c r="L131" s="1385"/>
      <c r="M131" s="1214"/>
      <c r="N131" s="1214"/>
      <c r="O131" s="1214"/>
      <c r="P131" s="1214"/>
      <c r="Q131" s="1214"/>
    </row>
    <row r="132" spans="1:17" s="1199" customFormat="1" ht="24" customHeight="1">
      <c r="A132" s="1331"/>
      <c r="B132" s="2174" t="s">
        <v>1443</v>
      </c>
      <c r="C132" s="1202"/>
      <c r="D132" s="1202"/>
      <c r="E132" s="1270"/>
      <c r="F132" s="1358" t="s">
        <v>226</v>
      </c>
      <c r="G132" s="2176">
        <v>41</v>
      </c>
      <c r="H132" s="1264">
        <f t="shared" si="17"/>
        <v>0</v>
      </c>
      <c r="I132" s="2177">
        <v>12</v>
      </c>
      <c r="J132" s="1264">
        <f t="shared" si="18"/>
        <v>0</v>
      </c>
      <c r="K132" s="1273">
        <f>H132+J132</f>
        <v>0</v>
      </c>
      <c r="L132" s="1385"/>
      <c r="M132" s="1214"/>
      <c r="N132" s="1214"/>
      <c r="O132" s="1214"/>
      <c r="P132" s="1214"/>
      <c r="Q132" s="1214"/>
    </row>
    <row r="133" spans="1:17" s="1199" customFormat="1" ht="24" customHeight="1">
      <c r="A133" s="1331"/>
      <c r="B133" s="2174" t="s">
        <v>1316</v>
      </c>
      <c r="C133" s="1202"/>
      <c r="D133" s="1202"/>
      <c r="E133" s="1506"/>
      <c r="F133" s="1358" t="s">
        <v>226</v>
      </c>
      <c r="G133" s="2176">
        <v>53</v>
      </c>
      <c r="H133" s="1264">
        <f t="shared" si="17"/>
        <v>0</v>
      </c>
      <c r="I133" s="2177">
        <v>14</v>
      </c>
      <c r="J133" s="1264">
        <f t="shared" si="18"/>
        <v>0</v>
      </c>
      <c r="K133" s="1273">
        <f>H133+J133</f>
        <v>0</v>
      </c>
      <c r="L133" s="1385"/>
      <c r="M133" s="1214"/>
      <c r="N133" s="1214"/>
      <c r="O133" s="1214"/>
      <c r="P133" s="1214"/>
      <c r="Q133" s="1214"/>
    </row>
    <row r="134" spans="1:17" s="1199" customFormat="1" ht="24" customHeight="1">
      <c r="A134" s="1406"/>
      <c r="B134" s="2174" t="s">
        <v>1444</v>
      </c>
      <c r="C134" s="1235"/>
      <c r="D134" s="1235"/>
      <c r="E134" s="1490">
        <v>1</v>
      </c>
      <c r="F134" s="1296" t="s">
        <v>1104</v>
      </c>
      <c r="G134" s="1399">
        <f>ROUND(SUM(H108:H133)*0.05,)</f>
        <v>5048</v>
      </c>
      <c r="H134" s="1264">
        <f t="shared" si="17"/>
        <v>5048</v>
      </c>
      <c r="I134" s="2177">
        <f>ROUND(G134*0.3,)</f>
        <v>1514</v>
      </c>
      <c r="J134" s="1264">
        <f t="shared" si="18"/>
        <v>1514</v>
      </c>
      <c r="K134" s="1273">
        <f>H134+J134</f>
        <v>6562</v>
      </c>
      <c r="L134" s="1402"/>
      <c r="M134" s="1214"/>
      <c r="N134" s="1214"/>
      <c r="O134" s="1214"/>
      <c r="P134" s="1214"/>
      <c r="Q134" s="1214"/>
    </row>
    <row r="135" spans="1:17" s="1199" customFormat="1" ht="24" customHeight="1">
      <c r="A135" s="1331"/>
      <c r="B135" s="2174" t="s">
        <v>1117</v>
      </c>
      <c r="C135" s="1275"/>
      <c r="D135" s="1275"/>
      <c r="E135" s="1270"/>
      <c r="F135" s="1358"/>
      <c r="G135" s="2176"/>
      <c r="H135" s="1264"/>
      <c r="I135" s="1265"/>
      <c r="J135" s="1264"/>
      <c r="K135" s="1273"/>
      <c r="L135" s="1269"/>
      <c r="M135" s="1214"/>
      <c r="N135" s="1214"/>
      <c r="O135" s="1214"/>
      <c r="P135" s="1214"/>
      <c r="Q135" s="1214"/>
    </row>
    <row r="136" spans="1:17" s="1199" customFormat="1" ht="24" customHeight="1">
      <c r="A136" s="1331"/>
      <c r="B136" s="2174" t="s">
        <v>1118</v>
      </c>
      <c r="C136" s="1275"/>
      <c r="D136" s="1275"/>
      <c r="E136" s="1270"/>
      <c r="F136" s="1358"/>
      <c r="G136" s="2176"/>
      <c r="H136" s="1264"/>
      <c r="I136" s="1265"/>
      <c r="J136" s="1264"/>
      <c r="K136" s="1273"/>
      <c r="L136" s="1269"/>
      <c r="M136" s="1214"/>
      <c r="N136" s="1214"/>
      <c r="O136" s="1214"/>
      <c r="P136" s="1214"/>
      <c r="Q136" s="1214"/>
    </row>
    <row r="137" spans="1:17" s="1199" customFormat="1" ht="24" customHeight="1">
      <c r="A137" s="1331"/>
      <c r="B137" s="2174" t="s">
        <v>1118</v>
      </c>
      <c r="C137" s="1202"/>
      <c r="D137" s="1202"/>
      <c r="E137" s="1513"/>
      <c r="F137" s="1384"/>
      <c r="G137" s="2176"/>
      <c r="H137" s="1264"/>
      <c r="I137" s="2177"/>
      <c r="J137" s="1264"/>
      <c r="K137" s="1385"/>
      <c r="L137" s="1385"/>
      <c r="M137" s="1214"/>
      <c r="N137" s="1214"/>
      <c r="O137" s="1214"/>
      <c r="P137" s="1214"/>
      <c r="Q137" s="1214"/>
    </row>
    <row r="138" spans="1:17" s="1199" customFormat="1" ht="24" customHeight="1">
      <c r="A138" s="1331"/>
      <c r="B138" s="2174"/>
      <c r="C138" s="1202"/>
      <c r="D138" s="1202"/>
      <c r="E138" s="1489"/>
      <c r="F138" s="1358"/>
      <c r="G138" s="2176"/>
      <c r="H138" s="1264"/>
      <c r="I138" s="2177"/>
      <c r="J138" s="1264"/>
      <c r="K138" s="1273"/>
      <c r="L138" s="1385"/>
      <c r="M138" s="1214"/>
      <c r="N138" s="1214"/>
      <c r="O138" s="1214"/>
      <c r="P138" s="1214"/>
    </row>
    <row r="139" spans="1:17" s="1199" customFormat="1" ht="24" customHeight="1">
      <c r="A139" s="1243"/>
      <c r="B139" s="2257" t="str">
        <f>"รวมราคารายการที่ "&amp;A107</f>
        <v>รวมราคารายการที่ 3.4</v>
      </c>
      <c r="C139" s="2258"/>
      <c r="D139" s="2259"/>
      <c r="E139" s="1244"/>
      <c r="F139" s="1245"/>
      <c r="G139" s="1246"/>
      <c r="H139" s="1247">
        <f>SUM(H107:H137)</f>
        <v>106008</v>
      </c>
      <c r="I139" s="1246"/>
      <c r="J139" s="1247">
        <f>SUM(J107:J137)</f>
        <v>32524</v>
      </c>
      <c r="K139" s="1247">
        <f>SUM(K107:K137)</f>
        <v>138532</v>
      </c>
      <c r="L139" s="1245"/>
      <c r="M139" s="1214"/>
      <c r="N139" s="1214"/>
      <c r="O139" s="1214"/>
      <c r="P139" s="1214"/>
      <c r="Q139" s="1214"/>
    </row>
    <row r="140" spans="1:17" s="1199" customFormat="1" ht="24" customHeight="1">
      <c r="A140" s="1435" t="s">
        <v>1461</v>
      </c>
      <c r="B140" s="1436" t="s">
        <v>1333</v>
      </c>
      <c r="C140" s="1202"/>
      <c r="D140" s="1202"/>
      <c r="E140" s="1387"/>
      <c r="F140" s="1384"/>
      <c r="G140" s="2176"/>
      <c r="H140" s="1388"/>
      <c r="I140" s="2177"/>
      <c r="J140" s="1385"/>
      <c r="K140" s="1385"/>
      <c r="L140" s="1385"/>
      <c r="M140" s="1214"/>
      <c r="N140" s="1214"/>
      <c r="O140" s="1214"/>
      <c r="P140" s="1214"/>
      <c r="Q140" s="1214"/>
    </row>
    <row r="141" spans="1:17" s="1199" customFormat="1" ht="24" customHeight="1">
      <c r="A141" s="1331" t="s">
        <v>1181</v>
      </c>
      <c r="B141" s="2174" t="s">
        <v>1446</v>
      </c>
      <c r="C141" s="1202"/>
      <c r="D141" s="1202"/>
      <c r="E141" s="1387"/>
      <c r="F141" s="1384"/>
      <c r="G141" s="2176"/>
      <c r="H141" s="1264">
        <f t="shared" ref="H141:H156" si="21">ROUND(E141*G141,)</f>
        <v>0</v>
      </c>
      <c r="I141" s="2177"/>
      <c r="J141" s="1264">
        <f t="shared" ref="J141:J156" si="22">ROUND(E141*I141,)</f>
        <v>0</v>
      </c>
      <c r="K141" s="1385"/>
      <c r="L141" s="1385"/>
      <c r="M141" s="1214"/>
      <c r="N141" s="1214"/>
      <c r="O141" s="1214"/>
      <c r="P141" s="1214"/>
      <c r="Q141" s="1214"/>
    </row>
    <row r="142" spans="1:17" s="1199" customFormat="1" ht="24" customHeight="1">
      <c r="A142" s="1331"/>
      <c r="B142" s="2174" t="s">
        <v>1350</v>
      </c>
      <c r="C142" s="1202"/>
      <c r="D142" s="1202"/>
      <c r="E142" s="1404">
        <v>175</v>
      </c>
      <c r="F142" s="1358" t="s">
        <v>226</v>
      </c>
      <c r="G142" s="2176">
        <v>27</v>
      </c>
      <c r="H142" s="1264">
        <f t="shared" si="21"/>
        <v>4725</v>
      </c>
      <c r="I142" s="2177">
        <v>22</v>
      </c>
      <c r="J142" s="1264">
        <f t="shared" si="22"/>
        <v>3850</v>
      </c>
      <c r="K142" s="1802">
        <f t="shared" ref="K142" si="23">H142+J142</f>
        <v>8575</v>
      </c>
      <c r="L142" s="2001" t="s">
        <v>2667</v>
      </c>
      <c r="M142" s="1214"/>
      <c r="N142" s="1199">
        <v>79.8</v>
      </c>
      <c r="O142" s="1199">
        <f>ROUND(N142/3,)</f>
        <v>27</v>
      </c>
      <c r="P142" s="1214"/>
      <c r="Q142" s="1214"/>
    </row>
    <row r="143" spans="1:17" s="1199" customFormat="1" ht="24" customHeight="1">
      <c r="A143" s="1331"/>
      <c r="B143" s="2174" t="s">
        <v>1108</v>
      </c>
      <c r="C143" s="1202"/>
      <c r="D143" s="1202"/>
      <c r="E143" s="1404">
        <v>1</v>
      </c>
      <c r="F143" s="1384" t="s">
        <v>1104</v>
      </c>
      <c r="G143" s="2176">
        <f>ROUND(SUM(H142:H142)*15%,)</f>
        <v>709</v>
      </c>
      <c r="H143" s="1264">
        <f t="shared" si="21"/>
        <v>709</v>
      </c>
      <c r="I143" s="2177">
        <f>ROUND(G143*0.3,)</f>
        <v>213</v>
      </c>
      <c r="J143" s="1264">
        <f t="shared" si="22"/>
        <v>213</v>
      </c>
      <c r="K143" s="1273">
        <f>H143+J143</f>
        <v>922</v>
      </c>
      <c r="L143" s="1385"/>
      <c r="M143" s="1214"/>
      <c r="N143" s="1214"/>
      <c r="O143" s="1214"/>
      <c r="P143" s="1214"/>
      <c r="Q143" s="1214"/>
    </row>
    <row r="144" spans="1:17" s="1199" customFormat="1" ht="24" customHeight="1">
      <c r="A144" s="1331" t="s">
        <v>1197</v>
      </c>
      <c r="B144" s="2174" t="s">
        <v>1110</v>
      </c>
      <c r="C144" s="1202"/>
      <c r="D144" s="1202"/>
      <c r="E144" s="1404"/>
      <c r="F144" s="1384"/>
      <c r="G144" s="2176"/>
      <c r="H144" s="1264">
        <f t="shared" si="21"/>
        <v>0</v>
      </c>
      <c r="I144" s="2177"/>
      <c r="J144" s="1264">
        <f t="shared" si="22"/>
        <v>0</v>
      </c>
      <c r="K144" s="1385"/>
      <c r="L144" s="1385"/>
      <c r="M144" s="1214"/>
      <c r="N144" s="1214"/>
      <c r="O144" s="1214"/>
      <c r="P144" s="1214"/>
      <c r="Q144" s="1214"/>
    </row>
    <row r="145" spans="1:17" s="1199" customFormat="1" ht="24" customHeight="1">
      <c r="A145" s="1331"/>
      <c r="B145" s="2174" t="s">
        <v>1350</v>
      </c>
      <c r="C145" s="1202"/>
      <c r="D145" s="1202"/>
      <c r="E145" s="1404"/>
      <c r="F145" s="1358" t="s">
        <v>226</v>
      </c>
      <c r="G145" s="2176">
        <v>56</v>
      </c>
      <c r="H145" s="1264">
        <f t="shared" si="21"/>
        <v>0</v>
      </c>
      <c r="I145" s="2177">
        <v>26</v>
      </c>
      <c r="J145" s="1264">
        <f t="shared" si="22"/>
        <v>0</v>
      </c>
      <c r="K145" s="1273">
        <f>H145+J145</f>
        <v>0</v>
      </c>
      <c r="L145" s="2001" t="s">
        <v>2667</v>
      </c>
      <c r="M145" s="1214"/>
      <c r="N145" s="1199">
        <v>169.2</v>
      </c>
      <c r="O145" s="1199">
        <f t="shared" ref="O145:O150" si="24">ROUND(N145/3,)</f>
        <v>56</v>
      </c>
      <c r="P145" s="1214"/>
      <c r="Q145" s="1214"/>
    </row>
    <row r="146" spans="1:17" s="1199" customFormat="1" ht="24" customHeight="1">
      <c r="A146" s="1331"/>
      <c r="B146" s="2174" t="s">
        <v>1448</v>
      </c>
      <c r="C146" s="1202"/>
      <c r="D146" s="1202"/>
      <c r="E146" s="1404"/>
      <c r="F146" s="1358" t="s">
        <v>226</v>
      </c>
      <c r="G146" s="2176">
        <v>75</v>
      </c>
      <c r="H146" s="1264">
        <f t="shared" si="21"/>
        <v>0</v>
      </c>
      <c r="I146" s="2177">
        <v>29</v>
      </c>
      <c r="J146" s="1264">
        <f t="shared" si="22"/>
        <v>0</v>
      </c>
      <c r="K146" s="1273">
        <f>H146+J146</f>
        <v>0</v>
      </c>
      <c r="L146" s="2001" t="s">
        <v>2667</v>
      </c>
      <c r="N146" s="1199">
        <v>225</v>
      </c>
      <c r="O146" s="1199">
        <f t="shared" si="24"/>
        <v>75</v>
      </c>
      <c r="P146" s="1214"/>
    </row>
    <row r="147" spans="1:17" s="1199" customFormat="1" ht="24" customHeight="1">
      <c r="A147" s="1331"/>
      <c r="B147" s="2174" t="s">
        <v>1337</v>
      </c>
      <c r="C147" s="1202"/>
      <c r="D147" s="1202"/>
      <c r="E147" s="1404"/>
      <c r="F147" s="1358" t="s">
        <v>226</v>
      </c>
      <c r="G147" s="2176">
        <v>101</v>
      </c>
      <c r="H147" s="1264">
        <f t="shared" si="21"/>
        <v>0</v>
      </c>
      <c r="I147" s="2177">
        <v>32</v>
      </c>
      <c r="J147" s="1264">
        <f t="shared" si="22"/>
        <v>0</v>
      </c>
      <c r="K147" s="1273">
        <f>H147+J147</f>
        <v>0</v>
      </c>
      <c r="L147" s="2001" t="s">
        <v>2667</v>
      </c>
      <c r="N147" s="1199">
        <v>303.60000000000002</v>
      </c>
      <c r="O147" s="1199">
        <f t="shared" si="24"/>
        <v>101</v>
      </c>
      <c r="P147" s="1214"/>
      <c r="Q147" s="1214"/>
    </row>
    <row r="148" spans="1:17" s="1199" customFormat="1" ht="24" customHeight="1">
      <c r="A148" s="1331"/>
      <c r="B148" s="2174" t="s">
        <v>1338</v>
      </c>
      <c r="C148" s="1202"/>
      <c r="D148" s="1202"/>
      <c r="E148" s="1270">
        <v>230</v>
      </c>
      <c r="F148" s="1358" t="s">
        <v>226</v>
      </c>
      <c r="G148" s="2176">
        <v>131</v>
      </c>
      <c r="H148" s="1264">
        <f t="shared" si="21"/>
        <v>30130</v>
      </c>
      <c r="I148" s="2177">
        <v>32</v>
      </c>
      <c r="J148" s="1264">
        <f t="shared" si="22"/>
        <v>7360</v>
      </c>
      <c r="K148" s="1273">
        <f t="shared" ref="K148:K153" si="25">H148+J148</f>
        <v>37490</v>
      </c>
      <c r="L148" s="2000" t="s">
        <v>2667</v>
      </c>
      <c r="N148" s="1199">
        <v>391.8</v>
      </c>
      <c r="O148" s="1199">
        <f t="shared" si="24"/>
        <v>131</v>
      </c>
    </row>
    <row r="149" spans="1:17" s="1199" customFormat="1" ht="24" customHeight="1">
      <c r="A149" s="1331"/>
      <c r="B149" s="2174" t="s">
        <v>1339</v>
      </c>
      <c r="C149" s="1202"/>
      <c r="D149" s="1202"/>
      <c r="E149" s="1270"/>
      <c r="F149" s="1358" t="s">
        <v>226</v>
      </c>
      <c r="G149" s="2176">
        <v>160</v>
      </c>
      <c r="H149" s="1264">
        <f t="shared" si="21"/>
        <v>0</v>
      </c>
      <c r="I149" s="2177">
        <v>38</v>
      </c>
      <c r="J149" s="1264">
        <f t="shared" si="22"/>
        <v>0</v>
      </c>
      <c r="K149" s="1273">
        <f t="shared" si="25"/>
        <v>0</v>
      </c>
      <c r="L149" s="2000" t="s">
        <v>2667</v>
      </c>
      <c r="N149" s="1199">
        <v>481.2</v>
      </c>
      <c r="O149" s="1199">
        <f t="shared" si="24"/>
        <v>160</v>
      </c>
    </row>
    <row r="150" spans="1:17" s="1199" customFormat="1" ht="24" customHeight="1">
      <c r="A150" s="1331"/>
      <c r="B150" s="2174" t="s">
        <v>1340</v>
      </c>
      <c r="C150" s="1202"/>
      <c r="D150" s="1202"/>
      <c r="E150" s="1270"/>
      <c r="F150" s="1358" t="s">
        <v>226</v>
      </c>
      <c r="G150" s="2176">
        <v>219</v>
      </c>
      <c r="H150" s="1264">
        <f t="shared" si="21"/>
        <v>0</v>
      </c>
      <c r="I150" s="2177">
        <v>42</v>
      </c>
      <c r="J150" s="1264">
        <f t="shared" si="22"/>
        <v>0</v>
      </c>
      <c r="K150" s="1273">
        <f t="shared" si="25"/>
        <v>0</v>
      </c>
      <c r="L150" s="2000" t="s">
        <v>2667</v>
      </c>
      <c r="N150" s="1199">
        <v>657.6</v>
      </c>
      <c r="O150" s="1199">
        <f t="shared" si="24"/>
        <v>219</v>
      </c>
    </row>
    <row r="151" spans="1:17" s="1199" customFormat="1" ht="24" customHeight="1">
      <c r="A151" s="1331"/>
      <c r="B151" s="2174" t="s">
        <v>1341</v>
      </c>
      <c r="C151" s="1202"/>
      <c r="D151" s="1202"/>
      <c r="E151" s="1270"/>
      <c r="F151" s="1358" t="s">
        <v>226</v>
      </c>
      <c r="G151" s="2176">
        <v>352</v>
      </c>
      <c r="H151" s="1264">
        <f t="shared" si="21"/>
        <v>0</v>
      </c>
      <c r="I151" s="2177">
        <v>48</v>
      </c>
      <c r="J151" s="1264">
        <f t="shared" si="22"/>
        <v>0</v>
      </c>
      <c r="K151" s="1273">
        <f t="shared" si="25"/>
        <v>0</v>
      </c>
      <c r="L151" s="1269"/>
    </row>
    <row r="152" spans="1:17" s="1199" customFormat="1" ht="24" customHeight="1">
      <c r="A152" s="1331"/>
      <c r="B152" s="2174" t="s">
        <v>1342</v>
      </c>
      <c r="C152" s="1202"/>
      <c r="D152" s="1202"/>
      <c r="E152" s="1270"/>
      <c r="F152" s="1358" t="s">
        <v>226</v>
      </c>
      <c r="G152" s="2176">
        <v>434</v>
      </c>
      <c r="H152" s="1264">
        <f t="shared" si="21"/>
        <v>0</v>
      </c>
      <c r="I152" s="2177">
        <v>55</v>
      </c>
      <c r="J152" s="1264">
        <f t="shared" si="22"/>
        <v>0</v>
      </c>
      <c r="K152" s="1273">
        <f t="shared" si="25"/>
        <v>0</v>
      </c>
      <c r="L152" s="1269"/>
    </row>
    <row r="153" spans="1:17" s="1199" customFormat="1" ht="24" customHeight="1">
      <c r="A153" s="1331"/>
      <c r="B153" s="2174" t="s">
        <v>1111</v>
      </c>
      <c r="C153" s="1202"/>
      <c r="D153" s="1202"/>
      <c r="E153" s="1270"/>
      <c r="F153" s="1358" t="s">
        <v>226</v>
      </c>
      <c r="G153" s="2176">
        <v>572</v>
      </c>
      <c r="H153" s="1264">
        <f t="shared" si="21"/>
        <v>0</v>
      </c>
      <c r="I153" s="2177">
        <v>65</v>
      </c>
      <c r="J153" s="1264">
        <f t="shared" si="22"/>
        <v>0</v>
      </c>
      <c r="K153" s="1273">
        <f t="shared" si="25"/>
        <v>0</v>
      </c>
      <c r="L153" s="1269"/>
    </row>
    <row r="154" spans="1:17" s="1199" customFormat="1" ht="23.5" customHeight="1">
      <c r="A154" s="1331"/>
      <c r="B154" s="2174" t="s">
        <v>1108</v>
      </c>
      <c r="C154" s="1202"/>
      <c r="D154" s="1202"/>
      <c r="E154" s="1404">
        <v>1</v>
      </c>
      <c r="F154" s="1384" t="s">
        <v>1104</v>
      </c>
      <c r="G154" s="2176">
        <f>ROUND(SUM(H145:H153)*15%,0)</f>
        <v>4520</v>
      </c>
      <c r="H154" s="1264">
        <f t="shared" si="21"/>
        <v>4520</v>
      </c>
      <c r="I154" s="2177">
        <f>ROUND(ROUND(G154*0.3,),0)</f>
        <v>1356</v>
      </c>
      <c r="J154" s="1264">
        <f t="shared" si="22"/>
        <v>1356</v>
      </c>
      <c r="K154" s="1273">
        <f>H154+J154</f>
        <v>5876</v>
      </c>
      <c r="L154" s="1385"/>
      <c r="M154" s="1214"/>
      <c r="N154" s="1214"/>
      <c r="O154" s="1214"/>
      <c r="P154" s="1214"/>
      <c r="Q154" s="1214"/>
    </row>
    <row r="155" spans="1:17" s="1199" customFormat="1" ht="24" customHeight="1">
      <c r="A155" s="1331" t="s">
        <v>1621</v>
      </c>
      <c r="B155" s="2174" t="s">
        <v>1449</v>
      </c>
      <c r="C155" s="1202"/>
      <c r="D155" s="1202"/>
      <c r="E155" s="1404"/>
      <c r="F155" s="1384"/>
      <c r="G155" s="2176"/>
      <c r="H155" s="1264">
        <f t="shared" si="21"/>
        <v>0</v>
      </c>
      <c r="I155" s="2177"/>
      <c r="J155" s="1264">
        <f t="shared" si="22"/>
        <v>0</v>
      </c>
      <c r="K155" s="1385"/>
      <c r="L155" s="1385"/>
      <c r="M155" s="1214"/>
      <c r="N155" s="1214"/>
      <c r="O155" s="1214"/>
      <c r="P155" s="1214"/>
      <c r="Q155" s="1214"/>
    </row>
    <row r="156" spans="1:17" s="1199" customFormat="1" ht="24" customHeight="1">
      <c r="A156" s="1331"/>
      <c r="B156" s="2174" t="s">
        <v>1350</v>
      </c>
      <c r="C156" s="1202"/>
      <c r="D156" s="1202"/>
      <c r="E156" s="1404">
        <v>14</v>
      </c>
      <c r="F156" s="1358" t="s">
        <v>226</v>
      </c>
      <c r="G156" s="2176">
        <v>14</v>
      </c>
      <c r="H156" s="1264">
        <f t="shared" si="21"/>
        <v>196</v>
      </c>
      <c r="I156" s="2177">
        <v>11</v>
      </c>
      <c r="J156" s="1264">
        <f t="shared" si="22"/>
        <v>154</v>
      </c>
      <c r="K156" s="1273">
        <f>H156+J156</f>
        <v>350</v>
      </c>
      <c r="L156" s="1385"/>
      <c r="M156" s="1214"/>
      <c r="N156" s="1214"/>
      <c r="O156" s="1214"/>
      <c r="P156" s="1214"/>
      <c r="Q156" s="1214"/>
    </row>
    <row r="157" spans="1:17" s="1199" customFormat="1" ht="24" customHeight="1">
      <c r="A157" s="1331"/>
      <c r="B157" s="2174" t="s">
        <v>1117</v>
      </c>
      <c r="C157" s="1202"/>
      <c r="D157" s="1202"/>
      <c r="E157" s="1387"/>
      <c r="F157" s="1384"/>
      <c r="G157" s="2176"/>
      <c r="H157" s="1388"/>
      <c r="I157" s="2177"/>
      <c r="J157" s="1385"/>
      <c r="K157" s="1385"/>
      <c r="L157" s="1385"/>
      <c r="M157" s="1214"/>
      <c r="N157" s="1214"/>
      <c r="O157" s="1214"/>
      <c r="P157" s="1214"/>
      <c r="Q157" s="1214"/>
    </row>
    <row r="158" spans="1:17" s="1199" customFormat="1" ht="24" customHeight="1">
      <c r="A158" s="1331"/>
      <c r="B158" s="2174" t="s">
        <v>1118</v>
      </c>
      <c r="C158" s="1202"/>
      <c r="D158" s="1202"/>
      <c r="E158" s="1387"/>
      <c r="F158" s="1384"/>
      <c r="G158" s="2176"/>
      <c r="H158" s="1388"/>
      <c r="I158" s="2177"/>
      <c r="J158" s="1385"/>
      <c r="K158" s="1385"/>
      <c r="L158" s="1385"/>
      <c r="M158" s="1214"/>
      <c r="N158" s="1214"/>
      <c r="O158" s="1214"/>
      <c r="P158" s="1214"/>
      <c r="Q158" s="1214"/>
    </row>
    <row r="159" spans="1:17" s="1199" customFormat="1" ht="24" customHeight="1">
      <c r="A159" s="1331"/>
      <c r="B159" s="2174" t="s">
        <v>1369</v>
      </c>
      <c r="C159" s="1202"/>
      <c r="D159" s="1202"/>
      <c r="E159" s="1387"/>
      <c r="F159" s="1384"/>
      <c r="G159" s="2176"/>
      <c r="H159" s="1388"/>
      <c r="I159" s="2177"/>
      <c r="J159" s="1385"/>
      <c r="K159" s="1385"/>
      <c r="L159" s="1385"/>
      <c r="M159" s="1214"/>
      <c r="N159" s="1214"/>
      <c r="O159" s="1214"/>
      <c r="P159" s="1214"/>
      <c r="Q159" s="1214"/>
    </row>
    <row r="160" spans="1:17" s="1199" customFormat="1" ht="24" customHeight="1">
      <c r="A160" s="1440"/>
      <c r="B160" s="1441"/>
      <c r="C160" s="1442"/>
      <c r="D160" s="1442"/>
      <c r="E160" s="1443"/>
      <c r="F160" s="1507"/>
      <c r="G160" s="1445"/>
      <c r="H160" s="1446"/>
      <c r="I160" s="1447"/>
      <c r="J160" s="1448"/>
      <c r="K160" s="1448"/>
      <c r="L160" s="1448"/>
      <c r="M160" s="1214"/>
      <c r="N160" s="1214"/>
      <c r="O160" s="1214"/>
      <c r="P160" s="1214"/>
    </row>
    <row r="161" spans="1:17" s="1199" customFormat="1" ht="24" customHeight="1">
      <c r="A161" s="1243"/>
      <c r="B161" s="2257" t="str">
        <f>"รวมราคารายการที่ "&amp;A140</f>
        <v>รวมราคารายการที่ 3.5</v>
      </c>
      <c r="C161" s="2258"/>
      <c r="D161" s="2259"/>
      <c r="E161" s="1244"/>
      <c r="F161" s="1245"/>
      <c r="G161" s="1246"/>
      <c r="H161" s="1247">
        <f>SUM(H141:H158)</f>
        <v>40280</v>
      </c>
      <c r="I161" s="1246"/>
      <c r="J161" s="1247">
        <f>SUM(J141:J158)</f>
        <v>12933</v>
      </c>
      <c r="K161" s="1247">
        <f>SUM(K141:K158)</f>
        <v>53213</v>
      </c>
      <c r="L161" s="1245"/>
      <c r="M161" s="1214"/>
      <c r="N161" s="1214"/>
      <c r="O161" s="1214"/>
      <c r="P161" s="1214"/>
      <c r="Q161" s="1214"/>
    </row>
    <row r="162" spans="1:17" s="1199" customFormat="1" ht="24" customHeight="1">
      <c r="A162" s="1435" t="s">
        <v>1465</v>
      </c>
      <c r="B162" s="1436" t="s">
        <v>1451</v>
      </c>
      <c r="C162" s="1202"/>
      <c r="D162" s="1202"/>
      <c r="E162" s="1387"/>
      <c r="F162" s="1384"/>
      <c r="G162" s="2176"/>
      <c r="H162" s="1388"/>
      <c r="I162" s="2177"/>
      <c r="J162" s="1385"/>
      <c r="K162" s="1385"/>
      <c r="L162" s="1385"/>
      <c r="M162" s="1214"/>
      <c r="N162" s="1214"/>
      <c r="O162" s="1214"/>
      <c r="P162" s="1214"/>
      <c r="Q162" s="1214"/>
    </row>
    <row r="163" spans="1:17" s="1199" customFormat="1" ht="24" customHeight="1">
      <c r="A163" s="1331" t="s">
        <v>1207</v>
      </c>
      <c r="B163" s="2174" t="s">
        <v>1451</v>
      </c>
      <c r="C163" s="1202"/>
      <c r="D163" s="1202"/>
      <c r="E163" s="1387"/>
      <c r="F163" s="1384"/>
      <c r="G163" s="2176"/>
      <c r="H163" s="1388"/>
      <c r="I163" s="2177"/>
      <c r="J163" s="1385"/>
      <c r="K163" s="1385"/>
      <c r="L163" s="1385"/>
      <c r="M163" s="1214"/>
      <c r="N163" s="1214"/>
      <c r="O163" s="1214"/>
      <c r="P163" s="1214"/>
      <c r="Q163" s="1214"/>
    </row>
    <row r="164" spans="1:17" s="1199" customFormat="1" ht="24" customHeight="1">
      <c r="A164" s="1331"/>
      <c r="B164" s="2174" t="s">
        <v>1452</v>
      </c>
      <c r="C164" s="1202"/>
      <c r="D164" s="1202"/>
      <c r="E164" s="1387">
        <v>6</v>
      </c>
      <c r="F164" s="1207" t="s">
        <v>363</v>
      </c>
      <c r="G164" s="2176">
        <v>90</v>
      </c>
      <c r="H164" s="1264">
        <f t="shared" ref="H164:H173" si="26">ROUND(E164*G164,)</f>
        <v>540</v>
      </c>
      <c r="I164" s="2177">
        <v>80</v>
      </c>
      <c r="J164" s="1264">
        <f t="shared" ref="J164:J173" si="27">ROUND(E164*I164,)</f>
        <v>480</v>
      </c>
      <c r="K164" s="1273">
        <f t="shared" ref="K164:K173" si="28">H164+J164</f>
        <v>1020</v>
      </c>
      <c r="L164" s="1389"/>
      <c r="M164" s="1214"/>
      <c r="N164" s="1214"/>
      <c r="O164" s="1214"/>
    </row>
    <row r="165" spans="1:17" s="1199" customFormat="1" ht="24" customHeight="1">
      <c r="A165" s="1331"/>
      <c r="B165" s="2174" t="s">
        <v>1453</v>
      </c>
      <c r="C165" s="1202"/>
      <c r="D165" s="1202"/>
      <c r="E165" s="1387"/>
      <c r="F165" s="1207" t="s">
        <v>363</v>
      </c>
      <c r="G165" s="2176">
        <v>130</v>
      </c>
      <c r="H165" s="1264">
        <f t="shared" si="26"/>
        <v>0</v>
      </c>
      <c r="I165" s="2177">
        <v>90</v>
      </c>
      <c r="J165" s="1264">
        <f t="shared" si="27"/>
        <v>0</v>
      </c>
      <c r="K165" s="1273">
        <f t="shared" si="28"/>
        <v>0</v>
      </c>
      <c r="L165" s="1389"/>
      <c r="M165" s="1214"/>
      <c r="N165" s="1214"/>
      <c r="O165" s="1214"/>
    </row>
    <row r="166" spans="1:17" s="1199" customFormat="1" ht="24" customHeight="1">
      <c r="A166" s="1331"/>
      <c r="B166" s="2174" t="s">
        <v>1454</v>
      </c>
      <c r="C166" s="1202"/>
      <c r="D166" s="1202"/>
      <c r="E166" s="1387"/>
      <c r="F166" s="1207" t="s">
        <v>363</v>
      </c>
      <c r="G166" s="2176">
        <v>240</v>
      </c>
      <c r="H166" s="1264">
        <f t="shared" si="26"/>
        <v>0</v>
      </c>
      <c r="I166" s="2177">
        <v>90</v>
      </c>
      <c r="J166" s="1264">
        <f t="shared" si="27"/>
        <v>0</v>
      </c>
      <c r="K166" s="1273">
        <f t="shared" si="28"/>
        <v>0</v>
      </c>
      <c r="L166" s="1389"/>
      <c r="M166" s="1214"/>
      <c r="N166" s="1214"/>
      <c r="O166" s="1214"/>
    </row>
    <row r="167" spans="1:17" s="1199" customFormat="1" ht="24" customHeight="1">
      <c r="A167" s="1331"/>
      <c r="B167" s="2174" t="s">
        <v>1455</v>
      </c>
      <c r="C167" s="1202"/>
      <c r="D167" s="1202"/>
      <c r="E167" s="1387"/>
      <c r="F167" s="1207" t="s">
        <v>363</v>
      </c>
      <c r="G167" s="2176">
        <v>162</v>
      </c>
      <c r="H167" s="1264">
        <f t="shared" si="26"/>
        <v>0</v>
      </c>
      <c r="I167" s="2177">
        <v>90</v>
      </c>
      <c r="J167" s="1264">
        <f t="shared" si="27"/>
        <v>0</v>
      </c>
      <c r="K167" s="1273">
        <f t="shared" si="28"/>
        <v>0</v>
      </c>
      <c r="L167" s="1389"/>
      <c r="M167" s="1214"/>
      <c r="N167" s="1214"/>
      <c r="O167" s="1214"/>
    </row>
    <row r="168" spans="1:17" s="1199" customFormat="1" ht="24" customHeight="1">
      <c r="A168" s="1331"/>
      <c r="B168" s="2174" t="s">
        <v>1456</v>
      </c>
      <c r="C168" s="1202"/>
      <c r="D168" s="1202"/>
      <c r="E168" s="1387">
        <v>8</v>
      </c>
      <c r="F168" s="1207" t="s">
        <v>363</v>
      </c>
      <c r="G168" s="2176">
        <v>197</v>
      </c>
      <c r="H168" s="1264">
        <f t="shared" si="26"/>
        <v>1576</v>
      </c>
      <c r="I168" s="2177">
        <v>90</v>
      </c>
      <c r="J168" s="1264">
        <f t="shared" si="27"/>
        <v>720</v>
      </c>
      <c r="K168" s="1273">
        <f t="shared" si="28"/>
        <v>2296</v>
      </c>
      <c r="L168" s="1389"/>
      <c r="M168" s="1214"/>
      <c r="N168" s="1214"/>
      <c r="O168" s="1214"/>
    </row>
    <row r="169" spans="1:17" s="1199" customFormat="1" ht="24" customHeight="1">
      <c r="A169" s="1331"/>
      <c r="B169" s="2174" t="s">
        <v>1457</v>
      </c>
      <c r="C169" s="1202"/>
      <c r="D169" s="1202"/>
      <c r="E169" s="1387"/>
      <c r="F169" s="1207" t="s">
        <v>363</v>
      </c>
      <c r="G169" s="2176">
        <v>1500</v>
      </c>
      <c r="H169" s="1264">
        <f t="shared" si="26"/>
        <v>0</v>
      </c>
      <c r="I169" s="2177">
        <v>265</v>
      </c>
      <c r="J169" s="1264">
        <f t="shared" si="27"/>
        <v>0</v>
      </c>
      <c r="K169" s="1385">
        <f t="shared" si="28"/>
        <v>0</v>
      </c>
      <c r="L169" s="1389"/>
      <c r="M169" s="1214"/>
      <c r="N169" s="1214"/>
      <c r="O169" s="1214"/>
    </row>
    <row r="170" spans="1:17" s="1199" customFormat="1" ht="24" customHeight="1">
      <c r="A170" s="1331"/>
      <c r="B170" s="2174" t="s">
        <v>1458</v>
      </c>
      <c r="C170" s="1202"/>
      <c r="D170" s="1202"/>
      <c r="E170" s="1387"/>
      <c r="F170" s="1207" t="s">
        <v>363</v>
      </c>
      <c r="G170" s="2176">
        <v>518</v>
      </c>
      <c r="H170" s="1264">
        <f t="shared" si="26"/>
        <v>0</v>
      </c>
      <c r="I170" s="2177">
        <v>115</v>
      </c>
      <c r="J170" s="1264">
        <f t="shared" si="27"/>
        <v>0</v>
      </c>
      <c r="K170" s="1273">
        <f t="shared" si="28"/>
        <v>0</v>
      </c>
      <c r="L170" s="1389"/>
      <c r="M170" s="1214"/>
      <c r="N170" s="1214"/>
      <c r="O170" s="1214"/>
    </row>
    <row r="171" spans="1:17" s="1199" customFormat="1" ht="24" customHeight="1">
      <c r="A171" s="1331"/>
      <c r="B171" s="2174" t="s">
        <v>1459</v>
      </c>
      <c r="C171" s="1202"/>
      <c r="D171" s="1202"/>
      <c r="E171" s="1387"/>
      <c r="F171" s="1207" t="s">
        <v>363</v>
      </c>
      <c r="G171" s="2176">
        <v>850</v>
      </c>
      <c r="H171" s="1264">
        <f t="shared" si="26"/>
        <v>0</v>
      </c>
      <c r="I171" s="2177">
        <v>265</v>
      </c>
      <c r="J171" s="1264">
        <f t="shared" si="27"/>
        <v>0</v>
      </c>
      <c r="K171" s="1273">
        <f t="shared" si="28"/>
        <v>0</v>
      </c>
      <c r="L171" s="1389"/>
      <c r="M171" s="1214"/>
      <c r="N171" s="1214"/>
      <c r="O171" s="1214"/>
    </row>
    <row r="172" spans="1:17" s="1199" customFormat="1" ht="24" customHeight="1">
      <c r="A172" s="1331" t="s">
        <v>1229</v>
      </c>
      <c r="B172" s="2174" t="s">
        <v>1460</v>
      </c>
      <c r="C172" s="1202"/>
      <c r="D172" s="1202"/>
      <c r="E172" s="1387">
        <v>2</v>
      </c>
      <c r="F172" s="1207" t="s">
        <v>363</v>
      </c>
      <c r="G172" s="2176">
        <v>130</v>
      </c>
      <c r="H172" s="1264">
        <f t="shared" si="26"/>
        <v>260</v>
      </c>
      <c r="I172" s="2177">
        <v>90</v>
      </c>
      <c r="J172" s="1264">
        <f t="shared" si="27"/>
        <v>180</v>
      </c>
      <c r="K172" s="1273">
        <f t="shared" si="28"/>
        <v>440</v>
      </c>
      <c r="L172" s="1385"/>
      <c r="M172" s="1214"/>
      <c r="N172" s="1214"/>
      <c r="O172" s="1214"/>
      <c r="P172" s="1214"/>
      <c r="Q172" s="1214"/>
    </row>
    <row r="173" spans="1:17" s="1199" customFormat="1" ht="24" customHeight="1">
      <c r="A173" s="1331" t="s">
        <v>1234</v>
      </c>
      <c r="B173" s="2174" t="s">
        <v>1636</v>
      </c>
      <c r="C173" s="1202"/>
      <c r="D173" s="1202"/>
      <c r="E173" s="1387"/>
      <c r="F173" s="1207" t="s">
        <v>363</v>
      </c>
      <c r="G173" s="2176">
        <v>150</v>
      </c>
      <c r="H173" s="1264">
        <f t="shared" si="26"/>
        <v>0</v>
      </c>
      <c r="I173" s="2177">
        <v>90</v>
      </c>
      <c r="J173" s="1264">
        <f t="shared" si="27"/>
        <v>0</v>
      </c>
      <c r="K173" s="1273">
        <f t="shared" si="28"/>
        <v>0</v>
      </c>
      <c r="L173" s="1385"/>
      <c r="M173" s="1214"/>
      <c r="N173" s="1214"/>
      <c r="O173" s="1214"/>
      <c r="P173" s="1214"/>
      <c r="Q173" s="1214"/>
    </row>
    <row r="174" spans="1:17" s="1199" customFormat="1" ht="24" customHeight="1">
      <c r="A174" s="1331"/>
      <c r="B174" s="2174" t="s">
        <v>1117</v>
      </c>
      <c r="C174" s="1202"/>
      <c r="D174" s="1202"/>
      <c r="E174" s="1387"/>
      <c r="F174" s="1384"/>
      <c r="G174" s="2176"/>
      <c r="H174" s="1388"/>
      <c r="I174" s="2177"/>
      <c r="J174" s="1385"/>
      <c r="K174" s="1385"/>
      <c r="L174" s="1385"/>
      <c r="M174" s="1214"/>
      <c r="N174" s="1214"/>
      <c r="O174" s="1214"/>
      <c r="P174" s="1214"/>
      <c r="Q174" s="1214"/>
    </row>
    <row r="175" spans="1:17" s="1199" customFormat="1" ht="24" customHeight="1">
      <c r="A175" s="1331"/>
      <c r="B175" s="2174" t="s">
        <v>1118</v>
      </c>
      <c r="C175" s="1202"/>
      <c r="D175" s="1202"/>
      <c r="E175" s="1387"/>
      <c r="F175" s="1384"/>
      <c r="G175" s="2176"/>
      <c r="H175" s="1388"/>
      <c r="I175" s="2177"/>
      <c r="J175" s="1385"/>
      <c r="K175" s="1385"/>
      <c r="L175" s="1385"/>
      <c r="M175" s="1214"/>
      <c r="N175" s="1214"/>
      <c r="O175" s="1214"/>
      <c r="P175" s="1214"/>
      <c r="Q175" s="1214"/>
    </row>
    <row r="176" spans="1:17" s="1199" customFormat="1" ht="24" customHeight="1">
      <c r="A176" s="1331"/>
      <c r="B176" s="2174" t="s">
        <v>1118</v>
      </c>
      <c r="C176" s="1202"/>
      <c r="D176" s="1202"/>
      <c r="E176" s="1387"/>
      <c r="F176" s="1384"/>
      <c r="G176" s="2176"/>
      <c r="H176" s="1388"/>
      <c r="I176" s="2177"/>
      <c r="J176" s="1385"/>
      <c r="K176" s="1385"/>
      <c r="L176" s="1385"/>
      <c r="M176" s="1214"/>
      <c r="N176" s="1214"/>
      <c r="O176" s="1214"/>
      <c r="P176" s="1214"/>
      <c r="Q176" s="1214"/>
    </row>
    <row r="177" spans="1:17" s="1199" customFormat="1" ht="24" customHeight="1">
      <c r="A177" s="1331"/>
      <c r="B177" s="2174"/>
      <c r="C177" s="1202"/>
      <c r="D177" s="1202"/>
      <c r="E177" s="1387"/>
      <c r="F177" s="1384"/>
      <c r="G177" s="2176"/>
      <c r="H177" s="1388"/>
      <c r="I177" s="2177"/>
      <c r="J177" s="1385"/>
      <c r="K177" s="1385"/>
      <c r="L177" s="1385"/>
      <c r="M177" s="1214"/>
      <c r="N177" s="1214"/>
      <c r="O177" s="1214"/>
      <c r="P177" s="1214"/>
      <c r="Q177" s="1214"/>
    </row>
    <row r="178" spans="1:17" s="1199" customFormat="1" ht="24" customHeight="1">
      <c r="A178" s="1243"/>
      <c r="B178" s="2257" t="str">
        <f>"รวมราคารายการที่ "&amp;A162</f>
        <v>รวมราคารายการที่ 3.6</v>
      </c>
      <c r="C178" s="2258"/>
      <c r="D178" s="2259"/>
      <c r="E178" s="1244"/>
      <c r="F178" s="1245"/>
      <c r="G178" s="1246"/>
      <c r="H178" s="1247">
        <f>SUM(H163:H177)</f>
        <v>2376</v>
      </c>
      <c r="I178" s="1246"/>
      <c r="J178" s="1247">
        <f t="shared" ref="J178:K178" si="29">SUM(J163:J177)</f>
        <v>1380</v>
      </c>
      <c r="K178" s="1247">
        <f t="shared" si="29"/>
        <v>3756</v>
      </c>
      <c r="L178" s="1245"/>
      <c r="M178" s="1214"/>
      <c r="N178" s="1214"/>
      <c r="O178" s="1214"/>
      <c r="P178" s="1214"/>
      <c r="Q178" s="1214"/>
    </row>
    <row r="179" spans="1:17" s="1199" customFormat="1" ht="24" customHeight="1">
      <c r="A179" s="1435" t="s">
        <v>1490</v>
      </c>
      <c r="B179" s="1436" t="s">
        <v>1466</v>
      </c>
      <c r="C179" s="1202"/>
      <c r="D179" s="1202"/>
      <c r="E179" s="1387"/>
      <c r="F179" s="1207"/>
      <c r="G179" s="2176"/>
      <c r="H179" s="1264"/>
      <c r="I179" s="2177"/>
      <c r="J179" s="1264"/>
      <c r="K179" s="1273"/>
      <c r="L179" s="1385"/>
      <c r="M179" s="1214"/>
      <c r="N179" s="1214"/>
      <c r="O179" s="1214"/>
      <c r="P179" s="1214"/>
      <c r="Q179" s="1214"/>
    </row>
    <row r="180" spans="1:17" s="1199" customFormat="1" ht="24" customHeight="1">
      <c r="A180" s="1339"/>
      <c r="B180" s="1259" t="s">
        <v>1467</v>
      </c>
      <c r="C180" s="1202"/>
      <c r="D180" s="1202"/>
      <c r="E180" s="1404">
        <v>12</v>
      </c>
      <c r="F180" s="1267" t="s">
        <v>363</v>
      </c>
      <c r="G180" s="1386">
        <v>420</v>
      </c>
      <c r="H180" s="1343">
        <f t="shared" ref="H180:H203" si="30">ROUND(E180*G180,)</f>
        <v>5040</v>
      </c>
      <c r="I180" s="1414">
        <v>115</v>
      </c>
      <c r="J180" s="1343">
        <f t="shared" ref="J180:J203" si="31">ROUND(E180*I180,)</f>
        <v>1380</v>
      </c>
      <c r="K180" s="1262">
        <f t="shared" ref="K180:K203" si="32">H180+J180</f>
        <v>6420</v>
      </c>
      <c r="L180" s="1415"/>
      <c r="M180" s="1214"/>
      <c r="N180" s="1214"/>
      <c r="O180" s="1214"/>
      <c r="P180" s="1214"/>
    </row>
    <row r="181" spans="1:17" s="1199" customFormat="1" ht="24" customHeight="1">
      <c r="A181" s="1339"/>
      <c r="B181" s="1259" t="s">
        <v>1468</v>
      </c>
      <c r="C181" s="1202"/>
      <c r="D181" s="1202"/>
      <c r="E181" s="1404">
        <v>4</v>
      </c>
      <c r="F181" s="1267" t="s">
        <v>363</v>
      </c>
      <c r="G181" s="1386">
        <v>500</v>
      </c>
      <c r="H181" s="1343">
        <f t="shared" si="30"/>
        <v>2000</v>
      </c>
      <c r="I181" s="1414">
        <v>115</v>
      </c>
      <c r="J181" s="1343">
        <f t="shared" si="31"/>
        <v>460</v>
      </c>
      <c r="K181" s="1262">
        <f t="shared" si="32"/>
        <v>2460</v>
      </c>
      <c r="L181" s="1415"/>
      <c r="M181" s="1214"/>
      <c r="N181" s="1214"/>
      <c r="O181" s="1214"/>
      <c r="P181" s="1214"/>
    </row>
    <row r="182" spans="1:17" s="1199" customFormat="1" ht="24" customHeight="1">
      <c r="A182" s="1339"/>
      <c r="B182" s="1259" t="s">
        <v>1469</v>
      </c>
      <c r="C182" s="1202"/>
      <c r="D182" s="1202"/>
      <c r="E182" s="1404"/>
      <c r="F182" s="1267" t="s">
        <v>363</v>
      </c>
      <c r="G182" s="1386">
        <v>550</v>
      </c>
      <c r="H182" s="1343">
        <f t="shared" si="30"/>
        <v>0</v>
      </c>
      <c r="I182" s="1414">
        <v>115</v>
      </c>
      <c r="J182" s="1343">
        <f t="shared" si="31"/>
        <v>0</v>
      </c>
      <c r="K182" s="1262">
        <f t="shared" si="32"/>
        <v>0</v>
      </c>
      <c r="L182" s="1415"/>
      <c r="M182" s="1214"/>
      <c r="N182" s="1214"/>
      <c r="O182" s="1214"/>
      <c r="P182" s="1214"/>
    </row>
    <row r="183" spans="1:17" s="1199" customFormat="1" ht="24" customHeight="1">
      <c r="A183" s="1339"/>
      <c r="B183" s="1259" t="s">
        <v>1470</v>
      </c>
      <c r="C183" s="1202"/>
      <c r="D183" s="1202"/>
      <c r="E183" s="1404"/>
      <c r="F183" s="1267" t="s">
        <v>363</v>
      </c>
      <c r="G183" s="1386">
        <v>750</v>
      </c>
      <c r="H183" s="1343">
        <f t="shared" si="30"/>
        <v>0</v>
      </c>
      <c r="I183" s="1414">
        <v>135</v>
      </c>
      <c r="J183" s="1343">
        <f t="shared" si="31"/>
        <v>0</v>
      </c>
      <c r="K183" s="1262">
        <f t="shared" si="32"/>
        <v>0</v>
      </c>
      <c r="L183" s="1415"/>
      <c r="M183" s="1214"/>
      <c r="N183" s="1214"/>
      <c r="O183" s="1214"/>
      <c r="P183" s="1214"/>
    </row>
    <row r="184" spans="1:17" s="1199" customFormat="1" ht="24" customHeight="1">
      <c r="A184" s="1339"/>
      <c r="B184" s="1259" t="s">
        <v>1471</v>
      </c>
      <c r="C184" s="1202"/>
      <c r="D184" s="1202"/>
      <c r="E184" s="1404"/>
      <c r="F184" s="1267" t="s">
        <v>363</v>
      </c>
      <c r="G184" s="1386">
        <v>1550</v>
      </c>
      <c r="H184" s="1343">
        <f t="shared" si="30"/>
        <v>0</v>
      </c>
      <c r="I184" s="1414">
        <v>135</v>
      </c>
      <c r="J184" s="1343">
        <f t="shared" si="31"/>
        <v>0</v>
      </c>
      <c r="K184" s="1262">
        <f t="shared" si="32"/>
        <v>0</v>
      </c>
      <c r="L184" s="1415"/>
      <c r="M184" s="1214"/>
      <c r="N184" s="1214"/>
      <c r="O184" s="1214"/>
      <c r="P184" s="1214"/>
    </row>
    <row r="185" spans="1:17" s="1199" customFormat="1" ht="24" customHeight="1">
      <c r="A185" s="1339"/>
      <c r="B185" s="1259" t="s">
        <v>1472</v>
      </c>
      <c r="C185" s="1202"/>
      <c r="D185" s="1202"/>
      <c r="E185" s="1404"/>
      <c r="F185" s="1267" t="s">
        <v>363</v>
      </c>
      <c r="G185" s="1386">
        <v>2090</v>
      </c>
      <c r="H185" s="1343">
        <f t="shared" si="30"/>
        <v>0</v>
      </c>
      <c r="I185" s="1414">
        <v>135</v>
      </c>
      <c r="J185" s="1343">
        <f t="shared" si="31"/>
        <v>0</v>
      </c>
      <c r="K185" s="1262">
        <f t="shared" si="32"/>
        <v>0</v>
      </c>
      <c r="L185" s="1415"/>
      <c r="M185" s="1214"/>
      <c r="N185" s="1214"/>
      <c r="O185" s="1214"/>
      <c r="P185" s="1214"/>
    </row>
    <row r="186" spans="1:17" s="1199" customFormat="1" ht="24" customHeight="1">
      <c r="A186" s="1339"/>
      <c r="B186" s="1259" t="s">
        <v>1473</v>
      </c>
      <c r="C186" s="1202"/>
      <c r="D186" s="1202"/>
      <c r="E186" s="1404"/>
      <c r="F186" s="1267" t="s">
        <v>363</v>
      </c>
      <c r="G186" s="1386">
        <v>3750</v>
      </c>
      <c r="H186" s="1343">
        <f t="shared" si="30"/>
        <v>0</v>
      </c>
      <c r="I186" s="1414">
        <v>135</v>
      </c>
      <c r="J186" s="1343">
        <f t="shared" si="31"/>
        <v>0</v>
      </c>
      <c r="K186" s="1262">
        <f t="shared" si="32"/>
        <v>0</v>
      </c>
      <c r="L186" s="1415"/>
      <c r="M186" s="1214"/>
      <c r="N186" s="1214"/>
      <c r="O186" s="1214"/>
      <c r="P186" s="1214"/>
    </row>
    <row r="187" spans="1:17" s="1199" customFormat="1" ht="24" customHeight="1">
      <c r="A187" s="1339"/>
      <c r="B187" s="1259" t="s">
        <v>1474</v>
      </c>
      <c r="C187" s="1202"/>
      <c r="D187" s="1202"/>
      <c r="E187" s="1404"/>
      <c r="F187" s="1267" t="s">
        <v>363</v>
      </c>
      <c r="G187" s="1386">
        <v>2450</v>
      </c>
      <c r="H187" s="1343">
        <f t="shared" si="30"/>
        <v>0</v>
      </c>
      <c r="I187" s="1414">
        <v>135</v>
      </c>
      <c r="J187" s="1343">
        <f t="shared" si="31"/>
        <v>0</v>
      </c>
      <c r="K187" s="1262">
        <f t="shared" si="32"/>
        <v>0</v>
      </c>
      <c r="L187" s="1415"/>
      <c r="M187" s="1214"/>
      <c r="N187" s="1214"/>
      <c r="O187" s="1214"/>
      <c r="P187" s="1214"/>
    </row>
    <row r="188" spans="1:17" s="1199" customFormat="1" ht="24" customHeight="1">
      <c r="A188" s="1339"/>
      <c r="B188" s="1259" t="s">
        <v>1475</v>
      </c>
      <c r="C188" s="1202"/>
      <c r="D188" s="1202"/>
      <c r="E188" s="1404"/>
      <c r="F188" s="1267" t="s">
        <v>363</v>
      </c>
      <c r="G188" s="1386">
        <v>1860</v>
      </c>
      <c r="H188" s="1343">
        <f t="shared" si="30"/>
        <v>0</v>
      </c>
      <c r="I188" s="1414">
        <v>135</v>
      </c>
      <c r="J188" s="1343">
        <f t="shared" si="31"/>
        <v>0</v>
      </c>
      <c r="K188" s="1262">
        <f t="shared" si="32"/>
        <v>0</v>
      </c>
      <c r="L188" s="1415"/>
      <c r="M188" s="1214"/>
      <c r="N188" s="1214"/>
      <c r="O188" s="1214"/>
      <c r="P188" s="1214"/>
    </row>
    <row r="189" spans="1:17" s="1199" customFormat="1" ht="24" customHeight="1">
      <c r="A189" s="1339"/>
      <c r="B189" s="1259" t="s">
        <v>1476</v>
      </c>
      <c r="C189" s="1202"/>
      <c r="D189" s="1202"/>
      <c r="E189" s="1404"/>
      <c r="F189" s="1267" t="s">
        <v>363</v>
      </c>
      <c r="G189" s="1386">
        <v>1200</v>
      </c>
      <c r="H189" s="1343">
        <f t="shared" si="30"/>
        <v>0</v>
      </c>
      <c r="I189" s="1414">
        <v>135</v>
      </c>
      <c r="J189" s="1343">
        <f t="shared" si="31"/>
        <v>0</v>
      </c>
      <c r="K189" s="1262">
        <f t="shared" si="32"/>
        <v>0</v>
      </c>
      <c r="L189" s="1415"/>
      <c r="M189" s="1214"/>
      <c r="N189" s="1214"/>
      <c r="O189" s="1214"/>
      <c r="P189" s="1214"/>
    </row>
    <row r="190" spans="1:17" s="1199" customFormat="1" ht="24" customHeight="1">
      <c r="A190" s="1339"/>
      <c r="B190" s="1259" t="s">
        <v>1477</v>
      </c>
      <c r="C190" s="1202"/>
      <c r="D190" s="1202"/>
      <c r="E190" s="1404"/>
      <c r="F190" s="1267" t="s">
        <v>363</v>
      </c>
      <c r="G190" s="1386">
        <v>1450</v>
      </c>
      <c r="H190" s="1343">
        <f t="shared" si="30"/>
        <v>0</v>
      </c>
      <c r="I190" s="1414">
        <v>135</v>
      </c>
      <c r="J190" s="1343">
        <f t="shared" si="31"/>
        <v>0</v>
      </c>
      <c r="K190" s="1262">
        <f t="shared" si="32"/>
        <v>0</v>
      </c>
      <c r="L190" s="1415"/>
      <c r="M190" s="1214"/>
      <c r="N190" s="1214"/>
      <c r="O190" s="1214"/>
      <c r="P190" s="1214"/>
    </row>
    <row r="191" spans="1:17" s="1199" customFormat="1" ht="24" customHeight="1">
      <c r="A191" s="1339"/>
      <c r="B191" s="1259" t="s">
        <v>1478</v>
      </c>
      <c r="C191" s="1202"/>
      <c r="D191" s="1202"/>
      <c r="E191" s="1404"/>
      <c r="F191" s="1267" t="s">
        <v>363</v>
      </c>
      <c r="G191" s="1386">
        <v>1250</v>
      </c>
      <c r="H191" s="1343">
        <f t="shared" si="30"/>
        <v>0</v>
      </c>
      <c r="I191" s="1414">
        <v>135</v>
      </c>
      <c r="J191" s="1343">
        <f t="shared" si="31"/>
        <v>0</v>
      </c>
      <c r="K191" s="1262">
        <f t="shared" si="32"/>
        <v>0</v>
      </c>
      <c r="L191" s="1415"/>
      <c r="M191" s="1214"/>
      <c r="N191" s="1214"/>
      <c r="O191" s="1214"/>
      <c r="P191" s="1214"/>
    </row>
    <row r="192" spans="1:17" s="1199" customFormat="1" ht="24" customHeight="1">
      <c r="A192" s="1339"/>
      <c r="B192" s="1259" t="s">
        <v>1479</v>
      </c>
      <c r="C192" s="1202"/>
      <c r="D192" s="1202"/>
      <c r="E192" s="1404"/>
      <c r="F192" s="1267" t="s">
        <v>363</v>
      </c>
      <c r="G192" s="1386">
        <v>650</v>
      </c>
      <c r="H192" s="1343">
        <f t="shared" si="30"/>
        <v>0</v>
      </c>
      <c r="I192" s="1414">
        <v>20</v>
      </c>
      <c r="J192" s="1343">
        <f t="shared" si="31"/>
        <v>0</v>
      </c>
      <c r="K192" s="1262">
        <f t="shared" si="32"/>
        <v>0</v>
      </c>
      <c r="L192" s="1415"/>
      <c r="M192" s="1214"/>
      <c r="N192" s="1214"/>
      <c r="O192" s="1214"/>
      <c r="P192" s="1214"/>
    </row>
    <row r="193" spans="1:17" s="1199" customFormat="1" ht="24" customHeight="1">
      <c r="A193" s="1339"/>
      <c r="B193" s="1259" t="s">
        <v>1480</v>
      </c>
      <c r="C193" s="1202"/>
      <c r="D193" s="1202"/>
      <c r="E193" s="1404"/>
      <c r="F193" s="1267" t="s">
        <v>363</v>
      </c>
      <c r="G193" s="1386">
        <v>2565</v>
      </c>
      <c r="H193" s="1343">
        <f t="shared" si="30"/>
        <v>0</v>
      </c>
      <c r="I193" s="1414">
        <v>135</v>
      </c>
      <c r="J193" s="1343">
        <f t="shared" si="31"/>
        <v>0</v>
      </c>
      <c r="K193" s="1262">
        <f t="shared" si="32"/>
        <v>0</v>
      </c>
      <c r="L193" s="1415"/>
      <c r="M193" s="1214"/>
      <c r="N193" s="1214"/>
      <c r="O193" s="1214"/>
      <c r="P193" s="1214"/>
    </row>
    <row r="194" spans="1:17" s="1199" customFormat="1" ht="24" customHeight="1">
      <c r="A194" s="1339"/>
      <c r="B194" s="1259" t="s">
        <v>1481</v>
      </c>
      <c r="C194" s="1202"/>
      <c r="D194" s="1202"/>
      <c r="E194" s="1404"/>
      <c r="F194" s="1267" t="s">
        <v>363</v>
      </c>
      <c r="G194" s="1386">
        <v>1200</v>
      </c>
      <c r="H194" s="1343">
        <f t="shared" si="30"/>
        <v>0</v>
      </c>
      <c r="I194" s="1414">
        <v>135</v>
      </c>
      <c r="J194" s="1343">
        <f t="shared" si="31"/>
        <v>0</v>
      </c>
      <c r="K194" s="1262">
        <f t="shared" si="32"/>
        <v>0</v>
      </c>
      <c r="L194" s="1415"/>
      <c r="M194" s="1214"/>
      <c r="N194" s="1214"/>
      <c r="O194" s="1214"/>
      <c r="P194" s="1214"/>
    </row>
    <row r="195" spans="1:17" s="1199" customFormat="1" ht="24" customHeight="1">
      <c r="A195" s="1339"/>
      <c r="B195" s="1259" t="s">
        <v>1482</v>
      </c>
      <c r="C195" s="1202"/>
      <c r="D195" s="1202"/>
      <c r="E195" s="1404"/>
      <c r="F195" s="1267" t="s">
        <v>363</v>
      </c>
      <c r="G195" s="1386">
        <v>1200</v>
      </c>
      <c r="H195" s="1343">
        <f t="shared" si="30"/>
        <v>0</v>
      </c>
      <c r="I195" s="1414">
        <v>135</v>
      </c>
      <c r="J195" s="1343">
        <f t="shared" si="31"/>
        <v>0</v>
      </c>
      <c r="K195" s="1262">
        <f t="shared" si="32"/>
        <v>0</v>
      </c>
      <c r="L195" s="1415"/>
      <c r="M195" s="1214"/>
      <c r="N195" s="1214"/>
      <c r="O195" s="1214"/>
      <c r="P195" s="1214"/>
    </row>
    <row r="196" spans="1:17" s="1199" customFormat="1" ht="24" customHeight="1">
      <c r="A196" s="1339"/>
      <c r="B196" s="1259" t="s">
        <v>1483</v>
      </c>
      <c r="C196" s="1202"/>
      <c r="D196" s="1202"/>
      <c r="E196" s="1404"/>
      <c r="F196" s="1267" t="s">
        <v>363</v>
      </c>
      <c r="G196" s="1386">
        <v>1860</v>
      </c>
      <c r="H196" s="1343">
        <f t="shared" si="30"/>
        <v>0</v>
      </c>
      <c r="I196" s="1414">
        <v>135</v>
      </c>
      <c r="J196" s="1343">
        <f t="shared" si="31"/>
        <v>0</v>
      </c>
      <c r="K196" s="1262">
        <f t="shared" si="32"/>
        <v>0</v>
      </c>
      <c r="L196" s="1415"/>
      <c r="M196" s="1214"/>
      <c r="N196" s="1214"/>
      <c r="O196" s="1214"/>
      <c r="P196" s="1214"/>
    </row>
    <row r="197" spans="1:17" s="1199" customFormat="1" ht="24" customHeight="1">
      <c r="A197" s="1339"/>
      <c r="B197" s="1259" t="s">
        <v>1484</v>
      </c>
      <c r="C197" s="1202"/>
      <c r="D197" s="1202"/>
      <c r="E197" s="1404"/>
      <c r="F197" s="1267" t="s">
        <v>363</v>
      </c>
      <c r="G197" s="1386">
        <v>1200</v>
      </c>
      <c r="H197" s="1343">
        <f t="shared" si="30"/>
        <v>0</v>
      </c>
      <c r="I197" s="1414">
        <v>135</v>
      </c>
      <c r="J197" s="1343">
        <f t="shared" si="31"/>
        <v>0</v>
      </c>
      <c r="K197" s="1262">
        <f t="shared" si="32"/>
        <v>0</v>
      </c>
      <c r="L197" s="1415"/>
      <c r="M197" s="1214"/>
      <c r="N197" s="1214"/>
      <c r="O197" s="1214"/>
      <c r="P197" s="1214"/>
    </row>
    <row r="198" spans="1:17" s="1199" customFormat="1" ht="24" customHeight="1">
      <c r="A198" s="1339"/>
      <c r="B198" s="1259" t="s">
        <v>1485</v>
      </c>
      <c r="C198" s="1202"/>
      <c r="D198" s="1202"/>
      <c r="E198" s="1404"/>
      <c r="F198" s="1267" t="s">
        <v>363</v>
      </c>
      <c r="G198" s="1386">
        <v>1200</v>
      </c>
      <c r="H198" s="1343">
        <f t="shared" si="30"/>
        <v>0</v>
      </c>
      <c r="I198" s="1414">
        <v>135</v>
      </c>
      <c r="J198" s="1343">
        <f t="shared" si="31"/>
        <v>0</v>
      </c>
      <c r="K198" s="1262">
        <f t="shared" si="32"/>
        <v>0</v>
      </c>
      <c r="L198" s="1415"/>
      <c r="M198" s="1214"/>
      <c r="N198" s="1214"/>
      <c r="O198" s="1214"/>
      <c r="P198" s="1214"/>
    </row>
    <row r="199" spans="1:17" s="1199" customFormat="1" ht="24" customHeight="1">
      <c r="A199" s="1339"/>
      <c r="B199" s="1259" t="s">
        <v>1486</v>
      </c>
      <c r="C199" s="1202"/>
      <c r="D199" s="1202"/>
      <c r="E199" s="1404"/>
      <c r="F199" s="1267" t="s">
        <v>363</v>
      </c>
      <c r="G199" s="1386">
        <v>1830</v>
      </c>
      <c r="H199" s="1343">
        <f t="shared" si="30"/>
        <v>0</v>
      </c>
      <c r="I199" s="1414">
        <v>500</v>
      </c>
      <c r="J199" s="1343">
        <f t="shared" si="31"/>
        <v>0</v>
      </c>
      <c r="K199" s="1262">
        <f t="shared" si="32"/>
        <v>0</v>
      </c>
      <c r="L199" s="1415"/>
      <c r="M199" s="1214"/>
      <c r="N199" s="1214"/>
      <c r="O199" s="1214"/>
      <c r="P199" s="1214"/>
      <c r="Q199" s="1214"/>
    </row>
    <row r="200" spans="1:17" s="1199" customFormat="1" ht="24" customHeight="1">
      <c r="A200" s="1339"/>
      <c r="B200" s="1259" t="s">
        <v>1487</v>
      </c>
      <c r="C200" s="1202"/>
      <c r="D200" s="1202"/>
      <c r="E200" s="1404">
        <v>4</v>
      </c>
      <c r="F200" s="1267" t="s">
        <v>363</v>
      </c>
      <c r="G200" s="1386">
        <v>1620</v>
      </c>
      <c r="H200" s="1343">
        <f t="shared" si="30"/>
        <v>6480</v>
      </c>
      <c r="I200" s="1414">
        <v>500</v>
      </c>
      <c r="J200" s="1343">
        <f t="shared" si="31"/>
        <v>2000</v>
      </c>
      <c r="K200" s="1262">
        <f t="shared" si="32"/>
        <v>8480</v>
      </c>
      <c r="L200" s="1415"/>
      <c r="M200" s="1214"/>
      <c r="N200" s="1214"/>
      <c r="O200" s="1214"/>
      <c r="P200" s="1214"/>
      <c r="Q200" s="1214"/>
    </row>
    <row r="201" spans="1:17" s="1199" customFormat="1" ht="24" customHeight="1">
      <c r="A201" s="1339"/>
      <c r="B201" s="1259" t="s">
        <v>1488</v>
      </c>
      <c r="C201" s="1202"/>
      <c r="D201" s="1202"/>
      <c r="E201" s="1404"/>
      <c r="F201" s="1267" t="s">
        <v>363</v>
      </c>
      <c r="G201" s="1386">
        <v>920</v>
      </c>
      <c r="H201" s="1343">
        <f t="shared" si="30"/>
        <v>0</v>
      </c>
      <c r="I201" s="1414">
        <v>250</v>
      </c>
      <c r="J201" s="1343">
        <f t="shared" si="31"/>
        <v>0</v>
      </c>
      <c r="K201" s="1262">
        <f t="shared" si="32"/>
        <v>0</v>
      </c>
      <c r="L201" s="1415"/>
      <c r="M201" s="1214"/>
      <c r="N201" s="1214"/>
      <c r="O201" s="1214"/>
      <c r="P201" s="1214"/>
      <c r="Q201" s="1214"/>
    </row>
    <row r="202" spans="1:17" s="1199" customFormat="1" ht="24" customHeight="1">
      <c r="A202" s="1339"/>
      <c r="B202" s="1259" t="s">
        <v>1489</v>
      </c>
      <c r="C202" s="1202"/>
      <c r="D202" s="1202"/>
      <c r="E202" s="1404"/>
      <c r="F202" s="1267" t="s">
        <v>363</v>
      </c>
      <c r="G202" s="1386">
        <v>2180</v>
      </c>
      <c r="H202" s="1343">
        <f t="shared" si="30"/>
        <v>0</v>
      </c>
      <c r="I202" s="1414">
        <v>500</v>
      </c>
      <c r="J202" s="1343">
        <f t="shared" si="31"/>
        <v>0</v>
      </c>
      <c r="K202" s="1262">
        <f t="shared" si="32"/>
        <v>0</v>
      </c>
      <c r="L202" s="1415"/>
      <c r="M202" s="1214"/>
      <c r="N202" s="1214"/>
      <c r="O202" s="1214"/>
      <c r="P202" s="1214"/>
    </row>
    <row r="203" spans="1:17" s="1199" customFormat="1" ht="24" customHeight="1">
      <c r="A203" s="1339"/>
      <c r="B203" s="1259" t="s">
        <v>1602</v>
      </c>
      <c r="C203" s="1202"/>
      <c r="D203" s="1202"/>
      <c r="E203" s="1404">
        <v>1</v>
      </c>
      <c r="F203" s="1267" t="s">
        <v>1104</v>
      </c>
      <c r="G203" s="1386">
        <f>SUM(H179:H201)*5%</f>
        <v>676</v>
      </c>
      <c r="H203" s="1343">
        <f t="shared" si="30"/>
        <v>676</v>
      </c>
      <c r="I203" s="1265">
        <f>ROUND(G203*0.3,)</f>
        <v>203</v>
      </c>
      <c r="J203" s="1343">
        <f t="shared" si="31"/>
        <v>203</v>
      </c>
      <c r="K203" s="1262">
        <f t="shared" si="32"/>
        <v>879</v>
      </c>
      <c r="L203" s="1415"/>
      <c r="M203" s="1214"/>
      <c r="N203" s="1214"/>
      <c r="O203" s="1214"/>
      <c r="P203" s="1214"/>
      <c r="Q203" s="1214"/>
    </row>
    <row r="204" spans="1:17" s="1199" customFormat="1" ht="24" customHeight="1">
      <c r="A204" s="1331"/>
      <c r="B204" s="2174" t="s">
        <v>1117</v>
      </c>
      <c r="C204" s="1202"/>
      <c r="D204" s="1202"/>
      <c r="E204" s="1387"/>
      <c r="F204" s="1207"/>
      <c r="G204" s="2176"/>
      <c r="H204" s="1388"/>
      <c r="I204" s="2177"/>
      <c r="J204" s="1385"/>
      <c r="K204" s="1385"/>
      <c r="L204" s="1385"/>
      <c r="M204" s="1214"/>
      <c r="N204" s="1214"/>
      <c r="O204" s="1214"/>
      <c r="P204" s="1214"/>
      <c r="Q204" s="1214"/>
    </row>
    <row r="205" spans="1:17" s="1199" customFormat="1" ht="24" customHeight="1">
      <c r="A205" s="1331"/>
      <c r="B205" s="2174" t="s">
        <v>1369</v>
      </c>
      <c r="C205" s="1202"/>
      <c r="D205" s="1202"/>
      <c r="E205" s="1387"/>
      <c r="F205" s="1207"/>
      <c r="G205" s="2176"/>
      <c r="H205" s="1388"/>
      <c r="I205" s="2177"/>
      <c r="J205" s="1385"/>
      <c r="K205" s="1385"/>
      <c r="L205" s="1385"/>
      <c r="M205" s="1214"/>
      <c r="N205" s="1214"/>
      <c r="O205" s="1214"/>
      <c r="P205" s="1214"/>
      <c r="Q205" s="1214"/>
    </row>
    <row r="206" spans="1:17" s="1199" customFormat="1" ht="24" customHeight="1">
      <c r="A206" s="1331"/>
      <c r="B206" s="2174" t="s">
        <v>1369</v>
      </c>
      <c r="C206" s="1202"/>
      <c r="D206" s="1202"/>
      <c r="E206" s="1387"/>
      <c r="F206" s="1384"/>
      <c r="G206" s="2176"/>
      <c r="H206" s="1388"/>
      <c r="I206" s="2177"/>
      <c r="J206" s="1385"/>
      <c r="K206" s="1385"/>
      <c r="L206" s="1385"/>
      <c r="M206" s="1214"/>
      <c r="N206" s="1214"/>
      <c r="O206" s="1214"/>
      <c r="P206" s="1214"/>
      <c r="Q206" s="1214"/>
    </row>
    <row r="207" spans="1:17" s="1199" customFormat="1" ht="24" customHeight="1">
      <c r="A207" s="1440"/>
      <c r="B207" s="1441"/>
      <c r="C207" s="1442"/>
      <c r="D207" s="1442"/>
      <c r="E207" s="1443"/>
      <c r="F207" s="1507"/>
      <c r="G207" s="1445"/>
      <c r="H207" s="1446"/>
      <c r="I207" s="1447"/>
      <c r="J207" s="1448"/>
      <c r="K207" s="1448"/>
      <c r="L207" s="1448"/>
      <c r="M207" s="1214"/>
      <c r="N207" s="1214"/>
      <c r="O207" s="1214"/>
      <c r="P207" s="1214"/>
    </row>
    <row r="208" spans="1:17" s="1199" customFormat="1" ht="24" customHeight="1">
      <c r="A208" s="1243"/>
      <c r="B208" s="2257" t="str">
        <f>"รวมราคารายการที่ "&amp;A179</f>
        <v>รวมราคารายการที่ 3.7</v>
      </c>
      <c r="C208" s="2258"/>
      <c r="D208" s="2259"/>
      <c r="E208" s="1244"/>
      <c r="F208" s="1245"/>
      <c r="G208" s="1246"/>
      <c r="H208" s="1247">
        <f>SUM(H179:H205)</f>
        <v>14196</v>
      </c>
      <c r="I208" s="1246"/>
      <c r="J208" s="1247">
        <f t="shared" ref="J208:K208" si="33">SUM(J179:J205)</f>
        <v>4043</v>
      </c>
      <c r="K208" s="1247">
        <f t="shared" si="33"/>
        <v>18239</v>
      </c>
      <c r="L208" s="1245"/>
      <c r="M208" s="1214"/>
      <c r="N208" s="1214"/>
      <c r="O208" s="1214"/>
      <c r="P208" s="1214"/>
      <c r="Q208" s="1214"/>
    </row>
    <row r="209" spans="1:17" s="1199" customFormat="1" ht="24" customHeight="1">
      <c r="A209" s="1435">
        <v>3.8</v>
      </c>
      <c r="B209" s="1436" t="s">
        <v>1371</v>
      </c>
      <c r="C209" s="1202"/>
      <c r="D209" s="1202"/>
      <c r="E209" s="1387"/>
      <c r="F209" s="1384"/>
      <c r="G209" s="2176"/>
      <c r="H209" s="1388"/>
      <c r="I209" s="2177"/>
      <c r="J209" s="1385"/>
      <c r="K209" s="1385"/>
      <c r="L209" s="1385"/>
      <c r="M209" s="1214"/>
      <c r="N209" s="1214"/>
      <c r="O209" s="1214"/>
      <c r="P209" s="1214"/>
      <c r="Q209" s="1214"/>
    </row>
    <row r="210" spans="1:17" s="1199" customFormat="1" ht="24" customHeight="1">
      <c r="A210" s="1406" t="s">
        <v>1292</v>
      </c>
      <c r="B210" s="2174" t="s">
        <v>1491</v>
      </c>
      <c r="C210" s="1202"/>
      <c r="D210" s="1202"/>
      <c r="E210" s="1387">
        <v>2</v>
      </c>
      <c r="F210" s="1207" t="s">
        <v>363</v>
      </c>
      <c r="G210" s="2176">
        <f>30000+13500</f>
        <v>43500</v>
      </c>
      <c r="H210" s="1264">
        <f t="shared" ref="H210:H235" si="34">ROUND(E210*G210,)</f>
        <v>87000</v>
      </c>
      <c r="I210" s="2177">
        <f>G210*0.1</f>
        <v>4350</v>
      </c>
      <c r="J210" s="1264">
        <f t="shared" ref="J210:J244" si="35">ROUND(E210*I210,)</f>
        <v>8700</v>
      </c>
      <c r="K210" s="1273">
        <f t="shared" ref="K210:K244" si="36">H210+J210</f>
        <v>95700</v>
      </c>
      <c r="L210" s="1385"/>
      <c r="M210" s="1214"/>
      <c r="N210" s="1214"/>
      <c r="O210" s="1214"/>
      <c r="P210" s="1214"/>
      <c r="Q210" s="1214"/>
    </row>
    <row r="211" spans="1:17" s="1199" customFormat="1" ht="24" customHeight="1">
      <c r="A211" s="1406" t="s">
        <v>1299</v>
      </c>
      <c r="B211" s="2174" t="s">
        <v>1492</v>
      </c>
      <c r="C211" s="1202"/>
      <c r="D211" s="1202"/>
      <c r="E211" s="1387">
        <v>6</v>
      </c>
      <c r="F211" s="1207" t="s">
        <v>363</v>
      </c>
      <c r="G211" s="2176">
        <v>1850</v>
      </c>
      <c r="H211" s="1264">
        <f t="shared" si="34"/>
        <v>11100</v>
      </c>
      <c r="I211" s="2177">
        <v>250</v>
      </c>
      <c r="J211" s="1264">
        <f t="shared" si="35"/>
        <v>1500</v>
      </c>
      <c r="K211" s="1273">
        <f t="shared" si="36"/>
        <v>12600</v>
      </c>
      <c r="L211" s="1385"/>
      <c r="M211" s="1214"/>
      <c r="N211" s="1214"/>
      <c r="O211" s="1214"/>
      <c r="P211" s="1214"/>
      <c r="Q211" s="1214"/>
    </row>
    <row r="212" spans="1:17" s="1199" customFormat="1" ht="24" customHeight="1">
      <c r="A212" s="1406" t="s">
        <v>1301</v>
      </c>
      <c r="B212" s="2174" t="s">
        <v>1493</v>
      </c>
      <c r="C212" s="1202"/>
      <c r="D212" s="1202"/>
      <c r="E212" s="1387">
        <v>6</v>
      </c>
      <c r="F212" s="1207" t="s">
        <v>363</v>
      </c>
      <c r="G212" s="2176">
        <v>1850</v>
      </c>
      <c r="H212" s="1264">
        <f t="shared" si="34"/>
        <v>11100</v>
      </c>
      <c r="I212" s="2177">
        <v>250</v>
      </c>
      <c r="J212" s="1264">
        <f t="shared" si="35"/>
        <v>1500</v>
      </c>
      <c r="K212" s="1273">
        <f t="shared" si="36"/>
        <v>12600</v>
      </c>
      <c r="L212" s="1385"/>
      <c r="M212" s="1214"/>
      <c r="N212" s="1214"/>
      <c r="O212" s="1214"/>
      <c r="P212" s="1214"/>
      <c r="Q212" s="1214"/>
    </row>
    <row r="213" spans="1:17" s="1199" customFormat="1" ht="24" customHeight="1">
      <c r="A213" s="1406" t="s">
        <v>1309</v>
      </c>
      <c r="B213" s="2174" t="s">
        <v>1494</v>
      </c>
      <c r="C213" s="1202"/>
      <c r="D213" s="1202"/>
      <c r="E213" s="1387">
        <v>4</v>
      </c>
      <c r="F213" s="1207" t="s">
        <v>363</v>
      </c>
      <c r="G213" s="2176">
        <v>1850</v>
      </c>
      <c r="H213" s="1264">
        <f t="shared" si="34"/>
        <v>7400</v>
      </c>
      <c r="I213" s="2177">
        <v>250</v>
      </c>
      <c r="J213" s="1264">
        <f t="shared" si="35"/>
        <v>1000</v>
      </c>
      <c r="K213" s="1273">
        <f t="shared" si="36"/>
        <v>8400</v>
      </c>
      <c r="L213" s="1385"/>
      <c r="M213" s="1214"/>
      <c r="N213" s="1214"/>
      <c r="O213" s="1214"/>
      <c r="P213" s="1214"/>
      <c r="Q213" s="1214"/>
    </row>
    <row r="214" spans="1:17" s="1199" customFormat="1" ht="24" customHeight="1">
      <c r="A214" s="1406" t="s">
        <v>1533</v>
      </c>
      <c r="B214" s="2174" t="s">
        <v>1495</v>
      </c>
      <c r="C214" s="1202"/>
      <c r="D214" s="1202"/>
      <c r="E214" s="1387">
        <v>4</v>
      </c>
      <c r="F214" s="1207" t="s">
        <v>363</v>
      </c>
      <c r="G214" s="2176">
        <v>1850</v>
      </c>
      <c r="H214" s="1264">
        <f t="shared" si="34"/>
        <v>7400</v>
      </c>
      <c r="I214" s="2177">
        <v>250</v>
      </c>
      <c r="J214" s="1264">
        <f t="shared" si="35"/>
        <v>1000</v>
      </c>
      <c r="K214" s="1273">
        <f t="shared" si="36"/>
        <v>8400</v>
      </c>
      <c r="L214" s="1385"/>
      <c r="M214" s="1214"/>
      <c r="N214" s="1214"/>
      <c r="O214" s="1214"/>
      <c r="P214" s="1214"/>
      <c r="Q214" s="1214"/>
    </row>
    <row r="215" spans="1:17" s="1199" customFormat="1" ht="24" customHeight="1">
      <c r="A215" s="1406" t="s">
        <v>1536</v>
      </c>
      <c r="B215" s="2174" t="s">
        <v>1496</v>
      </c>
      <c r="C215" s="1202"/>
      <c r="D215" s="1202"/>
      <c r="E215" s="1387"/>
      <c r="F215" s="1207" t="s">
        <v>363</v>
      </c>
      <c r="G215" s="2176">
        <v>1850</v>
      </c>
      <c r="H215" s="1264">
        <f t="shared" si="34"/>
        <v>0</v>
      </c>
      <c r="I215" s="2177">
        <v>250</v>
      </c>
      <c r="J215" s="1264">
        <f t="shared" si="35"/>
        <v>0</v>
      </c>
      <c r="K215" s="1273">
        <f t="shared" si="36"/>
        <v>0</v>
      </c>
      <c r="L215" s="1385"/>
      <c r="M215" s="1214"/>
      <c r="N215" s="1214"/>
      <c r="O215" s="1214"/>
      <c r="P215" s="1214"/>
      <c r="Q215" s="1214"/>
    </row>
    <row r="216" spans="1:17" s="1199" customFormat="1" ht="24" customHeight="1">
      <c r="A216" s="1406" t="s">
        <v>1537</v>
      </c>
      <c r="B216" s="2174" t="s">
        <v>1497</v>
      </c>
      <c r="C216" s="1202"/>
      <c r="D216" s="1202"/>
      <c r="E216" s="1387">
        <v>2</v>
      </c>
      <c r="F216" s="1207" t="s">
        <v>363</v>
      </c>
      <c r="G216" s="2176">
        <v>2750</v>
      </c>
      <c r="H216" s="1264">
        <f t="shared" si="34"/>
        <v>5500</v>
      </c>
      <c r="I216" s="2177">
        <v>250</v>
      </c>
      <c r="J216" s="1264">
        <f t="shared" si="35"/>
        <v>500</v>
      </c>
      <c r="K216" s="1273">
        <f t="shared" si="36"/>
        <v>6000</v>
      </c>
      <c r="L216" s="1385"/>
      <c r="M216" s="1214"/>
      <c r="N216" s="1214"/>
      <c r="O216" s="1214"/>
      <c r="P216" s="1214"/>
      <c r="Q216" s="1214"/>
    </row>
    <row r="217" spans="1:17" s="1199" customFormat="1" ht="24" customHeight="1">
      <c r="A217" s="1406" t="s">
        <v>1538</v>
      </c>
      <c r="B217" s="2174" t="s">
        <v>1498</v>
      </c>
      <c r="C217" s="1202"/>
      <c r="D217" s="1202"/>
      <c r="E217" s="1387">
        <v>2</v>
      </c>
      <c r="F217" s="1207" t="s">
        <v>363</v>
      </c>
      <c r="G217" s="2176">
        <v>2750</v>
      </c>
      <c r="H217" s="1264">
        <f t="shared" si="34"/>
        <v>5500</v>
      </c>
      <c r="I217" s="2177">
        <v>250</v>
      </c>
      <c r="J217" s="1264">
        <f t="shared" si="35"/>
        <v>500</v>
      </c>
      <c r="K217" s="1273">
        <f t="shared" si="36"/>
        <v>6000</v>
      </c>
      <c r="L217" s="1385"/>
      <c r="M217" s="1214"/>
      <c r="N217" s="1214"/>
      <c r="O217" s="1214"/>
      <c r="P217" s="1214"/>
      <c r="Q217" s="1214"/>
    </row>
    <row r="218" spans="1:17" s="1199" customFormat="1" ht="24" customHeight="1">
      <c r="A218" s="1406" t="s">
        <v>2900</v>
      </c>
      <c r="B218" s="2174" t="s">
        <v>1500</v>
      </c>
      <c r="C218" s="1202"/>
      <c r="D218" s="1202"/>
      <c r="E218" s="1387">
        <v>2</v>
      </c>
      <c r="F218" s="1207" t="s">
        <v>363</v>
      </c>
      <c r="G218" s="2176">
        <v>2750</v>
      </c>
      <c r="H218" s="1264">
        <f t="shared" si="34"/>
        <v>5500</v>
      </c>
      <c r="I218" s="2177">
        <v>250</v>
      </c>
      <c r="J218" s="1264">
        <f t="shared" si="35"/>
        <v>500</v>
      </c>
      <c r="K218" s="1273">
        <f t="shared" si="36"/>
        <v>6000</v>
      </c>
      <c r="L218" s="1385"/>
      <c r="M218" s="1214"/>
      <c r="N218" s="1214"/>
      <c r="O218" s="1214"/>
      <c r="P218" s="1214"/>
      <c r="Q218" s="1214"/>
    </row>
    <row r="219" spans="1:17" s="1199" customFormat="1" ht="24" customHeight="1">
      <c r="A219" s="1406" t="s">
        <v>2901</v>
      </c>
      <c r="B219" s="1190" t="s">
        <v>1603</v>
      </c>
      <c r="C219" s="1202"/>
      <c r="D219" s="1202"/>
      <c r="E219" s="1387">
        <v>2</v>
      </c>
      <c r="F219" s="1194" t="s">
        <v>363</v>
      </c>
      <c r="G219" s="2176">
        <v>2750</v>
      </c>
      <c r="H219" s="1264">
        <f t="shared" si="34"/>
        <v>5500</v>
      </c>
      <c r="I219" s="2177">
        <v>250</v>
      </c>
      <c r="J219" s="1264">
        <f t="shared" si="35"/>
        <v>500</v>
      </c>
      <c r="K219" s="1273">
        <f t="shared" si="36"/>
        <v>6000</v>
      </c>
      <c r="L219" s="1385"/>
      <c r="M219" s="1214"/>
      <c r="N219" s="1214"/>
      <c r="O219" s="1214"/>
      <c r="P219" s="1214"/>
      <c r="Q219" s="1214"/>
    </row>
    <row r="220" spans="1:17" s="1199" customFormat="1" ht="24" customHeight="1">
      <c r="A220" s="1406" t="s">
        <v>2902</v>
      </c>
      <c r="B220" s="2174" t="s">
        <v>1502</v>
      </c>
      <c r="C220" s="1202"/>
      <c r="D220" s="1202"/>
      <c r="E220" s="1387">
        <v>2</v>
      </c>
      <c r="F220" s="1207" t="s">
        <v>363</v>
      </c>
      <c r="G220" s="2176">
        <v>2750</v>
      </c>
      <c r="H220" s="1264">
        <f t="shared" si="34"/>
        <v>5500</v>
      </c>
      <c r="I220" s="2177">
        <v>250</v>
      </c>
      <c r="J220" s="1264">
        <f t="shared" si="35"/>
        <v>500</v>
      </c>
      <c r="K220" s="1273">
        <f t="shared" si="36"/>
        <v>6000</v>
      </c>
      <c r="L220" s="1385"/>
      <c r="M220" s="1214"/>
      <c r="N220" s="1214"/>
      <c r="O220" s="1214"/>
      <c r="P220" s="1214"/>
      <c r="Q220" s="1214"/>
    </row>
    <row r="221" spans="1:17" s="1199" customFormat="1" ht="24" customHeight="1">
      <c r="A221" s="1406" t="s">
        <v>2903</v>
      </c>
      <c r="B221" s="2174" t="s">
        <v>1504</v>
      </c>
      <c r="C221" s="1202"/>
      <c r="D221" s="1202"/>
      <c r="E221" s="1387">
        <v>2</v>
      </c>
      <c r="F221" s="1207" t="s">
        <v>363</v>
      </c>
      <c r="G221" s="2176">
        <v>2750</v>
      </c>
      <c r="H221" s="1264">
        <f t="shared" si="34"/>
        <v>5500</v>
      </c>
      <c r="I221" s="2177">
        <v>250</v>
      </c>
      <c r="J221" s="1264">
        <f t="shared" si="35"/>
        <v>500</v>
      </c>
      <c r="K221" s="1273">
        <f t="shared" si="36"/>
        <v>6000</v>
      </c>
      <c r="L221" s="1385"/>
      <c r="M221" s="1214"/>
      <c r="N221" s="1214"/>
      <c r="O221" s="1214"/>
      <c r="P221" s="1214"/>
      <c r="Q221" s="1214"/>
    </row>
    <row r="222" spans="1:17" s="1199" customFormat="1" ht="24" customHeight="1">
      <c r="A222" s="1406" t="s">
        <v>2904</v>
      </c>
      <c r="B222" s="2174" t="s">
        <v>1506</v>
      </c>
      <c r="C222" s="1202"/>
      <c r="D222" s="1202"/>
      <c r="E222" s="1387"/>
      <c r="F222" s="1207" t="s">
        <v>363</v>
      </c>
      <c r="G222" s="2176">
        <v>2750</v>
      </c>
      <c r="H222" s="1264">
        <f t="shared" si="34"/>
        <v>0</v>
      </c>
      <c r="I222" s="2177">
        <v>250</v>
      </c>
      <c r="J222" s="1264">
        <f t="shared" si="35"/>
        <v>0</v>
      </c>
      <c r="K222" s="1273">
        <f t="shared" si="36"/>
        <v>0</v>
      </c>
      <c r="L222" s="1385"/>
      <c r="M222" s="1214"/>
      <c r="N222" s="1214"/>
      <c r="O222" s="1214"/>
      <c r="P222" s="1214"/>
      <c r="Q222" s="1214"/>
    </row>
    <row r="223" spans="1:17" s="1199" customFormat="1" ht="24" customHeight="1">
      <c r="A223" s="1406" t="s">
        <v>2905</v>
      </c>
      <c r="B223" s="2174" t="s">
        <v>1508</v>
      </c>
      <c r="C223" s="1202"/>
      <c r="D223" s="1202"/>
      <c r="E223" s="1387">
        <v>4</v>
      </c>
      <c r="F223" s="1207" t="s">
        <v>363</v>
      </c>
      <c r="G223" s="2176">
        <v>2250</v>
      </c>
      <c r="H223" s="1264">
        <f t="shared" si="34"/>
        <v>9000</v>
      </c>
      <c r="I223" s="2177">
        <v>250</v>
      </c>
      <c r="J223" s="1264">
        <f t="shared" si="35"/>
        <v>1000</v>
      </c>
      <c r="K223" s="1273">
        <f t="shared" si="36"/>
        <v>10000</v>
      </c>
      <c r="L223" s="1385"/>
      <c r="M223" s="1214"/>
      <c r="N223" s="1214"/>
      <c r="O223" s="1214"/>
      <c r="P223" s="1214"/>
      <c r="Q223" s="1214"/>
    </row>
    <row r="224" spans="1:17" s="1199" customFormat="1" ht="24" customHeight="1">
      <c r="A224" s="1406" t="s">
        <v>2906</v>
      </c>
      <c r="B224" s="2174" t="s">
        <v>1510</v>
      </c>
      <c r="C224" s="1202"/>
      <c r="D224" s="1202"/>
      <c r="E224" s="1387">
        <v>245</v>
      </c>
      <c r="F224" s="1207" t="s">
        <v>363</v>
      </c>
      <c r="G224" s="2176">
        <f>3300+300</f>
        <v>3600</v>
      </c>
      <c r="H224" s="1264">
        <f t="shared" si="34"/>
        <v>882000</v>
      </c>
      <c r="I224" s="2177">
        <v>200</v>
      </c>
      <c r="J224" s="1264">
        <f t="shared" si="35"/>
        <v>49000</v>
      </c>
      <c r="K224" s="1273">
        <f t="shared" si="36"/>
        <v>931000</v>
      </c>
      <c r="L224" s="1385"/>
      <c r="M224" s="1214"/>
      <c r="N224" s="1214"/>
      <c r="O224" s="1214"/>
      <c r="P224" s="1214"/>
      <c r="Q224" s="1214"/>
    </row>
    <row r="225" spans="1:17" s="1199" customFormat="1" ht="24" customHeight="1">
      <c r="A225" s="1406" t="s">
        <v>2907</v>
      </c>
      <c r="B225" s="2174" t="s">
        <v>1512</v>
      </c>
      <c r="C225" s="1202"/>
      <c r="D225" s="1202"/>
      <c r="E225" s="1387">
        <v>10</v>
      </c>
      <c r="F225" s="1207" t="s">
        <v>363</v>
      </c>
      <c r="G225" s="2176">
        <v>5000</v>
      </c>
      <c r="H225" s="1264">
        <f t="shared" si="34"/>
        <v>50000</v>
      </c>
      <c r="I225" s="2177">
        <v>500</v>
      </c>
      <c r="J225" s="1264">
        <f t="shared" si="35"/>
        <v>5000</v>
      </c>
      <c r="K225" s="1273">
        <f t="shared" si="36"/>
        <v>55000</v>
      </c>
      <c r="L225" s="1385"/>
      <c r="M225" s="1214"/>
      <c r="N225" s="1214"/>
      <c r="O225" s="1214"/>
      <c r="P225" s="1214"/>
      <c r="Q225" s="1214"/>
    </row>
    <row r="226" spans="1:17" s="1199" customFormat="1" ht="24" customHeight="1">
      <c r="A226" s="1406" t="s">
        <v>2908</v>
      </c>
      <c r="B226" s="2174" t="s">
        <v>1514</v>
      </c>
      <c r="C226" s="1202"/>
      <c r="D226" s="1202"/>
      <c r="E226" s="1387">
        <v>6</v>
      </c>
      <c r="F226" s="1207" t="s">
        <v>363</v>
      </c>
      <c r="G226" s="2176">
        <v>350</v>
      </c>
      <c r="H226" s="1264">
        <f t="shared" si="34"/>
        <v>2100</v>
      </c>
      <c r="I226" s="2177">
        <v>200</v>
      </c>
      <c r="J226" s="1264">
        <f t="shared" si="35"/>
        <v>1200</v>
      </c>
      <c r="K226" s="1273">
        <f t="shared" si="36"/>
        <v>3300</v>
      </c>
      <c r="L226" s="1385"/>
      <c r="M226" s="1214"/>
      <c r="N226" s="1214"/>
      <c r="O226" s="1214"/>
      <c r="P226" s="1214"/>
      <c r="Q226" s="1214"/>
    </row>
    <row r="227" spans="1:17" s="1199" customFormat="1" ht="24" customHeight="1">
      <c r="A227" s="1406" t="s">
        <v>2909</v>
      </c>
      <c r="B227" s="2174" t="s">
        <v>1516</v>
      </c>
      <c r="C227" s="1202"/>
      <c r="D227" s="1202"/>
      <c r="E227" s="1387">
        <v>6</v>
      </c>
      <c r="F227" s="1207" t="s">
        <v>363</v>
      </c>
      <c r="G227" s="2176">
        <v>4200</v>
      </c>
      <c r="H227" s="1264">
        <f t="shared" si="34"/>
        <v>25200</v>
      </c>
      <c r="I227" s="2177">
        <v>200</v>
      </c>
      <c r="J227" s="1264">
        <f t="shared" si="35"/>
        <v>1200</v>
      </c>
      <c r="K227" s="1273">
        <f t="shared" si="36"/>
        <v>26400</v>
      </c>
      <c r="L227" s="1385"/>
      <c r="M227" s="1214"/>
      <c r="N227" s="1214"/>
      <c r="O227" s="1214"/>
      <c r="P227" s="1214"/>
      <c r="Q227" s="1214"/>
    </row>
    <row r="228" spans="1:17" s="1199" customFormat="1" ht="24" customHeight="1">
      <c r="A228" s="1406" t="s">
        <v>2910</v>
      </c>
      <c r="B228" s="2174" t="s">
        <v>1518</v>
      </c>
      <c r="C228" s="1202"/>
      <c r="D228" s="1202"/>
      <c r="E228" s="1404">
        <v>22</v>
      </c>
      <c r="F228" s="1207" t="s">
        <v>363</v>
      </c>
      <c r="G228" s="2176">
        <v>2200</v>
      </c>
      <c r="H228" s="1264">
        <f t="shared" si="34"/>
        <v>48400</v>
      </c>
      <c r="I228" s="2177">
        <v>200</v>
      </c>
      <c r="J228" s="1264">
        <f t="shared" si="35"/>
        <v>4400</v>
      </c>
      <c r="K228" s="1273">
        <f t="shared" si="36"/>
        <v>52800</v>
      </c>
      <c r="L228" s="1385"/>
      <c r="M228" s="1214"/>
      <c r="N228" s="1214"/>
      <c r="O228" s="1214"/>
      <c r="P228" s="1214"/>
      <c r="Q228" s="1214"/>
    </row>
    <row r="229" spans="1:17" s="1199" customFormat="1" ht="24" customHeight="1">
      <c r="A229" s="1406" t="s">
        <v>2911</v>
      </c>
      <c r="B229" s="2174" t="s">
        <v>1604</v>
      </c>
      <c r="C229" s="1202"/>
      <c r="D229" s="1202"/>
      <c r="E229" s="1387">
        <v>2</v>
      </c>
      <c r="F229" s="1207" t="s">
        <v>363</v>
      </c>
      <c r="G229" s="2176">
        <v>4785</v>
      </c>
      <c r="H229" s="1264">
        <f>ROUND(E229*G229,)</f>
        <v>9570</v>
      </c>
      <c r="I229" s="2177">
        <v>100</v>
      </c>
      <c r="J229" s="1264">
        <f>ROUND(E229*I229,)</f>
        <v>200</v>
      </c>
      <c r="K229" s="1273">
        <f>H229+J229</f>
        <v>9770</v>
      </c>
      <c r="L229" s="1385"/>
      <c r="M229" s="1214"/>
      <c r="N229" s="1214"/>
      <c r="O229" s="1214"/>
      <c r="P229" s="1214"/>
      <c r="Q229" s="1214"/>
    </row>
    <row r="230" spans="1:17" s="1199" customFormat="1" ht="24" customHeight="1">
      <c r="A230" s="1406" t="s">
        <v>2912</v>
      </c>
      <c r="B230" s="2174" t="s">
        <v>1521</v>
      </c>
      <c r="C230" s="1202"/>
      <c r="D230" s="1202"/>
      <c r="E230" s="1404">
        <v>2</v>
      </c>
      <c r="F230" s="1207" t="s">
        <v>363</v>
      </c>
      <c r="G230" s="2176">
        <v>5000</v>
      </c>
      <c r="H230" s="1264">
        <f t="shared" si="34"/>
        <v>10000</v>
      </c>
      <c r="I230" s="2177">
        <v>500</v>
      </c>
      <c r="J230" s="1264">
        <f t="shared" si="35"/>
        <v>1000</v>
      </c>
      <c r="K230" s="1273">
        <f t="shared" si="36"/>
        <v>11000</v>
      </c>
      <c r="L230" s="1385"/>
      <c r="M230" s="1214"/>
      <c r="N230" s="1214"/>
      <c r="O230" s="1214"/>
      <c r="P230" s="1214"/>
      <c r="Q230" s="1214"/>
    </row>
    <row r="231" spans="1:17" s="1199" customFormat="1" ht="24" customHeight="1">
      <c r="A231" s="1406" t="s">
        <v>2913</v>
      </c>
      <c r="B231" s="2174" t="s">
        <v>1312</v>
      </c>
      <c r="C231" s="1202"/>
      <c r="D231" s="1202"/>
      <c r="E231" s="1404"/>
      <c r="F231" s="1384"/>
      <c r="G231" s="2176"/>
      <c r="H231" s="1264">
        <f t="shared" si="34"/>
        <v>0</v>
      </c>
      <c r="I231" s="2177"/>
      <c r="J231" s="1264">
        <f t="shared" si="35"/>
        <v>0</v>
      </c>
      <c r="K231" s="1273">
        <f t="shared" si="36"/>
        <v>0</v>
      </c>
      <c r="L231" s="1385"/>
      <c r="M231" s="1214"/>
      <c r="N231" s="1214"/>
      <c r="O231" s="1214"/>
      <c r="P231" s="1214"/>
      <c r="Q231" s="1214"/>
    </row>
    <row r="232" spans="1:17" s="1199" customFormat="1" ht="24" customHeight="1">
      <c r="A232" s="1331"/>
      <c r="B232" s="2174" t="s">
        <v>1523</v>
      </c>
      <c r="C232" s="1202"/>
      <c r="D232" s="1202"/>
      <c r="E232" s="1404">
        <v>1440</v>
      </c>
      <c r="F232" s="1358" t="s">
        <v>226</v>
      </c>
      <c r="G232" s="2176">
        <v>82</v>
      </c>
      <c r="H232" s="1264">
        <f t="shared" si="34"/>
        <v>118080</v>
      </c>
      <c r="I232" s="2177">
        <v>12</v>
      </c>
      <c r="J232" s="1264">
        <f t="shared" si="35"/>
        <v>17280</v>
      </c>
      <c r="K232" s="1273">
        <f t="shared" si="36"/>
        <v>135360</v>
      </c>
      <c r="L232" s="1385"/>
      <c r="M232" s="1214"/>
      <c r="N232" s="1214"/>
      <c r="O232" s="1214"/>
      <c r="P232" s="1214"/>
      <c r="Q232" s="1214"/>
    </row>
    <row r="233" spans="1:17" s="1199" customFormat="1" ht="24" customHeight="1">
      <c r="A233" s="1331"/>
      <c r="B233" s="2174" t="s">
        <v>2553</v>
      </c>
      <c r="C233" s="1202"/>
      <c r="D233" s="1202"/>
      <c r="E233" s="1404">
        <v>2400</v>
      </c>
      <c r="F233" s="1358" t="s">
        <v>226</v>
      </c>
      <c r="G233" s="2176">
        <v>6</v>
      </c>
      <c r="H233" s="1264">
        <f t="shared" si="34"/>
        <v>14400</v>
      </c>
      <c r="I233" s="2177">
        <v>6</v>
      </c>
      <c r="J233" s="1264">
        <f t="shared" si="35"/>
        <v>14400</v>
      </c>
      <c r="K233" s="1273">
        <f t="shared" si="36"/>
        <v>28800</v>
      </c>
      <c r="L233" s="1385"/>
      <c r="M233" s="1214"/>
      <c r="N233" s="1214"/>
      <c r="O233" s="1214"/>
      <c r="P233" s="1214"/>
      <c r="Q233" s="1214"/>
    </row>
    <row r="234" spans="1:17" s="1199" customFormat="1" ht="24" customHeight="1">
      <c r="A234" s="1331"/>
      <c r="B234" s="1190" t="s">
        <v>1524</v>
      </c>
      <c r="C234" s="1202"/>
      <c r="D234" s="1202"/>
      <c r="E234" s="1404">
        <v>1810</v>
      </c>
      <c r="F234" s="1358" t="s">
        <v>226</v>
      </c>
      <c r="G234" s="2176">
        <v>18</v>
      </c>
      <c r="H234" s="1264">
        <f t="shared" si="34"/>
        <v>32580</v>
      </c>
      <c r="I234" s="2177">
        <v>8</v>
      </c>
      <c r="J234" s="1264">
        <f t="shared" si="35"/>
        <v>14480</v>
      </c>
      <c r="K234" s="1273">
        <f t="shared" si="36"/>
        <v>47060</v>
      </c>
      <c r="L234" s="1385"/>
      <c r="M234" s="1214"/>
      <c r="N234" s="1214"/>
      <c r="O234" s="1214"/>
      <c r="P234" s="1214"/>
      <c r="Q234" s="1214"/>
    </row>
    <row r="235" spans="1:17" s="1199" customFormat="1" ht="24" customHeight="1">
      <c r="A235" s="1331"/>
      <c r="B235" s="2174" t="s">
        <v>1525</v>
      </c>
      <c r="C235" s="1202"/>
      <c r="D235" s="1202"/>
      <c r="E235" s="1404">
        <v>1</v>
      </c>
      <c r="F235" s="1384" t="s">
        <v>1104</v>
      </c>
      <c r="G235" s="2176">
        <f>ROUND(SUM(H232:H234)*5%,)</f>
        <v>8253</v>
      </c>
      <c r="H235" s="1264">
        <f t="shared" si="34"/>
        <v>8253</v>
      </c>
      <c r="I235" s="1265">
        <f>ROUND(G235*0.3,)</f>
        <v>2476</v>
      </c>
      <c r="J235" s="1264">
        <f t="shared" si="35"/>
        <v>2476</v>
      </c>
      <c r="K235" s="1273">
        <f t="shared" si="36"/>
        <v>10729</v>
      </c>
      <c r="L235" s="1385"/>
      <c r="M235" s="1214"/>
      <c r="N235" s="1214"/>
      <c r="O235" s="1214"/>
      <c r="P235" s="1214"/>
      <c r="Q235" s="1214"/>
    </row>
    <row r="236" spans="1:17" s="1199" customFormat="1" ht="24" customHeight="1">
      <c r="A236" s="1406" t="s">
        <v>2914</v>
      </c>
      <c r="B236" s="2174" t="s">
        <v>1526</v>
      </c>
      <c r="C236" s="1202"/>
      <c r="D236" s="1202"/>
      <c r="E236" s="1387"/>
      <c r="F236" s="1384"/>
      <c r="G236" s="2176"/>
      <c r="H236" s="1264">
        <f>ROUND(G236*E236,)</f>
        <v>0</v>
      </c>
      <c r="I236" s="2177"/>
      <c r="J236" s="1264">
        <f t="shared" si="35"/>
        <v>0</v>
      </c>
      <c r="K236" s="1273">
        <f t="shared" si="36"/>
        <v>0</v>
      </c>
      <c r="L236" s="1385"/>
      <c r="M236" s="1214"/>
      <c r="N236" s="1214"/>
      <c r="O236" s="1214"/>
      <c r="P236" s="1214"/>
    </row>
    <row r="237" spans="1:17" s="1199" customFormat="1" ht="24" customHeight="1">
      <c r="A237" s="1331"/>
      <c r="B237" s="2174" t="s">
        <v>1350</v>
      </c>
      <c r="C237" s="1202"/>
      <c r="D237" s="1202"/>
      <c r="E237" s="1387">
        <v>1200</v>
      </c>
      <c r="F237" s="1358" t="s">
        <v>226</v>
      </c>
      <c r="G237" s="2176">
        <v>27</v>
      </c>
      <c r="H237" s="1264">
        <f t="shared" ref="H237" si="37">ROUND(E237*G237,)</f>
        <v>32400</v>
      </c>
      <c r="I237" s="2177">
        <v>22</v>
      </c>
      <c r="J237" s="1264">
        <f t="shared" si="35"/>
        <v>26400</v>
      </c>
      <c r="K237" s="1802">
        <f t="shared" si="36"/>
        <v>58800</v>
      </c>
      <c r="L237" s="2001" t="s">
        <v>2667</v>
      </c>
      <c r="M237" s="1214"/>
      <c r="N237" s="1199">
        <v>79.8</v>
      </c>
      <c r="O237" s="1199">
        <f>ROUND(N237/3,)</f>
        <v>27</v>
      </c>
      <c r="P237" s="1214"/>
    </row>
    <row r="238" spans="1:17" s="1199" customFormat="1" ht="24" customHeight="1">
      <c r="A238" s="1331"/>
      <c r="B238" s="2174" t="s">
        <v>1384</v>
      </c>
      <c r="C238" s="1202"/>
      <c r="D238" s="1202"/>
      <c r="E238" s="1387">
        <v>1</v>
      </c>
      <c r="F238" s="1407" t="s">
        <v>1104</v>
      </c>
      <c r="G238" s="2176">
        <f>SUM(H237:H237)*15%</f>
        <v>4860</v>
      </c>
      <c r="H238" s="1264">
        <f>ROUND(G238*E238,)</f>
        <v>4860</v>
      </c>
      <c r="I238" s="2177">
        <f>G238*0.3</f>
        <v>1458</v>
      </c>
      <c r="J238" s="1264">
        <f t="shared" si="35"/>
        <v>1458</v>
      </c>
      <c r="K238" s="1273">
        <f t="shared" si="36"/>
        <v>6318</v>
      </c>
      <c r="L238" s="1385"/>
      <c r="M238" s="1214"/>
      <c r="N238" s="1214"/>
      <c r="O238" s="1214"/>
      <c r="P238" s="1214"/>
    </row>
    <row r="239" spans="1:17" s="1199" customFormat="1" ht="24" customHeight="1">
      <c r="A239" s="1406" t="s">
        <v>2915</v>
      </c>
      <c r="B239" s="2174" t="s">
        <v>1110</v>
      </c>
      <c r="C239" s="1202"/>
      <c r="D239" s="1202"/>
      <c r="E239" s="1387"/>
      <c r="F239" s="1384"/>
      <c r="G239" s="2176"/>
      <c r="H239" s="1264">
        <f t="shared" ref="H239:H244" si="38">ROUND(E239*G239,)</f>
        <v>0</v>
      </c>
      <c r="I239" s="2177"/>
      <c r="J239" s="1264">
        <f t="shared" si="35"/>
        <v>0</v>
      </c>
      <c r="K239" s="1273">
        <f t="shared" si="36"/>
        <v>0</v>
      </c>
      <c r="L239" s="1385"/>
      <c r="M239" s="1214"/>
      <c r="N239" s="1214"/>
      <c r="O239" s="1214"/>
      <c r="P239" s="1214"/>
    </row>
    <row r="240" spans="1:17" s="1199" customFormat="1" ht="24" customHeight="1">
      <c r="A240" s="1331"/>
      <c r="B240" s="2174" t="s">
        <v>1350</v>
      </c>
      <c r="C240" s="1202"/>
      <c r="D240" s="1202"/>
      <c r="E240" s="1387"/>
      <c r="F240" s="1358" t="s">
        <v>226</v>
      </c>
      <c r="G240" s="2176">
        <v>56</v>
      </c>
      <c r="H240" s="1264">
        <f t="shared" si="38"/>
        <v>0</v>
      </c>
      <c r="I240" s="2177">
        <v>26</v>
      </c>
      <c r="J240" s="1264">
        <f t="shared" si="35"/>
        <v>0</v>
      </c>
      <c r="K240" s="1273">
        <f t="shared" si="36"/>
        <v>0</v>
      </c>
      <c r="L240" s="2001" t="s">
        <v>2667</v>
      </c>
      <c r="M240" s="1214"/>
      <c r="N240" s="1199">
        <v>169.2</v>
      </c>
      <c r="O240" s="1199">
        <f>ROUND(N240/3,)</f>
        <v>56</v>
      </c>
      <c r="P240" s="1214"/>
    </row>
    <row r="241" spans="1:17" s="1199" customFormat="1" ht="24" customHeight="1">
      <c r="A241" s="1331"/>
      <c r="B241" s="2174" t="s">
        <v>1448</v>
      </c>
      <c r="C241" s="1202"/>
      <c r="D241" s="1202"/>
      <c r="E241" s="1404">
        <v>3250</v>
      </c>
      <c r="F241" s="1358" t="s">
        <v>226</v>
      </c>
      <c r="G241" s="2176">
        <v>75</v>
      </c>
      <c r="H241" s="1264">
        <f t="shared" si="38"/>
        <v>243750</v>
      </c>
      <c r="I241" s="2177">
        <v>29</v>
      </c>
      <c r="J241" s="1264">
        <f t="shared" si="35"/>
        <v>94250</v>
      </c>
      <c r="K241" s="1273">
        <f>H241+J241</f>
        <v>338000</v>
      </c>
      <c r="L241" s="2001" t="s">
        <v>2667</v>
      </c>
      <c r="N241" s="1199">
        <v>225</v>
      </c>
      <c r="O241" s="1199">
        <f>ROUND(N241/3,)</f>
        <v>75</v>
      </c>
      <c r="P241" s="1214"/>
    </row>
    <row r="242" spans="1:17" s="1199" customFormat="1" ht="24" customHeight="1">
      <c r="A242" s="1331"/>
      <c r="B242" s="2174" t="s">
        <v>1108</v>
      </c>
      <c r="C242" s="1202"/>
      <c r="D242" s="1202"/>
      <c r="E242" s="1387">
        <v>1</v>
      </c>
      <c r="F242" s="1384" t="s">
        <v>1104</v>
      </c>
      <c r="G242" s="2176">
        <f>SUM(H240:H241)*15%</f>
        <v>36562.5</v>
      </c>
      <c r="H242" s="1264">
        <f t="shared" si="38"/>
        <v>36563</v>
      </c>
      <c r="I242" s="1265">
        <f>ROUND(G242*0.3,)</f>
        <v>10969</v>
      </c>
      <c r="J242" s="1264">
        <f t="shared" si="35"/>
        <v>10969</v>
      </c>
      <c r="K242" s="1273">
        <f t="shared" si="36"/>
        <v>47532</v>
      </c>
      <c r="L242" s="1385"/>
      <c r="M242" s="1214"/>
      <c r="N242" s="1214"/>
      <c r="O242" s="1214"/>
      <c r="P242" s="1214"/>
    </row>
    <row r="243" spans="1:17" s="1199" customFormat="1" ht="24" customHeight="1">
      <c r="A243" s="1406" t="s">
        <v>2916</v>
      </c>
      <c r="B243" s="2174" t="s">
        <v>1449</v>
      </c>
      <c r="C243" s="1202"/>
      <c r="D243" s="1202"/>
      <c r="E243" s="1387"/>
      <c r="F243" s="1384"/>
      <c r="G243" s="2176"/>
      <c r="H243" s="1264">
        <f t="shared" si="38"/>
        <v>0</v>
      </c>
      <c r="I243" s="2177"/>
      <c r="J243" s="1264">
        <f t="shared" si="35"/>
        <v>0</v>
      </c>
      <c r="K243" s="1273">
        <f t="shared" si="36"/>
        <v>0</v>
      </c>
      <c r="L243" s="1385"/>
      <c r="M243" s="1214"/>
      <c r="N243" s="1214"/>
      <c r="O243" s="1214"/>
      <c r="P243" s="1214"/>
    </row>
    <row r="244" spans="1:17" s="1199" customFormat="1" ht="24" customHeight="1">
      <c r="A244" s="1331"/>
      <c r="B244" s="2174" t="s">
        <v>1350</v>
      </c>
      <c r="C244" s="1202"/>
      <c r="D244" s="1202"/>
      <c r="E244" s="1387">
        <v>245</v>
      </c>
      <c r="F244" s="1407" t="s">
        <v>226</v>
      </c>
      <c r="G244" s="2176">
        <v>14</v>
      </c>
      <c r="H244" s="1264">
        <f t="shared" si="38"/>
        <v>3430</v>
      </c>
      <c r="I244" s="2177">
        <v>11</v>
      </c>
      <c r="J244" s="1264">
        <f t="shared" si="35"/>
        <v>2695</v>
      </c>
      <c r="K244" s="1273">
        <f t="shared" si="36"/>
        <v>6125</v>
      </c>
      <c r="L244" s="1385"/>
      <c r="M244" s="1214"/>
      <c r="N244" s="1214"/>
      <c r="O244" s="1214"/>
      <c r="P244" s="1214"/>
    </row>
    <row r="245" spans="1:17" s="1199" customFormat="1" ht="24" customHeight="1">
      <c r="A245" s="1406"/>
      <c r="B245" s="2174" t="s">
        <v>1117</v>
      </c>
      <c r="C245" s="1202"/>
      <c r="D245" s="1202"/>
      <c r="E245" s="1387"/>
      <c r="F245" s="1384"/>
      <c r="G245" s="2176"/>
      <c r="H245" s="1264"/>
      <c r="I245" s="2177"/>
      <c r="J245" s="1264"/>
      <c r="K245" s="1273"/>
      <c r="L245" s="1385"/>
      <c r="M245" s="1214"/>
      <c r="N245" s="1214"/>
      <c r="O245" s="1214"/>
      <c r="P245" s="1214"/>
      <c r="Q245" s="1214"/>
    </row>
    <row r="246" spans="1:17" s="1199" customFormat="1" ht="24" customHeight="1">
      <c r="A246" s="1331"/>
      <c r="B246" s="2174" t="s">
        <v>1369</v>
      </c>
      <c r="C246" s="1202"/>
      <c r="D246" s="1202"/>
      <c r="E246" s="1387"/>
      <c r="F246" s="1358"/>
      <c r="G246" s="2176"/>
      <c r="H246" s="1264"/>
      <c r="I246" s="2177"/>
      <c r="J246" s="1264"/>
      <c r="K246" s="1273"/>
      <c r="L246" s="1385"/>
      <c r="M246" s="1214"/>
      <c r="N246" s="1214"/>
      <c r="O246" s="1214"/>
      <c r="P246" s="1214"/>
      <c r="Q246" s="1214"/>
    </row>
    <row r="247" spans="1:17" s="1199" customFormat="1" ht="24" customHeight="1">
      <c r="A247" s="1331"/>
      <c r="B247" s="2174" t="s">
        <v>1369</v>
      </c>
      <c r="C247" s="1202"/>
      <c r="D247" s="1202"/>
      <c r="E247" s="1404"/>
      <c r="F247" s="1358"/>
      <c r="G247" s="2176"/>
      <c r="H247" s="1264"/>
      <c r="I247" s="2177"/>
      <c r="J247" s="1264"/>
      <c r="K247" s="1273"/>
      <c r="L247" s="1385"/>
      <c r="M247" s="1214"/>
      <c r="N247" s="1214"/>
      <c r="O247" s="1214"/>
      <c r="P247" s="1214"/>
      <c r="Q247" s="1214"/>
    </row>
    <row r="248" spans="1:17" s="1199" customFormat="1" ht="24" customHeight="1">
      <c r="A248" s="1331"/>
      <c r="B248" s="2174"/>
      <c r="C248" s="1202"/>
      <c r="D248" s="1202"/>
      <c r="E248" s="1404"/>
      <c r="F248" s="1358"/>
      <c r="G248" s="2176"/>
      <c r="H248" s="1264"/>
      <c r="I248" s="2177"/>
      <c r="J248" s="1264"/>
      <c r="K248" s="1273"/>
      <c r="L248" s="1385"/>
      <c r="M248" s="1214"/>
      <c r="N248" s="1214"/>
      <c r="O248" s="1214"/>
      <c r="P248" s="1214"/>
      <c r="Q248" s="1214"/>
    </row>
    <row r="249" spans="1:17" s="1199" customFormat="1" ht="24" customHeight="1">
      <c r="A249" s="1406"/>
      <c r="B249" s="2174"/>
      <c r="C249" s="1202"/>
      <c r="D249" s="1202"/>
      <c r="E249" s="1387"/>
      <c r="F249" s="1384"/>
      <c r="G249" s="2176"/>
      <c r="H249" s="1264"/>
      <c r="I249" s="2177"/>
      <c r="J249" s="1264"/>
      <c r="K249" s="1273"/>
      <c r="L249" s="1385"/>
      <c r="M249" s="1214"/>
      <c r="N249" s="1214"/>
      <c r="O249" s="1214"/>
      <c r="P249" s="1214"/>
    </row>
    <row r="250" spans="1:17" s="1199" customFormat="1" ht="24" customHeight="1">
      <c r="A250" s="1243"/>
      <c r="B250" s="2257" t="str">
        <f>"รวมราคารายการที่ "&amp;A209</f>
        <v>รวมราคารายการที่ 3.8</v>
      </c>
      <c r="C250" s="2258"/>
      <c r="D250" s="2259"/>
      <c r="E250" s="1244"/>
      <c r="F250" s="1245"/>
      <c r="G250" s="1246"/>
      <c r="H250" s="1247">
        <f>SUM(H210:H247)</f>
        <v>1687586</v>
      </c>
      <c r="I250" s="1246"/>
      <c r="J250" s="1247">
        <f>SUM(J210:J247)</f>
        <v>264108</v>
      </c>
      <c r="K250" s="1247">
        <f>SUM(K210:K247)</f>
        <v>1951694</v>
      </c>
      <c r="L250" s="1245"/>
      <c r="M250" s="1214"/>
      <c r="N250" s="1214"/>
      <c r="O250" s="1214"/>
      <c r="P250" s="1214"/>
      <c r="Q250" s="1214"/>
    </row>
    <row r="251" spans="1:17" s="1199" customFormat="1" ht="24" customHeight="1">
      <c r="A251" s="1435" t="s">
        <v>1311</v>
      </c>
      <c r="B251" s="1436" t="s">
        <v>1404</v>
      </c>
      <c r="C251" s="1202"/>
      <c r="D251" s="1202"/>
      <c r="E251" s="1387"/>
      <c r="F251" s="1407"/>
      <c r="G251" s="2176"/>
      <c r="H251" s="1388"/>
      <c r="I251" s="2177"/>
      <c r="J251" s="1385"/>
      <c r="K251" s="1385"/>
      <c r="L251" s="1385"/>
      <c r="M251" s="1214"/>
      <c r="N251" s="1214"/>
      <c r="O251" s="1214"/>
      <c r="P251" s="1214"/>
      <c r="Q251" s="1214"/>
    </row>
    <row r="252" spans="1:17" s="1199" customFormat="1" ht="24" customHeight="1">
      <c r="A252" s="1406" t="s">
        <v>1313</v>
      </c>
      <c r="B252" s="2174" t="s">
        <v>1529</v>
      </c>
      <c r="C252" s="1202"/>
      <c r="D252" s="1202"/>
      <c r="E252" s="1387">
        <v>24</v>
      </c>
      <c r="F252" s="1207" t="s">
        <v>363</v>
      </c>
      <c r="G252" s="2176">
        <v>900</v>
      </c>
      <c r="H252" s="1264">
        <f t="shared" ref="H252:H257" si="39">ROUND(G252*E252,)</f>
        <v>21600</v>
      </c>
      <c r="I252" s="2177">
        <v>140</v>
      </c>
      <c r="J252" s="1264">
        <f t="shared" ref="J252:J263" si="40">ROUND(E252*I252,)</f>
        <v>3360</v>
      </c>
      <c r="K252" s="1273">
        <f t="shared" ref="K252:K263" si="41">H252+J252</f>
        <v>24960</v>
      </c>
      <c r="L252" s="1385"/>
      <c r="M252" s="1214"/>
      <c r="N252" s="1214"/>
      <c r="O252" s="1214"/>
      <c r="P252" s="1214"/>
      <c r="Q252" s="1214"/>
    </row>
    <row r="253" spans="1:17" s="1199" customFormat="1" ht="24" customHeight="1">
      <c r="A253" s="1406" t="s">
        <v>1547</v>
      </c>
      <c r="B253" s="2174" t="s">
        <v>1531</v>
      </c>
      <c r="C253" s="1202"/>
      <c r="D253" s="1202"/>
      <c r="E253" s="1387">
        <v>2</v>
      </c>
      <c r="F253" s="1207" t="s">
        <v>363</v>
      </c>
      <c r="G253" s="2176">
        <v>3800</v>
      </c>
      <c r="H253" s="1264">
        <f t="shared" si="39"/>
        <v>7600</v>
      </c>
      <c r="I253" s="2177">
        <v>200</v>
      </c>
      <c r="J253" s="1264">
        <f t="shared" si="40"/>
        <v>400</v>
      </c>
      <c r="K253" s="1273">
        <f t="shared" si="41"/>
        <v>8000</v>
      </c>
      <c r="L253" s="1385"/>
      <c r="M253" s="1214"/>
      <c r="N253" s="1214"/>
      <c r="O253" s="1214"/>
      <c r="P253" s="1214"/>
      <c r="Q253" s="1214"/>
    </row>
    <row r="254" spans="1:17" s="1199" customFormat="1" ht="24" customHeight="1">
      <c r="A254" s="1406" t="s">
        <v>1549</v>
      </c>
      <c r="B254" s="2174" t="s">
        <v>1532</v>
      </c>
      <c r="C254" s="1202"/>
      <c r="D254" s="1202"/>
      <c r="E254" s="1387">
        <v>2</v>
      </c>
      <c r="F254" s="1207" t="s">
        <v>363</v>
      </c>
      <c r="G254" s="2176">
        <v>5000</v>
      </c>
      <c r="H254" s="1264">
        <f t="shared" si="39"/>
        <v>10000</v>
      </c>
      <c r="I254" s="2177">
        <f>G254*0.1</f>
        <v>500</v>
      </c>
      <c r="J254" s="1264">
        <f t="shared" si="40"/>
        <v>1000</v>
      </c>
      <c r="K254" s="1273">
        <f t="shared" si="41"/>
        <v>11000</v>
      </c>
      <c r="L254" s="1385"/>
      <c r="M254" s="1214"/>
      <c r="N254" s="1214"/>
      <c r="O254" s="1214"/>
      <c r="P254" s="1214"/>
      <c r="Q254" s="1214"/>
    </row>
    <row r="255" spans="1:17" s="1199" customFormat="1" ht="24" customHeight="1">
      <c r="A255" s="1406" t="s">
        <v>1631</v>
      </c>
      <c r="B255" s="2174" t="s">
        <v>1312</v>
      </c>
      <c r="C255" s="1202"/>
      <c r="D255" s="1202"/>
      <c r="E255" s="1387"/>
      <c r="F255" s="1384"/>
      <c r="G255" s="2176"/>
      <c r="H255" s="1264">
        <f t="shared" si="39"/>
        <v>0</v>
      </c>
      <c r="I255" s="2177"/>
      <c r="J255" s="1264">
        <f t="shared" si="40"/>
        <v>0</v>
      </c>
      <c r="K255" s="1273">
        <f t="shared" si="41"/>
        <v>0</v>
      </c>
      <c r="L255" s="1385"/>
      <c r="M255" s="1214"/>
      <c r="N255" s="1214"/>
      <c r="O255" s="1214"/>
      <c r="P255" s="1214"/>
      <c r="Q255" s="1214"/>
    </row>
    <row r="256" spans="1:17" s="1199" customFormat="1" ht="24" customHeight="1">
      <c r="A256" s="1331"/>
      <c r="B256" s="2174" t="s">
        <v>1534</v>
      </c>
      <c r="C256" s="1202"/>
      <c r="D256" s="1202"/>
      <c r="E256" s="1387">
        <v>827.99999999999989</v>
      </c>
      <c r="F256" s="1358" t="s">
        <v>226</v>
      </c>
      <c r="G256" s="2176">
        <v>32</v>
      </c>
      <c r="H256" s="1264">
        <f t="shared" si="39"/>
        <v>26496</v>
      </c>
      <c r="I256" s="2177">
        <v>11</v>
      </c>
      <c r="J256" s="1264">
        <f t="shared" si="40"/>
        <v>9108</v>
      </c>
      <c r="K256" s="1802">
        <f t="shared" si="41"/>
        <v>35604</v>
      </c>
      <c r="L256" s="2001" t="s">
        <v>2667</v>
      </c>
      <c r="M256" s="1214"/>
      <c r="N256" s="1199">
        <v>3183</v>
      </c>
      <c r="O256" s="1199">
        <f>ROUND(N256/100,)</f>
        <v>32</v>
      </c>
      <c r="P256" s="1214"/>
      <c r="Q256" s="1214"/>
    </row>
    <row r="257" spans="1:17" s="1199" customFormat="1" ht="24" customHeight="1">
      <c r="A257" s="1331"/>
      <c r="B257" s="2174" t="s">
        <v>1535</v>
      </c>
      <c r="C257" s="1202"/>
      <c r="D257" s="1202"/>
      <c r="E257" s="1387">
        <v>114.99999999999999</v>
      </c>
      <c r="F257" s="1358" t="s">
        <v>226</v>
      </c>
      <c r="G257" s="2176">
        <v>40</v>
      </c>
      <c r="H257" s="1264">
        <f t="shared" si="39"/>
        <v>4600</v>
      </c>
      <c r="I257" s="2177">
        <v>12</v>
      </c>
      <c r="J257" s="1264">
        <f t="shared" si="40"/>
        <v>1380</v>
      </c>
      <c r="K257" s="1802">
        <f t="shared" si="41"/>
        <v>5980</v>
      </c>
      <c r="L257" s="2001" t="s">
        <v>2667</v>
      </c>
      <c r="M257" s="1214"/>
      <c r="N257" s="1199">
        <v>4039</v>
      </c>
      <c r="O257" s="1199">
        <f>ROUND(N257/100,)</f>
        <v>40</v>
      </c>
      <c r="P257" s="1214"/>
      <c r="Q257" s="1214"/>
    </row>
    <row r="258" spans="1:17" s="1199" customFormat="1" ht="24" customHeight="1">
      <c r="A258" s="1331"/>
      <c r="B258" s="2174" t="s">
        <v>1525</v>
      </c>
      <c r="C258" s="1202"/>
      <c r="D258" s="1202"/>
      <c r="E258" s="1387">
        <v>1</v>
      </c>
      <c r="F258" s="1384" t="s">
        <v>1104</v>
      </c>
      <c r="G258" s="2176">
        <f>ROUND(SUM(H256:H257)*5%,)</f>
        <v>1555</v>
      </c>
      <c r="H258" s="1264">
        <f>ROUND(E258*G258,)</f>
        <v>1555</v>
      </c>
      <c r="I258" s="1265">
        <f>ROUND(G258*0.3,)</f>
        <v>467</v>
      </c>
      <c r="J258" s="1264">
        <f t="shared" si="40"/>
        <v>467</v>
      </c>
      <c r="K258" s="1273">
        <f t="shared" si="41"/>
        <v>2022</v>
      </c>
      <c r="L258" s="1385"/>
      <c r="M258" s="1214"/>
      <c r="N258" s="1214"/>
      <c r="O258" s="1214"/>
      <c r="P258" s="1214"/>
      <c r="Q258" s="1214"/>
    </row>
    <row r="259" spans="1:17" s="1199" customFormat="1" ht="24" customHeight="1">
      <c r="A259" s="1406" t="s">
        <v>1610</v>
      </c>
      <c r="B259" s="2174" t="s">
        <v>1526</v>
      </c>
      <c r="C259" s="1202"/>
      <c r="D259" s="1202"/>
      <c r="E259" s="1387"/>
      <c r="F259" s="1384"/>
      <c r="G259" s="2176"/>
      <c r="H259" s="1264">
        <f>ROUND(G259*E259,)</f>
        <v>0</v>
      </c>
      <c r="I259" s="2177"/>
      <c r="J259" s="1264">
        <f t="shared" si="40"/>
        <v>0</v>
      </c>
      <c r="K259" s="1273">
        <f t="shared" si="41"/>
        <v>0</v>
      </c>
      <c r="L259" s="1385"/>
      <c r="M259" s="1214"/>
      <c r="N259" s="1214"/>
      <c r="O259" s="1214"/>
      <c r="P259" s="1214"/>
      <c r="Q259" s="1214"/>
    </row>
    <row r="260" spans="1:17" s="1199" customFormat="1" ht="24" customHeight="1">
      <c r="A260" s="1331"/>
      <c r="B260" s="2174" t="s">
        <v>1350</v>
      </c>
      <c r="C260" s="1202"/>
      <c r="D260" s="1202"/>
      <c r="E260" s="1387">
        <v>942.99999999999989</v>
      </c>
      <c r="F260" s="1358" t="s">
        <v>226</v>
      </c>
      <c r="G260" s="2176">
        <v>27</v>
      </c>
      <c r="H260" s="1264">
        <f t="shared" ref="H260" si="42">ROUND(G260*E260,)</f>
        <v>25461</v>
      </c>
      <c r="I260" s="2177">
        <v>22</v>
      </c>
      <c r="J260" s="1264">
        <f t="shared" si="40"/>
        <v>20746</v>
      </c>
      <c r="K260" s="1801">
        <f t="shared" si="41"/>
        <v>46207</v>
      </c>
      <c r="L260" s="2001" t="s">
        <v>2667</v>
      </c>
      <c r="M260" s="1214"/>
      <c r="N260" s="1199">
        <v>79.8</v>
      </c>
      <c r="O260" s="1199">
        <f>ROUND(N260/3,)</f>
        <v>27</v>
      </c>
      <c r="P260" s="1214"/>
      <c r="Q260" s="1214"/>
    </row>
    <row r="261" spans="1:17" s="1199" customFormat="1" ht="24" customHeight="1">
      <c r="A261" s="1331"/>
      <c r="B261" s="2174" t="s">
        <v>1384</v>
      </c>
      <c r="C261" s="1202"/>
      <c r="D261" s="1202"/>
      <c r="E261" s="1387">
        <v>1</v>
      </c>
      <c r="F261" s="1407" t="s">
        <v>1104</v>
      </c>
      <c r="G261" s="2176">
        <f>ROUND(SUM(H260:H260)*15%,)</f>
        <v>3819</v>
      </c>
      <c r="H261" s="1264">
        <f>ROUND(G261*E261,)</f>
        <v>3819</v>
      </c>
      <c r="I261" s="1265">
        <f>ROUND(G261*0.3,)</f>
        <v>1146</v>
      </c>
      <c r="J261" s="1264">
        <f t="shared" si="40"/>
        <v>1146</v>
      </c>
      <c r="K261" s="1273">
        <f t="shared" si="41"/>
        <v>4965</v>
      </c>
      <c r="L261" s="1385"/>
      <c r="M261" s="1214"/>
      <c r="N261" s="1214"/>
      <c r="O261" s="1214"/>
      <c r="P261" s="1214"/>
      <c r="Q261" s="1214"/>
    </row>
    <row r="262" spans="1:17" s="1199" customFormat="1" ht="24" customHeight="1">
      <c r="A262" s="1331" t="s">
        <v>1632</v>
      </c>
      <c r="B262" s="2174" t="s">
        <v>1449</v>
      </c>
      <c r="C262" s="1202"/>
      <c r="D262" s="1202"/>
      <c r="E262" s="1387"/>
      <c r="F262" s="1384"/>
      <c r="G262" s="2176"/>
      <c r="H262" s="1264">
        <f>ROUND(G262*E262,)</f>
        <v>0</v>
      </c>
      <c r="I262" s="2177"/>
      <c r="J262" s="1264">
        <f t="shared" si="40"/>
        <v>0</v>
      </c>
      <c r="K262" s="1273">
        <f t="shared" si="41"/>
        <v>0</v>
      </c>
      <c r="L262" s="1385"/>
      <c r="M262" s="1214"/>
      <c r="N262" s="1214"/>
      <c r="O262" s="1214"/>
      <c r="P262" s="1214"/>
      <c r="Q262" s="1214"/>
    </row>
    <row r="263" spans="1:17" s="1199" customFormat="1" ht="24" customHeight="1">
      <c r="A263" s="1331"/>
      <c r="B263" s="2174" t="s">
        <v>1350</v>
      </c>
      <c r="C263" s="1202"/>
      <c r="D263" s="1202"/>
      <c r="E263" s="1387">
        <v>24</v>
      </c>
      <c r="F263" s="1358" t="s">
        <v>226</v>
      </c>
      <c r="G263" s="2176">
        <v>14</v>
      </c>
      <c r="H263" s="1264">
        <f>ROUND(G263*E263,)</f>
        <v>336</v>
      </c>
      <c r="I263" s="2177">
        <v>11</v>
      </c>
      <c r="J263" s="1264">
        <f t="shared" si="40"/>
        <v>264</v>
      </c>
      <c r="K263" s="1273">
        <f t="shared" si="41"/>
        <v>600</v>
      </c>
      <c r="L263" s="1385"/>
      <c r="M263" s="1214"/>
      <c r="N263" s="1214"/>
      <c r="O263" s="1214"/>
      <c r="P263" s="1214"/>
      <c r="Q263" s="1214"/>
    </row>
    <row r="264" spans="1:17" s="1199" customFormat="1" ht="24" customHeight="1">
      <c r="A264" s="1331"/>
      <c r="B264" s="2174" t="s">
        <v>1117</v>
      </c>
      <c r="C264" s="1202"/>
      <c r="D264" s="1202"/>
      <c r="E264" s="1387"/>
      <c r="F264" s="1384"/>
      <c r="G264" s="2176"/>
      <c r="H264" s="1388"/>
      <c r="I264" s="2177"/>
      <c r="J264" s="1385"/>
      <c r="K264" s="1385"/>
      <c r="L264" s="1385"/>
      <c r="M264" s="1214"/>
      <c r="N264" s="1214"/>
      <c r="O264" s="1214"/>
      <c r="P264" s="1214"/>
      <c r="Q264" s="1214"/>
    </row>
    <row r="265" spans="1:17" s="1199" customFormat="1" ht="24" customHeight="1">
      <c r="A265" s="1331"/>
      <c r="B265" s="2174" t="s">
        <v>1118</v>
      </c>
      <c r="C265" s="1202"/>
      <c r="D265" s="1202"/>
      <c r="E265" s="1387"/>
      <c r="F265" s="1384"/>
      <c r="G265" s="2176"/>
      <c r="H265" s="1388"/>
      <c r="I265" s="2177"/>
      <c r="J265" s="1385"/>
      <c r="K265" s="1385"/>
      <c r="L265" s="1385"/>
      <c r="M265" s="1214"/>
      <c r="N265" s="1214"/>
      <c r="O265" s="1214"/>
      <c r="P265" s="1214"/>
      <c r="Q265" s="1214"/>
    </row>
    <row r="266" spans="1:17" s="1199" customFormat="1" ht="24" customHeight="1">
      <c r="A266" s="1243"/>
      <c r="B266" s="2257" t="str">
        <f>"รวมราคารายการที่ "&amp;A251</f>
        <v>รวมราคารายการที่ 3.9</v>
      </c>
      <c r="C266" s="2258"/>
      <c r="D266" s="2259"/>
      <c r="E266" s="1244"/>
      <c r="F266" s="1245"/>
      <c r="G266" s="1246"/>
      <c r="H266" s="1247">
        <f>SUM(H252:H265)</f>
        <v>101467</v>
      </c>
      <c r="I266" s="1246"/>
      <c r="J266" s="1247">
        <f>SUM(J252:J265)</f>
        <v>37871</v>
      </c>
      <c r="K266" s="1247">
        <f>SUM(K252:K265)</f>
        <v>139338</v>
      </c>
      <c r="L266" s="1245"/>
      <c r="M266" s="1214"/>
      <c r="N266" s="1214"/>
      <c r="O266" s="1214"/>
      <c r="P266" s="1214"/>
      <c r="Q266" s="1214"/>
    </row>
    <row r="267" spans="1:17" s="1199" customFormat="1" ht="24" customHeight="1">
      <c r="A267" s="1381" t="s">
        <v>1332</v>
      </c>
      <c r="B267" s="1292" t="s">
        <v>1419</v>
      </c>
      <c r="C267" s="1235"/>
      <c r="D267" s="1235"/>
      <c r="E267" s="1397"/>
      <c r="F267" s="1398"/>
      <c r="G267" s="1399"/>
      <c r="H267" s="1400"/>
      <c r="I267" s="1401"/>
      <c r="J267" s="1402"/>
      <c r="K267" s="1402"/>
      <c r="L267" s="1402"/>
      <c r="M267" s="1214"/>
      <c r="N267" s="1214"/>
      <c r="O267" s="1214"/>
      <c r="P267" s="1214"/>
      <c r="Q267" s="1214"/>
    </row>
    <row r="268" spans="1:17" s="1199" customFormat="1" ht="24" customHeight="1">
      <c r="A268" s="1331" t="s">
        <v>1334</v>
      </c>
      <c r="B268" s="2174" t="s">
        <v>1539</v>
      </c>
      <c r="C268" s="1202"/>
      <c r="D268" s="1202"/>
      <c r="E268" s="1387"/>
      <c r="F268" s="1384"/>
      <c r="G268" s="2176"/>
      <c r="H268" s="1388"/>
      <c r="I268" s="2177"/>
      <c r="J268" s="1385"/>
      <c r="K268" s="1385"/>
      <c r="L268" s="1385"/>
      <c r="M268" s="1214"/>
      <c r="N268" s="1214"/>
      <c r="O268" s="1214"/>
      <c r="P268" s="1214"/>
      <c r="Q268" s="1214"/>
    </row>
    <row r="269" spans="1:17" s="1199" customFormat="1" ht="24" customHeight="1">
      <c r="A269" s="1331"/>
      <c r="B269" s="2174" t="s">
        <v>1540</v>
      </c>
      <c r="C269" s="1202"/>
      <c r="D269" s="1202"/>
      <c r="E269" s="1387">
        <v>2</v>
      </c>
      <c r="F269" s="1207" t="s">
        <v>363</v>
      </c>
      <c r="G269" s="2176">
        <v>46645</v>
      </c>
      <c r="H269" s="1388">
        <f t="shared" ref="H269:H274" si="43">ROUND(E269*G269,)</f>
        <v>93290</v>
      </c>
      <c r="I269" s="2177">
        <v>5000</v>
      </c>
      <c r="J269" s="1385">
        <f>ROUND(E269*I269,)</f>
        <v>10000</v>
      </c>
      <c r="K269" s="1385">
        <f t="shared" ref="K269:K274" si="44">H269+J269</f>
        <v>103290</v>
      </c>
      <c r="L269" s="1385"/>
      <c r="M269" s="1214"/>
      <c r="N269" s="1214"/>
      <c r="O269" s="1214"/>
      <c r="P269" s="1214"/>
      <c r="Q269" s="1214"/>
    </row>
    <row r="270" spans="1:17" s="1199" customFormat="1" ht="24" customHeight="1">
      <c r="A270" s="1331"/>
      <c r="B270" s="2174" t="s">
        <v>1541</v>
      </c>
      <c r="C270" s="1202"/>
      <c r="D270" s="1202"/>
      <c r="E270" s="1387">
        <v>4</v>
      </c>
      <c r="F270" s="1207" t="s">
        <v>363</v>
      </c>
      <c r="G270" s="2176">
        <v>21375</v>
      </c>
      <c r="H270" s="1388">
        <f t="shared" si="43"/>
        <v>85500</v>
      </c>
      <c r="I270" s="2177" t="s">
        <v>1542</v>
      </c>
      <c r="J270" s="1385"/>
      <c r="K270" s="1385">
        <f t="shared" si="44"/>
        <v>85500</v>
      </c>
      <c r="L270" s="1385"/>
      <c r="M270" s="1214"/>
      <c r="N270" s="1214"/>
      <c r="O270" s="1214"/>
      <c r="P270" s="1214"/>
      <c r="Q270" s="1214"/>
    </row>
    <row r="271" spans="1:17" s="1199" customFormat="1" ht="24" customHeight="1">
      <c r="A271" s="1331"/>
      <c r="B271" s="2174" t="s">
        <v>1543</v>
      </c>
      <c r="C271" s="1202"/>
      <c r="D271" s="1202"/>
      <c r="E271" s="1387">
        <v>4</v>
      </c>
      <c r="F271" s="1207" t="s">
        <v>363</v>
      </c>
      <c r="G271" s="2176">
        <v>9025</v>
      </c>
      <c r="H271" s="1388">
        <f t="shared" si="43"/>
        <v>36100</v>
      </c>
      <c r="I271" s="2177" t="s">
        <v>1542</v>
      </c>
      <c r="J271" s="1385"/>
      <c r="K271" s="1385">
        <f t="shared" si="44"/>
        <v>36100</v>
      </c>
      <c r="L271" s="1385"/>
      <c r="M271" s="1214"/>
      <c r="N271" s="1214"/>
      <c r="O271" s="1214"/>
      <c r="P271" s="1214"/>
      <c r="Q271" s="1214"/>
    </row>
    <row r="272" spans="1:17" s="1199" customFormat="1" ht="24" customHeight="1">
      <c r="A272" s="1331"/>
      <c r="B272" s="2174" t="s">
        <v>1544</v>
      </c>
      <c r="C272" s="1202"/>
      <c r="D272" s="1202"/>
      <c r="E272" s="1387">
        <v>4</v>
      </c>
      <c r="F272" s="1207" t="s">
        <v>363</v>
      </c>
      <c r="G272" s="2176">
        <v>1995</v>
      </c>
      <c r="H272" s="1388">
        <f t="shared" si="43"/>
        <v>7980</v>
      </c>
      <c r="I272" s="2177" t="s">
        <v>1542</v>
      </c>
      <c r="J272" s="1385"/>
      <c r="K272" s="1385">
        <f t="shared" si="44"/>
        <v>7980</v>
      </c>
      <c r="L272" s="1385"/>
      <c r="M272" s="1214"/>
      <c r="N272" s="1214"/>
      <c r="O272" s="1214"/>
      <c r="P272" s="1214"/>
      <c r="Q272" s="1214"/>
    </row>
    <row r="273" spans="1:17" s="1199" customFormat="1" ht="24" customHeight="1">
      <c r="A273" s="1331"/>
      <c r="B273" s="2174" t="s">
        <v>1545</v>
      </c>
      <c r="C273" s="1202"/>
      <c r="D273" s="1202"/>
      <c r="E273" s="1387">
        <v>4</v>
      </c>
      <c r="F273" s="1207" t="s">
        <v>363</v>
      </c>
      <c r="G273" s="2176">
        <v>427.5</v>
      </c>
      <c r="H273" s="1388">
        <f t="shared" si="43"/>
        <v>1710</v>
      </c>
      <c r="I273" s="2177" t="s">
        <v>1542</v>
      </c>
      <c r="J273" s="1385"/>
      <c r="K273" s="1385">
        <f t="shared" si="44"/>
        <v>1710</v>
      </c>
      <c r="L273" s="1385"/>
      <c r="M273" s="1214"/>
      <c r="N273" s="1214"/>
      <c r="O273" s="1214"/>
      <c r="P273" s="1214"/>
      <c r="Q273" s="1214"/>
    </row>
    <row r="274" spans="1:17" s="1199" customFormat="1" ht="24" customHeight="1">
      <c r="A274" s="1331"/>
      <c r="B274" s="2174" t="s">
        <v>1546</v>
      </c>
      <c r="C274" s="1202"/>
      <c r="D274" s="1202"/>
      <c r="E274" s="1404">
        <v>4</v>
      </c>
      <c r="F274" s="1207" t="s">
        <v>363</v>
      </c>
      <c r="G274" s="2176">
        <v>807.5</v>
      </c>
      <c r="H274" s="1388">
        <f t="shared" si="43"/>
        <v>3230</v>
      </c>
      <c r="I274" s="2177" t="s">
        <v>1542</v>
      </c>
      <c r="J274" s="1385"/>
      <c r="K274" s="1385">
        <f t="shared" si="44"/>
        <v>3230</v>
      </c>
      <c r="L274" s="1385"/>
      <c r="M274" s="1214"/>
      <c r="N274" s="1214"/>
      <c r="O274" s="1214"/>
      <c r="P274" s="1214"/>
      <c r="Q274" s="1214"/>
    </row>
    <row r="275" spans="1:17" s="1199" customFormat="1" ht="24" customHeight="1">
      <c r="A275" s="1406" t="s">
        <v>1556</v>
      </c>
      <c r="B275" s="2174" t="s">
        <v>1312</v>
      </c>
      <c r="C275" s="1202"/>
      <c r="D275" s="1202"/>
      <c r="E275" s="1404"/>
      <c r="F275" s="1384"/>
      <c r="G275" s="2176"/>
      <c r="H275" s="1388"/>
      <c r="I275" s="2177"/>
      <c r="J275" s="1385"/>
      <c r="K275" s="1385"/>
      <c r="L275" s="1385"/>
      <c r="M275" s="1214"/>
      <c r="N275" s="1214"/>
      <c r="O275" s="1214"/>
      <c r="P275" s="1214"/>
      <c r="Q275" s="1214"/>
    </row>
    <row r="276" spans="1:17" s="1199" customFormat="1" ht="24" customHeight="1">
      <c r="A276" s="1331"/>
      <c r="B276" s="2174" t="s">
        <v>1548</v>
      </c>
      <c r="C276" s="1202"/>
      <c r="D276" s="1202"/>
      <c r="E276" s="1404">
        <v>237.66666666666666</v>
      </c>
      <c r="F276" s="1358" t="s">
        <v>226</v>
      </c>
      <c r="G276" s="2176">
        <v>37</v>
      </c>
      <c r="H276" s="1388">
        <f>ROUND(E276*G276,)</f>
        <v>8794</v>
      </c>
      <c r="I276" s="2177">
        <v>5</v>
      </c>
      <c r="J276" s="1385">
        <f>ROUND(E276*I276,)</f>
        <v>1188</v>
      </c>
      <c r="K276" s="1385">
        <f>H276+J276</f>
        <v>9982</v>
      </c>
      <c r="L276" s="1385"/>
      <c r="M276" s="1214"/>
      <c r="N276" s="1214"/>
      <c r="O276" s="1214"/>
      <c r="P276" s="1214"/>
      <c r="Q276" s="1214"/>
    </row>
    <row r="277" spans="1:17" s="1199" customFormat="1" ht="24" customHeight="1">
      <c r="A277" s="1331"/>
      <c r="B277" s="2174" t="s">
        <v>1525</v>
      </c>
      <c r="C277" s="1202"/>
      <c r="D277" s="1202"/>
      <c r="E277" s="1404">
        <v>1</v>
      </c>
      <c r="F277" s="1384" t="s">
        <v>1104</v>
      </c>
      <c r="G277" s="2176">
        <f>ROUND(SUM(H276)*5%,)</f>
        <v>440</v>
      </c>
      <c r="H277" s="1264">
        <f>ROUND(E277*G277,)</f>
        <v>440</v>
      </c>
      <c r="I277" s="1265">
        <f>ROUND(G277*0.3,)</f>
        <v>132</v>
      </c>
      <c r="J277" s="1264">
        <f>ROUND(E277*I277,)</f>
        <v>132</v>
      </c>
      <c r="K277" s="1273">
        <f>H277+J277</f>
        <v>572</v>
      </c>
      <c r="L277" s="1385"/>
      <c r="M277" s="1214"/>
      <c r="N277" s="1214"/>
      <c r="O277" s="1214"/>
      <c r="P277" s="1214"/>
      <c r="Q277" s="1214"/>
    </row>
    <row r="278" spans="1:17" s="1199" customFormat="1" ht="24" customHeight="1">
      <c r="A278" s="1406" t="s">
        <v>1566</v>
      </c>
      <c r="B278" s="2174" t="s">
        <v>1526</v>
      </c>
      <c r="C278" s="1202"/>
      <c r="D278" s="1202"/>
      <c r="E278" s="1404"/>
      <c r="F278" s="1384"/>
      <c r="G278" s="2176"/>
      <c r="H278" s="1388"/>
      <c r="I278" s="2177"/>
      <c r="J278" s="1385"/>
      <c r="K278" s="1385"/>
      <c r="L278" s="1385"/>
      <c r="M278" s="1214"/>
      <c r="N278" s="1214"/>
      <c r="O278" s="1214"/>
      <c r="P278" s="1214"/>
      <c r="Q278" s="1214"/>
    </row>
    <row r="279" spans="1:17" s="1199" customFormat="1" ht="24" customHeight="1">
      <c r="A279" s="1331"/>
      <c r="B279" s="2174" t="s">
        <v>1350</v>
      </c>
      <c r="C279" s="1202"/>
      <c r="D279" s="1202"/>
      <c r="E279" s="1404">
        <v>237.66666666666666</v>
      </c>
      <c r="F279" s="1358" t="s">
        <v>226</v>
      </c>
      <c r="G279" s="2176">
        <v>27</v>
      </c>
      <c r="H279" s="1264">
        <f t="shared" ref="H279" si="45">ROUND(G279*E279,)</f>
        <v>6417</v>
      </c>
      <c r="I279" s="2177">
        <v>22</v>
      </c>
      <c r="J279" s="1264">
        <f t="shared" ref="J279" si="46">ROUND(E279*I279,)</f>
        <v>5229</v>
      </c>
      <c r="K279" s="1801">
        <f t="shared" ref="K279" si="47">H279+J279</f>
        <v>11646</v>
      </c>
      <c r="L279" s="2001" t="s">
        <v>2667</v>
      </c>
      <c r="M279" s="1214"/>
      <c r="N279" s="1199">
        <v>79.8</v>
      </c>
      <c r="O279" s="1199">
        <f>ROUND(N279/3,)</f>
        <v>27</v>
      </c>
      <c r="P279" s="1214"/>
      <c r="Q279" s="1214"/>
    </row>
    <row r="280" spans="1:17" s="1199" customFormat="1" ht="24" customHeight="1">
      <c r="A280" s="1331"/>
      <c r="B280" s="2174" t="s">
        <v>1384</v>
      </c>
      <c r="C280" s="1202"/>
      <c r="D280" s="1202"/>
      <c r="E280" s="1404">
        <v>1</v>
      </c>
      <c r="F280" s="1384" t="s">
        <v>1104</v>
      </c>
      <c r="G280" s="2176">
        <f>ROUND(H279*15%,)</f>
        <v>963</v>
      </c>
      <c r="H280" s="1264">
        <f>ROUND(G280*E280,)</f>
        <v>963</v>
      </c>
      <c r="I280" s="1265">
        <f>ROUND(G280*0.3,)</f>
        <v>289</v>
      </c>
      <c r="J280" s="1264">
        <f>ROUND(E280*I280,)</f>
        <v>289</v>
      </c>
      <c r="K280" s="1273">
        <f>H280+J280</f>
        <v>1252</v>
      </c>
      <c r="L280" s="1385"/>
      <c r="M280" s="1214"/>
      <c r="N280" s="1214"/>
      <c r="O280" s="1214"/>
      <c r="P280" s="1214"/>
      <c r="Q280" s="1214"/>
    </row>
    <row r="281" spans="1:17" s="1199" customFormat="1" ht="24" customHeight="1">
      <c r="A281" s="1331"/>
      <c r="B281" s="2174" t="s">
        <v>1117</v>
      </c>
      <c r="C281" s="1202"/>
      <c r="D281" s="1202"/>
      <c r="E281" s="1387"/>
      <c r="F281" s="1384"/>
      <c r="G281" s="2176"/>
      <c r="H281" s="1388"/>
      <c r="I281" s="2177"/>
      <c r="J281" s="1385"/>
      <c r="K281" s="1385"/>
      <c r="L281" s="1385"/>
      <c r="M281" s="1214"/>
      <c r="N281" s="1214"/>
      <c r="O281" s="1214"/>
      <c r="P281" s="1214"/>
      <c r="Q281" s="1214"/>
    </row>
    <row r="282" spans="1:17" s="1199" customFormat="1" ht="24" customHeight="1">
      <c r="A282" s="1331"/>
      <c r="B282" s="2174" t="s">
        <v>1118</v>
      </c>
      <c r="C282" s="1202"/>
      <c r="D282" s="1202"/>
      <c r="E282" s="1387"/>
      <c r="F282" s="1384"/>
      <c r="G282" s="2176"/>
      <c r="H282" s="1388"/>
      <c r="I282" s="2177"/>
      <c r="J282" s="1385"/>
      <c r="K282" s="1385"/>
      <c r="L282" s="1385"/>
      <c r="M282" s="1214"/>
      <c r="N282" s="1214"/>
      <c r="O282" s="1214"/>
      <c r="P282" s="1214"/>
      <c r="Q282" s="1214"/>
    </row>
    <row r="283" spans="1:17" s="1199" customFormat="1" ht="24" customHeight="1">
      <c r="A283" s="1331"/>
      <c r="B283" s="2174" t="s">
        <v>1118</v>
      </c>
      <c r="C283" s="1202"/>
      <c r="D283" s="1202"/>
      <c r="E283" s="1387"/>
      <c r="F283" s="1384"/>
      <c r="G283" s="2176"/>
      <c r="H283" s="1388"/>
      <c r="I283" s="2177"/>
      <c r="J283" s="1385"/>
      <c r="K283" s="1385"/>
      <c r="L283" s="1385"/>
      <c r="M283" s="1214"/>
      <c r="N283" s="1214"/>
      <c r="O283" s="1214"/>
      <c r="P283" s="1214"/>
      <c r="Q283" s="1214"/>
    </row>
    <row r="284" spans="1:17" s="1199" customFormat="1" ht="24" customHeight="1">
      <c r="A284" s="1339"/>
      <c r="B284" s="1220"/>
      <c r="C284" s="1221"/>
      <c r="D284" s="1221"/>
      <c r="E284" s="1404"/>
      <c r="F284" s="1412"/>
      <c r="G284" s="1386"/>
      <c r="H284" s="1413"/>
      <c r="I284" s="1414"/>
      <c r="J284" s="1415"/>
      <c r="K284" s="1415"/>
      <c r="L284" s="1415"/>
      <c r="M284" s="1214"/>
      <c r="N284" s="1214"/>
      <c r="O284" s="1214"/>
      <c r="P284" s="1214"/>
    </row>
    <row r="285" spans="1:17" s="1199" customFormat="1" ht="24" customHeight="1">
      <c r="A285" s="1243"/>
      <c r="B285" s="2257" t="str">
        <f>"รวมราคารายการที่ "&amp;A267</f>
        <v>รวมราคารายการที่ 3.10</v>
      </c>
      <c r="C285" s="2258"/>
      <c r="D285" s="2259"/>
      <c r="E285" s="1244"/>
      <c r="F285" s="1245"/>
      <c r="G285" s="1246"/>
      <c r="H285" s="1247">
        <f>SUM(H268:H283)</f>
        <v>244424</v>
      </c>
      <c r="I285" s="1246"/>
      <c r="J285" s="1247">
        <f t="shared" ref="J285:K285" si="48">SUM(J268:J283)</f>
        <v>16838</v>
      </c>
      <c r="K285" s="1247">
        <f t="shared" si="48"/>
        <v>261262</v>
      </c>
      <c r="L285" s="1245"/>
    </row>
    <row r="286" spans="1:17" s="1199" customFormat="1" ht="24" customHeight="1">
      <c r="A286" s="1367" t="s">
        <v>1570</v>
      </c>
      <c r="B286" s="1353" t="s">
        <v>1550</v>
      </c>
      <c r="C286" s="1452"/>
      <c r="D286" s="1452"/>
      <c r="E286" s="1453"/>
      <c r="F286" s="1454"/>
      <c r="G286" s="1455"/>
      <c r="H286" s="820"/>
      <c r="I286" s="1456"/>
      <c r="J286" s="1457"/>
      <c r="K286" s="1457"/>
      <c r="L286" s="1457"/>
      <c r="M286" s="1214"/>
      <c r="N286" s="1214"/>
      <c r="O286" s="1214"/>
      <c r="P286" s="1214"/>
    </row>
    <row r="287" spans="1:17" s="1199" customFormat="1" ht="24" customHeight="1">
      <c r="A287" s="1458" t="s">
        <v>1348</v>
      </c>
      <c r="B287" s="1220" t="s">
        <v>1551</v>
      </c>
      <c r="C287" s="1221"/>
      <c r="D287" s="1221"/>
      <c r="E287" s="1459"/>
      <c r="F287" s="1460"/>
      <c r="G287" s="1461"/>
      <c r="H287" s="1462"/>
      <c r="I287" s="1463"/>
      <c r="J287" s="1462"/>
      <c r="K287" s="1464"/>
      <c r="L287" s="1415"/>
      <c r="M287" s="1214"/>
      <c r="N287" s="1214"/>
      <c r="O287" s="1214"/>
      <c r="P287" s="1214"/>
    </row>
    <row r="288" spans="1:17" s="1199" customFormat="1" ht="24" customHeight="1">
      <c r="A288" s="1339"/>
      <c r="B288" s="1220" t="s">
        <v>2930</v>
      </c>
      <c r="C288" s="1221"/>
      <c r="D288" s="1221"/>
      <c r="E288" s="1404">
        <v>1</v>
      </c>
      <c r="F288" s="1223" t="s">
        <v>363</v>
      </c>
      <c r="G288" s="1386">
        <v>92400</v>
      </c>
      <c r="H288" s="1413">
        <f t="shared" ref="H288:H289" si="49">ROUND(E288*G288,)</f>
        <v>92400</v>
      </c>
      <c r="I288" s="1414">
        <f>G288*0.1</f>
        <v>9240</v>
      </c>
      <c r="J288" s="1415">
        <f>ROUND(E288*I288,)</f>
        <v>9240</v>
      </c>
      <c r="K288" s="1415">
        <f t="shared" ref="K288:K289" si="50">H288+J288</f>
        <v>101640</v>
      </c>
      <c r="L288" s="1415"/>
      <c r="M288" s="1214"/>
      <c r="N288" s="1214"/>
      <c r="O288" s="1214"/>
      <c r="P288" s="1214"/>
    </row>
    <row r="289" spans="1:16" s="1199" customFormat="1" ht="24" customHeight="1">
      <c r="A289" s="1339"/>
      <c r="B289" s="1220" t="s">
        <v>2931</v>
      </c>
      <c r="C289" s="1221"/>
      <c r="D289" s="1221"/>
      <c r="E289" s="1404">
        <v>1</v>
      </c>
      <c r="F289" s="1223" t="s">
        <v>363</v>
      </c>
      <c r="G289" s="1386">
        <v>92400</v>
      </c>
      <c r="H289" s="1413">
        <f t="shared" si="49"/>
        <v>92400</v>
      </c>
      <c r="I289" s="1414">
        <f>G289*0.1</f>
        <v>9240</v>
      </c>
      <c r="J289" s="1415">
        <f>ROUND(E289*I289,)</f>
        <v>9240</v>
      </c>
      <c r="K289" s="1415">
        <f t="shared" si="50"/>
        <v>101640</v>
      </c>
      <c r="L289" s="1415"/>
      <c r="M289" s="1214"/>
      <c r="N289" s="1214"/>
      <c r="O289" s="1214"/>
      <c r="P289" s="1214"/>
    </row>
    <row r="290" spans="1:16" s="1199" customFormat="1" ht="24" customHeight="1">
      <c r="A290" s="1458" t="s">
        <v>1349</v>
      </c>
      <c r="B290" s="1220" t="s">
        <v>1557</v>
      </c>
      <c r="C290" s="1221"/>
      <c r="D290" s="1221"/>
      <c r="E290" s="1459"/>
      <c r="F290" s="1460"/>
      <c r="G290" s="1461"/>
      <c r="H290" s="1462"/>
      <c r="I290" s="1463"/>
      <c r="J290" s="1462"/>
      <c r="K290" s="1464"/>
      <c r="L290" s="1415"/>
      <c r="M290" s="1214"/>
      <c r="N290" s="1214"/>
      <c r="O290" s="1214"/>
      <c r="P290" s="1214"/>
    </row>
    <row r="291" spans="1:16" s="1199" customFormat="1" ht="24" customHeight="1">
      <c r="A291" s="1339"/>
      <c r="B291" s="1220" t="s">
        <v>2932</v>
      </c>
      <c r="C291" s="1221"/>
      <c r="D291" s="1221"/>
      <c r="E291" s="1404">
        <v>1</v>
      </c>
      <c r="F291" s="1223" t="s">
        <v>363</v>
      </c>
      <c r="G291" s="1386">
        <v>3500</v>
      </c>
      <c r="H291" s="1413">
        <f t="shared" ref="H291:H292" si="51">ROUND(E291*G291,)</f>
        <v>3500</v>
      </c>
      <c r="I291" s="1414">
        <f t="shared" ref="I291:I292" si="52">G291*0.1</f>
        <v>350</v>
      </c>
      <c r="J291" s="1415">
        <f t="shared" ref="J291:J292" si="53">ROUND(E291*I291,)</f>
        <v>350</v>
      </c>
      <c r="K291" s="1415">
        <f t="shared" ref="K291:K292" si="54">H291+J291</f>
        <v>3850</v>
      </c>
      <c r="L291" s="1415"/>
      <c r="M291" s="1214"/>
      <c r="N291" s="1214"/>
      <c r="O291" s="1214"/>
      <c r="P291" s="1214"/>
    </row>
    <row r="292" spans="1:16" s="1199" customFormat="1" ht="24" customHeight="1">
      <c r="A292" s="1339"/>
      <c r="B292" s="1220" t="s">
        <v>2933</v>
      </c>
      <c r="C292" s="1221"/>
      <c r="D292" s="1221"/>
      <c r="E292" s="1404">
        <v>1</v>
      </c>
      <c r="F292" s="1223" t="s">
        <v>363</v>
      </c>
      <c r="G292" s="1386">
        <v>3500</v>
      </c>
      <c r="H292" s="1413">
        <f t="shared" si="51"/>
        <v>3500</v>
      </c>
      <c r="I292" s="1414">
        <f t="shared" si="52"/>
        <v>350</v>
      </c>
      <c r="J292" s="1415">
        <f t="shared" si="53"/>
        <v>350</v>
      </c>
      <c r="K292" s="1415">
        <f t="shared" si="54"/>
        <v>3850</v>
      </c>
      <c r="L292" s="1415"/>
      <c r="M292" s="1214"/>
      <c r="N292" s="1214"/>
      <c r="O292" s="1214"/>
      <c r="P292" s="1214"/>
    </row>
    <row r="293" spans="1:16" s="1199" customFormat="1" ht="24" customHeight="1">
      <c r="A293" s="1458" t="s">
        <v>1577</v>
      </c>
      <c r="B293" s="1465" t="s">
        <v>1312</v>
      </c>
      <c r="C293" s="1452"/>
      <c r="D293" s="1452"/>
      <c r="E293" s="1453"/>
      <c r="F293" s="1454"/>
      <c r="G293" s="1386"/>
      <c r="H293" s="1413"/>
      <c r="I293" s="1414"/>
      <c r="J293" s="1415"/>
      <c r="K293" s="1415"/>
      <c r="L293" s="1457"/>
      <c r="M293" s="1214"/>
      <c r="N293" s="1214"/>
      <c r="O293" s="1214"/>
      <c r="P293" s="1214"/>
    </row>
    <row r="294" spans="1:16" s="1199" customFormat="1" ht="24" customHeight="1">
      <c r="A294" s="1339"/>
      <c r="B294" s="1220" t="s">
        <v>1567</v>
      </c>
      <c r="C294" s="1221"/>
      <c r="D294" s="1221"/>
      <c r="E294" s="1404">
        <v>200</v>
      </c>
      <c r="F294" s="1262" t="s">
        <v>226</v>
      </c>
      <c r="G294" s="1386">
        <v>103</v>
      </c>
      <c r="H294" s="1413">
        <f>ROUND(E294*G294,)</f>
        <v>20600</v>
      </c>
      <c r="I294" s="1414">
        <v>21</v>
      </c>
      <c r="J294" s="1415">
        <f>ROUND(E294*I294,)</f>
        <v>4200</v>
      </c>
      <c r="K294" s="1415">
        <f>H294+J294</f>
        <v>24800</v>
      </c>
      <c r="L294" s="1415"/>
      <c r="M294" s="1214"/>
      <c r="N294" s="1214"/>
      <c r="O294" s="1214"/>
      <c r="P294" s="1214"/>
    </row>
    <row r="295" spans="1:16" s="1199" customFormat="1" ht="24" customHeight="1">
      <c r="A295" s="1339"/>
      <c r="B295" s="1220" t="s">
        <v>1568</v>
      </c>
      <c r="C295" s="1221"/>
      <c r="D295" s="1221"/>
      <c r="E295" s="1404">
        <v>120</v>
      </c>
      <c r="F295" s="1262" t="s">
        <v>226</v>
      </c>
      <c r="G295" s="1386">
        <v>139</v>
      </c>
      <c r="H295" s="1413">
        <f>ROUND(E295*G295,)</f>
        <v>16680</v>
      </c>
      <c r="I295" s="1414">
        <v>21</v>
      </c>
      <c r="J295" s="1415">
        <f>ROUND(E295*I295,)</f>
        <v>2520</v>
      </c>
      <c r="K295" s="1415">
        <f>H295+J295</f>
        <v>19200</v>
      </c>
      <c r="L295" s="1415"/>
      <c r="M295" s="1214"/>
      <c r="N295" s="1214"/>
      <c r="O295" s="1214"/>
      <c r="P295" s="1214"/>
    </row>
    <row r="296" spans="1:16" s="1199" customFormat="1" ht="24" customHeight="1">
      <c r="A296" s="1339"/>
      <c r="B296" s="1259" t="s">
        <v>1525</v>
      </c>
      <c r="C296" s="1221"/>
      <c r="D296" s="1221"/>
      <c r="E296" s="1404">
        <v>1</v>
      </c>
      <c r="F296" s="1412" t="s">
        <v>1104</v>
      </c>
      <c r="G296" s="1386">
        <f>SUM(H294:H295)*5%</f>
        <v>1864</v>
      </c>
      <c r="H296" s="1343">
        <f t="shared" ref="H296" si="55">ROUND(E296*G296,)</f>
        <v>1864</v>
      </c>
      <c r="I296" s="1414">
        <f>G296*0.3</f>
        <v>559.19999999999993</v>
      </c>
      <c r="J296" s="1343">
        <f t="shared" ref="J296" si="56">ROUND(E296*I296,)</f>
        <v>559</v>
      </c>
      <c r="K296" s="1262">
        <f t="shared" ref="K296" si="57">H296+J296</f>
        <v>2423</v>
      </c>
      <c r="L296" s="1415"/>
      <c r="M296" s="1214"/>
      <c r="N296" s="1214"/>
      <c r="O296" s="1214"/>
      <c r="P296" s="1214"/>
    </row>
    <row r="297" spans="1:16" s="1199" customFormat="1" ht="24" customHeight="1">
      <c r="A297" s="1339"/>
      <c r="B297" s="1259"/>
      <c r="C297" s="1221"/>
      <c r="D297" s="1221"/>
      <c r="E297" s="1404"/>
      <c r="F297" s="1412"/>
      <c r="G297" s="1386"/>
      <c r="H297" s="1343"/>
      <c r="I297" s="1414"/>
      <c r="J297" s="1343"/>
      <c r="K297" s="1262"/>
      <c r="L297" s="1415"/>
      <c r="M297" s="1214"/>
      <c r="N297" s="1214"/>
      <c r="O297" s="1214"/>
      <c r="P297" s="1214"/>
    </row>
    <row r="298" spans="1:16" s="1199" customFormat="1" ht="24" customHeight="1">
      <c r="A298" s="1339"/>
      <c r="B298" s="1259"/>
      <c r="C298" s="1221"/>
      <c r="D298" s="1221"/>
      <c r="E298" s="1404"/>
      <c r="F298" s="1412"/>
      <c r="G298" s="1386"/>
      <c r="H298" s="1343"/>
      <c r="I298" s="1414"/>
      <c r="J298" s="1343"/>
      <c r="K298" s="1262"/>
      <c r="L298" s="1415"/>
      <c r="M298" s="1214"/>
      <c r="N298" s="1214"/>
      <c r="O298" s="1214"/>
      <c r="P298" s="1214"/>
    </row>
    <row r="299" spans="1:16" s="1199" customFormat="1" ht="24" customHeight="1">
      <c r="A299" s="1339" t="s">
        <v>1359</v>
      </c>
      <c r="B299" s="1259" t="s">
        <v>1343</v>
      </c>
      <c r="C299" s="1221"/>
      <c r="D299" s="1221"/>
      <c r="E299" s="1404"/>
      <c r="F299" s="1412"/>
      <c r="G299" s="1386"/>
      <c r="H299" s="1343"/>
      <c r="I299" s="1414"/>
      <c r="J299" s="1343"/>
      <c r="K299" s="1262"/>
      <c r="L299" s="1466"/>
    </row>
    <row r="300" spans="1:16" s="1199" customFormat="1" ht="24" customHeight="1">
      <c r="A300" s="1339"/>
      <c r="B300" s="1259" t="s">
        <v>1344</v>
      </c>
      <c r="C300" s="1221"/>
      <c r="D300" s="1221"/>
      <c r="E300" s="1404">
        <v>40</v>
      </c>
      <c r="F300" s="1262" t="s">
        <v>226</v>
      </c>
      <c r="G300" s="1386">
        <v>316</v>
      </c>
      <c r="H300" s="1343">
        <f t="shared" ref="H300" si="58">ROUND(E300*G300,)</f>
        <v>12640</v>
      </c>
      <c r="I300" s="1414">
        <v>50</v>
      </c>
      <c r="J300" s="1343">
        <f t="shared" ref="J300:J301" si="59">ROUND(E300*I300,)</f>
        <v>2000</v>
      </c>
      <c r="K300" s="1262">
        <f t="shared" ref="K300:K301" si="60">H300+J300</f>
        <v>14640</v>
      </c>
      <c r="L300" s="1466"/>
    </row>
    <row r="301" spans="1:16" s="1199" customFormat="1" ht="24" customHeight="1">
      <c r="A301" s="1339"/>
      <c r="B301" s="1259" t="s">
        <v>1384</v>
      </c>
      <c r="C301" s="1221"/>
      <c r="D301" s="1221"/>
      <c r="E301" s="1404">
        <v>1</v>
      </c>
      <c r="F301" s="1412" t="s">
        <v>1104</v>
      </c>
      <c r="G301" s="1386">
        <f>SUM(H300)*15%</f>
        <v>1896</v>
      </c>
      <c r="H301" s="1343">
        <f t="shared" ref="H301" si="61">ROUND(G301*E301,)</f>
        <v>1896</v>
      </c>
      <c r="I301" s="1414">
        <f>G301*0.3</f>
        <v>568.79999999999995</v>
      </c>
      <c r="J301" s="1343">
        <f t="shared" si="59"/>
        <v>569</v>
      </c>
      <c r="K301" s="1262">
        <f t="shared" si="60"/>
        <v>2465</v>
      </c>
      <c r="L301" s="1466"/>
    </row>
    <row r="302" spans="1:16" s="1199" customFormat="1" ht="24" customHeight="1">
      <c r="A302" s="1339"/>
      <c r="B302" s="1220" t="s">
        <v>1117</v>
      </c>
      <c r="C302" s="1221"/>
      <c r="D302" s="1221"/>
      <c r="E302" s="1404"/>
      <c r="F302" s="1412"/>
      <c r="G302" s="1386"/>
      <c r="H302" s="1413"/>
      <c r="I302" s="1414"/>
      <c r="J302" s="1415"/>
      <c r="K302" s="1415"/>
      <c r="L302" s="1415"/>
      <c r="M302" s="1214"/>
      <c r="N302" s="1214"/>
      <c r="O302" s="1214"/>
      <c r="P302" s="1214"/>
    </row>
    <row r="303" spans="1:16" s="1199" customFormat="1" ht="24" customHeight="1">
      <c r="A303" s="1339"/>
      <c r="B303" s="1220" t="s">
        <v>1118</v>
      </c>
      <c r="C303" s="1221"/>
      <c r="D303" s="1221"/>
      <c r="E303" s="1404"/>
      <c r="F303" s="1412"/>
      <c r="G303" s="1386"/>
      <c r="H303" s="1413"/>
      <c r="I303" s="1414"/>
      <c r="J303" s="1415"/>
      <c r="K303" s="1415"/>
      <c r="L303" s="1415"/>
      <c r="M303" s="1214"/>
      <c r="N303" s="1214"/>
      <c r="O303" s="1214"/>
      <c r="P303" s="1214"/>
    </row>
    <row r="304" spans="1:16" s="1199" customFormat="1" ht="24" customHeight="1">
      <c r="A304" s="1339"/>
      <c r="B304" s="1220" t="s">
        <v>1118</v>
      </c>
      <c r="C304" s="1221"/>
      <c r="D304" s="1221"/>
      <c r="E304" s="1404"/>
      <c r="F304" s="1412"/>
      <c r="G304" s="1386"/>
      <c r="H304" s="1413"/>
      <c r="I304" s="1414"/>
      <c r="J304" s="1415"/>
      <c r="K304" s="1415"/>
      <c r="L304" s="1415"/>
      <c r="M304" s="1214"/>
      <c r="N304" s="1214"/>
      <c r="O304" s="1214"/>
      <c r="P304" s="1214"/>
    </row>
    <row r="305" spans="1:21" s="1199" customFormat="1" ht="24" customHeight="1">
      <c r="A305" s="1339"/>
      <c r="B305" s="1220"/>
      <c r="C305" s="1221"/>
      <c r="D305" s="1221"/>
      <c r="E305" s="1404"/>
      <c r="F305" s="1412"/>
      <c r="G305" s="1386"/>
      <c r="H305" s="1413"/>
      <c r="I305" s="1414"/>
      <c r="J305" s="1415"/>
      <c r="K305" s="1415"/>
      <c r="L305" s="1415"/>
      <c r="M305" s="1214"/>
      <c r="N305" s="1214"/>
      <c r="O305" s="1214"/>
      <c r="P305" s="1214"/>
    </row>
    <row r="306" spans="1:21" s="1199" customFormat="1" ht="24" customHeight="1">
      <c r="A306" s="1243"/>
      <c r="B306" s="2257" t="str">
        <f>"รวมราคารายการที่ "&amp;A286</f>
        <v>รวมราคารายการที่ 3.11</v>
      </c>
      <c r="C306" s="2258"/>
      <c r="D306" s="2259"/>
      <c r="E306" s="1244"/>
      <c r="F306" s="1245"/>
      <c r="G306" s="1246"/>
      <c r="H306" s="1247">
        <f>SUM(H286:H305)</f>
        <v>245480</v>
      </c>
      <c r="I306" s="1246"/>
      <c r="J306" s="1247">
        <f>SUM(J286:J305)</f>
        <v>29028</v>
      </c>
      <c r="K306" s="1247">
        <f>SUM(K286:K305)</f>
        <v>274508</v>
      </c>
      <c r="L306" s="1245"/>
    </row>
    <row r="307" spans="1:21" s="1199" customFormat="1" ht="24" customHeight="1">
      <c r="A307" s="1467" t="s">
        <v>2917</v>
      </c>
      <c r="B307" s="1292" t="s">
        <v>1571</v>
      </c>
      <c r="C307" s="1468"/>
      <c r="D307" s="1192"/>
      <c r="E307" s="1193"/>
      <c r="F307" s="1194"/>
      <c r="G307" s="1297"/>
      <c r="H307" s="1298"/>
      <c r="I307" s="1299"/>
      <c r="J307" s="1298"/>
      <c r="K307" s="1299"/>
      <c r="L307" s="1469"/>
      <c r="M307" s="1214"/>
      <c r="N307" s="1214"/>
      <c r="O307" s="1214"/>
      <c r="P307" s="1214"/>
      <c r="Q307" s="1214"/>
      <c r="R307" s="1214"/>
      <c r="S307" s="1214"/>
      <c r="T307" s="1214"/>
      <c r="U307" s="1214"/>
    </row>
    <row r="308" spans="1:21" s="1199" customFormat="1" ht="24" customHeight="1">
      <c r="A308" s="1470" t="s">
        <v>1352</v>
      </c>
      <c r="B308" s="2174" t="s">
        <v>1611</v>
      </c>
      <c r="C308" s="1191"/>
      <c r="D308" s="1471"/>
      <c r="E308" s="1472">
        <v>2</v>
      </c>
      <c r="F308" s="1267" t="s">
        <v>363</v>
      </c>
      <c r="G308" s="2178">
        <v>3200</v>
      </c>
      <c r="H308" s="1343">
        <f>ROUND(E308*G308,)</f>
        <v>6400</v>
      </c>
      <c r="I308" s="1344">
        <v>150</v>
      </c>
      <c r="J308" s="1343">
        <f>ROUND(I308*E308,)</f>
        <v>300</v>
      </c>
      <c r="K308" s="1344">
        <f>H308+J308</f>
        <v>6700</v>
      </c>
      <c r="L308" s="1473"/>
      <c r="M308" s="1214"/>
      <c r="N308" s="1214"/>
      <c r="O308" s="1214"/>
      <c r="P308" s="1214"/>
      <c r="Q308" s="1214"/>
      <c r="R308" s="1214"/>
      <c r="S308" s="1214"/>
      <c r="T308" s="1214"/>
      <c r="U308" s="1214"/>
    </row>
    <row r="309" spans="1:21" s="1199" customFormat="1" ht="24" customHeight="1">
      <c r="A309" s="1474" t="s">
        <v>1354</v>
      </c>
      <c r="B309" s="2174" t="s">
        <v>1612</v>
      </c>
      <c r="C309" s="1191"/>
      <c r="D309" s="1471"/>
      <c r="E309" s="1472">
        <v>2</v>
      </c>
      <c r="F309" s="1267" t="s">
        <v>363</v>
      </c>
      <c r="G309" s="2178">
        <v>2640</v>
      </c>
      <c r="H309" s="1343">
        <f>ROUND(E309*G309,)</f>
        <v>5280</v>
      </c>
      <c r="I309" s="1344">
        <v>150</v>
      </c>
      <c r="J309" s="1343">
        <f>ROUND(I309*E309,)</f>
        <v>300</v>
      </c>
      <c r="K309" s="1344">
        <f>H309+J309</f>
        <v>5580</v>
      </c>
      <c r="L309" s="1473"/>
      <c r="M309" s="1214"/>
      <c r="N309" s="1214"/>
      <c r="O309" s="1214"/>
      <c r="P309" s="1214"/>
      <c r="Q309" s="1214"/>
      <c r="R309" s="1214"/>
      <c r="S309" s="1214"/>
      <c r="T309" s="1214"/>
      <c r="U309" s="1214"/>
    </row>
    <row r="310" spans="1:21" s="1199" customFormat="1" ht="24" customHeight="1">
      <c r="A310" s="1474" t="s">
        <v>1357</v>
      </c>
      <c r="B310" s="2174" t="s">
        <v>1613</v>
      </c>
      <c r="C310" s="1191"/>
      <c r="D310" s="1471"/>
      <c r="E310" s="1206"/>
      <c r="F310" s="1207"/>
      <c r="G310" s="2175"/>
      <c r="H310" s="1264"/>
      <c r="I310" s="1265"/>
      <c r="J310" s="1264"/>
      <c r="K310" s="1265"/>
      <c r="L310" s="1473"/>
      <c r="M310" s="1214"/>
      <c r="N310" s="1214"/>
      <c r="O310" s="1214"/>
      <c r="P310" s="1214"/>
      <c r="Q310" s="1214"/>
      <c r="R310" s="1214"/>
      <c r="S310" s="1214"/>
      <c r="T310" s="1214"/>
      <c r="U310" s="1214"/>
    </row>
    <row r="311" spans="1:21" s="1199" customFormat="1" ht="24" customHeight="1">
      <c r="A311" s="1478"/>
      <c r="B311" s="1259" t="s">
        <v>1614</v>
      </c>
      <c r="C311" s="1191"/>
      <c r="D311" s="1471"/>
      <c r="E311" s="1206">
        <v>700</v>
      </c>
      <c r="F311" s="1207" t="s">
        <v>226</v>
      </c>
      <c r="G311" s="2178">
        <v>10</v>
      </c>
      <c r="H311" s="1264">
        <f>ROUND(E311*G311,)</f>
        <v>7000</v>
      </c>
      <c r="I311" s="1265">
        <v>5</v>
      </c>
      <c r="J311" s="1264">
        <f>ROUND(I311*E311,)</f>
        <v>3500</v>
      </c>
      <c r="K311" s="1265">
        <f>H311+J311</f>
        <v>10500</v>
      </c>
      <c r="L311" s="1473"/>
      <c r="M311" s="1214"/>
      <c r="N311" s="1214"/>
      <c r="O311" s="1214"/>
      <c r="P311" s="1214"/>
      <c r="Q311" s="1214"/>
      <c r="R311" s="1214"/>
      <c r="S311" s="1214"/>
      <c r="T311" s="1214"/>
      <c r="U311" s="1214"/>
    </row>
    <row r="312" spans="1:21" s="1199" customFormat="1" ht="24" customHeight="1">
      <c r="A312" s="1474" t="s">
        <v>2677</v>
      </c>
      <c r="B312" s="2174" t="s">
        <v>1526</v>
      </c>
      <c r="C312" s="1191"/>
      <c r="D312" s="1471"/>
      <c r="E312" s="1206"/>
      <c r="F312" s="1207"/>
      <c r="G312" s="2175"/>
      <c r="H312" s="1264"/>
      <c r="I312" s="1265"/>
      <c r="J312" s="1264"/>
      <c r="K312" s="1265"/>
      <c r="L312" s="1473"/>
      <c r="M312" s="1214"/>
      <c r="N312" s="1214"/>
      <c r="O312" s="1214"/>
      <c r="P312" s="1214"/>
      <c r="Q312" s="1214"/>
      <c r="R312" s="1214"/>
      <c r="S312" s="1214"/>
      <c r="T312" s="1214"/>
      <c r="U312" s="1214"/>
    </row>
    <row r="313" spans="1:21" s="1199" customFormat="1" ht="24" customHeight="1">
      <c r="A313" s="1479"/>
      <c r="B313" s="2174" t="s">
        <v>1350</v>
      </c>
      <c r="C313" s="1191"/>
      <c r="D313" s="1471"/>
      <c r="E313" s="1387"/>
      <c r="F313" s="1358" t="s">
        <v>226</v>
      </c>
      <c r="G313" s="2176">
        <v>27</v>
      </c>
      <c r="H313" s="1264">
        <f t="shared" ref="H313" si="62">ROUND(G313*E313,)</f>
        <v>0</v>
      </c>
      <c r="I313" s="2177">
        <v>22</v>
      </c>
      <c r="J313" s="1264">
        <f t="shared" ref="J313" si="63">ROUND(E313*I313,)</f>
        <v>0</v>
      </c>
      <c r="K313" s="1802">
        <f t="shared" ref="K313" si="64">H313+J313</f>
        <v>0</v>
      </c>
      <c r="L313" s="2001" t="s">
        <v>2667</v>
      </c>
      <c r="M313" s="1214"/>
      <c r="N313" s="1214"/>
      <c r="O313" s="1214"/>
      <c r="P313" s="1214"/>
      <c r="Q313" s="1214"/>
      <c r="R313" s="1214"/>
      <c r="S313" s="1214"/>
      <c r="T313" s="1214"/>
      <c r="U313" s="1214"/>
    </row>
    <row r="314" spans="1:21" s="1199" customFormat="1" ht="24" customHeight="1">
      <c r="A314" s="1474" t="s">
        <v>2679</v>
      </c>
      <c r="B314" s="2174" t="s">
        <v>1110</v>
      </c>
      <c r="C314" s="1191"/>
      <c r="D314" s="1471"/>
      <c r="E314" s="1206"/>
      <c r="F314" s="1207"/>
      <c r="G314" s="2175"/>
      <c r="H314" s="1264"/>
      <c r="I314" s="1265"/>
      <c r="J314" s="1264"/>
      <c r="K314" s="1265"/>
      <c r="L314" s="1473"/>
      <c r="M314" s="1214"/>
      <c r="N314" s="1214"/>
      <c r="O314" s="1214"/>
      <c r="P314" s="1214"/>
      <c r="Q314" s="1214"/>
      <c r="R314" s="1214"/>
      <c r="S314" s="1214"/>
      <c r="T314" s="1214"/>
      <c r="U314" s="1214"/>
    </row>
    <row r="315" spans="1:21" s="1199" customFormat="1" ht="24" customHeight="1">
      <c r="A315" s="1480"/>
      <c r="B315" s="2174" t="s">
        <v>1350</v>
      </c>
      <c r="C315" s="1191"/>
      <c r="D315" s="1471"/>
      <c r="E315" s="1387">
        <v>80</v>
      </c>
      <c r="F315" s="1358" t="s">
        <v>226</v>
      </c>
      <c r="G315" s="2176">
        <v>56</v>
      </c>
      <c r="H315" s="1264">
        <f>ROUND(E315*G315,)</f>
        <v>4480</v>
      </c>
      <c r="I315" s="2177">
        <v>26</v>
      </c>
      <c r="J315" s="1264">
        <f t="shared" ref="J315" si="65">ROUND(E315*I315,)</f>
        <v>2080</v>
      </c>
      <c r="K315" s="1801">
        <f t="shared" ref="K315" si="66">H315+J315</f>
        <v>6560</v>
      </c>
      <c r="L315" s="2001" t="s">
        <v>2667</v>
      </c>
      <c r="M315" s="1214"/>
      <c r="N315" s="1199">
        <v>169.2</v>
      </c>
      <c r="O315" s="1199">
        <f>ROUND(N315/3,)</f>
        <v>56</v>
      </c>
      <c r="P315" s="1214"/>
      <c r="Q315" s="1214"/>
      <c r="R315" s="1214"/>
      <c r="S315" s="1214"/>
      <c r="T315" s="1214"/>
      <c r="U315" s="1214"/>
    </row>
    <row r="316" spans="1:21" s="1199" customFormat="1" ht="24" customHeight="1">
      <c r="A316" s="1480"/>
      <c r="B316" s="2174" t="s">
        <v>1384</v>
      </c>
      <c r="C316" s="1191"/>
      <c r="D316" s="1471"/>
      <c r="E316" s="1206">
        <v>1</v>
      </c>
      <c r="F316" s="1207" t="s">
        <v>1104</v>
      </c>
      <c r="G316" s="2175">
        <f>ROUND(SUM(H313:H315)*15%,0)</f>
        <v>672</v>
      </c>
      <c r="H316" s="1264">
        <f>ROUND(E316*G316,)</f>
        <v>672</v>
      </c>
      <c r="I316" s="1265">
        <f>ROUND(G316*0.3,0)</f>
        <v>202</v>
      </c>
      <c r="J316" s="1264">
        <f>ROUND(I316*E316,)</f>
        <v>202</v>
      </c>
      <c r="K316" s="1265">
        <f>H316+I316</f>
        <v>874</v>
      </c>
      <c r="L316" s="1473"/>
      <c r="M316" s="1214"/>
      <c r="N316" s="1214"/>
      <c r="O316" s="1214"/>
      <c r="P316" s="1214"/>
      <c r="Q316" s="1214"/>
      <c r="R316" s="1214"/>
      <c r="S316" s="1214"/>
      <c r="T316" s="1214"/>
      <c r="U316" s="1214"/>
    </row>
    <row r="317" spans="1:21" s="1199" customFormat="1" ht="24" customHeight="1">
      <c r="A317" s="1474" t="s">
        <v>2918</v>
      </c>
      <c r="B317" s="2174" t="s">
        <v>1381</v>
      </c>
      <c r="C317" s="1191"/>
      <c r="D317" s="1471"/>
      <c r="E317" s="1206"/>
      <c r="F317" s="1207" t="s">
        <v>1104</v>
      </c>
      <c r="G317" s="2175"/>
      <c r="H317" s="1264"/>
      <c r="I317" s="1504"/>
      <c r="J317" s="1264"/>
      <c r="K317" s="1265"/>
      <c r="L317" s="1473"/>
      <c r="M317" s="1214"/>
      <c r="N317" s="1214"/>
      <c r="O317" s="1214"/>
      <c r="P317" s="1214"/>
      <c r="Q317" s="1214"/>
      <c r="R317" s="1214"/>
      <c r="S317" s="1214"/>
      <c r="T317" s="1214"/>
      <c r="U317" s="1214"/>
    </row>
    <row r="318" spans="1:21" s="1199" customFormat="1" ht="24" customHeight="1">
      <c r="A318" s="1480"/>
      <c r="B318" s="2174" t="s">
        <v>1117</v>
      </c>
      <c r="C318" s="1191"/>
      <c r="D318" s="1471"/>
      <c r="E318" s="1206"/>
      <c r="F318" s="1207"/>
      <c r="G318" s="2175"/>
      <c r="H318" s="1264"/>
      <c r="I318" s="1265"/>
      <c r="J318" s="1264"/>
      <c r="K318" s="1265"/>
      <c r="L318" s="1473"/>
      <c r="M318" s="1214"/>
      <c r="N318" s="1214"/>
      <c r="O318" s="1214"/>
      <c r="P318" s="1214"/>
      <c r="Q318" s="1214"/>
      <c r="R318" s="1214"/>
      <c r="S318" s="1214"/>
      <c r="T318" s="1214"/>
      <c r="U318" s="1214"/>
    </row>
    <row r="319" spans="1:21" s="1199" customFormat="1" ht="24" customHeight="1">
      <c r="A319" s="1331"/>
      <c r="B319" s="1220" t="s">
        <v>1118</v>
      </c>
      <c r="C319" s="1221"/>
      <c r="D319" s="1221"/>
      <c r="E319" s="1404"/>
      <c r="F319" s="1412"/>
      <c r="G319" s="1386"/>
      <c r="H319" s="1413"/>
      <c r="I319" s="1414"/>
      <c r="J319" s="1415"/>
      <c r="K319" s="1415"/>
      <c r="L319" s="1415"/>
      <c r="M319" s="1214"/>
      <c r="N319" s="1214"/>
      <c r="O319" s="1214"/>
      <c r="P319" s="1214"/>
    </row>
    <row r="320" spans="1:21" s="1199" customFormat="1" ht="24" customHeight="1">
      <c r="A320" s="1331"/>
      <c r="B320" s="1220" t="s">
        <v>1118</v>
      </c>
      <c r="C320" s="1221"/>
      <c r="D320" s="1221"/>
      <c r="E320" s="1404"/>
      <c r="F320" s="1412"/>
      <c r="G320" s="1386"/>
      <c r="H320" s="1413"/>
      <c r="I320" s="1414"/>
      <c r="J320" s="1415"/>
      <c r="K320" s="1415"/>
      <c r="L320" s="1415"/>
      <c r="M320" s="1214"/>
      <c r="N320" s="1214"/>
      <c r="O320" s="1214"/>
      <c r="P320" s="1214"/>
    </row>
    <row r="321" spans="1:21" s="1199" customFormat="1" ht="24" customHeight="1">
      <c r="A321" s="1417"/>
      <c r="B321" s="1220"/>
      <c r="C321" s="1221"/>
      <c r="D321" s="1221"/>
      <c r="E321" s="1404"/>
      <c r="F321" s="1412"/>
      <c r="G321" s="1386"/>
      <c r="H321" s="1413"/>
      <c r="I321" s="1414"/>
      <c r="J321" s="1415"/>
      <c r="K321" s="1415"/>
      <c r="L321" s="1415"/>
      <c r="M321" s="1214"/>
      <c r="N321" s="1214"/>
      <c r="O321" s="1214"/>
      <c r="P321" s="1214"/>
    </row>
    <row r="322" spans="1:21" s="1199" customFormat="1" ht="24" customHeight="1">
      <c r="A322" s="1245"/>
      <c r="B322" s="2257" t="str">
        <f>"รวมราคารายการที่ "&amp;A307</f>
        <v>รวมราคารายการที่ 3.12</v>
      </c>
      <c r="C322" s="2258"/>
      <c r="D322" s="2259"/>
      <c r="E322" s="1481"/>
      <c r="F322" s="1245"/>
      <c r="G322" s="1246"/>
      <c r="H322" s="1247">
        <f>SUM(H308:H318)</f>
        <v>23832</v>
      </c>
      <c r="I322" s="1246"/>
      <c r="J322" s="1247">
        <f t="shared" ref="J322:K322" si="67">SUM(J308:J318)</f>
        <v>6382</v>
      </c>
      <c r="K322" s="1247">
        <f t="shared" si="67"/>
        <v>30214</v>
      </c>
      <c r="L322" s="1245"/>
      <c r="M322" s="1214"/>
      <c r="N322" s="1214"/>
      <c r="O322" s="1214"/>
      <c r="P322" s="1214"/>
      <c r="Q322" s="1214"/>
      <c r="R322" s="1214"/>
      <c r="S322" s="1214"/>
      <c r="T322" s="1214"/>
      <c r="U322" s="1214"/>
    </row>
  </sheetData>
  <mergeCells count="21">
    <mergeCell ref="B161:D161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91:D91"/>
    <mergeCell ref="B106:D106"/>
    <mergeCell ref="B139:D139"/>
    <mergeCell ref="B322:D322"/>
    <mergeCell ref="B178:D178"/>
    <mergeCell ref="B208:D208"/>
    <mergeCell ref="B250:D250"/>
    <mergeCell ref="B266:D266"/>
    <mergeCell ref="B285:D285"/>
    <mergeCell ref="B306:D306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8-อาคารทิศตะวันตก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B38C8-59D5-47E2-B555-E7D0B1B17891}">
  <sheetPr>
    <tabColor rgb="FF92D050"/>
  </sheetPr>
  <dimension ref="A1:U370"/>
  <sheetViews>
    <sheetView view="pageBreakPreview" topLeftCell="A343" zoomScale="85" zoomScaleNormal="100" zoomScaleSheetLayoutView="85" workbookViewId="0">
      <selection activeCell="A344" sqref="A344:L351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5859375" style="1217" customWidth="1"/>
    <col min="13" max="93" width="7.703125" style="1" customWidth="1"/>
    <col min="94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1167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169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1171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1171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1171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1173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5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5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55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56"/>
    </row>
    <row r="11" spans="1:12" ht="24" customHeight="1">
      <c r="A11" s="1175" t="s">
        <v>30</v>
      </c>
      <c r="B11" s="1176" t="s">
        <v>1640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185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H82</f>
        <v>284870</v>
      </c>
      <c r="I12" s="1241"/>
      <c r="J12" s="1196">
        <f t="shared" ref="J12:K12" si="0">J82</f>
        <v>19800</v>
      </c>
      <c r="K12" s="1196">
        <f t="shared" si="0"/>
        <v>304670</v>
      </c>
      <c r="L12" s="1218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H138</f>
        <v>231835</v>
      </c>
      <c r="I13" s="1241"/>
      <c r="J13" s="1196">
        <f t="shared" ref="J13:K13" si="1">J138</f>
        <v>17220</v>
      </c>
      <c r="K13" s="1196">
        <f t="shared" si="1"/>
        <v>249055</v>
      </c>
      <c r="L13" s="1218"/>
    </row>
    <row r="14" spans="1:12" s="1199" customFormat="1" ht="24" customHeight="1">
      <c r="A14" s="1204">
        <f>A139</f>
        <v>3.3</v>
      </c>
      <c r="B14" s="1431" t="str">
        <f>B139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H154</f>
        <v>0</v>
      </c>
      <c r="I14" s="1241"/>
      <c r="J14" s="1196">
        <f t="shared" ref="J14:K14" si="2">J154</f>
        <v>0</v>
      </c>
      <c r="K14" s="1196">
        <f t="shared" si="2"/>
        <v>0</v>
      </c>
      <c r="L14" s="1218"/>
    </row>
    <row r="15" spans="1:12" s="1199" customFormat="1" ht="24" customHeight="1">
      <c r="A15" s="1204">
        <f>A155</f>
        <v>3.4</v>
      </c>
      <c r="B15" s="1190" t="str">
        <f>B155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H187</f>
        <v>104906</v>
      </c>
      <c r="I15" s="1197"/>
      <c r="J15" s="1196">
        <f>J187</f>
        <v>31759</v>
      </c>
      <c r="K15" s="1196">
        <f t="shared" ref="K15:K21" si="3">SUM(H15:J15)</f>
        <v>136665</v>
      </c>
      <c r="L15" s="1218"/>
    </row>
    <row r="16" spans="1:12" s="1199" customFormat="1" ht="24" customHeight="1">
      <c r="A16" s="1204" t="str">
        <f>A188</f>
        <v>3.5</v>
      </c>
      <c r="B16" s="1190" t="str">
        <f>B188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H209</f>
        <v>39504</v>
      </c>
      <c r="I16" s="1197"/>
      <c r="J16" s="1196">
        <f>J209</f>
        <v>12352</v>
      </c>
      <c r="K16" s="1196">
        <f t="shared" si="3"/>
        <v>51856</v>
      </c>
      <c r="L16" s="1218"/>
    </row>
    <row r="17" spans="1:12" s="1199" customFormat="1" ht="24" customHeight="1">
      <c r="A17" s="1204" t="str">
        <f>A210</f>
        <v>3.6</v>
      </c>
      <c r="B17" s="1190" t="str">
        <f>B210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H226</f>
        <v>2376</v>
      </c>
      <c r="I17" s="1197"/>
      <c r="J17" s="1196">
        <f>J226</f>
        <v>1380</v>
      </c>
      <c r="K17" s="1196">
        <f t="shared" si="3"/>
        <v>3756</v>
      </c>
      <c r="L17" s="1218"/>
    </row>
    <row r="18" spans="1:12" s="1199" customFormat="1" ht="24" customHeight="1">
      <c r="A18" s="1204" t="str">
        <f>A227</f>
        <v>3.7</v>
      </c>
      <c r="B18" s="1190" t="str">
        <f>B227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H256</f>
        <v>14196</v>
      </c>
      <c r="I18" s="1197"/>
      <c r="J18" s="1196">
        <f>J256</f>
        <v>4043</v>
      </c>
      <c r="K18" s="1196">
        <f t="shared" si="3"/>
        <v>18239</v>
      </c>
      <c r="L18" s="1218"/>
    </row>
    <row r="19" spans="1:12" s="1199" customFormat="1" ht="24" customHeight="1">
      <c r="A19" s="1204">
        <f>A257</f>
        <v>3.8</v>
      </c>
      <c r="B19" s="2174" t="str">
        <f>B257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H298</f>
        <v>1715819</v>
      </c>
      <c r="I19" s="1197"/>
      <c r="J19" s="1196">
        <f>J298</f>
        <v>266069</v>
      </c>
      <c r="K19" s="1196">
        <f t="shared" si="3"/>
        <v>1981888</v>
      </c>
      <c r="L19" s="1218"/>
    </row>
    <row r="20" spans="1:12" s="1199" customFormat="1" ht="24" customHeight="1">
      <c r="A20" s="1204" t="str">
        <f>A299</f>
        <v>3.9</v>
      </c>
      <c r="B20" s="2174" t="str">
        <f>B299</f>
        <v>ระบบเสียงและประกาศเรียก (Public Address System)</v>
      </c>
      <c r="C20" s="1202"/>
      <c r="D20" s="1203"/>
      <c r="E20" s="1193">
        <v>1</v>
      </c>
      <c r="F20" s="1207" t="s">
        <v>19</v>
      </c>
      <c r="G20" s="1208"/>
      <c r="H20" s="1196">
        <f>H314</f>
        <v>101467</v>
      </c>
      <c r="I20" s="1197"/>
      <c r="J20" s="1196">
        <f>J314</f>
        <v>37871</v>
      </c>
      <c r="K20" s="1196">
        <f t="shared" si="3"/>
        <v>139338</v>
      </c>
      <c r="L20" s="1218"/>
    </row>
    <row r="21" spans="1:12" s="1199" customFormat="1" ht="24" customHeight="1">
      <c r="A21" s="1204" t="str">
        <f>A315</f>
        <v>3.10</v>
      </c>
      <c r="B21" s="2174" t="str">
        <f>B315</f>
        <v>ระบบควบคุมประตูอัตโนมัติ (Access Control System)</v>
      </c>
      <c r="C21" s="1202"/>
      <c r="D21" s="1203"/>
      <c r="E21" s="1193">
        <v>1</v>
      </c>
      <c r="F21" s="1207" t="s">
        <v>19</v>
      </c>
      <c r="G21" s="1208"/>
      <c r="H21" s="1196">
        <f>H333</f>
        <v>244424</v>
      </c>
      <c r="I21" s="1197"/>
      <c r="J21" s="1196">
        <f>J333</f>
        <v>16838</v>
      </c>
      <c r="K21" s="1196">
        <f t="shared" si="3"/>
        <v>261262</v>
      </c>
      <c r="L21" s="1218"/>
    </row>
    <row r="22" spans="1:12" s="1199" customFormat="1" ht="24" customHeight="1">
      <c r="A22" s="1204" t="str">
        <f>A334</f>
        <v>3.11</v>
      </c>
      <c r="B22" s="1431" t="str">
        <f>B334</f>
        <v>ระบบบริหารจัดการอาคาร (Building Management System : BMS)</v>
      </c>
      <c r="C22" s="1202"/>
      <c r="D22" s="1203"/>
      <c r="E22" s="1193">
        <v>1</v>
      </c>
      <c r="F22" s="1207" t="s">
        <v>19</v>
      </c>
      <c r="G22" s="1208"/>
      <c r="H22" s="1196">
        <f>H354</f>
        <v>245480</v>
      </c>
      <c r="I22" s="1197"/>
      <c r="J22" s="1196">
        <f t="shared" ref="J22:K22" si="4">J354</f>
        <v>29028</v>
      </c>
      <c r="K22" s="1196">
        <f t="shared" si="4"/>
        <v>274508</v>
      </c>
      <c r="L22" s="1218"/>
    </row>
    <row r="23" spans="1:12" s="1199" customFormat="1" ht="24" customHeight="1">
      <c r="A23" s="1204" t="str">
        <f>A355</f>
        <v>3.12</v>
      </c>
      <c r="B23" s="1431" t="str">
        <f>B355</f>
        <v>ระบบแจ้งเหตุฉุกเฉิน (Panic Alarm System)</v>
      </c>
      <c r="C23" s="1202"/>
      <c r="D23" s="1203"/>
      <c r="E23" s="1193">
        <v>1</v>
      </c>
      <c r="F23" s="1207" t="s">
        <v>19</v>
      </c>
      <c r="G23" s="1208"/>
      <c r="H23" s="1196">
        <f>H370</f>
        <v>24082</v>
      </c>
      <c r="I23" s="1197"/>
      <c r="J23" s="1196">
        <f t="shared" ref="J23:K23" si="5">J370</f>
        <v>6507</v>
      </c>
      <c r="K23" s="1196">
        <f t="shared" si="5"/>
        <v>30589</v>
      </c>
      <c r="L23" s="1218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195"/>
      <c r="H24" s="1196"/>
      <c r="I24" s="1241"/>
      <c r="J24" s="1229"/>
      <c r="K24" s="1242"/>
      <c r="L24" s="1218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218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218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218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218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218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218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218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218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218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9</v>
      </c>
      <c r="C34" s="2258"/>
      <c r="D34" s="2259"/>
      <c r="E34" s="1244"/>
      <c r="F34" s="1245"/>
      <c r="G34" s="1246"/>
      <c r="H34" s="1247">
        <f>SUM(H11:H33)</f>
        <v>3008959</v>
      </c>
      <c r="I34" s="1246"/>
      <c r="J34" s="1247">
        <f>SUM(J11:J33)</f>
        <v>442867</v>
      </c>
      <c r="K34" s="1247">
        <f>SUM(K11:K33)</f>
        <v>3451826</v>
      </c>
      <c r="L34" s="1245"/>
      <c r="M34" s="1214"/>
      <c r="N34" s="1214"/>
      <c r="O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1096</v>
      </c>
      <c r="B36" s="1362" t="s">
        <v>1240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6">ROUND(G38*E38,)</f>
        <v>0</v>
      </c>
      <c r="I38" s="1265"/>
      <c r="J38" s="1264"/>
      <c r="K38" s="1265">
        <f t="shared" ref="K38:K55" si="7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/>
      <c r="F39" s="1207" t="s">
        <v>363</v>
      </c>
      <c r="G39" s="2175">
        <v>2400</v>
      </c>
      <c r="H39" s="1264">
        <f t="shared" si="6"/>
        <v>0</v>
      </c>
      <c r="I39" s="1265"/>
      <c r="J39" s="1264"/>
      <c r="K39" s="1265">
        <f t="shared" si="7"/>
        <v>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/>
      <c r="F40" s="1207" t="s">
        <v>363</v>
      </c>
      <c r="G40" s="2175">
        <v>2400</v>
      </c>
      <c r="H40" s="1264">
        <f t="shared" si="6"/>
        <v>0</v>
      </c>
      <c r="I40" s="1265"/>
      <c r="J40" s="1264"/>
      <c r="K40" s="1265">
        <f t="shared" si="7"/>
        <v>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6"/>
        <v>0</v>
      </c>
      <c r="I41" s="1265"/>
      <c r="J41" s="1264"/>
      <c r="K41" s="1265">
        <f t="shared" si="7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6"/>
        <v>2400</v>
      </c>
      <c r="I42" s="1265"/>
      <c r="J42" s="1264"/>
      <c r="K42" s="1265">
        <f t="shared" si="7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6"/>
        <v>7200</v>
      </c>
      <c r="I43" s="1265"/>
      <c r="J43" s="1264"/>
      <c r="K43" s="1265">
        <f t="shared" si="7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6"/>
        <v>0</v>
      </c>
      <c r="I44" s="1265"/>
      <c r="J44" s="1264"/>
      <c r="K44" s="1265">
        <f t="shared" si="7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6"/>
        <v>0</v>
      </c>
      <c r="I45" s="1265"/>
      <c r="J45" s="1264"/>
      <c r="K45" s="1265">
        <f t="shared" si="7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6"/>
        <v>0</v>
      </c>
      <c r="I46" s="1265"/>
      <c r="J46" s="1264"/>
      <c r="K46" s="1265">
        <f t="shared" si="7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6"/>
        <v>0</v>
      </c>
      <c r="I47" s="1265"/>
      <c r="J47" s="1264"/>
      <c r="K47" s="1265">
        <f t="shared" si="7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/>
      <c r="F48" s="1207" t="s">
        <v>363</v>
      </c>
      <c r="G48" s="2175">
        <v>11500</v>
      </c>
      <c r="H48" s="1264">
        <f t="shared" si="6"/>
        <v>0</v>
      </c>
      <c r="I48" s="1265"/>
      <c r="J48" s="1264"/>
      <c r="K48" s="1265">
        <f t="shared" si="7"/>
        <v>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>
        <v>1</v>
      </c>
      <c r="F49" s="1207" t="s">
        <v>363</v>
      </c>
      <c r="G49" s="2175">
        <v>20200</v>
      </c>
      <c r="H49" s="1264">
        <f t="shared" si="6"/>
        <v>20200</v>
      </c>
      <c r="I49" s="1265"/>
      <c r="J49" s="1264"/>
      <c r="K49" s="1265">
        <f t="shared" si="7"/>
        <v>20200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6"/>
        <v>0</v>
      </c>
      <c r="I50" s="1265"/>
      <c r="J50" s="1264"/>
      <c r="K50" s="1265">
        <f t="shared" si="7"/>
        <v>0</v>
      </c>
      <c r="L50" s="1266"/>
    </row>
    <row r="51" spans="1:18" s="1199" customFormat="1" ht="24" customHeight="1">
      <c r="A51" s="1339"/>
      <c r="B51" s="1259" t="s">
        <v>1276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6"/>
        <v>1800</v>
      </c>
      <c r="I51" s="1265"/>
      <c r="J51" s="1264"/>
      <c r="K51" s="1265">
        <f t="shared" si="7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6"/>
        <v>360</v>
      </c>
      <c r="I52" s="1265"/>
      <c r="J52" s="1264"/>
      <c r="K52" s="1265">
        <f t="shared" si="7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6"/>
        <v>300</v>
      </c>
      <c r="I53" s="1265"/>
      <c r="J53" s="1264"/>
      <c r="K53" s="1265">
        <f t="shared" si="7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5</v>
      </c>
      <c r="F54" s="1207" t="s">
        <v>363</v>
      </c>
      <c r="G54" s="2175">
        <v>15435</v>
      </c>
      <c r="H54" s="1264">
        <f t="shared" si="6"/>
        <v>77175</v>
      </c>
      <c r="I54" s="1265"/>
      <c r="J54" s="1264"/>
      <c r="K54" s="1265">
        <f t="shared" si="7"/>
        <v>77175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33000</v>
      </c>
      <c r="H55" s="1264">
        <f t="shared" si="6"/>
        <v>33000</v>
      </c>
      <c r="I55" s="1265">
        <f>G55*0.3</f>
        <v>9900</v>
      </c>
      <c r="J55" s="1264">
        <f>ROUND(E55*I55,)</f>
        <v>9900</v>
      </c>
      <c r="K55" s="1265">
        <f t="shared" si="7"/>
        <v>42900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1251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8">ROUND(G61*E61,)</f>
        <v>0</v>
      </c>
      <c r="I61" s="1265"/>
      <c r="J61" s="1264"/>
      <c r="K61" s="1265">
        <f t="shared" ref="K61:K78" si="9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/>
      <c r="F62" s="1207" t="s">
        <v>363</v>
      </c>
      <c r="G62" s="2175">
        <v>2400</v>
      </c>
      <c r="H62" s="1264">
        <f t="shared" si="8"/>
        <v>0</v>
      </c>
      <c r="I62" s="1265"/>
      <c r="J62" s="1264"/>
      <c r="K62" s="1265">
        <f t="shared" si="9"/>
        <v>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/>
      <c r="F63" s="1207" t="s">
        <v>363</v>
      </c>
      <c r="G63" s="2175">
        <v>2400</v>
      </c>
      <c r="H63" s="1264">
        <f t="shared" si="8"/>
        <v>0</v>
      </c>
      <c r="I63" s="1265"/>
      <c r="J63" s="1264"/>
      <c r="K63" s="1265">
        <f t="shared" si="9"/>
        <v>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8"/>
        <v>0</v>
      </c>
      <c r="I64" s="1265"/>
      <c r="J64" s="1264"/>
      <c r="K64" s="1265">
        <f t="shared" si="9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8"/>
        <v>2400</v>
      </c>
      <c r="I65" s="1265"/>
      <c r="J65" s="1264"/>
      <c r="K65" s="1265">
        <f t="shared" si="9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3</v>
      </c>
      <c r="F66" s="1207" t="s">
        <v>363</v>
      </c>
      <c r="G66" s="2175">
        <v>2400</v>
      </c>
      <c r="H66" s="1264">
        <f t="shared" si="8"/>
        <v>7200</v>
      </c>
      <c r="I66" s="1265"/>
      <c r="J66" s="1264"/>
      <c r="K66" s="1265">
        <f t="shared" si="9"/>
        <v>7200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8"/>
        <v>0</v>
      </c>
      <c r="I67" s="1265"/>
      <c r="J67" s="1264"/>
      <c r="K67" s="1265">
        <f t="shared" si="9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8"/>
        <v>0</v>
      </c>
      <c r="I68" s="1265"/>
      <c r="J68" s="1264"/>
      <c r="K68" s="1265">
        <f t="shared" si="9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8"/>
        <v>0</v>
      </c>
      <c r="I69" s="1265"/>
      <c r="J69" s="1264"/>
      <c r="K69" s="1265">
        <f t="shared" si="9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8"/>
        <v>0</v>
      </c>
      <c r="I70" s="1265"/>
      <c r="J70" s="1264"/>
      <c r="K70" s="1265">
        <f t="shared" si="9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/>
      <c r="F71" s="1207" t="s">
        <v>363</v>
      </c>
      <c r="G71" s="2175">
        <v>11500</v>
      </c>
      <c r="H71" s="1264">
        <f t="shared" si="8"/>
        <v>0</v>
      </c>
      <c r="I71" s="1265"/>
      <c r="J71" s="1264"/>
      <c r="K71" s="1265">
        <f t="shared" si="9"/>
        <v>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>
        <v>1</v>
      </c>
      <c r="F72" s="1207" t="s">
        <v>363</v>
      </c>
      <c r="G72" s="2175">
        <v>20200</v>
      </c>
      <c r="H72" s="1264">
        <f t="shared" si="8"/>
        <v>20200</v>
      </c>
      <c r="I72" s="1265"/>
      <c r="J72" s="1264"/>
      <c r="K72" s="1265">
        <f t="shared" si="9"/>
        <v>20200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8"/>
        <v>0</v>
      </c>
      <c r="I73" s="1265"/>
      <c r="J73" s="1264"/>
      <c r="K73" s="1265">
        <f t="shared" si="9"/>
        <v>0</v>
      </c>
      <c r="L73" s="1266"/>
    </row>
    <row r="74" spans="1:17" s="1199" customFormat="1" ht="24" customHeight="1">
      <c r="A74" s="1339"/>
      <c r="B74" s="1259" t="s">
        <v>1276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8"/>
        <v>1800</v>
      </c>
      <c r="I74" s="1265"/>
      <c r="J74" s="1264"/>
      <c r="K74" s="1265">
        <f t="shared" si="9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8"/>
        <v>360</v>
      </c>
      <c r="I75" s="1265"/>
      <c r="J75" s="1264"/>
      <c r="K75" s="1265">
        <f t="shared" si="9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8"/>
        <v>300</v>
      </c>
      <c r="I76" s="1265"/>
      <c r="J76" s="1264"/>
      <c r="K76" s="1265">
        <f t="shared" si="9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5</v>
      </c>
      <c r="F77" s="1207" t="s">
        <v>363</v>
      </c>
      <c r="G77" s="2175">
        <v>15435</v>
      </c>
      <c r="H77" s="1264">
        <f t="shared" si="8"/>
        <v>77175</v>
      </c>
      <c r="I77" s="1265"/>
      <c r="J77" s="1264"/>
      <c r="K77" s="1265">
        <f t="shared" si="9"/>
        <v>77175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33000</v>
      </c>
      <c r="H78" s="1264">
        <f t="shared" si="8"/>
        <v>33000</v>
      </c>
      <c r="I78" s="1265">
        <f>G78*0.3</f>
        <v>9900</v>
      </c>
      <c r="J78" s="1264">
        <f>ROUND(E78*I78,)</f>
        <v>9900</v>
      </c>
      <c r="K78" s="1265">
        <f t="shared" si="9"/>
        <v>42900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8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8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284870</v>
      </c>
      <c r="I82" s="1246"/>
      <c r="J82" s="1247">
        <f>SUM(J35:J81)</f>
        <v>19800</v>
      </c>
      <c r="K82" s="1247">
        <f>SUM(K35:K81)</f>
        <v>304670</v>
      </c>
      <c r="L82" s="1245"/>
      <c r="M82" s="1214"/>
      <c r="N82" s="1214"/>
      <c r="O82" s="1214"/>
      <c r="P82" s="1214"/>
      <c r="Q82" s="1214"/>
    </row>
    <row r="83" spans="1:18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8" s="1199" customFormat="1" ht="24" customHeight="1">
      <c r="A84" s="1361" t="s">
        <v>1121</v>
      </c>
      <c r="B84" s="1362" t="s">
        <v>1273</v>
      </c>
      <c r="C84" s="1260"/>
      <c r="D84" s="1260"/>
      <c r="E84" s="1261"/>
      <c r="F84" s="1358"/>
      <c r="G84" s="2175"/>
      <c r="H84" s="1264"/>
      <c r="I84" s="1265"/>
      <c r="J84" s="1264"/>
      <c r="K84" s="1265"/>
      <c r="L84" s="1364"/>
    </row>
    <row r="85" spans="1:18" s="1199" customFormat="1" ht="24" customHeight="1">
      <c r="A85" s="1339" t="s">
        <v>1618</v>
      </c>
      <c r="B85" s="1259" t="s">
        <v>1210</v>
      </c>
      <c r="C85" s="1260"/>
      <c r="D85" s="1260"/>
      <c r="E85" s="1261"/>
      <c r="F85" s="1358"/>
      <c r="G85" s="2175"/>
      <c r="H85" s="1264"/>
      <c r="I85" s="1265"/>
      <c r="J85" s="1264"/>
      <c r="K85" s="1265"/>
      <c r="L85" s="1364"/>
    </row>
    <row r="86" spans="1:18" s="1199" customFormat="1" ht="24" customHeight="1">
      <c r="A86" s="1339"/>
      <c r="B86" s="1259" t="s">
        <v>1211</v>
      </c>
      <c r="C86" s="1260"/>
      <c r="D86" s="1260"/>
      <c r="E86" s="1261"/>
      <c r="F86" s="1207" t="s">
        <v>363</v>
      </c>
      <c r="G86" s="2175">
        <v>2400</v>
      </c>
      <c r="H86" s="1264">
        <f t="shared" ref="H86:H108" si="10">ROUND(G86*E86,)</f>
        <v>0</v>
      </c>
      <c r="I86" s="1265"/>
      <c r="J86" s="1264"/>
      <c r="K86" s="1265">
        <f t="shared" ref="K86:K108" si="11">J86+H86</f>
        <v>0</v>
      </c>
      <c r="L86" s="1266"/>
      <c r="N86" s="1363"/>
      <c r="O86" s="1363"/>
      <c r="P86" s="1363"/>
      <c r="Q86" s="1363"/>
      <c r="R86" s="1363"/>
    </row>
    <row r="87" spans="1:18" s="1199" customFormat="1" ht="24" customHeight="1">
      <c r="A87" s="1339"/>
      <c r="B87" s="1259" t="s">
        <v>1212</v>
      </c>
      <c r="C87" s="1260"/>
      <c r="D87" s="1260"/>
      <c r="E87" s="1261"/>
      <c r="F87" s="1207" t="s">
        <v>363</v>
      </c>
      <c r="G87" s="2175">
        <v>2400</v>
      </c>
      <c r="H87" s="1264">
        <f t="shared" si="10"/>
        <v>0</v>
      </c>
      <c r="I87" s="1265"/>
      <c r="J87" s="1264"/>
      <c r="K87" s="1265">
        <f t="shared" si="11"/>
        <v>0</v>
      </c>
      <c r="L87" s="1266"/>
      <c r="N87" s="1363"/>
      <c r="O87" s="1363"/>
      <c r="P87" s="1363"/>
      <c r="Q87" s="1363"/>
      <c r="R87" s="1363"/>
    </row>
    <row r="88" spans="1:18" s="1199" customFormat="1" ht="24" customHeight="1">
      <c r="A88" s="1339"/>
      <c r="B88" s="1259" t="s">
        <v>1213</v>
      </c>
      <c r="C88" s="1260"/>
      <c r="D88" s="1260"/>
      <c r="E88" s="1261"/>
      <c r="F88" s="1207" t="s">
        <v>363</v>
      </c>
      <c r="G88" s="2175">
        <v>2400</v>
      </c>
      <c r="H88" s="1264">
        <f t="shared" si="10"/>
        <v>0</v>
      </c>
      <c r="I88" s="1265"/>
      <c r="J88" s="1264"/>
      <c r="K88" s="1265">
        <f t="shared" si="11"/>
        <v>0</v>
      </c>
      <c r="L88" s="1266"/>
    </row>
    <row r="89" spans="1:18" s="1199" customFormat="1" ht="24" customHeight="1">
      <c r="A89" s="1339"/>
      <c r="B89" s="1259" t="s">
        <v>1214</v>
      </c>
      <c r="C89" s="1260"/>
      <c r="D89" s="1260"/>
      <c r="E89" s="1261"/>
      <c r="F89" s="1207" t="s">
        <v>363</v>
      </c>
      <c r="G89" s="2175">
        <v>2400</v>
      </c>
      <c r="H89" s="1264">
        <f t="shared" si="10"/>
        <v>0</v>
      </c>
      <c r="I89" s="1265"/>
      <c r="J89" s="1264"/>
      <c r="K89" s="1265">
        <f t="shared" si="11"/>
        <v>0</v>
      </c>
      <c r="L89" s="1266"/>
    </row>
    <row r="90" spans="1:18" s="1199" customFormat="1" ht="24" customHeight="1">
      <c r="A90" s="1339"/>
      <c r="B90" s="1259" t="s">
        <v>1215</v>
      </c>
      <c r="C90" s="1260"/>
      <c r="D90" s="1260"/>
      <c r="E90" s="1261">
        <v>4</v>
      </c>
      <c r="F90" s="1207" t="s">
        <v>363</v>
      </c>
      <c r="G90" s="2175">
        <v>2400</v>
      </c>
      <c r="H90" s="1264">
        <f t="shared" si="10"/>
        <v>9600</v>
      </c>
      <c r="I90" s="1265"/>
      <c r="J90" s="1264"/>
      <c r="K90" s="1265">
        <f t="shared" si="11"/>
        <v>9600</v>
      </c>
      <c r="L90" s="1266"/>
    </row>
    <row r="91" spans="1:18" s="1199" customFormat="1" ht="24" customHeight="1">
      <c r="A91" s="1339"/>
      <c r="B91" s="1259" t="s">
        <v>1216</v>
      </c>
      <c r="C91" s="1260"/>
      <c r="D91" s="1260"/>
      <c r="E91" s="1261"/>
      <c r="F91" s="1207" t="s">
        <v>363</v>
      </c>
      <c r="G91" s="2175">
        <v>2400</v>
      </c>
      <c r="H91" s="1264">
        <f t="shared" si="10"/>
        <v>0</v>
      </c>
      <c r="I91" s="1265"/>
      <c r="J91" s="1264"/>
      <c r="K91" s="1265">
        <f t="shared" si="11"/>
        <v>0</v>
      </c>
      <c r="L91" s="1266"/>
    </row>
    <row r="92" spans="1:18" s="1199" customFormat="1" ht="24" customHeight="1">
      <c r="A92" s="1339"/>
      <c r="B92" s="1259" t="s">
        <v>1257</v>
      </c>
      <c r="C92" s="1260"/>
      <c r="D92" s="1260"/>
      <c r="E92" s="1261"/>
      <c r="F92" s="1207" t="s">
        <v>363</v>
      </c>
      <c r="G92" s="2175">
        <v>2600</v>
      </c>
      <c r="H92" s="1264">
        <f t="shared" si="10"/>
        <v>0</v>
      </c>
      <c r="I92" s="1265"/>
      <c r="J92" s="1264"/>
      <c r="K92" s="1265">
        <f t="shared" si="11"/>
        <v>0</v>
      </c>
      <c r="L92" s="1266"/>
    </row>
    <row r="93" spans="1:18" s="1199" customFormat="1" ht="24" customHeight="1">
      <c r="A93" s="1339"/>
      <c r="B93" s="1259" t="s">
        <v>1217</v>
      </c>
      <c r="C93" s="1260"/>
      <c r="D93" s="1260"/>
      <c r="E93" s="1261"/>
      <c r="F93" s="1207" t="s">
        <v>363</v>
      </c>
      <c r="G93" s="2175">
        <v>3000</v>
      </c>
      <c r="H93" s="1264">
        <f t="shared" si="10"/>
        <v>0</v>
      </c>
      <c r="I93" s="1265"/>
      <c r="J93" s="1264"/>
      <c r="K93" s="1265">
        <f t="shared" si="11"/>
        <v>0</v>
      </c>
      <c r="L93" s="1266"/>
    </row>
    <row r="94" spans="1:18" s="1199" customFormat="1" ht="24" customHeight="1">
      <c r="A94" s="1339"/>
      <c r="B94" s="1259" t="s">
        <v>1218</v>
      </c>
      <c r="C94" s="1260"/>
      <c r="D94" s="1260"/>
      <c r="E94" s="1261"/>
      <c r="F94" s="1207" t="s">
        <v>363</v>
      </c>
      <c r="G94" s="2175">
        <v>5000</v>
      </c>
      <c r="H94" s="1264">
        <f t="shared" si="10"/>
        <v>0</v>
      </c>
      <c r="I94" s="1265"/>
      <c r="J94" s="1264"/>
      <c r="K94" s="1265">
        <f t="shared" si="11"/>
        <v>0</v>
      </c>
      <c r="L94" s="1266"/>
    </row>
    <row r="95" spans="1:18" s="1199" customFormat="1" ht="24" customHeight="1">
      <c r="A95" s="1339"/>
      <c r="B95" s="1259" t="s">
        <v>1258</v>
      </c>
      <c r="C95" s="1260"/>
      <c r="D95" s="1260"/>
      <c r="E95" s="1261">
        <v>1</v>
      </c>
      <c r="F95" s="1207" t="s">
        <v>363</v>
      </c>
      <c r="G95" s="2175">
        <v>5700</v>
      </c>
      <c r="H95" s="1264">
        <f t="shared" si="10"/>
        <v>5700</v>
      </c>
      <c r="I95" s="1265"/>
      <c r="J95" s="1264"/>
      <c r="K95" s="1265">
        <f t="shared" si="11"/>
        <v>5700</v>
      </c>
      <c r="L95" s="1266"/>
    </row>
    <row r="96" spans="1:18" s="1199" customFormat="1" ht="24" customHeight="1">
      <c r="A96" s="1339"/>
      <c r="B96" s="1259" t="s">
        <v>1259</v>
      </c>
      <c r="C96" s="1260"/>
      <c r="D96" s="1260"/>
      <c r="E96" s="1261"/>
      <c r="F96" s="1207" t="s">
        <v>363</v>
      </c>
      <c r="G96" s="2175">
        <v>5700</v>
      </c>
      <c r="H96" s="1264">
        <f t="shared" si="10"/>
        <v>0</v>
      </c>
      <c r="I96" s="1265"/>
      <c r="J96" s="1264"/>
      <c r="K96" s="1265">
        <f t="shared" si="11"/>
        <v>0</v>
      </c>
      <c r="L96" s="1266"/>
    </row>
    <row r="97" spans="1:18" s="1199" customFormat="1" ht="24" customHeight="1">
      <c r="A97" s="1339"/>
      <c r="B97" s="1259" t="s">
        <v>1220</v>
      </c>
      <c r="C97" s="1260"/>
      <c r="D97" s="1260"/>
      <c r="E97" s="1261"/>
      <c r="F97" s="1207" t="s">
        <v>363</v>
      </c>
      <c r="G97" s="2175">
        <v>8600</v>
      </c>
      <c r="H97" s="1264">
        <f t="shared" si="10"/>
        <v>0</v>
      </c>
      <c r="I97" s="1265"/>
      <c r="J97" s="1264"/>
      <c r="K97" s="1265">
        <f t="shared" si="11"/>
        <v>0</v>
      </c>
      <c r="L97" s="1266"/>
    </row>
    <row r="98" spans="1:18" s="1199" customFormat="1" ht="24" customHeight="1">
      <c r="A98" s="1339"/>
      <c r="B98" s="1259" t="s">
        <v>1260</v>
      </c>
      <c r="C98" s="1260"/>
      <c r="D98" s="1260"/>
      <c r="E98" s="1261"/>
      <c r="F98" s="1207" t="s">
        <v>363</v>
      </c>
      <c r="G98" s="2175">
        <v>8600</v>
      </c>
      <c r="H98" s="1264">
        <f t="shared" si="10"/>
        <v>0</v>
      </c>
      <c r="I98" s="1265"/>
      <c r="J98" s="1264"/>
      <c r="K98" s="1265">
        <f t="shared" si="11"/>
        <v>0</v>
      </c>
      <c r="L98" s="1266"/>
    </row>
    <row r="99" spans="1:18" s="1199" customFormat="1" ht="24" customHeight="1">
      <c r="A99" s="1339"/>
      <c r="B99" s="1259" t="s">
        <v>1261</v>
      </c>
      <c r="C99" s="1260"/>
      <c r="D99" s="1260"/>
      <c r="E99" s="1261"/>
      <c r="F99" s="1207" t="s">
        <v>363</v>
      </c>
      <c r="G99" s="2175">
        <v>8600</v>
      </c>
      <c r="H99" s="1264">
        <f t="shared" si="10"/>
        <v>0</v>
      </c>
      <c r="I99" s="1265"/>
      <c r="J99" s="1264"/>
      <c r="K99" s="1265">
        <f t="shared" si="11"/>
        <v>0</v>
      </c>
      <c r="L99" s="1266"/>
    </row>
    <row r="100" spans="1:18" s="1199" customFormat="1" ht="24" customHeight="1">
      <c r="A100" s="1339"/>
      <c r="B100" s="1259" t="s">
        <v>1221</v>
      </c>
      <c r="C100" s="1260"/>
      <c r="D100" s="1260"/>
      <c r="E100" s="1261"/>
      <c r="F100" s="1207" t="s">
        <v>363</v>
      </c>
      <c r="G100" s="2175">
        <v>11500</v>
      </c>
      <c r="H100" s="1264">
        <f t="shared" si="10"/>
        <v>0</v>
      </c>
      <c r="I100" s="1265"/>
      <c r="J100" s="1264"/>
      <c r="K100" s="1265">
        <f t="shared" si="11"/>
        <v>0</v>
      </c>
      <c r="L100" s="1266"/>
    </row>
    <row r="101" spans="1:18" s="1199" customFormat="1" ht="24" customHeight="1">
      <c r="A101" s="1339"/>
      <c r="B101" s="1259" t="s">
        <v>1262</v>
      </c>
      <c r="C101" s="1260"/>
      <c r="D101" s="1260"/>
      <c r="E101" s="1261"/>
      <c r="F101" s="1207" t="s">
        <v>363</v>
      </c>
      <c r="G101" s="2175">
        <v>20200</v>
      </c>
      <c r="H101" s="1264">
        <f t="shared" si="10"/>
        <v>0</v>
      </c>
      <c r="I101" s="1265"/>
      <c r="J101" s="1264"/>
      <c r="K101" s="1265">
        <f t="shared" si="11"/>
        <v>0</v>
      </c>
      <c r="L101" s="1266"/>
    </row>
    <row r="102" spans="1:18" s="1199" customFormat="1" ht="24" customHeight="1">
      <c r="A102" s="1339"/>
      <c r="B102" s="1259" t="s">
        <v>1263</v>
      </c>
      <c r="C102" s="1260"/>
      <c r="D102" s="1260"/>
      <c r="E102" s="1261"/>
      <c r="F102" s="1207" t="s">
        <v>363</v>
      </c>
      <c r="G102" s="2175">
        <v>20200</v>
      </c>
      <c r="H102" s="1264">
        <f t="shared" si="10"/>
        <v>0</v>
      </c>
      <c r="I102" s="1265"/>
      <c r="J102" s="1264"/>
      <c r="K102" s="1265">
        <f t="shared" si="11"/>
        <v>0</v>
      </c>
      <c r="L102" s="1266"/>
    </row>
    <row r="103" spans="1:18" s="1199" customFormat="1" ht="24" customHeight="1">
      <c r="A103" s="1339" t="s">
        <v>1619</v>
      </c>
      <c r="B103" s="1259" t="s">
        <v>1143</v>
      </c>
      <c r="C103" s="1260"/>
      <c r="D103" s="1260"/>
      <c r="E103" s="1261"/>
      <c r="F103" s="1358"/>
      <c r="G103" s="2175"/>
      <c r="H103" s="1264">
        <f t="shared" si="10"/>
        <v>0</v>
      </c>
      <c r="I103" s="1265"/>
      <c r="J103" s="1264"/>
      <c r="K103" s="1265">
        <f t="shared" si="11"/>
        <v>0</v>
      </c>
      <c r="L103" s="1364"/>
    </row>
    <row r="104" spans="1:18" s="1199" customFormat="1" ht="24" customHeight="1">
      <c r="A104" s="1339"/>
      <c r="B104" s="1259" t="s">
        <v>1274</v>
      </c>
      <c r="C104" s="1260"/>
      <c r="D104" s="1260"/>
      <c r="E104" s="1261">
        <v>3</v>
      </c>
      <c r="F104" s="1207" t="s">
        <v>363</v>
      </c>
      <c r="G104" s="2175">
        <v>600</v>
      </c>
      <c r="H104" s="1264">
        <f t="shared" si="10"/>
        <v>1800</v>
      </c>
      <c r="I104" s="1265"/>
      <c r="J104" s="1264"/>
      <c r="K104" s="1265">
        <f t="shared" si="11"/>
        <v>1800</v>
      </c>
      <c r="L104" s="1364"/>
    </row>
    <row r="105" spans="1:18" s="1199" customFormat="1" ht="24" customHeight="1">
      <c r="A105" s="1339"/>
      <c r="B105" s="1259" t="s">
        <v>1145</v>
      </c>
      <c r="C105" s="1260"/>
      <c r="D105" s="1260"/>
      <c r="E105" s="1261">
        <v>3</v>
      </c>
      <c r="F105" s="1207" t="s">
        <v>363</v>
      </c>
      <c r="G105" s="2175">
        <v>120</v>
      </c>
      <c r="H105" s="1264">
        <f t="shared" si="10"/>
        <v>360</v>
      </c>
      <c r="I105" s="1265"/>
      <c r="J105" s="1264"/>
      <c r="K105" s="1265">
        <f t="shared" si="11"/>
        <v>360</v>
      </c>
      <c r="L105" s="1364"/>
    </row>
    <row r="106" spans="1:18" s="1199" customFormat="1" ht="24" customHeight="1">
      <c r="A106" s="1339"/>
      <c r="B106" s="1259" t="s">
        <v>1146</v>
      </c>
      <c r="C106" s="1260"/>
      <c r="D106" s="1260"/>
      <c r="E106" s="1261">
        <v>3</v>
      </c>
      <c r="F106" s="1207" t="s">
        <v>363</v>
      </c>
      <c r="G106" s="2175">
        <v>100</v>
      </c>
      <c r="H106" s="1264">
        <f t="shared" si="10"/>
        <v>300</v>
      </c>
      <c r="I106" s="1265"/>
      <c r="J106" s="1264"/>
      <c r="K106" s="1265">
        <f t="shared" si="11"/>
        <v>300</v>
      </c>
      <c r="L106" s="1364"/>
    </row>
    <row r="107" spans="1:18" s="1199" customFormat="1" ht="24" customHeight="1">
      <c r="A107" s="1339"/>
      <c r="B107" s="1259" t="s">
        <v>1224</v>
      </c>
      <c r="C107" s="1260"/>
      <c r="D107" s="1260"/>
      <c r="E107" s="1261">
        <v>4</v>
      </c>
      <c r="F107" s="1207" t="s">
        <v>363</v>
      </c>
      <c r="G107" s="2175">
        <v>15435</v>
      </c>
      <c r="H107" s="1264">
        <f t="shared" si="10"/>
        <v>61740</v>
      </c>
      <c r="I107" s="1265"/>
      <c r="J107" s="1264"/>
      <c r="K107" s="1265">
        <f t="shared" si="11"/>
        <v>61740</v>
      </c>
      <c r="L107" s="1364"/>
    </row>
    <row r="108" spans="1:18" s="1199" customFormat="1" ht="24" customHeight="1">
      <c r="A108" s="1339" t="s">
        <v>1619</v>
      </c>
      <c r="B108" s="1259" t="s">
        <v>1226</v>
      </c>
      <c r="C108" s="1260"/>
      <c r="D108" s="1260"/>
      <c r="E108" s="1261">
        <v>1</v>
      </c>
      <c r="F108" s="1207" t="s">
        <v>1104</v>
      </c>
      <c r="G108" s="1264">
        <v>28700</v>
      </c>
      <c r="H108" s="1264">
        <f t="shared" si="10"/>
        <v>28700</v>
      </c>
      <c r="I108" s="1265">
        <f>G108*0.3</f>
        <v>8610</v>
      </c>
      <c r="J108" s="1264">
        <f>ROUND(E108*I108,)</f>
        <v>8610</v>
      </c>
      <c r="K108" s="1265">
        <f t="shared" si="11"/>
        <v>37310</v>
      </c>
      <c r="L108" s="1364"/>
    </row>
    <row r="109" spans="1:18" s="1199" customFormat="1" ht="24" customHeight="1">
      <c r="A109" s="1361" t="s">
        <v>1123</v>
      </c>
      <c r="B109" s="1362" t="s">
        <v>1287</v>
      </c>
      <c r="C109" s="1260"/>
      <c r="D109" s="1260"/>
      <c r="E109" s="1261"/>
      <c r="F109" s="1358"/>
      <c r="G109" s="2175"/>
      <c r="H109" s="1264"/>
      <c r="I109" s="1265"/>
      <c r="J109" s="1264"/>
      <c r="K109" s="1265"/>
      <c r="L109" s="1364"/>
    </row>
    <row r="110" spans="1:18" s="1199" customFormat="1" ht="24" customHeight="1">
      <c r="A110" s="1339" t="s">
        <v>2923</v>
      </c>
      <c r="B110" s="1259" t="s">
        <v>1210</v>
      </c>
      <c r="C110" s="1260"/>
      <c r="D110" s="1260"/>
      <c r="E110" s="1261"/>
      <c r="F110" s="1358"/>
      <c r="G110" s="2175"/>
      <c r="H110" s="1264"/>
      <c r="I110" s="1265"/>
      <c r="J110" s="1264"/>
      <c r="K110" s="1265"/>
      <c r="L110" s="1364"/>
    </row>
    <row r="111" spans="1:18" s="1199" customFormat="1" ht="24" customHeight="1">
      <c r="A111" s="1339"/>
      <c r="B111" s="1259" t="s">
        <v>1211</v>
      </c>
      <c r="C111" s="1260"/>
      <c r="D111" s="1260"/>
      <c r="E111" s="1261"/>
      <c r="F111" s="1207" t="s">
        <v>363</v>
      </c>
      <c r="G111" s="2175">
        <v>2400</v>
      </c>
      <c r="H111" s="1264">
        <f t="shared" ref="H111:H133" si="12">ROUND(G111*E111,)</f>
        <v>0</v>
      </c>
      <c r="I111" s="1265"/>
      <c r="J111" s="1264"/>
      <c r="K111" s="1265">
        <f t="shared" ref="K111:K133" si="13">J111+H111</f>
        <v>0</v>
      </c>
      <c r="L111" s="1266"/>
      <c r="N111" s="1363"/>
      <c r="O111" s="1363"/>
      <c r="P111" s="1363"/>
      <c r="Q111" s="1363"/>
      <c r="R111" s="1363"/>
    </row>
    <row r="112" spans="1:18" s="1199" customFormat="1" ht="24" customHeight="1">
      <c r="A112" s="1339"/>
      <c r="B112" s="1259" t="s">
        <v>1212</v>
      </c>
      <c r="C112" s="1260"/>
      <c r="D112" s="1260"/>
      <c r="E112" s="1261"/>
      <c r="F112" s="1207" t="s">
        <v>363</v>
      </c>
      <c r="G112" s="2175">
        <v>2400</v>
      </c>
      <c r="H112" s="1264">
        <f t="shared" si="12"/>
        <v>0</v>
      </c>
      <c r="I112" s="1265"/>
      <c r="J112" s="1264"/>
      <c r="K112" s="1265">
        <f t="shared" si="13"/>
        <v>0</v>
      </c>
      <c r="L112" s="1266"/>
      <c r="N112" s="1363"/>
      <c r="O112" s="1363"/>
      <c r="P112" s="1363"/>
      <c r="Q112" s="1363"/>
      <c r="R112" s="1363"/>
    </row>
    <row r="113" spans="1:12" s="1199" customFormat="1" ht="24" customHeight="1">
      <c r="A113" s="1339"/>
      <c r="B113" s="1259" t="s">
        <v>1213</v>
      </c>
      <c r="C113" s="1260"/>
      <c r="D113" s="1260"/>
      <c r="E113" s="1261"/>
      <c r="F113" s="1207" t="s">
        <v>363</v>
      </c>
      <c r="G113" s="2175">
        <v>2400</v>
      </c>
      <c r="H113" s="1264">
        <f t="shared" si="12"/>
        <v>0</v>
      </c>
      <c r="I113" s="1265"/>
      <c r="J113" s="1264"/>
      <c r="K113" s="1265">
        <f t="shared" si="13"/>
        <v>0</v>
      </c>
      <c r="L113" s="1266"/>
    </row>
    <row r="114" spans="1:12" s="1199" customFormat="1" ht="24" customHeight="1">
      <c r="A114" s="1339"/>
      <c r="B114" s="1259" t="s">
        <v>1214</v>
      </c>
      <c r="C114" s="1260"/>
      <c r="D114" s="1260"/>
      <c r="E114" s="1261"/>
      <c r="F114" s="1207" t="s">
        <v>363</v>
      </c>
      <c r="G114" s="2175">
        <v>2400</v>
      </c>
      <c r="H114" s="1264">
        <f t="shared" si="12"/>
        <v>0</v>
      </c>
      <c r="I114" s="1265"/>
      <c r="J114" s="1264"/>
      <c r="K114" s="1265">
        <f t="shared" si="13"/>
        <v>0</v>
      </c>
      <c r="L114" s="1266"/>
    </row>
    <row r="115" spans="1:12" s="1199" customFormat="1" ht="24" customHeight="1">
      <c r="A115" s="1339"/>
      <c r="B115" s="1259" t="s">
        <v>1215</v>
      </c>
      <c r="C115" s="1260"/>
      <c r="D115" s="1260"/>
      <c r="E115" s="1261">
        <v>4</v>
      </c>
      <c r="F115" s="1207" t="s">
        <v>363</v>
      </c>
      <c r="G115" s="2175">
        <v>2400</v>
      </c>
      <c r="H115" s="1264">
        <f t="shared" si="12"/>
        <v>9600</v>
      </c>
      <c r="I115" s="1265"/>
      <c r="J115" s="1264"/>
      <c r="K115" s="1265">
        <f t="shared" si="13"/>
        <v>9600</v>
      </c>
      <c r="L115" s="1266"/>
    </row>
    <row r="116" spans="1:12" s="1199" customFormat="1" ht="24" customHeight="1">
      <c r="A116" s="1339"/>
      <c r="B116" s="1259" t="s">
        <v>1216</v>
      </c>
      <c r="C116" s="1260"/>
      <c r="D116" s="1260"/>
      <c r="E116" s="1261"/>
      <c r="F116" s="1207" t="s">
        <v>363</v>
      </c>
      <c r="G116" s="2175">
        <v>2400</v>
      </c>
      <c r="H116" s="1264">
        <f t="shared" si="12"/>
        <v>0</v>
      </c>
      <c r="I116" s="1265"/>
      <c r="J116" s="1264"/>
      <c r="K116" s="1265">
        <f t="shared" si="13"/>
        <v>0</v>
      </c>
      <c r="L116" s="1266"/>
    </row>
    <row r="117" spans="1:12" s="1199" customFormat="1" ht="24" customHeight="1">
      <c r="A117" s="1339"/>
      <c r="B117" s="1259" t="s">
        <v>1257</v>
      </c>
      <c r="C117" s="1260"/>
      <c r="D117" s="1260"/>
      <c r="E117" s="1261"/>
      <c r="F117" s="1207" t="s">
        <v>363</v>
      </c>
      <c r="G117" s="2175">
        <v>2600</v>
      </c>
      <c r="H117" s="1264">
        <f t="shared" si="12"/>
        <v>0</v>
      </c>
      <c r="I117" s="1265"/>
      <c r="J117" s="1264"/>
      <c r="K117" s="1265">
        <f t="shared" si="13"/>
        <v>0</v>
      </c>
      <c r="L117" s="1266"/>
    </row>
    <row r="118" spans="1:12" s="1199" customFormat="1" ht="24" customHeight="1">
      <c r="A118" s="1339"/>
      <c r="B118" s="1259" t="s">
        <v>1217</v>
      </c>
      <c r="C118" s="1260"/>
      <c r="D118" s="1260"/>
      <c r="E118" s="1261"/>
      <c r="F118" s="1207" t="s">
        <v>363</v>
      </c>
      <c r="G118" s="2175">
        <v>3000</v>
      </c>
      <c r="H118" s="1264">
        <f t="shared" si="12"/>
        <v>0</v>
      </c>
      <c r="I118" s="1265"/>
      <c r="J118" s="1264"/>
      <c r="K118" s="1265">
        <f t="shared" si="13"/>
        <v>0</v>
      </c>
      <c r="L118" s="1266"/>
    </row>
    <row r="119" spans="1:12" s="1199" customFormat="1" ht="24" customHeight="1">
      <c r="A119" s="1339"/>
      <c r="B119" s="1259" t="s">
        <v>1218</v>
      </c>
      <c r="C119" s="1260"/>
      <c r="D119" s="1260"/>
      <c r="E119" s="1261"/>
      <c r="F119" s="1207" t="s">
        <v>363</v>
      </c>
      <c r="G119" s="2175">
        <v>5000</v>
      </c>
      <c r="H119" s="1264">
        <f t="shared" si="12"/>
        <v>0</v>
      </c>
      <c r="I119" s="1265"/>
      <c r="J119" s="1264"/>
      <c r="K119" s="1265">
        <f t="shared" si="13"/>
        <v>0</v>
      </c>
      <c r="L119" s="1266"/>
    </row>
    <row r="120" spans="1:12" s="1199" customFormat="1" ht="24" customHeight="1">
      <c r="A120" s="1339"/>
      <c r="B120" s="1259" t="s">
        <v>1258</v>
      </c>
      <c r="C120" s="1260"/>
      <c r="D120" s="1260"/>
      <c r="E120" s="1261">
        <v>1</v>
      </c>
      <c r="F120" s="1207" t="s">
        <v>363</v>
      </c>
      <c r="G120" s="2175">
        <v>5700</v>
      </c>
      <c r="H120" s="1264">
        <f t="shared" si="12"/>
        <v>5700</v>
      </c>
      <c r="I120" s="1265"/>
      <c r="J120" s="1264"/>
      <c r="K120" s="1265">
        <f t="shared" si="13"/>
        <v>5700</v>
      </c>
      <c r="L120" s="1266"/>
    </row>
    <row r="121" spans="1:12" s="1199" customFormat="1" ht="24" customHeight="1">
      <c r="A121" s="1339"/>
      <c r="B121" s="1259" t="s">
        <v>1259</v>
      </c>
      <c r="C121" s="1260"/>
      <c r="D121" s="1260"/>
      <c r="E121" s="1261"/>
      <c r="F121" s="1207" t="s">
        <v>363</v>
      </c>
      <c r="G121" s="2175">
        <v>5700</v>
      </c>
      <c r="H121" s="1264">
        <f t="shared" si="12"/>
        <v>0</v>
      </c>
      <c r="I121" s="1265"/>
      <c r="J121" s="1264"/>
      <c r="K121" s="1265">
        <f t="shared" si="13"/>
        <v>0</v>
      </c>
      <c r="L121" s="1266"/>
    </row>
    <row r="122" spans="1:12" s="1199" customFormat="1" ht="24" customHeight="1">
      <c r="A122" s="1339"/>
      <c r="B122" s="1259" t="s">
        <v>1220</v>
      </c>
      <c r="C122" s="1260"/>
      <c r="D122" s="1260"/>
      <c r="E122" s="1261"/>
      <c r="F122" s="1207" t="s">
        <v>363</v>
      </c>
      <c r="G122" s="2175">
        <v>8600</v>
      </c>
      <c r="H122" s="1264">
        <f t="shared" si="12"/>
        <v>0</v>
      </c>
      <c r="I122" s="1265"/>
      <c r="J122" s="1264"/>
      <c r="K122" s="1265">
        <f t="shared" si="13"/>
        <v>0</v>
      </c>
      <c r="L122" s="1266"/>
    </row>
    <row r="123" spans="1:12" s="1199" customFormat="1" ht="24" customHeight="1">
      <c r="A123" s="1339"/>
      <c r="B123" s="1259" t="s">
        <v>1260</v>
      </c>
      <c r="C123" s="1260"/>
      <c r="D123" s="1260"/>
      <c r="E123" s="1261"/>
      <c r="F123" s="1207" t="s">
        <v>363</v>
      </c>
      <c r="G123" s="2175">
        <v>8600</v>
      </c>
      <c r="H123" s="1264">
        <f t="shared" si="12"/>
        <v>0</v>
      </c>
      <c r="I123" s="1265"/>
      <c r="J123" s="1264"/>
      <c r="K123" s="1265">
        <f t="shared" si="13"/>
        <v>0</v>
      </c>
      <c r="L123" s="1266"/>
    </row>
    <row r="124" spans="1:12" s="1199" customFormat="1" ht="24" customHeight="1">
      <c r="A124" s="1339"/>
      <c r="B124" s="1259" t="s">
        <v>1261</v>
      </c>
      <c r="C124" s="1260"/>
      <c r="D124" s="1260"/>
      <c r="E124" s="1261"/>
      <c r="F124" s="1207" t="s">
        <v>363</v>
      </c>
      <c r="G124" s="2175">
        <v>8600</v>
      </c>
      <c r="H124" s="1264">
        <f t="shared" si="12"/>
        <v>0</v>
      </c>
      <c r="I124" s="1265"/>
      <c r="J124" s="1264"/>
      <c r="K124" s="1265">
        <f t="shared" si="13"/>
        <v>0</v>
      </c>
      <c r="L124" s="1266"/>
    </row>
    <row r="125" spans="1:12" s="1199" customFormat="1" ht="24" customHeight="1">
      <c r="A125" s="1339"/>
      <c r="B125" s="1259" t="s">
        <v>1221</v>
      </c>
      <c r="C125" s="1260"/>
      <c r="D125" s="1260"/>
      <c r="E125" s="1261"/>
      <c r="F125" s="1207" t="s">
        <v>363</v>
      </c>
      <c r="G125" s="2175">
        <v>11500</v>
      </c>
      <c r="H125" s="1264">
        <f t="shared" si="12"/>
        <v>0</v>
      </c>
      <c r="I125" s="1265"/>
      <c r="J125" s="1264"/>
      <c r="K125" s="1265">
        <f t="shared" si="13"/>
        <v>0</v>
      </c>
      <c r="L125" s="1266"/>
    </row>
    <row r="126" spans="1:12" s="1199" customFormat="1" ht="24" customHeight="1">
      <c r="A126" s="1339"/>
      <c r="B126" s="1259" t="s">
        <v>1262</v>
      </c>
      <c r="C126" s="1260"/>
      <c r="D126" s="1260"/>
      <c r="E126" s="1261"/>
      <c r="F126" s="1207" t="s">
        <v>363</v>
      </c>
      <c r="G126" s="2175">
        <v>20200</v>
      </c>
      <c r="H126" s="1264">
        <f t="shared" si="12"/>
        <v>0</v>
      </c>
      <c r="I126" s="1265"/>
      <c r="J126" s="1264"/>
      <c r="K126" s="1265">
        <f t="shared" si="13"/>
        <v>0</v>
      </c>
      <c r="L126" s="1266"/>
    </row>
    <row r="127" spans="1:12" s="1199" customFormat="1" ht="24" customHeight="1">
      <c r="A127" s="1339"/>
      <c r="B127" s="1259" t="s">
        <v>1263</v>
      </c>
      <c r="C127" s="1260"/>
      <c r="D127" s="1260"/>
      <c r="E127" s="1261"/>
      <c r="F127" s="1207" t="s">
        <v>363</v>
      </c>
      <c r="G127" s="2175">
        <v>20200</v>
      </c>
      <c r="H127" s="1264">
        <f t="shared" si="12"/>
        <v>0</v>
      </c>
      <c r="I127" s="1265"/>
      <c r="J127" s="1264"/>
      <c r="K127" s="1265">
        <f t="shared" si="13"/>
        <v>0</v>
      </c>
      <c r="L127" s="1266"/>
    </row>
    <row r="128" spans="1:12" s="1199" customFormat="1" ht="24" customHeight="1">
      <c r="A128" s="1339" t="s">
        <v>2924</v>
      </c>
      <c r="B128" s="1259" t="s">
        <v>1143</v>
      </c>
      <c r="C128" s="1260"/>
      <c r="D128" s="1260"/>
      <c r="E128" s="1261"/>
      <c r="F128" s="1358"/>
      <c r="G128" s="2175"/>
      <c r="H128" s="1264">
        <f t="shared" si="12"/>
        <v>0</v>
      </c>
      <c r="I128" s="1265"/>
      <c r="J128" s="1264"/>
      <c r="K128" s="1265">
        <f t="shared" si="13"/>
        <v>0</v>
      </c>
      <c r="L128" s="1364"/>
    </row>
    <row r="129" spans="1:17" s="1199" customFormat="1" ht="24" customHeight="1">
      <c r="A129" s="1339"/>
      <c r="B129" s="1259" t="s">
        <v>1274</v>
      </c>
      <c r="C129" s="1260"/>
      <c r="D129" s="1260"/>
      <c r="E129" s="1261">
        <v>3</v>
      </c>
      <c r="F129" s="1207" t="s">
        <v>363</v>
      </c>
      <c r="G129" s="2175">
        <v>600</v>
      </c>
      <c r="H129" s="1264">
        <f t="shared" si="12"/>
        <v>1800</v>
      </c>
      <c r="I129" s="1265"/>
      <c r="J129" s="1264"/>
      <c r="K129" s="1265">
        <f t="shared" si="13"/>
        <v>1800</v>
      </c>
      <c r="L129" s="1364"/>
    </row>
    <row r="130" spans="1:17" s="1199" customFormat="1" ht="24" customHeight="1">
      <c r="A130" s="1339"/>
      <c r="B130" s="1259" t="s">
        <v>1145</v>
      </c>
      <c r="C130" s="1260"/>
      <c r="D130" s="1260"/>
      <c r="E130" s="1261">
        <v>3</v>
      </c>
      <c r="F130" s="1207" t="s">
        <v>363</v>
      </c>
      <c r="G130" s="2175">
        <v>120</v>
      </c>
      <c r="H130" s="1264">
        <f t="shared" si="12"/>
        <v>360</v>
      </c>
      <c r="I130" s="1265"/>
      <c r="J130" s="1264"/>
      <c r="K130" s="1265">
        <f t="shared" si="13"/>
        <v>360</v>
      </c>
      <c r="L130" s="1364"/>
    </row>
    <row r="131" spans="1:17" s="1199" customFormat="1" ht="24" customHeight="1">
      <c r="A131" s="1339"/>
      <c r="B131" s="1259" t="s">
        <v>1146</v>
      </c>
      <c r="C131" s="1260"/>
      <c r="D131" s="1260"/>
      <c r="E131" s="1261">
        <v>3</v>
      </c>
      <c r="F131" s="1207" t="s">
        <v>363</v>
      </c>
      <c r="G131" s="2175">
        <v>100</v>
      </c>
      <c r="H131" s="1264">
        <f t="shared" si="12"/>
        <v>300</v>
      </c>
      <c r="I131" s="1265"/>
      <c r="J131" s="1264"/>
      <c r="K131" s="1265">
        <f t="shared" si="13"/>
        <v>300</v>
      </c>
      <c r="L131" s="1364"/>
    </row>
    <row r="132" spans="1:17" s="1199" customFormat="1" ht="24" customHeight="1">
      <c r="A132" s="1339"/>
      <c r="B132" s="1259" t="s">
        <v>1224</v>
      </c>
      <c r="C132" s="1260"/>
      <c r="D132" s="1260"/>
      <c r="E132" s="1261">
        <v>5</v>
      </c>
      <c r="F132" s="1207" t="s">
        <v>363</v>
      </c>
      <c r="G132" s="2175">
        <v>15435</v>
      </c>
      <c r="H132" s="1264">
        <f t="shared" si="12"/>
        <v>77175</v>
      </c>
      <c r="I132" s="1265"/>
      <c r="J132" s="1264"/>
      <c r="K132" s="1265">
        <f t="shared" si="13"/>
        <v>77175</v>
      </c>
      <c r="L132" s="1364"/>
    </row>
    <row r="133" spans="1:17" s="1199" customFormat="1" ht="24" customHeight="1">
      <c r="A133" s="1339" t="s">
        <v>2925</v>
      </c>
      <c r="B133" s="1259" t="s">
        <v>1226</v>
      </c>
      <c r="C133" s="1260"/>
      <c r="D133" s="1260"/>
      <c r="E133" s="1261">
        <v>1</v>
      </c>
      <c r="F133" s="1207" t="s">
        <v>1104</v>
      </c>
      <c r="G133" s="2175">
        <v>28700</v>
      </c>
      <c r="H133" s="1264">
        <f t="shared" si="12"/>
        <v>28700</v>
      </c>
      <c r="I133" s="1265">
        <f>G133*0.3</f>
        <v>8610</v>
      </c>
      <c r="J133" s="1264">
        <f>ROUND(E133*I133,)</f>
        <v>8610</v>
      </c>
      <c r="K133" s="1265">
        <f t="shared" si="13"/>
        <v>37310</v>
      </c>
      <c r="L133" s="1364"/>
    </row>
    <row r="134" spans="1:17" s="1199" customFormat="1" ht="24" customHeight="1">
      <c r="A134" s="1331"/>
      <c r="B134" s="1190" t="s">
        <v>1117</v>
      </c>
      <c r="C134" s="1275"/>
      <c r="D134" s="1275"/>
      <c r="E134" s="2145"/>
      <c r="F134" s="1358"/>
      <c r="G134" s="2175"/>
      <c r="H134" s="1264"/>
      <c r="I134" s="1265"/>
      <c r="J134" s="1264"/>
      <c r="K134" s="1299"/>
      <c r="L134" s="1432"/>
    </row>
    <row r="135" spans="1:17" s="1199" customFormat="1" ht="24" customHeight="1">
      <c r="A135" s="1331"/>
      <c r="B135" s="1190" t="s">
        <v>1118</v>
      </c>
      <c r="C135" s="1275"/>
      <c r="D135" s="1275"/>
      <c r="E135" s="2145"/>
      <c r="F135" s="1358"/>
      <c r="G135" s="2175"/>
      <c r="H135" s="1264"/>
      <c r="I135" s="1265"/>
      <c r="J135" s="1264"/>
      <c r="K135" s="1299"/>
      <c r="L135" s="1432"/>
    </row>
    <row r="136" spans="1:17" s="1199" customFormat="1" ht="24" customHeight="1">
      <c r="A136" s="1331"/>
      <c r="B136" s="1190" t="s">
        <v>1118</v>
      </c>
      <c r="C136" s="1275"/>
      <c r="D136" s="1275"/>
      <c r="E136" s="2145"/>
      <c r="F136" s="1358"/>
      <c r="G136" s="2175"/>
      <c r="H136" s="1264"/>
      <c r="I136" s="1265"/>
      <c r="J136" s="1264"/>
      <c r="K136" s="1299"/>
      <c r="L136" s="1432"/>
    </row>
    <row r="137" spans="1:17" s="1199" customFormat="1" ht="24" customHeight="1">
      <c r="A137" s="1189"/>
      <c r="B137" s="1650"/>
      <c r="C137" s="1275"/>
      <c r="D137" s="1275"/>
      <c r="E137" s="2145"/>
      <c r="F137" s="1358"/>
      <c r="G137" s="2175"/>
      <c r="H137" s="1264"/>
      <c r="I137" s="1265"/>
      <c r="J137" s="1264"/>
      <c r="K137" s="1299"/>
      <c r="L137" s="1432"/>
    </row>
    <row r="138" spans="1:17" s="1199" customFormat="1" ht="24" customHeight="1">
      <c r="A138" s="1243"/>
      <c r="B138" s="2257" t="str">
        <f>"รวมราคารายการที่ "&amp;A83</f>
        <v>รวมราคารายการที่ 3.2</v>
      </c>
      <c r="C138" s="2258"/>
      <c r="D138" s="2259"/>
      <c r="E138" s="1244"/>
      <c r="F138" s="1245"/>
      <c r="G138" s="1246"/>
      <c r="H138" s="1247">
        <f>SUM(H83:H137)</f>
        <v>231835</v>
      </c>
      <c r="I138" s="1246"/>
      <c r="J138" s="1247">
        <f>SUM(J83:J137)</f>
        <v>17220</v>
      </c>
      <c r="K138" s="1247">
        <f>SUM(K83:K137)</f>
        <v>249055</v>
      </c>
      <c r="L138" s="1245"/>
      <c r="M138" s="1214"/>
      <c r="N138" s="1214"/>
      <c r="O138" s="1214"/>
      <c r="P138" s="1214"/>
      <c r="Q138" s="1214"/>
    </row>
    <row r="139" spans="1:17" s="1199" customFormat="1" ht="24" customHeight="1">
      <c r="A139" s="1381">
        <v>3.3</v>
      </c>
      <c r="B139" s="1292" t="s">
        <v>1427</v>
      </c>
      <c r="C139" s="1294"/>
      <c r="D139" s="1294"/>
      <c r="E139" s="1295"/>
      <c r="F139" s="1296"/>
      <c r="G139" s="1297"/>
      <c r="H139" s="1298"/>
      <c r="I139" s="1299"/>
      <c r="J139" s="1298"/>
      <c r="K139" s="1299"/>
      <c r="L139" s="1432"/>
    </row>
    <row r="140" spans="1:17" s="1199" customFormat="1" ht="24" customHeight="1">
      <c r="A140" s="1331" t="s">
        <v>1128</v>
      </c>
      <c r="B140" s="1190" t="s">
        <v>2892</v>
      </c>
      <c r="C140" s="1275"/>
      <c r="D140" s="1275"/>
      <c r="E140" s="1276"/>
      <c r="F140" s="1358"/>
      <c r="G140" s="2175"/>
      <c r="H140" s="1264"/>
      <c r="I140" s="1265"/>
      <c r="J140" s="1264"/>
      <c r="K140" s="1299"/>
      <c r="L140" s="1432"/>
    </row>
    <row r="141" spans="1:17" s="1199" customFormat="1" ht="24" customHeight="1">
      <c r="A141" s="1331"/>
      <c r="B141" s="1190" t="s">
        <v>2893</v>
      </c>
      <c r="C141" s="1275"/>
      <c r="D141" s="1275"/>
      <c r="E141" s="1276"/>
      <c r="F141" s="1194" t="s">
        <v>363</v>
      </c>
      <c r="G141" s="2175">
        <v>6800</v>
      </c>
      <c r="H141" s="1264">
        <f>ROUND(E141*G141,)</f>
        <v>0</v>
      </c>
      <c r="I141" s="1265">
        <v>1500</v>
      </c>
      <c r="J141" s="1264">
        <f>ROUND(E141*I141,)</f>
        <v>0</v>
      </c>
      <c r="K141" s="1299">
        <f>H141+J141</f>
        <v>0</v>
      </c>
      <c r="L141" s="1432"/>
    </row>
    <row r="142" spans="1:17" s="1199" customFormat="1" ht="24" customHeight="1">
      <c r="A142" s="1331"/>
      <c r="B142" s="1190" t="s">
        <v>2894</v>
      </c>
      <c r="C142" s="1275"/>
      <c r="D142" s="1275"/>
      <c r="E142" s="1276"/>
      <c r="F142" s="1194" t="s">
        <v>363</v>
      </c>
      <c r="G142" s="2175">
        <v>2400</v>
      </c>
      <c r="H142" s="1264"/>
      <c r="I142" s="1265"/>
      <c r="J142" s="1264"/>
      <c r="K142" s="1299"/>
      <c r="L142" s="1432"/>
    </row>
    <row r="143" spans="1:17" s="1199" customFormat="1" ht="24" customHeight="1">
      <c r="A143" s="1331"/>
      <c r="B143" s="1190" t="s">
        <v>2895</v>
      </c>
      <c r="C143" s="1275"/>
      <c r="D143" s="1275"/>
      <c r="E143" s="1276"/>
      <c r="F143" s="1194" t="s">
        <v>363</v>
      </c>
      <c r="G143" s="2175">
        <v>138</v>
      </c>
      <c r="H143" s="1264">
        <f>ROUND(E143*G143,)</f>
        <v>0</v>
      </c>
      <c r="I143" s="1265"/>
      <c r="J143" s="1264">
        <f>ROUND(E143*I143,)</f>
        <v>0</v>
      </c>
      <c r="K143" s="1299">
        <f>H143+J143</f>
        <v>0</v>
      </c>
      <c r="L143" s="1432"/>
    </row>
    <row r="144" spans="1:17" s="1199" customFormat="1" ht="24" customHeight="1">
      <c r="A144" s="1331"/>
      <c r="B144" s="1190" t="s">
        <v>1432</v>
      </c>
      <c r="C144" s="1275"/>
      <c r="D144" s="1275"/>
      <c r="E144" s="1276"/>
      <c r="F144" s="1194" t="s">
        <v>363</v>
      </c>
      <c r="G144" s="2175">
        <v>138</v>
      </c>
      <c r="H144" s="1264">
        <f t="shared" ref="H144:H145" si="14">ROUND(E144*G144,)</f>
        <v>0</v>
      </c>
      <c r="I144" s="1265"/>
      <c r="J144" s="1264">
        <f t="shared" ref="J144:J145" si="15">ROUND(E144*I144,)</f>
        <v>0</v>
      </c>
      <c r="K144" s="1299">
        <f t="shared" ref="K144:K145" si="16">H144+J144</f>
        <v>0</v>
      </c>
      <c r="L144" s="1432"/>
    </row>
    <row r="145" spans="1:16" s="1199" customFormat="1" ht="24" customHeight="1">
      <c r="A145" s="1331"/>
      <c r="B145" s="1190" t="s">
        <v>2896</v>
      </c>
      <c r="C145" s="1275"/>
      <c r="D145" s="1275"/>
      <c r="E145" s="1276"/>
      <c r="F145" s="1194" t="s">
        <v>363</v>
      </c>
      <c r="G145" s="2175">
        <v>619</v>
      </c>
      <c r="H145" s="1264">
        <f t="shared" si="14"/>
        <v>0</v>
      </c>
      <c r="I145" s="1265"/>
      <c r="J145" s="1264">
        <f t="shared" si="15"/>
        <v>0</v>
      </c>
      <c r="K145" s="1299">
        <f t="shared" si="16"/>
        <v>0</v>
      </c>
      <c r="L145" s="1432"/>
    </row>
    <row r="146" spans="1:16" s="1199" customFormat="1" ht="24" customHeight="1">
      <c r="A146" s="1331"/>
      <c r="B146" s="1190" t="s">
        <v>1117</v>
      </c>
      <c r="C146" s="1275"/>
      <c r="D146" s="1275"/>
      <c r="E146" s="2145"/>
      <c r="F146" s="1358"/>
      <c r="G146" s="2175"/>
      <c r="H146" s="1264"/>
      <c r="I146" s="1265"/>
      <c r="J146" s="1264"/>
      <c r="K146" s="1299"/>
      <c r="L146" s="1432"/>
    </row>
    <row r="147" spans="1:16" s="1199" customFormat="1" ht="24" customHeight="1">
      <c r="A147" s="1331"/>
      <c r="B147" s="1190" t="s">
        <v>1118</v>
      </c>
      <c r="C147" s="1275"/>
      <c r="D147" s="1275"/>
      <c r="E147" s="2145"/>
      <c r="F147" s="1358"/>
      <c r="G147" s="2175"/>
      <c r="H147" s="1264"/>
      <c r="I147" s="1265"/>
      <c r="J147" s="1264"/>
      <c r="K147" s="1299"/>
      <c r="L147" s="1432"/>
    </row>
    <row r="148" spans="1:16" s="1199" customFormat="1" ht="24" customHeight="1">
      <c r="A148" s="1331"/>
      <c r="B148" s="1190" t="s">
        <v>1118</v>
      </c>
      <c r="C148" s="1275"/>
      <c r="D148" s="1275"/>
      <c r="E148" s="2145"/>
      <c r="F148" s="1358"/>
      <c r="G148" s="2175"/>
      <c r="H148" s="1264"/>
      <c r="I148" s="1265"/>
      <c r="J148" s="1264"/>
      <c r="K148" s="1299"/>
      <c r="L148" s="1432"/>
    </row>
    <row r="149" spans="1:16" s="1199" customFormat="1" ht="24" customHeight="1">
      <c r="A149" s="1331"/>
      <c r="B149" s="1190"/>
      <c r="C149" s="1275"/>
      <c r="D149" s="1275"/>
      <c r="E149" s="2145"/>
      <c r="F149" s="1358"/>
      <c r="G149" s="2175"/>
      <c r="H149" s="1264"/>
      <c r="I149" s="1265"/>
      <c r="J149" s="1264"/>
      <c r="K149" s="1299"/>
      <c r="L149" s="1432"/>
    </row>
    <row r="150" spans="1:16" s="1199" customFormat="1" ht="24" customHeight="1">
      <c r="A150" s="1331"/>
      <c r="B150" s="1190"/>
      <c r="C150" s="1275"/>
      <c r="D150" s="1275"/>
      <c r="E150" s="2145"/>
      <c r="F150" s="1358"/>
      <c r="G150" s="2175"/>
      <c r="H150" s="1264"/>
      <c r="I150" s="1265"/>
      <c r="J150" s="1264"/>
      <c r="K150" s="1299"/>
      <c r="L150" s="1432"/>
    </row>
    <row r="151" spans="1:16" s="1199" customFormat="1" ht="24" customHeight="1">
      <c r="A151" s="1331"/>
      <c r="B151" s="1190"/>
      <c r="C151" s="1275"/>
      <c r="D151" s="1275"/>
      <c r="E151" s="2145"/>
      <c r="F151" s="1358"/>
      <c r="G151" s="2175"/>
      <c r="H151" s="1264"/>
      <c r="I151" s="1265"/>
      <c r="J151" s="1264"/>
      <c r="K151" s="1299"/>
      <c r="L151" s="1432"/>
    </row>
    <row r="152" spans="1:16" s="1199" customFormat="1" ht="24" customHeight="1">
      <c r="A152" s="1331"/>
      <c r="B152" s="1190"/>
      <c r="C152" s="1275"/>
      <c r="D152" s="1275"/>
      <c r="E152" s="2145"/>
      <c r="F152" s="1358"/>
      <c r="G152" s="2175"/>
      <c r="H152" s="1264"/>
      <c r="I152" s="1265"/>
      <c r="J152" s="1264"/>
      <c r="K152" s="1299"/>
      <c r="L152" s="1432"/>
    </row>
    <row r="153" spans="1:16" s="1199" customFormat="1" ht="24" customHeight="1">
      <c r="A153" s="1189"/>
      <c r="B153" s="1650"/>
      <c r="C153" s="1275"/>
      <c r="D153" s="1275"/>
      <c r="E153" s="2145"/>
      <c r="F153" s="1358"/>
      <c r="G153" s="2175"/>
      <c r="H153" s="1264"/>
      <c r="I153" s="1265"/>
      <c r="J153" s="1264"/>
      <c r="K153" s="1299"/>
      <c r="L153" s="1432"/>
    </row>
    <row r="154" spans="1:16" s="1199" customFormat="1" ht="24" customHeight="1">
      <c r="A154" s="1243"/>
      <c r="B154" s="2257" t="str">
        <f>"รวมราคารายการที่ "&amp;A139</f>
        <v>รวมราคารายการที่ 3.3</v>
      </c>
      <c r="C154" s="2258"/>
      <c r="D154" s="2259"/>
      <c r="E154" s="1244"/>
      <c r="F154" s="1245"/>
      <c r="G154" s="1246"/>
      <c r="H154" s="1247">
        <f>SUM(H140:H145)</f>
        <v>0</v>
      </c>
      <c r="I154" s="1246"/>
      <c r="J154" s="1247">
        <f>SUM(J140:J145)</f>
        <v>0</v>
      </c>
      <c r="K154" s="1245">
        <f>SUM(K140:K145)</f>
        <v>0</v>
      </c>
      <c r="L154" s="1245"/>
    </row>
    <row r="155" spans="1:16" s="1199" customFormat="1" ht="24" customHeight="1">
      <c r="A155" s="1308">
        <v>3.4</v>
      </c>
      <c r="B155" s="1436" t="s">
        <v>1312</v>
      </c>
      <c r="C155" s="1202"/>
      <c r="D155" s="1202"/>
      <c r="E155" s="1404"/>
      <c r="F155" s="1384"/>
      <c r="G155" s="2176"/>
      <c r="H155" s="1264">
        <f t="shared" ref="H155" si="17">ROUND(E155*G155,)</f>
        <v>0</v>
      </c>
      <c r="I155" s="2177"/>
      <c r="J155" s="1264">
        <f t="shared" ref="J155" si="18">ROUND(E155*I155,)</f>
        <v>0</v>
      </c>
      <c r="K155" s="1385"/>
      <c r="L155" s="1389"/>
      <c r="M155" s="1214"/>
      <c r="N155" s="1214"/>
      <c r="O155" s="1214"/>
    </row>
    <row r="156" spans="1:16" s="1199" customFormat="1" ht="24" customHeight="1">
      <c r="A156" s="1331" t="s">
        <v>1135</v>
      </c>
      <c r="B156" s="2174" t="s">
        <v>1314</v>
      </c>
      <c r="C156" s="1275"/>
      <c r="D156" s="1275"/>
      <c r="E156" s="1276"/>
      <c r="F156" s="1358"/>
      <c r="G156" s="2175"/>
      <c r="H156" s="1264"/>
      <c r="I156" s="1265"/>
      <c r="J156" s="1264"/>
      <c r="K156" s="1273"/>
      <c r="L156" s="1269"/>
    </row>
    <row r="157" spans="1:16" s="1199" customFormat="1" ht="24" customHeight="1">
      <c r="A157" s="1331" t="s">
        <v>1137</v>
      </c>
      <c r="B157" s="2174" t="s">
        <v>1315</v>
      </c>
      <c r="C157" s="1275"/>
      <c r="D157" s="1275"/>
      <c r="E157" s="1276"/>
      <c r="F157" s="1358"/>
      <c r="G157" s="2176"/>
      <c r="H157" s="1264"/>
      <c r="I157" s="1265"/>
      <c r="J157" s="1264"/>
      <c r="K157" s="1273"/>
      <c r="L157" s="1269"/>
    </row>
    <row r="158" spans="1:16" s="1199" customFormat="1" ht="24" customHeight="1">
      <c r="A158" s="1331"/>
      <c r="B158" s="2174" t="s">
        <v>1316</v>
      </c>
      <c r="C158" s="1275"/>
      <c r="D158" s="1275"/>
      <c r="E158" s="1270"/>
      <c r="F158" s="1358" t="s">
        <v>226</v>
      </c>
      <c r="G158" s="2176">
        <v>14</v>
      </c>
      <c r="H158" s="1264">
        <f t="shared" ref="H158:H171" si="19">ROUND(E158*G158,)</f>
        <v>0</v>
      </c>
      <c r="I158" s="1265">
        <v>10</v>
      </c>
      <c r="J158" s="1264">
        <f t="shared" ref="J158:J171" si="20">ROUND(E158*I158,)</f>
        <v>0</v>
      </c>
      <c r="K158" s="1273">
        <f t="shared" ref="K158:K171" si="21">H158+J158</f>
        <v>0</v>
      </c>
      <c r="L158" s="2000" t="s">
        <v>2667</v>
      </c>
      <c r="N158" s="1199">
        <v>1375.8</v>
      </c>
      <c r="O158" s="1199">
        <f>ROUND(N158/100,)</f>
        <v>14</v>
      </c>
      <c r="P158" s="1199">
        <f>E158*1.1</f>
        <v>0</v>
      </c>
    </row>
    <row r="159" spans="1:16" s="1199" customFormat="1" ht="24" customHeight="1">
      <c r="A159" s="1331"/>
      <c r="B159" s="2174" t="s">
        <v>1317</v>
      </c>
      <c r="C159" s="1275"/>
      <c r="D159" s="1275"/>
      <c r="E159" s="1270">
        <v>230</v>
      </c>
      <c r="F159" s="1358" t="s">
        <v>226</v>
      </c>
      <c r="G159" s="2176">
        <v>23</v>
      </c>
      <c r="H159" s="1264">
        <f t="shared" si="19"/>
        <v>5290</v>
      </c>
      <c r="I159" s="1265">
        <v>12</v>
      </c>
      <c r="J159" s="1264">
        <f t="shared" si="20"/>
        <v>2760</v>
      </c>
      <c r="K159" s="1273">
        <f t="shared" si="21"/>
        <v>8050</v>
      </c>
      <c r="L159" s="2000" t="s">
        <v>2667</v>
      </c>
      <c r="N159" s="1199">
        <v>2264.1999999999998</v>
      </c>
      <c r="O159" s="1199">
        <f t="shared" ref="O159:O167" si="22">ROUND(N159/100,)</f>
        <v>23</v>
      </c>
      <c r="P159" s="1199">
        <f t="shared" ref="P159:P171" si="23">E159*1.1</f>
        <v>253.00000000000003</v>
      </c>
    </row>
    <row r="160" spans="1:16" s="1199" customFormat="1" ht="24" customHeight="1">
      <c r="A160" s="1331"/>
      <c r="B160" s="2174" t="s">
        <v>1318</v>
      </c>
      <c r="C160" s="1275"/>
      <c r="D160" s="1275"/>
      <c r="E160" s="1270"/>
      <c r="F160" s="1358" t="s">
        <v>226</v>
      </c>
      <c r="G160" s="2176">
        <v>39</v>
      </c>
      <c r="H160" s="1264">
        <f t="shared" si="19"/>
        <v>0</v>
      </c>
      <c r="I160" s="1265">
        <v>16</v>
      </c>
      <c r="J160" s="1264">
        <f t="shared" si="20"/>
        <v>0</v>
      </c>
      <c r="K160" s="1273">
        <f t="shared" si="21"/>
        <v>0</v>
      </c>
      <c r="L160" s="2000" t="s">
        <v>2667</v>
      </c>
      <c r="N160" s="1199">
        <v>3944.2</v>
      </c>
      <c r="O160" s="1199">
        <f t="shared" si="22"/>
        <v>39</v>
      </c>
      <c r="P160" s="1199">
        <f t="shared" si="23"/>
        <v>0</v>
      </c>
    </row>
    <row r="161" spans="1:17" s="1199" customFormat="1" ht="24" customHeight="1">
      <c r="A161" s="1331"/>
      <c r="B161" s="2174" t="s">
        <v>1319</v>
      </c>
      <c r="C161" s="1275"/>
      <c r="D161" s="1275"/>
      <c r="E161" s="1270"/>
      <c r="F161" s="1358" t="s">
        <v>226</v>
      </c>
      <c r="G161" s="2176">
        <v>61</v>
      </c>
      <c r="H161" s="1264">
        <f t="shared" si="19"/>
        <v>0</v>
      </c>
      <c r="I161" s="1265">
        <v>20</v>
      </c>
      <c r="J161" s="1264">
        <f t="shared" si="20"/>
        <v>0</v>
      </c>
      <c r="K161" s="1273">
        <f t="shared" si="21"/>
        <v>0</v>
      </c>
      <c r="L161" s="2000" t="s">
        <v>2667</v>
      </c>
      <c r="N161" s="1199">
        <v>6120</v>
      </c>
      <c r="O161" s="1199">
        <f t="shared" si="22"/>
        <v>61</v>
      </c>
      <c r="P161" s="1199">
        <f t="shared" si="23"/>
        <v>0</v>
      </c>
    </row>
    <row r="162" spans="1:17" s="1199" customFormat="1" ht="24" customHeight="1">
      <c r="A162" s="1331"/>
      <c r="B162" s="2174" t="s">
        <v>1320</v>
      </c>
      <c r="C162" s="1275"/>
      <c r="D162" s="1275"/>
      <c r="E162" s="1270">
        <v>920</v>
      </c>
      <c r="F162" s="1358" t="s">
        <v>226</v>
      </c>
      <c r="G162" s="2176">
        <v>96</v>
      </c>
      <c r="H162" s="1264">
        <f t="shared" si="19"/>
        <v>88320</v>
      </c>
      <c r="I162" s="1265">
        <v>25</v>
      </c>
      <c r="J162" s="1264">
        <f t="shared" si="20"/>
        <v>23000</v>
      </c>
      <c r="K162" s="1273">
        <f t="shared" si="21"/>
        <v>111320</v>
      </c>
      <c r="L162" s="2000" t="s">
        <v>2667</v>
      </c>
      <c r="N162" s="1199">
        <v>9600</v>
      </c>
      <c r="O162" s="1199">
        <f t="shared" si="22"/>
        <v>96</v>
      </c>
      <c r="P162" s="1199">
        <f t="shared" si="23"/>
        <v>1012.0000000000001</v>
      </c>
    </row>
    <row r="163" spans="1:17" s="1199" customFormat="1" ht="24" customHeight="1">
      <c r="A163" s="1331"/>
      <c r="B163" s="2174" t="s">
        <v>1321</v>
      </c>
      <c r="C163" s="1275"/>
      <c r="D163" s="1275"/>
      <c r="E163" s="1270"/>
      <c r="F163" s="1358" t="s">
        <v>226</v>
      </c>
      <c r="G163" s="2176">
        <v>127</v>
      </c>
      <c r="H163" s="1264">
        <f t="shared" si="19"/>
        <v>0</v>
      </c>
      <c r="I163" s="1265">
        <v>30</v>
      </c>
      <c r="J163" s="1264">
        <f t="shared" si="20"/>
        <v>0</v>
      </c>
      <c r="K163" s="1273">
        <f t="shared" si="21"/>
        <v>0</v>
      </c>
      <c r="L163" s="2000" t="s">
        <v>2667</v>
      </c>
      <c r="N163" s="1199">
        <v>12744.2</v>
      </c>
      <c r="O163" s="1199">
        <f t="shared" si="22"/>
        <v>127</v>
      </c>
      <c r="P163" s="1199">
        <f t="shared" si="23"/>
        <v>0</v>
      </c>
    </row>
    <row r="164" spans="1:17" s="1199" customFormat="1" ht="24" customHeight="1">
      <c r="A164" s="1331"/>
      <c r="B164" s="2174" t="s">
        <v>1322</v>
      </c>
      <c r="C164" s="1275"/>
      <c r="D164" s="1275"/>
      <c r="E164" s="1270"/>
      <c r="F164" s="1358" t="s">
        <v>226</v>
      </c>
      <c r="G164" s="2176">
        <v>183</v>
      </c>
      <c r="H164" s="1264">
        <f t="shared" si="19"/>
        <v>0</v>
      </c>
      <c r="I164" s="1265">
        <v>40</v>
      </c>
      <c r="J164" s="1264">
        <f t="shared" si="20"/>
        <v>0</v>
      </c>
      <c r="K164" s="1273">
        <f t="shared" si="21"/>
        <v>0</v>
      </c>
      <c r="L164" s="2000" t="s">
        <v>2667</v>
      </c>
      <c r="N164" s="1199">
        <v>18335.8</v>
      </c>
      <c r="O164" s="1199">
        <f t="shared" si="22"/>
        <v>183</v>
      </c>
      <c r="P164" s="1199">
        <f t="shared" si="23"/>
        <v>0</v>
      </c>
    </row>
    <row r="165" spans="1:17" s="1199" customFormat="1" ht="24" customHeight="1">
      <c r="A165" s="1331"/>
      <c r="B165" s="2174" t="s">
        <v>1323</v>
      </c>
      <c r="C165" s="1275"/>
      <c r="D165" s="1275"/>
      <c r="E165" s="1270"/>
      <c r="F165" s="1358" t="s">
        <v>226</v>
      </c>
      <c r="G165" s="2176">
        <v>262</v>
      </c>
      <c r="H165" s="1264">
        <f t="shared" si="19"/>
        <v>0</v>
      </c>
      <c r="I165" s="1265">
        <v>45</v>
      </c>
      <c r="J165" s="1264">
        <f t="shared" si="20"/>
        <v>0</v>
      </c>
      <c r="K165" s="1273">
        <f t="shared" si="21"/>
        <v>0</v>
      </c>
      <c r="L165" s="2000" t="s">
        <v>2667</v>
      </c>
      <c r="N165" s="1199">
        <v>26215.8</v>
      </c>
      <c r="O165" s="1199">
        <f t="shared" si="22"/>
        <v>262</v>
      </c>
      <c r="P165" s="1199">
        <f t="shared" si="23"/>
        <v>0</v>
      </c>
    </row>
    <row r="166" spans="1:17" s="1199" customFormat="1" ht="24" customHeight="1">
      <c r="A166" s="1331"/>
      <c r="B166" s="2174" t="s">
        <v>1324</v>
      </c>
      <c r="C166" s="1275"/>
      <c r="D166" s="1275"/>
      <c r="E166" s="1270"/>
      <c r="F166" s="1358" t="s">
        <v>226</v>
      </c>
      <c r="G166" s="2176">
        <v>361</v>
      </c>
      <c r="H166" s="1264">
        <f t="shared" si="19"/>
        <v>0</v>
      </c>
      <c r="I166" s="1265">
        <v>55</v>
      </c>
      <c r="J166" s="1264">
        <f t="shared" si="20"/>
        <v>0</v>
      </c>
      <c r="K166" s="1273">
        <f t="shared" si="21"/>
        <v>0</v>
      </c>
      <c r="L166" s="2000" t="s">
        <v>2667</v>
      </c>
      <c r="N166" s="1199">
        <v>36120</v>
      </c>
      <c r="O166" s="1199">
        <f t="shared" si="22"/>
        <v>361</v>
      </c>
      <c r="P166" s="1199">
        <f t="shared" si="23"/>
        <v>0</v>
      </c>
    </row>
    <row r="167" spans="1:17" s="1199" customFormat="1" ht="24" customHeight="1">
      <c r="A167" s="1331"/>
      <c r="B167" s="2174" t="s">
        <v>1325</v>
      </c>
      <c r="C167" s="1275"/>
      <c r="D167" s="1275"/>
      <c r="E167" s="1270"/>
      <c r="F167" s="1358" t="s">
        <v>226</v>
      </c>
      <c r="G167" s="2176">
        <v>458</v>
      </c>
      <c r="H167" s="1264">
        <f t="shared" si="19"/>
        <v>0</v>
      </c>
      <c r="I167" s="1265">
        <v>60</v>
      </c>
      <c r="J167" s="1264">
        <f t="shared" si="20"/>
        <v>0</v>
      </c>
      <c r="K167" s="1273">
        <f t="shared" si="21"/>
        <v>0</v>
      </c>
      <c r="L167" s="2000" t="s">
        <v>2667</v>
      </c>
      <c r="N167" s="1199">
        <v>45760</v>
      </c>
      <c r="O167" s="1199">
        <f t="shared" si="22"/>
        <v>458</v>
      </c>
      <c r="P167" s="1199">
        <f t="shared" si="23"/>
        <v>0</v>
      </c>
    </row>
    <row r="168" spans="1:17" s="1199" customFormat="1" ht="24" customHeight="1">
      <c r="A168" s="1331"/>
      <c r="B168" s="2174" t="s">
        <v>1326</v>
      </c>
      <c r="C168" s="1275"/>
      <c r="D168" s="1275"/>
      <c r="E168" s="1270"/>
      <c r="F168" s="1358" t="s">
        <v>226</v>
      </c>
      <c r="G168" s="2176">
        <v>525</v>
      </c>
      <c r="H168" s="1264">
        <f t="shared" si="19"/>
        <v>0</v>
      </c>
      <c r="I168" s="1265">
        <v>70</v>
      </c>
      <c r="J168" s="1264">
        <f t="shared" si="20"/>
        <v>0</v>
      </c>
      <c r="K168" s="1273">
        <f t="shared" si="21"/>
        <v>0</v>
      </c>
      <c r="L168" s="1269"/>
      <c r="P168" s="1199">
        <f t="shared" si="23"/>
        <v>0</v>
      </c>
    </row>
    <row r="169" spans="1:17" s="1199" customFormat="1" ht="24" customHeight="1">
      <c r="A169" s="1331"/>
      <c r="B169" s="2174" t="s">
        <v>1327</v>
      </c>
      <c r="C169" s="1275"/>
      <c r="D169" s="1275"/>
      <c r="E169" s="1270"/>
      <c r="F169" s="1358" t="s">
        <v>226</v>
      </c>
      <c r="G169" s="2176">
        <v>659</v>
      </c>
      <c r="H169" s="1264">
        <f t="shared" si="19"/>
        <v>0</v>
      </c>
      <c r="I169" s="1265">
        <v>85</v>
      </c>
      <c r="J169" s="1264">
        <f t="shared" si="20"/>
        <v>0</v>
      </c>
      <c r="K169" s="1273">
        <f t="shared" si="21"/>
        <v>0</v>
      </c>
      <c r="L169" s="1269"/>
      <c r="P169" s="1199">
        <f t="shared" si="23"/>
        <v>0</v>
      </c>
    </row>
    <row r="170" spans="1:17" s="1199" customFormat="1" ht="24" customHeight="1">
      <c r="A170" s="1331"/>
      <c r="B170" s="2174" t="s">
        <v>1328</v>
      </c>
      <c r="C170" s="1275"/>
      <c r="D170" s="1275"/>
      <c r="E170" s="1270"/>
      <c r="F170" s="1358" t="s">
        <v>226</v>
      </c>
      <c r="G170" s="2176">
        <v>865</v>
      </c>
      <c r="H170" s="1264">
        <f t="shared" si="19"/>
        <v>0</v>
      </c>
      <c r="I170" s="1265">
        <v>100</v>
      </c>
      <c r="J170" s="1264">
        <f t="shared" si="20"/>
        <v>0</v>
      </c>
      <c r="K170" s="1273">
        <f t="shared" si="21"/>
        <v>0</v>
      </c>
      <c r="L170" s="1269"/>
      <c r="P170" s="1199">
        <f t="shared" si="23"/>
        <v>0</v>
      </c>
    </row>
    <row r="171" spans="1:17" s="1199" customFormat="1" ht="24" customHeight="1">
      <c r="A171" s="1331"/>
      <c r="B171" s="2174" t="s">
        <v>1329</v>
      </c>
      <c r="C171" s="1275"/>
      <c r="D171" s="1275"/>
      <c r="E171" s="1270"/>
      <c r="F171" s="1358" t="s">
        <v>226</v>
      </c>
      <c r="G171" s="2176">
        <v>1084</v>
      </c>
      <c r="H171" s="1264">
        <f t="shared" si="19"/>
        <v>0</v>
      </c>
      <c r="I171" s="1265">
        <v>110</v>
      </c>
      <c r="J171" s="1264">
        <f t="shared" si="20"/>
        <v>0</v>
      </c>
      <c r="K171" s="1273">
        <f t="shared" si="21"/>
        <v>0</v>
      </c>
      <c r="L171" s="1269"/>
      <c r="P171" s="1199">
        <f t="shared" si="23"/>
        <v>0</v>
      </c>
    </row>
    <row r="172" spans="1:17" s="1199" customFormat="1" ht="24" customHeight="1">
      <c r="A172" s="1331" t="s">
        <v>1158</v>
      </c>
      <c r="B172" s="2174" t="s">
        <v>2897</v>
      </c>
      <c r="C172" s="1275"/>
      <c r="D172" s="1275"/>
      <c r="E172" s="1276"/>
      <c r="F172" s="1358"/>
      <c r="G172" s="2175"/>
      <c r="H172" s="1264"/>
      <c r="I172" s="1265"/>
      <c r="J172" s="1264"/>
      <c r="K172" s="1273"/>
      <c r="L172" s="1269"/>
    </row>
    <row r="173" spans="1:17" s="1199" customFormat="1" ht="24" customHeight="1">
      <c r="A173" s="1331" t="s">
        <v>2898</v>
      </c>
      <c r="B173" s="1190" t="s">
        <v>1597</v>
      </c>
      <c r="C173" s="1202"/>
      <c r="D173" s="1202"/>
      <c r="E173" s="1387"/>
      <c r="F173" s="1384"/>
      <c r="G173" s="2176"/>
      <c r="H173" s="1264">
        <f t="shared" ref="H173:H182" si="24">ROUND(E173*G173,)</f>
        <v>0</v>
      </c>
      <c r="I173" s="2177"/>
      <c r="J173" s="1264">
        <f t="shared" ref="J173:J182" si="25">ROUND(E173*I173,)</f>
        <v>0</v>
      </c>
      <c r="K173" s="1385"/>
      <c r="L173" s="1385"/>
      <c r="M173" s="1214"/>
      <c r="N173" s="1214"/>
      <c r="O173" s="1214"/>
      <c r="P173" s="1214"/>
      <c r="Q173" s="1214"/>
    </row>
    <row r="174" spans="1:17" s="1199" customFormat="1" ht="24" customHeight="1">
      <c r="A174" s="1331"/>
      <c r="B174" s="1190" t="s">
        <v>1443</v>
      </c>
      <c r="C174" s="1202"/>
      <c r="D174" s="1202"/>
      <c r="E174" s="1270"/>
      <c r="F174" s="1358" t="s">
        <v>226</v>
      </c>
      <c r="G174" s="2176">
        <v>9</v>
      </c>
      <c r="H174" s="1264">
        <f t="shared" si="24"/>
        <v>0</v>
      </c>
      <c r="I174" s="2177">
        <v>7</v>
      </c>
      <c r="J174" s="1264">
        <f t="shared" si="25"/>
        <v>0</v>
      </c>
      <c r="K174" s="1273">
        <f>H174+J174</f>
        <v>0</v>
      </c>
      <c r="L174" s="2001" t="s">
        <v>2667</v>
      </c>
      <c r="M174" s="1214"/>
      <c r="N174" s="1199">
        <v>912.1</v>
      </c>
      <c r="O174" s="1199">
        <f>ROUND(N174/100,)</f>
        <v>9</v>
      </c>
      <c r="P174" s="1214"/>
      <c r="Q174" s="1214"/>
    </row>
    <row r="175" spans="1:17" s="1199" customFormat="1" ht="24" customHeight="1">
      <c r="A175" s="1331"/>
      <c r="B175" s="2174" t="s">
        <v>1316</v>
      </c>
      <c r="C175" s="1202"/>
      <c r="D175" s="1202"/>
      <c r="E175" s="1270">
        <v>450</v>
      </c>
      <c r="F175" s="1358" t="s">
        <v>226</v>
      </c>
      <c r="G175" s="2176">
        <v>14</v>
      </c>
      <c r="H175" s="1264">
        <f t="shared" si="24"/>
        <v>6300</v>
      </c>
      <c r="I175" s="2177">
        <v>10</v>
      </c>
      <c r="J175" s="1264">
        <f t="shared" si="25"/>
        <v>4500</v>
      </c>
      <c r="K175" s="1273">
        <f>H175+J175</f>
        <v>10800</v>
      </c>
      <c r="L175" s="2001" t="s">
        <v>2667</v>
      </c>
      <c r="M175" s="1214"/>
      <c r="N175" s="1199">
        <v>1375.8</v>
      </c>
      <c r="O175" s="1199">
        <f>ROUND(N175/100,)</f>
        <v>14</v>
      </c>
      <c r="P175" s="1214"/>
      <c r="Q175" s="1214"/>
    </row>
    <row r="176" spans="1:17" s="1199" customFormat="1" ht="24" customHeight="1">
      <c r="A176" s="1331"/>
      <c r="B176" s="2174" t="s">
        <v>1317</v>
      </c>
      <c r="C176" s="1275"/>
      <c r="D176" s="1275"/>
      <c r="E176" s="1270"/>
      <c r="F176" s="1358" t="s">
        <v>226</v>
      </c>
      <c r="G176" s="2176">
        <v>23</v>
      </c>
      <c r="H176" s="1264">
        <f t="shared" si="24"/>
        <v>0</v>
      </c>
      <c r="I176" s="1265">
        <v>12</v>
      </c>
      <c r="J176" s="1264">
        <f t="shared" si="25"/>
        <v>0</v>
      </c>
      <c r="K176" s="1273">
        <f t="shared" ref="K176:K177" si="26">H176+J176</f>
        <v>0</v>
      </c>
      <c r="L176" s="2001" t="s">
        <v>2667</v>
      </c>
      <c r="N176" s="1199">
        <v>2264.1999999999998</v>
      </c>
      <c r="O176" s="1199">
        <f t="shared" ref="O176:O177" si="27">ROUND(N176/100,)</f>
        <v>23</v>
      </c>
    </row>
    <row r="177" spans="1:17" s="1199" customFormat="1" ht="24" customHeight="1">
      <c r="A177" s="1331"/>
      <c r="B177" s="2174" t="s">
        <v>1318</v>
      </c>
      <c r="C177" s="1275"/>
      <c r="D177" s="1275"/>
      <c r="E177" s="1270"/>
      <c r="F177" s="1358" t="s">
        <v>226</v>
      </c>
      <c r="G177" s="2176">
        <v>39</v>
      </c>
      <c r="H177" s="1264">
        <f t="shared" si="24"/>
        <v>0</v>
      </c>
      <c r="I177" s="1265">
        <v>16</v>
      </c>
      <c r="J177" s="1264">
        <f t="shared" si="25"/>
        <v>0</v>
      </c>
      <c r="K177" s="1273">
        <f t="shared" si="26"/>
        <v>0</v>
      </c>
      <c r="L177" s="2001" t="s">
        <v>2667</v>
      </c>
      <c r="N177" s="1199">
        <v>3944.2</v>
      </c>
      <c r="O177" s="1199">
        <f t="shared" si="27"/>
        <v>39</v>
      </c>
    </row>
    <row r="178" spans="1:17" s="1199" customFormat="1" ht="24" customHeight="1">
      <c r="A178" s="1331"/>
      <c r="B178" s="2174"/>
      <c r="C178" s="1275"/>
      <c r="D178" s="1275"/>
      <c r="E178" s="1270"/>
      <c r="F178" s="1358"/>
      <c r="G178" s="2176"/>
      <c r="H178" s="1264"/>
      <c r="I178" s="1265"/>
      <c r="J178" s="1264"/>
      <c r="K178" s="1273"/>
      <c r="L178" s="2172"/>
    </row>
    <row r="179" spans="1:17" s="1199" customFormat="1" ht="24" customHeight="1">
      <c r="A179" s="1331" t="s">
        <v>2899</v>
      </c>
      <c r="B179" s="2174" t="s">
        <v>1331</v>
      </c>
      <c r="C179" s="1202"/>
      <c r="D179" s="1202"/>
      <c r="E179" s="1438"/>
      <c r="F179" s="1384"/>
      <c r="G179" s="2176"/>
      <c r="H179" s="1264">
        <f t="shared" si="24"/>
        <v>0</v>
      </c>
      <c r="I179" s="2177"/>
      <c r="J179" s="1264">
        <f t="shared" si="25"/>
        <v>0</v>
      </c>
      <c r="K179" s="1385"/>
      <c r="L179" s="1385"/>
      <c r="M179" s="1214"/>
      <c r="N179" s="1214"/>
      <c r="O179" s="1214"/>
      <c r="P179" s="1214"/>
      <c r="Q179" s="1214"/>
    </row>
    <row r="180" spans="1:17" s="1199" customFormat="1" ht="24" customHeight="1">
      <c r="A180" s="1331"/>
      <c r="B180" s="2174" t="s">
        <v>1443</v>
      </c>
      <c r="C180" s="1202"/>
      <c r="D180" s="1202"/>
      <c r="E180" s="1270"/>
      <c r="F180" s="1358" t="s">
        <v>226</v>
      </c>
      <c r="G180" s="2176">
        <v>41</v>
      </c>
      <c r="H180" s="1264">
        <f t="shared" si="24"/>
        <v>0</v>
      </c>
      <c r="I180" s="2177">
        <v>12</v>
      </c>
      <c r="J180" s="1264">
        <f t="shared" si="25"/>
        <v>0</v>
      </c>
      <c r="K180" s="1273">
        <f>H180+J180</f>
        <v>0</v>
      </c>
      <c r="L180" s="1385"/>
      <c r="M180" s="1214"/>
      <c r="N180" s="1214"/>
      <c r="O180" s="1214"/>
      <c r="P180" s="1214"/>
      <c r="Q180" s="1214"/>
    </row>
    <row r="181" spans="1:17" s="1199" customFormat="1" ht="24" customHeight="1">
      <c r="A181" s="1331"/>
      <c r="B181" s="2174" t="s">
        <v>1316</v>
      </c>
      <c r="C181" s="1202"/>
      <c r="D181" s="1202"/>
      <c r="E181" s="1506"/>
      <c r="F181" s="1358" t="s">
        <v>226</v>
      </c>
      <c r="G181" s="2176">
        <v>53</v>
      </c>
      <c r="H181" s="1264">
        <f t="shared" si="24"/>
        <v>0</v>
      </c>
      <c r="I181" s="2177">
        <v>14</v>
      </c>
      <c r="J181" s="1264">
        <f t="shared" si="25"/>
        <v>0</v>
      </c>
      <c r="K181" s="1273">
        <f>H181+J181</f>
        <v>0</v>
      </c>
      <c r="L181" s="1385"/>
      <c r="M181" s="1214"/>
      <c r="N181" s="1214"/>
      <c r="O181" s="1214"/>
      <c r="P181" s="1214"/>
      <c r="Q181" s="1214"/>
    </row>
    <row r="182" spans="1:17" s="1199" customFormat="1" ht="24" customHeight="1">
      <c r="A182" s="1406"/>
      <c r="B182" s="2174" t="s">
        <v>1444</v>
      </c>
      <c r="C182" s="1202"/>
      <c r="D182" s="1202"/>
      <c r="E182" s="1490">
        <v>1</v>
      </c>
      <c r="F182" s="1358" t="s">
        <v>1104</v>
      </c>
      <c r="G182" s="2176">
        <f>ROUND(SUM(H156:H181)*0.05,)</f>
        <v>4996</v>
      </c>
      <c r="H182" s="1264">
        <f t="shared" si="24"/>
        <v>4996</v>
      </c>
      <c r="I182" s="2177">
        <f>ROUND(G182*0.3,)</f>
        <v>1499</v>
      </c>
      <c r="J182" s="1264">
        <f t="shared" si="25"/>
        <v>1499</v>
      </c>
      <c r="K182" s="1273">
        <f>H182+J182</f>
        <v>6495</v>
      </c>
      <c r="L182" s="1385"/>
      <c r="M182" s="1214"/>
      <c r="N182" s="1214"/>
      <c r="O182" s="1214"/>
      <c r="P182" s="1214"/>
      <c r="Q182" s="1214"/>
    </row>
    <row r="183" spans="1:17" s="1199" customFormat="1" ht="24" customHeight="1">
      <c r="A183" s="1331"/>
      <c r="B183" s="2174" t="s">
        <v>1117</v>
      </c>
      <c r="C183" s="1202"/>
      <c r="D183" s="1202"/>
      <c r="E183" s="1404"/>
      <c r="F183" s="1384"/>
      <c r="G183" s="2176"/>
      <c r="H183" s="1388"/>
      <c r="I183" s="2177"/>
      <c r="J183" s="1385"/>
      <c r="K183" s="1385"/>
      <c r="L183" s="1389"/>
      <c r="M183" s="1214"/>
      <c r="N183" s="1214"/>
      <c r="O183" s="1214"/>
    </row>
    <row r="184" spans="1:17" s="1199" customFormat="1" ht="24" customHeight="1">
      <c r="A184" s="1331"/>
      <c r="B184" s="2174" t="s">
        <v>1118</v>
      </c>
      <c r="C184" s="1202"/>
      <c r="D184" s="1202"/>
      <c r="E184" s="1387"/>
      <c r="F184" s="1384"/>
      <c r="G184" s="2176"/>
      <c r="H184" s="1388"/>
      <c r="I184" s="2177"/>
      <c r="J184" s="1385"/>
      <c r="K184" s="1385"/>
      <c r="L184" s="1389"/>
      <c r="M184" s="1214"/>
      <c r="N184" s="1214"/>
      <c r="O184" s="1214"/>
    </row>
    <row r="185" spans="1:17" s="1199" customFormat="1" ht="24" customHeight="1">
      <c r="A185" s="1331"/>
      <c r="B185" s="1240"/>
      <c r="C185" s="1202"/>
      <c r="D185" s="1202"/>
      <c r="E185" s="1387"/>
      <c r="F185" s="1384"/>
      <c r="G185" s="2176"/>
      <c r="H185" s="1388"/>
      <c r="I185" s="2177"/>
      <c r="J185" s="1385"/>
      <c r="K185" s="1385"/>
      <c r="L185" s="1389"/>
      <c r="M185" s="1214"/>
      <c r="N185" s="1214"/>
      <c r="O185" s="1214"/>
    </row>
    <row r="186" spans="1:17" s="1199" customFormat="1" ht="24" customHeight="1">
      <c r="A186" s="1331"/>
      <c r="B186" s="1416"/>
      <c r="C186" s="1202"/>
      <c r="D186" s="1202"/>
      <c r="E186" s="1387"/>
      <c r="F186" s="1384"/>
      <c r="G186" s="2176"/>
      <c r="H186" s="1388"/>
      <c r="I186" s="2177"/>
      <c r="J186" s="1385"/>
      <c r="K186" s="1385"/>
      <c r="L186" s="1389"/>
      <c r="M186" s="1214"/>
      <c r="N186" s="1214"/>
      <c r="O186" s="1214"/>
    </row>
    <row r="187" spans="1:17" s="1199" customFormat="1" ht="24" customHeight="1">
      <c r="A187" s="1243"/>
      <c r="B187" s="2257" t="str">
        <f>"รวมราคารายการที่ "&amp;A155</f>
        <v>รวมราคารายการที่ 3.4</v>
      </c>
      <c r="C187" s="2258"/>
      <c r="D187" s="2259"/>
      <c r="E187" s="1244"/>
      <c r="F187" s="1245"/>
      <c r="G187" s="1246"/>
      <c r="H187" s="1247">
        <f>SUM(H155:H184)</f>
        <v>104906</v>
      </c>
      <c r="I187" s="1246"/>
      <c r="J187" s="1247">
        <f>SUM(J155:J184)</f>
        <v>31759</v>
      </c>
      <c r="K187" s="1247">
        <f>SUM(K155:K184)</f>
        <v>136665</v>
      </c>
      <c r="L187" s="1245"/>
      <c r="M187" s="1214"/>
      <c r="N187" s="1214"/>
      <c r="O187" s="1214"/>
    </row>
    <row r="188" spans="1:17" s="1199" customFormat="1" ht="24" customHeight="1">
      <c r="A188" s="1435" t="s">
        <v>1461</v>
      </c>
      <c r="B188" s="1436" t="s">
        <v>1333</v>
      </c>
      <c r="C188" s="1202"/>
      <c r="D188" s="1202"/>
      <c r="E188" s="1387"/>
      <c r="F188" s="1384"/>
      <c r="G188" s="2176"/>
      <c r="H188" s="1388"/>
      <c r="I188" s="2177"/>
      <c r="J188" s="1385"/>
      <c r="K188" s="1385"/>
      <c r="L188" s="1389"/>
      <c r="M188" s="1214"/>
      <c r="N188" s="1214"/>
      <c r="O188" s="1214"/>
    </row>
    <row r="189" spans="1:17" s="1199" customFormat="1" ht="24" customHeight="1">
      <c r="A189" s="1331" t="s">
        <v>1181</v>
      </c>
      <c r="B189" s="2174" t="s">
        <v>1446</v>
      </c>
      <c r="C189" s="1202"/>
      <c r="D189" s="1202"/>
      <c r="E189" s="1387"/>
      <c r="F189" s="1384"/>
      <c r="G189" s="2176"/>
      <c r="H189" s="1264">
        <f t="shared" ref="H189:H204" si="28">ROUND(E189*G189,)</f>
        <v>0</v>
      </c>
      <c r="I189" s="2177"/>
      <c r="J189" s="1264">
        <f t="shared" ref="J189:J204" si="29">ROUND(E189*I189,)</f>
        <v>0</v>
      </c>
      <c r="K189" s="1385"/>
      <c r="L189" s="1389"/>
      <c r="M189" s="1214"/>
      <c r="N189" s="1214"/>
      <c r="O189" s="1214"/>
    </row>
    <row r="190" spans="1:17" s="1199" customFormat="1" ht="24" customHeight="1">
      <c r="A190" s="1331"/>
      <c r="B190" s="2174" t="s">
        <v>1350</v>
      </c>
      <c r="C190" s="1202"/>
      <c r="D190" s="1202"/>
      <c r="E190" s="1404">
        <v>150</v>
      </c>
      <c r="F190" s="1358" t="s">
        <v>226</v>
      </c>
      <c r="G190" s="2176">
        <v>27</v>
      </c>
      <c r="H190" s="1264">
        <f t="shared" si="28"/>
        <v>4050</v>
      </c>
      <c r="I190" s="2177">
        <v>22</v>
      </c>
      <c r="J190" s="1264">
        <f t="shared" si="29"/>
        <v>3300</v>
      </c>
      <c r="K190" s="1802">
        <f t="shared" ref="K190" si="30">H190+J190</f>
        <v>7350</v>
      </c>
      <c r="L190" s="2001" t="s">
        <v>2667</v>
      </c>
      <c r="M190" s="1214"/>
      <c r="N190" s="1199">
        <v>79.8</v>
      </c>
      <c r="O190" s="1199">
        <f>ROUND(N190/3,)</f>
        <v>27</v>
      </c>
    </row>
    <row r="191" spans="1:17" s="1199" customFormat="1" ht="24" customHeight="1">
      <c r="A191" s="1331"/>
      <c r="B191" s="2174" t="s">
        <v>1108</v>
      </c>
      <c r="C191" s="1202"/>
      <c r="D191" s="1202"/>
      <c r="E191" s="1404">
        <v>1</v>
      </c>
      <c r="F191" s="1384" t="s">
        <v>1104</v>
      </c>
      <c r="G191" s="2176">
        <f>ROUND(SUM(H190:H190)*15%,)</f>
        <v>608</v>
      </c>
      <c r="H191" s="1264">
        <f t="shared" si="28"/>
        <v>608</v>
      </c>
      <c r="I191" s="2177">
        <f>ROUND(G191*0.3,)</f>
        <v>182</v>
      </c>
      <c r="J191" s="1264">
        <f t="shared" si="29"/>
        <v>182</v>
      </c>
      <c r="K191" s="1273">
        <f>H191+J191</f>
        <v>790</v>
      </c>
      <c r="L191" s="1389"/>
      <c r="M191" s="1214"/>
      <c r="N191" s="1214"/>
      <c r="O191" s="1214"/>
    </row>
    <row r="192" spans="1:17" s="1199" customFormat="1" ht="24" customHeight="1">
      <c r="A192" s="1331" t="s">
        <v>1197</v>
      </c>
      <c r="B192" s="2174" t="s">
        <v>1110</v>
      </c>
      <c r="C192" s="1202"/>
      <c r="D192" s="1202"/>
      <c r="E192" s="1404"/>
      <c r="F192" s="1384"/>
      <c r="G192" s="2176"/>
      <c r="H192" s="1264">
        <f t="shared" si="28"/>
        <v>0</v>
      </c>
      <c r="I192" s="2177"/>
      <c r="J192" s="1264">
        <f t="shared" si="29"/>
        <v>0</v>
      </c>
      <c r="K192" s="1385"/>
      <c r="L192" s="1389"/>
      <c r="M192" s="1214"/>
      <c r="N192" s="1214"/>
      <c r="O192" s="1214"/>
    </row>
    <row r="193" spans="1:17" s="1199" customFormat="1" ht="24" customHeight="1">
      <c r="A193" s="1331"/>
      <c r="B193" s="2174" t="s">
        <v>1350</v>
      </c>
      <c r="C193" s="1202"/>
      <c r="D193" s="1202"/>
      <c r="E193" s="1404"/>
      <c r="F193" s="1358" t="s">
        <v>226</v>
      </c>
      <c r="G193" s="2176">
        <v>56</v>
      </c>
      <c r="H193" s="1264">
        <f t="shared" si="28"/>
        <v>0</v>
      </c>
      <c r="I193" s="2177">
        <v>26</v>
      </c>
      <c r="J193" s="1264">
        <f t="shared" si="29"/>
        <v>0</v>
      </c>
      <c r="K193" s="1273">
        <f>H193+J193</f>
        <v>0</v>
      </c>
      <c r="L193" s="2001" t="s">
        <v>2667</v>
      </c>
      <c r="M193" s="1214"/>
      <c r="N193" s="1199">
        <v>169.2</v>
      </c>
      <c r="O193" s="1199">
        <f t="shared" ref="O193:O198" si="31">ROUND(N193/3,)</f>
        <v>56</v>
      </c>
    </row>
    <row r="194" spans="1:17" s="1199" customFormat="1" ht="24" customHeight="1">
      <c r="A194" s="1331"/>
      <c r="B194" s="2174" t="s">
        <v>1448</v>
      </c>
      <c r="C194" s="1202"/>
      <c r="D194" s="1202"/>
      <c r="E194" s="1404"/>
      <c r="F194" s="1358" t="s">
        <v>226</v>
      </c>
      <c r="G194" s="2176">
        <v>75</v>
      </c>
      <c r="H194" s="1264">
        <f t="shared" si="28"/>
        <v>0</v>
      </c>
      <c r="I194" s="2177">
        <v>29</v>
      </c>
      <c r="J194" s="1264">
        <f t="shared" si="29"/>
        <v>0</v>
      </c>
      <c r="K194" s="1273">
        <f>H194+J194</f>
        <v>0</v>
      </c>
      <c r="L194" s="2001" t="s">
        <v>2667</v>
      </c>
      <c r="N194" s="1199">
        <v>225</v>
      </c>
      <c r="O194" s="1199">
        <f t="shared" si="31"/>
        <v>75</v>
      </c>
      <c r="P194" s="1214"/>
    </row>
    <row r="195" spans="1:17" s="1199" customFormat="1" ht="24" customHeight="1">
      <c r="A195" s="1331"/>
      <c r="B195" s="2174" t="s">
        <v>1337</v>
      </c>
      <c r="C195" s="1202"/>
      <c r="D195" s="1202"/>
      <c r="E195" s="1404">
        <v>0</v>
      </c>
      <c r="F195" s="1358" t="s">
        <v>226</v>
      </c>
      <c r="G195" s="2176">
        <v>101</v>
      </c>
      <c r="H195" s="1264">
        <f t="shared" si="28"/>
        <v>0</v>
      </c>
      <c r="I195" s="2177">
        <v>32</v>
      </c>
      <c r="J195" s="1264">
        <f t="shared" si="29"/>
        <v>0</v>
      </c>
      <c r="K195" s="1273">
        <f>H195+J195</f>
        <v>0</v>
      </c>
      <c r="L195" s="2001" t="s">
        <v>2667</v>
      </c>
      <c r="N195" s="1199">
        <v>303.60000000000002</v>
      </c>
      <c r="O195" s="1199">
        <f t="shared" si="31"/>
        <v>101</v>
      </c>
    </row>
    <row r="196" spans="1:17" s="1199" customFormat="1" ht="24" customHeight="1">
      <c r="A196" s="1331"/>
      <c r="B196" s="2174" t="s">
        <v>1338</v>
      </c>
      <c r="C196" s="1202"/>
      <c r="D196" s="1202"/>
      <c r="E196" s="1270">
        <v>230</v>
      </c>
      <c r="F196" s="1358" t="s">
        <v>226</v>
      </c>
      <c r="G196" s="2176">
        <v>131</v>
      </c>
      <c r="H196" s="1264">
        <f t="shared" si="28"/>
        <v>30130</v>
      </c>
      <c r="I196" s="2177">
        <v>32</v>
      </c>
      <c r="J196" s="1264">
        <f t="shared" si="29"/>
        <v>7360</v>
      </c>
      <c r="K196" s="1273">
        <f t="shared" ref="K196:K201" si="32">H196+J196</f>
        <v>37490</v>
      </c>
      <c r="L196" s="2000" t="s">
        <v>2667</v>
      </c>
      <c r="N196" s="1199">
        <v>391.8</v>
      </c>
      <c r="O196" s="1199">
        <f t="shared" si="31"/>
        <v>131</v>
      </c>
    </row>
    <row r="197" spans="1:17" s="1199" customFormat="1" ht="24" customHeight="1">
      <c r="A197" s="1331"/>
      <c r="B197" s="2174" t="s">
        <v>1339</v>
      </c>
      <c r="C197" s="1202"/>
      <c r="D197" s="1202"/>
      <c r="E197" s="1270"/>
      <c r="F197" s="1358" t="s">
        <v>226</v>
      </c>
      <c r="G197" s="2176">
        <v>160</v>
      </c>
      <c r="H197" s="1264">
        <f t="shared" si="28"/>
        <v>0</v>
      </c>
      <c r="I197" s="2177">
        <v>38</v>
      </c>
      <c r="J197" s="1264">
        <f t="shared" si="29"/>
        <v>0</v>
      </c>
      <c r="K197" s="1273">
        <f t="shared" si="32"/>
        <v>0</v>
      </c>
      <c r="L197" s="2000" t="s">
        <v>2667</v>
      </c>
      <c r="N197" s="1199">
        <v>481.2</v>
      </c>
      <c r="O197" s="1199">
        <f t="shared" si="31"/>
        <v>160</v>
      </c>
    </row>
    <row r="198" spans="1:17" s="1199" customFormat="1" ht="24" customHeight="1">
      <c r="A198" s="1331"/>
      <c r="B198" s="2174" t="s">
        <v>1340</v>
      </c>
      <c r="C198" s="1202"/>
      <c r="D198" s="1202"/>
      <c r="E198" s="1270"/>
      <c r="F198" s="1358" t="s">
        <v>226</v>
      </c>
      <c r="G198" s="2176">
        <v>219</v>
      </c>
      <c r="H198" s="1264">
        <f t="shared" si="28"/>
        <v>0</v>
      </c>
      <c r="I198" s="2177">
        <v>42</v>
      </c>
      <c r="J198" s="1264">
        <f t="shared" si="29"/>
        <v>0</v>
      </c>
      <c r="K198" s="1273">
        <f t="shared" si="32"/>
        <v>0</v>
      </c>
      <c r="L198" s="2000" t="s">
        <v>2667</v>
      </c>
      <c r="N198" s="1199">
        <v>657.6</v>
      </c>
      <c r="O198" s="1199">
        <f t="shared" si="31"/>
        <v>219</v>
      </c>
    </row>
    <row r="199" spans="1:17" s="1199" customFormat="1" ht="24" customHeight="1">
      <c r="A199" s="1331"/>
      <c r="B199" s="2174" t="s">
        <v>1341</v>
      </c>
      <c r="C199" s="1202"/>
      <c r="D199" s="1202"/>
      <c r="E199" s="1270"/>
      <c r="F199" s="1358" t="s">
        <v>226</v>
      </c>
      <c r="G199" s="2176">
        <v>352</v>
      </c>
      <c r="H199" s="1264">
        <f t="shared" si="28"/>
        <v>0</v>
      </c>
      <c r="I199" s="2177">
        <v>48</v>
      </c>
      <c r="J199" s="1264">
        <f t="shared" si="29"/>
        <v>0</v>
      </c>
      <c r="K199" s="1273">
        <f t="shared" si="32"/>
        <v>0</v>
      </c>
      <c r="L199" s="1269"/>
    </row>
    <row r="200" spans="1:17" s="1199" customFormat="1" ht="24" customHeight="1">
      <c r="A200" s="1331"/>
      <c r="B200" s="2174" t="s">
        <v>1342</v>
      </c>
      <c r="C200" s="1202"/>
      <c r="D200" s="1202"/>
      <c r="E200" s="1270"/>
      <c r="F200" s="1358" t="s">
        <v>226</v>
      </c>
      <c r="G200" s="2176">
        <v>434</v>
      </c>
      <c r="H200" s="1264">
        <f t="shared" si="28"/>
        <v>0</v>
      </c>
      <c r="I200" s="2177">
        <v>55</v>
      </c>
      <c r="J200" s="1264">
        <f t="shared" si="29"/>
        <v>0</v>
      </c>
      <c r="K200" s="1273">
        <f t="shared" si="32"/>
        <v>0</v>
      </c>
      <c r="L200" s="1269"/>
    </row>
    <row r="201" spans="1:17" s="1199" customFormat="1" ht="24" customHeight="1">
      <c r="A201" s="1331"/>
      <c r="B201" s="2174" t="s">
        <v>1111</v>
      </c>
      <c r="C201" s="1202"/>
      <c r="D201" s="1202"/>
      <c r="E201" s="1270"/>
      <c r="F201" s="1358" t="s">
        <v>226</v>
      </c>
      <c r="G201" s="2176">
        <v>572</v>
      </c>
      <c r="H201" s="1264">
        <f t="shared" si="28"/>
        <v>0</v>
      </c>
      <c r="I201" s="2177">
        <v>65</v>
      </c>
      <c r="J201" s="1264">
        <f t="shared" si="29"/>
        <v>0</v>
      </c>
      <c r="K201" s="1273">
        <f t="shared" si="32"/>
        <v>0</v>
      </c>
      <c r="L201" s="1269"/>
    </row>
    <row r="202" spans="1:17" s="1199" customFormat="1" ht="23.5" customHeight="1">
      <c r="A202" s="1331"/>
      <c r="B202" s="2174" t="s">
        <v>1108</v>
      </c>
      <c r="C202" s="1202"/>
      <c r="D202" s="1202"/>
      <c r="E202" s="1404">
        <v>1</v>
      </c>
      <c r="F202" s="1384" t="s">
        <v>1104</v>
      </c>
      <c r="G202" s="2176">
        <f>ROUND(SUM(H193:H201)*15%,0)</f>
        <v>4520</v>
      </c>
      <c r="H202" s="1264">
        <f t="shared" si="28"/>
        <v>4520</v>
      </c>
      <c r="I202" s="2177">
        <f>ROUND(ROUND(G202*0.3,),0)</f>
        <v>1356</v>
      </c>
      <c r="J202" s="1264">
        <f t="shared" si="29"/>
        <v>1356</v>
      </c>
      <c r="K202" s="1273">
        <f>H202+J202</f>
        <v>5876</v>
      </c>
      <c r="L202" s="1385"/>
      <c r="M202" s="1214"/>
      <c r="N202" s="1214"/>
      <c r="O202" s="1214"/>
      <c r="P202" s="1214"/>
      <c r="Q202" s="1214"/>
    </row>
    <row r="203" spans="1:17" s="1199" customFormat="1" ht="24" customHeight="1">
      <c r="A203" s="1331" t="s">
        <v>1621</v>
      </c>
      <c r="B203" s="2174" t="s">
        <v>1449</v>
      </c>
      <c r="C203" s="1202"/>
      <c r="D203" s="1202"/>
      <c r="E203" s="1404"/>
      <c r="F203" s="1384"/>
      <c r="G203" s="2176"/>
      <c r="H203" s="1264">
        <f t="shared" si="28"/>
        <v>0</v>
      </c>
      <c r="I203" s="2177"/>
      <c r="J203" s="1264">
        <f t="shared" si="29"/>
        <v>0</v>
      </c>
      <c r="K203" s="1385"/>
      <c r="L203" s="1389"/>
      <c r="M203" s="1214"/>
      <c r="N203" s="1214"/>
      <c r="O203" s="1214"/>
    </row>
    <row r="204" spans="1:17" s="1199" customFormat="1" ht="24" customHeight="1">
      <c r="A204" s="1331"/>
      <c r="B204" s="2174" t="s">
        <v>1350</v>
      </c>
      <c r="C204" s="1202"/>
      <c r="D204" s="1202"/>
      <c r="E204" s="1404">
        <v>14</v>
      </c>
      <c r="F204" s="1358" t="s">
        <v>226</v>
      </c>
      <c r="G204" s="2176">
        <v>14</v>
      </c>
      <c r="H204" s="1264">
        <f t="shared" si="28"/>
        <v>196</v>
      </c>
      <c r="I204" s="2177">
        <v>11</v>
      </c>
      <c r="J204" s="1264">
        <f t="shared" si="29"/>
        <v>154</v>
      </c>
      <c r="K204" s="1273">
        <f>H204+J204</f>
        <v>350</v>
      </c>
      <c r="L204" s="1389"/>
      <c r="M204" s="1214"/>
      <c r="N204" s="1214"/>
      <c r="O204" s="1214"/>
    </row>
    <row r="205" spans="1:17" s="1199" customFormat="1" ht="24" customHeight="1">
      <c r="A205" s="1331"/>
      <c r="B205" s="2174" t="s">
        <v>1117</v>
      </c>
      <c r="C205" s="1202"/>
      <c r="D205" s="1202"/>
      <c r="E205" s="1404"/>
      <c r="F205" s="1384"/>
      <c r="G205" s="2176"/>
      <c r="H205" s="1388"/>
      <c r="I205" s="2177"/>
      <c r="J205" s="1385"/>
      <c r="K205" s="1385"/>
      <c r="L205" s="1389"/>
      <c r="M205" s="1214"/>
      <c r="N205" s="1214"/>
      <c r="O205" s="1214"/>
    </row>
    <row r="206" spans="1:17" s="1199" customFormat="1" ht="24" customHeight="1">
      <c r="A206" s="1331"/>
      <c r="B206" s="2174" t="s">
        <v>1118</v>
      </c>
      <c r="C206" s="1202"/>
      <c r="D206" s="1202"/>
      <c r="E206" s="1387"/>
      <c r="F206" s="1384"/>
      <c r="G206" s="2176"/>
      <c r="H206" s="1388"/>
      <c r="I206" s="2177"/>
      <c r="J206" s="1385"/>
      <c r="K206" s="1385"/>
      <c r="L206" s="1389"/>
      <c r="M206" s="1214"/>
      <c r="N206" s="1214"/>
      <c r="O206" s="1214"/>
    </row>
    <row r="207" spans="1:17" s="1199" customFormat="1" ht="24" customHeight="1">
      <c r="A207" s="1331"/>
      <c r="B207" s="2174" t="s">
        <v>1118</v>
      </c>
      <c r="C207" s="1202"/>
      <c r="D207" s="1202"/>
      <c r="E207" s="1387"/>
      <c r="F207" s="1384"/>
      <c r="G207" s="2176"/>
      <c r="H207" s="1388"/>
      <c r="I207" s="2177"/>
      <c r="J207" s="1385"/>
      <c r="K207" s="1385"/>
      <c r="L207" s="1389"/>
      <c r="M207" s="1214"/>
      <c r="N207" s="1214"/>
      <c r="O207" s="1214"/>
    </row>
    <row r="208" spans="1:17" s="1199" customFormat="1" ht="24" customHeight="1">
      <c r="A208" s="1331"/>
      <c r="B208" s="1416"/>
      <c r="C208" s="1202"/>
      <c r="D208" s="1202"/>
      <c r="E208" s="1387"/>
      <c r="F208" s="1384"/>
      <c r="G208" s="2176"/>
      <c r="H208" s="1388"/>
      <c r="I208" s="2177"/>
      <c r="J208" s="1385"/>
      <c r="K208" s="1385"/>
      <c r="L208" s="1389"/>
      <c r="M208" s="1214"/>
      <c r="N208" s="1214"/>
      <c r="O208" s="1214"/>
    </row>
    <row r="209" spans="1:15" s="1199" customFormat="1" ht="24" customHeight="1">
      <c r="A209" s="1243"/>
      <c r="B209" s="2257" t="str">
        <f>"รวมราคารายการที่ "&amp;A188</f>
        <v>รวมราคารายการที่ 3.5</v>
      </c>
      <c r="C209" s="2258"/>
      <c r="D209" s="2259"/>
      <c r="E209" s="1244"/>
      <c r="F209" s="1245"/>
      <c r="G209" s="1246"/>
      <c r="H209" s="1247">
        <f>SUM(H189:H207)</f>
        <v>39504</v>
      </c>
      <c r="I209" s="1246"/>
      <c r="J209" s="1247">
        <f>SUM(J189:J207)</f>
        <v>12352</v>
      </c>
      <c r="K209" s="1247">
        <f>SUM(K189:K207)</f>
        <v>51856</v>
      </c>
      <c r="L209" s="1245"/>
      <c r="M209" s="1214"/>
      <c r="N209" s="1214"/>
      <c r="O209" s="1214"/>
    </row>
    <row r="210" spans="1:15" s="1199" customFormat="1" ht="24" customHeight="1">
      <c r="A210" s="1435" t="s">
        <v>1465</v>
      </c>
      <c r="B210" s="1436" t="s">
        <v>1451</v>
      </c>
      <c r="C210" s="1202"/>
      <c r="D210" s="1202"/>
      <c r="E210" s="1387"/>
      <c r="F210" s="1384"/>
      <c r="G210" s="2176"/>
      <c r="H210" s="1388"/>
      <c r="I210" s="2177"/>
      <c r="J210" s="1385"/>
      <c r="K210" s="1385"/>
      <c r="L210" s="1389"/>
      <c r="M210" s="1214"/>
      <c r="N210" s="1214"/>
      <c r="O210" s="1214"/>
    </row>
    <row r="211" spans="1:15" s="1199" customFormat="1" ht="24" customHeight="1">
      <c r="A211" s="1331" t="s">
        <v>1207</v>
      </c>
      <c r="B211" s="2174" t="s">
        <v>1451</v>
      </c>
      <c r="C211" s="1202"/>
      <c r="D211" s="1202"/>
      <c r="E211" s="1387"/>
      <c r="F211" s="1384"/>
      <c r="G211" s="2176"/>
      <c r="H211" s="1388"/>
      <c r="I211" s="2177"/>
      <c r="J211" s="1385"/>
      <c r="K211" s="1385"/>
      <c r="L211" s="1389"/>
      <c r="M211" s="1214"/>
      <c r="N211" s="1214"/>
      <c r="O211" s="1214"/>
    </row>
    <row r="212" spans="1:15" s="1199" customFormat="1" ht="24" customHeight="1">
      <c r="A212" s="1331"/>
      <c r="B212" s="2174" t="s">
        <v>1452</v>
      </c>
      <c r="C212" s="1202"/>
      <c r="D212" s="1202"/>
      <c r="E212" s="1387">
        <v>6</v>
      </c>
      <c r="F212" s="1207" t="s">
        <v>363</v>
      </c>
      <c r="G212" s="2176">
        <v>90</v>
      </c>
      <c r="H212" s="1264">
        <f t="shared" ref="H212:H221" si="33">ROUND(E212*G212,)</f>
        <v>540</v>
      </c>
      <c r="I212" s="2177">
        <v>80</v>
      </c>
      <c r="J212" s="1264">
        <f t="shared" ref="J212:J221" si="34">ROUND(E212*I212,)</f>
        <v>480</v>
      </c>
      <c r="K212" s="1273">
        <f t="shared" ref="K212:K221" si="35">H212+J212</f>
        <v>1020</v>
      </c>
      <c r="L212" s="1389"/>
      <c r="M212" s="1214"/>
      <c r="N212" s="1214"/>
      <c r="O212" s="1214"/>
    </row>
    <row r="213" spans="1:15" s="1199" customFormat="1" ht="24" customHeight="1">
      <c r="A213" s="1331"/>
      <c r="B213" s="2174" t="s">
        <v>1453</v>
      </c>
      <c r="C213" s="1202"/>
      <c r="D213" s="1202"/>
      <c r="E213" s="1387"/>
      <c r="F213" s="1207" t="s">
        <v>363</v>
      </c>
      <c r="G213" s="2176">
        <v>130</v>
      </c>
      <c r="H213" s="1264">
        <f t="shared" si="33"/>
        <v>0</v>
      </c>
      <c r="I213" s="2177">
        <v>90</v>
      </c>
      <c r="J213" s="1264">
        <f t="shared" si="34"/>
        <v>0</v>
      </c>
      <c r="K213" s="1273">
        <f t="shared" si="35"/>
        <v>0</v>
      </c>
      <c r="L213" s="1389"/>
      <c r="M213" s="1214"/>
      <c r="N213" s="1214"/>
      <c r="O213" s="1214"/>
    </row>
    <row r="214" spans="1:15" s="1199" customFormat="1" ht="24" customHeight="1">
      <c r="A214" s="1331"/>
      <c r="B214" s="2174" t="s">
        <v>1454</v>
      </c>
      <c r="C214" s="1202"/>
      <c r="D214" s="1202"/>
      <c r="E214" s="1387"/>
      <c r="F214" s="1207" t="s">
        <v>363</v>
      </c>
      <c r="G214" s="2176">
        <v>240</v>
      </c>
      <c r="H214" s="1264">
        <f t="shared" si="33"/>
        <v>0</v>
      </c>
      <c r="I214" s="2177">
        <v>90</v>
      </c>
      <c r="J214" s="1264">
        <f t="shared" si="34"/>
        <v>0</v>
      </c>
      <c r="K214" s="1273">
        <f t="shared" si="35"/>
        <v>0</v>
      </c>
      <c r="L214" s="1389"/>
      <c r="M214" s="1214"/>
      <c r="N214" s="1214"/>
      <c r="O214" s="1214"/>
    </row>
    <row r="215" spans="1:15" s="1199" customFormat="1" ht="24" customHeight="1">
      <c r="A215" s="1331"/>
      <c r="B215" s="2174" t="s">
        <v>1455</v>
      </c>
      <c r="C215" s="1202"/>
      <c r="D215" s="1202"/>
      <c r="E215" s="1387"/>
      <c r="F215" s="1207" t="s">
        <v>363</v>
      </c>
      <c r="G215" s="2176">
        <v>162</v>
      </c>
      <c r="H215" s="1264">
        <f t="shared" si="33"/>
        <v>0</v>
      </c>
      <c r="I215" s="2177">
        <v>90</v>
      </c>
      <c r="J215" s="1264">
        <f t="shared" si="34"/>
        <v>0</v>
      </c>
      <c r="K215" s="1273">
        <f t="shared" si="35"/>
        <v>0</v>
      </c>
      <c r="L215" s="1389"/>
      <c r="M215" s="1214"/>
      <c r="N215" s="1214"/>
      <c r="O215" s="1214"/>
    </row>
    <row r="216" spans="1:15" s="1199" customFormat="1" ht="24" customHeight="1">
      <c r="A216" s="1331"/>
      <c r="B216" s="2174" t="s">
        <v>1456</v>
      </c>
      <c r="C216" s="1202"/>
      <c r="D216" s="1202"/>
      <c r="E216" s="1387">
        <v>8</v>
      </c>
      <c r="F216" s="1207" t="s">
        <v>363</v>
      </c>
      <c r="G216" s="2176">
        <v>197</v>
      </c>
      <c r="H216" s="1264">
        <f t="shared" si="33"/>
        <v>1576</v>
      </c>
      <c r="I216" s="2177">
        <v>90</v>
      </c>
      <c r="J216" s="1264">
        <f t="shared" si="34"/>
        <v>720</v>
      </c>
      <c r="K216" s="1273">
        <f t="shared" si="35"/>
        <v>2296</v>
      </c>
      <c r="L216" s="1389"/>
      <c r="M216" s="1214"/>
      <c r="N216" s="1214"/>
      <c r="O216" s="1214"/>
    </row>
    <row r="217" spans="1:15" s="1199" customFormat="1" ht="24" customHeight="1">
      <c r="A217" s="1331"/>
      <c r="B217" s="2174" t="s">
        <v>1457</v>
      </c>
      <c r="C217" s="1202"/>
      <c r="D217" s="1202"/>
      <c r="E217" s="1387"/>
      <c r="F217" s="1207" t="s">
        <v>363</v>
      </c>
      <c r="G217" s="2176">
        <v>1500</v>
      </c>
      <c r="H217" s="1264">
        <f t="shared" si="33"/>
        <v>0</v>
      </c>
      <c r="I217" s="2177">
        <v>265</v>
      </c>
      <c r="J217" s="1264">
        <f t="shared" si="34"/>
        <v>0</v>
      </c>
      <c r="K217" s="1385">
        <f t="shared" si="35"/>
        <v>0</v>
      </c>
      <c r="L217" s="1389"/>
      <c r="M217" s="1214"/>
      <c r="N217" s="1214"/>
      <c r="O217" s="1214"/>
    </row>
    <row r="218" spans="1:15" s="1199" customFormat="1" ht="24" customHeight="1">
      <c r="A218" s="1331"/>
      <c r="B218" s="2174" t="s">
        <v>1458</v>
      </c>
      <c r="C218" s="1202"/>
      <c r="D218" s="1202"/>
      <c r="E218" s="1387"/>
      <c r="F218" s="1207" t="s">
        <v>363</v>
      </c>
      <c r="G218" s="2176">
        <v>518</v>
      </c>
      <c r="H218" s="1264">
        <f t="shared" si="33"/>
        <v>0</v>
      </c>
      <c r="I218" s="2177">
        <v>115</v>
      </c>
      <c r="J218" s="1264">
        <f t="shared" si="34"/>
        <v>0</v>
      </c>
      <c r="K218" s="1273">
        <f t="shared" si="35"/>
        <v>0</v>
      </c>
      <c r="L218" s="1389"/>
      <c r="M218" s="1214"/>
      <c r="N218" s="1214"/>
      <c r="O218" s="1214"/>
    </row>
    <row r="219" spans="1:15" s="1199" customFormat="1" ht="24" customHeight="1">
      <c r="A219" s="1331"/>
      <c r="B219" s="2174" t="s">
        <v>1459</v>
      </c>
      <c r="C219" s="1202"/>
      <c r="D219" s="1202"/>
      <c r="E219" s="1387"/>
      <c r="F219" s="1207" t="s">
        <v>363</v>
      </c>
      <c r="G219" s="2176">
        <v>850</v>
      </c>
      <c r="H219" s="1264">
        <f t="shared" si="33"/>
        <v>0</v>
      </c>
      <c r="I219" s="2177">
        <v>265</v>
      </c>
      <c r="J219" s="1264">
        <f t="shared" si="34"/>
        <v>0</v>
      </c>
      <c r="K219" s="1273">
        <f t="shared" si="35"/>
        <v>0</v>
      </c>
      <c r="L219" s="1389"/>
      <c r="M219" s="1214"/>
      <c r="N219" s="1214"/>
      <c r="O219" s="1214"/>
    </row>
    <row r="220" spans="1:15" s="1199" customFormat="1" ht="24" customHeight="1">
      <c r="A220" s="1331" t="s">
        <v>1229</v>
      </c>
      <c r="B220" s="2174" t="s">
        <v>1460</v>
      </c>
      <c r="C220" s="1202"/>
      <c r="D220" s="1202"/>
      <c r="E220" s="1387">
        <v>2</v>
      </c>
      <c r="F220" s="1207" t="s">
        <v>363</v>
      </c>
      <c r="G220" s="2176">
        <v>130</v>
      </c>
      <c r="H220" s="1264">
        <f t="shared" si="33"/>
        <v>260</v>
      </c>
      <c r="I220" s="2177">
        <v>90</v>
      </c>
      <c r="J220" s="1264">
        <f t="shared" si="34"/>
        <v>180</v>
      </c>
      <c r="K220" s="1273">
        <f t="shared" si="35"/>
        <v>440</v>
      </c>
      <c r="L220" s="1389"/>
      <c r="M220" s="1214"/>
      <c r="N220" s="1214"/>
      <c r="O220" s="1214"/>
    </row>
    <row r="221" spans="1:15" s="1199" customFormat="1" ht="24" customHeight="1">
      <c r="A221" s="1331" t="s">
        <v>1234</v>
      </c>
      <c r="B221" s="2174" t="s">
        <v>1636</v>
      </c>
      <c r="C221" s="1202"/>
      <c r="D221" s="1202"/>
      <c r="E221" s="1387"/>
      <c r="F221" s="1207" t="s">
        <v>363</v>
      </c>
      <c r="G221" s="2176">
        <v>150</v>
      </c>
      <c r="H221" s="1264">
        <f t="shared" si="33"/>
        <v>0</v>
      </c>
      <c r="I221" s="2177">
        <v>90</v>
      </c>
      <c r="J221" s="1264">
        <f t="shared" si="34"/>
        <v>0</v>
      </c>
      <c r="K221" s="1273">
        <f t="shared" si="35"/>
        <v>0</v>
      </c>
      <c r="L221" s="1389"/>
      <c r="M221" s="1214"/>
      <c r="N221" s="1214"/>
      <c r="O221" s="1214"/>
    </row>
    <row r="222" spans="1:15" s="1199" customFormat="1" ht="24" customHeight="1">
      <c r="A222" s="1331"/>
      <c r="B222" s="2174" t="s">
        <v>1117</v>
      </c>
      <c r="C222" s="1202"/>
      <c r="D222" s="1202"/>
      <c r="E222" s="1387"/>
      <c r="F222" s="1384"/>
      <c r="G222" s="2176"/>
      <c r="H222" s="1388"/>
      <c r="I222" s="2177"/>
      <c r="J222" s="1385"/>
      <c r="K222" s="1385"/>
      <c r="L222" s="1389"/>
      <c r="M222" s="1214"/>
      <c r="N222" s="1214"/>
      <c r="O222" s="1214"/>
    </row>
    <row r="223" spans="1:15" s="1199" customFormat="1" ht="24" customHeight="1">
      <c r="A223" s="1331"/>
      <c r="B223" s="2174" t="s">
        <v>1118</v>
      </c>
      <c r="C223" s="1202"/>
      <c r="D223" s="1202"/>
      <c r="E223" s="1387"/>
      <c r="F223" s="1384"/>
      <c r="G223" s="2176"/>
      <c r="H223" s="1388"/>
      <c r="I223" s="2177"/>
      <c r="J223" s="1385"/>
      <c r="K223" s="1385"/>
      <c r="L223" s="1389"/>
      <c r="M223" s="1214"/>
      <c r="N223" s="1214"/>
      <c r="O223" s="1214"/>
    </row>
    <row r="224" spans="1:15" s="1199" customFormat="1" ht="24" customHeight="1">
      <c r="A224" s="1331"/>
      <c r="B224" s="2174" t="s">
        <v>1118</v>
      </c>
      <c r="C224" s="1202"/>
      <c r="D224" s="1202"/>
      <c r="E224" s="1387"/>
      <c r="F224" s="1384"/>
      <c r="G224" s="2176"/>
      <c r="H224" s="1388"/>
      <c r="I224" s="2177"/>
      <c r="J224" s="1385"/>
      <c r="K224" s="1385"/>
      <c r="L224" s="1389"/>
      <c r="M224" s="1214"/>
      <c r="N224" s="1214"/>
      <c r="O224" s="1214"/>
    </row>
    <row r="225" spans="1:16" s="1199" customFormat="1" ht="24" customHeight="1">
      <c r="A225" s="1331"/>
      <c r="B225" s="1416"/>
      <c r="C225" s="1202"/>
      <c r="D225" s="1202"/>
      <c r="E225" s="1387"/>
      <c r="F225" s="1384"/>
      <c r="G225" s="2176"/>
      <c r="H225" s="1388"/>
      <c r="I225" s="2177"/>
      <c r="J225" s="1385"/>
      <c r="K225" s="1385"/>
      <c r="L225" s="1389"/>
      <c r="M225" s="1214"/>
      <c r="N225" s="1214"/>
      <c r="O225" s="1214"/>
    </row>
    <row r="226" spans="1:16" s="1199" customFormat="1" ht="24" customHeight="1">
      <c r="A226" s="1243"/>
      <c r="B226" s="2257" t="str">
        <f>"รวมราคารายการที่ "&amp;A210</f>
        <v>รวมราคารายการที่ 3.6</v>
      </c>
      <c r="C226" s="2258"/>
      <c r="D226" s="2259"/>
      <c r="E226" s="1244"/>
      <c r="F226" s="1245"/>
      <c r="G226" s="1246"/>
      <c r="H226" s="1247">
        <f>SUM(H211:H225)</f>
        <v>2376</v>
      </c>
      <c r="I226" s="1246"/>
      <c r="J226" s="1247">
        <f t="shared" ref="J226:K226" si="36">SUM(J211:J225)</f>
        <v>1380</v>
      </c>
      <c r="K226" s="1247">
        <f t="shared" si="36"/>
        <v>3756</v>
      </c>
      <c r="L226" s="1245"/>
      <c r="M226" s="1214"/>
      <c r="N226" s="1214"/>
      <c r="O226" s="1214"/>
    </row>
    <row r="227" spans="1:16" s="1199" customFormat="1" ht="24" customHeight="1">
      <c r="A227" s="1435" t="s">
        <v>1490</v>
      </c>
      <c r="B227" s="1436" t="s">
        <v>1466</v>
      </c>
      <c r="C227" s="1202"/>
      <c r="D227" s="1202"/>
      <c r="E227" s="1387"/>
      <c r="F227" s="1207"/>
      <c r="G227" s="2176"/>
      <c r="H227" s="1264"/>
      <c r="I227" s="2177"/>
      <c r="J227" s="1264"/>
      <c r="K227" s="1273"/>
      <c r="L227" s="1389"/>
      <c r="M227" s="1214"/>
      <c r="N227" s="1214"/>
      <c r="O227" s="1214"/>
    </row>
    <row r="228" spans="1:16" s="1199" customFormat="1" ht="24" customHeight="1">
      <c r="A228" s="1339"/>
      <c r="B228" s="1259" t="s">
        <v>1467</v>
      </c>
      <c r="C228" s="1202"/>
      <c r="D228" s="1202"/>
      <c r="E228" s="1404">
        <v>12</v>
      </c>
      <c r="F228" s="1267" t="s">
        <v>363</v>
      </c>
      <c r="G228" s="1386">
        <v>420</v>
      </c>
      <c r="H228" s="1343">
        <f t="shared" ref="H228:H251" si="37">ROUND(E228*G228,)</f>
        <v>5040</v>
      </c>
      <c r="I228" s="1414">
        <v>115</v>
      </c>
      <c r="J228" s="1343">
        <f t="shared" ref="J228:J251" si="38">ROUND(E228*I228,)</f>
        <v>1380</v>
      </c>
      <c r="K228" s="1262">
        <f t="shared" ref="K228:K251" si="39">H228+J228</f>
        <v>6420</v>
      </c>
      <c r="L228" s="1415"/>
      <c r="M228" s="1214"/>
      <c r="N228" s="1214"/>
      <c r="O228" s="1214"/>
      <c r="P228" s="1214"/>
    </row>
    <row r="229" spans="1:16" s="1199" customFormat="1" ht="24" customHeight="1">
      <c r="A229" s="1339"/>
      <c r="B229" s="1259" t="s">
        <v>1468</v>
      </c>
      <c r="C229" s="1202"/>
      <c r="D229" s="1202"/>
      <c r="E229" s="1404">
        <v>4</v>
      </c>
      <c r="F229" s="1267" t="s">
        <v>363</v>
      </c>
      <c r="G229" s="1386">
        <v>500</v>
      </c>
      <c r="H229" s="1343">
        <f t="shared" si="37"/>
        <v>2000</v>
      </c>
      <c r="I229" s="1414">
        <v>115</v>
      </c>
      <c r="J229" s="1343">
        <f t="shared" si="38"/>
        <v>460</v>
      </c>
      <c r="K229" s="1262">
        <f t="shared" si="39"/>
        <v>2460</v>
      </c>
      <c r="L229" s="1415"/>
      <c r="M229" s="1214"/>
      <c r="N229" s="1214"/>
      <c r="O229" s="1214"/>
      <c r="P229" s="1214"/>
    </row>
    <row r="230" spans="1:16" s="1199" customFormat="1" ht="24" customHeight="1">
      <c r="A230" s="1339"/>
      <c r="B230" s="1259" t="s">
        <v>1469</v>
      </c>
      <c r="C230" s="1202"/>
      <c r="D230" s="1202"/>
      <c r="E230" s="1404"/>
      <c r="F230" s="1267" t="s">
        <v>363</v>
      </c>
      <c r="G230" s="1386">
        <v>550</v>
      </c>
      <c r="H230" s="1343">
        <f t="shared" si="37"/>
        <v>0</v>
      </c>
      <c r="I230" s="1414">
        <v>115</v>
      </c>
      <c r="J230" s="1343">
        <f t="shared" si="38"/>
        <v>0</v>
      </c>
      <c r="K230" s="1262">
        <f t="shared" si="39"/>
        <v>0</v>
      </c>
      <c r="L230" s="1415"/>
      <c r="M230" s="1214"/>
      <c r="N230" s="1214"/>
      <c r="O230" s="1214"/>
      <c r="P230" s="1214"/>
    </row>
    <row r="231" spans="1:16" s="1199" customFormat="1" ht="24" customHeight="1">
      <c r="A231" s="1339"/>
      <c r="B231" s="1259" t="s">
        <v>1470</v>
      </c>
      <c r="C231" s="1202"/>
      <c r="D231" s="1202"/>
      <c r="E231" s="1404"/>
      <c r="F231" s="1267" t="s">
        <v>363</v>
      </c>
      <c r="G231" s="1386">
        <v>750</v>
      </c>
      <c r="H231" s="1343">
        <f t="shared" si="37"/>
        <v>0</v>
      </c>
      <c r="I231" s="1414">
        <v>135</v>
      </c>
      <c r="J231" s="1343">
        <f t="shared" si="38"/>
        <v>0</v>
      </c>
      <c r="K231" s="1262">
        <f t="shared" si="39"/>
        <v>0</v>
      </c>
      <c r="L231" s="1415"/>
      <c r="M231" s="1214"/>
      <c r="N231" s="1214"/>
      <c r="O231" s="1214"/>
      <c r="P231" s="1214"/>
    </row>
    <row r="232" spans="1:16" s="1199" customFormat="1" ht="24" customHeight="1">
      <c r="A232" s="1339"/>
      <c r="B232" s="1259" t="s">
        <v>1471</v>
      </c>
      <c r="C232" s="1202"/>
      <c r="D232" s="1202"/>
      <c r="E232" s="1404"/>
      <c r="F232" s="1267" t="s">
        <v>363</v>
      </c>
      <c r="G232" s="1386">
        <v>1550</v>
      </c>
      <c r="H232" s="1343">
        <f t="shared" si="37"/>
        <v>0</v>
      </c>
      <c r="I232" s="1414">
        <v>135</v>
      </c>
      <c r="J232" s="1343">
        <f t="shared" si="38"/>
        <v>0</v>
      </c>
      <c r="K232" s="1262">
        <f t="shared" si="39"/>
        <v>0</v>
      </c>
      <c r="L232" s="1415"/>
      <c r="M232" s="1214"/>
      <c r="N232" s="1214"/>
      <c r="O232" s="1214"/>
      <c r="P232" s="1214"/>
    </row>
    <row r="233" spans="1:16" s="1199" customFormat="1" ht="24" customHeight="1">
      <c r="A233" s="1339"/>
      <c r="B233" s="1259" t="s">
        <v>1472</v>
      </c>
      <c r="C233" s="1202"/>
      <c r="D233" s="1202"/>
      <c r="E233" s="1404"/>
      <c r="F233" s="1267" t="s">
        <v>363</v>
      </c>
      <c r="G233" s="1386">
        <v>2090</v>
      </c>
      <c r="H233" s="1343">
        <f t="shared" si="37"/>
        <v>0</v>
      </c>
      <c r="I233" s="1414">
        <v>135</v>
      </c>
      <c r="J233" s="1343">
        <f t="shared" si="38"/>
        <v>0</v>
      </c>
      <c r="K233" s="1262">
        <f t="shared" si="39"/>
        <v>0</v>
      </c>
      <c r="L233" s="1415"/>
      <c r="M233" s="1214"/>
      <c r="N233" s="1214"/>
      <c r="O233" s="1214"/>
      <c r="P233" s="1214"/>
    </row>
    <row r="234" spans="1:16" s="1199" customFormat="1" ht="24" customHeight="1">
      <c r="A234" s="1339"/>
      <c r="B234" s="1259" t="s">
        <v>1473</v>
      </c>
      <c r="C234" s="1202"/>
      <c r="D234" s="1202"/>
      <c r="E234" s="1404"/>
      <c r="F234" s="1267" t="s">
        <v>363</v>
      </c>
      <c r="G234" s="1386">
        <v>3750</v>
      </c>
      <c r="H234" s="1343">
        <f t="shared" si="37"/>
        <v>0</v>
      </c>
      <c r="I234" s="1414">
        <v>135</v>
      </c>
      <c r="J234" s="1343">
        <f t="shared" si="38"/>
        <v>0</v>
      </c>
      <c r="K234" s="1262">
        <f t="shared" si="39"/>
        <v>0</v>
      </c>
      <c r="L234" s="1415"/>
      <c r="M234" s="1214"/>
      <c r="N234" s="1214"/>
      <c r="O234" s="1214"/>
      <c r="P234" s="1214"/>
    </row>
    <row r="235" spans="1:16" s="1199" customFormat="1" ht="24" customHeight="1">
      <c r="A235" s="1339"/>
      <c r="B235" s="1259" t="s">
        <v>1474</v>
      </c>
      <c r="C235" s="1202"/>
      <c r="D235" s="1202"/>
      <c r="E235" s="1404"/>
      <c r="F235" s="1267" t="s">
        <v>363</v>
      </c>
      <c r="G235" s="1386">
        <v>2450</v>
      </c>
      <c r="H235" s="1343">
        <f t="shared" si="37"/>
        <v>0</v>
      </c>
      <c r="I235" s="1414">
        <v>135</v>
      </c>
      <c r="J235" s="1343">
        <f t="shared" si="38"/>
        <v>0</v>
      </c>
      <c r="K235" s="1262">
        <f t="shared" si="39"/>
        <v>0</v>
      </c>
      <c r="L235" s="1415"/>
      <c r="M235" s="1214"/>
      <c r="N235" s="1214"/>
      <c r="O235" s="1214"/>
      <c r="P235" s="1214"/>
    </row>
    <row r="236" spans="1:16" s="1199" customFormat="1" ht="24" customHeight="1">
      <c r="A236" s="1339"/>
      <c r="B236" s="1259" t="s">
        <v>1475</v>
      </c>
      <c r="C236" s="1202"/>
      <c r="D236" s="1202"/>
      <c r="E236" s="1404"/>
      <c r="F236" s="1267" t="s">
        <v>363</v>
      </c>
      <c r="G236" s="1386">
        <v>1860</v>
      </c>
      <c r="H236" s="1343">
        <f t="shared" si="37"/>
        <v>0</v>
      </c>
      <c r="I236" s="1414">
        <v>135</v>
      </c>
      <c r="J236" s="1343">
        <f t="shared" si="38"/>
        <v>0</v>
      </c>
      <c r="K236" s="1262">
        <f t="shared" si="39"/>
        <v>0</v>
      </c>
      <c r="L236" s="1415"/>
      <c r="M236" s="1214"/>
      <c r="N236" s="1214"/>
      <c r="O236" s="1214"/>
      <c r="P236" s="1214"/>
    </row>
    <row r="237" spans="1:16" s="1199" customFormat="1" ht="24" customHeight="1">
      <c r="A237" s="1339"/>
      <c r="B237" s="1259" t="s">
        <v>1476</v>
      </c>
      <c r="C237" s="1202"/>
      <c r="D237" s="1202"/>
      <c r="E237" s="1404"/>
      <c r="F237" s="1267" t="s">
        <v>363</v>
      </c>
      <c r="G237" s="1386">
        <v>1200</v>
      </c>
      <c r="H237" s="1343">
        <f t="shared" si="37"/>
        <v>0</v>
      </c>
      <c r="I237" s="1414">
        <v>135</v>
      </c>
      <c r="J237" s="1343">
        <f t="shared" si="38"/>
        <v>0</v>
      </c>
      <c r="K237" s="1262">
        <f t="shared" si="39"/>
        <v>0</v>
      </c>
      <c r="L237" s="1415"/>
      <c r="M237" s="1214"/>
      <c r="N237" s="1214"/>
      <c r="O237" s="1214"/>
      <c r="P237" s="1214"/>
    </row>
    <row r="238" spans="1:16" s="1199" customFormat="1" ht="24" customHeight="1">
      <c r="A238" s="1339"/>
      <c r="B238" s="1259" t="s">
        <v>1477</v>
      </c>
      <c r="C238" s="1202"/>
      <c r="D238" s="1202"/>
      <c r="E238" s="1404"/>
      <c r="F238" s="1267" t="s">
        <v>363</v>
      </c>
      <c r="G238" s="1386">
        <v>1450</v>
      </c>
      <c r="H238" s="1343">
        <f t="shared" si="37"/>
        <v>0</v>
      </c>
      <c r="I238" s="1414">
        <v>135</v>
      </c>
      <c r="J238" s="1343">
        <f t="shared" si="38"/>
        <v>0</v>
      </c>
      <c r="K238" s="1262">
        <f t="shared" si="39"/>
        <v>0</v>
      </c>
      <c r="L238" s="1415"/>
      <c r="M238" s="1214"/>
      <c r="N238" s="1214"/>
      <c r="O238" s="1214"/>
      <c r="P238" s="1214"/>
    </row>
    <row r="239" spans="1:16" s="1199" customFormat="1" ht="24" customHeight="1">
      <c r="A239" s="1339"/>
      <c r="B239" s="1259" t="s">
        <v>1478</v>
      </c>
      <c r="C239" s="1202"/>
      <c r="D239" s="1202"/>
      <c r="E239" s="1404"/>
      <c r="F239" s="1267" t="s">
        <v>363</v>
      </c>
      <c r="G239" s="1386">
        <v>1250</v>
      </c>
      <c r="H239" s="1343">
        <f t="shared" si="37"/>
        <v>0</v>
      </c>
      <c r="I239" s="1414">
        <v>135</v>
      </c>
      <c r="J239" s="1343">
        <f t="shared" si="38"/>
        <v>0</v>
      </c>
      <c r="K239" s="1262">
        <f t="shared" si="39"/>
        <v>0</v>
      </c>
      <c r="L239" s="1415"/>
      <c r="M239" s="1214"/>
      <c r="N239" s="1214"/>
      <c r="O239" s="1214"/>
      <c r="P239" s="1214"/>
    </row>
    <row r="240" spans="1:16" s="1199" customFormat="1" ht="24" customHeight="1">
      <c r="A240" s="1339"/>
      <c r="B240" s="1259" t="s">
        <v>1479</v>
      </c>
      <c r="C240" s="1202"/>
      <c r="D240" s="1202"/>
      <c r="E240" s="1404"/>
      <c r="F240" s="1267" t="s">
        <v>363</v>
      </c>
      <c r="G240" s="1386">
        <v>650</v>
      </c>
      <c r="H240" s="1343">
        <f t="shared" si="37"/>
        <v>0</v>
      </c>
      <c r="I240" s="1414">
        <v>20</v>
      </c>
      <c r="J240" s="1343">
        <f t="shared" si="38"/>
        <v>0</v>
      </c>
      <c r="K240" s="1262">
        <f t="shared" si="39"/>
        <v>0</v>
      </c>
      <c r="L240" s="1415"/>
      <c r="M240" s="1214"/>
      <c r="N240" s="1214"/>
      <c r="O240" s="1214"/>
      <c r="P240" s="1214"/>
    </row>
    <row r="241" spans="1:17" s="1199" customFormat="1" ht="24" customHeight="1">
      <c r="A241" s="1339"/>
      <c r="B241" s="1259" t="s">
        <v>1480</v>
      </c>
      <c r="C241" s="1202"/>
      <c r="D241" s="1202"/>
      <c r="E241" s="1404"/>
      <c r="F241" s="1267" t="s">
        <v>363</v>
      </c>
      <c r="G241" s="1386">
        <v>2565</v>
      </c>
      <c r="H241" s="1343">
        <f t="shared" si="37"/>
        <v>0</v>
      </c>
      <c r="I241" s="1414">
        <v>135</v>
      </c>
      <c r="J241" s="1343">
        <f t="shared" si="38"/>
        <v>0</v>
      </c>
      <c r="K241" s="1262">
        <f t="shared" si="39"/>
        <v>0</v>
      </c>
      <c r="L241" s="1415"/>
      <c r="M241" s="1214"/>
      <c r="N241" s="1214"/>
      <c r="O241" s="1214"/>
      <c r="P241" s="1214"/>
    </row>
    <row r="242" spans="1:17" s="1199" customFormat="1" ht="24" customHeight="1">
      <c r="A242" s="1339"/>
      <c r="B242" s="1259" t="s">
        <v>1481</v>
      </c>
      <c r="C242" s="1202"/>
      <c r="D242" s="1202"/>
      <c r="E242" s="1404"/>
      <c r="F242" s="1267" t="s">
        <v>363</v>
      </c>
      <c r="G242" s="1386">
        <v>1200</v>
      </c>
      <c r="H242" s="1343">
        <f t="shared" si="37"/>
        <v>0</v>
      </c>
      <c r="I242" s="1414">
        <v>135</v>
      </c>
      <c r="J242" s="1343">
        <f t="shared" si="38"/>
        <v>0</v>
      </c>
      <c r="K242" s="1262">
        <f t="shared" si="39"/>
        <v>0</v>
      </c>
      <c r="L242" s="1415"/>
      <c r="M242" s="1214"/>
      <c r="N242" s="1214"/>
      <c r="O242" s="1214"/>
      <c r="P242" s="1214"/>
    </row>
    <row r="243" spans="1:17" s="1199" customFormat="1" ht="24" customHeight="1">
      <c r="A243" s="1339"/>
      <c r="B243" s="1259" t="s">
        <v>1482</v>
      </c>
      <c r="C243" s="1202"/>
      <c r="D243" s="1202"/>
      <c r="E243" s="1404"/>
      <c r="F243" s="1267" t="s">
        <v>363</v>
      </c>
      <c r="G243" s="1386">
        <v>1200</v>
      </c>
      <c r="H243" s="1343">
        <f t="shared" si="37"/>
        <v>0</v>
      </c>
      <c r="I243" s="1414">
        <v>135</v>
      </c>
      <c r="J243" s="1343">
        <f t="shared" si="38"/>
        <v>0</v>
      </c>
      <c r="K243" s="1262">
        <f t="shared" si="39"/>
        <v>0</v>
      </c>
      <c r="L243" s="1415"/>
      <c r="M243" s="1214"/>
      <c r="N243" s="1214"/>
      <c r="O243" s="1214"/>
      <c r="P243" s="1214"/>
    </row>
    <row r="244" spans="1:17" s="1199" customFormat="1" ht="24" customHeight="1">
      <c r="A244" s="1339"/>
      <c r="B244" s="1259" t="s">
        <v>1483</v>
      </c>
      <c r="C244" s="1202"/>
      <c r="D244" s="1202"/>
      <c r="E244" s="1404"/>
      <c r="F244" s="1267" t="s">
        <v>363</v>
      </c>
      <c r="G244" s="1386">
        <v>1860</v>
      </c>
      <c r="H244" s="1343">
        <f t="shared" si="37"/>
        <v>0</v>
      </c>
      <c r="I244" s="1414">
        <v>135</v>
      </c>
      <c r="J244" s="1343">
        <f t="shared" si="38"/>
        <v>0</v>
      </c>
      <c r="K244" s="1262">
        <f t="shared" si="39"/>
        <v>0</v>
      </c>
      <c r="L244" s="1415"/>
      <c r="M244" s="1214"/>
      <c r="N244" s="1214"/>
      <c r="O244" s="1214"/>
      <c r="P244" s="1214"/>
    </row>
    <row r="245" spans="1:17" s="1199" customFormat="1" ht="24" customHeight="1">
      <c r="A245" s="1339"/>
      <c r="B245" s="1259" t="s">
        <v>1484</v>
      </c>
      <c r="C245" s="1202"/>
      <c r="D245" s="1202"/>
      <c r="E245" s="1404"/>
      <c r="F245" s="1267" t="s">
        <v>363</v>
      </c>
      <c r="G245" s="1386">
        <v>1200</v>
      </c>
      <c r="H245" s="1343">
        <f t="shared" si="37"/>
        <v>0</v>
      </c>
      <c r="I245" s="1414">
        <v>135</v>
      </c>
      <c r="J245" s="1343">
        <f t="shared" si="38"/>
        <v>0</v>
      </c>
      <c r="K245" s="1262">
        <f t="shared" si="39"/>
        <v>0</v>
      </c>
      <c r="L245" s="1415"/>
      <c r="M245" s="1214"/>
      <c r="N245" s="1214"/>
      <c r="O245" s="1214"/>
      <c r="P245" s="1214"/>
    </row>
    <row r="246" spans="1:17" s="1199" customFormat="1" ht="24" customHeight="1">
      <c r="A246" s="1339"/>
      <c r="B246" s="1259" t="s">
        <v>1485</v>
      </c>
      <c r="C246" s="1202"/>
      <c r="D246" s="1202"/>
      <c r="E246" s="1404"/>
      <c r="F246" s="1267" t="s">
        <v>363</v>
      </c>
      <c r="G246" s="1386">
        <v>1200</v>
      </c>
      <c r="H246" s="1343">
        <f t="shared" si="37"/>
        <v>0</v>
      </c>
      <c r="I246" s="1414">
        <v>135</v>
      </c>
      <c r="J246" s="1343">
        <f t="shared" si="38"/>
        <v>0</v>
      </c>
      <c r="K246" s="1262">
        <f t="shared" si="39"/>
        <v>0</v>
      </c>
      <c r="L246" s="1415"/>
      <c r="M246" s="1214"/>
      <c r="N246" s="1214"/>
      <c r="O246" s="1214"/>
      <c r="P246" s="1214"/>
    </row>
    <row r="247" spans="1:17" s="1199" customFormat="1" ht="24" customHeight="1">
      <c r="A247" s="1339"/>
      <c r="B247" s="1259" t="s">
        <v>1486</v>
      </c>
      <c r="C247" s="1202"/>
      <c r="D247" s="1202"/>
      <c r="E247" s="1404"/>
      <c r="F247" s="1267" t="s">
        <v>363</v>
      </c>
      <c r="G247" s="1386">
        <v>1830</v>
      </c>
      <c r="H247" s="1343">
        <f t="shared" si="37"/>
        <v>0</v>
      </c>
      <c r="I247" s="1414">
        <v>500</v>
      </c>
      <c r="J247" s="1343">
        <f t="shared" si="38"/>
        <v>0</v>
      </c>
      <c r="K247" s="1262">
        <f t="shared" si="39"/>
        <v>0</v>
      </c>
      <c r="L247" s="1415"/>
      <c r="M247" s="1214"/>
      <c r="N247" s="1214"/>
      <c r="O247" s="1214"/>
      <c r="P247" s="1214"/>
      <c r="Q247" s="1214"/>
    </row>
    <row r="248" spans="1:17" s="1199" customFormat="1" ht="24" customHeight="1">
      <c r="A248" s="1339"/>
      <c r="B248" s="1259" t="s">
        <v>1487</v>
      </c>
      <c r="C248" s="1202"/>
      <c r="D248" s="1202"/>
      <c r="E248" s="1404">
        <v>4</v>
      </c>
      <c r="F248" s="1267" t="s">
        <v>363</v>
      </c>
      <c r="G248" s="1386">
        <v>1620</v>
      </c>
      <c r="H248" s="1343">
        <f t="shared" si="37"/>
        <v>6480</v>
      </c>
      <c r="I248" s="1414">
        <v>500</v>
      </c>
      <c r="J248" s="1343">
        <f t="shared" si="38"/>
        <v>2000</v>
      </c>
      <c r="K248" s="1262">
        <f t="shared" si="39"/>
        <v>8480</v>
      </c>
      <c r="L248" s="1415"/>
      <c r="M248" s="1214"/>
      <c r="N248" s="1214"/>
      <c r="O248" s="1214"/>
      <c r="P248" s="1214"/>
      <c r="Q248" s="1214"/>
    </row>
    <row r="249" spans="1:17" s="1199" customFormat="1" ht="24" customHeight="1">
      <c r="A249" s="1339"/>
      <c r="B249" s="1259" t="s">
        <v>1488</v>
      </c>
      <c r="C249" s="1202"/>
      <c r="D249" s="1202"/>
      <c r="E249" s="1404"/>
      <c r="F249" s="1267" t="s">
        <v>363</v>
      </c>
      <c r="G249" s="1386">
        <v>920</v>
      </c>
      <c r="H249" s="1343">
        <f t="shared" si="37"/>
        <v>0</v>
      </c>
      <c r="I249" s="1414">
        <v>250</v>
      </c>
      <c r="J249" s="1343">
        <f t="shared" si="38"/>
        <v>0</v>
      </c>
      <c r="K249" s="1262">
        <f t="shared" si="39"/>
        <v>0</v>
      </c>
      <c r="L249" s="1415"/>
      <c r="M249" s="1214"/>
      <c r="N249" s="1214"/>
      <c r="O249" s="1214"/>
      <c r="P249" s="1214"/>
      <c r="Q249" s="1214"/>
    </row>
    <row r="250" spans="1:17" s="1199" customFormat="1" ht="24" customHeight="1">
      <c r="A250" s="1339"/>
      <c r="B250" s="1259" t="s">
        <v>1489</v>
      </c>
      <c r="C250" s="1202"/>
      <c r="D250" s="1202"/>
      <c r="E250" s="1404"/>
      <c r="F250" s="1267" t="s">
        <v>363</v>
      </c>
      <c r="G250" s="1386">
        <v>2180</v>
      </c>
      <c r="H250" s="1343">
        <f t="shared" si="37"/>
        <v>0</v>
      </c>
      <c r="I250" s="1414">
        <v>500</v>
      </c>
      <c r="J250" s="1343">
        <f t="shared" si="38"/>
        <v>0</v>
      </c>
      <c r="K250" s="1262">
        <f t="shared" si="39"/>
        <v>0</v>
      </c>
      <c r="L250" s="1415"/>
      <c r="M250" s="1214"/>
      <c r="N250" s="1214"/>
      <c r="O250" s="1214"/>
      <c r="P250" s="1214"/>
    </row>
    <row r="251" spans="1:17" s="1199" customFormat="1" ht="24" customHeight="1">
      <c r="A251" s="1339"/>
      <c r="B251" s="1259" t="s">
        <v>1602</v>
      </c>
      <c r="C251" s="1202"/>
      <c r="D251" s="1202"/>
      <c r="E251" s="1404">
        <v>1</v>
      </c>
      <c r="F251" s="1267" t="s">
        <v>1104</v>
      </c>
      <c r="G251" s="1386">
        <f>SUM(H227:H249)*5%</f>
        <v>676</v>
      </c>
      <c r="H251" s="1343">
        <f t="shared" si="37"/>
        <v>676</v>
      </c>
      <c r="I251" s="1265">
        <f>ROUND(G251*0.3,)</f>
        <v>203</v>
      </c>
      <c r="J251" s="1343">
        <f t="shared" si="38"/>
        <v>203</v>
      </c>
      <c r="K251" s="1262">
        <f t="shared" si="39"/>
        <v>879</v>
      </c>
      <c r="L251" s="1415"/>
      <c r="M251" s="1214"/>
      <c r="N251" s="1214"/>
      <c r="O251" s="1214"/>
      <c r="P251" s="1214"/>
      <c r="Q251" s="1214"/>
    </row>
    <row r="252" spans="1:17" s="1199" customFormat="1" ht="24" customHeight="1">
      <c r="A252" s="1331"/>
      <c r="B252" s="2174" t="s">
        <v>1117</v>
      </c>
      <c r="C252" s="1202"/>
      <c r="D252" s="1202"/>
      <c r="E252" s="1387"/>
      <c r="F252" s="1207"/>
      <c r="G252" s="2176"/>
      <c r="H252" s="1388"/>
      <c r="I252" s="2177"/>
      <c r="J252" s="1385"/>
      <c r="K252" s="1385"/>
      <c r="L252" s="1389"/>
      <c r="M252" s="1214"/>
      <c r="N252" s="1214"/>
      <c r="O252" s="1214"/>
    </row>
    <row r="253" spans="1:17" s="1199" customFormat="1" ht="24" customHeight="1">
      <c r="A253" s="1331"/>
      <c r="B253" s="2174" t="s">
        <v>1369</v>
      </c>
      <c r="C253" s="1202"/>
      <c r="D253" s="1202"/>
      <c r="E253" s="1387"/>
      <c r="F253" s="1207"/>
      <c r="G253" s="2176"/>
      <c r="H253" s="1388"/>
      <c r="I253" s="2177"/>
      <c r="J253" s="1385"/>
      <c r="K253" s="1385"/>
      <c r="L253" s="1389"/>
      <c r="M253" s="1214"/>
      <c r="N253" s="1214"/>
      <c r="O253" s="1214"/>
    </row>
    <row r="254" spans="1:17" s="1199" customFormat="1" ht="24" customHeight="1">
      <c r="A254" s="1331"/>
      <c r="B254" s="2174" t="s">
        <v>1369</v>
      </c>
      <c r="C254" s="1202"/>
      <c r="D254" s="1202"/>
      <c r="E254" s="1387"/>
      <c r="F254" s="1384"/>
      <c r="G254" s="2176"/>
      <c r="H254" s="1388"/>
      <c r="I254" s="2177"/>
      <c r="J254" s="1385"/>
      <c r="K254" s="1385"/>
      <c r="L254" s="1389"/>
      <c r="M254" s="1214"/>
      <c r="N254" s="1214"/>
      <c r="O254" s="1214"/>
    </row>
    <row r="255" spans="1:17" s="1199" customFormat="1" ht="24" customHeight="1">
      <c r="A255" s="1440"/>
      <c r="B255" s="1441"/>
      <c r="C255" s="1442"/>
      <c r="D255" s="1442"/>
      <c r="E255" s="1443"/>
      <c r="F255" s="1507"/>
      <c r="G255" s="1445"/>
      <c r="H255" s="1446"/>
      <c r="I255" s="1447"/>
      <c r="J255" s="1448"/>
      <c r="K255" s="1448"/>
      <c r="L255" s="1448"/>
      <c r="M255" s="1214"/>
      <c r="N255" s="1214"/>
      <c r="O255" s="1214"/>
      <c r="P255" s="1214"/>
    </row>
    <row r="256" spans="1:17" s="1199" customFormat="1" ht="24" customHeight="1">
      <c r="A256" s="1243"/>
      <c r="B256" s="2257" t="str">
        <f>"รวมราคารายการที่ "&amp;A227</f>
        <v>รวมราคารายการที่ 3.7</v>
      </c>
      <c r="C256" s="2258"/>
      <c r="D256" s="2259"/>
      <c r="E256" s="1244"/>
      <c r="F256" s="1245"/>
      <c r="G256" s="1246"/>
      <c r="H256" s="1247">
        <f>SUM(H227:H253)</f>
        <v>14196</v>
      </c>
      <c r="I256" s="1246"/>
      <c r="J256" s="1247">
        <f t="shared" ref="J256:K256" si="40">SUM(J227:J253)</f>
        <v>4043</v>
      </c>
      <c r="K256" s="1247">
        <f t="shared" si="40"/>
        <v>18239</v>
      </c>
      <c r="L256" s="1245"/>
      <c r="M256" s="1214"/>
      <c r="N256" s="1214"/>
      <c r="O256" s="1214"/>
    </row>
    <row r="257" spans="1:17" s="1199" customFormat="1" ht="24" customHeight="1">
      <c r="A257" s="1435">
        <v>3.8</v>
      </c>
      <c r="B257" s="1436" t="s">
        <v>1371</v>
      </c>
      <c r="C257" s="1202"/>
      <c r="D257" s="1202"/>
      <c r="E257" s="1387"/>
      <c r="F257" s="1384"/>
      <c r="G257" s="2176"/>
      <c r="H257" s="1388"/>
      <c r="I257" s="2177"/>
      <c r="J257" s="1385"/>
      <c r="K257" s="1385"/>
      <c r="L257" s="1389"/>
      <c r="M257" s="1214"/>
      <c r="N257" s="1214"/>
      <c r="O257" s="1214"/>
    </row>
    <row r="258" spans="1:17" s="1199" customFormat="1" ht="24" customHeight="1">
      <c r="A258" s="1406" t="s">
        <v>1292</v>
      </c>
      <c r="B258" s="2174" t="s">
        <v>1491</v>
      </c>
      <c r="C258" s="1202"/>
      <c r="D258" s="1202"/>
      <c r="E258" s="1387">
        <v>2</v>
      </c>
      <c r="F258" s="1207" t="s">
        <v>363</v>
      </c>
      <c r="G258" s="2176">
        <f>30000+13500</f>
        <v>43500</v>
      </c>
      <c r="H258" s="1264">
        <f t="shared" ref="H258:H283" si="41">ROUND(E258*G258,)</f>
        <v>87000</v>
      </c>
      <c r="I258" s="2177">
        <f>G258*0.1</f>
        <v>4350</v>
      </c>
      <c r="J258" s="1264">
        <f t="shared" ref="J258:J292" si="42">ROUND(E258*I258,)</f>
        <v>8700</v>
      </c>
      <c r="K258" s="1273">
        <f t="shared" ref="K258:K292" si="43">H258+J258</f>
        <v>95700</v>
      </c>
      <c r="L258" s="1389"/>
      <c r="M258" s="1214"/>
      <c r="N258" s="1214"/>
      <c r="O258" s="1214"/>
    </row>
    <row r="259" spans="1:17" s="1199" customFormat="1" ht="24" customHeight="1">
      <c r="A259" s="1406" t="s">
        <v>1299</v>
      </c>
      <c r="B259" s="2174" t="s">
        <v>1492</v>
      </c>
      <c r="C259" s="1202"/>
      <c r="D259" s="1202"/>
      <c r="E259" s="1387">
        <v>6</v>
      </c>
      <c r="F259" s="1207" t="s">
        <v>363</v>
      </c>
      <c r="G259" s="2176">
        <v>1850</v>
      </c>
      <c r="H259" s="1264">
        <f t="shared" si="41"/>
        <v>11100</v>
      </c>
      <c r="I259" s="2177">
        <v>250</v>
      </c>
      <c r="J259" s="1264">
        <f t="shared" si="42"/>
        <v>1500</v>
      </c>
      <c r="K259" s="1273">
        <f t="shared" si="43"/>
        <v>12600</v>
      </c>
      <c r="L259" s="1389"/>
      <c r="M259" s="1214"/>
      <c r="N259" s="1214"/>
      <c r="O259" s="1214"/>
    </row>
    <row r="260" spans="1:17" s="1199" customFormat="1" ht="24" customHeight="1">
      <c r="A260" s="1406" t="s">
        <v>1301</v>
      </c>
      <c r="B260" s="2174" t="s">
        <v>1493</v>
      </c>
      <c r="C260" s="1202"/>
      <c r="D260" s="1202"/>
      <c r="E260" s="1387">
        <v>6</v>
      </c>
      <c r="F260" s="1207" t="s">
        <v>363</v>
      </c>
      <c r="G260" s="2176">
        <v>1850</v>
      </c>
      <c r="H260" s="1264">
        <f t="shared" si="41"/>
        <v>11100</v>
      </c>
      <c r="I260" s="2177">
        <v>250</v>
      </c>
      <c r="J260" s="1264">
        <f t="shared" si="42"/>
        <v>1500</v>
      </c>
      <c r="K260" s="1273">
        <f t="shared" si="43"/>
        <v>12600</v>
      </c>
      <c r="L260" s="1389"/>
      <c r="M260" s="1214"/>
      <c r="N260" s="1214"/>
      <c r="O260" s="1214"/>
    </row>
    <row r="261" spans="1:17" s="1199" customFormat="1" ht="24" customHeight="1">
      <c r="A261" s="1406" t="s">
        <v>1309</v>
      </c>
      <c r="B261" s="2174" t="s">
        <v>1494</v>
      </c>
      <c r="C261" s="1202"/>
      <c r="D261" s="1202"/>
      <c r="E261" s="1387">
        <v>4</v>
      </c>
      <c r="F261" s="1207" t="s">
        <v>363</v>
      </c>
      <c r="G261" s="2176">
        <v>1850</v>
      </c>
      <c r="H261" s="1264">
        <f t="shared" si="41"/>
        <v>7400</v>
      </c>
      <c r="I261" s="2177">
        <v>250</v>
      </c>
      <c r="J261" s="1264">
        <f t="shared" si="42"/>
        <v>1000</v>
      </c>
      <c r="K261" s="1273">
        <f t="shared" si="43"/>
        <v>8400</v>
      </c>
      <c r="L261" s="1389"/>
      <c r="M261" s="1214"/>
      <c r="N261" s="1214"/>
      <c r="O261" s="1214"/>
    </row>
    <row r="262" spans="1:17" s="1199" customFormat="1" ht="24" customHeight="1">
      <c r="A262" s="1406" t="s">
        <v>1533</v>
      </c>
      <c r="B262" s="2174" t="s">
        <v>1495</v>
      </c>
      <c r="C262" s="1202"/>
      <c r="D262" s="1202"/>
      <c r="E262" s="1387">
        <v>4</v>
      </c>
      <c r="F262" s="1207" t="s">
        <v>363</v>
      </c>
      <c r="G262" s="2176">
        <v>1850</v>
      </c>
      <c r="H262" s="1264">
        <f t="shared" si="41"/>
        <v>7400</v>
      </c>
      <c r="I262" s="2177">
        <v>250</v>
      </c>
      <c r="J262" s="1264">
        <f t="shared" si="42"/>
        <v>1000</v>
      </c>
      <c r="K262" s="1273">
        <f t="shared" si="43"/>
        <v>8400</v>
      </c>
      <c r="L262" s="1389"/>
      <c r="M262" s="1214"/>
      <c r="N262" s="1214"/>
      <c r="O262" s="1214"/>
    </row>
    <row r="263" spans="1:17" s="1199" customFormat="1" ht="24" customHeight="1">
      <c r="A263" s="1406" t="s">
        <v>1536</v>
      </c>
      <c r="B263" s="2174" t="s">
        <v>1496</v>
      </c>
      <c r="C263" s="1202"/>
      <c r="D263" s="1202"/>
      <c r="E263" s="1387"/>
      <c r="F263" s="1207" t="s">
        <v>363</v>
      </c>
      <c r="G263" s="2176">
        <v>1850</v>
      </c>
      <c r="H263" s="1264">
        <f t="shared" si="41"/>
        <v>0</v>
      </c>
      <c r="I263" s="2177">
        <v>250</v>
      </c>
      <c r="J263" s="1264">
        <f t="shared" si="42"/>
        <v>0</v>
      </c>
      <c r="K263" s="1273">
        <f t="shared" si="43"/>
        <v>0</v>
      </c>
      <c r="L263" s="1389"/>
      <c r="M263" s="1214"/>
      <c r="N263" s="1214"/>
      <c r="O263" s="1214"/>
    </row>
    <row r="264" spans="1:17" s="1199" customFormat="1" ht="24" customHeight="1">
      <c r="A264" s="1406" t="s">
        <v>1537</v>
      </c>
      <c r="B264" s="2174" t="s">
        <v>1497</v>
      </c>
      <c r="C264" s="1202"/>
      <c r="D264" s="1202"/>
      <c r="E264" s="1387">
        <v>2</v>
      </c>
      <c r="F264" s="1207" t="s">
        <v>363</v>
      </c>
      <c r="G264" s="2176">
        <v>2750</v>
      </c>
      <c r="H264" s="1264">
        <f t="shared" si="41"/>
        <v>5500</v>
      </c>
      <c r="I264" s="2177">
        <v>250</v>
      </c>
      <c r="J264" s="1264">
        <f t="shared" si="42"/>
        <v>500</v>
      </c>
      <c r="K264" s="1273">
        <f t="shared" si="43"/>
        <v>6000</v>
      </c>
      <c r="L264" s="1389"/>
      <c r="M264" s="1214"/>
      <c r="N264" s="1214"/>
      <c r="O264" s="1214"/>
    </row>
    <row r="265" spans="1:17" s="1199" customFormat="1" ht="24" customHeight="1">
      <c r="A265" s="1406" t="s">
        <v>1538</v>
      </c>
      <c r="B265" s="2174" t="s">
        <v>1498</v>
      </c>
      <c r="C265" s="1202"/>
      <c r="D265" s="1202"/>
      <c r="E265" s="1387">
        <v>2</v>
      </c>
      <c r="F265" s="1207" t="s">
        <v>363</v>
      </c>
      <c r="G265" s="2176">
        <v>2750</v>
      </c>
      <c r="H265" s="1264">
        <f t="shared" si="41"/>
        <v>5500</v>
      </c>
      <c r="I265" s="2177">
        <v>250</v>
      </c>
      <c r="J265" s="1264">
        <f t="shared" si="42"/>
        <v>500</v>
      </c>
      <c r="K265" s="1273">
        <f t="shared" si="43"/>
        <v>6000</v>
      </c>
      <c r="L265" s="1389"/>
      <c r="M265" s="1214"/>
      <c r="N265" s="1214"/>
      <c r="O265" s="1214"/>
    </row>
    <row r="266" spans="1:17" s="1199" customFormat="1" ht="24" customHeight="1">
      <c r="A266" s="1406" t="s">
        <v>2900</v>
      </c>
      <c r="B266" s="2174" t="s">
        <v>1500</v>
      </c>
      <c r="C266" s="1202"/>
      <c r="D266" s="1202"/>
      <c r="E266" s="1387">
        <v>2</v>
      </c>
      <c r="F266" s="1207" t="s">
        <v>363</v>
      </c>
      <c r="G266" s="2176">
        <v>2750</v>
      </c>
      <c r="H266" s="1264">
        <f t="shared" si="41"/>
        <v>5500</v>
      </c>
      <c r="I266" s="2177">
        <v>250</v>
      </c>
      <c r="J266" s="1264">
        <f t="shared" si="42"/>
        <v>500</v>
      </c>
      <c r="K266" s="1273">
        <f t="shared" si="43"/>
        <v>6000</v>
      </c>
      <c r="L266" s="1389"/>
      <c r="M266" s="1214"/>
      <c r="N266" s="1214"/>
      <c r="O266" s="1214"/>
    </row>
    <row r="267" spans="1:17" s="1199" customFormat="1" ht="24" customHeight="1">
      <c r="A267" s="1406" t="s">
        <v>2901</v>
      </c>
      <c r="B267" s="1190" t="s">
        <v>1603</v>
      </c>
      <c r="C267" s="1202"/>
      <c r="D267" s="1202"/>
      <c r="E267" s="1387">
        <v>2</v>
      </c>
      <c r="F267" s="1194" t="s">
        <v>363</v>
      </c>
      <c r="G267" s="2176">
        <v>2750</v>
      </c>
      <c r="H267" s="1264">
        <f t="shared" si="41"/>
        <v>5500</v>
      </c>
      <c r="I267" s="2177">
        <v>250</v>
      </c>
      <c r="J267" s="1264">
        <f t="shared" si="42"/>
        <v>500</v>
      </c>
      <c r="K267" s="1273">
        <f t="shared" si="43"/>
        <v>6000</v>
      </c>
      <c r="L267" s="1385"/>
      <c r="M267" s="1214"/>
      <c r="N267" s="1214"/>
      <c r="O267" s="1214"/>
      <c r="P267" s="1214"/>
      <c r="Q267" s="1214"/>
    </row>
    <row r="268" spans="1:17" s="1199" customFormat="1" ht="24" customHeight="1">
      <c r="A268" s="1406" t="s">
        <v>2902</v>
      </c>
      <c r="B268" s="2174" t="s">
        <v>1502</v>
      </c>
      <c r="C268" s="1202"/>
      <c r="D268" s="1202"/>
      <c r="E268" s="1387">
        <v>2</v>
      </c>
      <c r="F268" s="1207" t="s">
        <v>363</v>
      </c>
      <c r="G268" s="2176">
        <v>2750</v>
      </c>
      <c r="H268" s="1264">
        <f t="shared" si="41"/>
        <v>5500</v>
      </c>
      <c r="I268" s="2177">
        <v>250</v>
      </c>
      <c r="J268" s="1264">
        <f t="shared" si="42"/>
        <v>500</v>
      </c>
      <c r="K268" s="1273">
        <f t="shared" si="43"/>
        <v>6000</v>
      </c>
      <c r="L268" s="1389"/>
      <c r="M268" s="1214"/>
      <c r="N268" s="1214"/>
      <c r="O268" s="1214"/>
    </row>
    <row r="269" spans="1:17" s="1199" customFormat="1" ht="24" customHeight="1">
      <c r="A269" s="1406" t="s">
        <v>2903</v>
      </c>
      <c r="B269" s="2174" t="s">
        <v>1504</v>
      </c>
      <c r="C269" s="1202"/>
      <c r="D269" s="1202"/>
      <c r="E269" s="1387">
        <v>2</v>
      </c>
      <c r="F269" s="1207" t="s">
        <v>363</v>
      </c>
      <c r="G269" s="2176">
        <v>2750</v>
      </c>
      <c r="H269" s="1264">
        <f t="shared" si="41"/>
        <v>5500</v>
      </c>
      <c r="I269" s="2177">
        <v>250</v>
      </c>
      <c r="J269" s="1264">
        <f t="shared" si="42"/>
        <v>500</v>
      </c>
      <c r="K269" s="1273">
        <f t="shared" si="43"/>
        <v>6000</v>
      </c>
      <c r="L269" s="1389"/>
      <c r="M269" s="1214"/>
      <c r="N269" s="1214"/>
      <c r="O269" s="1214"/>
    </row>
    <row r="270" spans="1:17" s="1199" customFormat="1" ht="24" customHeight="1">
      <c r="A270" s="1406" t="s">
        <v>2904</v>
      </c>
      <c r="B270" s="2174" t="s">
        <v>1506</v>
      </c>
      <c r="C270" s="1202"/>
      <c r="D270" s="1202"/>
      <c r="E270" s="1387"/>
      <c r="F270" s="1207" t="s">
        <v>363</v>
      </c>
      <c r="G270" s="2176">
        <v>2750</v>
      </c>
      <c r="H270" s="1264">
        <f t="shared" si="41"/>
        <v>0</v>
      </c>
      <c r="I270" s="2177">
        <v>250</v>
      </c>
      <c r="J270" s="1264">
        <f t="shared" si="42"/>
        <v>0</v>
      </c>
      <c r="K270" s="1273">
        <f t="shared" si="43"/>
        <v>0</v>
      </c>
      <c r="L270" s="1389"/>
      <c r="M270" s="1214"/>
      <c r="N270" s="1214"/>
      <c r="O270" s="1214"/>
    </row>
    <row r="271" spans="1:17" s="1199" customFormat="1" ht="24" customHeight="1">
      <c r="A271" s="1406" t="s">
        <v>2905</v>
      </c>
      <c r="B271" s="2174" t="s">
        <v>1508</v>
      </c>
      <c r="C271" s="1202"/>
      <c r="D271" s="1202"/>
      <c r="E271" s="1387">
        <v>4</v>
      </c>
      <c r="F271" s="1207" t="s">
        <v>363</v>
      </c>
      <c r="G271" s="2176">
        <v>2250</v>
      </c>
      <c r="H271" s="1264">
        <f t="shared" si="41"/>
        <v>9000</v>
      </c>
      <c r="I271" s="2177">
        <v>250</v>
      </c>
      <c r="J271" s="1264">
        <f t="shared" si="42"/>
        <v>1000</v>
      </c>
      <c r="K271" s="1273">
        <f t="shared" si="43"/>
        <v>10000</v>
      </c>
      <c r="L271" s="1389"/>
      <c r="M271" s="1214"/>
      <c r="N271" s="1214"/>
      <c r="O271" s="1214"/>
    </row>
    <row r="272" spans="1:17" s="1199" customFormat="1" ht="24" customHeight="1">
      <c r="A272" s="1406" t="s">
        <v>2906</v>
      </c>
      <c r="B272" s="2174" t="s">
        <v>1510</v>
      </c>
      <c r="C272" s="1202"/>
      <c r="D272" s="1202"/>
      <c r="E272" s="1387">
        <v>252</v>
      </c>
      <c r="F272" s="1207" t="s">
        <v>363</v>
      </c>
      <c r="G272" s="2176">
        <f>3300+300</f>
        <v>3600</v>
      </c>
      <c r="H272" s="1264">
        <f t="shared" si="41"/>
        <v>907200</v>
      </c>
      <c r="I272" s="2177">
        <v>200</v>
      </c>
      <c r="J272" s="1264">
        <f t="shared" si="42"/>
        <v>50400</v>
      </c>
      <c r="K272" s="1273">
        <f t="shared" si="43"/>
        <v>957600</v>
      </c>
      <c r="L272" s="1389"/>
      <c r="M272" s="1214"/>
      <c r="N272" s="1214"/>
      <c r="O272" s="1214"/>
    </row>
    <row r="273" spans="1:17" s="1199" customFormat="1" ht="24" customHeight="1">
      <c r="A273" s="1406" t="s">
        <v>2907</v>
      </c>
      <c r="B273" s="2174" t="s">
        <v>1512</v>
      </c>
      <c r="C273" s="1202"/>
      <c r="D273" s="1202"/>
      <c r="E273" s="1387">
        <v>10</v>
      </c>
      <c r="F273" s="1207" t="s">
        <v>363</v>
      </c>
      <c r="G273" s="2176">
        <v>5000</v>
      </c>
      <c r="H273" s="1264">
        <f t="shared" si="41"/>
        <v>50000</v>
      </c>
      <c r="I273" s="2177">
        <v>500</v>
      </c>
      <c r="J273" s="1264">
        <f t="shared" si="42"/>
        <v>5000</v>
      </c>
      <c r="K273" s="1273">
        <f t="shared" si="43"/>
        <v>55000</v>
      </c>
      <c r="L273" s="1389"/>
      <c r="M273" s="1214"/>
      <c r="N273" s="1214"/>
      <c r="O273" s="1214"/>
    </row>
    <row r="274" spans="1:17" s="1199" customFormat="1" ht="24" customHeight="1">
      <c r="A274" s="1406" t="s">
        <v>2908</v>
      </c>
      <c r="B274" s="2174" t="s">
        <v>1514</v>
      </c>
      <c r="C274" s="1202"/>
      <c r="D274" s="1202"/>
      <c r="E274" s="1387">
        <v>6</v>
      </c>
      <c r="F274" s="1207" t="s">
        <v>363</v>
      </c>
      <c r="G274" s="2176">
        <v>350</v>
      </c>
      <c r="H274" s="1264">
        <f t="shared" si="41"/>
        <v>2100</v>
      </c>
      <c r="I274" s="2177">
        <v>200</v>
      </c>
      <c r="J274" s="1264">
        <f t="shared" si="42"/>
        <v>1200</v>
      </c>
      <c r="K274" s="1273">
        <f t="shared" si="43"/>
        <v>3300</v>
      </c>
      <c r="L274" s="1389"/>
      <c r="M274" s="1214"/>
      <c r="N274" s="1214"/>
      <c r="O274" s="1214"/>
    </row>
    <row r="275" spans="1:17" s="1199" customFormat="1" ht="24" customHeight="1">
      <c r="A275" s="1406" t="s">
        <v>2909</v>
      </c>
      <c r="B275" s="2174" t="s">
        <v>1516</v>
      </c>
      <c r="C275" s="1202"/>
      <c r="D275" s="1202"/>
      <c r="E275" s="1387">
        <v>6</v>
      </c>
      <c r="F275" s="1207" t="s">
        <v>363</v>
      </c>
      <c r="G275" s="2176">
        <v>4200</v>
      </c>
      <c r="H275" s="1264">
        <f t="shared" si="41"/>
        <v>25200</v>
      </c>
      <c r="I275" s="2177">
        <v>200</v>
      </c>
      <c r="J275" s="1264">
        <f t="shared" si="42"/>
        <v>1200</v>
      </c>
      <c r="K275" s="1273">
        <f t="shared" si="43"/>
        <v>26400</v>
      </c>
      <c r="L275" s="1389"/>
      <c r="M275" s="1214"/>
      <c r="N275" s="1214"/>
      <c r="O275" s="1214"/>
    </row>
    <row r="276" spans="1:17" s="1199" customFormat="1" ht="24" customHeight="1">
      <c r="A276" s="1406" t="s">
        <v>2910</v>
      </c>
      <c r="B276" s="2174" t="s">
        <v>1518</v>
      </c>
      <c r="C276" s="1202"/>
      <c r="D276" s="1202"/>
      <c r="E276" s="1387">
        <v>23</v>
      </c>
      <c r="F276" s="1207" t="s">
        <v>363</v>
      </c>
      <c r="G276" s="2176">
        <v>2200</v>
      </c>
      <c r="H276" s="1264">
        <f t="shared" si="41"/>
        <v>50600</v>
      </c>
      <c r="I276" s="2177">
        <v>200</v>
      </c>
      <c r="J276" s="1264">
        <f t="shared" si="42"/>
        <v>4600</v>
      </c>
      <c r="K276" s="1273">
        <f t="shared" si="43"/>
        <v>55200</v>
      </c>
      <c r="L276" s="1389"/>
      <c r="M276" s="1214"/>
      <c r="N276" s="1214"/>
      <c r="O276" s="1214"/>
    </row>
    <row r="277" spans="1:17" s="1199" customFormat="1" ht="24" customHeight="1">
      <c r="A277" s="1406" t="s">
        <v>2911</v>
      </c>
      <c r="B277" s="2174" t="s">
        <v>1604</v>
      </c>
      <c r="C277" s="1202"/>
      <c r="D277" s="1202"/>
      <c r="E277" s="1387">
        <v>2</v>
      </c>
      <c r="F277" s="1207" t="s">
        <v>363</v>
      </c>
      <c r="G277" s="2176">
        <v>4785</v>
      </c>
      <c r="H277" s="1264">
        <f>ROUND(E277*G277,)</f>
        <v>9570</v>
      </c>
      <c r="I277" s="2177">
        <v>100</v>
      </c>
      <c r="J277" s="1264">
        <f>ROUND(E277*I277,)</f>
        <v>200</v>
      </c>
      <c r="K277" s="1273">
        <f>H277+J277</f>
        <v>9770</v>
      </c>
      <c r="L277" s="1385"/>
      <c r="M277" s="1214"/>
      <c r="N277" s="1214"/>
      <c r="O277" s="1214"/>
      <c r="P277" s="1214"/>
      <c r="Q277" s="1214"/>
    </row>
    <row r="278" spans="1:17" s="1199" customFormat="1" ht="24" customHeight="1">
      <c r="A278" s="1406" t="s">
        <v>2912</v>
      </c>
      <c r="B278" s="2174" t="s">
        <v>1521</v>
      </c>
      <c r="C278" s="1202"/>
      <c r="D278" s="1202"/>
      <c r="E278" s="1387">
        <v>2</v>
      </c>
      <c r="F278" s="1207" t="s">
        <v>363</v>
      </c>
      <c r="G278" s="2176">
        <v>5000</v>
      </c>
      <c r="H278" s="1264">
        <f t="shared" si="41"/>
        <v>10000</v>
      </c>
      <c r="I278" s="2177">
        <v>500</v>
      </c>
      <c r="J278" s="1264">
        <f t="shared" si="42"/>
        <v>1000</v>
      </c>
      <c r="K278" s="1273">
        <f t="shared" si="43"/>
        <v>11000</v>
      </c>
      <c r="L278" s="1389"/>
      <c r="M278" s="1214"/>
      <c r="N278" s="1214"/>
      <c r="O278" s="1214"/>
    </row>
    <row r="279" spans="1:17" s="1199" customFormat="1" ht="24" customHeight="1">
      <c r="A279" s="1406" t="s">
        <v>2913</v>
      </c>
      <c r="B279" s="2174" t="s">
        <v>1312</v>
      </c>
      <c r="C279" s="1202"/>
      <c r="D279" s="1202"/>
      <c r="E279" s="1404"/>
      <c r="F279" s="1384"/>
      <c r="G279" s="2176"/>
      <c r="H279" s="1264">
        <f t="shared" si="41"/>
        <v>0</v>
      </c>
      <c r="I279" s="2177"/>
      <c r="J279" s="1264">
        <f t="shared" si="42"/>
        <v>0</v>
      </c>
      <c r="K279" s="1273">
        <f t="shared" si="43"/>
        <v>0</v>
      </c>
      <c r="L279" s="1389"/>
      <c r="M279" s="1214"/>
      <c r="N279" s="1214"/>
      <c r="O279" s="1214"/>
    </row>
    <row r="280" spans="1:17" s="1199" customFormat="1" ht="24" customHeight="1">
      <c r="A280" s="1331"/>
      <c r="B280" s="2174" t="s">
        <v>1523</v>
      </c>
      <c r="C280" s="1202"/>
      <c r="D280" s="1202"/>
      <c r="E280" s="1404">
        <v>1440</v>
      </c>
      <c r="F280" s="1358" t="s">
        <v>226</v>
      </c>
      <c r="G280" s="2176">
        <v>82</v>
      </c>
      <c r="H280" s="1264">
        <f t="shared" si="41"/>
        <v>118080</v>
      </c>
      <c r="I280" s="2177">
        <v>12</v>
      </c>
      <c r="J280" s="1264">
        <f t="shared" si="42"/>
        <v>17280</v>
      </c>
      <c r="K280" s="1273">
        <f t="shared" si="43"/>
        <v>135360</v>
      </c>
      <c r="L280" s="1389"/>
      <c r="M280" s="1214"/>
      <c r="N280" s="1214"/>
      <c r="O280" s="1214"/>
    </row>
    <row r="281" spans="1:17" s="1199" customFormat="1" ht="24" customHeight="1">
      <c r="A281" s="1331"/>
      <c r="B281" s="2174" t="s">
        <v>2553</v>
      </c>
      <c r="C281" s="1202"/>
      <c r="D281" s="1202"/>
      <c r="E281" s="1404">
        <v>2400</v>
      </c>
      <c r="F281" s="1358" t="s">
        <v>226</v>
      </c>
      <c r="G281" s="2176">
        <v>6</v>
      </c>
      <c r="H281" s="1264">
        <f t="shared" si="41"/>
        <v>14400</v>
      </c>
      <c r="I281" s="2177">
        <v>6</v>
      </c>
      <c r="J281" s="1264">
        <f t="shared" si="42"/>
        <v>14400</v>
      </c>
      <c r="K281" s="1273">
        <f t="shared" si="43"/>
        <v>28800</v>
      </c>
      <c r="L281" s="1389"/>
      <c r="M281" s="1214"/>
      <c r="N281" s="1214"/>
      <c r="O281" s="1214"/>
    </row>
    <row r="282" spans="1:17" s="1199" customFormat="1" ht="24" customHeight="1">
      <c r="A282" s="1331"/>
      <c r="B282" s="2174" t="s">
        <v>1524</v>
      </c>
      <c r="C282" s="1202"/>
      <c r="D282" s="1202"/>
      <c r="E282" s="1404">
        <v>1817</v>
      </c>
      <c r="F282" s="1358" t="s">
        <v>226</v>
      </c>
      <c r="G282" s="2176">
        <v>18</v>
      </c>
      <c r="H282" s="1264">
        <f t="shared" si="41"/>
        <v>32706</v>
      </c>
      <c r="I282" s="2177">
        <v>8</v>
      </c>
      <c r="J282" s="1264">
        <f t="shared" si="42"/>
        <v>14536</v>
      </c>
      <c r="K282" s="1273">
        <f t="shared" si="43"/>
        <v>47242</v>
      </c>
      <c r="L282" s="1389"/>
      <c r="M282" s="1214"/>
      <c r="N282" s="1214"/>
      <c r="O282" s="1214"/>
    </row>
    <row r="283" spans="1:17" s="1199" customFormat="1" ht="24" customHeight="1">
      <c r="A283" s="1331"/>
      <c r="B283" s="2174" t="s">
        <v>1525</v>
      </c>
      <c r="C283" s="1202"/>
      <c r="D283" s="1202"/>
      <c r="E283" s="1404">
        <v>1</v>
      </c>
      <c r="F283" s="1384" t="s">
        <v>1104</v>
      </c>
      <c r="G283" s="2176">
        <f>ROUND(SUM(H280:H282)*5%,)</f>
        <v>8259</v>
      </c>
      <c r="H283" s="1264">
        <f t="shared" si="41"/>
        <v>8259</v>
      </c>
      <c r="I283" s="1265">
        <f>ROUND(G283*0.3,)</f>
        <v>2478</v>
      </c>
      <c r="J283" s="1264">
        <f t="shared" si="42"/>
        <v>2478</v>
      </c>
      <c r="K283" s="1273">
        <f t="shared" si="43"/>
        <v>10737</v>
      </c>
      <c r="L283" s="1389"/>
      <c r="M283" s="1214"/>
      <c r="N283" s="1214"/>
      <c r="O283" s="1214"/>
    </row>
    <row r="284" spans="1:17" s="1199" customFormat="1" ht="24" customHeight="1">
      <c r="A284" s="1406" t="s">
        <v>2914</v>
      </c>
      <c r="B284" s="2174" t="s">
        <v>1526</v>
      </c>
      <c r="C284" s="1202"/>
      <c r="D284" s="1202"/>
      <c r="E284" s="1387"/>
      <c r="F284" s="1384"/>
      <c r="G284" s="2176"/>
      <c r="H284" s="1264">
        <f>ROUND(G284*E284,)</f>
        <v>0</v>
      </c>
      <c r="I284" s="2177"/>
      <c r="J284" s="1264">
        <f t="shared" si="42"/>
        <v>0</v>
      </c>
      <c r="K284" s="1273">
        <f t="shared" si="43"/>
        <v>0</v>
      </c>
      <c r="L284" s="1385"/>
      <c r="M284" s="1214"/>
      <c r="N284" s="1214"/>
      <c r="O284" s="1214"/>
      <c r="P284" s="1214"/>
    </row>
    <row r="285" spans="1:17" s="1199" customFormat="1" ht="24" customHeight="1">
      <c r="A285" s="1331"/>
      <c r="B285" s="2174" t="s">
        <v>1350</v>
      </c>
      <c r="C285" s="1202"/>
      <c r="D285" s="1202"/>
      <c r="E285" s="1387">
        <v>1200</v>
      </c>
      <c r="F285" s="1358" t="s">
        <v>226</v>
      </c>
      <c r="G285" s="2176">
        <v>27</v>
      </c>
      <c r="H285" s="1264">
        <f t="shared" ref="H285" si="44">ROUND(E285*G285,)</f>
        <v>32400</v>
      </c>
      <c r="I285" s="2177">
        <v>22</v>
      </c>
      <c r="J285" s="1264">
        <f t="shared" si="42"/>
        <v>26400</v>
      </c>
      <c r="K285" s="1802">
        <f t="shared" si="43"/>
        <v>58800</v>
      </c>
      <c r="L285" s="2001" t="s">
        <v>2667</v>
      </c>
      <c r="M285" s="1214"/>
      <c r="N285" s="1199">
        <v>79.8</v>
      </c>
      <c r="O285" s="1199">
        <f>ROUND(N285/3,)</f>
        <v>27</v>
      </c>
      <c r="P285" s="1214"/>
    </row>
    <row r="286" spans="1:17" s="1199" customFormat="1" ht="24" customHeight="1">
      <c r="A286" s="1331"/>
      <c r="B286" s="2174" t="s">
        <v>1384</v>
      </c>
      <c r="C286" s="1202"/>
      <c r="D286" s="1202"/>
      <c r="E286" s="1387">
        <v>1</v>
      </c>
      <c r="F286" s="1407" t="s">
        <v>1104</v>
      </c>
      <c r="G286" s="2176">
        <f>SUM(H285:H285)*15%</f>
        <v>4860</v>
      </c>
      <c r="H286" s="1264">
        <f>ROUND(G286*E286,)</f>
        <v>4860</v>
      </c>
      <c r="I286" s="2177">
        <f>G286*0.3</f>
        <v>1458</v>
      </c>
      <c r="J286" s="1264">
        <f t="shared" si="42"/>
        <v>1458</v>
      </c>
      <c r="K286" s="1273">
        <f t="shared" si="43"/>
        <v>6318</v>
      </c>
      <c r="L286" s="1385"/>
      <c r="M286" s="1214"/>
      <c r="N286" s="1214"/>
      <c r="O286" s="1214"/>
      <c r="P286" s="1214"/>
    </row>
    <row r="287" spans="1:17" s="1199" customFormat="1" ht="24" customHeight="1">
      <c r="A287" s="1406" t="s">
        <v>2915</v>
      </c>
      <c r="B287" s="2174" t="s">
        <v>1110</v>
      </c>
      <c r="C287" s="1202"/>
      <c r="D287" s="1202"/>
      <c r="E287" s="1387"/>
      <c r="F287" s="1384"/>
      <c r="G287" s="2176"/>
      <c r="H287" s="1264">
        <f t="shared" ref="H287:H292" si="45">ROUND(E287*G287,)</f>
        <v>0</v>
      </c>
      <c r="I287" s="2177"/>
      <c r="J287" s="1264">
        <f t="shared" si="42"/>
        <v>0</v>
      </c>
      <c r="K287" s="1273">
        <f t="shared" si="43"/>
        <v>0</v>
      </c>
      <c r="L287" s="1385"/>
      <c r="M287" s="1214"/>
      <c r="N287" s="1214"/>
      <c r="O287" s="1214"/>
      <c r="P287" s="1214"/>
    </row>
    <row r="288" spans="1:17" s="1199" customFormat="1" ht="24" customHeight="1">
      <c r="A288" s="1331"/>
      <c r="B288" s="2174" t="s">
        <v>1350</v>
      </c>
      <c r="C288" s="1202"/>
      <c r="D288" s="1202"/>
      <c r="E288" s="1387"/>
      <c r="F288" s="1358" t="s">
        <v>226</v>
      </c>
      <c r="G288" s="2176">
        <v>56</v>
      </c>
      <c r="H288" s="1264">
        <f t="shared" si="45"/>
        <v>0</v>
      </c>
      <c r="I288" s="2177">
        <v>26</v>
      </c>
      <c r="J288" s="1264">
        <f t="shared" si="42"/>
        <v>0</v>
      </c>
      <c r="K288" s="1273">
        <f t="shared" si="43"/>
        <v>0</v>
      </c>
      <c r="L288" s="2001" t="s">
        <v>2667</v>
      </c>
      <c r="M288" s="1214"/>
      <c r="N288" s="1199">
        <v>169.2</v>
      </c>
      <c r="O288" s="1199">
        <f>ROUND(N288/3,)</f>
        <v>56</v>
      </c>
      <c r="P288" s="1214"/>
    </row>
    <row r="289" spans="1:16" s="1199" customFormat="1" ht="24" customHeight="1">
      <c r="A289" s="1331"/>
      <c r="B289" s="2174" t="s">
        <v>1448</v>
      </c>
      <c r="C289" s="1202"/>
      <c r="D289" s="1202"/>
      <c r="E289" s="1404">
        <v>3257</v>
      </c>
      <c r="F289" s="1358" t="s">
        <v>226</v>
      </c>
      <c r="G289" s="2176">
        <v>75</v>
      </c>
      <c r="H289" s="1264">
        <f t="shared" si="45"/>
        <v>244275</v>
      </c>
      <c r="I289" s="2177">
        <v>29</v>
      </c>
      <c r="J289" s="1264">
        <f t="shared" si="42"/>
        <v>94453</v>
      </c>
      <c r="K289" s="1273">
        <f>H289+J289</f>
        <v>338728</v>
      </c>
      <c r="L289" s="2001" t="s">
        <v>2667</v>
      </c>
      <c r="N289" s="1199">
        <v>225</v>
      </c>
      <c r="O289" s="1199">
        <f>ROUND(N289/3,)</f>
        <v>75</v>
      </c>
      <c r="P289" s="1214"/>
    </row>
    <row r="290" spans="1:16" s="1199" customFormat="1" ht="24" customHeight="1">
      <c r="A290" s="1331"/>
      <c r="B290" s="2174" t="s">
        <v>1108</v>
      </c>
      <c r="C290" s="1202"/>
      <c r="D290" s="1202"/>
      <c r="E290" s="1387">
        <v>1</v>
      </c>
      <c r="F290" s="1384" t="s">
        <v>1104</v>
      </c>
      <c r="G290" s="2176">
        <f>SUM(H288:H289)*15%</f>
        <v>36641.25</v>
      </c>
      <c r="H290" s="1264">
        <f t="shared" si="45"/>
        <v>36641</v>
      </c>
      <c r="I290" s="1265">
        <f>ROUND(G290*0.3,)</f>
        <v>10992</v>
      </c>
      <c r="J290" s="1264">
        <f t="shared" si="42"/>
        <v>10992</v>
      </c>
      <c r="K290" s="1273">
        <f t="shared" si="43"/>
        <v>47633</v>
      </c>
      <c r="L290" s="1385"/>
      <c r="M290" s="1214"/>
      <c r="N290" s="1214"/>
      <c r="O290" s="1214"/>
      <c r="P290" s="1214"/>
    </row>
    <row r="291" spans="1:16" s="1199" customFormat="1" ht="24" customHeight="1">
      <c r="A291" s="1406" t="s">
        <v>2916</v>
      </c>
      <c r="B291" s="2174" t="s">
        <v>1449</v>
      </c>
      <c r="C291" s="1202"/>
      <c r="D291" s="1202"/>
      <c r="E291" s="1387"/>
      <c r="F291" s="1384"/>
      <c r="G291" s="2176"/>
      <c r="H291" s="1264">
        <f t="shared" si="45"/>
        <v>0</v>
      </c>
      <c r="I291" s="2177"/>
      <c r="J291" s="1264">
        <f t="shared" si="42"/>
        <v>0</v>
      </c>
      <c r="K291" s="1273">
        <f t="shared" si="43"/>
        <v>0</v>
      </c>
      <c r="L291" s="1385"/>
      <c r="M291" s="1214"/>
      <c r="N291" s="1214"/>
      <c r="O291" s="1214"/>
      <c r="P291" s="1214"/>
    </row>
    <row r="292" spans="1:16" s="1199" customFormat="1" ht="24" customHeight="1">
      <c r="A292" s="1331"/>
      <c r="B292" s="2174" t="s">
        <v>1350</v>
      </c>
      <c r="C292" s="1202"/>
      <c r="D292" s="1202"/>
      <c r="E292" s="1387">
        <v>252</v>
      </c>
      <c r="F292" s="1358" t="s">
        <v>226</v>
      </c>
      <c r="G292" s="2176">
        <v>14</v>
      </c>
      <c r="H292" s="1264">
        <f t="shared" si="45"/>
        <v>3528</v>
      </c>
      <c r="I292" s="2177">
        <v>11</v>
      </c>
      <c r="J292" s="1264">
        <f t="shared" si="42"/>
        <v>2772</v>
      </c>
      <c r="K292" s="1273">
        <f t="shared" si="43"/>
        <v>6300</v>
      </c>
      <c r="L292" s="1385"/>
      <c r="M292" s="1214"/>
      <c r="N292" s="1214"/>
      <c r="O292" s="1214"/>
      <c r="P292" s="1214"/>
    </row>
    <row r="293" spans="1:16" s="1199" customFormat="1" ht="24" customHeight="1">
      <c r="A293" s="1331"/>
      <c r="B293" s="2174" t="s">
        <v>1117</v>
      </c>
      <c r="C293" s="1202"/>
      <c r="D293" s="1202"/>
      <c r="E293" s="1387"/>
      <c r="F293" s="1384"/>
      <c r="G293" s="2176"/>
      <c r="H293" s="1388"/>
      <c r="I293" s="2177"/>
      <c r="J293" s="1385"/>
      <c r="K293" s="1385"/>
      <c r="L293" s="1389"/>
      <c r="M293" s="1214"/>
      <c r="N293" s="1214"/>
      <c r="O293" s="1214"/>
    </row>
    <row r="294" spans="1:16" s="1199" customFormat="1" ht="24" customHeight="1">
      <c r="A294" s="1331"/>
      <c r="B294" s="2174" t="s">
        <v>1369</v>
      </c>
      <c r="C294" s="1202"/>
      <c r="D294" s="1202"/>
      <c r="E294" s="1387"/>
      <c r="F294" s="1384"/>
      <c r="G294" s="2176"/>
      <c r="H294" s="1388"/>
      <c r="I294" s="2177"/>
      <c r="J294" s="1385"/>
      <c r="K294" s="1385"/>
      <c r="L294" s="1389"/>
      <c r="M294" s="1214"/>
      <c r="N294" s="1214"/>
      <c r="O294" s="1214"/>
    </row>
    <row r="295" spans="1:16" s="1199" customFormat="1" ht="24" customHeight="1">
      <c r="A295" s="1331"/>
      <c r="B295" s="2174" t="s">
        <v>1369</v>
      </c>
      <c r="C295" s="1202"/>
      <c r="D295" s="1202"/>
      <c r="E295" s="1387"/>
      <c r="F295" s="1384"/>
      <c r="G295" s="2176"/>
      <c r="H295" s="1388"/>
      <c r="I295" s="2177"/>
      <c r="J295" s="1385"/>
      <c r="K295" s="1385"/>
      <c r="L295" s="1389"/>
      <c r="M295" s="1214"/>
      <c r="N295" s="1214"/>
      <c r="O295" s="1214"/>
    </row>
    <row r="296" spans="1:16" s="1199" customFormat="1" ht="24" customHeight="1">
      <c r="A296" s="1331"/>
      <c r="B296" s="2174"/>
      <c r="C296" s="1202"/>
      <c r="D296" s="1202"/>
      <c r="E296" s="1387"/>
      <c r="F296" s="1407"/>
      <c r="G296" s="2176"/>
      <c r="H296" s="1388"/>
      <c r="I296" s="2177"/>
      <c r="J296" s="1385"/>
      <c r="K296" s="1385"/>
      <c r="L296" s="1389"/>
      <c r="M296" s="1214"/>
      <c r="N296" s="1214"/>
      <c r="O296" s="1214"/>
    </row>
    <row r="297" spans="1:16" s="1199" customFormat="1" ht="24" customHeight="1">
      <c r="A297" s="1417"/>
      <c r="B297" s="1418"/>
      <c r="C297" s="1419"/>
      <c r="D297" s="1419"/>
      <c r="E297" s="1420"/>
      <c r="F297" s="2369"/>
      <c r="G297" s="1422"/>
      <c r="H297" s="1423"/>
      <c r="I297" s="1424"/>
      <c r="J297" s="1500"/>
      <c r="K297" s="1500"/>
      <c r="L297" s="1500"/>
      <c r="M297" s="1214"/>
      <c r="N297" s="1214"/>
      <c r="O297" s="1214"/>
      <c r="P297" s="1214"/>
    </row>
    <row r="298" spans="1:16" s="1199" customFormat="1" ht="24" customHeight="1">
      <c r="A298" s="1243"/>
      <c r="B298" s="2257" t="str">
        <f>"รวมราคารายการที่ "&amp;A257</f>
        <v>รวมราคารายการที่ 3.8</v>
      </c>
      <c r="C298" s="2258"/>
      <c r="D298" s="2259"/>
      <c r="E298" s="1244"/>
      <c r="F298" s="1245"/>
      <c r="G298" s="1246"/>
      <c r="H298" s="1247">
        <f>SUM(H258:H295)</f>
        <v>1715819</v>
      </c>
      <c r="I298" s="1246"/>
      <c r="J298" s="1247">
        <f>SUM(J258:J295)</f>
        <v>266069</v>
      </c>
      <c r="K298" s="1245">
        <f>SUM(K258:K295)</f>
        <v>1981888</v>
      </c>
      <c r="L298" s="1245"/>
      <c r="M298" s="1214"/>
      <c r="N298" s="1214"/>
      <c r="O298" s="1214"/>
    </row>
    <row r="299" spans="1:16" s="1199" customFormat="1" ht="24" customHeight="1">
      <c r="A299" s="1435" t="s">
        <v>1311</v>
      </c>
      <c r="B299" s="1436" t="s">
        <v>1404</v>
      </c>
      <c r="C299" s="1202"/>
      <c r="D299" s="1202"/>
      <c r="E299" s="1387"/>
      <c r="F299" s="1407"/>
      <c r="G299" s="2176"/>
      <c r="H299" s="1388"/>
      <c r="I299" s="2177"/>
      <c r="J299" s="1385"/>
      <c r="K299" s="1385"/>
      <c r="L299" s="1389"/>
      <c r="M299" s="1214"/>
      <c r="N299" s="1214"/>
      <c r="O299" s="1214"/>
    </row>
    <row r="300" spans="1:16" s="1199" customFormat="1" ht="24" customHeight="1">
      <c r="A300" s="1406" t="s">
        <v>1313</v>
      </c>
      <c r="B300" s="2174" t="s">
        <v>1529</v>
      </c>
      <c r="C300" s="1202"/>
      <c r="D300" s="1202"/>
      <c r="E300" s="1387">
        <v>24</v>
      </c>
      <c r="F300" s="1207" t="s">
        <v>363</v>
      </c>
      <c r="G300" s="2176">
        <v>900</v>
      </c>
      <c r="H300" s="1264">
        <f t="shared" ref="H300:H305" si="46">ROUND(G300*E300,)</f>
        <v>21600</v>
      </c>
      <c r="I300" s="2177">
        <v>140</v>
      </c>
      <c r="J300" s="1264">
        <f t="shared" ref="J300:J311" si="47">ROUND(E300*I300,)</f>
        <v>3360</v>
      </c>
      <c r="K300" s="1273">
        <f t="shared" ref="K300:K311" si="48">H300+J300</f>
        <v>24960</v>
      </c>
      <c r="L300" s="1389"/>
      <c r="M300" s="1214"/>
      <c r="N300" s="1214"/>
      <c r="O300" s="1214"/>
    </row>
    <row r="301" spans="1:16" s="1199" customFormat="1" ht="24" customHeight="1">
      <c r="A301" s="1406" t="s">
        <v>1547</v>
      </c>
      <c r="B301" s="2174" t="s">
        <v>1531</v>
      </c>
      <c r="C301" s="1202"/>
      <c r="D301" s="1202"/>
      <c r="E301" s="1387">
        <v>2</v>
      </c>
      <c r="F301" s="1207" t="s">
        <v>363</v>
      </c>
      <c r="G301" s="2176">
        <v>3800</v>
      </c>
      <c r="H301" s="1264">
        <f t="shared" si="46"/>
        <v>7600</v>
      </c>
      <c r="I301" s="2177">
        <v>200</v>
      </c>
      <c r="J301" s="1264">
        <f t="shared" si="47"/>
        <v>400</v>
      </c>
      <c r="K301" s="1273">
        <f t="shared" si="48"/>
        <v>8000</v>
      </c>
      <c r="L301" s="1389"/>
      <c r="M301" s="1214"/>
      <c r="N301" s="1214"/>
      <c r="O301" s="1214"/>
    </row>
    <row r="302" spans="1:16" s="1199" customFormat="1" ht="24" customHeight="1">
      <c r="A302" s="1406" t="s">
        <v>1549</v>
      </c>
      <c r="B302" s="2174" t="s">
        <v>1532</v>
      </c>
      <c r="C302" s="1202"/>
      <c r="D302" s="1202"/>
      <c r="E302" s="1387">
        <v>2</v>
      </c>
      <c r="F302" s="1207" t="s">
        <v>363</v>
      </c>
      <c r="G302" s="2176">
        <v>5000</v>
      </c>
      <c r="H302" s="1264">
        <f t="shared" si="46"/>
        <v>10000</v>
      </c>
      <c r="I302" s="2177">
        <f>G302*0.1</f>
        <v>500</v>
      </c>
      <c r="J302" s="1264">
        <f t="shared" si="47"/>
        <v>1000</v>
      </c>
      <c r="K302" s="1273">
        <f t="shared" si="48"/>
        <v>11000</v>
      </c>
      <c r="L302" s="1389"/>
      <c r="M302" s="1214"/>
      <c r="N302" s="1214"/>
      <c r="O302" s="1214"/>
    </row>
    <row r="303" spans="1:16" s="1199" customFormat="1" ht="24" customHeight="1">
      <c r="A303" s="1406" t="s">
        <v>1631</v>
      </c>
      <c r="B303" s="2174" t="s">
        <v>1312</v>
      </c>
      <c r="C303" s="1202"/>
      <c r="D303" s="1202"/>
      <c r="E303" s="1387"/>
      <c r="F303" s="1384"/>
      <c r="G303" s="2176"/>
      <c r="H303" s="1264">
        <f t="shared" si="46"/>
        <v>0</v>
      </c>
      <c r="I303" s="2177"/>
      <c r="J303" s="1264">
        <f t="shared" si="47"/>
        <v>0</v>
      </c>
      <c r="K303" s="1273">
        <f t="shared" si="48"/>
        <v>0</v>
      </c>
      <c r="L303" s="1389"/>
      <c r="M303" s="1214"/>
      <c r="N303" s="1214"/>
      <c r="O303" s="1214"/>
    </row>
    <row r="304" spans="1:16" s="1199" customFormat="1" ht="24" customHeight="1">
      <c r="A304" s="1331"/>
      <c r="B304" s="2174" t="s">
        <v>1534</v>
      </c>
      <c r="C304" s="1202"/>
      <c r="D304" s="1202"/>
      <c r="E304" s="1387">
        <v>827.99999999999989</v>
      </c>
      <c r="F304" s="1358" t="s">
        <v>226</v>
      </c>
      <c r="G304" s="2176">
        <v>32</v>
      </c>
      <c r="H304" s="1264">
        <f t="shared" si="46"/>
        <v>26496</v>
      </c>
      <c r="I304" s="2177">
        <v>11</v>
      </c>
      <c r="J304" s="1264">
        <f t="shared" si="47"/>
        <v>9108</v>
      </c>
      <c r="K304" s="1802">
        <f t="shared" si="48"/>
        <v>35604</v>
      </c>
      <c r="L304" s="2001" t="s">
        <v>2667</v>
      </c>
      <c r="M304" s="1214"/>
      <c r="N304" s="1199">
        <v>3183</v>
      </c>
      <c r="O304" s="1199">
        <f>ROUND(N304/100,)</f>
        <v>32</v>
      </c>
    </row>
    <row r="305" spans="1:15" s="1199" customFormat="1" ht="24" customHeight="1">
      <c r="A305" s="1331"/>
      <c r="B305" s="2174" t="s">
        <v>1535</v>
      </c>
      <c r="C305" s="1202"/>
      <c r="D305" s="1202"/>
      <c r="E305" s="1387">
        <v>114.99999999999999</v>
      </c>
      <c r="F305" s="1358" t="s">
        <v>226</v>
      </c>
      <c r="G305" s="2176">
        <v>40</v>
      </c>
      <c r="H305" s="1264">
        <f t="shared" si="46"/>
        <v>4600</v>
      </c>
      <c r="I305" s="2177">
        <v>12</v>
      </c>
      <c r="J305" s="1264">
        <f t="shared" si="47"/>
        <v>1380</v>
      </c>
      <c r="K305" s="1802">
        <f t="shared" si="48"/>
        <v>5980</v>
      </c>
      <c r="L305" s="2001" t="s">
        <v>2667</v>
      </c>
      <c r="M305" s="1214"/>
      <c r="N305" s="1199">
        <v>4039</v>
      </c>
      <c r="O305" s="1199">
        <f>ROUND(N305/100,)</f>
        <v>40</v>
      </c>
    </row>
    <row r="306" spans="1:15" s="1199" customFormat="1" ht="24" customHeight="1">
      <c r="A306" s="1331"/>
      <c r="B306" s="2174" t="s">
        <v>1525</v>
      </c>
      <c r="C306" s="1202"/>
      <c r="D306" s="1202"/>
      <c r="E306" s="1387">
        <v>1</v>
      </c>
      <c r="F306" s="1384" t="s">
        <v>1104</v>
      </c>
      <c r="G306" s="2176">
        <f>ROUND(SUM(H304:H305)*5%,)</f>
        <v>1555</v>
      </c>
      <c r="H306" s="1264">
        <f>ROUND(E306*G306,)</f>
        <v>1555</v>
      </c>
      <c r="I306" s="1265">
        <f>ROUND(G306*0.3,)</f>
        <v>467</v>
      </c>
      <c r="J306" s="1264">
        <f t="shared" si="47"/>
        <v>467</v>
      </c>
      <c r="K306" s="1273">
        <f t="shared" si="48"/>
        <v>2022</v>
      </c>
      <c r="L306" s="1389"/>
      <c r="M306" s="1214"/>
      <c r="N306" s="1214"/>
      <c r="O306" s="1214"/>
    </row>
    <row r="307" spans="1:15" s="1199" customFormat="1" ht="24" customHeight="1">
      <c r="A307" s="1406" t="s">
        <v>1610</v>
      </c>
      <c r="B307" s="2174" t="s">
        <v>1526</v>
      </c>
      <c r="C307" s="1202"/>
      <c r="D307" s="1202"/>
      <c r="E307" s="1387"/>
      <c r="F307" s="1384"/>
      <c r="G307" s="2176"/>
      <c r="H307" s="1264">
        <f>ROUND(G307*E307,)</f>
        <v>0</v>
      </c>
      <c r="I307" s="2177"/>
      <c r="J307" s="1264">
        <f t="shared" si="47"/>
        <v>0</v>
      </c>
      <c r="K307" s="1273">
        <f t="shared" si="48"/>
        <v>0</v>
      </c>
      <c r="L307" s="1389"/>
      <c r="M307" s="1214"/>
      <c r="N307" s="1214"/>
      <c r="O307" s="1214"/>
    </row>
    <row r="308" spans="1:15" s="1199" customFormat="1" ht="24" customHeight="1">
      <c r="A308" s="1331"/>
      <c r="B308" s="2174" t="s">
        <v>1350</v>
      </c>
      <c r="C308" s="1202"/>
      <c r="D308" s="1202"/>
      <c r="E308" s="1387">
        <v>942.99999999999989</v>
      </c>
      <c r="F308" s="1358" t="s">
        <v>226</v>
      </c>
      <c r="G308" s="2176">
        <v>27</v>
      </c>
      <c r="H308" s="1264">
        <f t="shared" ref="H308" si="49">ROUND(G308*E308,)</f>
        <v>25461</v>
      </c>
      <c r="I308" s="2177">
        <v>22</v>
      </c>
      <c r="J308" s="1264">
        <f t="shared" si="47"/>
        <v>20746</v>
      </c>
      <c r="K308" s="1801">
        <f t="shared" si="48"/>
        <v>46207</v>
      </c>
      <c r="L308" s="2001" t="s">
        <v>2667</v>
      </c>
      <c r="M308" s="1214"/>
      <c r="N308" s="1199">
        <v>79.8</v>
      </c>
      <c r="O308" s="1199">
        <f>ROUND(N308/3,)</f>
        <v>27</v>
      </c>
    </row>
    <row r="309" spans="1:15" s="1199" customFormat="1" ht="24" customHeight="1">
      <c r="A309" s="1331"/>
      <c r="B309" s="2174" t="s">
        <v>1384</v>
      </c>
      <c r="C309" s="1202"/>
      <c r="D309" s="1202"/>
      <c r="E309" s="1387">
        <v>1</v>
      </c>
      <c r="F309" s="1407" t="s">
        <v>1104</v>
      </c>
      <c r="G309" s="2176">
        <f>ROUND(SUM(H308:H308)*15%,)</f>
        <v>3819</v>
      </c>
      <c r="H309" s="1264">
        <f>ROUND(G309*E309,)</f>
        <v>3819</v>
      </c>
      <c r="I309" s="1265">
        <f>ROUND(G309*0.3,)</f>
        <v>1146</v>
      </c>
      <c r="J309" s="1264">
        <f t="shared" si="47"/>
        <v>1146</v>
      </c>
      <c r="K309" s="1273">
        <f t="shared" si="48"/>
        <v>4965</v>
      </c>
      <c r="L309" s="1389"/>
      <c r="M309" s="1214"/>
      <c r="N309" s="1214"/>
      <c r="O309" s="1214"/>
    </row>
    <row r="310" spans="1:15" s="1199" customFormat="1" ht="24" customHeight="1">
      <c r="A310" s="1331" t="s">
        <v>1632</v>
      </c>
      <c r="B310" s="2174" t="s">
        <v>1449</v>
      </c>
      <c r="C310" s="1202"/>
      <c r="D310" s="1202"/>
      <c r="E310" s="1387"/>
      <c r="F310" s="1384"/>
      <c r="G310" s="2176"/>
      <c r="H310" s="1264">
        <f>ROUND(G310*E310,)</f>
        <v>0</v>
      </c>
      <c r="I310" s="2177"/>
      <c r="J310" s="1264">
        <f t="shared" si="47"/>
        <v>0</v>
      </c>
      <c r="K310" s="1273">
        <f t="shared" si="48"/>
        <v>0</v>
      </c>
      <c r="L310" s="1389"/>
      <c r="M310" s="1214"/>
      <c r="N310" s="1214"/>
      <c r="O310" s="1214"/>
    </row>
    <row r="311" spans="1:15" s="1199" customFormat="1" ht="24" customHeight="1">
      <c r="A311" s="1331"/>
      <c r="B311" s="2174" t="s">
        <v>1350</v>
      </c>
      <c r="C311" s="1202"/>
      <c r="D311" s="1202"/>
      <c r="E311" s="1387">
        <v>24</v>
      </c>
      <c r="F311" s="1358" t="s">
        <v>226</v>
      </c>
      <c r="G311" s="2176">
        <v>14</v>
      </c>
      <c r="H311" s="1264">
        <f>ROUND(G311*E311,)</f>
        <v>336</v>
      </c>
      <c r="I311" s="2177">
        <v>11</v>
      </c>
      <c r="J311" s="1264">
        <f t="shared" si="47"/>
        <v>264</v>
      </c>
      <c r="K311" s="1273">
        <f t="shared" si="48"/>
        <v>600</v>
      </c>
      <c r="L311" s="1389"/>
      <c r="M311" s="1214"/>
      <c r="N311" s="1214"/>
      <c r="O311" s="1214"/>
    </row>
    <row r="312" spans="1:15" s="1199" customFormat="1" ht="24" customHeight="1">
      <c r="A312" s="1331"/>
      <c r="B312" s="2174" t="s">
        <v>1117</v>
      </c>
      <c r="C312" s="1202"/>
      <c r="D312" s="1202"/>
      <c r="E312" s="1387"/>
      <c r="F312" s="1384"/>
      <c r="G312" s="2176"/>
      <c r="H312" s="1388"/>
      <c r="I312" s="2177"/>
      <c r="J312" s="1385"/>
      <c r="K312" s="1385"/>
      <c r="L312" s="1389"/>
      <c r="M312" s="1214"/>
      <c r="N312" s="1214"/>
      <c r="O312" s="1214"/>
    </row>
    <row r="313" spans="1:15" s="1199" customFormat="1" ht="24" customHeight="1">
      <c r="A313" s="1331"/>
      <c r="B313" s="2174" t="s">
        <v>1118</v>
      </c>
      <c r="C313" s="1202"/>
      <c r="D313" s="1202"/>
      <c r="E313" s="1387"/>
      <c r="F313" s="1384"/>
      <c r="G313" s="2176"/>
      <c r="H313" s="1388"/>
      <c r="I313" s="2177"/>
      <c r="J313" s="1385"/>
      <c r="K313" s="1385"/>
      <c r="L313" s="1389"/>
      <c r="M313" s="1214"/>
      <c r="N313" s="1214"/>
      <c r="O313" s="1214"/>
    </row>
    <row r="314" spans="1:15" s="1199" customFormat="1" ht="24" customHeight="1">
      <c r="A314" s="1243"/>
      <c r="B314" s="2257" t="str">
        <f>"รวมราคารายการที่ "&amp;A299</f>
        <v>รวมราคารายการที่ 3.9</v>
      </c>
      <c r="C314" s="2258"/>
      <c r="D314" s="2259"/>
      <c r="E314" s="1244"/>
      <c r="F314" s="1245"/>
      <c r="G314" s="1246"/>
      <c r="H314" s="1247">
        <f>SUM(H300:H313)</f>
        <v>101467</v>
      </c>
      <c r="I314" s="1246"/>
      <c r="J314" s="1247">
        <f>SUM(J300:J313)</f>
        <v>37871</v>
      </c>
      <c r="K314" s="1247">
        <f>SUM(K300:K313)</f>
        <v>139338</v>
      </c>
      <c r="L314" s="1245"/>
      <c r="M314" s="1214"/>
      <c r="N314" s="1214"/>
      <c r="O314" s="1214"/>
    </row>
    <row r="315" spans="1:15" s="1199" customFormat="1" ht="24" customHeight="1">
      <c r="A315" s="1381" t="s">
        <v>1332</v>
      </c>
      <c r="B315" s="1292" t="s">
        <v>1419</v>
      </c>
      <c r="C315" s="1235"/>
      <c r="D315" s="1235"/>
      <c r="E315" s="1397"/>
      <c r="F315" s="1398"/>
      <c r="G315" s="1399"/>
      <c r="H315" s="1400"/>
      <c r="I315" s="1401"/>
      <c r="J315" s="1402"/>
      <c r="K315" s="1402"/>
      <c r="L315" s="1403"/>
      <c r="M315" s="1214"/>
      <c r="N315" s="1214"/>
      <c r="O315" s="1214"/>
    </row>
    <row r="316" spans="1:15" s="1199" customFormat="1" ht="24" customHeight="1">
      <c r="A316" s="1331" t="s">
        <v>1334</v>
      </c>
      <c r="B316" s="2174" t="s">
        <v>1539</v>
      </c>
      <c r="C316" s="1202"/>
      <c r="D316" s="1202"/>
      <c r="E316" s="1387"/>
      <c r="F316" s="1384"/>
      <c r="G316" s="2176"/>
      <c r="H316" s="1388"/>
      <c r="I316" s="2177"/>
      <c r="J316" s="1385"/>
      <c r="K316" s="1385"/>
      <c r="L316" s="1389"/>
      <c r="M316" s="1214"/>
      <c r="N316" s="1214"/>
      <c r="O316" s="1214"/>
    </row>
    <row r="317" spans="1:15" s="1199" customFormat="1" ht="24" customHeight="1">
      <c r="A317" s="1331"/>
      <c r="B317" s="2174" t="s">
        <v>1540</v>
      </c>
      <c r="C317" s="1202"/>
      <c r="D317" s="1202"/>
      <c r="E317" s="1387">
        <v>2</v>
      </c>
      <c r="F317" s="1207" t="s">
        <v>363</v>
      </c>
      <c r="G317" s="2176">
        <v>46645</v>
      </c>
      <c r="H317" s="1388">
        <f t="shared" ref="H317:H322" si="50">ROUND(E317*G317,)</f>
        <v>93290</v>
      </c>
      <c r="I317" s="2177">
        <v>5000</v>
      </c>
      <c r="J317" s="1385">
        <f>ROUND(E317*I317,)</f>
        <v>10000</v>
      </c>
      <c r="K317" s="1385">
        <f t="shared" ref="K317:K322" si="51">H317+J317</f>
        <v>103290</v>
      </c>
      <c r="L317" s="1389"/>
      <c r="M317" s="1214"/>
      <c r="N317" s="1214"/>
      <c r="O317" s="1214"/>
    </row>
    <row r="318" spans="1:15" s="1199" customFormat="1" ht="24" customHeight="1">
      <c r="A318" s="1331"/>
      <c r="B318" s="2174" t="s">
        <v>1541</v>
      </c>
      <c r="C318" s="1202"/>
      <c r="D318" s="1202"/>
      <c r="E318" s="1387">
        <v>4</v>
      </c>
      <c r="F318" s="1207" t="s">
        <v>363</v>
      </c>
      <c r="G318" s="2176">
        <v>21375</v>
      </c>
      <c r="H318" s="1388">
        <f t="shared" si="50"/>
        <v>85500</v>
      </c>
      <c r="I318" s="2177" t="s">
        <v>1542</v>
      </c>
      <c r="J318" s="1385"/>
      <c r="K318" s="1385">
        <f t="shared" si="51"/>
        <v>85500</v>
      </c>
      <c r="L318" s="1389"/>
      <c r="M318" s="1214"/>
      <c r="N318" s="1214"/>
      <c r="O318" s="1214"/>
    </row>
    <row r="319" spans="1:15" s="1199" customFormat="1" ht="24" customHeight="1">
      <c r="A319" s="1331"/>
      <c r="B319" s="2174" t="s">
        <v>1543</v>
      </c>
      <c r="C319" s="1202"/>
      <c r="D319" s="1202"/>
      <c r="E319" s="1387">
        <v>4</v>
      </c>
      <c r="F319" s="1207" t="s">
        <v>363</v>
      </c>
      <c r="G319" s="2176">
        <v>9025</v>
      </c>
      <c r="H319" s="1388">
        <f t="shared" si="50"/>
        <v>36100</v>
      </c>
      <c r="I319" s="2177" t="s">
        <v>1542</v>
      </c>
      <c r="J319" s="1385"/>
      <c r="K319" s="1385">
        <f t="shared" si="51"/>
        <v>36100</v>
      </c>
      <c r="L319" s="1389"/>
      <c r="M319" s="1214"/>
      <c r="N319" s="1214"/>
      <c r="O319" s="1214"/>
    </row>
    <row r="320" spans="1:15" s="1199" customFormat="1" ht="24" customHeight="1">
      <c r="A320" s="1331"/>
      <c r="B320" s="2174" t="s">
        <v>1544</v>
      </c>
      <c r="C320" s="1202"/>
      <c r="D320" s="1202"/>
      <c r="E320" s="1387">
        <v>4</v>
      </c>
      <c r="F320" s="1207" t="s">
        <v>363</v>
      </c>
      <c r="G320" s="2176">
        <v>1995</v>
      </c>
      <c r="H320" s="1388">
        <f t="shared" si="50"/>
        <v>7980</v>
      </c>
      <c r="I320" s="2177" t="s">
        <v>1542</v>
      </c>
      <c r="J320" s="1385"/>
      <c r="K320" s="1385">
        <f t="shared" si="51"/>
        <v>7980</v>
      </c>
      <c r="L320" s="1389"/>
      <c r="M320" s="1214"/>
      <c r="N320" s="1214"/>
      <c r="O320" s="1214"/>
    </row>
    <row r="321" spans="1:16" s="1199" customFormat="1" ht="24" customHeight="1">
      <c r="A321" s="1331"/>
      <c r="B321" s="2174" t="s">
        <v>1545</v>
      </c>
      <c r="C321" s="1202"/>
      <c r="D321" s="1202"/>
      <c r="E321" s="1387">
        <v>4</v>
      </c>
      <c r="F321" s="1207" t="s">
        <v>363</v>
      </c>
      <c r="G321" s="2176">
        <v>427.5</v>
      </c>
      <c r="H321" s="1388">
        <f t="shared" si="50"/>
        <v>1710</v>
      </c>
      <c r="I321" s="2177" t="s">
        <v>1542</v>
      </c>
      <c r="J321" s="1385"/>
      <c r="K321" s="1385">
        <f t="shared" si="51"/>
        <v>1710</v>
      </c>
      <c r="L321" s="1389"/>
      <c r="M321" s="1214"/>
      <c r="N321" s="1214"/>
      <c r="O321" s="1214"/>
    </row>
    <row r="322" spans="1:16" s="1199" customFormat="1" ht="24" customHeight="1">
      <c r="A322" s="1331"/>
      <c r="B322" s="2174" t="s">
        <v>1546</v>
      </c>
      <c r="C322" s="1202"/>
      <c r="D322" s="1202"/>
      <c r="E322" s="1404">
        <v>4</v>
      </c>
      <c r="F322" s="1207" t="s">
        <v>363</v>
      </c>
      <c r="G322" s="2176">
        <v>807.5</v>
      </c>
      <c r="H322" s="1388">
        <f t="shared" si="50"/>
        <v>3230</v>
      </c>
      <c r="I322" s="2177" t="s">
        <v>1542</v>
      </c>
      <c r="J322" s="1385"/>
      <c r="K322" s="1385">
        <f t="shared" si="51"/>
        <v>3230</v>
      </c>
      <c r="L322" s="1389"/>
      <c r="M322" s="1214"/>
      <c r="N322" s="1214"/>
      <c r="O322" s="1214"/>
    </row>
    <row r="323" spans="1:16" s="1199" customFormat="1" ht="24" customHeight="1">
      <c r="A323" s="1406" t="s">
        <v>1556</v>
      </c>
      <c r="B323" s="2174" t="s">
        <v>1312</v>
      </c>
      <c r="C323" s="1202"/>
      <c r="D323" s="1202"/>
      <c r="E323" s="1404"/>
      <c r="F323" s="1384"/>
      <c r="G323" s="2176"/>
      <c r="H323" s="1388"/>
      <c r="I323" s="2177"/>
      <c r="J323" s="1385"/>
      <c r="K323" s="1385"/>
      <c r="L323" s="1389"/>
      <c r="M323" s="1214"/>
      <c r="N323" s="1214"/>
      <c r="O323" s="1214"/>
    </row>
    <row r="324" spans="1:16" s="1199" customFormat="1" ht="24" customHeight="1">
      <c r="A324" s="1331"/>
      <c r="B324" s="2174" t="s">
        <v>1548</v>
      </c>
      <c r="C324" s="1202"/>
      <c r="D324" s="1202"/>
      <c r="E324" s="1404">
        <v>237.66666666666666</v>
      </c>
      <c r="F324" s="1358" t="s">
        <v>226</v>
      </c>
      <c r="G324" s="2176">
        <v>37</v>
      </c>
      <c r="H324" s="1388">
        <f>ROUND(E324*G324,)</f>
        <v>8794</v>
      </c>
      <c r="I324" s="2177">
        <v>5</v>
      </c>
      <c r="J324" s="1385">
        <f>ROUND(E324*I324,)</f>
        <v>1188</v>
      </c>
      <c r="K324" s="1385">
        <f>H324+J324</f>
        <v>9982</v>
      </c>
      <c r="L324" s="1389"/>
      <c r="M324" s="1214"/>
      <c r="N324" s="1214"/>
      <c r="O324" s="1214"/>
    </row>
    <row r="325" spans="1:16" s="1199" customFormat="1" ht="24" customHeight="1">
      <c r="A325" s="1331"/>
      <c r="B325" s="2174" t="s">
        <v>1525</v>
      </c>
      <c r="C325" s="1202"/>
      <c r="D325" s="1202"/>
      <c r="E325" s="1404">
        <v>1</v>
      </c>
      <c r="F325" s="1384" t="s">
        <v>1104</v>
      </c>
      <c r="G325" s="2176">
        <f>ROUND(SUM(H324)*5%,)</f>
        <v>440</v>
      </c>
      <c r="H325" s="1264">
        <f>ROUND(E325*G325,)</f>
        <v>440</v>
      </c>
      <c r="I325" s="1265">
        <f>ROUND(G325*0.3,)</f>
        <v>132</v>
      </c>
      <c r="J325" s="1264">
        <f>ROUND(E325*I325,)</f>
        <v>132</v>
      </c>
      <c r="K325" s="1273">
        <f>H325+J325</f>
        <v>572</v>
      </c>
      <c r="L325" s="1389"/>
      <c r="M325" s="1214"/>
      <c r="N325" s="1214"/>
      <c r="O325" s="1214"/>
    </row>
    <row r="326" spans="1:16" s="1199" customFormat="1" ht="24" customHeight="1">
      <c r="A326" s="1406" t="s">
        <v>1566</v>
      </c>
      <c r="B326" s="2174" t="s">
        <v>1526</v>
      </c>
      <c r="C326" s="1202"/>
      <c r="D326" s="1202"/>
      <c r="E326" s="1404"/>
      <c r="F326" s="1384"/>
      <c r="G326" s="2176"/>
      <c r="H326" s="1388"/>
      <c r="I326" s="2177"/>
      <c r="J326" s="1385"/>
      <c r="K326" s="1385"/>
      <c r="L326" s="1389"/>
      <c r="M326" s="1214"/>
      <c r="N326" s="1214"/>
      <c r="O326" s="1214"/>
    </row>
    <row r="327" spans="1:16" s="1199" customFormat="1" ht="24" customHeight="1">
      <c r="A327" s="1331"/>
      <c r="B327" s="2174" t="s">
        <v>1350</v>
      </c>
      <c r="C327" s="1202"/>
      <c r="D327" s="1202"/>
      <c r="E327" s="1404">
        <v>237.66666666666666</v>
      </c>
      <c r="F327" s="1358" t="s">
        <v>226</v>
      </c>
      <c r="G327" s="2176">
        <v>27</v>
      </c>
      <c r="H327" s="1264">
        <f t="shared" ref="H327" si="52">ROUND(G327*E327,)</f>
        <v>6417</v>
      </c>
      <c r="I327" s="2177">
        <v>22</v>
      </c>
      <c r="J327" s="1264">
        <f t="shared" ref="J327" si="53">ROUND(E327*I327,)</f>
        <v>5229</v>
      </c>
      <c r="K327" s="1801">
        <f t="shared" ref="K327" si="54">H327+J327</f>
        <v>11646</v>
      </c>
      <c r="L327" s="2001" t="s">
        <v>2667</v>
      </c>
      <c r="M327" s="1214"/>
      <c r="N327" s="1199">
        <v>79.8</v>
      </c>
      <c r="O327" s="1199">
        <f>ROUND(N327/3,)</f>
        <v>27</v>
      </c>
    </row>
    <row r="328" spans="1:16" s="1199" customFormat="1" ht="24" customHeight="1">
      <c r="A328" s="1331"/>
      <c r="B328" s="2174" t="s">
        <v>1384</v>
      </c>
      <c r="C328" s="1202"/>
      <c r="D328" s="1202"/>
      <c r="E328" s="1404">
        <v>1</v>
      </c>
      <c r="F328" s="1384" t="s">
        <v>1104</v>
      </c>
      <c r="G328" s="2176">
        <f>ROUND(H327*15%,)</f>
        <v>963</v>
      </c>
      <c r="H328" s="1264">
        <f>ROUND(G328*E328,)</f>
        <v>963</v>
      </c>
      <c r="I328" s="1265">
        <f>ROUND(G328*0.3,)</f>
        <v>289</v>
      </c>
      <c r="J328" s="1264">
        <f>ROUND(E328*I328,)</f>
        <v>289</v>
      </c>
      <c r="K328" s="1273">
        <f>H328+J328</f>
        <v>1252</v>
      </c>
      <c r="L328" s="1389"/>
      <c r="M328" s="1214"/>
      <c r="N328" s="1214"/>
      <c r="O328" s="1214"/>
    </row>
    <row r="329" spans="1:16" s="1199" customFormat="1" ht="24" customHeight="1">
      <c r="A329" s="1331"/>
      <c r="B329" s="2174" t="s">
        <v>1117</v>
      </c>
      <c r="C329" s="1202"/>
      <c r="D329" s="1202"/>
      <c r="E329" s="1404"/>
      <c r="F329" s="1384"/>
      <c r="G329" s="2176"/>
      <c r="H329" s="1388"/>
      <c r="I329" s="2177"/>
      <c r="J329" s="1385"/>
      <c r="K329" s="1385"/>
      <c r="L329" s="1389"/>
      <c r="M329" s="1214"/>
      <c r="N329" s="1214"/>
      <c r="O329" s="1214"/>
    </row>
    <row r="330" spans="1:16" s="1199" customFormat="1" ht="24" customHeight="1">
      <c r="A330" s="1331"/>
      <c r="B330" s="2174" t="s">
        <v>1118</v>
      </c>
      <c r="C330" s="1202"/>
      <c r="D330" s="1202"/>
      <c r="E330" s="1387"/>
      <c r="F330" s="1384"/>
      <c r="G330" s="2176"/>
      <c r="H330" s="1388"/>
      <c r="I330" s="2177"/>
      <c r="J330" s="1385"/>
      <c r="K330" s="1385"/>
      <c r="L330" s="1389"/>
      <c r="M330" s="1214"/>
      <c r="N330" s="1214"/>
      <c r="O330" s="1214"/>
    </row>
    <row r="331" spans="1:16" s="1199" customFormat="1" ht="24" customHeight="1">
      <c r="A331" s="1331"/>
      <c r="B331" s="2174" t="s">
        <v>1118</v>
      </c>
      <c r="C331" s="1202"/>
      <c r="D331" s="1202"/>
      <c r="E331" s="1387"/>
      <c r="F331" s="1384"/>
      <c r="G331" s="2176"/>
      <c r="H331" s="1388"/>
      <c r="I331" s="2177"/>
      <c r="J331" s="1385"/>
      <c r="K331" s="1385"/>
      <c r="L331" s="1389"/>
      <c r="M331" s="1214"/>
      <c r="N331" s="1214"/>
      <c r="O331" s="1214"/>
    </row>
    <row r="332" spans="1:16" s="1199" customFormat="1" ht="24" customHeight="1">
      <c r="A332" s="1339"/>
      <c r="B332" s="1220"/>
      <c r="C332" s="1221"/>
      <c r="D332" s="1221"/>
      <c r="E332" s="1404"/>
      <c r="F332" s="1412"/>
      <c r="G332" s="1386"/>
      <c r="H332" s="1413"/>
      <c r="I332" s="1414"/>
      <c r="J332" s="1415"/>
      <c r="K332" s="1415"/>
      <c r="L332" s="1415"/>
      <c r="M332" s="1214"/>
      <c r="N332" s="1214"/>
      <c r="O332" s="1214"/>
      <c r="P332" s="1214"/>
    </row>
    <row r="333" spans="1:16" s="1199" customFormat="1" ht="24" customHeight="1">
      <c r="A333" s="1243"/>
      <c r="B333" s="2257" t="str">
        <f>"รวมราคารายการที่ "&amp;A315</f>
        <v>รวมราคารายการที่ 3.10</v>
      </c>
      <c r="C333" s="2258"/>
      <c r="D333" s="2259"/>
      <c r="E333" s="1244"/>
      <c r="F333" s="1245"/>
      <c r="G333" s="1246"/>
      <c r="H333" s="1247">
        <f>SUM(H316:H331)</f>
        <v>244424</v>
      </c>
      <c r="I333" s="1246"/>
      <c r="J333" s="1247">
        <f t="shared" ref="J333:K333" si="55">SUM(J316:J331)</f>
        <v>16838</v>
      </c>
      <c r="K333" s="1247">
        <f t="shared" si="55"/>
        <v>261262</v>
      </c>
      <c r="L333" s="1245"/>
    </row>
    <row r="334" spans="1:16" s="1199" customFormat="1" ht="24" customHeight="1">
      <c r="A334" s="1367" t="s">
        <v>1570</v>
      </c>
      <c r="B334" s="1353" t="s">
        <v>1550</v>
      </c>
      <c r="C334" s="1452"/>
      <c r="D334" s="1452"/>
      <c r="E334" s="1453"/>
      <c r="F334" s="1454"/>
      <c r="G334" s="1455"/>
      <c r="H334" s="820"/>
      <c r="I334" s="1456"/>
      <c r="J334" s="1457"/>
      <c r="K334" s="1457"/>
      <c r="L334" s="1457"/>
      <c r="M334" s="1214"/>
      <c r="N334" s="1214"/>
      <c r="O334" s="1214"/>
      <c r="P334" s="1214"/>
    </row>
    <row r="335" spans="1:16" s="1199" customFormat="1" ht="24" customHeight="1">
      <c r="A335" s="1458" t="s">
        <v>1348</v>
      </c>
      <c r="B335" s="1220" t="s">
        <v>1551</v>
      </c>
      <c r="C335" s="1221"/>
      <c r="D335" s="1221"/>
      <c r="E335" s="1459"/>
      <c r="F335" s="1460"/>
      <c r="G335" s="1461"/>
      <c r="H335" s="1462"/>
      <c r="I335" s="1463"/>
      <c r="J335" s="1462"/>
      <c r="K335" s="1464"/>
      <c r="L335" s="1415"/>
      <c r="M335" s="1214"/>
      <c r="N335" s="1214"/>
      <c r="O335" s="1214"/>
      <c r="P335" s="1214"/>
    </row>
    <row r="336" spans="1:16" s="1199" customFormat="1" ht="24" customHeight="1">
      <c r="A336" s="1339"/>
      <c r="B336" s="1220" t="s">
        <v>2926</v>
      </c>
      <c r="C336" s="1221"/>
      <c r="D336" s="1221"/>
      <c r="E336" s="1404">
        <v>1</v>
      </c>
      <c r="F336" s="1223" t="s">
        <v>363</v>
      </c>
      <c r="G336" s="1386">
        <v>92400</v>
      </c>
      <c r="H336" s="1413">
        <f t="shared" ref="H336:H337" si="56">ROUND(E336*G336,)</f>
        <v>92400</v>
      </c>
      <c r="I336" s="1414">
        <f>G336*0.1</f>
        <v>9240</v>
      </c>
      <c r="J336" s="1415">
        <f>ROUND(E336*I336,)</f>
        <v>9240</v>
      </c>
      <c r="K336" s="1415">
        <f t="shared" ref="K336:K337" si="57">H336+J336</f>
        <v>101640</v>
      </c>
      <c r="L336" s="1415"/>
      <c r="M336" s="1214"/>
      <c r="N336" s="1214"/>
      <c r="O336" s="1214"/>
      <c r="P336" s="1214"/>
    </row>
    <row r="337" spans="1:16" s="1199" customFormat="1" ht="24" customHeight="1">
      <c r="A337" s="1339"/>
      <c r="B337" s="1220" t="s">
        <v>2927</v>
      </c>
      <c r="C337" s="1221"/>
      <c r="D337" s="1221"/>
      <c r="E337" s="1404">
        <v>1</v>
      </c>
      <c r="F337" s="1223" t="s">
        <v>363</v>
      </c>
      <c r="G337" s="1386">
        <v>92400</v>
      </c>
      <c r="H337" s="1413">
        <f t="shared" si="56"/>
        <v>92400</v>
      </c>
      <c r="I337" s="1414">
        <f>G337*0.1</f>
        <v>9240</v>
      </c>
      <c r="J337" s="1415">
        <f>ROUND(E337*I337,)</f>
        <v>9240</v>
      </c>
      <c r="K337" s="1415">
        <f t="shared" si="57"/>
        <v>101640</v>
      </c>
      <c r="L337" s="1415"/>
      <c r="M337" s="1214"/>
      <c r="N337" s="1214"/>
      <c r="O337" s="1214"/>
      <c r="P337" s="1214"/>
    </row>
    <row r="338" spans="1:16" s="1199" customFormat="1" ht="24" customHeight="1">
      <c r="A338" s="1458" t="s">
        <v>1349</v>
      </c>
      <c r="B338" s="1220" t="s">
        <v>1557</v>
      </c>
      <c r="C338" s="1221"/>
      <c r="D338" s="1221"/>
      <c r="E338" s="1459"/>
      <c r="F338" s="1460"/>
      <c r="G338" s="1461"/>
      <c r="H338" s="1462"/>
      <c r="I338" s="1463"/>
      <c r="J338" s="1462"/>
      <c r="K338" s="1464"/>
      <c r="L338" s="1415"/>
      <c r="M338" s="1214"/>
      <c r="N338" s="1214"/>
      <c r="O338" s="1214"/>
      <c r="P338" s="1214"/>
    </row>
    <row r="339" spans="1:16" s="1199" customFormat="1" ht="24" customHeight="1">
      <c r="A339" s="1339"/>
      <c r="B339" s="1220" t="s">
        <v>2928</v>
      </c>
      <c r="C339" s="1221"/>
      <c r="D339" s="1221"/>
      <c r="E339" s="1404">
        <v>1</v>
      </c>
      <c r="F339" s="1223" t="s">
        <v>363</v>
      </c>
      <c r="G339" s="1386">
        <v>3500</v>
      </c>
      <c r="H339" s="1413">
        <f t="shared" ref="H339:H340" si="58">ROUND(E339*G339,)</f>
        <v>3500</v>
      </c>
      <c r="I339" s="1414">
        <f t="shared" ref="I339:I340" si="59">G339*0.1</f>
        <v>350</v>
      </c>
      <c r="J339" s="1415">
        <f t="shared" ref="J339:J340" si="60">ROUND(E339*I339,)</f>
        <v>350</v>
      </c>
      <c r="K339" s="1415">
        <f t="shared" ref="K339:K340" si="61">H339+J339</f>
        <v>3850</v>
      </c>
      <c r="L339" s="1415"/>
      <c r="M339" s="1214"/>
      <c r="N339" s="1214"/>
      <c r="O339" s="1214"/>
      <c r="P339" s="1214"/>
    </row>
    <row r="340" spans="1:16" s="1199" customFormat="1" ht="24" customHeight="1">
      <c r="A340" s="1339"/>
      <c r="B340" s="1220" t="s">
        <v>2929</v>
      </c>
      <c r="C340" s="1221"/>
      <c r="D340" s="1221"/>
      <c r="E340" s="1404">
        <v>1</v>
      </c>
      <c r="F340" s="1223" t="s">
        <v>363</v>
      </c>
      <c r="G340" s="1386">
        <v>3500</v>
      </c>
      <c r="H340" s="1413">
        <f t="shared" si="58"/>
        <v>3500</v>
      </c>
      <c r="I340" s="1414">
        <f t="shared" si="59"/>
        <v>350</v>
      </c>
      <c r="J340" s="1415">
        <f t="shared" si="60"/>
        <v>350</v>
      </c>
      <c r="K340" s="1415">
        <f t="shared" si="61"/>
        <v>3850</v>
      </c>
      <c r="L340" s="1415"/>
      <c r="M340" s="1214"/>
      <c r="N340" s="1214"/>
      <c r="O340" s="1214"/>
      <c r="P340" s="1214"/>
    </row>
    <row r="341" spans="1:16" s="1199" customFormat="1" ht="24" customHeight="1">
      <c r="A341" s="1458" t="s">
        <v>1577</v>
      </c>
      <c r="B341" s="1465" t="s">
        <v>1312</v>
      </c>
      <c r="C341" s="1452"/>
      <c r="D341" s="1452"/>
      <c r="E341" s="1453"/>
      <c r="F341" s="1454"/>
      <c r="G341" s="1386"/>
      <c r="H341" s="1413"/>
      <c r="I341" s="1414"/>
      <c r="J341" s="1415"/>
      <c r="K341" s="1415"/>
      <c r="L341" s="1457"/>
      <c r="M341" s="1214"/>
      <c r="N341" s="1214"/>
      <c r="O341" s="1214"/>
      <c r="P341" s="1214"/>
    </row>
    <row r="342" spans="1:16" s="1199" customFormat="1" ht="24" customHeight="1">
      <c r="A342" s="1339"/>
      <c r="B342" s="1220" t="s">
        <v>1567</v>
      </c>
      <c r="C342" s="1221"/>
      <c r="D342" s="1221"/>
      <c r="E342" s="1404">
        <v>200</v>
      </c>
      <c r="F342" s="1262" t="s">
        <v>226</v>
      </c>
      <c r="G342" s="1386">
        <v>103</v>
      </c>
      <c r="H342" s="1413">
        <f>ROUND(E342*G342,)</f>
        <v>20600</v>
      </c>
      <c r="I342" s="1414">
        <v>21</v>
      </c>
      <c r="J342" s="1415">
        <f>ROUND(E342*I342,)</f>
        <v>4200</v>
      </c>
      <c r="K342" s="1415">
        <f>H342+J342</f>
        <v>24800</v>
      </c>
      <c r="L342" s="1415"/>
      <c r="M342" s="1214"/>
      <c r="N342" s="1214"/>
      <c r="O342" s="1214"/>
      <c r="P342" s="1214"/>
    </row>
    <row r="343" spans="1:16" s="1199" customFormat="1" ht="24" customHeight="1">
      <c r="A343" s="1339"/>
      <c r="B343" s="1220" t="s">
        <v>1568</v>
      </c>
      <c r="C343" s="1221"/>
      <c r="D343" s="1221"/>
      <c r="E343" s="1404">
        <v>120</v>
      </c>
      <c r="F343" s="1262" t="s">
        <v>226</v>
      </c>
      <c r="G343" s="1386">
        <v>139</v>
      </c>
      <c r="H343" s="1413">
        <f>ROUND(E343*G343,)</f>
        <v>16680</v>
      </c>
      <c r="I343" s="1414">
        <v>21</v>
      </c>
      <c r="J343" s="1415">
        <f>ROUND(E343*I343,)</f>
        <v>2520</v>
      </c>
      <c r="K343" s="1415">
        <f>H343+J343</f>
        <v>19200</v>
      </c>
      <c r="L343" s="1415"/>
      <c r="M343" s="1214"/>
      <c r="N343" s="1214"/>
      <c r="O343" s="1214"/>
      <c r="P343" s="1214"/>
    </row>
    <row r="344" spans="1:16" s="1199" customFormat="1" ht="24" customHeight="1">
      <c r="A344" s="1339"/>
      <c r="B344" s="1259" t="s">
        <v>1525</v>
      </c>
      <c r="C344" s="1221"/>
      <c r="D344" s="1221"/>
      <c r="E344" s="1404">
        <v>1</v>
      </c>
      <c r="F344" s="1412" t="s">
        <v>1104</v>
      </c>
      <c r="G344" s="1386">
        <f>SUM(H342:H343)*5%</f>
        <v>1864</v>
      </c>
      <c r="H344" s="1343">
        <f t="shared" ref="H344" si="62">ROUND(E344*G344,)</f>
        <v>1864</v>
      </c>
      <c r="I344" s="1414">
        <f>G344*0.3</f>
        <v>559.19999999999993</v>
      </c>
      <c r="J344" s="1343">
        <f t="shared" ref="J344" si="63">ROUND(E344*I344,)</f>
        <v>559</v>
      </c>
      <c r="K344" s="1262">
        <f t="shared" ref="K344" si="64">H344+J344</f>
        <v>2423</v>
      </c>
      <c r="L344" s="1415"/>
      <c r="M344" s="1214"/>
      <c r="N344" s="1214"/>
      <c r="O344" s="1214"/>
      <c r="P344" s="1214"/>
    </row>
    <row r="345" spans="1:16" s="1199" customFormat="1" ht="24" customHeight="1">
      <c r="A345" s="1339"/>
      <c r="B345" s="1259"/>
      <c r="C345" s="1221"/>
      <c r="D345" s="1221"/>
      <c r="E345" s="1404"/>
      <c r="F345" s="1412"/>
      <c r="G345" s="1386"/>
      <c r="H345" s="1343"/>
      <c r="I345" s="1414"/>
      <c r="J345" s="1343"/>
      <c r="K345" s="1262"/>
      <c r="L345" s="1415"/>
      <c r="M345" s="1214"/>
      <c r="N345" s="1214"/>
      <c r="O345" s="1214"/>
      <c r="P345" s="1214"/>
    </row>
    <row r="346" spans="1:16" s="1199" customFormat="1" ht="24" customHeight="1">
      <c r="A346" s="1339"/>
      <c r="B346" s="1259"/>
      <c r="C346" s="1221"/>
      <c r="D346" s="1221"/>
      <c r="E346" s="1404"/>
      <c r="F346" s="1412"/>
      <c r="G346" s="1386"/>
      <c r="H346" s="1343"/>
      <c r="I346" s="1414"/>
      <c r="J346" s="1343"/>
      <c r="K346" s="1262"/>
      <c r="L346" s="1415"/>
      <c r="M346" s="1214"/>
      <c r="N346" s="1214"/>
      <c r="O346" s="1214"/>
      <c r="P346" s="1214"/>
    </row>
    <row r="347" spans="1:16" s="1199" customFormat="1" ht="24" customHeight="1">
      <c r="A347" s="1339" t="s">
        <v>1359</v>
      </c>
      <c r="B347" s="1259" t="s">
        <v>1343</v>
      </c>
      <c r="C347" s="1221"/>
      <c r="D347" s="1221"/>
      <c r="E347" s="1404"/>
      <c r="F347" s="1412"/>
      <c r="G347" s="1386"/>
      <c r="H347" s="1343"/>
      <c r="I347" s="1414"/>
      <c r="J347" s="1343"/>
      <c r="K347" s="1262"/>
      <c r="L347" s="1466"/>
    </row>
    <row r="348" spans="1:16" s="1199" customFormat="1" ht="24" customHeight="1">
      <c r="A348" s="1339"/>
      <c r="B348" s="1259" t="s">
        <v>1344</v>
      </c>
      <c r="C348" s="1221"/>
      <c r="D348" s="1221"/>
      <c r="E348" s="1404">
        <v>40</v>
      </c>
      <c r="F348" s="1262" t="s">
        <v>226</v>
      </c>
      <c r="G348" s="1386">
        <v>316</v>
      </c>
      <c r="H348" s="1343">
        <f t="shared" ref="H348" si="65">ROUND(E348*G348,)</f>
        <v>12640</v>
      </c>
      <c r="I348" s="1414">
        <v>50</v>
      </c>
      <c r="J348" s="1343">
        <f t="shared" ref="J348:J349" si="66">ROUND(E348*I348,)</f>
        <v>2000</v>
      </c>
      <c r="K348" s="1262">
        <f t="shared" ref="K348:K349" si="67">H348+J348</f>
        <v>14640</v>
      </c>
      <c r="L348" s="1466"/>
    </row>
    <row r="349" spans="1:16" s="1199" customFormat="1" ht="24" customHeight="1">
      <c r="A349" s="1339"/>
      <c r="B349" s="1259" t="s">
        <v>1384</v>
      </c>
      <c r="C349" s="1221"/>
      <c r="D349" s="1221"/>
      <c r="E349" s="1404">
        <v>1</v>
      </c>
      <c r="F349" s="1412" t="s">
        <v>1104</v>
      </c>
      <c r="G349" s="1386">
        <f>SUM(H348)*15%</f>
        <v>1896</v>
      </c>
      <c r="H349" s="1343">
        <f t="shared" ref="H349" si="68">ROUND(G349*E349,)</f>
        <v>1896</v>
      </c>
      <c r="I349" s="1414">
        <f>G349*0.3</f>
        <v>568.79999999999995</v>
      </c>
      <c r="J349" s="1343">
        <f t="shared" si="66"/>
        <v>569</v>
      </c>
      <c r="K349" s="1262">
        <f t="shared" si="67"/>
        <v>2465</v>
      </c>
      <c r="L349" s="1466"/>
    </row>
    <row r="350" spans="1:16" s="1199" customFormat="1" ht="24" customHeight="1">
      <c r="A350" s="1339"/>
      <c r="B350" s="1259" t="s">
        <v>1117</v>
      </c>
      <c r="C350" s="1221"/>
      <c r="D350" s="1221"/>
      <c r="E350" s="1404"/>
      <c r="F350" s="1412"/>
      <c r="G350" s="1386"/>
      <c r="H350" s="1413"/>
      <c r="I350" s="1414"/>
      <c r="J350" s="1415"/>
      <c r="K350" s="1415"/>
      <c r="L350" s="1415"/>
      <c r="M350" s="1214"/>
      <c r="N350" s="1214"/>
      <c r="O350" s="1214"/>
      <c r="P350" s="1214"/>
    </row>
    <row r="351" spans="1:16" s="1199" customFormat="1" ht="24" customHeight="1">
      <c r="A351" s="1339"/>
      <c r="B351" s="1259" t="s">
        <v>1118</v>
      </c>
      <c r="C351" s="1221"/>
      <c r="D351" s="1221"/>
      <c r="E351" s="1404"/>
      <c r="F351" s="1412"/>
      <c r="G351" s="1386"/>
      <c r="H351" s="1413"/>
      <c r="I351" s="1414"/>
      <c r="J351" s="1415"/>
      <c r="K351" s="1415"/>
      <c r="L351" s="1415"/>
      <c r="M351" s="1214"/>
      <c r="N351" s="1214"/>
      <c r="O351" s="1214"/>
      <c r="P351" s="1214"/>
    </row>
    <row r="352" spans="1:16" s="1199" customFormat="1" ht="24" customHeight="1">
      <c r="A352" s="1339"/>
      <c r="B352" s="1220" t="s">
        <v>1118</v>
      </c>
      <c r="C352" s="1221"/>
      <c r="D352" s="1221"/>
      <c r="E352" s="1404"/>
      <c r="F352" s="1412"/>
      <c r="G352" s="1386"/>
      <c r="H352" s="1413"/>
      <c r="I352" s="1414"/>
      <c r="J352" s="1415"/>
      <c r="K352" s="1415"/>
      <c r="L352" s="1415"/>
      <c r="M352" s="1214"/>
      <c r="N352" s="1214"/>
      <c r="O352" s="1214"/>
      <c r="P352" s="1214"/>
    </row>
    <row r="353" spans="1:21" s="1199" customFormat="1" ht="24" customHeight="1">
      <c r="A353" s="1339"/>
      <c r="B353" s="1220"/>
      <c r="C353" s="1221"/>
      <c r="D353" s="1221"/>
      <c r="E353" s="1404"/>
      <c r="F353" s="1412"/>
      <c r="G353" s="1386"/>
      <c r="H353" s="1413"/>
      <c r="I353" s="1414"/>
      <c r="J353" s="1415"/>
      <c r="K353" s="1415"/>
      <c r="L353" s="1415"/>
      <c r="M353" s="1214"/>
      <c r="N353" s="1214"/>
      <c r="O353" s="1214"/>
      <c r="P353" s="1214"/>
    </row>
    <row r="354" spans="1:21" s="1199" customFormat="1" ht="24" customHeight="1">
      <c r="A354" s="1243"/>
      <c r="B354" s="2257" t="str">
        <f>"รวมราคารายการที่ "&amp;A334</f>
        <v>รวมราคารายการที่ 3.11</v>
      </c>
      <c r="C354" s="2258"/>
      <c r="D354" s="2259"/>
      <c r="E354" s="1244"/>
      <c r="F354" s="1245"/>
      <c r="G354" s="1246"/>
      <c r="H354" s="1247">
        <f>SUM(H334:H353)</f>
        <v>245480</v>
      </c>
      <c r="I354" s="1246"/>
      <c r="J354" s="1247">
        <f>SUM(J334:J353)</f>
        <v>29028</v>
      </c>
      <c r="K354" s="1247">
        <f>SUM(K334:K353)</f>
        <v>274508</v>
      </c>
      <c r="L354" s="1245"/>
    </row>
    <row r="355" spans="1:21" s="1199" customFormat="1" ht="24" customHeight="1">
      <c r="A355" s="1467" t="s">
        <v>2917</v>
      </c>
      <c r="B355" s="1292" t="s">
        <v>1571</v>
      </c>
      <c r="C355" s="1468"/>
      <c r="D355" s="1192"/>
      <c r="E355" s="1193"/>
      <c r="F355" s="1194"/>
      <c r="G355" s="1297"/>
      <c r="H355" s="1298"/>
      <c r="I355" s="1299"/>
      <c r="J355" s="1298"/>
      <c r="K355" s="1299"/>
      <c r="L355" s="1469"/>
      <c r="M355" s="1214"/>
      <c r="N355" s="1214"/>
      <c r="O355" s="1214"/>
      <c r="P355" s="1214"/>
      <c r="Q355" s="1214"/>
      <c r="R355" s="1214"/>
      <c r="S355" s="1214"/>
      <c r="T355" s="1214"/>
      <c r="U355" s="1214"/>
    </row>
    <row r="356" spans="1:21" s="1199" customFormat="1" ht="24" customHeight="1">
      <c r="A356" s="1470" t="s">
        <v>1352</v>
      </c>
      <c r="B356" s="2174" t="s">
        <v>1611</v>
      </c>
      <c r="C356" s="1191"/>
      <c r="D356" s="1471"/>
      <c r="E356" s="1472">
        <v>2</v>
      </c>
      <c r="F356" s="1267" t="s">
        <v>363</v>
      </c>
      <c r="G356" s="2178">
        <v>3200</v>
      </c>
      <c r="H356" s="1343">
        <f>ROUND(E356*G356,)</f>
        <v>6400</v>
      </c>
      <c r="I356" s="1344">
        <v>150</v>
      </c>
      <c r="J356" s="1343">
        <f>ROUND(I356*E356,)</f>
        <v>300</v>
      </c>
      <c r="K356" s="1344">
        <f>H356+J356</f>
        <v>6700</v>
      </c>
      <c r="L356" s="1473"/>
      <c r="M356" s="1214"/>
      <c r="N356" s="1214"/>
      <c r="O356" s="1214"/>
      <c r="P356" s="1214"/>
      <c r="Q356" s="1214"/>
      <c r="R356" s="1214"/>
      <c r="S356" s="1214"/>
      <c r="T356" s="1214"/>
      <c r="U356" s="1214"/>
    </row>
    <row r="357" spans="1:21" s="1199" customFormat="1" ht="24" customHeight="1">
      <c r="A357" s="1474" t="s">
        <v>1354</v>
      </c>
      <c r="B357" s="2174" t="s">
        <v>1612</v>
      </c>
      <c r="C357" s="1191"/>
      <c r="D357" s="1471"/>
      <c r="E357" s="1472">
        <v>2</v>
      </c>
      <c r="F357" s="1267" t="s">
        <v>363</v>
      </c>
      <c r="G357" s="2178">
        <v>2640</v>
      </c>
      <c r="H357" s="1343">
        <f>ROUND(E357*G357,)</f>
        <v>5280</v>
      </c>
      <c r="I357" s="1344">
        <v>150</v>
      </c>
      <c r="J357" s="1343">
        <f>ROUND(I357*E357,)</f>
        <v>300</v>
      </c>
      <c r="K357" s="1344">
        <f>H357+J357</f>
        <v>5580</v>
      </c>
      <c r="L357" s="1473"/>
      <c r="M357" s="1214"/>
      <c r="N357" s="1214"/>
      <c r="O357" s="1214"/>
      <c r="P357" s="1214"/>
      <c r="Q357" s="1214"/>
      <c r="R357" s="1214"/>
      <c r="S357" s="1214"/>
      <c r="T357" s="1214"/>
      <c r="U357" s="1214"/>
    </row>
    <row r="358" spans="1:21" s="1199" customFormat="1" ht="24" customHeight="1">
      <c r="A358" s="1474" t="s">
        <v>1357</v>
      </c>
      <c r="B358" s="2174" t="s">
        <v>1613</v>
      </c>
      <c r="C358" s="1191"/>
      <c r="D358" s="1471"/>
      <c r="E358" s="1206"/>
      <c r="F358" s="1207"/>
      <c r="G358" s="2175"/>
      <c r="H358" s="1264"/>
      <c r="I358" s="1265"/>
      <c r="J358" s="1264"/>
      <c r="K358" s="1265"/>
      <c r="L358" s="1473"/>
      <c r="M358" s="1214"/>
      <c r="N358" s="1214"/>
      <c r="O358" s="1214"/>
      <c r="P358" s="1214"/>
      <c r="Q358" s="1214"/>
      <c r="R358" s="1214"/>
      <c r="S358" s="1214"/>
      <c r="T358" s="1214"/>
      <c r="U358" s="1214"/>
    </row>
    <row r="359" spans="1:21" s="1199" customFormat="1" ht="24" customHeight="1">
      <c r="A359" s="1478"/>
      <c r="B359" s="1259" t="s">
        <v>1614</v>
      </c>
      <c r="C359" s="1191"/>
      <c r="D359" s="1471"/>
      <c r="E359" s="1206">
        <v>725</v>
      </c>
      <c r="F359" s="1207" t="s">
        <v>226</v>
      </c>
      <c r="G359" s="2178">
        <v>10</v>
      </c>
      <c r="H359" s="1264">
        <f>ROUND(E359*G359,)</f>
        <v>7250</v>
      </c>
      <c r="I359" s="1265">
        <v>5</v>
      </c>
      <c r="J359" s="1264">
        <f>ROUND(I359*E359,)</f>
        <v>3625</v>
      </c>
      <c r="K359" s="1265">
        <f>H359+J359</f>
        <v>10875</v>
      </c>
      <c r="L359" s="1473"/>
      <c r="M359" s="1214"/>
      <c r="N359" s="1214"/>
      <c r="O359" s="1214"/>
      <c r="P359" s="1214"/>
      <c r="Q359" s="1214"/>
      <c r="R359" s="1214"/>
      <c r="S359" s="1214"/>
      <c r="T359" s="1214"/>
      <c r="U359" s="1214"/>
    </row>
    <row r="360" spans="1:21" s="1199" customFormat="1" ht="24" customHeight="1">
      <c r="A360" s="1474" t="s">
        <v>2677</v>
      </c>
      <c r="B360" s="2174" t="s">
        <v>1526</v>
      </c>
      <c r="C360" s="1191"/>
      <c r="D360" s="1471"/>
      <c r="E360" s="1206"/>
      <c r="F360" s="1207"/>
      <c r="G360" s="2175"/>
      <c r="H360" s="1264"/>
      <c r="I360" s="1265"/>
      <c r="J360" s="1264"/>
      <c r="K360" s="1265"/>
      <c r="L360" s="1473"/>
      <c r="M360" s="1214"/>
      <c r="N360" s="1214"/>
      <c r="O360" s="1214"/>
      <c r="P360" s="1214"/>
      <c r="Q360" s="1214"/>
      <c r="R360" s="1214"/>
      <c r="S360" s="1214"/>
      <c r="T360" s="1214"/>
      <c r="U360" s="1214"/>
    </row>
    <row r="361" spans="1:21" s="1199" customFormat="1" ht="24" customHeight="1">
      <c r="A361" s="1479"/>
      <c r="B361" s="2174" t="s">
        <v>1350</v>
      </c>
      <c r="C361" s="1191"/>
      <c r="D361" s="1471"/>
      <c r="E361" s="1387"/>
      <c r="F361" s="1358" t="s">
        <v>226</v>
      </c>
      <c r="G361" s="2176">
        <v>27</v>
      </c>
      <c r="H361" s="1264">
        <f t="shared" ref="H361" si="69">ROUND(G361*E361,)</f>
        <v>0</v>
      </c>
      <c r="I361" s="2177">
        <v>22</v>
      </c>
      <c r="J361" s="1264">
        <f t="shared" ref="J361" si="70">ROUND(E361*I361,)</f>
        <v>0</v>
      </c>
      <c r="K361" s="1802">
        <f t="shared" ref="K361" si="71">H361+J361</f>
        <v>0</v>
      </c>
      <c r="L361" s="2001" t="s">
        <v>2667</v>
      </c>
      <c r="M361" s="1214"/>
      <c r="N361" s="1214"/>
      <c r="O361" s="1214"/>
      <c r="P361" s="1214"/>
      <c r="Q361" s="1214"/>
      <c r="R361" s="1214"/>
      <c r="S361" s="1214"/>
      <c r="T361" s="1214"/>
      <c r="U361" s="1214"/>
    </row>
    <row r="362" spans="1:21" s="1199" customFormat="1" ht="24" customHeight="1">
      <c r="A362" s="1474" t="s">
        <v>2679</v>
      </c>
      <c r="B362" s="2174" t="s">
        <v>1110</v>
      </c>
      <c r="C362" s="1191"/>
      <c r="D362" s="1471"/>
      <c r="E362" s="1206"/>
      <c r="F362" s="1207"/>
      <c r="G362" s="2175"/>
      <c r="H362" s="1264"/>
      <c r="I362" s="1265"/>
      <c r="J362" s="1264"/>
      <c r="K362" s="1265"/>
      <c r="L362" s="1473"/>
      <c r="M362" s="1214"/>
      <c r="N362" s="1214"/>
      <c r="O362" s="1214"/>
      <c r="P362" s="1214"/>
      <c r="Q362" s="1214"/>
      <c r="R362" s="1214"/>
      <c r="S362" s="1214"/>
      <c r="T362" s="1214"/>
      <c r="U362" s="1214"/>
    </row>
    <row r="363" spans="1:21" s="1199" customFormat="1" ht="24" customHeight="1">
      <c r="A363" s="1480"/>
      <c r="B363" s="2174" t="s">
        <v>1350</v>
      </c>
      <c r="C363" s="1191"/>
      <c r="D363" s="1471"/>
      <c r="E363" s="1387">
        <v>80</v>
      </c>
      <c r="F363" s="1358" t="s">
        <v>226</v>
      </c>
      <c r="G363" s="2176">
        <v>56</v>
      </c>
      <c r="H363" s="1264">
        <f>ROUND(E363*G363,)</f>
        <v>4480</v>
      </c>
      <c r="I363" s="2177">
        <v>26</v>
      </c>
      <c r="J363" s="1264">
        <f t="shared" ref="J363" si="72">ROUND(E363*I363,)</f>
        <v>2080</v>
      </c>
      <c r="K363" s="1801">
        <f t="shared" ref="K363" si="73">H363+J363</f>
        <v>6560</v>
      </c>
      <c r="L363" s="2001" t="s">
        <v>2667</v>
      </c>
      <c r="M363" s="1214"/>
      <c r="N363" s="1199">
        <v>169.2</v>
      </c>
      <c r="O363" s="1199">
        <f>ROUND(N363/3,)</f>
        <v>56</v>
      </c>
      <c r="P363" s="1214"/>
      <c r="Q363" s="1214"/>
      <c r="R363" s="1214"/>
      <c r="S363" s="1214"/>
      <c r="T363" s="1214"/>
      <c r="U363" s="1214"/>
    </row>
    <row r="364" spans="1:21" s="1199" customFormat="1" ht="24" customHeight="1">
      <c r="A364" s="1480"/>
      <c r="B364" s="2174" t="s">
        <v>1384</v>
      </c>
      <c r="C364" s="1191"/>
      <c r="D364" s="1471"/>
      <c r="E364" s="1206">
        <v>1</v>
      </c>
      <c r="F364" s="1207" t="s">
        <v>1104</v>
      </c>
      <c r="G364" s="2175">
        <f>ROUND(SUM(H361:H363)*15%,0)</f>
        <v>672</v>
      </c>
      <c r="H364" s="1264">
        <f>ROUND(E364*G364,)</f>
        <v>672</v>
      </c>
      <c r="I364" s="1265">
        <f>ROUND(G364*0.3,0)</f>
        <v>202</v>
      </c>
      <c r="J364" s="1264">
        <f>ROUND(I364*E364,)</f>
        <v>202</v>
      </c>
      <c r="K364" s="1265">
        <f>H364+I364</f>
        <v>874</v>
      </c>
      <c r="L364" s="1473"/>
      <c r="M364" s="1214"/>
      <c r="N364" s="1214"/>
      <c r="O364" s="1214"/>
      <c r="P364" s="1214"/>
      <c r="Q364" s="1214"/>
      <c r="R364" s="1214"/>
      <c r="S364" s="1214"/>
      <c r="T364" s="1214"/>
      <c r="U364" s="1214"/>
    </row>
    <row r="365" spans="1:21" s="1199" customFormat="1" ht="24" customHeight="1">
      <c r="A365" s="1474" t="s">
        <v>2918</v>
      </c>
      <c r="B365" s="2174" t="s">
        <v>1381</v>
      </c>
      <c r="C365" s="1191"/>
      <c r="D365" s="1471"/>
      <c r="E365" s="1206"/>
      <c r="F365" s="1207" t="s">
        <v>1104</v>
      </c>
      <c r="G365" s="2175"/>
      <c r="H365" s="1264"/>
      <c r="I365" s="1504"/>
      <c r="J365" s="1264"/>
      <c r="K365" s="1265"/>
      <c r="L365" s="1473"/>
      <c r="M365" s="1214"/>
      <c r="N365" s="1214"/>
      <c r="O365" s="1214"/>
      <c r="P365" s="1214"/>
      <c r="Q365" s="1214"/>
      <c r="R365" s="1214"/>
      <c r="S365" s="1214"/>
      <c r="T365" s="1214"/>
      <c r="U365" s="1214"/>
    </row>
    <row r="366" spans="1:21" s="1199" customFormat="1" ht="24" customHeight="1">
      <c r="A366" s="1480"/>
      <c r="B366" s="2174" t="s">
        <v>1117</v>
      </c>
      <c r="C366" s="1191"/>
      <c r="D366" s="1471"/>
      <c r="E366" s="1206"/>
      <c r="F366" s="1207"/>
      <c r="G366" s="2175"/>
      <c r="H366" s="1264"/>
      <c r="I366" s="1265"/>
      <c r="J366" s="1264"/>
      <c r="K366" s="1265"/>
      <c r="L366" s="1473"/>
      <c r="M366" s="1214"/>
      <c r="N366" s="1214"/>
      <c r="O366" s="1214"/>
      <c r="P366" s="1214"/>
      <c r="Q366" s="1214"/>
      <c r="R366" s="1214"/>
      <c r="S366" s="1214"/>
      <c r="T366" s="1214"/>
      <c r="U366" s="1214"/>
    </row>
    <row r="367" spans="1:21" s="1199" customFormat="1" ht="24" customHeight="1">
      <c r="A367" s="1331"/>
      <c r="B367" s="2174" t="s">
        <v>1118</v>
      </c>
      <c r="C367" s="1202"/>
      <c r="D367" s="1202"/>
      <c r="E367" s="1387"/>
      <c r="F367" s="1384"/>
      <c r="G367" s="2176"/>
      <c r="H367" s="1388"/>
      <c r="I367" s="2177"/>
      <c r="J367" s="1385"/>
      <c r="K367" s="1385"/>
      <c r="L367" s="1389"/>
      <c r="M367" s="1214"/>
      <c r="N367" s="1214"/>
      <c r="O367" s="1214"/>
    </row>
    <row r="368" spans="1:21" s="1199" customFormat="1" ht="24" customHeight="1">
      <c r="A368" s="1331"/>
      <c r="B368" s="2174" t="s">
        <v>1118</v>
      </c>
      <c r="C368" s="1202"/>
      <c r="D368" s="1202"/>
      <c r="E368" s="1387"/>
      <c r="F368" s="1384"/>
      <c r="G368" s="2176"/>
      <c r="H368" s="1388"/>
      <c r="I368" s="2177"/>
      <c r="J368" s="1385"/>
      <c r="K368" s="1385"/>
      <c r="L368" s="1389"/>
      <c r="M368" s="1214"/>
      <c r="N368" s="1214"/>
      <c r="O368" s="1214"/>
    </row>
    <row r="369" spans="1:21" s="1199" customFormat="1" ht="24" customHeight="1">
      <c r="A369" s="1417"/>
      <c r="B369" s="1220"/>
      <c r="C369" s="1221"/>
      <c r="D369" s="1221"/>
      <c r="E369" s="1404"/>
      <c r="F369" s="1412"/>
      <c r="G369" s="1386"/>
      <c r="H369" s="1413"/>
      <c r="I369" s="1414"/>
      <c r="J369" s="1415"/>
      <c r="K369" s="1415"/>
      <c r="L369" s="1415"/>
      <c r="M369" s="1214"/>
      <c r="N369" s="1214"/>
      <c r="O369" s="1214"/>
      <c r="P369" s="1214"/>
    </row>
    <row r="370" spans="1:21" s="1199" customFormat="1" ht="24" customHeight="1">
      <c r="A370" s="1245"/>
      <c r="B370" s="2257" t="str">
        <f>"รวมราคารายการที่ "&amp;A355</f>
        <v>รวมราคารายการที่ 3.12</v>
      </c>
      <c r="C370" s="2258"/>
      <c r="D370" s="2259"/>
      <c r="E370" s="1481"/>
      <c r="F370" s="1245"/>
      <c r="G370" s="1246"/>
      <c r="H370" s="1247">
        <f>SUM(H356:H366)</f>
        <v>24082</v>
      </c>
      <c r="I370" s="1246"/>
      <c r="J370" s="1247">
        <f t="shared" ref="J370:K370" si="74">SUM(J356:J366)</f>
        <v>6507</v>
      </c>
      <c r="K370" s="1247">
        <f t="shared" si="74"/>
        <v>30589</v>
      </c>
      <c r="L370" s="1245"/>
      <c r="M370" s="1214"/>
      <c r="N370" s="1214"/>
      <c r="O370" s="1214"/>
      <c r="P370" s="1214"/>
      <c r="Q370" s="1214"/>
      <c r="R370" s="1214"/>
      <c r="S370" s="1214"/>
      <c r="T370" s="1214"/>
      <c r="U370" s="1214"/>
    </row>
  </sheetData>
  <mergeCells count="21">
    <mergeCell ref="B209:D209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138:D138"/>
    <mergeCell ref="B154:D154"/>
    <mergeCell ref="B187:D187"/>
    <mergeCell ref="B370:D370"/>
    <mergeCell ref="B226:D226"/>
    <mergeCell ref="B256:D256"/>
    <mergeCell ref="B298:D298"/>
    <mergeCell ref="B314:D314"/>
    <mergeCell ref="B333:D333"/>
    <mergeCell ref="B354:D354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9-อาคารทิศตะวันตก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F211B-2D6A-4AC1-B08E-599058F6D8DF}">
  <sheetPr>
    <tabColor rgb="FF92D050"/>
  </sheetPr>
  <dimension ref="A1:U346"/>
  <sheetViews>
    <sheetView view="pageBreakPreview" topLeftCell="A154" zoomScale="70" zoomScaleNormal="100" zoomScaleSheetLayoutView="70" workbookViewId="0">
      <selection activeCell="A151" sqref="A151:L157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" style="1" customWidth="1"/>
    <col min="13" max="93" width="7.703125" style="1" customWidth="1"/>
    <col min="94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1641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29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H82</f>
        <v>284870</v>
      </c>
      <c r="I12" s="1241"/>
      <c r="J12" s="1196">
        <f>J82</f>
        <v>19800</v>
      </c>
      <c r="K12" s="1196">
        <f>K82</f>
        <v>304670</v>
      </c>
      <c r="L12" s="1430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H91</f>
        <v>0</v>
      </c>
      <c r="I13" s="1241"/>
      <c r="J13" s="1196">
        <f>J91</f>
        <v>0</v>
      </c>
      <c r="K13" s="1196">
        <f>K91</f>
        <v>0</v>
      </c>
      <c r="L13" s="1430"/>
    </row>
    <row r="14" spans="1:12" s="1199" customFormat="1" ht="24" customHeight="1">
      <c r="A14" s="1204">
        <f>A92</f>
        <v>3.3</v>
      </c>
      <c r="B14" s="1431" t="str">
        <f>B92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H106</f>
        <v>0</v>
      </c>
      <c r="I14" s="1241"/>
      <c r="J14" s="1196">
        <f>J106</f>
        <v>0</v>
      </c>
      <c r="K14" s="1196">
        <f>K106</f>
        <v>0</v>
      </c>
      <c r="L14" s="1430"/>
    </row>
    <row r="15" spans="1:12" s="1199" customFormat="1" ht="24" customHeight="1">
      <c r="A15" s="1204">
        <f>A107</f>
        <v>3.4</v>
      </c>
      <c r="B15" s="1190" t="str">
        <f>B107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H139</f>
        <v>104024</v>
      </c>
      <c r="I15" s="1197"/>
      <c r="J15" s="1196">
        <f>J139</f>
        <v>31146</v>
      </c>
      <c r="K15" s="1196">
        <f t="shared" ref="K15:K21" si="0">SUM(H15:J15)</f>
        <v>135170</v>
      </c>
      <c r="L15" s="1430"/>
    </row>
    <row r="16" spans="1:12" s="1199" customFormat="1" ht="24" customHeight="1">
      <c r="A16" s="1204" t="str">
        <f>A140</f>
        <v>3.5</v>
      </c>
      <c r="B16" s="1190" t="str">
        <f>B140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H161</f>
        <v>38883</v>
      </c>
      <c r="I16" s="1197"/>
      <c r="J16" s="1196">
        <f>J161</f>
        <v>11888</v>
      </c>
      <c r="K16" s="1196">
        <f t="shared" si="0"/>
        <v>50771</v>
      </c>
      <c r="L16" s="1430"/>
    </row>
    <row r="17" spans="1:12" s="1199" customFormat="1" ht="24" customHeight="1">
      <c r="A17" s="1204" t="str">
        <f>A162</f>
        <v>3.6</v>
      </c>
      <c r="B17" s="1190" t="str">
        <f>B162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H178</f>
        <v>2376</v>
      </c>
      <c r="I17" s="1197"/>
      <c r="J17" s="1196">
        <f>J178</f>
        <v>1380</v>
      </c>
      <c r="K17" s="1196">
        <f t="shared" si="0"/>
        <v>3756</v>
      </c>
      <c r="L17" s="1430"/>
    </row>
    <row r="18" spans="1:12" s="1199" customFormat="1" ht="24" customHeight="1">
      <c r="A18" s="1204" t="str">
        <f>A179</f>
        <v>3.7</v>
      </c>
      <c r="B18" s="1190" t="str">
        <f>B179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H208</f>
        <v>14196</v>
      </c>
      <c r="I18" s="1197"/>
      <c r="J18" s="1196">
        <f>J208</f>
        <v>4043</v>
      </c>
      <c r="K18" s="1196">
        <f t="shared" si="0"/>
        <v>18239</v>
      </c>
      <c r="L18" s="1430"/>
    </row>
    <row r="19" spans="1:12" s="1199" customFormat="1" ht="24" customHeight="1">
      <c r="A19" s="1204">
        <f>A209</f>
        <v>3.8</v>
      </c>
      <c r="B19" s="2174" t="str">
        <f>B209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H250</f>
        <v>1675299</v>
      </c>
      <c r="I19" s="1197"/>
      <c r="J19" s="1196">
        <f>J250</f>
        <v>265288</v>
      </c>
      <c r="K19" s="1196">
        <f t="shared" si="0"/>
        <v>1940587</v>
      </c>
      <c r="L19" s="1430"/>
    </row>
    <row r="20" spans="1:12" s="1199" customFormat="1" ht="24" customHeight="1">
      <c r="A20" s="1204" t="str">
        <f>A251</f>
        <v>3.9</v>
      </c>
      <c r="B20" s="2174" t="str">
        <f>B251</f>
        <v>ระบบเสียงและประกาศเรียก (Public Address System)</v>
      </c>
      <c r="C20" s="1202"/>
      <c r="D20" s="1203"/>
      <c r="E20" s="1193">
        <v>1</v>
      </c>
      <c r="F20" s="1207" t="s">
        <v>19</v>
      </c>
      <c r="G20" s="1208"/>
      <c r="H20" s="1196">
        <f>H267</f>
        <v>101467</v>
      </c>
      <c r="I20" s="1197"/>
      <c r="J20" s="1196">
        <f>J267</f>
        <v>37871</v>
      </c>
      <c r="K20" s="1196">
        <f t="shared" si="0"/>
        <v>139338</v>
      </c>
      <c r="L20" s="1430"/>
    </row>
    <row r="21" spans="1:12" s="1199" customFormat="1" ht="24" customHeight="1">
      <c r="A21" s="1204" t="str">
        <f>A268</f>
        <v>3.10</v>
      </c>
      <c r="B21" s="2174" t="str">
        <f>B268</f>
        <v>ระบบควบคุมประตูอัตโนมัติ (Access Control System)</v>
      </c>
      <c r="C21" s="1202"/>
      <c r="D21" s="1203"/>
      <c r="E21" s="1193">
        <v>1</v>
      </c>
      <c r="F21" s="1207" t="s">
        <v>19</v>
      </c>
      <c r="G21" s="1208"/>
      <c r="H21" s="1196">
        <f>H291</f>
        <v>413624</v>
      </c>
      <c r="I21" s="1197"/>
      <c r="J21" s="1196">
        <f>J291</f>
        <v>18530</v>
      </c>
      <c r="K21" s="1196">
        <f t="shared" si="0"/>
        <v>432154</v>
      </c>
      <c r="L21" s="1430"/>
    </row>
    <row r="22" spans="1:12" s="1199" customFormat="1" ht="24" customHeight="1">
      <c r="A22" s="1204" t="str">
        <f>A292</f>
        <v>3.11</v>
      </c>
      <c r="B22" s="1431" t="str">
        <f>B292</f>
        <v>ระบบบริหารจัดการอาคาร (Building Management System : BMS)</v>
      </c>
      <c r="C22" s="1202"/>
      <c r="D22" s="1203"/>
      <c r="E22" s="1193">
        <v>1</v>
      </c>
      <c r="F22" s="1207" t="s">
        <v>19</v>
      </c>
      <c r="G22" s="1208"/>
      <c r="H22" s="1196">
        <f>H322</f>
        <v>372080</v>
      </c>
      <c r="I22" s="1197"/>
      <c r="J22" s="1196">
        <f t="shared" ref="J22:K22" si="1">J322</f>
        <v>30294</v>
      </c>
      <c r="K22" s="1196">
        <f t="shared" si="1"/>
        <v>402374</v>
      </c>
      <c r="L22" s="1430"/>
    </row>
    <row r="23" spans="1:12" s="1199" customFormat="1" ht="24" customHeight="1">
      <c r="A23" s="1204" t="str">
        <f>A323</f>
        <v>3.12</v>
      </c>
      <c r="B23" s="1431" t="str">
        <f>B323</f>
        <v>ระบบแจ้งเหตุฉุกเฉิน (Panic Alarm System)</v>
      </c>
      <c r="C23" s="1202"/>
      <c r="D23" s="1203"/>
      <c r="E23" s="1193">
        <v>1</v>
      </c>
      <c r="F23" s="1207" t="s">
        <v>19</v>
      </c>
      <c r="G23" s="1208"/>
      <c r="H23" s="1196">
        <f>H346</f>
        <v>24332</v>
      </c>
      <c r="I23" s="1197"/>
      <c r="J23" s="1196">
        <f t="shared" ref="J23:K23" si="2">J346</f>
        <v>6632</v>
      </c>
      <c r="K23" s="1196">
        <f t="shared" si="2"/>
        <v>30964</v>
      </c>
      <c r="L23" s="1430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195"/>
      <c r="H24" s="1196"/>
      <c r="I24" s="1241"/>
      <c r="J24" s="1229"/>
      <c r="K24" s="1242"/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10</v>
      </c>
      <c r="C34" s="2258"/>
      <c r="D34" s="2259"/>
      <c r="E34" s="1244"/>
      <c r="F34" s="1245"/>
      <c r="G34" s="1246"/>
      <c r="H34" s="1247">
        <f>SUM(H11:H33)</f>
        <v>3031151</v>
      </c>
      <c r="I34" s="1246"/>
      <c r="J34" s="1247">
        <f>SUM(J11:J33)</f>
        <v>426872</v>
      </c>
      <c r="K34" s="1247">
        <f>SUM(K11:K33)</f>
        <v>3458023</v>
      </c>
      <c r="L34" s="1245"/>
      <c r="M34" s="1214"/>
      <c r="N34" s="1214"/>
      <c r="O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1096</v>
      </c>
      <c r="B36" s="1362" t="s">
        <v>1241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3">ROUND(G38*E38,)</f>
        <v>0</v>
      </c>
      <c r="I38" s="1265"/>
      <c r="J38" s="1264"/>
      <c r="K38" s="1265">
        <f t="shared" ref="K38:K55" si="4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/>
      <c r="F39" s="1207" t="s">
        <v>363</v>
      </c>
      <c r="G39" s="2175">
        <v>2400</v>
      </c>
      <c r="H39" s="1264">
        <f t="shared" si="3"/>
        <v>0</v>
      </c>
      <c r="I39" s="1265"/>
      <c r="J39" s="1264"/>
      <c r="K39" s="1265">
        <f t="shared" si="4"/>
        <v>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/>
      <c r="F40" s="1207" t="s">
        <v>363</v>
      </c>
      <c r="G40" s="2175">
        <v>2400</v>
      </c>
      <c r="H40" s="1264">
        <f t="shared" si="3"/>
        <v>0</v>
      </c>
      <c r="I40" s="1265"/>
      <c r="J40" s="1264"/>
      <c r="K40" s="1265">
        <f t="shared" si="4"/>
        <v>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3"/>
        <v>0</v>
      </c>
      <c r="I41" s="1265"/>
      <c r="J41" s="1264"/>
      <c r="K41" s="1265">
        <f t="shared" si="4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3"/>
        <v>2400</v>
      </c>
      <c r="I42" s="1265"/>
      <c r="J42" s="1264"/>
      <c r="K42" s="1265">
        <f t="shared" si="4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3"/>
        <v>7200</v>
      </c>
      <c r="I43" s="1265"/>
      <c r="J43" s="1264"/>
      <c r="K43" s="1265">
        <f t="shared" si="4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3"/>
        <v>0</v>
      </c>
      <c r="I44" s="1265"/>
      <c r="J44" s="1264"/>
      <c r="K44" s="1265">
        <f t="shared" si="4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3"/>
        <v>0</v>
      </c>
      <c r="I45" s="1265"/>
      <c r="J45" s="1264"/>
      <c r="K45" s="1265">
        <f t="shared" si="4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3"/>
        <v>0</v>
      </c>
      <c r="I46" s="1265"/>
      <c r="J46" s="1264"/>
      <c r="K46" s="1265">
        <f t="shared" si="4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3"/>
        <v>0</v>
      </c>
      <c r="I47" s="1265"/>
      <c r="J47" s="1264"/>
      <c r="K47" s="1265">
        <f t="shared" si="4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/>
      <c r="F48" s="1207" t="s">
        <v>363</v>
      </c>
      <c r="G48" s="2175">
        <v>11500</v>
      </c>
      <c r="H48" s="1264">
        <f t="shared" si="3"/>
        <v>0</v>
      </c>
      <c r="I48" s="1265"/>
      <c r="J48" s="1264"/>
      <c r="K48" s="1265">
        <f t="shared" si="4"/>
        <v>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>
        <v>1</v>
      </c>
      <c r="F49" s="1207" t="s">
        <v>363</v>
      </c>
      <c r="G49" s="2175">
        <v>20200</v>
      </c>
      <c r="H49" s="1264">
        <f t="shared" si="3"/>
        <v>20200</v>
      </c>
      <c r="I49" s="1265"/>
      <c r="J49" s="1264"/>
      <c r="K49" s="1265">
        <f t="shared" si="4"/>
        <v>20200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3"/>
        <v>0</v>
      </c>
      <c r="I50" s="1265"/>
      <c r="J50" s="1264"/>
      <c r="K50" s="1265">
        <f t="shared" si="4"/>
        <v>0</v>
      </c>
      <c r="L50" s="1266"/>
    </row>
    <row r="51" spans="1:18" s="1199" customFormat="1" ht="24" customHeight="1">
      <c r="A51" s="1339"/>
      <c r="B51" s="1259" t="s">
        <v>1276</v>
      </c>
      <c r="C51" s="1260"/>
      <c r="D51" s="1260"/>
      <c r="E51" s="1261">
        <v>3</v>
      </c>
      <c r="F51" s="1207" t="s">
        <v>363</v>
      </c>
      <c r="G51" s="2175">
        <v>600</v>
      </c>
      <c r="H51" s="1264">
        <f t="shared" si="3"/>
        <v>1800</v>
      </c>
      <c r="I51" s="1265"/>
      <c r="J51" s="1264"/>
      <c r="K51" s="1265">
        <f t="shared" si="4"/>
        <v>1800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3"/>
        <v>360</v>
      </c>
      <c r="I52" s="1265"/>
      <c r="J52" s="1264"/>
      <c r="K52" s="1265">
        <f t="shared" si="4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3"/>
        <v>300</v>
      </c>
      <c r="I53" s="1265"/>
      <c r="J53" s="1264"/>
      <c r="K53" s="1265">
        <f t="shared" si="4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5</v>
      </c>
      <c r="F54" s="1207" t="s">
        <v>363</v>
      </c>
      <c r="G54" s="2175">
        <v>15435</v>
      </c>
      <c r="H54" s="1264">
        <f t="shared" si="3"/>
        <v>77175</v>
      </c>
      <c r="I54" s="1265"/>
      <c r="J54" s="1264"/>
      <c r="K54" s="1265">
        <f t="shared" si="4"/>
        <v>77175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33000</v>
      </c>
      <c r="H55" s="1264">
        <f t="shared" si="3"/>
        <v>33000</v>
      </c>
      <c r="I55" s="1265">
        <f>G55*0.3</f>
        <v>9900</v>
      </c>
      <c r="J55" s="1264">
        <f>ROUND(E55*I55,)</f>
        <v>9900</v>
      </c>
      <c r="K55" s="1265">
        <f t="shared" si="4"/>
        <v>42900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1252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5">ROUND(G61*E61,)</f>
        <v>0</v>
      </c>
      <c r="I61" s="1265"/>
      <c r="J61" s="1264"/>
      <c r="K61" s="1265">
        <f t="shared" ref="K61:K78" si="6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/>
      <c r="F62" s="1207" t="s">
        <v>363</v>
      </c>
      <c r="G62" s="2175">
        <v>2400</v>
      </c>
      <c r="H62" s="1264">
        <f t="shared" si="5"/>
        <v>0</v>
      </c>
      <c r="I62" s="1265"/>
      <c r="J62" s="1264"/>
      <c r="K62" s="1265">
        <f t="shared" si="6"/>
        <v>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/>
      <c r="F63" s="1207" t="s">
        <v>363</v>
      </c>
      <c r="G63" s="2175">
        <v>2400</v>
      </c>
      <c r="H63" s="1264">
        <f t="shared" si="5"/>
        <v>0</v>
      </c>
      <c r="I63" s="1265"/>
      <c r="J63" s="1264"/>
      <c r="K63" s="1265">
        <f t="shared" si="6"/>
        <v>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5"/>
        <v>0</v>
      </c>
      <c r="I64" s="1265"/>
      <c r="J64" s="1264"/>
      <c r="K64" s="1265">
        <f t="shared" si="6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5"/>
        <v>2400</v>
      </c>
      <c r="I65" s="1265"/>
      <c r="J65" s="1264"/>
      <c r="K65" s="1265">
        <f t="shared" si="6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3</v>
      </c>
      <c r="F66" s="1207" t="s">
        <v>363</v>
      </c>
      <c r="G66" s="2175">
        <v>2400</v>
      </c>
      <c r="H66" s="1264">
        <f t="shared" si="5"/>
        <v>7200</v>
      </c>
      <c r="I66" s="1265"/>
      <c r="J66" s="1264"/>
      <c r="K66" s="1265">
        <f t="shared" si="6"/>
        <v>7200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5"/>
        <v>0</v>
      </c>
      <c r="I67" s="1265"/>
      <c r="J67" s="1264"/>
      <c r="K67" s="1265">
        <f t="shared" si="6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5"/>
        <v>0</v>
      </c>
      <c r="I68" s="1265"/>
      <c r="J68" s="1264"/>
      <c r="K68" s="1265">
        <f t="shared" si="6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5"/>
        <v>0</v>
      </c>
      <c r="I69" s="1265"/>
      <c r="J69" s="1264"/>
      <c r="K69" s="1265">
        <f t="shared" si="6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5"/>
        <v>0</v>
      </c>
      <c r="I70" s="1265"/>
      <c r="J70" s="1264"/>
      <c r="K70" s="1265">
        <f t="shared" si="6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/>
      <c r="F71" s="1207" t="s">
        <v>363</v>
      </c>
      <c r="G71" s="2175">
        <v>11500</v>
      </c>
      <c r="H71" s="1264">
        <f t="shared" si="5"/>
        <v>0</v>
      </c>
      <c r="I71" s="1265"/>
      <c r="J71" s="1264"/>
      <c r="K71" s="1265">
        <f t="shared" si="6"/>
        <v>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>
        <v>1</v>
      </c>
      <c r="F72" s="1207" t="s">
        <v>363</v>
      </c>
      <c r="G72" s="2175">
        <v>20200</v>
      </c>
      <c r="H72" s="1264">
        <f t="shared" si="5"/>
        <v>20200</v>
      </c>
      <c r="I72" s="1265"/>
      <c r="J72" s="1264"/>
      <c r="K72" s="1265">
        <f t="shared" si="6"/>
        <v>20200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5"/>
        <v>0</v>
      </c>
      <c r="I73" s="1265"/>
      <c r="J73" s="1264"/>
      <c r="K73" s="1265">
        <f t="shared" si="6"/>
        <v>0</v>
      </c>
      <c r="L73" s="1266"/>
    </row>
    <row r="74" spans="1:17" s="1199" customFormat="1" ht="24" customHeight="1">
      <c r="A74" s="1339"/>
      <c r="B74" s="1259" t="s">
        <v>1276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5"/>
        <v>1800</v>
      </c>
      <c r="I74" s="1265"/>
      <c r="J74" s="1264"/>
      <c r="K74" s="1265">
        <f t="shared" si="6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5"/>
        <v>360</v>
      </c>
      <c r="I75" s="1265"/>
      <c r="J75" s="1264"/>
      <c r="K75" s="1265">
        <f t="shared" si="6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5"/>
        <v>300</v>
      </c>
      <c r="I76" s="1265"/>
      <c r="J76" s="1264"/>
      <c r="K76" s="1265">
        <f t="shared" si="6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5</v>
      </c>
      <c r="F77" s="1207" t="s">
        <v>363</v>
      </c>
      <c r="G77" s="2175">
        <v>15435</v>
      </c>
      <c r="H77" s="1264">
        <f t="shared" si="5"/>
        <v>77175</v>
      </c>
      <c r="I77" s="1265"/>
      <c r="J77" s="1264"/>
      <c r="K77" s="1265">
        <f t="shared" si="6"/>
        <v>77175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33000</v>
      </c>
      <c r="H78" s="1264">
        <f t="shared" si="5"/>
        <v>33000</v>
      </c>
      <c r="I78" s="1265">
        <f>G78*0.3</f>
        <v>9900</v>
      </c>
      <c r="J78" s="1264">
        <f>ROUND(E78*I78,)</f>
        <v>9900</v>
      </c>
      <c r="K78" s="1265">
        <f t="shared" si="6"/>
        <v>42900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7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7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284870</v>
      </c>
      <c r="I82" s="1246"/>
      <c r="J82" s="1247">
        <f>SUM(J35:J81)</f>
        <v>19800</v>
      </c>
      <c r="K82" s="1247">
        <f>SUM(K35:K81)</f>
        <v>304670</v>
      </c>
      <c r="L82" s="1245"/>
      <c r="M82" s="1214"/>
      <c r="N82" s="1214"/>
      <c r="O82" s="1214"/>
      <c r="P82" s="1214"/>
      <c r="Q82" s="1214"/>
    </row>
    <row r="83" spans="1:17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7" s="1199" customFormat="1" ht="24" customHeight="1">
      <c r="A84" s="1189"/>
      <c r="B84" s="1451" t="s">
        <v>1118</v>
      </c>
      <c r="C84" s="1202"/>
      <c r="D84" s="1202"/>
      <c r="E84" s="1387"/>
      <c r="F84" s="1207" t="s">
        <v>363</v>
      </c>
      <c r="G84" s="2176"/>
      <c r="H84" s="1264">
        <f>ROUND(E84*G84,)</f>
        <v>0</v>
      </c>
      <c r="I84" s="2177">
        <f>G84*0.05</f>
        <v>0</v>
      </c>
      <c r="J84" s="1264">
        <f>ROUND(E84*I84,)</f>
        <v>0</v>
      </c>
      <c r="K84" s="1273">
        <f>H84+J84</f>
        <v>0</v>
      </c>
      <c r="L84" s="1385"/>
      <c r="M84" s="1214"/>
      <c r="N84" s="1214"/>
      <c r="O84" s="1214"/>
      <c r="P84" s="1214"/>
    </row>
    <row r="85" spans="1:17" s="1199" customFormat="1" ht="24" customHeight="1">
      <c r="A85" s="1189"/>
      <c r="B85" s="1451" t="s">
        <v>1118</v>
      </c>
      <c r="C85" s="1202"/>
      <c r="D85" s="1202"/>
      <c r="E85" s="1387"/>
      <c r="F85" s="1207" t="s">
        <v>363</v>
      </c>
      <c r="G85" s="2176"/>
      <c r="H85" s="1264">
        <f>ROUND(E85*G85,)</f>
        <v>0</v>
      </c>
      <c r="I85" s="2177">
        <f>G85*0.05</f>
        <v>0</v>
      </c>
      <c r="J85" s="1264">
        <f>ROUND(E85*I85,)</f>
        <v>0</v>
      </c>
      <c r="K85" s="1273">
        <f>H85+J85</f>
        <v>0</v>
      </c>
      <c r="L85" s="1385"/>
      <c r="M85" s="1214"/>
      <c r="N85" s="1214"/>
      <c r="O85" s="1214"/>
      <c r="P85" s="1214"/>
    </row>
    <row r="86" spans="1:17" s="1199" customFormat="1" ht="24" customHeight="1">
      <c r="A86" s="1189"/>
      <c r="B86" s="1451" t="s">
        <v>1118</v>
      </c>
      <c r="C86" s="1202"/>
      <c r="D86" s="1202"/>
      <c r="E86" s="1387"/>
      <c r="F86" s="1207" t="s">
        <v>363</v>
      </c>
      <c r="G86" s="2176"/>
      <c r="H86" s="1264">
        <f>ROUND(E86*G86,)</f>
        <v>0</v>
      </c>
      <c r="I86" s="2177">
        <f>G86*0.05</f>
        <v>0</v>
      </c>
      <c r="J86" s="1264">
        <f>ROUND(E86*I86,)</f>
        <v>0</v>
      </c>
      <c r="K86" s="1273">
        <f>H86+J86</f>
        <v>0</v>
      </c>
      <c r="L86" s="1385"/>
      <c r="M86" s="1214"/>
      <c r="N86" s="1214"/>
      <c r="O86" s="1214"/>
      <c r="P86" s="1214"/>
    </row>
    <row r="87" spans="1:17" s="1199" customFormat="1" ht="24" customHeight="1">
      <c r="A87" s="1331"/>
      <c r="B87" s="1190" t="s">
        <v>1117</v>
      </c>
      <c r="C87" s="1275"/>
      <c r="D87" s="1275"/>
      <c r="E87" s="2145"/>
      <c r="F87" s="1358"/>
      <c r="G87" s="2175"/>
      <c r="H87" s="1264"/>
      <c r="I87" s="1265"/>
      <c r="J87" s="1264"/>
      <c r="K87" s="1299"/>
      <c r="L87" s="1432"/>
    </row>
    <row r="88" spans="1:17" s="1199" customFormat="1" ht="24" customHeight="1">
      <c r="A88" s="1331"/>
      <c r="B88" s="1190" t="s">
        <v>1118</v>
      </c>
      <c r="C88" s="1275"/>
      <c r="D88" s="1275"/>
      <c r="E88" s="2145"/>
      <c r="F88" s="1358"/>
      <c r="G88" s="2175"/>
      <c r="H88" s="1264"/>
      <c r="I88" s="1265"/>
      <c r="J88" s="1264"/>
      <c r="K88" s="1299"/>
      <c r="L88" s="1432"/>
    </row>
    <row r="89" spans="1:17" s="1199" customFormat="1" ht="24" customHeight="1">
      <c r="A89" s="1331"/>
      <c r="B89" s="1190" t="s">
        <v>1118</v>
      </c>
      <c r="C89" s="1275"/>
      <c r="D89" s="1275"/>
      <c r="E89" s="2145"/>
      <c r="F89" s="1358"/>
      <c r="G89" s="2175"/>
      <c r="H89" s="1264"/>
      <c r="I89" s="1265"/>
      <c r="J89" s="1264"/>
      <c r="K89" s="1299"/>
      <c r="L89" s="1432"/>
    </row>
    <row r="90" spans="1:17" s="1199" customFormat="1" ht="24" customHeight="1">
      <c r="A90" s="1189"/>
      <c r="B90" s="1650"/>
      <c r="C90" s="1275"/>
      <c r="D90" s="1275"/>
      <c r="E90" s="2145"/>
      <c r="F90" s="1358"/>
      <c r="G90" s="2175"/>
      <c r="H90" s="1264"/>
      <c r="I90" s="1265"/>
      <c r="J90" s="1264"/>
      <c r="K90" s="1299"/>
      <c r="L90" s="1432"/>
    </row>
    <row r="91" spans="1:17" s="1199" customFormat="1" ht="24" customHeight="1">
      <c r="A91" s="1243"/>
      <c r="B91" s="2257" t="str">
        <f>"รวมราคารายการที่ "&amp;A83</f>
        <v>รวมราคารายการที่ 3.2</v>
      </c>
      <c r="C91" s="2258"/>
      <c r="D91" s="2259"/>
      <c r="E91" s="1244"/>
      <c r="F91" s="1245"/>
      <c r="G91" s="1246"/>
      <c r="H91" s="1247">
        <f>SUM(H83:H90)</f>
        <v>0</v>
      </c>
      <c r="I91" s="1246"/>
      <c r="J91" s="1247">
        <f>SUM(J83:J90)</f>
        <v>0</v>
      </c>
      <c r="K91" s="1247">
        <f>SUM(K83:K90)</f>
        <v>0</v>
      </c>
      <c r="L91" s="1245"/>
      <c r="M91" s="1214"/>
      <c r="N91" s="1214"/>
      <c r="O91" s="1214"/>
      <c r="P91" s="1214"/>
      <c r="Q91" s="1214"/>
    </row>
    <row r="92" spans="1:17" s="1199" customFormat="1" ht="24" customHeight="1">
      <c r="A92" s="1381">
        <v>3.3</v>
      </c>
      <c r="B92" s="1292" t="s">
        <v>1427</v>
      </c>
      <c r="C92" s="1294"/>
      <c r="D92" s="1294"/>
      <c r="E92" s="1295"/>
      <c r="F92" s="1296"/>
      <c r="G92" s="1297"/>
      <c r="H92" s="1298"/>
      <c r="I92" s="1299"/>
      <c r="J92" s="1298"/>
      <c r="K92" s="1299"/>
      <c r="L92" s="1432"/>
    </row>
    <row r="93" spans="1:17" s="1199" customFormat="1" ht="24" customHeight="1">
      <c r="A93" s="1331" t="s">
        <v>1128</v>
      </c>
      <c r="B93" s="1190" t="s">
        <v>2892</v>
      </c>
      <c r="C93" s="1275"/>
      <c r="D93" s="1275"/>
      <c r="E93" s="1276"/>
      <c r="F93" s="1358"/>
      <c r="G93" s="2175"/>
      <c r="H93" s="1264"/>
      <c r="I93" s="1265"/>
      <c r="J93" s="1264"/>
      <c r="K93" s="1299"/>
      <c r="L93" s="1432"/>
    </row>
    <row r="94" spans="1:17" s="1199" customFormat="1" ht="24" customHeight="1">
      <c r="A94" s="1331"/>
      <c r="B94" s="1190" t="s">
        <v>2893</v>
      </c>
      <c r="C94" s="1275"/>
      <c r="D94" s="1275"/>
      <c r="E94" s="1276"/>
      <c r="F94" s="1194" t="s">
        <v>363</v>
      </c>
      <c r="G94" s="2175">
        <v>6800</v>
      </c>
      <c r="H94" s="1264">
        <f>ROUND(E94*G94,)</f>
        <v>0</v>
      </c>
      <c r="I94" s="1265">
        <v>1500</v>
      </c>
      <c r="J94" s="1264">
        <f>ROUND(E94*I94,)</f>
        <v>0</v>
      </c>
      <c r="K94" s="1299">
        <f>H94+J94</f>
        <v>0</v>
      </c>
      <c r="L94" s="1432"/>
    </row>
    <row r="95" spans="1:17" s="1199" customFormat="1" ht="24" customHeight="1">
      <c r="A95" s="1331"/>
      <c r="B95" s="1190" t="s">
        <v>2894</v>
      </c>
      <c r="C95" s="1275"/>
      <c r="D95" s="1275"/>
      <c r="E95" s="1276"/>
      <c r="F95" s="1194" t="s">
        <v>363</v>
      </c>
      <c r="G95" s="2175">
        <v>2400</v>
      </c>
      <c r="H95" s="1264"/>
      <c r="I95" s="1265"/>
      <c r="J95" s="1264"/>
      <c r="K95" s="1299"/>
      <c r="L95" s="1432"/>
    </row>
    <row r="96" spans="1:17" s="1199" customFormat="1" ht="24" customHeight="1">
      <c r="A96" s="1331"/>
      <c r="B96" s="1190" t="s">
        <v>2895</v>
      </c>
      <c r="C96" s="1275"/>
      <c r="D96" s="1275"/>
      <c r="E96" s="1276"/>
      <c r="F96" s="1194" t="s">
        <v>363</v>
      </c>
      <c r="G96" s="2175">
        <v>138</v>
      </c>
      <c r="H96" s="1264">
        <f>ROUND(E96*G96,)</f>
        <v>0</v>
      </c>
      <c r="I96" s="1265"/>
      <c r="J96" s="1264">
        <f>ROUND(E96*I96,)</f>
        <v>0</v>
      </c>
      <c r="K96" s="1299">
        <f>H96+J96</f>
        <v>0</v>
      </c>
      <c r="L96" s="1432"/>
    </row>
    <row r="97" spans="1:16" s="1199" customFormat="1" ht="24" customHeight="1">
      <c r="A97" s="1331"/>
      <c r="B97" s="1190" t="s">
        <v>1432</v>
      </c>
      <c r="C97" s="1275"/>
      <c r="D97" s="1275"/>
      <c r="E97" s="1276"/>
      <c r="F97" s="1194" t="s">
        <v>363</v>
      </c>
      <c r="G97" s="2175">
        <v>138</v>
      </c>
      <c r="H97" s="1264">
        <f t="shared" ref="H97:H98" si="7">ROUND(E97*G97,)</f>
        <v>0</v>
      </c>
      <c r="I97" s="1265"/>
      <c r="J97" s="1264">
        <f t="shared" ref="J97:J98" si="8">ROUND(E97*I97,)</f>
        <v>0</v>
      </c>
      <c r="K97" s="1299">
        <f t="shared" ref="K97:K98" si="9">H97+J97</f>
        <v>0</v>
      </c>
      <c r="L97" s="1432"/>
    </row>
    <row r="98" spans="1:16" s="1199" customFormat="1" ht="24" customHeight="1">
      <c r="A98" s="1331"/>
      <c r="B98" s="1190" t="s">
        <v>2896</v>
      </c>
      <c r="C98" s="1275"/>
      <c r="D98" s="1275"/>
      <c r="E98" s="1276"/>
      <c r="F98" s="1194" t="s">
        <v>363</v>
      </c>
      <c r="G98" s="2175">
        <v>619</v>
      </c>
      <c r="H98" s="1264">
        <f t="shared" si="7"/>
        <v>0</v>
      </c>
      <c r="I98" s="1265"/>
      <c r="J98" s="1264">
        <f t="shared" si="8"/>
        <v>0</v>
      </c>
      <c r="K98" s="1299">
        <f t="shared" si="9"/>
        <v>0</v>
      </c>
      <c r="L98" s="1432"/>
    </row>
    <row r="99" spans="1:16" s="1199" customFormat="1" ht="24" customHeight="1">
      <c r="A99" s="1331"/>
      <c r="B99" s="1190" t="s">
        <v>1117</v>
      </c>
      <c r="C99" s="1275"/>
      <c r="D99" s="1275"/>
      <c r="E99" s="2145"/>
      <c r="F99" s="1358"/>
      <c r="G99" s="2175"/>
      <c r="H99" s="1264"/>
      <c r="I99" s="1265"/>
      <c r="J99" s="1264"/>
      <c r="K99" s="1299"/>
      <c r="L99" s="1432"/>
    </row>
    <row r="100" spans="1:16" s="1199" customFormat="1" ht="24" customHeight="1">
      <c r="A100" s="1331"/>
      <c r="B100" s="1190" t="s">
        <v>1118</v>
      </c>
      <c r="C100" s="1275"/>
      <c r="D100" s="1275"/>
      <c r="E100" s="2145"/>
      <c r="F100" s="1358"/>
      <c r="G100" s="2175"/>
      <c r="H100" s="1264"/>
      <c r="I100" s="1265"/>
      <c r="J100" s="1264"/>
      <c r="K100" s="1299"/>
      <c r="L100" s="1432"/>
    </row>
    <row r="101" spans="1:16" s="1199" customFormat="1" ht="24" customHeight="1">
      <c r="A101" s="1331"/>
      <c r="B101" s="1190" t="s">
        <v>1118</v>
      </c>
      <c r="C101" s="1275"/>
      <c r="D101" s="1275"/>
      <c r="E101" s="2145"/>
      <c r="F101" s="1358"/>
      <c r="G101" s="2175"/>
      <c r="H101" s="1264"/>
      <c r="I101" s="1265"/>
      <c r="J101" s="1264"/>
      <c r="K101" s="1299"/>
      <c r="L101" s="1432"/>
    </row>
    <row r="102" spans="1:16" s="1199" customFormat="1" ht="24" customHeight="1">
      <c r="A102" s="1331"/>
      <c r="B102" s="1190"/>
      <c r="C102" s="1275"/>
      <c r="D102" s="1275"/>
      <c r="E102" s="2145"/>
      <c r="F102" s="1358"/>
      <c r="G102" s="2175"/>
      <c r="H102" s="1264"/>
      <c r="I102" s="1265"/>
      <c r="J102" s="1264"/>
      <c r="K102" s="1299"/>
      <c r="L102" s="1432"/>
    </row>
    <row r="103" spans="1:16" s="1199" customFormat="1" ht="24" customHeight="1">
      <c r="A103" s="1331"/>
      <c r="B103" s="1190"/>
      <c r="C103" s="1275"/>
      <c r="D103" s="1275"/>
      <c r="E103" s="2145"/>
      <c r="F103" s="1358"/>
      <c r="G103" s="2175"/>
      <c r="H103" s="1264"/>
      <c r="I103" s="1265"/>
      <c r="J103" s="1264"/>
      <c r="K103" s="1299"/>
      <c r="L103" s="1432"/>
    </row>
    <row r="104" spans="1:16" s="1199" customFormat="1" ht="24" customHeight="1">
      <c r="A104" s="1331"/>
      <c r="B104" s="1190"/>
      <c r="C104" s="1275"/>
      <c r="D104" s="1275"/>
      <c r="E104" s="2145"/>
      <c r="F104" s="1358"/>
      <c r="G104" s="2175"/>
      <c r="H104" s="1264"/>
      <c r="I104" s="1265"/>
      <c r="J104" s="1264"/>
      <c r="K104" s="1299"/>
      <c r="L104" s="1432"/>
    </row>
    <row r="105" spans="1:16" s="1199" customFormat="1" ht="24" customHeight="1">
      <c r="A105" s="1189"/>
      <c r="B105" s="1650"/>
      <c r="C105" s="1275"/>
      <c r="D105" s="1275"/>
      <c r="E105" s="2145"/>
      <c r="F105" s="1358"/>
      <c r="G105" s="2175"/>
      <c r="H105" s="1264"/>
      <c r="I105" s="1265"/>
      <c r="J105" s="1264"/>
      <c r="K105" s="1299"/>
      <c r="L105" s="1432"/>
    </row>
    <row r="106" spans="1:16" s="1199" customFormat="1" ht="24" customHeight="1">
      <c r="A106" s="1243"/>
      <c r="B106" s="2257" t="str">
        <f>"รวมราคารายการที่ "&amp;A92</f>
        <v>รวมราคารายการที่ 3.3</v>
      </c>
      <c r="C106" s="2258"/>
      <c r="D106" s="2259"/>
      <c r="E106" s="1244"/>
      <c r="F106" s="1245"/>
      <c r="G106" s="1246"/>
      <c r="H106" s="1247">
        <f>SUM(H93:H98)</f>
        <v>0</v>
      </c>
      <c r="I106" s="1246"/>
      <c r="J106" s="1247">
        <f>SUM(J93:J98)</f>
        <v>0</v>
      </c>
      <c r="K106" s="1245">
        <f>SUM(K93:K98)</f>
        <v>0</v>
      </c>
      <c r="L106" s="1245"/>
    </row>
    <row r="107" spans="1:16" s="1199" customFormat="1" ht="24" customHeight="1">
      <c r="A107" s="1321">
        <v>3.4</v>
      </c>
      <c r="B107" s="1292" t="s">
        <v>1312</v>
      </c>
      <c r="C107" s="1235"/>
      <c r="D107" s="1235"/>
      <c r="E107" s="1397"/>
      <c r="F107" s="1398"/>
      <c r="G107" s="1399"/>
      <c r="H107" s="1298">
        <f t="shared" ref="H107" si="10">ROUND(E107*G107,)</f>
        <v>0</v>
      </c>
      <c r="I107" s="1401"/>
      <c r="J107" s="1298">
        <f t="shared" ref="J107" si="11">ROUND(E107*I107,)</f>
        <v>0</v>
      </c>
      <c r="K107" s="1402"/>
      <c r="L107" s="1402"/>
      <c r="M107" s="1214"/>
      <c r="N107" s="1214"/>
      <c r="O107" s="1214"/>
    </row>
    <row r="108" spans="1:16" s="1199" customFormat="1" ht="24" customHeight="1">
      <c r="A108" s="1331" t="s">
        <v>1135</v>
      </c>
      <c r="B108" s="2174" t="s">
        <v>1314</v>
      </c>
      <c r="C108" s="1275"/>
      <c r="D108" s="1275"/>
      <c r="E108" s="1276"/>
      <c r="F108" s="1358"/>
      <c r="G108" s="2175"/>
      <c r="H108" s="1264"/>
      <c r="I108" s="1265"/>
      <c r="J108" s="1264"/>
      <c r="K108" s="1273"/>
      <c r="L108" s="1269"/>
    </row>
    <row r="109" spans="1:16" s="1199" customFormat="1" ht="24" customHeight="1">
      <c r="A109" s="1331" t="s">
        <v>1137</v>
      </c>
      <c r="B109" s="2174" t="s">
        <v>1315</v>
      </c>
      <c r="C109" s="1275"/>
      <c r="D109" s="1275"/>
      <c r="E109" s="1276"/>
      <c r="F109" s="1358"/>
      <c r="G109" s="2176"/>
      <c r="H109" s="1264"/>
      <c r="I109" s="1265"/>
      <c r="J109" s="1264"/>
      <c r="K109" s="1273"/>
      <c r="L109" s="1269"/>
    </row>
    <row r="110" spans="1:16" s="1199" customFormat="1" ht="24" customHeight="1">
      <c r="A110" s="1331"/>
      <c r="B110" s="2174" t="s">
        <v>1316</v>
      </c>
      <c r="C110" s="1275"/>
      <c r="D110" s="1275"/>
      <c r="E110" s="1270"/>
      <c r="F110" s="1358" t="s">
        <v>226</v>
      </c>
      <c r="G110" s="2176">
        <v>14</v>
      </c>
      <c r="H110" s="1264">
        <f t="shared" ref="H110:H123" si="12">ROUND(E110*G110,)</f>
        <v>0</v>
      </c>
      <c r="I110" s="1265">
        <v>10</v>
      </c>
      <c r="J110" s="1264">
        <f t="shared" ref="J110:J123" si="13">ROUND(E110*I110,)</f>
        <v>0</v>
      </c>
      <c r="K110" s="1273">
        <f t="shared" ref="K110:K123" si="14">H110+J110</f>
        <v>0</v>
      </c>
      <c r="L110" s="2000" t="s">
        <v>2667</v>
      </c>
      <c r="N110" s="1199">
        <v>1375.8</v>
      </c>
      <c r="O110" s="1199">
        <f>ROUND(N110/100,)</f>
        <v>14</v>
      </c>
      <c r="P110" s="1199">
        <f>E110*1.1</f>
        <v>0</v>
      </c>
    </row>
    <row r="111" spans="1:16" s="1199" customFormat="1" ht="24" customHeight="1">
      <c r="A111" s="1331"/>
      <c r="B111" s="2174" t="s">
        <v>1317</v>
      </c>
      <c r="C111" s="1275"/>
      <c r="D111" s="1275"/>
      <c r="E111" s="1270">
        <v>230</v>
      </c>
      <c r="F111" s="1358" t="s">
        <v>226</v>
      </c>
      <c r="G111" s="2176">
        <v>23</v>
      </c>
      <c r="H111" s="1264">
        <f t="shared" si="12"/>
        <v>5290</v>
      </c>
      <c r="I111" s="1265">
        <v>12</v>
      </c>
      <c r="J111" s="1264">
        <f t="shared" si="13"/>
        <v>2760</v>
      </c>
      <c r="K111" s="1273">
        <f t="shared" si="14"/>
        <v>8050</v>
      </c>
      <c r="L111" s="2000" t="s">
        <v>2667</v>
      </c>
      <c r="N111" s="1199">
        <v>2264.1999999999998</v>
      </c>
      <c r="O111" s="1199">
        <f t="shared" ref="O111:O119" si="15">ROUND(N111/100,)</f>
        <v>23</v>
      </c>
      <c r="P111" s="1199">
        <f t="shared" ref="P111:P123" si="16">E111*1.1</f>
        <v>253.00000000000003</v>
      </c>
    </row>
    <row r="112" spans="1:16" s="1199" customFormat="1" ht="24" customHeight="1">
      <c r="A112" s="1331"/>
      <c r="B112" s="2174" t="s">
        <v>1318</v>
      </c>
      <c r="C112" s="1275"/>
      <c r="D112" s="1275"/>
      <c r="E112" s="1270"/>
      <c r="F112" s="1358" t="s">
        <v>226</v>
      </c>
      <c r="G112" s="2176">
        <v>39</v>
      </c>
      <c r="H112" s="1264">
        <f t="shared" si="12"/>
        <v>0</v>
      </c>
      <c r="I112" s="1265">
        <v>16</v>
      </c>
      <c r="J112" s="1264">
        <f t="shared" si="13"/>
        <v>0</v>
      </c>
      <c r="K112" s="1273">
        <f t="shared" si="14"/>
        <v>0</v>
      </c>
      <c r="L112" s="2000" t="s">
        <v>2667</v>
      </c>
      <c r="N112" s="1199">
        <v>3944.2</v>
      </c>
      <c r="O112" s="1199">
        <f t="shared" si="15"/>
        <v>39</v>
      </c>
      <c r="P112" s="1199">
        <f t="shared" si="16"/>
        <v>0</v>
      </c>
    </row>
    <row r="113" spans="1:17" s="1199" customFormat="1" ht="24" customHeight="1">
      <c r="A113" s="1331"/>
      <c r="B113" s="2174" t="s">
        <v>1319</v>
      </c>
      <c r="C113" s="1275"/>
      <c r="D113" s="1275"/>
      <c r="E113" s="1270"/>
      <c r="F113" s="1358" t="s">
        <v>226</v>
      </c>
      <c r="G113" s="2176">
        <v>61</v>
      </c>
      <c r="H113" s="1264">
        <f t="shared" si="12"/>
        <v>0</v>
      </c>
      <c r="I113" s="1265">
        <v>20</v>
      </c>
      <c r="J113" s="1264">
        <f t="shared" si="13"/>
        <v>0</v>
      </c>
      <c r="K113" s="1273">
        <f t="shared" si="14"/>
        <v>0</v>
      </c>
      <c r="L113" s="2000" t="s">
        <v>2667</v>
      </c>
      <c r="N113" s="1199">
        <v>6120</v>
      </c>
      <c r="O113" s="1199">
        <f t="shared" si="15"/>
        <v>61</v>
      </c>
      <c r="P113" s="1199">
        <f t="shared" si="16"/>
        <v>0</v>
      </c>
    </row>
    <row r="114" spans="1:17" s="1199" customFormat="1" ht="24" customHeight="1">
      <c r="A114" s="1331"/>
      <c r="B114" s="2174" t="s">
        <v>1320</v>
      </c>
      <c r="C114" s="1275"/>
      <c r="D114" s="1275"/>
      <c r="E114" s="1270">
        <v>920</v>
      </c>
      <c r="F114" s="1358" t="s">
        <v>226</v>
      </c>
      <c r="G114" s="2176">
        <v>96</v>
      </c>
      <c r="H114" s="1264">
        <f t="shared" si="12"/>
        <v>88320</v>
      </c>
      <c r="I114" s="1265">
        <v>25</v>
      </c>
      <c r="J114" s="1264">
        <f t="shared" si="13"/>
        <v>23000</v>
      </c>
      <c r="K114" s="1273">
        <f t="shared" si="14"/>
        <v>111320</v>
      </c>
      <c r="L114" s="2000" t="s">
        <v>2667</v>
      </c>
      <c r="N114" s="1199">
        <v>9600</v>
      </c>
      <c r="O114" s="1199">
        <f t="shared" si="15"/>
        <v>96</v>
      </c>
      <c r="P114" s="1199">
        <f t="shared" si="16"/>
        <v>1012.0000000000001</v>
      </c>
    </row>
    <row r="115" spans="1:17" s="1199" customFormat="1" ht="24" customHeight="1">
      <c r="A115" s="1331"/>
      <c r="B115" s="2174" t="s">
        <v>1321</v>
      </c>
      <c r="C115" s="1275"/>
      <c r="D115" s="1275"/>
      <c r="E115" s="1270"/>
      <c r="F115" s="1358" t="s">
        <v>226</v>
      </c>
      <c r="G115" s="2176">
        <v>127</v>
      </c>
      <c r="H115" s="1264">
        <f t="shared" si="12"/>
        <v>0</v>
      </c>
      <c r="I115" s="1265">
        <v>30</v>
      </c>
      <c r="J115" s="1264">
        <f t="shared" si="13"/>
        <v>0</v>
      </c>
      <c r="K115" s="1273">
        <f t="shared" si="14"/>
        <v>0</v>
      </c>
      <c r="L115" s="2000" t="s">
        <v>2667</v>
      </c>
      <c r="N115" s="1199">
        <v>12744.2</v>
      </c>
      <c r="O115" s="1199">
        <f t="shared" si="15"/>
        <v>127</v>
      </c>
      <c r="P115" s="1199">
        <f t="shared" si="16"/>
        <v>0</v>
      </c>
    </row>
    <row r="116" spans="1:17" s="1199" customFormat="1" ht="24" customHeight="1">
      <c r="A116" s="1331"/>
      <c r="B116" s="2174" t="s">
        <v>1322</v>
      </c>
      <c r="C116" s="1275"/>
      <c r="D116" s="1275"/>
      <c r="E116" s="1270"/>
      <c r="F116" s="1358" t="s">
        <v>226</v>
      </c>
      <c r="G116" s="2176">
        <v>183</v>
      </c>
      <c r="H116" s="1264">
        <f t="shared" si="12"/>
        <v>0</v>
      </c>
      <c r="I116" s="1265">
        <v>40</v>
      </c>
      <c r="J116" s="1264">
        <f t="shared" si="13"/>
        <v>0</v>
      </c>
      <c r="K116" s="1273">
        <f t="shared" si="14"/>
        <v>0</v>
      </c>
      <c r="L116" s="2000" t="s">
        <v>2667</v>
      </c>
      <c r="N116" s="1199">
        <v>18335.8</v>
      </c>
      <c r="O116" s="1199">
        <f t="shared" si="15"/>
        <v>183</v>
      </c>
      <c r="P116" s="1199">
        <f t="shared" si="16"/>
        <v>0</v>
      </c>
    </row>
    <row r="117" spans="1:17" s="1199" customFormat="1" ht="24" customHeight="1">
      <c r="A117" s="1331"/>
      <c r="B117" s="2174" t="s">
        <v>1323</v>
      </c>
      <c r="C117" s="1275"/>
      <c r="D117" s="1275"/>
      <c r="E117" s="1270"/>
      <c r="F117" s="1358" t="s">
        <v>226</v>
      </c>
      <c r="G117" s="2176">
        <v>262</v>
      </c>
      <c r="H117" s="1264">
        <f t="shared" si="12"/>
        <v>0</v>
      </c>
      <c r="I117" s="1265">
        <v>45</v>
      </c>
      <c r="J117" s="1264">
        <f t="shared" si="13"/>
        <v>0</v>
      </c>
      <c r="K117" s="1273">
        <f t="shared" si="14"/>
        <v>0</v>
      </c>
      <c r="L117" s="2000" t="s">
        <v>2667</v>
      </c>
      <c r="N117" s="1199">
        <v>26215.8</v>
      </c>
      <c r="O117" s="1199">
        <f t="shared" si="15"/>
        <v>262</v>
      </c>
      <c r="P117" s="1199">
        <f t="shared" si="16"/>
        <v>0</v>
      </c>
    </row>
    <row r="118" spans="1:17" s="1199" customFormat="1" ht="24" customHeight="1">
      <c r="A118" s="1331"/>
      <c r="B118" s="2174" t="s">
        <v>1324</v>
      </c>
      <c r="C118" s="1275"/>
      <c r="D118" s="1275"/>
      <c r="E118" s="1270"/>
      <c r="F118" s="1358" t="s">
        <v>226</v>
      </c>
      <c r="G118" s="2176">
        <v>361</v>
      </c>
      <c r="H118" s="1264">
        <f t="shared" si="12"/>
        <v>0</v>
      </c>
      <c r="I118" s="1265">
        <v>55</v>
      </c>
      <c r="J118" s="1264">
        <f t="shared" si="13"/>
        <v>0</v>
      </c>
      <c r="K118" s="1273">
        <f t="shared" si="14"/>
        <v>0</v>
      </c>
      <c r="L118" s="2000" t="s">
        <v>2667</v>
      </c>
      <c r="N118" s="1199">
        <v>36120</v>
      </c>
      <c r="O118" s="1199">
        <f t="shared" si="15"/>
        <v>361</v>
      </c>
      <c r="P118" s="1199">
        <f t="shared" si="16"/>
        <v>0</v>
      </c>
    </row>
    <row r="119" spans="1:17" s="1199" customFormat="1" ht="24" customHeight="1">
      <c r="A119" s="1331"/>
      <c r="B119" s="2174" t="s">
        <v>1325</v>
      </c>
      <c r="C119" s="1275"/>
      <c r="D119" s="1275"/>
      <c r="E119" s="1270"/>
      <c r="F119" s="1358" t="s">
        <v>226</v>
      </c>
      <c r="G119" s="2176">
        <v>458</v>
      </c>
      <c r="H119" s="1264">
        <f t="shared" si="12"/>
        <v>0</v>
      </c>
      <c r="I119" s="1265">
        <v>60</v>
      </c>
      <c r="J119" s="1264">
        <f t="shared" si="13"/>
        <v>0</v>
      </c>
      <c r="K119" s="1273">
        <f t="shared" si="14"/>
        <v>0</v>
      </c>
      <c r="L119" s="2000" t="s">
        <v>2667</v>
      </c>
      <c r="N119" s="1199">
        <v>45760</v>
      </c>
      <c r="O119" s="1199">
        <f t="shared" si="15"/>
        <v>458</v>
      </c>
      <c r="P119" s="1199">
        <f t="shared" si="16"/>
        <v>0</v>
      </c>
    </row>
    <row r="120" spans="1:17" s="1199" customFormat="1" ht="24" customHeight="1">
      <c r="A120" s="1331"/>
      <c r="B120" s="2174" t="s">
        <v>1326</v>
      </c>
      <c r="C120" s="1275"/>
      <c r="D120" s="1275"/>
      <c r="E120" s="1270"/>
      <c r="F120" s="1358" t="s">
        <v>226</v>
      </c>
      <c r="G120" s="2176">
        <v>525</v>
      </c>
      <c r="H120" s="1264">
        <f t="shared" si="12"/>
        <v>0</v>
      </c>
      <c r="I120" s="1265">
        <v>70</v>
      </c>
      <c r="J120" s="1264">
        <f t="shared" si="13"/>
        <v>0</v>
      </c>
      <c r="K120" s="1273">
        <f t="shared" si="14"/>
        <v>0</v>
      </c>
      <c r="L120" s="1269"/>
      <c r="P120" s="1199">
        <f t="shared" si="16"/>
        <v>0</v>
      </c>
    </row>
    <row r="121" spans="1:17" s="1199" customFormat="1" ht="24" customHeight="1">
      <c r="A121" s="1331"/>
      <c r="B121" s="2174" t="s">
        <v>1327</v>
      </c>
      <c r="C121" s="1275"/>
      <c r="D121" s="1275"/>
      <c r="E121" s="1270"/>
      <c r="F121" s="1358" t="s">
        <v>226</v>
      </c>
      <c r="G121" s="2176">
        <v>659</v>
      </c>
      <c r="H121" s="1264">
        <f t="shared" si="12"/>
        <v>0</v>
      </c>
      <c r="I121" s="1265">
        <v>85</v>
      </c>
      <c r="J121" s="1264">
        <f t="shared" si="13"/>
        <v>0</v>
      </c>
      <c r="K121" s="1273">
        <f t="shared" si="14"/>
        <v>0</v>
      </c>
      <c r="L121" s="1269"/>
      <c r="P121" s="1199">
        <f t="shared" si="16"/>
        <v>0</v>
      </c>
    </row>
    <row r="122" spans="1:17" s="1199" customFormat="1" ht="24" customHeight="1">
      <c r="A122" s="1331"/>
      <c r="B122" s="2174" t="s">
        <v>1328</v>
      </c>
      <c r="C122" s="1275"/>
      <c r="D122" s="1275"/>
      <c r="E122" s="1270"/>
      <c r="F122" s="1358" t="s">
        <v>226</v>
      </c>
      <c r="G122" s="2176">
        <v>865</v>
      </c>
      <c r="H122" s="1264">
        <f t="shared" si="12"/>
        <v>0</v>
      </c>
      <c r="I122" s="1265">
        <v>100</v>
      </c>
      <c r="J122" s="1264">
        <f t="shared" si="13"/>
        <v>0</v>
      </c>
      <c r="K122" s="1273">
        <f t="shared" si="14"/>
        <v>0</v>
      </c>
      <c r="L122" s="1269"/>
      <c r="P122" s="1199">
        <f t="shared" si="16"/>
        <v>0</v>
      </c>
    </row>
    <row r="123" spans="1:17" s="1199" customFormat="1" ht="24" customHeight="1">
      <c r="A123" s="1331"/>
      <c r="B123" s="2174" t="s">
        <v>1329</v>
      </c>
      <c r="C123" s="1275"/>
      <c r="D123" s="1275"/>
      <c r="E123" s="1270"/>
      <c r="F123" s="1358" t="s">
        <v>226</v>
      </c>
      <c r="G123" s="2176">
        <v>1084</v>
      </c>
      <c r="H123" s="1264">
        <f t="shared" si="12"/>
        <v>0</v>
      </c>
      <c r="I123" s="1265">
        <v>110</v>
      </c>
      <c r="J123" s="1264">
        <f t="shared" si="13"/>
        <v>0</v>
      </c>
      <c r="K123" s="1273">
        <f t="shared" si="14"/>
        <v>0</v>
      </c>
      <c r="L123" s="1269"/>
      <c r="P123" s="1199">
        <f t="shared" si="16"/>
        <v>0</v>
      </c>
    </row>
    <row r="124" spans="1:17" s="1199" customFormat="1" ht="24" customHeight="1">
      <c r="A124" s="1331" t="s">
        <v>1158</v>
      </c>
      <c r="B124" s="2174" t="s">
        <v>2897</v>
      </c>
      <c r="C124" s="1275"/>
      <c r="D124" s="1275"/>
      <c r="E124" s="1276"/>
      <c r="F124" s="1358"/>
      <c r="G124" s="2175"/>
      <c r="H124" s="1264"/>
      <c r="I124" s="1265"/>
      <c r="J124" s="1264"/>
      <c r="K124" s="1273"/>
      <c r="L124" s="1269"/>
    </row>
    <row r="125" spans="1:17" s="1199" customFormat="1" ht="24" customHeight="1">
      <c r="A125" s="1331" t="s">
        <v>2898</v>
      </c>
      <c r="B125" s="1190" t="s">
        <v>1597</v>
      </c>
      <c r="C125" s="1202"/>
      <c r="D125" s="1202"/>
      <c r="E125" s="1387"/>
      <c r="F125" s="1384"/>
      <c r="G125" s="2176"/>
      <c r="H125" s="1264">
        <f t="shared" ref="H125:H134" si="17">ROUND(E125*G125,)</f>
        <v>0</v>
      </c>
      <c r="I125" s="2177"/>
      <c r="J125" s="1264">
        <f t="shared" ref="J125:J134" si="18">ROUND(E125*I125,)</f>
        <v>0</v>
      </c>
      <c r="K125" s="1385"/>
      <c r="L125" s="1385"/>
      <c r="M125" s="1214"/>
      <c r="N125" s="1214"/>
      <c r="O125" s="1214"/>
      <c r="P125" s="1214"/>
      <c r="Q125" s="1214"/>
    </row>
    <row r="126" spans="1:17" s="1199" customFormat="1" ht="24" customHeight="1">
      <c r="A126" s="1331"/>
      <c r="B126" s="1190" t="s">
        <v>1443</v>
      </c>
      <c r="C126" s="1202"/>
      <c r="D126" s="1202"/>
      <c r="E126" s="1439"/>
      <c r="F126" s="1358" t="s">
        <v>226</v>
      </c>
      <c r="G126" s="2176">
        <v>9</v>
      </c>
      <c r="H126" s="1264">
        <f t="shared" si="17"/>
        <v>0</v>
      </c>
      <c r="I126" s="2177">
        <v>7</v>
      </c>
      <c r="J126" s="1264">
        <f t="shared" si="18"/>
        <v>0</v>
      </c>
      <c r="K126" s="1273">
        <f>H126+J126</f>
        <v>0</v>
      </c>
      <c r="L126" s="2001" t="s">
        <v>2667</v>
      </c>
      <c r="M126" s="1214"/>
      <c r="N126" s="1199">
        <v>912.1</v>
      </c>
      <c r="O126" s="1199">
        <f>ROUND(N126/100,)</f>
        <v>9</v>
      </c>
      <c r="P126" s="1214"/>
      <c r="Q126" s="1214"/>
    </row>
    <row r="127" spans="1:17" s="1199" customFormat="1" ht="24" customHeight="1">
      <c r="A127" s="1331"/>
      <c r="B127" s="2174" t="s">
        <v>1316</v>
      </c>
      <c r="C127" s="1202"/>
      <c r="D127" s="1202"/>
      <c r="E127" s="1439">
        <v>390</v>
      </c>
      <c r="F127" s="1358" t="s">
        <v>226</v>
      </c>
      <c r="G127" s="2176">
        <v>14</v>
      </c>
      <c r="H127" s="1264">
        <f t="shared" si="17"/>
        <v>5460</v>
      </c>
      <c r="I127" s="2177">
        <v>10</v>
      </c>
      <c r="J127" s="1264">
        <f t="shared" si="18"/>
        <v>3900</v>
      </c>
      <c r="K127" s="1273">
        <f>H127+J127</f>
        <v>9360</v>
      </c>
      <c r="L127" s="2001" t="s">
        <v>2667</v>
      </c>
      <c r="M127" s="1214"/>
      <c r="N127" s="1199">
        <v>1375.8</v>
      </c>
      <c r="O127" s="1199">
        <f>ROUND(N127/100,)</f>
        <v>14</v>
      </c>
      <c r="P127" s="1214"/>
      <c r="Q127" s="1214"/>
    </row>
    <row r="128" spans="1:17" s="1199" customFormat="1" ht="24" customHeight="1">
      <c r="A128" s="1331"/>
      <c r="B128" s="2174" t="s">
        <v>1317</v>
      </c>
      <c r="C128" s="1275"/>
      <c r="D128" s="1275"/>
      <c r="E128" s="1270"/>
      <c r="F128" s="1358" t="s">
        <v>226</v>
      </c>
      <c r="G128" s="2176">
        <v>23</v>
      </c>
      <c r="H128" s="1264">
        <f t="shared" si="17"/>
        <v>0</v>
      </c>
      <c r="I128" s="1265">
        <v>12</v>
      </c>
      <c r="J128" s="1264">
        <f t="shared" si="18"/>
        <v>0</v>
      </c>
      <c r="K128" s="1273">
        <f t="shared" ref="K128:K129" si="19">H128+J128</f>
        <v>0</v>
      </c>
      <c r="L128" s="2001" t="s">
        <v>2667</v>
      </c>
      <c r="N128" s="1199">
        <v>2264.1999999999998</v>
      </c>
      <c r="O128" s="1199">
        <f t="shared" ref="O128:O129" si="20">ROUND(N128/100,)</f>
        <v>23</v>
      </c>
    </row>
    <row r="129" spans="1:17" s="1199" customFormat="1" ht="24" customHeight="1">
      <c r="A129" s="1331"/>
      <c r="B129" s="2174" t="s">
        <v>1318</v>
      </c>
      <c r="C129" s="1275"/>
      <c r="D129" s="1275"/>
      <c r="E129" s="1270"/>
      <c r="F129" s="1358" t="s">
        <v>226</v>
      </c>
      <c r="G129" s="2176">
        <v>39</v>
      </c>
      <c r="H129" s="1264">
        <f t="shared" si="17"/>
        <v>0</v>
      </c>
      <c r="I129" s="1265">
        <v>16</v>
      </c>
      <c r="J129" s="1264">
        <f t="shared" si="18"/>
        <v>0</v>
      </c>
      <c r="K129" s="1273">
        <f t="shared" si="19"/>
        <v>0</v>
      </c>
      <c r="L129" s="2001" t="s">
        <v>2667</v>
      </c>
      <c r="N129" s="1199">
        <v>3944.2</v>
      </c>
      <c r="O129" s="1199">
        <f t="shared" si="20"/>
        <v>39</v>
      </c>
    </row>
    <row r="130" spans="1:17" s="1199" customFormat="1" ht="24" customHeight="1">
      <c r="A130" s="1331"/>
      <c r="B130" s="2174"/>
      <c r="C130" s="1275"/>
      <c r="D130" s="1275"/>
      <c r="E130" s="1270"/>
      <c r="F130" s="1358"/>
      <c r="G130" s="2176"/>
      <c r="H130" s="1264"/>
      <c r="I130" s="1265"/>
      <c r="J130" s="1264"/>
      <c r="K130" s="1273"/>
      <c r="L130" s="2172"/>
    </row>
    <row r="131" spans="1:17" s="1199" customFormat="1" ht="24" customHeight="1">
      <c r="A131" s="1331" t="s">
        <v>2899</v>
      </c>
      <c r="B131" s="2174" t="s">
        <v>1331</v>
      </c>
      <c r="C131" s="1202"/>
      <c r="D131" s="1202"/>
      <c r="E131" s="1438"/>
      <c r="F131" s="1384"/>
      <c r="G131" s="2176"/>
      <c r="H131" s="1264">
        <f t="shared" si="17"/>
        <v>0</v>
      </c>
      <c r="I131" s="2177"/>
      <c r="J131" s="1264">
        <f t="shared" si="18"/>
        <v>0</v>
      </c>
      <c r="K131" s="1385"/>
      <c r="L131" s="1385"/>
      <c r="M131" s="1214"/>
      <c r="N131" s="1214"/>
      <c r="O131" s="1214"/>
      <c r="P131" s="1214"/>
      <c r="Q131" s="1214"/>
    </row>
    <row r="132" spans="1:17" s="1199" customFormat="1" ht="24" customHeight="1">
      <c r="A132" s="1331"/>
      <c r="B132" s="2174" t="s">
        <v>1443</v>
      </c>
      <c r="C132" s="1202"/>
      <c r="D132" s="1202"/>
      <c r="E132" s="1270"/>
      <c r="F132" s="1358" t="s">
        <v>226</v>
      </c>
      <c r="G132" s="2176">
        <v>41</v>
      </c>
      <c r="H132" s="1264">
        <f t="shared" si="17"/>
        <v>0</v>
      </c>
      <c r="I132" s="2177">
        <v>12</v>
      </c>
      <c r="J132" s="1264">
        <f t="shared" si="18"/>
        <v>0</v>
      </c>
      <c r="K132" s="1273">
        <f>H132+J132</f>
        <v>0</v>
      </c>
      <c r="L132" s="1385"/>
      <c r="M132" s="1214"/>
      <c r="N132" s="1214"/>
      <c r="O132" s="1214"/>
      <c r="P132" s="1214"/>
      <c r="Q132" s="1214"/>
    </row>
    <row r="133" spans="1:17" s="1199" customFormat="1" ht="24" customHeight="1">
      <c r="A133" s="1331"/>
      <c r="B133" s="2174" t="s">
        <v>1316</v>
      </c>
      <c r="C133" s="1202"/>
      <c r="D133" s="1202"/>
      <c r="E133" s="1506"/>
      <c r="F133" s="1358" t="s">
        <v>226</v>
      </c>
      <c r="G133" s="2176">
        <v>53</v>
      </c>
      <c r="H133" s="1264">
        <f t="shared" si="17"/>
        <v>0</v>
      </c>
      <c r="I133" s="2177">
        <v>14</v>
      </c>
      <c r="J133" s="1264">
        <f t="shared" si="18"/>
        <v>0</v>
      </c>
      <c r="K133" s="1273">
        <f>H133+J133</f>
        <v>0</v>
      </c>
      <c r="L133" s="1385"/>
      <c r="M133" s="1214"/>
      <c r="N133" s="1214"/>
      <c r="O133" s="1214"/>
      <c r="P133" s="1214"/>
      <c r="Q133" s="1214"/>
    </row>
    <row r="134" spans="1:17" s="1199" customFormat="1" ht="24" customHeight="1">
      <c r="A134" s="1406"/>
      <c r="B134" s="2174" t="s">
        <v>1444</v>
      </c>
      <c r="C134" s="1202"/>
      <c r="D134" s="1202"/>
      <c r="E134" s="1490">
        <v>1</v>
      </c>
      <c r="F134" s="1358" t="s">
        <v>1104</v>
      </c>
      <c r="G134" s="2176">
        <f>ROUND(SUM(H108:H133)*0.05,)</f>
        <v>4954</v>
      </c>
      <c r="H134" s="1264">
        <f t="shared" si="17"/>
        <v>4954</v>
      </c>
      <c r="I134" s="2177">
        <f>ROUND(G134*0.3,)</f>
        <v>1486</v>
      </c>
      <c r="J134" s="1264">
        <f t="shared" si="18"/>
        <v>1486</v>
      </c>
      <c r="K134" s="1273">
        <f>H134+J134</f>
        <v>6440</v>
      </c>
      <c r="L134" s="1385"/>
      <c r="M134" s="1214"/>
      <c r="N134" s="1214"/>
      <c r="O134" s="1214"/>
      <c r="P134" s="1214"/>
      <c r="Q134" s="1214"/>
    </row>
    <row r="135" spans="1:17" s="1199" customFormat="1" ht="24" customHeight="1">
      <c r="A135" s="1331"/>
      <c r="B135" s="2174" t="s">
        <v>1117</v>
      </c>
      <c r="C135" s="1202"/>
      <c r="D135" s="1202"/>
      <c r="E135" s="1387"/>
      <c r="F135" s="1384"/>
      <c r="G135" s="2176"/>
      <c r="H135" s="1388"/>
      <c r="I135" s="2177"/>
      <c r="J135" s="1385"/>
      <c r="K135" s="1385"/>
      <c r="L135" s="1385"/>
      <c r="M135" s="1214"/>
      <c r="N135" s="1214"/>
      <c r="O135" s="1214"/>
    </row>
    <row r="136" spans="1:17" s="1199" customFormat="1" ht="24" customHeight="1">
      <c r="A136" s="1331"/>
      <c r="B136" s="2174" t="s">
        <v>1118</v>
      </c>
      <c r="C136" s="1202"/>
      <c r="D136" s="1202"/>
      <c r="E136" s="1387"/>
      <c r="F136" s="1384"/>
      <c r="G136" s="2176"/>
      <c r="H136" s="1388"/>
      <c r="I136" s="2177"/>
      <c r="J136" s="1385"/>
      <c r="K136" s="1385"/>
      <c r="L136" s="1385"/>
      <c r="M136" s="1214"/>
      <c r="N136" s="1214"/>
      <c r="O136" s="1214"/>
    </row>
    <row r="137" spans="1:17" s="1199" customFormat="1" ht="24" customHeight="1">
      <c r="A137" s="1331"/>
      <c r="B137" s="2174" t="s">
        <v>1369</v>
      </c>
      <c r="C137" s="1202"/>
      <c r="D137" s="1202"/>
      <c r="E137" s="1387"/>
      <c r="F137" s="1384"/>
      <c r="G137" s="2176"/>
      <c r="H137" s="1388"/>
      <c r="I137" s="2177"/>
      <c r="J137" s="1385"/>
      <c r="K137" s="1385"/>
      <c r="L137" s="1385"/>
      <c r="M137" s="1214"/>
      <c r="N137" s="1214"/>
      <c r="O137" s="1214"/>
    </row>
    <row r="138" spans="1:17" s="1199" customFormat="1" ht="24" customHeight="1">
      <c r="A138" s="1331"/>
      <c r="B138" s="2174"/>
      <c r="C138" s="1202"/>
      <c r="D138" s="1202"/>
      <c r="E138" s="1387"/>
      <c r="F138" s="1384"/>
      <c r="G138" s="2176"/>
      <c r="H138" s="1388"/>
      <c r="I138" s="2177"/>
      <c r="J138" s="1385"/>
      <c r="K138" s="1385"/>
      <c r="L138" s="1385"/>
      <c r="M138" s="1214"/>
      <c r="N138" s="1214"/>
      <c r="O138" s="1214"/>
    </row>
    <row r="139" spans="1:17" s="1199" customFormat="1" ht="24" customHeight="1">
      <c r="A139" s="1243"/>
      <c r="B139" s="2257" t="str">
        <f>"รวมราคารายการที่ "&amp;A107</f>
        <v>รวมราคารายการที่ 3.4</v>
      </c>
      <c r="C139" s="2258"/>
      <c r="D139" s="2259"/>
      <c r="E139" s="1244"/>
      <c r="F139" s="1245"/>
      <c r="G139" s="1246"/>
      <c r="H139" s="1247">
        <f>SUM(H107:H136)</f>
        <v>104024</v>
      </c>
      <c r="I139" s="1246"/>
      <c r="J139" s="1247">
        <f>SUM(J107:J136)</f>
        <v>31146</v>
      </c>
      <c r="K139" s="1247">
        <f>SUM(K107:K136)</f>
        <v>135170</v>
      </c>
      <c r="L139" s="1245"/>
      <c r="M139" s="1214"/>
      <c r="N139" s="1214"/>
      <c r="O139" s="1214"/>
    </row>
    <row r="140" spans="1:17" s="1199" customFormat="1" ht="24" customHeight="1">
      <c r="A140" s="1435" t="s">
        <v>1461</v>
      </c>
      <c r="B140" s="1436" t="s">
        <v>1333</v>
      </c>
      <c r="C140" s="1202"/>
      <c r="D140" s="1202"/>
      <c r="E140" s="1387"/>
      <c r="F140" s="1384"/>
      <c r="G140" s="2176"/>
      <c r="H140" s="1388"/>
      <c r="I140" s="2177"/>
      <c r="J140" s="1385"/>
      <c r="K140" s="1385"/>
      <c r="L140" s="1385"/>
      <c r="M140" s="1214"/>
      <c r="N140" s="1214"/>
      <c r="O140" s="1214"/>
    </row>
    <row r="141" spans="1:17" s="1199" customFormat="1" ht="24" customHeight="1">
      <c r="A141" s="1331" t="s">
        <v>1181</v>
      </c>
      <c r="B141" s="2174" t="s">
        <v>1446</v>
      </c>
      <c r="C141" s="1202"/>
      <c r="D141" s="1202"/>
      <c r="E141" s="1404"/>
      <c r="F141" s="1384"/>
      <c r="G141" s="2176"/>
      <c r="H141" s="1264">
        <f t="shared" ref="H141:H156" si="21">ROUND(E141*G141,)</f>
        <v>0</v>
      </c>
      <c r="I141" s="2177"/>
      <c r="J141" s="1264">
        <f t="shared" ref="J141:J156" si="22">ROUND(E141*I141,)</f>
        <v>0</v>
      </c>
      <c r="K141" s="1385"/>
      <c r="L141" s="1385"/>
      <c r="M141" s="1214"/>
      <c r="N141" s="1214"/>
      <c r="O141" s="1214"/>
    </row>
    <row r="142" spans="1:17" s="1199" customFormat="1" ht="24" customHeight="1">
      <c r="A142" s="1331"/>
      <c r="B142" s="2174" t="s">
        <v>1350</v>
      </c>
      <c r="C142" s="1202"/>
      <c r="D142" s="1202"/>
      <c r="E142" s="1404">
        <v>130</v>
      </c>
      <c r="F142" s="1358" t="s">
        <v>226</v>
      </c>
      <c r="G142" s="2176">
        <v>27</v>
      </c>
      <c r="H142" s="1264">
        <f t="shared" si="21"/>
        <v>3510</v>
      </c>
      <c r="I142" s="2177">
        <v>22</v>
      </c>
      <c r="J142" s="1264">
        <f t="shared" si="22"/>
        <v>2860</v>
      </c>
      <c r="K142" s="1802">
        <f t="shared" ref="K142" si="23">H142+J142</f>
        <v>6370</v>
      </c>
      <c r="L142" s="2001" t="s">
        <v>2667</v>
      </c>
      <c r="M142" s="1214"/>
      <c r="N142" s="1199">
        <v>79.8</v>
      </c>
      <c r="O142" s="1199">
        <f>ROUND(N142/3,)</f>
        <v>27</v>
      </c>
    </row>
    <row r="143" spans="1:17" s="1199" customFormat="1" ht="24" customHeight="1">
      <c r="A143" s="1331"/>
      <c r="B143" s="2174" t="s">
        <v>1108</v>
      </c>
      <c r="C143" s="1202"/>
      <c r="D143" s="1202"/>
      <c r="E143" s="1404">
        <v>1</v>
      </c>
      <c r="F143" s="1384" t="s">
        <v>1104</v>
      </c>
      <c r="G143" s="2176">
        <f>ROUND(SUM(H142:H142)*15%,)</f>
        <v>527</v>
      </c>
      <c r="H143" s="1264">
        <f t="shared" si="21"/>
        <v>527</v>
      </c>
      <c r="I143" s="2177">
        <f>ROUND(G143*0.3,)</f>
        <v>158</v>
      </c>
      <c r="J143" s="1264">
        <f t="shared" si="22"/>
        <v>158</v>
      </c>
      <c r="K143" s="1273">
        <f>H143+J143</f>
        <v>685</v>
      </c>
      <c r="L143" s="1385"/>
      <c r="M143" s="1214"/>
      <c r="N143" s="1214"/>
      <c r="O143" s="1214"/>
    </row>
    <row r="144" spans="1:17" s="1199" customFormat="1" ht="24" customHeight="1">
      <c r="A144" s="1331" t="s">
        <v>1197</v>
      </c>
      <c r="B144" s="2174" t="s">
        <v>1110</v>
      </c>
      <c r="C144" s="1202"/>
      <c r="D144" s="1202"/>
      <c r="E144" s="1404"/>
      <c r="F144" s="1384"/>
      <c r="G144" s="2176"/>
      <c r="H144" s="1264">
        <f t="shared" si="21"/>
        <v>0</v>
      </c>
      <c r="I144" s="2177"/>
      <c r="J144" s="1264">
        <f t="shared" si="22"/>
        <v>0</v>
      </c>
      <c r="K144" s="1385"/>
      <c r="L144" s="1385"/>
      <c r="M144" s="1214"/>
      <c r="N144" s="1214"/>
      <c r="O144" s="1214"/>
    </row>
    <row r="145" spans="1:17" s="1199" customFormat="1" ht="24" customHeight="1">
      <c r="A145" s="1331"/>
      <c r="B145" s="2174" t="s">
        <v>1350</v>
      </c>
      <c r="C145" s="1202"/>
      <c r="D145" s="1202"/>
      <c r="E145" s="1404"/>
      <c r="F145" s="1358" t="s">
        <v>226</v>
      </c>
      <c r="G145" s="2176">
        <v>56</v>
      </c>
      <c r="H145" s="1264">
        <f t="shared" si="21"/>
        <v>0</v>
      </c>
      <c r="I145" s="2177">
        <v>26</v>
      </c>
      <c r="J145" s="1264">
        <f t="shared" si="22"/>
        <v>0</v>
      </c>
      <c r="K145" s="1273">
        <f>H145+J145</f>
        <v>0</v>
      </c>
      <c r="L145" s="2001" t="s">
        <v>2667</v>
      </c>
      <c r="M145" s="1214"/>
      <c r="N145" s="1199">
        <v>169.2</v>
      </c>
      <c r="O145" s="1199">
        <f t="shared" ref="O145:O150" si="24">ROUND(N145/3,)</f>
        <v>56</v>
      </c>
    </row>
    <row r="146" spans="1:17" s="1199" customFormat="1" ht="24" customHeight="1">
      <c r="A146" s="1331"/>
      <c r="B146" s="2174" t="s">
        <v>1448</v>
      </c>
      <c r="C146" s="1202"/>
      <c r="D146" s="1202"/>
      <c r="E146" s="1404"/>
      <c r="F146" s="1358" t="s">
        <v>226</v>
      </c>
      <c r="G146" s="2176">
        <v>75</v>
      </c>
      <c r="H146" s="1264">
        <f t="shared" si="21"/>
        <v>0</v>
      </c>
      <c r="I146" s="2177">
        <v>29</v>
      </c>
      <c r="J146" s="1264">
        <f t="shared" si="22"/>
        <v>0</v>
      </c>
      <c r="K146" s="1273">
        <f>H146+J146</f>
        <v>0</v>
      </c>
      <c r="L146" s="2001" t="s">
        <v>2667</v>
      </c>
      <c r="N146" s="1199">
        <v>225</v>
      </c>
      <c r="O146" s="1199">
        <f t="shared" si="24"/>
        <v>75</v>
      </c>
      <c r="P146" s="1214"/>
    </row>
    <row r="147" spans="1:17" s="1199" customFormat="1" ht="24" customHeight="1">
      <c r="A147" s="1331"/>
      <c r="B147" s="2174" t="s">
        <v>1337</v>
      </c>
      <c r="C147" s="1202"/>
      <c r="D147" s="1202"/>
      <c r="E147" s="1404">
        <v>0</v>
      </c>
      <c r="F147" s="1358" t="s">
        <v>226</v>
      </c>
      <c r="G147" s="2176">
        <v>101</v>
      </c>
      <c r="H147" s="1264">
        <f t="shared" si="21"/>
        <v>0</v>
      </c>
      <c r="I147" s="2177">
        <v>32</v>
      </c>
      <c r="J147" s="1264">
        <f t="shared" si="22"/>
        <v>0</v>
      </c>
      <c r="K147" s="1273">
        <f>H147+J147</f>
        <v>0</v>
      </c>
      <c r="L147" s="2001" t="s">
        <v>2667</v>
      </c>
      <c r="N147" s="1199">
        <v>303.60000000000002</v>
      </c>
      <c r="O147" s="1199">
        <f t="shared" si="24"/>
        <v>101</v>
      </c>
    </row>
    <row r="148" spans="1:17" s="1199" customFormat="1" ht="24" customHeight="1">
      <c r="A148" s="1331"/>
      <c r="B148" s="2174" t="s">
        <v>1338</v>
      </c>
      <c r="C148" s="1202"/>
      <c r="D148" s="1202"/>
      <c r="E148" s="1270">
        <v>230</v>
      </c>
      <c r="F148" s="1358" t="s">
        <v>226</v>
      </c>
      <c r="G148" s="2176">
        <v>131</v>
      </c>
      <c r="H148" s="1264">
        <f t="shared" si="21"/>
        <v>30130</v>
      </c>
      <c r="I148" s="2177">
        <v>32</v>
      </c>
      <c r="J148" s="1264">
        <f t="shared" si="22"/>
        <v>7360</v>
      </c>
      <c r="K148" s="1273">
        <f t="shared" ref="K148:K153" si="25">H148+J148</f>
        <v>37490</v>
      </c>
      <c r="L148" s="2000" t="s">
        <v>2667</v>
      </c>
      <c r="N148" s="1199">
        <v>391.8</v>
      </c>
      <c r="O148" s="1199">
        <f t="shared" si="24"/>
        <v>131</v>
      </c>
    </row>
    <row r="149" spans="1:17" s="1199" customFormat="1" ht="24" customHeight="1">
      <c r="A149" s="1331"/>
      <c r="B149" s="2174" t="s">
        <v>1339</v>
      </c>
      <c r="C149" s="1202"/>
      <c r="D149" s="1202"/>
      <c r="E149" s="1270"/>
      <c r="F149" s="1358" t="s">
        <v>226</v>
      </c>
      <c r="G149" s="2176">
        <v>160</v>
      </c>
      <c r="H149" s="1264">
        <f t="shared" si="21"/>
        <v>0</v>
      </c>
      <c r="I149" s="2177">
        <v>38</v>
      </c>
      <c r="J149" s="1264">
        <f t="shared" si="22"/>
        <v>0</v>
      </c>
      <c r="K149" s="1273">
        <f t="shared" si="25"/>
        <v>0</v>
      </c>
      <c r="L149" s="2000" t="s">
        <v>2667</v>
      </c>
      <c r="N149" s="1199">
        <v>481.2</v>
      </c>
      <c r="O149" s="1199">
        <f t="shared" si="24"/>
        <v>160</v>
      </c>
    </row>
    <row r="150" spans="1:17" s="1199" customFormat="1" ht="24" customHeight="1">
      <c r="A150" s="1331"/>
      <c r="B150" s="2174" t="s">
        <v>1340</v>
      </c>
      <c r="C150" s="1202"/>
      <c r="D150" s="1202"/>
      <c r="E150" s="1270"/>
      <c r="F150" s="1358" t="s">
        <v>226</v>
      </c>
      <c r="G150" s="2176">
        <v>219</v>
      </c>
      <c r="H150" s="1264">
        <f t="shared" si="21"/>
        <v>0</v>
      </c>
      <c r="I150" s="2177">
        <v>42</v>
      </c>
      <c r="J150" s="1264">
        <f t="shared" si="22"/>
        <v>0</v>
      </c>
      <c r="K150" s="1273">
        <f t="shared" si="25"/>
        <v>0</v>
      </c>
      <c r="L150" s="2000" t="s">
        <v>2667</v>
      </c>
      <c r="N150" s="1199">
        <v>657.6</v>
      </c>
      <c r="O150" s="1199">
        <f t="shared" si="24"/>
        <v>219</v>
      </c>
    </row>
    <row r="151" spans="1:17" s="1199" customFormat="1" ht="24" customHeight="1">
      <c r="A151" s="1331"/>
      <c r="B151" s="2174" t="s">
        <v>1341</v>
      </c>
      <c r="C151" s="1202"/>
      <c r="D151" s="1202"/>
      <c r="E151" s="1270"/>
      <c r="F151" s="1358" t="s">
        <v>226</v>
      </c>
      <c r="G151" s="2176">
        <v>352</v>
      </c>
      <c r="H151" s="1264">
        <f t="shared" si="21"/>
        <v>0</v>
      </c>
      <c r="I151" s="2177">
        <v>48</v>
      </c>
      <c r="J151" s="1264">
        <f t="shared" si="22"/>
        <v>0</v>
      </c>
      <c r="K151" s="1273">
        <f t="shared" si="25"/>
        <v>0</v>
      </c>
      <c r="L151" s="1269"/>
    </row>
    <row r="152" spans="1:17" s="1199" customFormat="1" ht="24" customHeight="1">
      <c r="A152" s="1331"/>
      <c r="B152" s="2174" t="s">
        <v>1342</v>
      </c>
      <c r="C152" s="1202"/>
      <c r="D152" s="1202"/>
      <c r="E152" s="1270"/>
      <c r="F152" s="1358" t="s">
        <v>226</v>
      </c>
      <c r="G152" s="2176">
        <v>434</v>
      </c>
      <c r="H152" s="1264">
        <f t="shared" si="21"/>
        <v>0</v>
      </c>
      <c r="I152" s="2177">
        <v>55</v>
      </c>
      <c r="J152" s="1264">
        <f t="shared" si="22"/>
        <v>0</v>
      </c>
      <c r="K152" s="1273">
        <f t="shared" si="25"/>
        <v>0</v>
      </c>
      <c r="L152" s="1269"/>
    </row>
    <row r="153" spans="1:17" s="1199" customFormat="1" ht="24" customHeight="1">
      <c r="A153" s="1331"/>
      <c r="B153" s="2174" t="s">
        <v>1111</v>
      </c>
      <c r="C153" s="1202"/>
      <c r="D153" s="1202"/>
      <c r="E153" s="1270"/>
      <c r="F153" s="1358" t="s">
        <v>226</v>
      </c>
      <c r="G153" s="2176">
        <v>572</v>
      </c>
      <c r="H153" s="1264">
        <f t="shared" si="21"/>
        <v>0</v>
      </c>
      <c r="I153" s="2177">
        <v>65</v>
      </c>
      <c r="J153" s="1264">
        <f t="shared" si="22"/>
        <v>0</v>
      </c>
      <c r="K153" s="1273">
        <f t="shared" si="25"/>
        <v>0</v>
      </c>
      <c r="L153" s="1269"/>
    </row>
    <row r="154" spans="1:17" s="1199" customFormat="1" ht="23.5" customHeight="1">
      <c r="A154" s="1331"/>
      <c r="B154" s="2174" t="s">
        <v>1108</v>
      </c>
      <c r="C154" s="1202"/>
      <c r="D154" s="1202"/>
      <c r="E154" s="1404">
        <v>1</v>
      </c>
      <c r="F154" s="1384" t="s">
        <v>1104</v>
      </c>
      <c r="G154" s="2176">
        <f>ROUND(SUM(H145:H153)*15%,0)</f>
        <v>4520</v>
      </c>
      <c r="H154" s="1264">
        <f t="shared" si="21"/>
        <v>4520</v>
      </c>
      <c r="I154" s="2177">
        <f>ROUND(ROUND(G154*0.3,),0)</f>
        <v>1356</v>
      </c>
      <c r="J154" s="1264">
        <f t="shared" si="22"/>
        <v>1356</v>
      </c>
      <c r="K154" s="1273">
        <f>H154+J154</f>
        <v>5876</v>
      </c>
      <c r="L154" s="1385"/>
      <c r="M154" s="1214"/>
      <c r="N154" s="1214"/>
      <c r="O154" s="1214"/>
      <c r="P154" s="1214"/>
      <c r="Q154" s="1214"/>
    </row>
    <row r="155" spans="1:17" s="1199" customFormat="1" ht="24" customHeight="1">
      <c r="A155" s="1331" t="s">
        <v>1621</v>
      </c>
      <c r="B155" s="2174" t="s">
        <v>1449</v>
      </c>
      <c r="C155" s="1202"/>
      <c r="D155" s="1202"/>
      <c r="E155" s="1404"/>
      <c r="F155" s="1384"/>
      <c r="G155" s="2176"/>
      <c r="H155" s="1264">
        <f t="shared" si="21"/>
        <v>0</v>
      </c>
      <c r="I155" s="2177"/>
      <c r="J155" s="1264">
        <f t="shared" si="22"/>
        <v>0</v>
      </c>
      <c r="K155" s="1385"/>
      <c r="L155" s="1385"/>
      <c r="M155" s="1214"/>
      <c r="N155" s="1214"/>
      <c r="O155" s="1214"/>
    </row>
    <row r="156" spans="1:17" s="1199" customFormat="1" ht="24" customHeight="1">
      <c r="A156" s="1331"/>
      <c r="B156" s="2174" t="s">
        <v>1350</v>
      </c>
      <c r="C156" s="1202"/>
      <c r="D156" s="1202"/>
      <c r="E156" s="1404">
        <v>14</v>
      </c>
      <c r="F156" s="1358" t="s">
        <v>226</v>
      </c>
      <c r="G156" s="2176">
        <v>14</v>
      </c>
      <c r="H156" s="1264">
        <f t="shared" si="21"/>
        <v>196</v>
      </c>
      <c r="I156" s="2177">
        <v>11</v>
      </c>
      <c r="J156" s="1264">
        <f t="shared" si="22"/>
        <v>154</v>
      </c>
      <c r="K156" s="1273">
        <f>H156+J156</f>
        <v>350</v>
      </c>
      <c r="L156" s="1385"/>
      <c r="M156" s="1214"/>
      <c r="N156" s="1214"/>
      <c r="O156" s="1214"/>
    </row>
    <row r="157" spans="1:17" s="1199" customFormat="1" ht="24" customHeight="1">
      <c r="A157" s="1331"/>
      <c r="B157" s="2174" t="s">
        <v>1117</v>
      </c>
      <c r="C157" s="1202"/>
      <c r="D157" s="1202"/>
      <c r="E157" s="1387"/>
      <c r="F157" s="1384"/>
      <c r="G157" s="2176"/>
      <c r="H157" s="1388"/>
      <c r="I157" s="2177"/>
      <c r="J157" s="1385"/>
      <c r="K157" s="1385"/>
      <c r="L157" s="1385"/>
      <c r="M157" s="1214"/>
      <c r="N157" s="1214"/>
      <c r="O157" s="1214"/>
    </row>
    <row r="158" spans="1:17" s="1199" customFormat="1" ht="24" customHeight="1">
      <c r="A158" s="1331"/>
      <c r="B158" s="2174" t="s">
        <v>1118</v>
      </c>
      <c r="C158" s="1202"/>
      <c r="D158" s="1202"/>
      <c r="E158" s="1387"/>
      <c r="F158" s="1384"/>
      <c r="G158" s="2176"/>
      <c r="H158" s="1388"/>
      <c r="I158" s="2177"/>
      <c r="J158" s="1385"/>
      <c r="K158" s="1385"/>
      <c r="L158" s="1385"/>
      <c r="M158" s="1214"/>
      <c r="N158" s="1214"/>
      <c r="O158" s="1214"/>
    </row>
    <row r="159" spans="1:17" s="1199" customFormat="1" ht="24" customHeight="1">
      <c r="A159" s="1331"/>
      <c r="B159" s="2174" t="s">
        <v>1369</v>
      </c>
      <c r="C159" s="1202"/>
      <c r="D159" s="1202"/>
      <c r="E159" s="1387"/>
      <c r="F159" s="1384"/>
      <c r="G159" s="2176"/>
      <c r="H159" s="1388"/>
      <c r="I159" s="2177"/>
      <c r="J159" s="1385"/>
      <c r="K159" s="1385"/>
      <c r="L159" s="1385"/>
      <c r="M159" s="1214"/>
      <c r="N159" s="1214"/>
      <c r="O159" s="1214"/>
    </row>
    <row r="160" spans="1:17" s="1199" customFormat="1" ht="24" customHeight="1">
      <c r="A160" s="1440"/>
      <c r="B160" s="1441"/>
      <c r="C160" s="1442"/>
      <c r="D160" s="1442"/>
      <c r="E160" s="1443"/>
      <c r="F160" s="1507"/>
      <c r="G160" s="1445"/>
      <c r="H160" s="1446"/>
      <c r="I160" s="1447"/>
      <c r="J160" s="1448"/>
      <c r="K160" s="1448"/>
      <c r="L160" s="1448"/>
      <c r="M160" s="1214"/>
      <c r="N160" s="1214"/>
      <c r="O160" s="1214"/>
      <c r="P160" s="1214"/>
    </row>
    <row r="161" spans="1:15" s="1199" customFormat="1" ht="24" customHeight="1">
      <c r="A161" s="1243"/>
      <c r="B161" s="2257" t="str">
        <f>"รวมราคารายการที่ "&amp;A140</f>
        <v>รวมราคารายการที่ 3.5</v>
      </c>
      <c r="C161" s="2258"/>
      <c r="D161" s="2259"/>
      <c r="E161" s="1244"/>
      <c r="F161" s="1245"/>
      <c r="G161" s="1246"/>
      <c r="H161" s="1247">
        <f>SUM(H141:H158)</f>
        <v>38883</v>
      </c>
      <c r="I161" s="1246"/>
      <c r="J161" s="1247">
        <f>SUM(J141:J158)</f>
        <v>11888</v>
      </c>
      <c r="K161" s="1245">
        <f>SUM(K141:K158)</f>
        <v>50771</v>
      </c>
      <c r="L161" s="1245"/>
      <c r="M161" s="1214"/>
      <c r="N161" s="1214"/>
      <c r="O161" s="1214"/>
    </row>
    <row r="162" spans="1:15" s="1199" customFormat="1" ht="24" customHeight="1">
      <c r="A162" s="1435" t="s">
        <v>1465</v>
      </c>
      <c r="B162" s="1436" t="s">
        <v>1451</v>
      </c>
      <c r="C162" s="1202"/>
      <c r="D162" s="1202"/>
      <c r="E162" s="1387"/>
      <c r="F162" s="1384"/>
      <c r="G162" s="2176"/>
      <c r="H162" s="1388"/>
      <c r="I162" s="2177"/>
      <c r="J162" s="1385"/>
      <c r="K162" s="1385"/>
      <c r="L162" s="1385"/>
      <c r="M162" s="1214"/>
      <c r="N162" s="1214"/>
      <c r="O162" s="1214"/>
    </row>
    <row r="163" spans="1:15" s="1199" customFormat="1" ht="24" customHeight="1">
      <c r="A163" s="1331" t="s">
        <v>1207</v>
      </c>
      <c r="B163" s="2174" t="s">
        <v>1451</v>
      </c>
      <c r="C163" s="1202"/>
      <c r="D163" s="1202"/>
      <c r="E163" s="1387"/>
      <c r="F163" s="1384"/>
      <c r="G163" s="2176"/>
      <c r="H163" s="1388"/>
      <c r="I163" s="2177"/>
      <c r="J163" s="1385"/>
      <c r="K163" s="1385"/>
      <c r="L163" s="1385"/>
      <c r="M163" s="1214"/>
      <c r="N163" s="1214"/>
      <c r="O163" s="1214"/>
    </row>
    <row r="164" spans="1:15" s="1199" customFormat="1" ht="24" customHeight="1">
      <c r="A164" s="1331"/>
      <c r="B164" s="2174" t="s">
        <v>1452</v>
      </c>
      <c r="C164" s="1202"/>
      <c r="D164" s="1202"/>
      <c r="E164" s="1387">
        <v>6</v>
      </c>
      <c r="F164" s="1207" t="s">
        <v>363</v>
      </c>
      <c r="G164" s="2176">
        <v>90</v>
      </c>
      <c r="H164" s="1264">
        <f t="shared" ref="H164:H173" si="26">ROUND(E164*G164,)</f>
        <v>540</v>
      </c>
      <c r="I164" s="2177">
        <v>80</v>
      </c>
      <c r="J164" s="1264">
        <f t="shared" ref="J164:J173" si="27">ROUND(E164*I164,)</f>
        <v>480</v>
      </c>
      <c r="K164" s="1273">
        <f t="shared" ref="K164:K173" si="28">H164+J164</f>
        <v>1020</v>
      </c>
      <c r="L164" s="1389"/>
      <c r="M164" s="1214"/>
      <c r="N164" s="1214"/>
      <c r="O164" s="1214"/>
    </row>
    <row r="165" spans="1:15" s="1199" customFormat="1" ht="24" customHeight="1">
      <c r="A165" s="1331"/>
      <c r="B165" s="2174" t="s">
        <v>1453</v>
      </c>
      <c r="C165" s="1202"/>
      <c r="D165" s="1202"/>
      <c r="E165" s="1387"/>
      <c r="F165" s="1207" t="s">
        <v>363</v>
      </c>
      <c r="G165" s="2176">
        <v>130</v>
      </c>
      <c r="H165" s="1264">
        <f t="shared" si="26"/>
        <v>0</v>
      </c>
      <c r="I165" s="2177">
        <v>90</v>
      </c>
      <c r="J165" s="1264">
        <f t="shared" si="27"/>
        <v>0</v>
      </c>
      <c r="K165" s="1273">
        <f t="shared" si="28"/>
        <v>0</v>
      </c>
      <c r="L165" s="1389"/>
      <c r="M165" s="1214"/>
      <c r="N165" s="1214"/>
      <c r="O165" s="1214"/>
    </row>
    <row r="166" spans="1:15" s="1199" customFormat="1" ht="24" customHeight="1">
      <c r="A166" s="1331"/>
      <c r="B166" s="2174" t="s">
        <v>1454</v>
      </c>
      <c r="C166" s="1202"/>
      <c r="D166" s="1202"/>
      <c r="E166" s="1387"/>
      <c r="F166" s="1207" t="s">
        <v>363</v>
      </c>
      <c r="G166" s="2176">
        <v>240</v>
      </c>
      <c r="H166" s="1264">
        <f t="shared" si="26"/>
        <v>0</v>
      </c>
      <c r="I166" s="2177">
        <v>90</v>
      </c>
      <c r="J166" s="1264">
        <f t="shared" si="27"/>
        <v>0</v>
      </c>
      <c r="K166" s="1273">
        <f t="shared" si="28"/>
        <v>0</v>
      </c>
      <c r="L166" s="1389"/>
      <c r="M166" s="1214"/>
      <c r="N166" s="1214"/>
      <c r="O166" s="1214"/>
    </row>
    <row r="167" spans="1:15" s="1199" customFormat="1" ht="24" customHeight="1">
      <c r="A167" s="1331"/>
      <c r="B167" s="2174" t="s">
        <v>1455</v>
      </c>
      <c r="C167" s="1202"/>
      <c r="D167" s="1202"/>
      <c r="E167" s="1387"/>
      <c r="F167" s="1207" t="s">
        <v>363</v>
      </c>
      <c r="G167" s="2176">
        <v>162</v>
      </c>
      <c r="H167" s="1264">
        <f t="shared" si="26"/>
        <v>0</v>
      </c>
      <c r="I167" s="2177">
        <v>90</v>
      </c>
      <c r="J167" s="1264">
        <f t="shared" si="27"/>
        <v>0</v>
      </c>
      <c r="K167" s="1273">
        <f t="shared" si="28"/>
        <v>0</v>
      </c>
      <c r="L167" s="1389"/>
      <c r="M167" s="1214"/>
      <c r="N167" s="1214"/>
      <c r="O167" s="1214"/>
    </row>
    <row r="168" spans="1:15" s="1199" customFormat="1" ht="24" customHeight="1">
      <c r="A168" s="1331"/>
      <c r="B168" s="2174" t="s">
        <v>1456</v>
      </c>
      <c r="C168" s="1202"/>
      <c r="D168" s="1202"/>
      <c r="E168" s="1387">
        <v>8</v>
      </c>
      <c r="F168" s="1207" t="s">
        <v>363</v>
      </c>
      <c r="G168" s="2176">
        <v>197</v>
      </c>
      <c r="H168" s="1264">
        <f t="shared" si="26"/>
        <v>1576</v>
      </c>
      <c r="I168" s="2177">
        <v>90</v>
      </c>
      <c r="J168" s="1264">
        <f t="shared" si="27"/>
        <v>720</v>
      </c>
      <c r="K168" s="1273">
        <f t="shared" si="28"/>
        <v>2296</v>
      </c>
      <c r="L168" s="1389"/>
      <c r="M168" s="1214"/>
      <c r="N168" s="1214"/>
      <c r="O168" s="1214"/>
    </row>
    <row r="169" spans="1:15" s="1199" customFormat="1" ht="24" customHeight="1">
      <c r="A169" s="1331"/>
      <c r="B169" s="2174" t="s">
        <v>1457</v>
      </c>
      <c r="C169" s="1202"/>
      <c r="D169" s="1202"/>
      <c r="E169" s="1387"/>
      <c r="F169" s="1207" t="s">
        <v>363</v>
      </c>
      <c r="G169" s="2176">
        <v>1500</v>
      </c>
      <c r="H169" s="1264">
        <f t="shared" si="26"/>
        <v>0</v>
      </c>
      <c r="I169" s="2177">
        <v>265</v>
      </c>
      <c r="J169" s="1264">
        <f t="shared" si="27"/>
        <v>0</v>
      </c>
      <c r="K169" s="1385">
        <f t="shared" si="28"/>
        <v>0</v>
      </c>
      <c r="L169" s="1389"/>
      <c r="M169" s="1214"/>
      <c r="N169" s="1214"/>
      <c r="O169" s="1214"/>
    </row>
    <row r="170" spans="1:15" s="1199" customFormat="1" ht="24" customHeight="1">
      <c r="A170" s="1331"/>
      <c r="B170" s="2174" t="s">
        <v>1458</v>
      </c>
      <c r="C170" s="1202"/>
      <c r="D170" s="1202"/>
      <c r="E170" s="1387"/>
      <c r="F170" s="1207" t="s">
        <v>363</v>
      </c>
      <c r="G170" s="2176">
        <v>518</v>
      </c>
      <c r="H170" s="1264">
        <f t="shared" si="26"/>
        <v>0</v>
      </c>
      <c r="I170" s="2177">
        <v>115</v>
      </c>
      <c r="J170" s="1264">
        <f t="shared" si="27"/>
        <v>0</v>
      </c>
      <c r="K170" s="1273">
        <f t="shared" si="28"/>
        <v>0</v>
      </c>
      <c r="L170" s="1389"/>
      <c r="M170" s="1214"/>
      <c r="N170" s="1214"/>
      <c r="O170" s="1214"/>
    </row>
    <row r="171" spans="1:15" s="1199" customFormat="1" ht="24" customHeight="1">
      <c r="A171" s="1331"/>
      <c r="B171" s="2174" t="s">
        <v>1459</v>
      </c>
      <c r="C171" s="1202"/>
      <c r="D171" s="1202"/>
      <c r="E171" s="1387"/>
      <c r="F171" s="1207" t="s">
        <v>363</v>
      </c>
      <c r="G171" s="2176">
        <v>850</v>
      </c>
      <c r="H171" s="1264">
        <f t="shared" si="26"/>
        <v>0</v>
      </c>
      <c r="I171" s="2177">
        <v>265</v>
      </c>
      <c r="J171" s="1264">
        <f t="shared" si="27"/>
        <v>0</v>
      </c>
      <c r="K171" s="1273">
        <f t="shared" si="28"/>
        <v>0</v>
      </c>
      <c r="L171" s="1389"/>
      <c r="M171" s="1214"/>
      <c r="N171" s="1214"/>
      <c r="O171" s="1214"/>
    </row>
    <row r="172" spans="1:15" s="1199" customFormat="1" ht="24" customHeight="1">
      <c r="A172" s="1331" t="s">
        <v>1229</v>
      </c>
      <c r="B172" s="2174" t="s">
        <v>1460</v>
      </c>
      <c r="C172" s="1202"/>
      <c r="D172" s="1202"/>
      <c r="E172" s="1387">
        <v>2</v>
      </c>
      <c r="F172" s="1207" t="s">
        <v>363</v>
      </c>
      <c r="G172" s="2176">
        <v>130</v>
      </c>
      <c r="H172" s="1264">
        <f t="shared" si="26"/>
        <v>260</v>
      </c>
      <c r="I172" s="2177">
        <v>90</v>
      </c>
      <c r="J172" s="1264">
        <f t="shared" si="27"/>
        <v>180</v>
      </c>
      <c r="K172" s="1273">
        <f t="shared" si="28"/>
        <v>440</v>
      </c>
      <c r="L172" s="1385"/>
      <c r="M172" s="1214"/>
      <c r="N172" s="1214"/>
      <c r="O172" s="1214"/>
    </row>
    <row r="173" spans="1:15" s="1199" customFormat="1" ht="24" customHeight="1">
      <c r="A173" s="1331" t="s">
        <v>1234</v>
      </c>
      <c r="B173" s="2174" t="s">
        <v>1636</v>
      </c>
      <c r="C173" s="1202"/>
      <c r="D173" s="1202"/>
      <c r="E173" s="1387"/>
      <c r="F173" s="1207" t="s">
        <v>363</v>
      </c>
      <c r="G173" s="2176">
        <v>150</v>
      </c>
      <c r="H173" s="1264">
        <f t="shared" si="26"/>
        <v>0</v>
      </c>
      <c r="I173" s="2177">
        <v>90</v>
      </c>
      <c r="J173" s="1264">
        <f t="shared" si="27"/>
        <v>0</v>
      </c>
      <c r="K173" s="1273">
        <f t="shared" si="28"/>
        <v>0</v>
      </c>
      <c r="L173" s="1385"/>
      <c r="M173" s="1214"/>
      <c r="N173" s="1214"/>
      <c r="O173" s="1214"/>
    </row>
    <row r="174" spans="1:15" s="1199" customFormat="1" ht="24" customHeight="1">
      <c r="A174" s="1331"/>
      <c r="B174" s="2174" t="s">
        <v>1117</v>
      </c>
      <c r="C174" s="1202"/>
      <c r="D174" s="1202"/>
      <c r="E174" s="1387"/>
      <c r="F174" s="1384"/>
      <c r="G174" s="2176"/>
      <c r="H174" s="1388"/>
      <c r="I174" s="2177"/>
      <c r="J174" s="1385"/>
      <c r="K174" s="1385"/>
      <c r="L174" s="1385"/>
      <c r="M174" s="1214"/>
      <c r="N174" s="1214"/>
      <c r="O174" s="1214"/>
    </row>
    <row r="175" spans="1:15" s="1199" customFormat="1" ht="24" customHeight="1">
      <c r="A175" s="1331"/>
      <c r="B175" s="2174" t="s">
        <v>1118</v>
      </c>
      <c r="C175" s="1202"/>
      <c r="D175" s="1202"/>
      <c r="E175" s="1387"/>
      <c r="F175" s="1384"/>
      <c r="G175" s="2176"/>
      <c r="H175" s="1388"/>
      <c r="I175" s="2177"/>
      <c r="J175" s="1385"/>
      <c r="K175" s="1385"/>
      <c r="L175" s="1385"/>
      <c r="M175" s="1214"/>
      <c r="N175" s="1214"/>
      <c r="O175" s="1214"/>
    </row>
    <row r="176" spans="1:15" s="1199" customFormat="1" ht="24" customHeight="1">
      <c r="A176" s="1331"/>
      <c r="B176" s="2174" t="s">
        <v>1369</v>
      </c>
      <c r="C176" s="1202"/>
      <c r="D176" s="1202"/>
      <c r="E176" s="1387"/>
      <c r="F176" s="1384"/>
      <c r="G176" s="2176"/>
      <c r="H176" s="1388"/>
      <c r="I176" s="2177"/>
      <c r="J176" s="1385"/>
      <c r="K176" s="1385"/>
      <c r="L176" s="1385"/>
      <c r="M176" s="1214"/>
      <c r="N176" s="1214"/>
      <c r="O176" s="1214"/>
    </row>
    <row r="177" spans="1:16" s="1199" customFormat="1" ht="24" customHeight="1">
      <c r="A177" s="1440"/>
      <c r="B177" s="1441"/>
      <c r="C177" s="1442"/>
      <c r="D177" s="1442"/>
      <c r="E177" s="1443"/>
      <c r="F177" s="1507"/>
      <c r="G177" s="1445"/>
      <c r="H177" s="1446"/>
      <c r="I177" s="1447"/>
      <c r="J177" s="1448"/>
      <c r="K177" s="1448"/>
      <c r="L177" s="1448"/>
      <c r="M177" s="1214"/>
      <c r="N177" s="1214"/>
      <c r="O177" s="1214"/>
      <c r="P177" s="1214"/>
    </row>
    <row r="178" spans="1:16" s="1199" customFormat="1" ht="24" customHeight="1">
      <c r="A178" s="1243"/>
      <c r="B178" s="2257" t="str">
        <f>"รวมราคารายการที่ "&amp;A162</f>
        <v>รวมราคารายการที่ 3.6</v>
      </c>
      <c r="C178" s="2258"/>
      <c r="D178" s="2259"/>
      <c r="E178" s="1244"/>
      <c r="F178" s="1245"/>
      <c r="G178" s="1246"/>
      <c r="H178" s="1247">
        <f>SUM(H163:H175)</f>
        <v>2376</v>
      </c>
      <c r="I178" s="1246"/>
      <c r="J178" s="1247">
        <f t="shared" ref="J178:K178" si="29">SUM(J163:J175)</f>
        <v>1380</v>
      </c>
      <c r="K178" s="1247">
        <f t="shared" si="29"/>
        <v>3756</v>
      </c>
      <c r="L178" s="1245"/>
      <c r="M178" s="1214"/>
      <c r="N178" s="1214"/>
      <c r="O178" s="1214"/>
    </row>
    <row r="179" spans="1:16" s="1199" customFormat="1" ht="24" customHeight="1">
      <c r="A179" s="1435" t="s">
        <v>1490</v>
      </c>
      <c r="B179" s="1436" t="s">
        <v>1466</v>
      </c>
      <c r="C179" s="1202"/>
      <c r="D179" s="1202"/>
      <c r="E179" s="1387"/>
      <c r="F179" s="1207"/>
      <c r="G179" s="2176"/>
      <c r="H179" s="1264"/>
      <c r="I179" s="2177"/>
      <c r="J179" s="1264"/>
      <c r="K179" s="1273"/>
      <c r="L179" s="1385"/>
      <c r="M179" s="1214"/>
      <c r="N179" s="1214"/>
      <c r="O179" s="1214"/>
    </row>
    <row r="180" spans="1:16" s="1199" customFormat="1" ht="24" customHeight="1">
      <c r="A180" s="1339"/>
      <c r="B180" s="1259" t="s">
        <v>1467</v>
      </c>
      <c r="C180" s="1202"/>
      <c r="D180" s="1202"/>
      <c r="E180" s="1404">
        <v>12</v>
      </c>
      <c r="F180" s="1267" t="s">
        <v>363</v>
      </c>
      <c r="G180" s="1386">
        <v>420</v>
      </c>
      <c r="H180" s="1343">
        <f t="shared" ref="H180:H203" si="30">ROUND(E180*G180,)</f>
        <v>5040</v>
      </c>
      <c r="I180" s="1414">
        <v>115</v>
      </c>
      <c r="J180" s="1343">
        <f t="shared" ref="J180:J203" si="31">ROUND(E180*I180,)</f>
        <v>1380</v>
      </c>
      <c r="K180" s="1262">
        <f t="shared" ref="K180:K203" si="32">H180+J180</f>
        <v>6420</v>
      </c>
      <c r="L180" s="1415"/>
      <c r="M180" s="1214"/>
      <c r="N180" s="1214"/>
      <c r="O180" s="1214"/>
      <c r="P180" s="1214"/>
    </row>
    <row r="181" spans="1:16" s="1199" customFormat="1" ht="24" customHeight="1">
      <c r="A181" s="1339"/>
      <c r="B181" s="1259" t="s">
        <v>1468</v>
      </c>
      <c r="C181" s="1202"/>
      <c r="D181" s="1202"/>
      <c r="E181" s="1404">
        <v>4</v>
      </c>
      <c r="F181" s="1267" t="s">
        <v>363</v>
      </c>
      <c r="G181" s="1386">
        <v>500</v>
      </c>
      <c r="H181" s="1343">
        <f t="shared" si="30"/>
        <v>2000</v>
      </c>
      <c r="I181" s="1414">
        <v>115</v>
      </c>
      <c r="J181" s="1343">
        <f t="shared" si="31"/>
        <v>460</v>
      </c>
      <c r="K181" s="1262">
        <f t="shared" si="32"/>
        <v>2460</v>
      </c>
      <c r="L181" s="1415"/>
      <c r="M181" s="1214"/>
      <c r="N181" s="1214"/>
      <c r="O181" s="1214"/>
      <c r="P181" s="1214"/>
    </row>
    <row r="182" spans="1:16" s="1199" customFormat="1" ht="24" customHeight="1">
      <c r="A182" s="1339"/>
      <c r="B182" s="1259" t="s">
        <v>1469</v>
      </c>
      <c r="C182" s="1202"/>
      <c r="D182" s="1202"/>
      <c r="E182" s="1404"/>
      <c r="F182" s="1267" t="s">
        <v>363</v>
      </c>
      <c r="G182" s="1386">
        <v>550</v>
      </c>
      <c r="H182" s="1343">
        <f t="shared" si="30"/>
        <v>0</v>
      </c>
      <c r="I182" s="1414">
        <v>115</v>
      </c>
      <c r="J182" s="1343">
        <f t="shared" si="31"/>
        <v>0</v>
      </c>
      <c r="K182" s="1262">
        <f t="shared" si="32"/>
        <v>0</v>
      </c>
      <c r="L182" s="1415"/>
      <c r="M182" s="1214"/>
      <c r="N182" s="1214"/>
      <c r="O182" s="1214"/>
      <c r="P182" s="1214"/>
    </row>
    <row r="183" spans="1:16" s="1199" customFormat="1" ht="24" customHeight="1">
      <c r="A183" s="1339"/>
      <c r="B183" s="1259" t="s">
        <v>1470</v>
      </c>
      <c r="C183" s="1202"/>
      <c r="D183" s="1202"/>
      <c r="E183" s="1404"/>
      <c r="F183" s="1267" t="s">
        <v>363</v>
      </c>
      <c r="G183" s="1386">
        <v>750</v>
      </c>
      <c r="H183" s="1343">
        <f t="shared" si="30"/>
        <v>0</v>
      </c>
      <c r="I183" s="1414">
        <v>135</v>
      </c>
      <c r="J183" s="1343">
        <f t="shared" si="31"/>
        <v>0</v>
      </c>
      <c r="K183" s="1262">
        <f t="shared" si="32"/>
        <v>0</v>
      </c>
      <c r="L183" s="1415"/>
      <c r="M183" s="1214"/>
      <c r="N183" s="1214"/>
      <c r="O183" s="1214"/>
      <c r="P183" s="1214"/>
    </row>
    <row r="184" spans="1:16" s="1199" customFormat="1" ht="24" customHeight="1">
      <c r="A184" s="1339"/>
      <c r="B184" s="1259" t="s">
        <v>1471</v>
      </c>
      <c r="C184" s="1202"/>
      <c r="D184" s="1202"/>
      <c r="E184" s="1404"/>
      <c r="F184" s="1267" t="s">
        <v>363</v>
      </c>
      <c r="G184" s="1386">
        <v>1550</v>
      </c>
      <c r="H184" s="1343">
        <f t="shared" si="30"/>
        <v>0</v>
      </c>
      <c r="I184" s="1414">
        <v>135</v>
      </c>
      <c r="J184" s="1343">
        <f t="shared" si="31"/>
        <v>0</v>
      </c>
      <c r="K184" s="1262">
        <f t="shared" si="32"/>
        <v>0</v>
      </c>
      <c r="L184" s="1415"/>
      <c r="M184" s="1214"/>
      <c r="N184" s="1214"/>
      <c r="O184" s="1214"/>
      <c r="P184" s="1214"/>
    </row>
    <row r="185" spans="1:16" s="1199" customFormat="1" ht="24" customHeight="1">
      <c r="A185" s="1339"/>
      <c r="B185" s="1259" t="s">
        <v>1472</v>
      </c>
      <c r="C185" s="1202"/>
      <c r="D185" s="1202"/>
      <c r="E185" s="1404"/>
      <c r="F185" s="1267" t="s">
        <v>363</v>
      </c>
      <c r="G185" s="1386">
        <v>2090</v>
      </c>
      <c r="H185" s="1343">
        <f t="shared" si="30"/>
        <v>0</v>
      </c>
      <c r="I185" s="1414">
        <v>135</v>
      </c>
      <c r="J185" s="1343">
        <f t="shared" si="31"/>
        <v>0</v>
      </c>
      <c r="K185" s="1262">
        <f t="shared" si="32"/>
        <v>0</v>
      </c>
      <c r="L185" s="1415"/>
      <c r="M185" s="1214"/>
      <c r="N185" s="1214"/>
      <c r="O185" s="1214"/>
      <c r="P185" s="1214"/>
    </row>
    <row r="186" spans="1:16" s="1199" customFormat="1" ht="24" customHeight="1">
      <c r="A186" s="1339"/>
      <c r="B186" s="1259" t="s">
        <v>1473</v>
      </c>
      <c r="C186" s="1202"/>
      <c r="D186" s="1202"/>
      <c r="E186" s="1404"/>
      <c r="F186" s="1267" t="s">
        <v>363</v>
      </c>
      <c r="G186" s="1386">
        <v>3750</v>
      </c>
      <c r="H186" s="1343">
        <f t="shared" si="30"/>
        <v>0</v>
      </c>
      <c r="I186" s="1414">
        <v>135</v>
      </c>
      <c r="J186" s="1343">
        <f t="shared" si="31"/>
        <v>0</v>
      </c>
      <c r="K186" s="1262">
        <f t="shared" si="32"/>
        <v>0</v>
      </c>
      <c r="L186" s="1415"/>
      <c r="M186" s="1214"/>
      <c r="N186" s="1214"/>
      <c r="O186" s="1214"/>
      <c r="P186" s="1214"/>
    </row>
    <row r="187" spans="1:16" s="1199" customFormat="1" ht="24" customHeight="1">
      <c r="A187" s="1339"/>
      <c r="B187" s="1259" t="s">
        <v>1474</v>
      </c>
      <c r="C187" s="1202"/>
      <c r="D187" s="1202"/>
      <c r="E187" s="1404"/>
      <c r="F187" s="1267" t="s">
        <v>363</v>
      </c>
      <c r="G187" s="1386">
        <v>2450</v>
      </c>
      <c r="H187" s="1343">
        <f t="shared" si="30"/>
        <v>0</v>
      </c>
      <c r="I187" s="1414">
        <v>135</v>
      </c>
      <c r="J187" s="1343">
        <f t="shared" si="31"/>
        <v>0</v>
      </c>
      <c r="K187" s="1262">
        <f t="shared" si="32"/>
        <v>0</v>
      </c>
      <c r="L187" s="1415"/>
      <c r="M187" s="1214"/>
      <c r="N187" s="1214"/>
      <c r="O187" s="1214"/>
      <c r="P187" s="1214"/>
    </row>
    <row r="188" spans="1:16" s="1199" customFormat="1" ht="24" customHeight="1">
      <c r="A188" s="1339"/>
      <c r="B188" s="1259" t="s">
        <v>1475</v>
      </c>
      <c r="C188" s="1202"/>
      <c r="D188" s="1202"/>
      <c r="E188" s="1404"/>
      <c r="F188" s="1267" t="s">
        <v>363</v>
      </c>
      <c r="G188" s="1386">
        <v>1860</v>
      </c>
      <c r="H188" s="1343">
        <f t="shared" si="30"/>
        <v>0</v>
      </c>
      <c r="I188" s="1414">
        <v>135</v>
      </c>
      <c r="J188" s="1343">
        <f t="shared" si="31"/>
        <v>0</v>
      </c>
      <c r="K188" s="1262">
        <f t="shared" si="32"/>
        <v>0</v>
      </c>
      <c r="L188" s="1415"/>
      <c r="M188" s="1214"/>
      <c r="N188" s="1214"/>
      <c r="O188" s="1214"/>
      <c r="P188" s="1214"/>
    </row>
    <row r="189" spans="1:16" s="1199" customFormat="1" ht="24" customHeight="1">
      <c r="A189" s="1339"/>
      <c r="B189" s="1259" t="s">
        <v>1476</v>
      </c>
      <c r="C189" s="1202"/>
      <c r="D189" s="1202"/>
      <c r="E189" s="1404"/>
      <c r="F189" s="1267" t="s">
        <v>363</v>
      </c>
      <c r="G189" s="1386">
        <v>1200</v>
      </c>
      <c r="H189" s="1343">
        <f t="shared" si="30"/>
        <v>0</v>
      </c>
      <c r="I189" s="1414">
        <v>135</v>
      </c>
      <c r="J189" s="1343">
        <f t="shared" si="31"/>
        <v>0</v>
      </c>
      <c r="K189" s="1262">
        <f t="shared" si="32"/>
        <v>0</v>
      </c>
      <c r="L189" s="1415"/>
      <c r="M189" s="1214"/>
      <c r="N189" s="1214"/>
      <c r="O189" s="1214"/>
      <c r="P189" s="1214"/>
    </row>
    <row r="190" spans="1:16" s="1199" customFormat="1" ht="24" customHeight="1">
      <c r="A190" s="1339"/>
      <c r="B190" s="1259" t="s">
        <v>1477</v>
      </c>
      <c r="C190" s="1202"/>
      <c r="D190" s="1202"/>
      <c r="E190" s="1404"/>
      <c r="F190" s="1267" t="s">
        <v>363</v>
      </c>
      <c r="G190" s="1386">
        <v>1450</v>
      </c>
      <c r="H190" s="1343">
        <f t="shared" si="30"/>
        <v>0</v>
      </c>
      <c r="I190" s="1414">
        <v>135</v>
      </c>
      <c r="J190" s="1343">
        <f t="shared" si="31"/>
        <v>0</v>
      </c>
      <c r="K190" s="1262">
        <f t="shared" si="32"/>
        <v>0</v>
      </c>
      <c r="L190" s="1415"/>
      <c r="M190" s="1214"/>
      <c r="N190" s="1214"/>
      <c r="O190" s="1214"/>
      <c r="P190" s="1214"/>
    </row>
    <row r="191" spans="1:16" s="1199" customFormat="1" ht="24" customHeight="1">
      <c r="A191" s="1339"/>
      <c r="B191" s="1259" t="s">
        <v>1478</v>
      </c>
      <c r="C191" s="1202"/>
      <c r="D191" s="1202"/>
      <c r="E191" s="1404"/>
      <c r="F191" s="1267" t="s">
        <v>363</v>
      </c>
      <c r="G191" s="1386">
        <v>1250</v>
      </c>
      <c r="H191" s="1343">
        <f t="shared" si="30"/>
        <v>0</v>
      </c>
      <c r="I191" s="1414">
        <v>135</v>
      </c>
      <c r="J191" s="1343">
        <f t="shared" si="31"/>
        <v>0</v>
      </c>
      <c r="K191" s="1262">
        <f t="shared" si="32"/>
        <v>0</v>
      </c>
      <c r="L191" s="1415"/>
      <c r="M191" s="1214"/>
      <c r="N191" s="1214"/>
      <c r="O191" s="1214"/>
      <c r="P191" s="1214"/>
    </row>
    <row r="192" spans="1:16" s="1199" customFormat="1" ht="24" customHeight="1">
      <c r="A192" s="1339"/>
      <c r="B192" s="1259" t="s">
        <v>1479</v>
      </c>
      <c r="C192" s="1202"/>
      <c r="D192" s="1202"/>
      <c r="E192" s="1404"/>
      <c r="F192" s="1267" t="s">
        <v>363</v>
      </c>
      <c r="G192" s="1386">
        <v>650</v>
      </c>
      <c r="H192" s="1343">
        <f t="shared" si="30"/>
        <v>0</v>
      </c>
      <c r="I192" s="1414">
        <v>20</v>
      </c>
      <c r="J192" s="1343">
        <f t="shared" si="31"/>
        <v>0</v>
      </c>
      <c r="K192" s="1262">
        <f t="shared" si="32"/>
        <v>0</v>
      </c>
      <c r="L192" s="1415"/>
      <c r="M192" s="1214"/>
      <c r="N192" s="1214"/>
      <c r="O192" s="1214"/>
      <c r="P192" s="1214"/>
    </row>
    <row r="193" spans="1:17" s="1199" customFormat="1" ht="24" customHeight="1">
      <c r="A193" s="1339"/>
      <c r="B193" s="1259" t="s">
        <v>1480</v>
      </c>
      <c r="C193" s="1202"/>
      <c r="D193" s="1202"/>
      <c r="E193" s="1404"/>
      <c r="F193" s="1267" t="s">
        <v>363</v>
      </c>
      <c r="G193" s="1386">
        <v>2565</v>
      </c>
      <c r="H193" s="1343">
        <f t="shared" si="30"/>
        <v>0</v>
      </c>
      <c r="I193" s="1414">
        <v>135</v>
      </c>
      <c r="J193" s="1343">
        <f t="shared" si="31"/>
        <v>0</v>
      </c>
      <c r="K193" s="1262">
        <f t="shared" si="32"/>
        <v>0</v>
      </c>
      <c r="L193" s="1415"/>
      <c r="M193" s="1214"/>
      <c r="N193" s="1214"/>
      <c r="O193" s="1214"/>
      <c r="P193" s="1214"/>
    </row>
    <row r="194" spans="1:17" s="1199" customFormat="1" ht="24" customHeight="1">
      <c r="A194" s="1339"/>
      <c r="B194" s="1259" t="s">
        <v>1481</v>
      </c>
      <c r="C194" s="1202"/>
      <c r="D194" s="1202"/>
      <c r="E194" s="1404"/>
      <c r="F194" s="1267" t="s">
        <v>363</v>
      </c>
      <c r="G194" s="1386">
        <v>1200</v>
      </c>
      <c r="H194" s="1343">
        <f t="shared" si="30"/>
        <v>0</v>
      </c>
      <c r="I194" s="1414">
        <v>135</v>
      </c>
      <c r="J194" s="1343">
        <f t="shared" si="31"/>
        <v>0</v>
      </c>
      <c r="K194" s="1262">
        <f t="shared" si="32"/>
        <v>0</v>
      </c>
      <c r="L194" s="1415"/>
      <c r="M194" s="1214"/>
      <c r="N194" s="1214"/>
      <c r="O194" s="1214"/>
      <c r="P194" s="1214"/>
    </row>
    <row r="195" spans="1:17" s="1199" customFormat="1" ht="24" customHeight="1">
      <c r="A195" s="1339"/>
      <c r="B195" s="1259" t="s">
        <v>1482</v>
      </c>
      <c r="C195" s="1202"/>
      <c r="D195" s="1202"/>
      <c r="E195" s="1404"/>
      <c r="F195" s="1267" t="s">
        <v>363</v>
      </c>
      <c r="G195" s="1386">
        <v>1200</v>
      </c>
      <c r="H195" s="1343">
        <f t="shared" si="30"/>
        <v>0</v>
      </c>
      <c r="I195" s="1414">
        <v>135</v>
      </c>
      <c r="J195" s="1343">
        <f t="shared" si="31"/>
        <v>0</v>
      </c>
      <c r="K195" s="1262">
        <f t="shared" si="32"/>
        <v>0</v>
      </c>
      <c r="L195" s="1415"/>
      <c r="M195" s="1214"/>
      <c r="N195" s="1214"/>
      <c r="O195" s="1214"/>
      <c r="P195" s="1214"/>
    </row>
    <row r="196" spans="1:17" s="1199" customFormat="1" ht="24" customHeight="1">
      <c r="A196" s="1339"/>
      <c r="B196" s="1259" t="s">
        <v>1483</v>
      </c>
      <c r="C196" s="1202"/>
      <c r="D196" s="1202"/>
      <c r="E196" s="1404"/>
      <c r="F196" s="1267" t="s">
        <v>363</v>
      </c>
      <c r="G196" s="1386">
        <v>1860</v>
      </c>
      <c r="H196" s="1343">
        <f t="shared" si="30"/>
        <v>0</v>
      </c>
      <c r="I196" s="1414">
        <v>135</v>
      </c>
      <c r="J196" s="1343">
        <f t="shared" si="31"/>
        <v>0</v>
      </c>
      <c r="K196" s="1262">
        <f t="shared" si="32"/>
        <v>0</v>
      </c>
      <c r="L196" s="1415"/>
      <c r="M196" s="1214"/>
      <c r="N196" s="1214"/>
      <c r="O196" s="1214"/>
      <c r="P196" s="1214"/>
    </row>
    <row r="197" spans="1:17" s="1199" customFormat="1" ht="24" customHeight="1">
      <c r="A197" s="1339"/>
      <c r="B197" s="1259" t="s">
        <v>1484</v>
      </c>
      <c r="C197" s="1202"/>
      <c r="D197" s="1202"/>
      <c r="E197" s="1404"/>
      <c r="F197" s="1267" t="s">
        <v>363</v>
      </c>
      <c r="G197" s="1386">
        <v>1200</v>
      </c>
      <c r="H197" s="1343">
        <f t="shared" si="30"/>
        <v>0</v>
      </c>
      <c r="I197" s="1414">
        <v>135</v>
      </c>
      <c r="J197" s="1343">
        <f t="shared" si="31"/>
        <v>0</v>
      </c>
      <c r="K197" s="1262">
        <f t="shared" si="32"/>
        <v>0</v>
      </c>
      <c r="L197" s="1415"/>
      <c r="M197" s="1214"/>
      <c r="N197" s="1214"/>
      <c r="O197" s="1214"/>
      <c r="P197" s="1214"/>
    </row>
    <row r="198" spans="1:17" s="1199" customFormat="1" ht="24" customHeight="1">
      <c r="A198" s="1339"/>
      <c r="B198" s="1259" t="s">
        <v>1485</v>
      </c>
      <c r="C198" s="1202"/>
      <c r="D198" s="1202"/>
      <c r="E198" s="1404"/>
      <c r="F198" s="1267" t="s">
        <v>363</v>
      </c>
      <c r="G198" s="1386">
        <v>1200</v>
      </c>
      <c r="H198" s="1343">
        <f t="shared" si="30"/>
        <v>0</v>
      </c>
      <c r="I198" s="1414">
        <v>135</v>
      </c>
      <c r="J198" s="1343">
        <f t="shared" si="31"/>
        <v>0</v>
      </c>
      <c r="K198" s="1262">
        <f t="shared" si="32"/>
        <v>0</v>
      </c>
      <c r="L198" s="1415"/>
      <c r="M198" s="1214"/>
      <c r="N198" s="1214"/>
      <c r="O198" s="1214"/>
      <c r="P198" s="1214"/>
    </row>
    <row r="199" spans="1:17" s="1199" customFormat="1" ht="24" customHeight="1">
      <c r="A199" s="1339"/>
      <c r="B199" s="1259" t="s">
        <v>1486</v>
      </c>
      <c r="C199" s="1202"/>
      <c r="D199" s="1202"/>
      <c r="E199" s="1404"/>
      <c r="F199" s="1267" t="s">
        <v>363</v>
      </c>
      <c r="G199" s="1386">
        <v>1830</v>
      </c>
      <c r="H199" s="1343">
        <f t="shared" si="30"/>
        <v>0</v>
      </c>
      <c r="I199" s="1414">
        <v>500</v>
      </c>
      <c r="J199" s="1343">
        <f t="shared" si="31"/>
        <v>0</v>
      </c>
      <c r="K199" s="1262">
        <f t="shared" si="32"/>
        <v>0</v>
      </c>
      <c r="L199" s="1415"/>
      <c r="M199" s="1214"/>
      <c r="N199" s="1214"/>
      <c r="O199" s="1214"/>
      <c r="P199" s="1214"/>
      <c r="Q199" s="1214"/>
    </row>
    <row r="200" spans="1:17" s="1199" customFormat="1" ht="24" customHeight="1">
      <c r="A200" s="1339"/>
      <c r="B200" s="1259" t="s">
        <v>1487</v>
      </c>
      <c r="C200" s="1202"/>
      <c r="D200" s="1202"/>
      <c r="E200" s="1404">
        <v>4</v>
      </c>
      <c r="F200" s="1267" t="s">
        <v>363</v>
      </c>
      <c r="G200" s="1386">
        <v>1620</v>
      </c>
      <c r="H200" s="1343">
        <f t="shared" si="30"/>
        <v>6480</v>
      </c>
      <c r="I200" s="1414">
        <v>500</v>
      </c>
      <c r="J200" s="1343">
        <f t="shared" si="31"/>
        <v>2000</v>
      </c>
      <c r="K200" s="1262">
        <f t="shared" si="32"/>
        <v>8480</v>
      </c>
      <c r="L200" s="1415"/>
      <c r="M200" s="1214"/>
      <c r="N200" s="1214"/>
      <c r="O200" s="1214"/>
      <c r="P200" s="1214"/>
      <c r="Q200" s="1214"/>
    </row>
    <row r="201" spans="1:17" s="1199" customFormat="1" ht="24" customHeight="1">
      <c r="A201" s="1339"/>
      <c r="B201" s="1259" t="s">
        <v>1488</v>
      </c>
      <c r="C201" s="1202"/>
      <c r="D201" s="1202"/>
      <c r="E201" s="1404"/>
      <c r="F201" s="1267" t="s">
        <v>363</v>
      </c>
      <c r="G201" s="1386">
        <v>920</v>
      </c>
      <c r="H201" s="1343">
        <f t="shared" si="30"/>
        <v>0</v>
      </c>
      <c r="I201" s="1414">
        <v>250</v>
      </c>
      <c r="J201" s="1343">
        <f t="shared" si="31"/>
        <v>0</v>
      </c>
      <c r="K201" s="1262">
        <f t="shared" si="32"/>
        <v>0</v>
      </c>
      <c r="L201" s="1415"/>
      <c r="M201" s="1214"/>
      <c r="N201" s="1214"/>
      <c r="O201" s="1214"/>
      <c r="P201" s="1214"/>
      <c r="Q201" s="1214"/>
    </row>
    <row r="202" spans="1:17" s="1199" customFormat="1" ht="24" customHeight="1">
      <c r="A202" s="1339"/>
      <c r="B202" s="1259" t="s">
        <v>1489</v>
      </c>
      <c r="C202" s="1202"/>
      <c r="D202" s="1202"/>
      <c r="E202" s="1404"/>
      <c r="F202" s="1267" t="s">
        <v>363</v>
      </c>
      <c r="G202" s="1386">
        <v>2180</v>
      </c>
      <c r="H202" s="1343">
        <f t="shared" si="30"/>
        <v>0</v>
      </c>
      <c r="I202" s="1414">
        <v>500</v>
      </c>
      <c r="J202" s="1343">
        <f t="shared" si="31"/>
        <v>0</v>
      </c>
      <c r="K202" s="1262">
        <f t="shared" si="32"/>
        <v>0</v>
      </c>
      <c r="L202" s="1415"/>
      <c r="M202" s="1214"/>
      <c r="N202" s="1214"/>
      <c r="O202" s="1214"/>
      <c r="P202" s="1214"/>
    </row>
    <row r="203" spans="1:17" s="1199" customFormat="1" ht="24" customHeight="1">
      <c r="A203" s="1339"/>
      <c r="B203" s="1259" t="s">
        <v>1602</v>
      </c>
      <c r="C203" s="1202"/>
      <c r="D203" s="1202"/>
      <c r="E203" s="1404">
        <v>1</v>
      </c>
      <c r="F203" s="1267" t="s">
        <v>1104</v>
      </c>
      <c r="G203" s="1386">
        <f>SUM(H179:H201)*5%</f>
        <v>676</v>
      </c>
      <c r="H203" s="1343">
        <f t="shared" si="30"/>
        <v>676</v>
      </c>
      <c r="I203" s="1265">
        <f>ROUND(G203*0.3,)</f>
        <v>203</v>
      </c>
      <c r="J203" s="1343">
        <f t="shared" si="31"/>
        <v>203</v>
      </c>
      <c r="K203" s="1262">
        <f t="shared" si="32"/>
        <v>879</v>
      </c>
      <c r="L203" s="1415"/>
      <c r="M203" s="1214"/>
      <c r="N203" s="1214"/>
      <c r="O203" s="1214"/>
      <c r="P203" s="1214"/>
      <c r="Q203" s="1214"/>
    </row>
    <row r="204" spans="1:17" s="1199" customFormat="1" ht="24" customHeight="1">
      <c r="A204" s="1331"/>
      <c r="B204" s="2174" t="s">
        <v>1117</v>
      </c>
      <c r="C204" s="1202"/>
      <c r="D204" s="1202"/>
      <c r="E204" s="1387"/>
      <c r="F204" s="1207"/>
      <c r="G204" s="2176"/>
      <c r="H204" s="1388"/>
      <c r="I204" s="2177"/>
      <c r="J204" s="1385"/>
      <c r="K204" s="1385"/>
      <c r="L204" s="1385"/>
      <c r="M204" s="1214"/>
      <c r="N204" s="1214"/>
      <c r="O204" s="1214"/>
    </row>
    <row r="205" spans="1:17" s="1199" customFormat="1" ht="24" customHeight="1">
      <c r="A205" s="1331"/>
      <c r="B205" s="2174" t="s">
        <v>1369</v>
      </c>
      <c r="C205" s="1202"/>
      <c r="D205" s="1202"/>
      <c r="E205" s="1387"/>
      <c r="F205" s="1207"/>
      <c r="G205" s="2176"/>
      <c r="H205" s="1388"/>
      <c r="I205" s="2177"/>
      <c r="J205" s="1385"/>
      <c r="K205" s="1385"/>
      <c r="L205" s="1385"/>
      <c r="M205" s="1214"/>
      <c r="N205" s="1214"/>
      <c r="O205" s="1214"/>
    </row>
    <row r="206" spans="1:17" s="1199" customFormat="1" ht="24" customHeight="1">
      <c r="A206" s="1331"/>
      <c r="B206" s="2174" t="s">
        <v>1369</v>
      </c>
      <c r="C206" s="1202"/>
      <c r="D206" s="1202"/>
      <c r="E206" s="1387"/>
      <c r="F206" s="1384"/>
      <c r="G206" s="2176"/>
      <c r="H206" s="1388"/>
      <c r="I206" s="2177"/>
      <c r="J206" s="1385"/>
      <c r="K206" s="1385"/>
      <c r="L206" s="1385"/>
      <c r="M206" s="1214"/>
      <c r="N206" s="1214"/>
      <c r="O206" s="1214"/>
    </row>
    <row r="207" spans="1:17" s="1199" customFormat="1" ht="24" customHeight="1">
      <c r="A207" s="1440"/>
      <c r="B207" s="1441"/>
      <c r="C207" s="1442"/>
      <c r="D207" s="1442"/>
      <c r="E207" s="1443"/>
      <c r="F207" s="1507"/>
      <c r="G207" s="1445"/>
      <c r="H207" s="1446"/>
      <c r="I207" s="1447"/>
      <c r="J207" s="1448"/>
      <c r="K207" s="1448"/>
      <c r="L207" s="1448"/>
      <c r="M207" s="1214"/>
      <c r="N207" s="1214"/>
      <c r="O207" s="1214"/>
      <c r="P207" s="1214"/>
    </row>
    <row r="208" spans="1:17" s="1199" customFormat="1" ht="24" customHeight="1">
      <c r="A208" s="1243"/>
      <c r="B208" s="2257" t="str">
        <f>"รวมราคารายการที่ "&amp;A179</f>
        <v>รวมราคารายการที่ 3.7</v>
      </c>
      <c r="C208" s="2258"/>
      <c r="D208" s="2259"/>
      <c r="E208" s="1244"/>
      <c r="F208" s="1245"/>
      <c r="G208" s="1246"/>
      <c r="H208" s="1247">
        <f>SUM(H179:H205)</f>
        <v>14196</v>
      </c>
      <c r="I208" s="1246"/>
      <c r="J208" s="1247">
        <f t="shared" ref="J208:K208" si="33">SUM(J179:J205)</f>
        <v>4043</v>
      </c>
      <c r="K208" s="1247">
        <f t="shared" si="33"/>
        <v>18239</v>
      </c>
      <c r="L208" s="1245"/>
      <c r="M208" s="1214"/>
      <c r="N208" s="1214"/>
      <c r="O208" s="1214"/>
    </row>
    <row r="209" spans="1:17" s="1199" customFormat="1" ht="24" customHeight="1">
      <c r="A209" s="1435">
        <v>3.8</v>
      </c>
      <c r="B209" s="1436" t="s">
        <v>1371</v>
      </c>
      <c r="C209" s="1202"/>
      <c r="D209" s="1202"/>
      <c r="E209" s="1387"/>
      <c r="F209" s="1384"/>
      <c r="G209" s="2176"/>
      <c r="H209" s="1388"/>
      <c r="I209" s="2177"/>
      <c r="J209" s="1385"/>
      <c r="K209" s="1385"/>
      <c r="L209" s="1385"/>
      <c r="M209" s="1214"/>
      <c r="N209" s="1214"/>
      <c r="O209" s="1214"/>
    </row>
    <row r="210" spans="1:17" s="1199" customFormat="1" ht="24" customHeight="1">
      <c r="A210" s="1406" t="s">
        <v>1292</v>
      </c>
      <c r="B210" s="2174" t="s">
        <v>1491</v>
      </c>
      <c r="C210" s="1202"/>
      <c r="D210" s="1202"/>
      <c r="E210" s="1387">
        <v>2</v>
      </c>
      <c r="F210" s="1207" t="s">
        <v>363</v>
      </c>
      <c r="G210" s="2176">
        <f>30000+13500</f>
        <v>43500</v>
      </c>
      <c r="H210" s="1264">
        <f t="shared" ref="H210:H235" si="34">ROUND(E210*G210,)</f>
        <v>87000</v>
      </c>
      <c r="I210" s="2177">
        <f>G210*0.1</f>
        <v>4350</v>
      </c>
      <c r="J210" s="1264">
        <f t="shared" ref="J210:J244" si="35">ROUND(E210*I210,)</f>
        <v>8700</v>
      </c>
      <c r="K210" s="1273">
        <f t="shared" ref="K210:K244" si="36">H210+J210</f>
        <v>95700</v>
      </c>
      <c r="L210" s="1385"/>
      <c r="M210" s="1214"/>
      <c r="N210" s="1214"/>
      <c r="O210" s="1214"/>
    </row>
    <row r="211" spans="1:17" s="1199" customFormat="1" ht="24" customHeight="1">
      <c r="A211" s="1406" t="s">
        <v>1299</v>
      </c>
      <c r="B211" s="2174" t="s">
        <v>1492</v>
      </c>
      <c r="C211" s="1202"/>
      <c r="D211" s="1202"/>
      <c r="E211" s="1387">
        <v>6</v>
      </c>
      <c r="F211" s="1207" t="s">
        <v>363</v>
      </c>
      <c r="G211" s="2176">
        <v>1850</v>
      </c>
      <c r="H211" s="1264">
        <f t="shared" si="34"/>
        <v>11100</v>
      </c>
      <c r="I211" s="2177">
        <v>250</v>
      </c>
      <c r="J211" s="1264">
        <f t="shared" si="35"/>
        <v>1500</v>
      </c>
      <c r="K211" s="1273">
        <f t="shared" si="36"/>
        <v>12600</v>
      </c>
      <c r="L211" s="1385"/>
      <c r="M211" s="1214"/>
      <c r="N211" s="1214"/>
      <c r="O211" s="1214"/>
    </row>
    <row r="212" spans="1:17" s="1199" customFormat="1" ht="24" customHeight="1">
      <c r="A212" s="1406" t="s">
        <v>1301</v>
      </c>
      <c r="B212" s="2174" t="s">
        <v>1493</v>
      </c>
      <c r="C212" s="1202"/>
      <c r="D212" s="1202"/>
      <c r="E212" s="1387">
        <v>6</v>
      </c>
      <c r="F212" s="1207" t="s">
        <v>363</v>
      </c>
      <c r="G212" s="2176">
        <v>1850</v>
      </c>
      <c r="H212" s="1264">
        <f t="shared" si="34"/>
        <v>11100</v>
      </c>
      <c r="I212" s="2177">
        <v>250</v>
      </c>
      <c r="J212" s="1264">
        <f t="shared" si="35"/>
        <v>1500</v>
      </c>
      <c r="K212" s="1273">
        <f t="shared" si="36"/>
        <v>12600</v>
      </c>
      <c r="L212" s="1385"/>
      <c r="M212" s="1214"/>
      <c r="N212" s="1214"/>
      <c r="O212" s="1214"/>
    </row>
    <row r="213" spans="1:17" s="1199" customFormat="1" ht="24" customHeight="1">
      <c r="A213" s="1406" t="s">
        <v>1309</v>
      </c>
      <c r="B213" s="2174" t="s">
        <v>1494</v>
      </c>
      <c r="C213" s="1202"/>
      <c r="D213" s="1202"/>
      <c r="E213" s="1387">
        <v>4</v>
      </c>
      <c r="F213" s="1207" t="s">
        <v>363</v>
      </c>
      <c r="G213" s="2176">
        <v>1850</v>
      </c>
      <c r="H213" s="1264">
        <f t="shared" si="34"/>
        <v>7400</v>
      </c>
      <c r="I213" s="2177">
        <v>250</v>
      </c>
      <c r="J213" s="1264">
        <f t="shared" si="35"/>
        <v>1000</v>
      </c>
      <c r="K213" s="1273">
        <f t="shared" si="36"/>
        <v>8400</v>
      </c>
      <c r="L213" s="1385"/>
      <c r="M213" s="1214"/>
      <c r="N213" s="1214"/>
      <c r="O213" s="1214"/>
    </row>
    <row r="214" spans="1:17" s="1199" customFormat="1" ht="24" customHeight="1">
      <c r="A214" s="1406" t="s">
        <v>1533</v>
      </c>
      <c r="B214" s="2174" t="s">
        <v>1495</v>
      </c>
      <c r="C214" s="1202"/>
      <c r="D214" s="1202"/>
      <c r="E214" s="1387">
        <v>4</v>
      </c>
      <c r="F214" s="1207" t="s">
        <v>363</v>
      </c>
      <c r="G214" s="2176">
        <v>1850</v>
      </c>
      <c r="H214" s="1264">
        <f t="shared" si="34"/>
        <v>7400</v>
      </c>
      <c r="I214" s="2177">
        <v>250</v>
      </c>
      <c r="J214" s="1264">
        <f t="shared" si="35"/>
        <v>1000</v>
      </c>
      <c r="K214" s="1273">
        <f t="shared" si="36"/>
        <v>8400</v>
      </c>
      <c r="L214" s="1385"/>
      <c r="M214" s="1214"/>
      <c r="N214" s="1214"/>
      <c r="O214" s="1214"/>
    </row>
    <row r="215" spans="1:17" s="1199" customFormat="1" ht="24" customHeight="1">
      <c r="A215" s="1406" t="s">
        <v>1536</v>
      </c>
      <c r="B215" s="2174" t="s">
        <v>1496</v>
      </c>
      <c r="C215" s="1202"/>
      <c r="D215" s="1202"/>
      <c r="E215" s="1387"/>
      <c r="F215" s="1207" t="s">
        <v>363</v>
      </c>
      <c r="G215" s="2176">
        <v>1850</v>
      </c>
      <c r="H215" s="1264">
        <f t="shared" si="34"/>
        <v>0</v>
      </c>
      <c r="I215" s="2177">
        <v>250</v>
      </c>
      <c r="J215" s="1264">
        <f t="shared" si="35"/>
        <v>0</v>
      </c>
      <c r="K215" s="1273">
        <f t="shared" si="36"/>
        <v>0</v>
      </c>
      <c r="L215" s="1385"/>
      <c r="M215" s="1214"/>
      <c r="N215" s="1214"/>
      <c r="O215" s="1214"/>
    </row>
    <row r="216" spans="1:17" s="1199" customFormat="1" ht="24" customHeight="1">
      <c r="A216" s="1406" t="s">
        <v>1537</v>
      </c>
      <c r="B216" s="2174" t="s">
        <v>1497</v>
      </c>
      <c r="C216" s="1202"/>
      <c r="D216" s="1202"/>
      <c r="E216" s="1387">
        <v>2</v>
      </c>
      <c r="F216" s="1207" t="s">
        <v>363</v>
      </c>
      <c r="G216" s="2176">
        <v>2750</v>
      </c>
      <c r="H216" s="1264">
        <f t="shared" si="34"/>
        <v>5500</v>
      </c>
      <c r="I216" s="2177">
        <v>250</v>
      </c>
      <c r="J216" s="1264">
        <f t="shared" si="35"/>
        <v>500</v>
      </c>
      <c r="K216" s="1273">
        <f t="shared" si="36"/>
        <v>6000</v>
      </c>
      <c r="L216" s="1385"/>
      <c r="M216" s="1214"/>
      <c r="N216" s="1214"/>
      <c r="O216" s="1214"/>
    </row>
    <row r="217" spans="1:17" s="1199" customFormat="1" ht="24" customHeight="1">
      <c r="A217" s="1406" t="s">
        <v>1538</v>
      </c>
      <c r="B217" s="2174" t="s">
        <v>1498</v>
      </c>
      <c r="C217" s="1202"/>
      <c r="D217" s="1202"/>
      <c r="E217" s="1387">
        <v>2</v>
      </c>
      <c r="F217" s="1207" t="s">
        <v>363</v>
      </c>
      <c r="G217" s="2176">
        <v>2750</v>
      </c>
      <c r="H217" s="1264">
        <f t="shared" si="34"/>
        <v>5500</v>
      </c>
      <c r="I217" s="2177">
        <v>250</v>
      </c>
      <c r="J217" s="1264">
        <f t="shared" si="35"/>
        <v>500</v>
      </c>
      <c r="K217" s="1273">
        <f t="shared" si="36"/>
        <v>6000</v>
      </c>
      <c r="L217" s="1385"/>
      <c r="M217" s="1214"/>
      <c r="N217" s="1214"/>
      <c r="O217" s="1214"/>
    </row>
    <row r="218" spans="1:17" s="1199" customFormat="1" ht="24" customHeight="1">
      <c r="A218" s="1406" t="s">
        <v>2900</v>
      </c>
      <c r="B218" s="2174" t="s">
        <v>1500</v>
      </c>
      <c r="C218" s="1202"/>
      <c r="D218" s="1202"/>
      <c r="E218" s="1387">
        <v>2</v>
      </c>
      <c r="F218" s="1207" t="s">
        <v>363</v>
      </c>
      <c r="G218" s="2176">
        <v>2750</v>
      </c>
      <c r="H218" s="1264">
        <f t="shared" si="34"/>
        <v>5500</v>
      </c>
      <c r="I218" s="2177">
        <v>250</v>
      </c>
      <c r="J218" s="1264">
        <f t="shared" si="35"/>
        <v>500</v>
      </c>
      <c r="K218" s="1273">
        <f t="shared" si="36"/>
        <v>6000</v>
      </c>
      <c r="L218" s="1385"/>
      <c r="M218" s="1214"/>
      <c r="N218" s="1214"/>
      <c r="O218" s="1214"/>
    </row>
    <row r="219" spans="1:17" s="1199" customFormat="1" ht="24" customHeight="1">
      <c r="A219" s="1406" t="s">
        <v>2901</v>
      </c>
      <c r="B219" s="1190" t="s">
        <v>1603</v>
      </c>
      <c r="C219" s="1202"/>
      <c r="D219" s="1202"/>
      <c r="E219" s="1387">
        <v>2</v>
      </c>
      <c r="F219" s="1194" t="s">
        <v>363</v>
      </c>
      <c r="G219" s="2176">
        <v>2750</v>
      </c>
      <c r="H219" s="1264">
        <f t="shared" si="34"/>
        <v>5500</v>
      </c>
      <c r="I219" s="2177">
        <v>250</v>
      </c>
      <c r="J219" s="1264">
        <f t="shared" si="35"/>
        <v>500</v>
      </c>
      <c r="K219" s="1273">
        <f t="shared" si="36"/>
        <v>6000</v>
      </c>
      <c r="L219" s="1385"/>
      <c r="M219" s="1214"/>
      <c r="N219" s="1214"/>
      <c r="O219" s="1214"/>
      <c r="P219" s="1214"/>
      <c r="Q219" s="1214"/>
    </row>
    <row r="220" spans="1:17" s="1199" customFormat="1" ht="24" customHeight="1">
      <c r="A220" s="1406" t="s">
        <v>2902</v>
      </c>
      <c r="B220" s="2174" t="s">
        <v>1502</v>
      </c>
      <c r="C220" s="1202"/>
      <c r="D220" s="1202"/>
      <c r="E220" s="1387">
        <v>2</v>
      </c>
      <c r="F220" s="1207" t="s">
        <v>363</v>
      </c>
      <c r="G220" s="2176">
        <v>2750</v>
      </c>
      <c r="H220" s="1264">
        <f t="shared" si="34"/>
        <v>5500</v>
      </c>
      <c r="I220" s="2177">
        <v>250</v>
      </c>
      <c r="J220" s="1264">
        <f t="shared" si="35"/>
        <v>500</v>
      </c>
      <c r="K220" s="1273">
        <f t="shared" si="36"/>
        <v>6000</v>
      </c>
      <c r="L220" s="1385"/>
      <c r="M220" s="1214"/>
      <c r="N220" s="1214"/>
      <c r="O220" s="1214"/>
    </row>
    <row r="221" spans="1:17" s="1199" customFormat="1" ht="24" customHeight="1">
      <c r="A221" s="1406" t="s">
        <v>2903</v>
      </c>
      <c r="B221" s="2174" t="s">
        <v>1504</v>
      </c>
      <c r="C221" s="1202"/>
      <c r="D221" s="1202"/>
      <c r="E221" s="1387">
        <v>2</v>
      </c>
      <c r="F221" s="1207" t="s">
        <v>363</v>
      </c>
      <c r="G221" s="2176">
        <v>2750</v>
      </c>
      <c r="H221" s="1264">
        <f t="shared" si="34"/>
        <v>5500</v>
      </c>
      <c r="I221" s="2177">
        <v>250</v>
      </c>
      <c r="J221" s="1264">
        <f t="shared" si="35"/>
        <v>500</v>
      </c>
      <c r="K221" s="1273">
        <f t="shared" si="36"/>
        <v>6000</v>
      </c>
      <c r="L221" s="1385"/>
      <c r="M221" s="1214"/>
      <c r="N221" s="1214"/>
      <c r="O221" s="1214"/>
    </row>
    <row r="222" spans="1:17" s="1199" customFormat="1" ht="24" customHeight="1">
      <c r="A222" s="1406" t="s">
        <v>2904</v>
      </c>
      <c r="B222" s="2174" t="s">
        <v>1506</v>
      </c>
      <c r="C222" s="1202"/>
      <c r="D222" s="1202"/>
      <c r="E222" s="1387"/>
      <c r="F222" s="1207" t="s">
        <v>363</v>
      </c>
      <c r="G222" s="2176">
        <v>2750</v>
      </c>
      <c r="H222" s="1264">
        <f t="shared" si="34"/>
        <v>0</v>
      </c>
      <c r="I222" s="2177">
        <v>250</v>
      </c>
      <c r="J222" s="1264">
        <f t="shared" si="35"/>
        <v>0</v>
      </c>
      <c r="K222" s="1273">
        <f t="shared" si="36"/>
        <v>0</v>
      </c>
      <c r="L222" s="1385"/>
      <c r="M222" s="1214"/>
      <c r="N222" s="1214"/>
      <c r="O222" s="1214"/>
    </row>
    <row r="223" spans="1:17" s="1199" customFormat="1" ht="24" customHeight="1">
      <c r="A223" s="1406" t="s">
        <v>2905</v>
      </c>
      <c r="B223" s="2174" t="s">
        <v>1508</v>
      </c>
      <c r="C223" s="1202"/>
      <c r="D223" s="1202"/>
      <c r="E223" s="1387">
        <v>4</v>
      </c>
      <c r="F223" s="1207" t="s">
        <v>363</v>
      </c>
      <c r="G223" s="2176">
        <v>2250</v>
      </c>
      <c r="H223" s="1264">
        <f t="shared" si="34"/>
        <v>9000</v>
      </c>
      <c r="I223" s="2177">
        <v>250</v>
      </c>
      <c r="J223" s="1264">
        <f t="shared" si="35"/>
        <v>1000</v>
      </c>
      <c r="K223" s="1273">
        <f t="shared" si="36"/>
        <v>10000</v>
      </c>
      <c r="L223" s="1385"/>
      <c r="M223" s="1214"/>
      <c r="N223" s="1214"/>
      <c r="O223" s="1214"/>
    </row>
    <row r="224" spans="1:17" s="1199" customFormat="1" ht="24" customHeight="1">
      <c r="A224" s="1406" t="s">
        <v>2906</v>
      </c>
      <c r="B224" s="2174" t="s">
        <v>1510</v>
      </c>
      <c r="C224" s="1202"/>
      <c r="D224" s="1202"/>
      <c r="E224" s="1387">
        <v>240</v>
      </c>
      <c r="F224" s="1207" t="s">
        <v>363</v>
      </c>
      <c r="G224" s="2176">
        <f>3300+300</f>
        <v>3600</v>
      </c>
      <c r="H224" s="1264">
        <f t="shared" si="34"/>
        <v>864000</v>
      </c>
      <c r="I224" s="2177">
        <v>200</v>
      </c>
      <c r="J224" s="1264">
        <f t="shared" si="35"/>
        <v>48000</v>
      </c>
      <c r="K224" s="1273">
        <f t="shared" si="36"/>
        <v>912000</v>
      </c>
      <c r="L224" s="1385"/>
      <c r="M224" s="1214"/>
      <c r="N224" s="1214"/>
      <c r="O224" s="1214"/>
    </row>
    <row r="225" spans="1:17" s="1199" customFormat="1" ht="24" customHeight="1">
      <c r="A225" s="1406" t="s">
        <v>2907</v>
      </c>
      <c r="B225" s="2174" t="s">
        <v>1512</v>
      </c>
      <c r="C225" s="1202"/>
      <c r="D225" s="1202"/>
      <c r="E225" s="1387">
        <v>10</v>
      </c>
      <c r="F225" s="1207" t="s">
        <v>363</v>
      </c>
      <c r="G225" s="2176">
        <v>5000</v>
      </c>
      <c r="H225" s="1264">
        <f t="shared" si="34"/>
        <v>50000</v>
      </c>
      <c r="I225" s="2177">
        <v>500</v>
      </c>
      <c r="J225" s="1264">
        <f t="shared" si="35"/>
        <v>5000</v>
      </c>
      <c r="K225" s="1273">
        <f t="shared" si="36"/>
        <v>55000</v>
      </c>
      <c r="L225" s="1385"/>
      <c r="M225" s="1214"/>
      <c r="N225" s="1214"/>
      <c r="O225" s="1214"/>
    </row>
    <row r="226" spans="1:17" s="1199" customFormat="1" ht="24" customHeight="1">
      <c r="A226" s="1406" t="s">
        <v>2908</v>
      </c>
      <c r="B226" s="2174" t="s">
        <v>1514</v>
      </c>
      <c r="C226" s="1202"/>
      <c r="D226" s="1202"/>
      <c r="E226" s="1387">
        <v>6</v>
      </c>
      <c r="F226" s="1207" t="s">
        <v>363</v>
      </c>
      <c r="G226" s="2176">
        <v>350</v>
      </c>
      <c r="H226" s="1264">
        <f t="shared" si="34"/>
        <v>2100</v>
      </c>
      <c r="I226" s="2177">
        <v>200</v>
      </c>
      <c r="J226" s="1264">
        <f t="shared" si="35"/>
        <v>1200</v>
      </c>
      <c r="K226" s="1273">
        <f t="shared" si="36"/>
        <v>3300</v>
      </c>
      <c r="L226" s="1385"/>
      <c r="M226" s="1214"/>
      <c r="N226" s="1214"/>
      <c r="O226" s="1214"/>
    </row>
    <row r="227" spans="1:17" s="1199" customFormat="1" ht="24" customHeight="1">
      <c r="A227" s="1406" t="s">
        <v>2909</v>
      </c>
      <c r="B227" s="2174" t="s">
        <v>1516</v>
      </c>
      <c r="C227" s="1202"/>
      <c r="D227" s="1202"/>
      <c r="E227" s="1387">
        <v>6</v>
      </c>
      <c r="F227" s="1207" t="s">
        <v>363</v>
      </c>
      <c r="G227" s="2176">
        <v>4200</v>
      </c>
      <c r="H227" s="1264">
        <f t="shared" si="34"/>
        <v>25200</v>
      </c>
      <c r="I227" s="2177">
        <v>200</v>
      </c>
      <c r="J227" s="1264">
        <f t="shared" si="35"/>
        <v>1200</v>
      </c>
      <c r="K227" s="1273">
        <f t="shared" si="36"/>
        <v>26400</v>
      </c>
      <c r="L227" s="1385"/>
      <c r="M227" s="1214"/>
      <c r="N227" s="1214"/>
      <c r="O227" s="1214"/>
    </row>
    <row r="228" spans="1:17" s="1199" customFormat="1" ht="24" customHeight="1">
      <c r="A228" s="1406" t="s">
        <v>2910</v>
      </c>
      <c r="B228" s="2174" t="s">
        <v>1518</v>
      </c>
      <c r="C228" s="1202"/>
      <c r="D228" s="1202"/>
      <c r="E228" s="1387">
        <v>22</v>
      </c>
      <c r="F228" s="1207" t="s">
        <v>363</v>
      </c>
      <c r="G228" s="2176">
        <v>2200</v>
      </c>
      <c r="H228" s="1264">
        <f t="shared" si="34"/>
        <v>48400</v>
      </c>
      <c r="I228" s="2177">
        <v>200</v>
      </c>
      <c r="J228" s="1264">
        <f t="shared" si="35"/>
        <v>4400</v>
      </c>
      <c r="K228" s="1273">
        <f t="shared" si="36"/>
        <v>52800</v>
      </c>
      <c r="L228" s="1385"/>
      <c r="M228" s="1214"/>
      <c r="N228" s="1214"/>
      <c r="O228" s="1214"/>
    </row>
    <row r="229" spans="1:17" s="1199" customFormat="1" ht="24" customHeight="1">
      <c r="A229" s="1406" t="s">
        <v>2911</v>
      </c>
      <c r="B229" s="2174" t="s">
        <v>1604</v>
      </c>
      <c r="C229" s="1202"/>
      <c r="D229" s="1202"/>
      <c r="E229" s="1387">
        <v>2</v>
      </c>
      <c r="F229" s="1207" t="s">
        <v>363</v>
      </c>
      <c r="G229" s="2176">
        <v>4785</v>
      </c>
      <c r="H229" s="1264">
        <f>ROUND(E229*G229,)</f>
        <v>9570</v>
      </c>
      <c r="I229" s="2177">
        <v>100</v>
      </c>
      <c r="J229" s="1264">
        <f>ROUND(E229*I229,)</f>
        <v>200</v>
      </c>
      <c r="K229" s="1273">
        <f>H229+J229</f>
        <v>9770</v>
      </c>
      <c r="L229" s="1385"/>
      <c r="M229" s="1214"/>
      <c r="N229" s="1214"/>
      <c r="O229" s="1214"/>
      <c r="P229" s="1214"/>
      <c r="Q229" s="1214"/>
    </row>
    <row r="230" spans="1:17" s="1199" customFormat="1" ht="24" customHeight="1">
      <c r="A230" s="1406" t="s">
        <v>2912</v>
      </c>
      <c r="B230" s="2174" t="s">
        <v>1521</v>
      </c>
      <c r="C230" s="1202"/>
      <c r="D230" s="1202"/>
      <c r="E230" s="1387">
        <v>2</v>
      </c>
      <c r="F230" s="1207" t="s">
        <v>363</v>
      </c>
      <c r="G230" s="2176">
        <v>5000</v>
      </c>
      <c r="H230" s="1264">
        <f t="shared" si="34"/>
        <v>10000</v>
      </c>
      <c r="I230" s="2177">
        <v>500</v>
      </c>
      <c r="J230" s="1264">
        <f t="shared" si="35"/>
        <v>1000</v>
      </c>
      <c r="K230" s="1273">
        <f t="shared" si="36"/>
        <v>11000</v>
      </c>
      <c r="L230" s="1385"/>
      <c r="M230" s="1214"/>
      <c r="N230" s="1214"/>
      <c r="O230" s="1214"/>
    </row>
    <row r="231" spans="1:17" s="1199" customFormat="1" ht="24" customHeight="1">
      <c r="A231" s="1406" t="s">
        <v>2913</v>
      </c>
      <c r="B231" s="2174" t="s">
        <v>1312</v>
      </c>
      <c r="C231" s="1202"/>
      <c r="D231" s="1202"/>
      <c r="E231" s="1387"/>
      <c r="F231" s="1384"/>
      <c r="G231" s="2176"/>
      <c r="H231" s="1264">
        <f t="shared" si="34"/>
        <v>0</v>
      </c>
      <c r="I231" s="2177"/>
      <c r="J231" s="1264">
        <f t="shared" si="35"/>
        <v>0</v>
      </c>
      <c r="K231" s="1273">
        <f t="shared" si="36"/>
        <v>0</v>
      </c>
      <c r="L231" s="1385"/>
      <c r="M231" s="1214"/>
      <c r="N231" s="1214"/>
      <c r="O231" s="1214"/>
    </row>
    <row r="232" spans="1:17" s="1199" customFormat="1" ht="24" customHeight="1">
      <c r="A232" s="1331"/>
      <c r="B232" s="2174" t="s">
        <v>1523</v>
      </c>
      <c r="C232" s="1202"/>
      <c r="D232" s="1202"/>
      <c r="E232" s="1404">
        <v>1440</v>
      </c>
      <c r="F232" s="1358" t="s">
        <v>226</v>
      </c>
      <c r="G232" s="2176">
        <v>82</v>
      </c>
      <c r="H232" s="1264">
        <f t="shared" si="34"/>
        <v>118080</v>
      </c>
      <c r="I232" s="2177">
        <v>12</v>
      </c>
      <c r="J232" s="1264">
        <f t="shared" si="35"/>
        <v>17280</v>
      </c>
      <c r="K232" s="1273">
        <f t="shared" si="36"/>
        <v>135360</v>
      </c>
      <c r="L232" s="1385"/>
      <c r="M232" s="1214"/>
      <c r="N232" s="1214"/>
      <c r="O232" s="1214"/>
    </row>
    <row r="233" spans="1:17" s="1199" customFormat="1" ht="24" customHeight="1">
      <c r="A233" s="1331"/>
      <c r="B233" s="2174" t="s">
        <v>2553</v>
      </c>
      <c r="C233" s="1202"/>
      <c r="D233" s="1202"/>
      <c r="E233" s="1404">
        <v>2400</v>
      </c>
      <c r="F233" s="1358" t="s">
        <v>226</v>
      </c>
      <c r="G233" s="2176">
        <v>6</v>
      </c>
      <c r="H233" s="1264">
        <f t="shared" si="34"/>
        <v>14400</v>
      </c>
      <c r="I233" s="2177">
        <v>6</v>
      </c>
      <c r="J233" s="1264">
        <f t="shared" si="35"/>
        <v>14400</v>
      </c>
      <c r="K233" s="1273">
        <f t="shared" si="36"/>
        <v>28800</v>
      </c>
      <c r="L233" s="1385"/>
      <c r="M233" s="1214"/>
      <c r="N233" s="1214"/>
      <c r="O233" s="1214"/>
    </row>
    <row r="234" spans="1:17" s="1199" customFormat="1" ht="24" customHeight="1">
      <c r="A234" s="1331"/>
      <c r="B234" s="2174" t="s">
        <v>1524</v>
      </c>
      <c r="C234" s="1202"/>
      <c r="D234" s="1202"/>
      <c r="E234" s="1404">
        <v>1865</v>
      </c>
      <c r="F234" s="1358" t="s">
        <v>226</v>
      </c>
      <c r="G234" s="2176">
        <v>18</v>
      </c>
      <c r="H234" s="1264">
        <f t="shared" si="34"/>
        <v>33570</v>
      </c>
      <c r="I234" s="2177">
        <v>8</v>
      </c>
      <c r="J234" s="1264">
        <f t="shared" si="35"/>
        <v>14920</v>
      </c>
      <c r="K234" s="1273">
        <f t="shared" si="36"/>
        <v>48490</v>
      </c>
      <c r="L234" s="1385"/>
      <c r="M234" s="1214"/>
      <c r="N234" s="1214"/>
      <c r="O234" s="1214"/>
    </row>
    <row r="235" spans="1:17" s="1199" customFormat="1" ht="24" customHeight="1">
      <c r="A235" s="1331"/>
      <c r="B235" s="2174" t="s">
        <v>1525</v>
      </c>
      <c r="C235" s="1202"/>
      <c r="D235" s="1202"/>
      <c r="E235" s="1404">
        <v>1</v>
      </c>
      <c r="F235" s="1384" t="s">
        <v>1104</v>
      </c>
      <c r="G235" s="2176">
        <f>ROUND(SUM(H232:H234)*5%,)</f>
        <v>8303</v>
      </c>
      <c r="H235" s="1264">
        <f t="shared" si="34"/>
        <v>8303</v>
      </c>
      <c r="I235" s="1265">
        <f>ROUND(G235*0.3,)</f>
        <v>2491</v>
      </c>
      <c r="J235" s="1264">
        <f t="shared" si="35"/>
        <v>2491</v>
      </c>
      <c r="K235" s="1273">
        <f t="shared" si="36"/>
        <v>10794</v>
      </c>
      <c r="L235" s="1385"/>
      <c r="M235" s="1214"/>
      <c r="N235" s="1214"/>
      <c r="O235" s="1214"/>
    </row>
    <row r="236" spans="1:17" s="1199" customFormat="1" ht="24" customHeight="1">
      <c r="A236" s="1406" t="s">
        <v>2914</v>
      </c>
      <c r="B236" s="2174" t="s">
        <v>1526</v>
      </c>
      <c r="C236" s="1202"/>
      <c r="D236" s="1202"/>
      <c r="E236" s="1387"/>
      <c r="F236" s="1384"/>
      <c r="G236" s="2176"/>
      <c r="H236" s="1264">
        <f>ROUND(G236*E236,)</f>
        <v>0</v>
      </c>
      <c r="I236" s="2177"/>
      <c r="J236" s="1264">
        <f t="shared" si="35"/>
        <v>0</v>
      </c>
      <c r="K236" s="1273">
        <f t="shared" si="36"/>
        <v>0</v>
      </c>
      <c r="L236" s="1385"/>
      <c r="M236" s="1214"/>
      <c r="N236" s="1214"/>
      <c r="O236" s="1214"/>
      <c r="P236" s="1214"/>
    </row>
    <row r="237" spans="1:17" s="1199" customFormat="1" ht="24" customHeight="1">
      <c r="A237" s="1331"/>
      <c r="B237" s="2174" t="s">
        <v>1350</v>
      </c>
      <c r="C237" s="1202"/>
      <c r="D237" s="1202"/>
      <c r="E237" s="1387">
        <v>1200</v>
      </c>
      <c r="F237" s="1358" t="s">
        <v>226</v>
      </c>
      <c r="G237" s="2176">
        <v>27</v>
      </c>
      <c r="H237" s="1264">
        <f t="shared" ref="H237" si="37">ROUND(E237*G237,)</f>
        <v>32400</v>
      </c>
      <c r="I237" s="2177">
        <v>22</v>
      </c>
      <c r="J237" s="1264">
        <f t="shared" si="35"/>
        <v>26400</v>
      </c>
      <c r="K237" s="1802">
        <f t="shared" si="36"/>
        <v>58800</v>
      </c>
      <c r="L237" s="2001" t="s">
        <v>2667</v>
      </c>
      <c r="M237" s="1214"/>
      <c r="N237" s="1199">
        <v>79.8</v>
      </c>
      <c r="O237" s="1199">
        <f>ROUND(N237/3,)</f>
        <v>27</v>
      </c>
      <c r="P237" s="1214"/>
    </row>
    <row r="238" spans="1:17" s="1199" customFormat="1" ht="24" customHeight="1">
      <c r="A238" s="1331"/>
      <c r="B238" s="2174" t="s">
        <v>1384</v>
      </c>
      <c r="C238" s="1202"/>
      <c r="D238" s="1202"/>
      <c r="E238" s="1387">
        <v>1</v>
      </c>
      <c r="F238" s="1407" t="s">
        <v>1104</v>
      </c>
      <c r="G238" s="2176">
        <f>SUM(H237:H237)*15%</f>
        <v>4860</v>
      </c>
      <c r="H238" s="1264">
        <f>ROUND(G238*E238,)</f>
        <v>4860</v>
      </c>
      <c r="I238" s="2177">
        <f>G238*0.3</f>
        <v>1458</v>
      </c>
      <c r="J238" s="1264">
        <f t="shared" si="35"/>
        <v>1458</v>
      </c>
      <c r="K238" s="1273">
        <f t="shared" si="36"/>
        <v>6318</v>
      </c>
      <c r="L238" s="1385"/>
      <c r="M238" s="1214"/>
      <c r="N238" s="1214"/>
      <c r="O238" s="1214"/>
      <c r="P238" s="1214"/>
    </row>
    <row r="239" spans="1:17" s="1199" customFormat="1" ht="24" customHeight="1">
      <c r="A239" s="1406" t="s">
        <v>2915</v>
      </c>
      <c r="B239" s="2174" t="s">
        <v>1110</v>
      </c>
      <c r="C239" s="1202"/>
      <c r="D239" s="1202"/>
      <c r="E239" s="1387"/>
      <c r="F239" s="1384"/>
      <c r="G239" s="2176"/>
      <c r="H239" s="1264">
        <f t="shared" ref="H239:H244" si="38">ROUND(E239*G239,)</f>
        <v>0</v>
      </c>
      <c r="I239" s="2177"/>
      <c r="J239" s="1264">
        <f t="shared" si="35"/>
        <v>0</v>
      </c>
      <c r="K239" s="1273">
        <f t="shared" si="36"/>
        <v>0</v>
      </c>
      <c r="L239" s="1385"/>
      <c r="M239" s="1214"/>
      <c r="N239" s="1214"/>
      <c r="O239" s="1214"/>
      <c r="P239" s="1214"/>
    </row>
    <row r="240" spans="1:17" s="1199" customFormat="1" ht="24" customHeight="1">
      <c r="A240" s="1331"/>
      <c r="B240" s="2174" t="s">
        <v>1350</v>
      </c>
      <c r="C240" s="1202"/>
      <c r="D240" s="1202"/>
      <c r="E240" s="1387"/>
      <c r="F240" s="1358" t="s">
        <v>226</v>
      </c>
      <c r="G240" s="2176">
        <v>56</v>
      </c>
      <c r="H240" s="1264">
        <f t="shared" si="38"/>
        <v>0</v>
      </c>
      <c r="I240" s="2177">
        <v>26</v>
      </c>
      <c r="J240" s="1264">
        <f t="shared" si="35"/>
        <v>0</v>
      </c>
      <c r="K240" s="1273">
        <f t="shared" si="36"/>
        <v>0</v>
      </c>
      <c r="L240" s="2001" t="s">
        <v>2667</v>
      </c>
      <c r="M240" s="1214"/>
      <c r="N240" s="1199">
        <v>169.2</v>
      </c>
      <c r="O240" s="1199">
        <f>ROUND(N240/3,)</f>
        <v>56</v>
      </c>
      <c r="P240" s="1214"/>
    </row>
    <row r="241" spans="1:16" s="1199" customFormat="1" ht="24" customHeight="1">
      <c r="A241" s="1331"/>
      <c r="B241" s="2174" t="s">
        <v>1448</v>
      </c>
      <c r="C241" s="1202"/>
      <c r="D241" s="1202"/>
      <c r="E241" s="1404">
        <v>3305</v>
      </c>
      <c r="F241" s="1358" t="s">
        <v>226</v>
      </c>
      <c r="G241" s="2176">
        <v>75</v>
      </c>
      <c r="H241" s="1264">
        <f t="shared" si="38"/>
        <v>247875</v>
      </c>
      <c r="I241" s="2177">
        <v>29</v>
      </c>
      <c r="J241" s="1264">
        <f t="shared" si="35"/>
        <v>95845</v>
      </c>
      <c r="K241" s="1273">
        <f>H241+J241</f>
        <v>343720</v>
      </c>
      <c r="L241" s="2001" t="s">
        <v>2667</v>
      </c>
      <c r="N241" s="1199">
        <v>225</v>
      </c>
      <c r="O241" s="1199">
        <f>ROUND(N241/3,)</f>
        <v>75</v>
      </c>
      <c r="P241" s="1214"/>
    </row>
    <row r="242" spans="1:16" s="1199" customFormat="1" ht="24" customHeight="1">
      <c r="A242" s="1331"/>
      <c r="B242" s="2174" t="s">
        <v>1108</v>
      </c>
      <c r="C242" s="1202"/>
      <c r="D242" s="1202"/>
      <c r="E242" s="1387">
        <v>1</v>
      </c>
      <c r="F242" s="1384" t="s">
        <v>1104</v>
      </c>
      <c r="G242" s="2176">
        <f>SUM(H240:H241)*15%</f>
        <v>37181.25</v>
      </c>
      <c r="H242" s="1264">
        <f t="shared" si="38"/>
        <v>37181</v>
      </c>
      <c r="I242" s="1265">
        <f>ROUND(G242*0.3,)</f>
        <v>11154</v>
      </c>
      <c r="J242" s="1264">
        <f t="shared" si="35"/>
        <v>11154</v>
      </c>
      <c r="K242" s="1273">
        <f t="shared" si="36"/>
        <v>48335</v>
      </c>
      <c r="L242" s="1385"/>
      <c r="M242" s="1214"/>
      <c r="N242" s="1214"/>
      <c r="O242" s="1214"/>
      <c r="P242" s="1214"/>
    </row>
    <row r="243" spans="1:16" s="1199" customFormat="1" ht="24" customHeight="1">
      <c r="A243" s="1406" t="s">
        <v>2916</v>
      </c>
      <c r="B243" s="2174" t="s">
        <v>1449</v>
      </c>
      <c r="C243" s="1202"/>
      <c r="D243" s="1202"/>
      <c r="E243" s="1387"/>
      <c r="F243" s="1384"/>
      <c r="G243" s="2176"/>
      <c r="H243" s="1264">
        <f t="shared" si="38"/>
        <v>0</v>
      </c>
      <c r="I243" s="2177"/>
      <c r="J243" s="1264">
        <f t="shared" si="35"/>
        <v>0</v>
      </c>
      <c r="K243" s="1273">
        <f t="shared" si="36"/>
        <v>0</v>
      </c>
      <c r="L243" s="1385"/>
      <c r="M243" s="1214"/>
      <c r="N243" s="1214"/>
      <c r="O243" s="1214"/>
      <c r="P243" s="1214"/>
    </row>
    <row r="244" spans="1:16" s="1199" customFormat="1" ht="24" customHeight="1">
      <c r="A244" s="1331"/>
      <c r="B244" s="2174" t="s">
        <v>1350</v>
      </c>
      <c r="C244" s="1202"/>
      <c r="D244" s="1202"/>
      <c r="E244" s="1387">
        <v>240</v>
      </c>
      <c r="F244" s="1358" t="s">
        <v>226</v>
      </c>
      <c r="G244" s="2176">
        <v>14</v>
      </c>
      <c r="H244" s="1264">
        <f t="shared" si="38"/>
        <v>3360</v>
      </c>
      <c r="I244" s="2177">
        <v>11</v>
      </c>
      <c r="J244" s="1264">
        <f t="shared" si="35"/>
        <v>2640</v>
      </c>
      <c r="K244" s="1273">
        <f t="shared" si="36"/>
        <v>6000</v>
      </c>
      <c r="L244" s="1385"/>
      <c r="M244" s="1214"/>
      <c r="N244" s="1214"/>
      <c r="O244" s="1214"/>
      <c r="P244" s="1214"/>
    </row>
    <row r="245" spans="1:16" s="1199" customFormat="1" ht="24" customHeight="1">
      <c r="A245" s="1331"/>
      <c r="B245" s="2174" t="s">
        <v>1117</v>
      </c>
      <c r="C245" s="1202"/>
      <c r="D245" s="1202"/>
      <c r="E245" s="1387"/>
      <c r="F245" s="1384"/>
      <c r="G245" s="2176"/>
      <c r="H245" s="1388"/>
      <c r="I245" s="2177"/>
      <c r="J245" s="1385"/>
      <c r="K245" s="1385"/>
      <c r="L245" s="1385"/>
      <c r="M245" s="1214"/>
      <c r="N245" s="1214"/>
      <c r="O245" s="1214"/>
    </row>
    <row r="246" spans="1:16" s="1199" customFormat="1" ht="24" customHeight="1">
      <c r="A246" s="1331"/>
      <c r="B246" s="2174" t="s">
        <v>1369</v>
      </c>
      <c r="C246" s="1202"/>
      <c r="D246" s="1202"/>
      <c r="E246" s="1387"/>
      <c r="F246" s="1384"/>
      <c r="G246" s="2176"/>
      <c r="H246" s="1388"/>
      <c r="I246" s="2177"/>
      <c r="J246" s="1385"/>
      <c r="K246" s="1385"/>
      <c r="L246" s="1385"/>
      <c r="M246" s="1214"/>
      <c r="N246" s="1214"/>
      <c r="O246" s="1214"/>
    </row>
    <row r="247" spans="1:16" s="1199" customFormat="1" ht="24" customHeight="1">
      <c r="A247" s="1406"/>
      <c r="B247" s="2174" t="s">
        <v>1369</v>
      </c>
      <c r="C247" s="1202"/>
      <c r="D247" s="1202"/>
      <c r="E247" s="1387"/>
      <c r="F247" s="1384"/>
      <c r="G247" s="2176"/>
      <c r="H247" s="1264"/>
      <c r="I247" s="2177"/>
      <c r="J247" s="1264"/>
      <c r="K247" s="1273"/>
      <c r="L247" s="1385"/>
      <c r="M247" s="1214"/>
      <c r="N247" s="1214"/>
      <c r="O247" s="1214"/>
    </row>
    <row r="248" spans="1:16" s="1199" customFormat="1" ht="24" customHeight="1">
      <c r="A248" s="1406"/>
      <c r="B248" s="2174"/>
      <c r="C248" s="1202"/>
      <c r="D248" s="1202"/>
      <c r="E248" s="1387"/>
      <c r="F248" s="1384"/>
      <c r="G248" s="2176"/>
      <c r="H248" s="1264"/>
      <c r="I248" s="2177"/>
      <c r="J248" s="1273"/>
      <c r="K248" s="1273"/>
      <c r="L248" s="1385"/>
      <c r="M248" s="1214"/>
      <c r="N248" s="1214"/>
      <c r="O248" s="1214"/>
    </row>
    <row r="249" spans="1:16" s="1199" customFormat="1" ht="24" customHeight="1">
      <c r="A249" s="1331"/>
      <c r="B249" s="2174"/>
      <c r="C249" s="1202"/>
      <c r="D249" s="1202"/>
      <c r="E249" s="1387"/>
      <c r="F249" s="1384"/>
      <c r="G249" s="2176"/>
      <c r="H249" s="1388"/>
      <c r="I249" s="2177"/>
      <c r="J249" s="1385"/>
      <c r="K249" s="1385"/>
      <c r="L249" s="1385"/>
      <c r="M249" s="1214"/>
      <c r="N249" s="1214"/>
      <c r="O249" s="1214"/>
      <c r="P249" s="1214"/>
    </row>
    <row r="250" spans="1:16" s="1199" customFormat="1" ht="24" customHeight="1">
      <c r="A250" s="1243"/>
      <c r="B250" s="2257" t="str">
        <f>"รวมราคารายการที่ "&amp;A209</f>
        <v>รวมราคารายการที่ 3.8</v>
      </c>
      <c r="C250" s="2258"/>
      <c r="D250" s="2259"/>
      <c r="E250" s="1244"/>
      <c r="F250" s="1245"/>
      <c r="G250" s="1246"/>
      <c r="H250" s="1247">
        <f>SUM(H210:H247)</f>
        <v>1675299</v>
      </c>
      <c r="I250" s="1246"/>
      <c r="J250" s="1247">
        <f>SUM(J210:J247)</f>
        <v>265288</v>
      </c>
      <c r="K250" s="1247">
        <f>SUM(K210:K247)</f>
        <v>1940587</v>
      </c>
      <c r="L250" s="1245"/>
      <c r="M250" s="1214"/>
      <c r="N250" s="1214"/>
      <c r="O250" s="1214"/>
    </row>
    <row r="251" spans="1:16" s="1199" customFormat="1" ht="24" customHeight="1">
      <c r="A251" s="1435" t="s">
        <v>1311</v>
      </c>
      <c r="B251" s="1436" t="s">
        <v>1404</v>
      </c>
      <c r="C251" s="1202"/>
      <c r="D251" s="1202"/>
      <c r="E251" s="1387"/>
      <c r="F251" s="1407"/>
      <c r="G251" s="2176"/>
      <c r="H251" s="1388"/>
      <c r="I251" s="2177"/>
      <c r="J251" s="1385"/>
      <c r="K251" s="1385"/>
      <c r="L251" s="1385"/>
      <c r="M251" s="1214"/>
      <c r="N251" s="1214"/>
      <c r="O251" s="1214"/>
    </row>
    <row r="252" spans="1:16" s="1199" customFormat="1" ht="24" customHeight="1">
      <c r="A252" s="1406" t="s">
        <v>1313</v>
      </c>
      <c r="B252" s="2174" t="s">
        <v>1529</v>
      </c>
      <c r="C252" s="1202"/>
      <c r="D252" s="1202"/>
      <c r="E252" s="1387">
        <v>24</v>
      </c>
      <c r="F252" s="1207" t="s">
        <v>363</v>
      </c>
      <c r="G252" s="2176">
        <v>900</v>
      </c>
      <c r="H252" s="1264">
        <f t="shared" ref="H252:H257" si="39">ROUND(G252*E252,)</f>
        <v>21600</v>
      </c>
      <c r="I252" s="2177">
        <v>140</v>
      </c>
      <c r="J252" s="1264">
        <f t="shared" ref="J252:J263" si="40">ROUND(E252*I252,)</f>
        <v>3360</v>
      </c>
      <c r="K252" s="1273">
        <f t="shared" ref="K252:K263" si="41">H252+J252</f>
        <v>24960</v>
      </c>
      <c r="L252" s="1385"/>
      <c r="M252" s="1214"/>
      <c r="N252" s="1214"/>
      <c r="O252" s="1214"/>
    </row>
    <row r="253" spans="1:16" s="1199" customFormat="1" ht="24" customHeight="1">
      <c r="A253" s="1406" t="s">
        <v>1547</v>
      </c>
      <c r="B253" s="2174" t="s">
        <v>1531</v>
      </c>
      <c r="C253" s="1202"/>
      <c r="D253" s="1202"/>
      <c r="E253" s="1387">
        <v>2</v>
      </c>
      <c r="F253" s="1207" t="s">
        <v>363</v>
      </c>
      <c r="G253" s="2176">
        <v>3800</v>
      </c>
      <c r="H253" s="1264">
        <f t="shared" si="39"/>
        <v>7600</v>
      </c>
      <c r="I253" s="2177">
        <v>200</v>
      </c>
      <c r="J253" s="1264">
        <f t="shared" si="40"/>
        <v>400</v>
      </c>
      <c r="K253" s="1273">
        <f t="shared" si="41"/>
        <v>8000</v>
      </c>
      <c r="L253" s="1385"/>
      <c r="M253" s="1214"/>
      <c r="N253" s="1214"/>
      <c r="O253" s="1214"/>
    </row>
    <row r="254" spans="1:16" s="1199" customFormat="1" ht="24" customHeight="1">
      <c r="A254" s="1406" t="s">
        <v>1549</v>
      </c>
      <c r="B254" s="2174" t="s">
        <v>1532</v>
      </c>
      <c r="C254" s="1202"/>
      <c r="D254" s="1202"/>
      <c r="E254" s="1387">
        <v>2</v>
      </c>
      <c r="F254" s="1207" t="s">
        <v>363</v>
      </c>
      <c r="G254" s="2176">
        <v>5000</v>
      </c>
      <c r="H254" s="1264">
        <f t="shared" si="39"/>
        <v>10000</v>
      </c>
      <c r="I254" s="2177">
        <f>G254*0.1</f>
        <v>500</v>
      </c>
      <c r="J254" s="1264">
        <f t="shared" si="40"/>
        <v>1000</v>
      </c>
      <c r="K254" s="1273">
        <f t="shared" si="41"/>
        <v>11000</v>
      </c>
      <c r="L254" s="1385"/>
      <c r="M254" s="1214"/>
      <c r="N254" s="1214"/>
      <c r="O254" s="1214"/>
    </row>
    <row r="255" spans="1:16" s="1199" customFormat="1" ht="24" customHeight="1">
      <c r="A255" s="1406" t="s">
        <v>1631</v>
      </c>
      <c r="B255" s="2174" t="s">
        <v>1312</v>
      </c>
      <c r="C255" s="1202"/>
      <c r="D255" s="1202"/>
      <c r="E255" s="1387"/>
      <c r="F255" s="1384"/>
      <c r="G255" s="2176"/>
      <c r="H255" s="1264">
        <f t="shared" si="39"/>
        <v>0</v>
      </c>
      <c r="I255" s="2177"/>
      <c r="J255" s="1264">
        <f t="shared" si="40"/>
        <v>0</v>
      </c>
      <c r="K255" s="1273">
        <f t="shared" si="41"/>
        <v>0</v>
      </c>
      <c r="L255" s="1385"/>
      <c r="M255" s="1214"/>
      <c r="N255" s="1214"/>
      <c r="O255" s="1214"/>
    </row>
    <row r="256" spans="1:16" s="1199" customFormat="1" ht="24" customHeight="1">
      <c r="A256" s="1331"/>
      <c r="B256" s="2174" t="s">
        <v>1534</v>
      </c>
      <c r="C256" s="1202"/>
      <c r="D256" s="1202"/>
      <c r="E256" s="1387">
        <v>827.99999999999989</v>
      </c>
      <c r="F256" s="1358" t="s">
        <v>226</v>
      </c>
      <c r="G256" s="2176">
        <v>32</v>
      </c>
      <c r="H256" s="1264">
        <f t="shared" si="39"/>
        <v>26496</v>
      </c>
      <c r="I256" s="2177">
        <v>11</v>
      </c>
      <c r="J256" s="1264">
        <f t="shared" si="40"/>
        <v>9108</v>
      </c>
      <c r="K256" s="1802">
        <f t="shared" si="41"/>
        <v>35604</v>
      </c>
      <c r="L256" s="2001" t="s">
        <v>2667</v>
      </c>
      <c r="M256" s="1214"/>
      <c r="N256" s="1199">
        <v>3183</v>
      </c>
      <c r="O256" s="1199">
        <f>ROUND(N256/100,)</f>
        <v>32</v>
      </c>
    </row>
    <row r="257" spans="1:21" s="1199" customFormat="1" ht="24" customHeight="1">
      <c r="A257" s="1331"/>
      <c r="B257" s="2174" t="s">
        <v>1535</v>
      </c>
      <c r="C257" s="1202"/>
      <c r="D257" s="1202"/>
      <c r="E257" s="1387">
        <v>114.99999999999999</v>
      </c>
      <c r="F257" s="1358" t="s">
        <v>226</v>
      </c>
      <c r="G257" s="2176">
        <v>40</v>
      </c>
      <c r="H257" s="1264">
        <f t="shared" si="39"/>
        <v>4600</v>
      </c>
      <c r="I257" s="2177">
        <v>12</v>
      </c>
      <c r="J257" s="1264">
        <f t="shared" si="40"/>
        <v>1380</v>
      </c>
      <c r="K257" s="1802">
        <f t="shared" si="41"/>
        <v>5980</v>
      </c>
      <c r="L257" s="2001" t="s">
        <v>2667</v>
      </c>
      <c r="M257" s="1214"/>
      <c r="N257" s="1199">
        <v>4039</v>
      </c>
      <c r="O257" s="1199">
        <f>ROUND(N257/100,)</f>
        <v>40</v>
      </c>
    </row>
    <row r="258" spans="1:21" s="1199" customFormat="1" ht="24" customHeight="1">
      <c r="A258" s="1331"/>
      <c r="B258" s="2174" t="s">
        <v>1525</v>
      </c>
      <c r="C258" s="1202"/>
      <c r="D258" s="1202"/>
      <c r="E258" s="1387">
        <v>1</v>
      </c>
      <c r="F258" s="1384" t="s">
        <v>1104</v>
      </c>
      <c r="G258" s="2176">
        <f>ROUND(SUM(H256:H257)*5%,)</f>
        <v>1555</v>
      </c>
      <c r="H258" s="1264">
        <f>ROUND(E258*G258,)</f>
        <v>1555</v>
      </c>
      <c r="I258" s="1265">
        <f>ROUND(G258*0.3,)</f>
        <v>467</v>
      </c>
      <c r="J258" s="1264">
        <f t="shared" si="40"/>
        <v>467</v>
      </c>
      <c r="K258" s="1273">
        <f t="shared" si="41"/>
        <v>2022</v>
      </c>
      <c r="L258" s="1385"/>
      <c r="M258" s="1214"/>
      <c r="N258" s="1214"/>
      <c r="O258" s="1214"/>
    </row>
    <row r="259" spans="1:21" s="1199" customFormat="1" ht="24" customHeight="1">
      <c r="A259" s="1406" t="s">
        <v>1610</v>
      </c>
      <c r="B259" s="2174" t="s">
        <v>1526</v>
      </c>
      <c r="C259" s="1202"/>
      <c r="D259" s="1202"/>
      <c r="E259" s="1387"/>
      <c r="F259" s="1384"/>
      <c r="G259" s="2176"/>
      <c r="H259" s="1264">
        <f>ROUND(G259*E259,)</f>
        <v>0</v>
      </c>
      <c r="I259" s="2177"/>
      <c r="J259" s="1264">
        <f t="shared" si="40"/>
        <v>0</v>
      </c>
      <c r="K259" s="1273">
        <f t="shared" si="41"/>
        <v>0</v>
      </c>
      <c r="L259" s="1385"/>
      <c r="M259" s="1214"/>
      <c r="N259" s="1214"/>
      <c r="O259" s="1214"/>
    </row>
    <row r="260" spans="1:21" s="1199" customFormat="1" ht="24" customHeight="1">
      <c r="A260" s="1331"/>
      <c r="B260" s="2174" t="s">
        <v>1350</v>
      </c>
      <c r="C260" s="1202"/>
      <c r="D260" s="1202"/>
      <c r="E260" s="1387">
        <v>942.99999999999989</v>
      </c>
      <c r="F260" s="1358" t="s">
        <v>226</v>
      </c>
      <c r="G260" s="2176">
        <v>27</v>
      </c>
      <c r="H260" s="1264">
        <f t="shared" ref="H260" si="42">ROUND(G260*E260,)</f>
        <v>25461</v>
      </c>
      <c r="I260" s="2177">
        <v>22</v>
      </c>
      <c r="J260" s="1264">
        <f t="shared" si="40"/>
        <v>20746</v>
      </c>
      <c r="K260" s="1801">
        <f t="shared" si="41"/>
        <v>46207</v>
      </c>
      <c r="L260" s="2001" t="s">
        <v>2541</v>
      </c>
      <c r="M260" s="1214"/>
      <c r="N260" s="1199">
        <v>79.8</v>
      </c>
      <c r="O260" s="1199">
        <f>ROUND(N260/3,)</f>
        <v>27</v>
      </c>
    </row>
    <row r="261" spans="1:21" s="1199" customFormat="1" ht="24" customHeight="1">
      <c r="A261" s="1331"/>
      <c r="B261" s="2174" t="s">
        <v>1384</v>
      </c>
      <c r="C261" s="1202"/>
      <c r="D261" s="1202"/>
      <c r="E261" s="1387">
        <v>1</v>
      </c>
      <c r="F261" s="1407" t="s">
        <v>1104</v>
      </c>
      <c r="G261" s="2176">
        <f>ROUND(SUM(H260:H260)*15%,)</f>
        <v>3819</v>
      </c>
      <c r="H261" s="1264">
        <f>ROUND(G261*E261,)</f>
        <v>3819</v>
      </c>
      <c r="I261" s="1265">
        <f>ROUND(G261*0.3,)</f>
        <v>1146</v>
      </c>
      <c r="J261" s="1264">
        <f t="shared" si="40"/>
        <v>1146</v>
      </c>
      <c r="K261" s="1273">
        <f t="shared" si="41"/>
        <v>4965</v>
      </c>
      <c r="L261" s="1385"/>
      <c r="M261" s="1214"/>
      <c r="N261" s="1214"/>
      <c r="O261" s="1214"/>
    </row>
    <row r="262" spans="1:21" s="1199" customFormat="1" ht="24" customHeight="1">
      <c r="A262" s="1331" t="s">
        <v>1632</v>
      </c>
      <c r="B262" s="2174" t="s">
        <v>1449</v>
      </c>
      <c r="C262" s="1202"/>
      <c r="D262" s="1202"/>
      <c r="E262" s="1387"/>
      <c r="F262" s="1384"/>
      <c r="G262" s="2176"/>
      <c r="H262" s="1264">
        <f>ROUND(G262*E262,)</f>
        <v>0</v>
      </c>
      <c r="I262" s="2177"/>
      <c r="J262" s="1264">
        <f t="shared" si="40"/>
        <v>0</v>
      </c>
      <c r="K262" s="1273">
        <f t="shared" si="41"/>
        <v>0</v>
      </c>
      <c r="L262" s="1385"/>
      <c r="M262" s="1214"/>
      <c r="N262" s="1214"/>
      <c r="O262" s="1214"/>
    </row>
    <row r="263" spans="1:21" s="1199" customFormat="1" ht="24" customHeight="1">
      <c r="A263" s="1331"/>
      <c r="B263" s="2174" t="s">
        <v>1350</v>
      </c>
      <c r="C263" s="1202"/>
      <c r="D263" s="1202"/>
      <c r="E263" s="1387">
        <v>24</v>
      </c>
      <c r="F263" s="1358" t="s">
        <v>226</v>
      </c>
      <c r="G263" s="2176">
        <v>14</v>
      </c>
      <c r="H263" s="1264">
        <f>ROUND(G263*E263,)</f>
        <v>336</v>
      </c>
      <c r="I263" s="2177">
        <v>11</v>
      </c>
      <c r="J263" s="1264">
        <f t="shared" si="40"/>
        <v>264</v>
      </c>
      <c r="K263" s="1273">
        <f t="shared" si="41"/>
        <v>600</v>
      </c>
      <c r="L263" s="1385"/>
      <c r="M263" s="1214"/>
      <c r="N263" s="1214"/>
      <c r="O263" s="1214"/>
    </row>
    <row r="264" spans="1:21" s="1199" customFormat="1" ht="24" customHeight="1">
      <c r="A264" s="1331"/>
      <c r="B264" s="2174" t="s">
        <v>1117</v>
      </c>
      <c r="C264" s="1202"/>
      <c r="D264" s="1202"/>
      <c r="E264" s="1387"/>
      <c r="F264" s="1384"/>
      <c r="G264" s="2176"/>
      <c r="H264" s="1388"/>
      <c r="I264" s="2177"/>
      <c r="J264" s="1385"/>
      <c r="K264" s="1385"/>
      <c r="L264" s="1385"/>
      <c r="M264" s="1214"/>
      <c r="N264" s="1214"/>
      <c r="O264" s="1214"/>
    </row>
    <row r="265" spans="1:21" s="1199" customFormat="1" ht="24" customHeight="1">
      <c r="A265" s="1331"/>
      <c r="B265" s="2174" t="s">
        <v>1118</v>
      </c>
      <c r="C265" s="1202"/>
      <c r="D265" s="1202"/>
      <c r="E265" s="1387"/>
      <c r="F265" s="1384"/>
      <c r="G265" s="2176"/>
      <c r="H265" s="1388"/>
      <c r="I265" s="2177"/>
      <c r="J265" s="1385"/>
      <c r="K265" s="1385"/>
      <c r="L265" s="1385"/>
      <c r="M265" s="1214"/>
      <c r="N265" s="1214"/>
      <c r="O265" s="1214"/>
    </row>
    <row r="266" spans="1:21" s="1199" customFormat="1" ht="24" customHeight="1">
      <c r="A266" s="1474"/>
      <c r="B266" s="2174" t="s">
        <v>1118</v>
      </c>
      <c r="C266" s="1191"/>
      <c r="D266" s="1471"/>
      <c r="E266" s="1206"/>
      <c r="F266" s="1207"/>
      <c r="G266" s="2175"/>
      <c r="H266" s="1264"/>
      <c r="I266" s="1504"/>
      <c r="J266" s="1264"/>
      <c r="K266" s="1265"/>
      <c r="L266" s="1473"/>
      <c r="M266" s="1214"/>
      <c r="N266" s="1214"/>
      <c r="O266" s="1214"/>
      <c r="P266" s="1214"/>
      <c r="Q266" s="1214"/>
      <c r="R266" s="1214"/>
      <c r="S266" s="1214"/>
      <c r="T266" s="1214"/>
      <c r="U266" s="1214"/>
    </row>
    <row r="267" spans="1:21" s="1199" customFormat="1" ht="24" customHeight="1">
      <c r="A267" s="1243"/>
      <c r="B267" s="2257" t="str">
        <f>"รวมราคารายการที่ "&amp;A251</f>
        <v>รวมราคารายการที่ 3.9</v>
      </c>
      <c r="C267" s="2258"/>
      <c r="D267" s="2259"/>
      <c r="E267" s="1244"/>
      <c r="F267" s="1245"/>
      <c r="G267" s="1246"/>
      <c r="H267" s="1247">
        <f>SUM(H252:H265)</f>
        <v>101467</v>
      </c>
      <c r="I267" s="1246"/>
      <c r="J267" s="1247">
        <f>SUM(J252:J265)</f>
        <v>37871</v>
      </c>
      <c r="K267" s="1247">
        <f>SUM(K252:K265)</f>
        <v>139338</v>
      </c>
      <c r="L267" s="1245"/>
      <c r="M267" s="1214"/>
      <c r="N267" s="1214"/>
      <c r="O267" s="1214"/>
    </row>
    <row r="268" spans="1:21" s="1199" customFormat="1" ht="24" customHeight="1">
      <c r="A268" s="1435" t="s">
        <v>1332</v>
      </c>
      <c r="B268" s="1436" t="s">
        <v>1419</v>
      </c>
      <c r="C268" s="1202"/>
      <c r="D268" s="1202"/>
      <c r="E268" s="1387"/>
      <c r="F268" s="1384"/>
      <c r="G268" s="2176"/>
      <c r="H268" s="1388"/>
      <c r="I268" s="2177"/>
      <c r="J268" s="1385"/>
      <c r="K268" s="1385"/>
      <c r="L268" s="1385"/>
      <c r="M268" s="1214"/>
      <c r="N268" s="1214"/>
      <c r="O268" s="1214"/>
    </row>
    <row r="269" spans="1:21" s="1199" customFormat="1" ht="24" customHeight="1">
      <c r="A269" s="1474" t="s">
        <v>1334</v>
      </c>
      <c r="B269" s="2174" t="s">
        <v>2716</v>
      </c>
      <c r="C269" s="1191"/>
      <c r="D269" s="1471"/>
      <c r="E269" s="1206"/>
      <c r="F269" s="1207"/>
      <c r="G269" s="1541"/>
      <c r="H269" s="1273"/>
      <c r="I269" s="2177"/>
      <c r="J269" s="1264"/>
      <c r="K269" s="1265"/>
      <c r="L269" s="1473"/>
      <c r="M269" s="1214"/>
      <c r="N269" s="1214"/>
      <c r="O269" s="1214"/>
      <c r="P269" s="1214"/>
      <c r="Q269" s="1214"/>
      <c r="R269" s="1214"/>
      <c r="S269" s="1214"/>
      <c r="T269" s="1214"/>
      <c r="U269" s="1214"/>
    </row>
    <row r="270" spans="1:21" s="1199" customFormat="1" ht="24" customHeight="1">
      <c r="A270" s="1474"/>
      <c r="B270" s="2174" t="s">
        <v>1573</v>
      </c>
      <c r="C270" s="1191"/>
      <c r="D270" s="1471"/>
      <c r="E270" s="1206">
        <v>2</v>
      </c>
      <c r="F270" s="1207" t="s">
        <v>363</v>
      </c>
      <c r="G270" s="2179">
        <v>50000</v>
      </c>
      <c r="H270" s="1343">
        <f>ROUND(E270*G270,)</f>
        <v>100000</v>
      </c>
      <c r="I270" s="1344">
        <f>G270*0.01</f>
        <v>500</v>
      </c>
      <c r="J270" s="1343">
        <f>ROUND(I270*E270,)</f>
        <v>1000</v>
      </c>
      <c r="K270" s="1344">
        <f>H270+J270</f>
        <v>101000</v>
      </c>
      <c r="L270" s="1473"/>
      <c r="M270" s="1214"/>
      <c r="N270" s="1214"/>
      <c r="O270" s="1214"/>
      <c r="P270" s="1214"/>
      <c r="Q270" s="1214"/>
      <c r="R270" s="1214"/>
      <c r="S270" s="1214"/>
      <c r="T270" s="1214"/>
      <c r="U270" s="1214"/>
    </row>
    <row r="271" spans="1:21" s="1199" customFormat="1" ht="24" customHeight="1">
      <c r="A271" s="1474"/>
      <c r="B271" s="2174" t="s">
        <v>1574</v>
      </c>
      <c r="C271" s="1191"/>
      <c r="D271" s="1471"/>
      <c r="E271" s="1206">
        <v>2</v>
      </c>
      <c r="F271" s="1207" t="s">
        <v>363</v>
      </c>
      <c r="G271" s="2179">
        <v>25000</v>
      </c>
      <c r="H271" s="1343">
        <f>ROUND(E271*G271,)</f>
        <v>50000</v>
      </c>
      <c r="I271" s="1344">
        <f>ROUND(G271*0.01,)</f>
        <v>250</v>
      </c>
      <c r="J271" s="1343">
        <f>ROUND(I271*E271,)</f>
        <v>500</v>
      </c>
      <c r="K271" s="1344">
        <f>H271+J271</f>
        <v>50500</v>
      </c>
      <c r="L271" s="1473"/>
      <c r="M271" s="1214"/>
      <c r="N271" s="1214"/>
      <c r="O271" s="1214"/>
      <c r="P271" s="1214"/>
      <c r="Q271" s="1214"/>
      <c r="R271" s="1214"/>
      <c r="S271" s="1214"/>
      <c r="T271" s="1214"/>
      <c r="U271" s="1214"/>
    </row>
    <row r="272" spans="1:21" s="1199" customFormat="1" ht="24" customHeight="1">
      <c r="A272" s="1475"/>
      <c r="B272" s="2174" t="s">
        <v>1575</v>
      </c>
      <c r="C272" s="1191"/>
      <c r="D272" s="1471"/>
      <c r="E272" s="1206">
        <v>48</v>
      </c>
      <c r="F272" s="1207" t="s">
        <v>363</v>
      </c>
      <c r="G272" s="2179">
        <v>400</v>
      </c>
      <c r="H272" s="1343">
        <f>ROUND(E272*G272,)</f>
        <v>19200</v>
      </c>
      <c r="I272" s="1344">
        <f>ROUND(G272*0.01,)</f>
        <v>4</v>
      </c>
      <c r="J272" s="1343">
        <f>ROUND(I272*E272,)</f>
        <v>192</v>
      </c>
      <c r="K272" s="1344">
        <f>H272+J272</f>
        <v>19392</v>
      </c>
      <c r="L272" s="1473"/>
      <c r="M272" s="1214"/>
      <c r="N272" s="1214"/>
      <c r="O272" s="1214"/>
      <c r="P272" s="1214"/>
      <c r="Q272" s="1214"/>
      <c r="R272" s="1214"/>
      <c r="S272" s="1214"/>
      <c r="T272" s="1214"/>
      <c r="U272" s="1214"/>
    </row>
    <row r="273" spans="1:21" s="1199" customFormat="1" ht="24" customHeight="1">
      <c r="A273" s="1475"/>
      <c r="B273" s="2174" t="s">
        <v>2710</v>
      </c>
      <c r="C273" s="1191"/>
      <c r="D273" s="1471"/>
      <c r="E273" s="1206"/>
      <c r="F273" s="1207" t="s">
        <v>363</v>
      </c>
      <c r="G273" s="2179"/>
      <c r="H273" s="1343"/>
      <c r="I273" s="1344"/>
      <c r="J273" s="1343"/>
      <c r="K273" s="1344"/>
      <c r="L273" s="1473"/>
      <c r="M273" s="1214"/>
      <c r="N273" s="1214"/>
      <c r="O273" s="1214"/>
      <c r="P273" s="1214"/>
      <c r="Q273" s="1214"/>
      <c r="R273" s="1214"/>
      <c r="S273" s="1214"/>
      <c r="T273" s="1214"/>
      <c r="U273" s="1214"/>
    </row>
    <row r="274" spans="1:21" s="1199" customFormat="1" ht="24" customHeight="1">
      <c r="A274" s="1559"/>
      <c r="B274" s="2174" t="s">
        <v>1684</v>
      </c>
      <c r="C274" s="1191"/>
      <c r="D274" s="1471"/>
      <c r="E274" s="1206"/>
      <c r="F274" s="1207" t="s">
        <v>363</v>
      </c>
      <c r="G274" s="2179"/>
      <c r="H274" s="1343"/>
      <c r="I274" s="1344"/>
      <c r="J274" s="1343"/>
      <c r="K274" s="1344"/>
      <c r="L274" s="1469"/>
      <c r="M274" s="1214"/>
      <c r="N274" s="1214"/>
      <c r="O274" s="1214"/>
      <c r="P274" s="1214"/>
      <c r="Q274" s="1214"/>
      <c r="R274" s="1214"/>
      <c r="S274" s="1214"/>
      <c r="T274" s="1214"/>
      <c r="U274" s="1214"/>
    </row>
    <row r="275" spans="1:21" s="1199" customFormat="1" ht="24" customHeight="1">
      <c r="A275" s="1331" t="s">
        <v>1556</v>
      </c>
      <c r="B275" s="2174" t="s">
        <v>1539</v>
      </c>
      <c r="C275" s="1202"/>
      <c r="D275" s="1471"/>
      <c r="E275" s="1387"/>
      <c r="F275" s="1384"/>
      <c r="G275" s="2179"/>
      <c r="H275" s="1343"/>
      <c r="I275" s="1344"/>
      <c r="J275" s="1343"/>
      <c r="K275" s="1344"/>
      <c r="L275" s="1385"/>
      <c r="M275" s="1214"/>
      <c r="N275" s="1214"/>
      <c r="O275" s="1214"/>
    </row>
    <row r="276" spans="1:21" s="1199" customFormat="1" ht="24" customHeight="1">
      <c r="A276" s="1331"/>
      <c r="B276" s="2174" t="s">
        <v>1540</v>
      </c>
      <c r="C276" s="1202"/>
      <c r="D276" s="1471"/>
      <c r="E276" s="1387">
        <v>2</v>
      </c>
      <c r="F276" s="1207" t="s">
        <v>363</v>
      </c>
      <c r="G276" s="2179">
        <v>46645</v>
      </c>
      <c r="H276" s="1343">
        <f t="shared" ref="H276:H281" si="43">ROUND(E276*G276,)</f>
        <v>93290</v>
      </c>
      <c r="I276" s="1344">
        <v>5000</v>
      </c>
      <c r="J276" s="1343">
        <f>ROUND(E276*I276,)</f>
        <v>10000</v>
      </c>
      <c r="K276" s="1344">
        <f t="shared" ref="K276:K281" si="44">H276+J276</f>
        <v>103290</v>
      </c>
      <c r="L276" s="1385"/>
      <c r="M276" s="1214"/>
      <c r="N276" s="1214"/>
      <c r="O276" s="1214"/>
    </row>
    <row r="277" spans="1:21" s="1199" customFormat="1" ht="24" customHeight="1">
      <c r="A277" s="1331"/>
      <c r="B277" s="2174" t="s">
        <v>1541</v>
      </c>
      <c r="C277" s="1202"/>
      <c r="D277" s="1202"/>
      <c r="E277" s="1387">
        <v>4</v>
      </c>
      <c r="F277" s="1207" t="s">
        <v>363</v>
      </c>
      <c r="G277" s="2179">
        <v>21375</v>
      </c>
      <c r="H277" s="1343">
        <f t="shared" si="43"/>
        <v>85500</v>
      </c>
      <c r="I277" s="1344" t="s">
        <v>1542</v>
      </c>
      <c r="J277" s="1343"/>
      <c r="K277" s="1344">
        <f t="shared" si="44"/>
        <v>85500</v>
      </c>
      <c r="L277" s="1385"/>
      <c r="M277" s="1214"/>
      <c r="N277" s="1214"/>
      <c r="O277" s="1214"/>
    </row>
    <row r="278" spans="1:21" s="1199" customFormat="1" ht="24" customHeight="1">
      <c r="A278" s="1331"/>
      <c r="B278" s="2174" t="s">
        <v>1543</v>
      </c>
      <c r="C278" s="1202"/>
      <c r="D278" s="1202"/>
      <c r="E278" s="1387">
        <v>4</v>
      </c>
      <c r="F278" s="1207" t="s">
        <v>363</v>
      </c>
      <c r="G278" s="2179">
        <v>9025</v>
      </c>
      <c r="H278" s="1343">
        <f t="shared" si="43"/>
        <v>36100</v>
      </c>
      <c r="I278" s="1344" t="s">
        <v>1542</v>
      </c>
      <c r="J278" s="1343"/>
      <c r="K278" s="1344">
        <f t="shared" si="44"/>
        <v>36100</v>
      </c>
      <c r="L278" s="1385"/>
      <c r="M278" s="1214"/>
      <c r="N278" s="1214"/>
      <c r="O278" s="1214"/>
    </row>
    <row r="279" spans="1:21" s="1199" customFormat="1" ht="24" customHeight="1">
      <c r="A279" s="1331"/>
      <c r="B279" s="2174" t="s">
        <v>1544</v>
      </c>
      <c r="C279" s="1202"/>
      <c r="D279" s="1202"/>
      <c r="E279" s="1387">
        <v>4</v>
      </c>
      <c r="F279" s="1207" t="s">
        <v>363</v>
      </c>
      <c r="G279" s="2179">
        <v>1995</v>
      </c>
      <c r="H279" s="1343">
        <f t="shared" si="43"/>
        <v>7980</v>
      </c>
      <c r="I279" s="1344" t="s">
        <v>1542</v>
      </c>
      <c r="J279" s="1343"/>
      <c r="K279" s="1344">
        <f t="shared" si="44"/>
        <v>7980</v>
      </c>
      <c r="L279" s="1385"/>
      <c r="M279" s="1214"/>
      <c r="N279" s="1214"/>
      <c r="O279" s="1214"/>
    </row>
    <row r="280" spans="1:21" s="1199" customFormat="1" ht="24" customHeight="1">
      <c r="A280" s="1331"/>
      <c r="B280" s="2174" t="s">
        <v>1545</v>
      </c>
      <c r="C280" s="1202"/>
      <c r="D280" s="1202"/>
      <c r="E280" s="1387">
        <v>4</v>
      </c>
      <c r="F280" s="1207" t="s">
        <v>363</v>
      </c>
      <c r="G280" s="2179">
        <v>427.5</v>
      </c>
      <c r="H280" s="1343">
        <f t="shared" si="43"/>
        <v>1710</v>
      </c>
      <c r="I280" s="1344" t="s">
        <v>1542</v>
      </c>
      <c r="J280" s="1343"/>
      <c r="K280" s="1344">
        <f t="shared" si="44"/>
        <v>1710</v>
      </c>
      <c r="L280" s="1385"/>
      <c r="M280" s="1214"/>
      <c r="N280" s="1214"/>
      <c r="O280" s="1214"/>
    </row>
    <row r="281" spans="1:21" s="1199" customFormat="1" ht="24" customHeight="1">
      <c r="A281" s="1331"/>
      <c r="B281" s="2174" t="s">
        <v>1546</v>
      </c>
      <c r="C281" s="1202"/>
      <c r="D281" s="1202"/>
      <c r="E281" s="1404">
        <v>4</v>
      </c>
      <c r="F281" s="1207" t="s">
        <v>363</v>
      </c>
      <c r="G281" s="2176">
        <v>807.5</v>
      </c>
      <c r="H281" s="1388">
        <f t="shared" si="43"/>
        <v>3230</v>
      </c>
      <c r="I281" s="2177" t="s">
        <v>1542</v>
      </c>
      <c r="J281" s="1385"/>
      <c r="K281" s="1385">
        <f t="shared" si="44"/>
        <v>3230</v>
      </c>
      <c r="L281" s="1385"/>
      <c r="M281" s="1214"/>
      <c r="N281" s="1214"/>
      <c r="O281" s="1214"/>
    </row>
    <row r="282" spans="1:21" s="1199" customFormat="1" ht="24" customHeight="1">
      <c r="A282" s="1406" t="s">
        <v>1566</v>
      </c>
      <c r="B282" s="2174" t="s">
        <v>1312</v>
      </c>
      <c r="C282" s="1202"/>
      <c r="D282" s="1202"/>
      <c r="E282" s="1404"/>
      <c r="F282" s="1384"/>
      <c r="G282" s="2176"/>
      <c r="H282" s="1388"/>
      <c r="I282" s="2177"/>
      <c r="J282" s="1385"/>
      <c r="K282" s="1385"/>
      <c r="L282" s="1385"/>
      <c r="M282" s="1214"/>
      <c r="N282" s="1214"/>
      <c r="O282" s="1214"/>
    </row>
    <row r="283" spans="1:21" s="1199" customFormat="1" ht="24" customHeight="1">
      <c r="A283" s="1331"/>
      <c r="B283" s="2174" t="s">
        <v>1548</v>
      </c>
      <c r="C283" s="1202"/>
      <c r="D283" s="1202"/>
      <c r="E283" s="1404">
        <v>237.66666666666666</v>
      </c>
      <c r="F283" s="1358" t="s">
        <v>226</v>
      </c>
      <c r="G283" s="2176">
        <v>37</v>
      </c>
      <c r="H283" s="1388">
        <f>ROUND(E283*G283,)</f>
        <v>8794</v>
      </c>
      <c r="I283" s="2177">
        <v>5</v>
      </c>
      <c r="J283" s="1385">
        <f>ROUND(E283*I283,)</f>
        <v>1188</v>
      </c>
      <c r="K283" s="1385">
        <f>H283+J283</f>
        <v>9982</v>
      </c>
      <c r="L283" s="1385"/>
      <c r="M283" s="1214"/>
      <c r="N283" s="1214"/>
      <c r="O283" s="1214"/>
    </row>
    <row r="284" spans="1:21" s="1199" customFormat="1" ht="24" customHeight="1">
      <c r="A284" s="1331"/>
      <c r="B284" s="2174" t="s">
        <v>1525</v>
      </c>
      <c r="C284" s="1202"/>
      <c r="D284" s="1202"/>
      <c r="E284" s="1404">
        <v>1</v>
      </c>
      <c r="F284" s="1384" t="s">
        <v>1104</v>
      </c>
      <c r="G284" s="2176">
        <f>ROUND(SUM(H283)*5%,)</f>
        <v>440</v>
      </c>
      <c r="H284" s="1264">
        <f>ROUND(E284*G284,)</f>
        <v>440</v>
      </c>
      <c r="I284" s="1265">
        <f>ROUND(G284*0.3,)</f>
        <v>132</v>
      </c>
      <c r="J284" s="1264">
        <f>ROUND(E284*I284,)</f>
        <v>132</v>
      </c>
      <c r="K284" s="1273">
        <f>H284+J284</f>
        <v>572</v>
      </c>
      <c r="L284" s="1385"/>
      <c r="M284" s="1214"/>
      <c r="N284" s="1214"/>
      <c r="O284" s="1214"/>
    </row>
    <row r="285" spans="1:21" s="1199" customFormat="1" ht="24" customHeight="1">
      <c r="A285" s="1406" t="s">
        <v>1615</v>
      </c>
      <c r="B285" s="2174" t="s">
        <v>1526</v>
      </c>
      <c r="C285" s="1202"/>
      <c r="D285" s="1202"/>
      <c r="E285" s="1404"/>
      <c r="F285" s="1384"/>
      <c r="G285" s="2176"/>
      <c r="H285" s="1388"/>
      <c r="I285" s="2177"/>
      <c r="J285" s="1385"/>
      <c r="K285" s="1385"/>
      <c r="L285" s="1385"/>
      <c r="M285" s="1214"/>
      <c r="N285" s="1214"/>
      <c r="O285" s="1214"/>
    </row>
    <row r="286" spans="1:21" s="1199" customFormat="1" ht="24" customHeight="1">
      <c r="A286" s="1331"/>
      <c r="B286" s="2174" t="s">
        <v>1350</v>
      </c>
      <c r="C286" s="1202"/>
      <c r="D286" s="1202"/>
      <c r="E286" s="1404">
        <v>237.66666666666666</v>
      </c>
      <c r="F286" s="1358" t="s">
        <v>226</v>
      </c>
      <c r="G286" s="2176">
        <v>27</v>
      </c>
      <c r="H286" s="1264">
        <f t="shared" ref="H286" si="45">ROUND(G286*E286,)</f>
        <v>6417</v>
      </c>
      <c r="I286" s="2177">
        <v>22</v>
      </c>
      <c r="J286" s="1264">
        <f t="shared" ref="J286" si="46">ROUND(E286*I286,)</f>
        <v>5229</v>
      </c>
      <c r="K286" s="1801">
        <f t="shared" ref="K286" si="47">H286+J286</f>
        <v>11646</v>
      </c>
      <c r="L286" s="2001" t="s">
        <v>2667</v>
      </c>
      <c r="M286" s="1214"/>
      <c r="N286" s="1199">
        <v>79.8</v>
      </c>
      <c r="O286" s="1199">
        <f>ROUND(N286/3,)</f>
        <v>27</v>
      </c>
    </row>
    <row r="287" spans="1:21" s="1199" customFormat="1" ht="24" customHeight="1">
      <c r="A287" s="1331"/>
      <c r="B287" s="2174" t="s">
        <v>1384</v>
      </c>
      <c r="C287" s="1202"/>
      <c r="D287" s="1202"/>
      <c r="E287" s="1404">
        <v>1</v>
      </c>
      <c r="F287" s="1384" t="s">
        <v>1104</v>
      </c>
      <c r="G287" s="2176">
        <f>ROUND(H286*15%,)</f>
        <v>963</v>
      </c>
      <c r="H287" s="1264">
        <f>ROUND(G287*E287,)</f>
        <v>963</v>
      </c>
      <c r="I287" s="1265">
        <f>ROUND(G287*0.3,)</f>
        <v>289</v>
      </c>
      <c r="J287" s="1264">
        <f>ROUND(E287*I287,)</f>
        <v>289</v>
      </c>
      <c r="K287" s="1273">
        <f>H287+J287</f>
        <v>1252</v>
      </c>
      <c r="L287" s="1385"/>
      <c r="M287" s="1214"/>
      <c r="N287" s="1214"/>
      <c r="O287" s="1214"/>
    </row>
    <row r="288" spans="1:21" s="1199" customFormat="1" ht="24" customHeight="1">
      <c r="A288" s="1331"/>
      <c r="B288" s="2174" t="s">
        <v>1117</v>
      </c>
      <c r="C288" s="1202"/>
      <c r="D288" s="1202"/>
      <c r="E288" s="1387"/>
      <c r="F288" s="1384"/>
      <c r="G288" s="2176"/>
      <c r="H288" s="1388"/>
      <c r="I288" s="2177"/>
      <c r="J288" s="1385"/>
      <c r="K288" s="1385"/>
      <c r="L288" s="1385"/>
      <c r="M288" s="1214"/>
      <c r="N288" s="1214"/>
      <c r="O288" s="1214"/>
    </row>
    <row r="289" spans="1:21" s="1199" customFormat="1" ht="24" customHeight="1">
      <c r="A289" s="1480"/>
      <c r="B289" s="2174" t="s">
        <v>1118</v>
      </c>
      <c r="C289" s="1191"/>
      <c r="D289" s="1471"/>
      <c r="E289" s="1206"/>
      <c r="F289" s="1207"/>
      <c r="G289" s="2175"/>
      <c r="H289" s="1264"/>
      <c r="I289" s="1265"/>
      <c r="J289" s="1264"/>
      <c r="K289" s="1265"/>
      <c r="L289" s="1473"/>
      <c r="M289" s="1214"/>
      <c r="N289" s="1214"/>
      <c r="O289" s="1214"/>
      <c r="P289" s="1214"/>
      <c r="Q289" s="1214"/>
      <c r="R289" s="1214"/>
      <c r="S289" s="1214"/>
      <c r="T289" s="1214"/>
      <c r="U289" s="1214"/>
    </row>
    <row r="290" spans="1:21" s="1199" customFormat="1" ht="24" customHeight="1">
      <c r="A290" s="1474"/>
      <c r="B290" s="2174" t="s">
        <v>1118</v>
      </c>
      <c r="C290" s="1191"/>
      <c r="D290" s="1471"/>
      <c r="E290" s="1206"/>
      <c r="F290" s="1207"/>
      <c r="G290" s="2175"/>
      <c r="H290" s="1264"/>
      <c r="I290" s="1504"/>
      <c r="J290" s="1264"/>
      <c r="K290" s="1265"/>
      <c r="L290" s="1473"/>
      <c r="M290" s="1214"/>
      <c r="N290" s="1214"/>
      <c r="O290" s="1214"/>
      <c r="P290" s="1214"/>
      <c r="Q290" s="1214"/>
      <c r="R290" s="1214"/>
      <c r="S290" s="1214"/>
      <c r="T290" s="1214"/>
      <c r="U290" s="1214"/>
    </row>
    <row r="291" spans="1:21" s="1199" customFormat="1" ht="24" customHeight="1">
      <c r="A291" s="1243"/>
      <c r="B291" s="2257" t="str">
        <f>"รวมราคารายการที่ "&amp;A268</f>
        <v>รวมราคารายการที่ 3.10</v>
      </c>
      <c r="C291" s="2258"/>
      <c r="D291" s="2259"/>
      <c r="E291" s="1244"/>
      <c r="F291" s="1245"/>
      <c r="G291" s="1246"/>
      <c r="H291" s="1247">
        <f>SUM(H268:H288)</f>
        <v>413624</v>
      </c>
      <c r="I291" s="1246"/>
      <c r="J291" s="1247">
        <f>SUM(J268:J288)</f>
        <v>18530</v>
      </c>
      <c r="K291" s="1247">
        <f>SUM(K268:K288)</f>
        <v>432154</v>
      </c>
      <c r="L291" s="1245"/>
    </row>
    <row r="292" spans="1:21" s="1199" customFormat="1" ht="24" customHeight="1">
      <c r="A292" s="1367" t="s">
        <v>1570</v>
      </c>
      <c r="B292" s="1353" t="s">
        <v>1550</v>
      </c>
      <c r="C292" s="1452"/>
      <c r="D292" s="1452"/>
      <c r="E292" s="1453"/>
      <c r="F292" s="1454"/>
      <c r="G292" s="1455"/>
      <c r="H292" s="820"/>
      <c r="I292" s="1456"/>
      <c r="J292" s="1457"/>
      <c r="K292" s="1457"/>
      <c r="L292" s="1457"/>
      <c r="M292" s="1214"/>
      <c r="N292" s="1214"/>
      <c r="O292" s="1214"/>
      <c r="P292" s="1214"/>
    </row>
    <row r="293" spans="1:21" s="1199" customFormat="1" ht="24" customHeight="1">
      <c r="A293" s="1474" t="s">
        <v>1348</v>
      </c>
      <c r="B293" s="2174" t="s">
        <v>2716</v>
      </c>
      <c r="C293" s="1191"/>
      <c r="D293" s="1471"/>
      <c r="E293" s="1206"/>
      <c r="F293" s="1207"/>
      <c r="G293" s="1541"/>
      <c r="H293" s="1273"/>
      <c r="I293" s="2177"/>
      <c r="J293" s="1264"/>
      <c r="K293" s="1265"/>
      <c r="L293" s="1473"/>
      <c r="M293" s="1214"/>
      <c r="N293" s="1214"/>
      <c r="O293" s="1214"/>
      <c r="P293" s="1214"/>
      <c r="Q293" s="1214"/>
      <c r="R293" s="1214"/>
      <c r="S293" s="1214"/>
      <c r="T293" s="1214"/>
      <c r="U293" s="1214"/>
    </row>
    <row r="294" spans="1:21" s="1199" customFormat="1" ht="24" customHeight="1">
      <c r="A294" s="1474"/>
      <c r="B294" s="2174" t="s">
        <v>1573</v>
      </c>
      <c r="C294" s="1191"/>
      <c r="D294" s="1471"/>
      <c r="E294" s="1206">
        <v>2</v>
      </c>
      <c r="F294" s="1207" t="s">
        <v>363</v>
      </c>
      <c r="G294" s="2179">
        <v>28700</v>
      </c>
      <c r="H294" s="1343">
        <f>ROUND(E294*G294,)</f>
        <v>57400</v>
      </c>
      <c r="I294" s="1344">
        <f>G294*0.01</f>
        <v>287</v>
      </c>
      <c r="J294" s="1343">
        <f>ROUND(I294*E294,)</f>
        <v>574</v>
      </c>
      <c r="K294" s="1344">
        <f>H294+J294</f>
        <v>57974</v>
      </c>
      <c r="L294" s="1473"/>
      <c r="M294" s="1214"/>
      <c r="N294" s="1214"/>
      <c r="O294" s="1214"/>
      <c r="P294" s="1214"/>
      <c r="Q294" s="1214"/>
      <c r="R294" s="1214"/>
      <c r="S294" s="1214"/>
      <c r="T294" s="1214"/>
      <c r="U294" s="1214"/>
    </row>
    <row r="295" spans="1:21" s="1199" customFormat="1" ht="24" customHeight="1">
      <c r="A295" s="1474"/>
      <c r="B295" s="2174" t="s">
        <v>1574</v>
      </c>
      <c r="C295" s="1191"/>
      <c r="D295" s="1471"/>
      <c r="E295" s="1206">
        <v>2</v>
      </c>
      <c r="F295" s="1207" t="s">
        <v>363</v>
      </c>
      <c r="G295" s="2179">
        <v>25000</v>
      </c>
      <c r="H295" s="1343">
        <f>ROUND(E295*G295,)</f>
        <v>50000</v>
      </c>
      <c r="I295" s="1344">
        <f>ROUND(G295*0.01,)</f>
        <v>250</v>
      </c>
      <c r="J295" s="1343">
        <f>ROUND(I295*E295,)</f>
        <v>500</v>
      </c>
      <c r="K295" s="1344">
        <f>H295+J295</f>
        <v>50500</v>
      </c>
      <c r="L295" s="1473"/>
      <c r="M295" s="1214"/>
      <c r="N295" s="1214"/>
      <c r="O295" s="1214"/>
      <c r="P295" s="1214"/>
      <c r="Q295" s="1214"/>
      <c r="R295" s="1214"/>
      <c r="S295" s="1214"/>
      <c r="T295" s="1214"/>
      <c r="U295" s="1214"/>
    </row>
    <row r="296" spans="1:21" s="1199" customFormat="1" ht="24" customHeight="1">
      <c r="A296" s="1475"/>
      <c r="B296" s="2174" t="s">
        <v>1575</v>
      </c>
      <c r="C296" s="1191"/>
      <c r="D296" s="1471"/>
      <c r="E296" s="1206">
        <v>48</v>
      </c>
      <c r="F296" s="1207" t="s">
        <v>363</v>
      </c>
      <c r="G296" s="2179">
        <v>400</v>
      </c>
      <c r="H296" s="1343">
        <f>ROUND(E296*G296,)</f>
        <v>19200</v>
      </c>
      <c r="I296" s="1344">
        <f>ROUND(G296*0.01,)</f>
        <v>4</v>
      </c>
      <c r="J296" s="1343">
        <f>ROUND(I296*E296,)</f>
        <v>192</v>
      </c>
      <c r="K296" s="1344">
        <f>H296+J296</f>
        <v>19392</v>
      </c>
      <c r="L296" s="1473"/>
      <c r="M296" s="1214"/>
      <c r="N296" s="1214"/>
      <c r="O296" s="1214"/>
      <c r="P296" s="1214"/>
      <c r="Q296" s="1214"/>
      <c r="R296" s="1214"/>
      <c r="S296" s="1214"/>
      <c r="T296" s="1214"/>
      <c r="U296" s="1214"/>
    </row>
    <row r="297" spans="1:21" s="1199" customFormat="1" ht="24" customHeight="1">
      <c r="A297" s="1475"/>
      <c r="B297" s="2174" t="s">
        <v>2710</v>
      </c>
      <c r="C297" s="1191"/>
      <c r="D297" s="1471"/>
      <c r="E297" s="1206"/>
      <c r="F297" s="1207" t="s">
        <v>363</v>
      </c>
      <c r="G297" s="2179"/>
      <c r="H297" s="1273"/>
      <c r="I297" s="1265"/>
      <c r="J297" s="1264"/>
      <c r="K297" s="1265"/>
      <c r="L297" s="1473"/>
      <c r="M297" s="1214"/>
      <c r="N297" s="1214"/>
      <c r="O297" s="1214"/>
      <c r="P297" s="1214"/>
      <c r="Q297" s="1214"/>
      <c r="R297" s="1214"/>
      <c r="S297" s="1214"/>
      <c r="T297" s="1214"/>
      <c r="U297" s="1214"/>
    </row>
    <row r="298" spans="1:21" s="1199" customFormat="1" ht="24" customHeight="1">
      <c r="A298" s="1559"/>
      <c r="B298" s="2174" t="s">
        <v>1684</v>
      </c>
      <c r="C298" s="1191"/>
      <c r="D298" s="1471"/>
      <c r="E298" s="1206"/>
      <c r="F298" s="1207" t="s">
        <v>363</v>
      </c>
      <c r="G298" s="2179"/>
      <c r="H298" s="1273"/>
      <c r="I298" s="1265"/>
      <c r="J298" s="1264"/>
      <c r="K298" s="1265"/>
      <c r="L298" s="1469"/>
      <c r="M298" s="1214"/>
      <c r="N298" s="1214"/>
      <c r="O298" s="1214"/>
      <c r="P298" s="1214"/>
      <c r="Q298" s="1214"/>
      <c r="R298" s="1214"/>
      <c r="S298" s="1214"/>
      <c r="T298" s="1214"/>
      <c r="U298" s="1214"/>
    </row>
    <row r="299" spans="1:21" s="1199" customFormat="1" ht="24" customHeight="1">
      <c r="A299" s="1458" t="s">
        <v>1349</v>
      </c>
      <c r="B299" s="1220" t="s">
        <v>1551</v>
      </c>
      <c r="C299" s="1221"/>
      <c r="D299" s="1221"/>
      <c r="E299" s="1459"/>
      <c r="F299" s="1460"/>
      <c r="G299" s="1461"/>
      <c r="H299" s="1462"/>
      <c r="I299" s="1463"/>
      <c r="J299" s="1462"/>
      <c r="K299" s="1464"/>
      <c r="L299" s="1415"/>
      <c r="M299" s="1214"/>
      <c r="N299" s="1214"/>
      <c r="O299" s="1214"/>
      <c r="P299" s="1214"/>
    </row>
    <row r="300" spans="1:21" s="1199" customFormat="1" ht="24" customHeight="1">
      <c r="A300" s="1339"/>
      <c r="B300" s="1220" t="s">
        <v>2919</v>
      </c>
      <c r="C300" s="1221"/>
      <c r="D300" s="1221"/>
      <c r="E300" s="1404">
        <v>1</v>
      </c>
      <c r="F300" s="1223" t="s">
        <v>363</v>
      </c>
      <c r="G300" s="1386">
        <v>92400</v>
      </c>
      <c r="H300" s="1413">
        <f t="shared" ref="H300:H301" si="48">ROUND(E300*G300,)</f>
        <v>92400</v>
      </c>
      <c r="I300" s="1414">
        <f>G300*0.1</f>
        <v>9240</v>
      </c>
      <c r="J300" s="1415">
        <f>ROUND(E300*I300,)</f>
        <v>9240</v>
      </c>
      <c r="K300" s="1415">
        <f t="shared" ref="K300:K301" si="49">H300+J300</f>
        <v>101640</v>
      </c>
      <c r="L300" s="1415"/>
      <c r="M300" s="1214"/>
      <c r="N300" s="1214"/>
      <c r="O300" s="1214"/>
      <c r="P300" s="1214"/>
    </row>
    <row r="301" spans="1:21" s="1199" customFormat="1" ht="24" customHeight="1">
      <c r="A301" s="1339"/>
      <c r="B301" s="1220" t="s">
        <v>2920</v>
      </c>
      <c r="C301" s="1221"/>
      <c r="D301" s="1221"/>
      <c r="E301" s="1404">
        <v>1</v>
      </c>
      <c r="F301" s="1223" t="s">
        <v>363</v>
      </c>
      <c r="G301" s="1386">
        <v>92400</v>
      </c>
      <c r="H301" s="1413">
        <f t="shared" si="48"/>
        <v>92400</v>
      </c>
      <c r="I301" s="1414">
        <f>G301*0.1</f>
        <v>9240</v>
      </c>
      <c r="J301" s="1415">
        <f>ROUND(E301*I301,)</f>
        <v>9240</v>
      </c>
      <c r="K301" s="1415">
        <f t="shared" si="49"/>
        <v>101640</v>
      </c>
      <c r="L301" s="1415"/>
      <c r="M301" s="1214"/>
      <c r="N301" s="1214"/>
      <c r="O301" s="1214"/>
      <c r="P301" s="1214"/>
    </row>
    <row r="302" spans="1:21" s="1199" customFormat="1" ht="24" customHeight="1">
      <c r="A302" s="1458" t="s">
        <v>1577</v>
      </c>
      <c r="B302" s="1220" t="s">
        <v>1557</v>
      </c>
      <c r="C302" s="1221"/>
      <c r="D302" s="1221"/>
      <c r="E302" s="1459"/>
      <c r="F302" s="1460"/>
      <c r="G302" s="1461"/>
      <c r="H302" s="1462"/>
      <c r="I302" s="1463"/>
      <c r="J302" s="1462"/>
      <c r="K302" s="1464"/>
      <c r="L302" s="1415"/>
      <c r="M302" s="1214"/>
      <c r="N302" s="1214"/>
      <c r="O302" s="1214"/>
      <c r="P302" s="1214"/>
    </row>
    <row r="303" spans="1:21" s="1199" customFormat="1" ht="24" customHeight="1">
      <c r="A303" s="1339"/>
      <c r="B303" s="1220" t="s">
        <v>2921</v>
      </c>
      <c r="C303" s="1221"/>
      <c r="D303" s="1221"/>
      <c r="E303" s="1404">
        <v>1</v>
      </c>
      <c r="F303" s="1223" t="s">
        <v>363</v>
      </c>
      <c r="G303" s="1386">
        <v>3500</v>
      </c>
      <c r="H303" s="1413">
        <f t="shared" ref="H303:H304" si="50">ROUND(E303*G303,)</f>
        <v>3500</v>
      </c>
      <c r="I303" s="1414">
        <f t="shared" ref="I303:I304" si="51">G303*0.1</f>
        <v>350</v>
      </c>
      <c r="J303" s="1415">
        <f t="shared" ref="J303:J304" si="52">ROUND(E303*I303,)</f>
        <v>350</v>
      </c>
      <c r="K303" s="1415">
        <f t="shared" ref="K303:K304" si="53">H303+J303</f>
        <v>3850</v>
      </c>
      <c r="L303" s="1415"/>
      <c r="M303" s="1214"/>
      <c r="N303" s="1214"/>
      <c r="O303" s="1214"/>
      <c r="P303" s="1214"/>
    </row>
    <row r="304" spans="1:21" s="1199" customFormat="1" ht="24" customHeight="1">
      <c r="A304" s="1339"/>
      <c r="B304" s="1220" t="s">
        <v>2922</v>
      </c>
      <c r="C304" s="1221"/>
      <c r="D304" s="1221"/>
      <c r="E304" s="1404">
        <v>1</v>
      </c>
      <c r="F304" s="1223" t="s">
        <v>363</v>
      </c>
      <c r="G304" s="1386">
        <v>3500</v>
      </c>
      <c r="H304" s="1413">
        <f t="shared" si="50"/>
        <v>3500</v>
      </c>
      <c r="I304" s="1414">
        <f t="shared" si="51"/>
        <v>350</v>
      </c>
      <c r="J304" s="1415">
        <f t="shared" si="52"/>
        <v>350</v>
      </c>
      <c r="K304" s="1415">
        <f t="shared" si="53"/>
        <v>3850</v>
      </c>
      <c r="L304" s="1415"/>
      <c r="M304" s="1214"/>
      <c r="N304" s="1214"/>
      <c r="O304" s="1214"/>
      <c r="P304" s="1214"/>
    </row>
    <row r="305" spans="1:21" s="1199" customFormat="1" ht="24" customHeight="1">
      <c r="A305" s="1458" t="s">
        <v>1359</v>
      </c>
      <c r="B305" s="1465" t="s">
        <v>1312</v>
      </c>
      <c r="C305" s="1452"/>
      <c r="D305" s="1452"/>
      <c r="E305" s="1453"/>
      <c r="F305" s="1454"/>
      <c r="G305" s="1386"/>
      <c r="H305" s="1413"/>
      <c r="I305" s="1414"/>
      <c r="J305" s="1415"/>
      <c r="K305" s="1415"/>
      <c r="L305" s="1457"/>
      <c r="M305" s="1214"/>
      <c r="N305" s="1214"/>
      <c r="O305" s="1214"/>
      <c r="P305" s="1214"/>
    </row>
    <row r="306" spans="1:21" s="1199" customFormat="1" ht="24" customHeight="1">
      <c r="A306" s="1339"/>
      <c r="B306" s="1220" t="s">
        <v>1567</v>
      </c>
      <c r="C306" s="1221"/>
      <c r="D306" s="1221"/>
      <c r="E306" s="1404">
        <v>200</v>
      </c>
      <c r="F306" s="1262" t="s">
        <v>226</v>
      </c>
      <c r="G306" s="1386">
        <v>103</v>
      </c>
      <c r="H306" s="1413">
        <f>ROUND(E306*G306,)</f>
        <v>20600</v>
      </c>
      <c r="I306" s="1414">
        <v>21</v>
      </c>
      <c r="J306" s="1415">
        <f>ROUND(E306*I306,)</f>
        <v>4200</v>
      </c>
      <c r="K306" s="1415">
        <f>H306+J306</f>
        <v>24800</v>
      </c>
      <c r="L306" s="1415"/>
      <c r="M306" s="1214"/>
      <c r="N306" s="1214"/>
      <c r="O306" s="1214"/>
      <c r="P306" s="1214"/>
    </row>
    <row r="307" spans="1:21" s="1199" customFormat="1" ht="24" customHeight="1">
      <c r="A307" s="1339"/>
      <c r="B307" s="1220" t="s">
        <v>1568</v>
      </c>
      <c r="C307" s="1221"/>
      <c r="D307" s="1221"/>
      <c r="E307" s="1404">
        <v>120</v>
      </c>
      <c r="F307" s="1262" t="s">
        <v>226</v>
      </c>
      <c r="G307" s="1386">
        <v>139</v>
      </c>
      <c r="H307" s="1413">
        <f>ROUND(E307*G307,)</f>
        <v>16680</v>
      </c>
      <c r="I307" s="1414">
        <v>21</v>
      </c>
      <c r="J307" s="1415">
        <f>ROUND(E307*I307,)</f>
        <v>2520</v>
      </c>
      <c r="K307" s="1415">
        <f>H307+J307</f>
        <v>19200</v>
      </c>
      <c r="L307" s="1415"/>
      <c r="M307" s="1214"/>
      <c r="N307" s="1214"/>
      <c r="O307" s="1214"/>
      <c r="P307" s="1214"/>
    </row>
    <row r="308" spans="1:21" s="1199" customFormat="1" ht="24" customHeight="1">
      <c r="A308" s="1339"/>
      <c r="B308" s="1220" t="s">
        <v>1525</v>
      </c>
      <c r="C308" s="1221"/>
      <c r="D308" s="1221"/>
      <c r="E308" s="1404">
        <v>1</v>
      </c>
      <c r="F308" s="1412" t="s">
        <v>1104</v>
      </c>
      <c r="G308" s="1386">
        <f>SUM(H306:H307)*5%</f>
        <v>1864</v>
      </c>
      <c r="H308" s="1343">
        <f t="shared" ref="H308" si="54">ROUND(E308*G308,)</f>
        <v>1864</v>
      </c>
      <c r="I308" s="1414">
        <f>G308*0.3</f>
        <v>559.19999999999993</v>
      </c>
      <c r="J308" s="1343">
        <f t="shared" ref="J308" si="55">ROUND(E308*I308,)</f>
        <v>559</v>
      </c>
      <c r="K308" s="1262">
        <f t="shared" ref="K308" si="56">H308+J308</f>
        <v>2423</v>
      </c>
      <c r="L308" s="1415"/>
      <c r="M308" s="1214"/>
      <c r="N308" s="1214"/>
      <c r="O308" s="1214"/>
      <c r="P308" s="1214"/>
    </row>
    <row r="309" spans="1:21" s="1199" customFormat="1" ht="24" customHeight="1">
      <c r="A309" s="1339" t="s">
        <v>1361</v>
      </c>
      <c r="B309" s="1220" t="s">
        <v>1343</v>
      </c>
      <c r="C309" s="1221"/>
      <c r="D309" s="1221"/>
      <c r="E309" s="1404"/>
      <c r="F309" s="1412"/>
      <c r="G309" s="1386"/>
      <c r="H309" s="1343"/>
      <c r="I309" s="1414"/>
      <c r="J309" s="1343"/>
      <c r="K309" s="1262"/>
      <c r="L309" s="1466"/>
    </row>
    <row r="310" spans="1:21" s="1199" customFormat="1" ht="24" customHeight="1">
      <c r="A310" s="1339"/>
      <c r="B310" s="1220" t="s">
        <v>1344</v>
      </c>
      <c r="C310" s="1221"/>
      <c r="D310" s="1221"/>
      <c r="E310" s="1404">
        <v>40</v>
      </c>
      <c r="F310" s="1262" t="s">
        <v>226</v>
      </c>
      <c r="G310" s="1386">
        <v>316</v>
      </c>
      <c r="H310" s="1343">
        <f t="shared" ref="H310" si="57">ROUND(E310*G310,)</f>
        <v>12640</v>
      </c>
      <c r="I310" s="1414">
        <v>50</v>
      </c>
      <c r="J310" s="1343">
        <f t="shared" ref="J310:J311" si="58">ROUND(E310*I310,)</f>
        <v>2000</v>
      </c>
      <c r="K310" s="1262">
        <f t="shared" ref="K310:K311" si="59">H310+J310</f>
        <v>14640</v>
      </c>
      <c r="L310" s="1466"/>
    </row>
    <row r="311" spans="1:21" s="1199" customFormat="1" ht="24" customHeight="1">
      <c r="A311" s="1339"/>
      <c r="B311" s="1220" t="s">
        <v>1384</v>
      </c>
      <c r="C311" s="1221"/>
      <c r="D311" s="1221"/>
      <c r="E311" s="1404">
        <v>1</v>
      </c>
      <c r="F311" s="1412" t="s">
        <v>1104</v>
      </c>
      <c r="G311" s="1386">
        <f>SUM(H310)*15%</f>
        <v>1896</v>
      </c>
      <c r="H311" s="1343">
        <f t="shared" ref="H311" si="60">ROUND(G311*E311,)</f>
        <v>1896</v>
      </c>
      <c r="I311" s="1414">
        <f>G311*0.3</f>
        <v>568.79999999999995</v>
      </c>
      <c r="J311" s="1343">
        <f t="shared" si="58"/>
        <v>569</v>
      </c>
      <c r="K311" s="1262">
        <f t="shared" si="59"/>
        <v>2465</v>
      </c>
      <c r="L311" s="1466"/>
    </row>
    <row r="312" spans="1:21" s="1199" customFormat="1" ht="24" customHeight="1">
      <c r="A312" s="1339"/>
      <c r="B312" s="1220" t="s">
        <v>1117</v>
      </c>
      <c r="C312" s="1221"/>
      <c r="D312" s="1221"/>
      <c r="E312" s="1404"/>
      <c r="F312" s="1412"/>
      <c r="G312" s="1386"/>
      <c r="H312" s="1413"/>
      <c r="I312" s="1414"/>
      <c r="J312" s="1415"/>
      <c r="K312" s="1415"/>
      <c r="L312" s="1415"/>
      <c r="M312" s="1214"/>
      <c r="N312" s="1214"/>
      <c r="O312" s="1214"/>
      <c r="P312" s="1214"/>
    </row>
    <row r="313" spans="1:21" s="1199" customFormat="1" ht="24" customHeight="1">
      <c r="A313" s="1339"/>
      <c r="B313" s="1220" t="s">
        <v>1118</v>
      </c>
      <c r="C313" s="1221"/>
      <c r="D313" s="1221"/>
      <c r="E313" s="1404"/>
      <c r="F313" s="1412"/>
      <c r="G313" s="1386"/>
      <c r="H313" s="1413"/>
      <c r="I313" s="1414"/>
      <c r="J313" s="1415"/>
      <c r="K313" s="1415"/>
      <c r="L313" s="1415"/>
      <c r="M313" s="1214"/>
      <c r="N313" s="1214"/>
      <c r="O313" s="1214"/>
      <c r="P313" s="1214"/>
    </row>
    <row r="314" spans="1:21" s="1199" customFormat="1" ht="24" customHeight="1">
      <c r="A314" s="1339"/>
      <c r="B314" s="1220" t="s">
        <v>1118</v>
      </c>
      <c r="C314" s="1221"/>
      <c r="D314" s="1221"/>
      <c r="E314" s="1404"/>
      <c r="F314" s="1412"/>
      <c r="G314" s="1386"/>
      <c r="H314" s="1413"/>
      <c r="I314" s="1414"/>
      <c r="J314" s="1415"/>
      <c r="K314" s="1415"/>
      <c r="L314" s="1415"/>
      <c r="M314" s="1214"/>
      <c r="N314" s="1214"/>
      <c r="O314" s="1214"/>
      <c r="P314" s="1214"/>
    </row>
    <row r="315" spans="1:21" s="1199" customFormat="1" ht="24" customHeight="1">
      <c r="A315" s="1339"/>
      <c r="B315" s="1259" t="s">
        <v>1117</v>
      </c>
      <c r="C315" s="1221"/>
      <c r="D315" s="1221"/>
      <c r="E315" s="1404"/>
      <c r="F315" s="1412"/>
      <c r="G315" s="1386"/>
      <c r="H315" s="1413"/>
      <c r="I315" s="1414"/>
      <c r="J315" s="1415"/>
      <c r="K315" s="1415"/>
      <c r="L315" s="1415"/>
      <c r="M315" s="1214"/>
      <c r="N315" s="1214"/>
      <c r="O315" s="1214"/>
      <c r="P315" s="1214"/>
    </row>
    <row r="316" spans="1:21" s="1199" customFormat="1" ht="24" customHeight="1">
      <c r="A316" s="1480"/>
      <c r="B316" s="2174" t="s">
        <v>1118</v>
      </c>
      <c r="C316" s="1191"/>
      <c r="D316" s="1471"/>
      <c r="E316" s="1206"/>
      <c r="F316" s="1207"/>
      <c r="G316" s="2175"/>
      <c r="H316" s="1264"/>
      <c r="I316" s="1265"/>
      <c r="J316" s="1264"/>
      <c r="K316" s="1265"/>
      <c r="L316" s="1473"/>
      <c r="M316" s="1214"/>
      <c r="N316" s="1214"/>
      <c r="O316" s="1214"/>
      <c r="P316" s="1214"/>
      <c r="Q316" s="1214"/>
      <c r="R316" s="1214"/>
      <c r="S316" s="1214"/>
      <c r="T316" s="1214"/>
      <c r="U316" s="1214"/>
    </row>
    <row r="317" spans="1:21" s="1199" customFormat="1" ht="24" customHeight="1">
      <c r="A317" s="1474"/>
      <c r="B317" s="2174" t="s">
        <v>1118</v>
      </c>
      <c r="C317" s="1191"/>
      <c r="D317" s="1471"/>
      <c r="E317" s="1206"/>
      <c r="F317" s="1207"/>
      <c r="G317" s="2175"/>
      <c r="H317" s="1264"/>
      <c r="I317" s="1504"/>
      <c r="J317" s="1264"/>
      <c r="K317" s="1265"/>
      <c r="L317" s="1473"/>
      <c r="M317" s="1214"/>
      <c r="N317" s="1214"/>
      <c r="O317" s="1214"/>
      <c r="P317" s="1214"/>
      <c r="Q317" s="1214"/>
      <c r="R317" s="1214"/>
      <c r="S317" s="1214"/>
      <c r="T317" s="1214"/>
      <c r="U317" s="1214"/>
    </row>
    <row r="318" spans="1:21" s="1199" customFormat="1" ht="24" customHeight="1">
      <c r="A318" s="1474"/>
      <c r="B318" s="2174"/>
      <c r="C318" s="1191"/>
      <c r="D318" s="1471"/>
      <c r="E318" s="1206"/>
      <c r="F318" s="1207"/>
      <c r="G318" s="1520"/>
      <c r="H318" s="1264"/>
      <c r="I318" s="1504"/>
      <c r="J318" s="1264"/>
      <c r="K318" s="1265"/>
      <c r="L318" s="1473"/>
      <c r="M318" s="1214"/>
      <c r="N318" s="1214"/>
      <c r="O318" s="1214"/>
      <c r="P318" s="1214"/>
      <c r="Q318" s="1214"/>
      <c r="R318" s="1214"/>
      <c r="S318" s="1214"/>
      <c r="T318" s="1214"/>
      <c r="U318" s="1214"/>
    </row>
    <row r="319" spans="1:21" s="1199" customFormat="1" ht="24" customHeight="1">
      <c r="A319" s="1474"/>
      <c r="B319" s="2174"/>
      <c r="C319" s="1191"/>
      <c r="D319" s="1471"/>
      <c r="E319" s="1206"/>
      <c r="F319" s="1207"/>
      <c r="G319" s="1520"/>
      <c r="H319" s="1264"/>
      <c r="I319" s="1504"/>
      <c r="J319" s="1264"/>
      <c r="K319" s="1265"/>
      <c r="L319" s="1473"/>
      <c r="M319" s="1214"/>
      <c r="N319" s="1214"/>
      <c r="O319" s="1214"/>
      <c r="P319" s="1214"/>
      <c r="Q319" s="1214"/>
      <c r="R319" s="1214"/>
      <c r="S319" s="1214"/>
      <c r="T319" s="1214"/>
      <c r="U319" s="1214"/>
    </row>
    <row r="320" spans="1:21" s="1199" customFormat="1" ht="24" customHeight="1">
      <c r="A320" s="1474"/>
      <c r="B320" s="2174"/>
      <c r="C320" s="1191"/>
      <c r="D320" s="1471"/>
      <c r="E320" s="1206"/>
      <c r="F320" s="1207"/>
      <c r="G320" s="1520"/>
      <c r="H320" s="1264"/>
      <c r="I320" s="1504"/>
      <c r="J320" s="1264"/>
      <c r="K320" s="1265"/>
      <c r="L320" s="1473"/>
      <c r="M320" s="1214"/>
      <c r="N320" s="1214"/>
      <c r="O320" s="1214"/>
      <c r="P320" s="1214"/>
      <c r="Q320" s="1214"/>
      <c r="R320" s="1214"/>
      <c r="S320" s="1214"/>
      <c r="T320" s="1214"/>
      <c r="U320" s="1214"/>
    </row>
    <row r="321" spans="1:21" s="1199" customFormat="1" ht="24" customHeight="1">
      <c r="A321" s="1480"/>
      <c r="B321" s="2174"/>
      <c r="C321" s="1191"/>
      <c r="D321" s="1471"/>
      <c r="E321" s="1387"/>
      <c r="F321" s="1358"/>
      <c r="G321" s="2176"/>
      <c r="H321" s="1264"/>
      <c r="I321" s="2177"/>
      <c r="J321" s="1264"/>
      <c r="K321" s="1801"/>
      <c r="L321" s="2001"/>
      <c r="M321" s="1214"/>
      <c r="N321" s="1214"/>
      <c r="O321" s="1214"/>
      <c r="P321" s="1214"/>
      <c r="Q321" s="1214"/>
      <c r="R321" s="1214"/>
      <c r="S321" s="1214"/>
      <c r="T321" s="1214"/>
      <c r="U321" s="1214"/>
    </row>
    <row r="322" spans="1:21" s="1199" customFormat="1" ht="24" customHeight="1">
      <c r="A322" s="1245"/>
      <c r="B322" s="2257" t="str">
        <f>"รวมราคารายการที่ "&amp;A292</f>
        <v>รวมราคารายการที่ 3.11</v>
      </c>
      <c r="C322" s="2258"/>
      <c r="D322" s="2259"/>
      <c r="E322" s="1481"/>
      <c r="F322" s="1245"/>
      <c r="G322" s="1246"/>
      <c r="H322" s="1247">
        <f>SUM(H292:H315)</f>
        <v>372080</v>
      </c>
      <c r="I322" s="1246"/>
      <c r="J322" s="1247">
        <f>SUM(J292:J315)</f>
        <v>30294</v>
      </c>
      <c r="K322" s="1247">
        <f>SUM(K292:K315)</f>
        <v>402374</v>
      </c>
      <c r="L322" s="1245"/>
      <c r="M322" s="1214"/>
      <c r="N322" s="1214"/>
      <c r="O322" s="1214"/>
      <c r="P322" s="1214"/>
      <c r="Q322" s="1214"/>
      <c r="R322" s="1214"/>
      <c r="S322" s="1214"/>
      <c r="T322" s="1214"/>
      <c r="U322" s="1214"/>
    </row>
    <row r="323" spans="1:21" s="1199" customFormat="1" ht="24" customHeight="1">
      <c r="A323" s="1467" t="s">
        <v>2917</v>
      </c>
      <c r="B323" s="1292" t="s">
        <v>1571</v>
      </c>
      <c r="C323" s="1468"/>
      <c r="D323" s="1192"/>
      <c r="E323" s="1193"/>
      <c r="F323" s="1194"/>
      <c r="G323" s="1297"/>
      <c r="H323" s="1298"/>
      <c r="I323" s="1299"/>
      <c r="J323" s="1298"/>
      <c r="K323" s="1299"/>
      <c r="L323" s="1469"/>
      <c r="M323" s="1214"/>
      <c r="N323" s="1214"/>
      <c r="O323" s="1214"/>
      <c r="P323" s="1214"/>
      <c r="Q323" s="1214"/>
      <c r="R323" s="1214"/>
      <c r="S323" s="1214"/>
      <c r="T323" s="1214"/>
      <c r="U323" s="1214"/>
    </row>
    <row r="324" spans="1:21" s="1199" customFormat="1" ht="24" customHeight="1">
      <c r="A324" s="1470" t="s">
        <v>1352</v>
      </c>
      <c r="B324" s="2174" t="s">
        <v>1611</v>
      </c>
      <c r="C324" s="1191"/>
      <c r="D324" s="1471"/>
      <c r="E324" s="1472">
        <v>2</v>
      </c>
      <c r="F324" s="1267" t="s">
        <v>363</v>
      </c>
      <c r="G324" s="2178">
        <v>3200</v>
      </c>
      <c r="H324" s="1343">
        <f>ROUND(E324*G324,)</f>
        <v>6400</v>
      </c>
      <c r="I324" s="1344">
        <v>150</v>
      </c>
      <c r="J324" s="1343">
        <f>ROUND(I324*E324,)</f>
        <v>300</v>
      </c>
      <c r="K324" s="1344">
        <f>H324+J324</f>
        <v>6700</v>
      </c>
      <c r="L324" s="1473"/>
      <c r="M324" s="1214"/>
      <c r="N324" s="1214"/>
      <c r="O324" s="1214"/>
      <c r="P324" s="1214"/>
      <c r="Q324" s="1214"/>
      <c r="R324" s="1214"/>
      <c r="S324" s="1214"/>
      <c r="T324" s="1214"/>
      <c r="U324" s="1214"/>
    </row>
    <row r="325" spans="1:21" s="1199" customFormat="1" ht="24" customHeight="1">
      <c r="A325" s="1474" t="s">
        <v>1354</v>
      </c>
      <c r="B325" s="2174" t="s">
        <v>1612</v>
      </c>
      <c r="C325" s="1191"/>
      <c r="D325" s="1471"/>
      <c r="E325" s="1472">
        <v>2</v>
      </c>
      <c r="F325" s="1267" t="s">
        <v>363</v>
      </c>
      <c r="G325" s="2178">
        <v>2640</v>
      </c>
      <c r="H325" s="1343">
        <f>ROUND(E325*G325,)</f>
        <v>5280</v>
      </c>
      <c r="I325" s="1344">
        <v>150</v>
      </c>
      <c r="J325" s="1343">
        <f>ROUND(I325*E325,)</f>
        <v>300</v>
      </c>
      <c r="K325" s="1344">
        <f>H325+J325</f>
        <v>5580</v>
      </c>
      <c r="L325" s="1473"/>
      <c r="M325" s="1214"/>
      <c r="N325" s="1214"/>
      <c r="O325" s="1214"/>
      <c r="P325" s="1214"/>
      <c r="Q325" s="1214"/>
      <c r="R325" s="1214"/>
      <c r="S325" s="1214"/>
      <c r="T325" s="1214"/>
      <c r="U325" s="1214"/>
    </row>
    <row r="326" spans="1:21" s="1199" customFormat="1" ht="24" customHeight="1">
      <c r="A326" s="1474" t="s">
        <v>1357</v>
      </c>
      <c r="B326" s="2174" t="s">
        <v>1613</v>
      </c>
      <c r="C326" s="1191"/>
      <c r="D326" s="1471"/>
      <c r="E326" s="1206"/>
      <c r="F326" s="1207"/>
      <c r="G326" s="2175"/>
      <c r="H326" s="1264"/>
      <c r="I326" s="1265"/>
      <c r="J326" s="1264"/>
      <c r="K326" s="1265"/>
      <c r="L326" s="1473"/>
      <c r="M326" s="1214"/>
      <c r="N326" s="1214"/>
      <c r="O326" s="1214"/>
      <c r="P326" s="1214"/>
      <c r="Q326" s="1214"/>
      <c r="R326" s="1214"/>
      <c r="S326" s="1214"/>
      <c r="T326" s="1214"/>
      <c r="U326" s="1214"/>
    </row>
    <row r="327" spans="1:21" s="1199" customFormat="1" ht="24" customHeight="1">
      <c r="A327" s="1478"/>
      <c r="B327" s="1259" t="s">
        <v>1614</v>
      </c>
      <c r="C327" s="1191"/>
      <c r="D327" s="1471"/>
      <c r="E327" s="1206">
        <v>750</v>
      </c>
      <c r="F327" s="1207" t="s">
        <v>226</v>
      </c>
      <c r="G327" s="2178">
        <v>10</v>
      </c>
      <c r="H327" s="1264">
        <f>ROUND(E327*G327,)</f>
        <v>7500</v>
      </c>
      <c r="I327" s="1265">
        <v>5</v>
      </c>
      <c r="J327" s="1264">
        <f>ROUND(I327*E327,)</f>
        <v>3750</v>
      </c>
      <c r="K327" s="1265">
        <f>H327+J327</f>
        <v>11250</v>
      </c>
      <c r="L327" s="1473"/>
      <c r="M327" s="1214"/>
      <c r="N327" s="1214"/>
      <c r="O327" s="1214"/>
      <c r="P327" s="1214"/>
      <c r="Q327" s="1214"/>
      <c r="R327" s="1214"/>
      <c r="S327" s="1214"/>
      <c r="T327" s="1214"/>
      <c r="U327" s="1214"/>
    </row>
    <row r="328" spans="1:21" s="1199" customFormat="1" ht="24" customHeight="1">
      <c r="A328" s="1474" t="s">
        <v>2677</v>
      </c>
      <c r="B328" s="2174" t="s">
        <v>1526</v>
      </c>
      <c r="C328" s="1191"/>
      <c r="D328" s="1471"/>
      <c r="E328" s="1206"/>
      <c r="F328" s="1207"/>
      <c r="G328" s="2175"/>
      <c r="H328" s="1264"/>
      <c r="I328" s="1265"/>
      <c r="J328" s="1264"/>
      <c r="K328" s="1265"/>
      <c r="L328" s="1473"/>
      <c r="M328" s="1214"/>
      <c r="N328" s="1214"/>
      <c r="O328" s="1214"/>
      <c r="P328" s="1214"/>
      <c r="Q328" s="1214"/>
      <c r="R328" s="1214"/>
      <c r="S328" s="1214"/>
      <c r="T328" s="1214"/>
      <c r="U328" s="1214"/>
    </row>
    <row r="329" spans="1:21" s="1199" customFormat="1" ht="24" customHeight="1">
      <c r="A329" s="1479"/>
      <c r="B329" s="2174" t="s">
        <v>1350</v>
      </c>
      <c r="C329" s="1191"/>
      <c r="D329" s="1471"/>
      <c r="E329" s="1387"/>
      <c r="F329" s="1358" t="s">
        <v>226</v>
      </c>
      <c r="G329" s="2176">
        <v>27</v>
      </c>
      <c r="H329" s="1264">
        <f t="shared" ref="H329" si="61">ROUND(G329*E329,)</f>
        <v>0</v>
      </c>
      <c r="I329" s="2177">
        <v>22</v>
      </c>
      <c r="J329" s="1264">
        <f t="shared" ref="J329" si="62">ROUND(E329*I329,)</f>
        <v>0</v>
      </c>
      <c r="K329" s="1802">
        <f t="shared" ref="K329" si="63">H329+J329</f>
        <v>0</v>
      </c>
      <c r="L329" s="2001" t="s">
        <v>2667</v>
      </c>
      <c r="M329" s="1214"/>
      <c r="N329" s="1214"/>
      <c r="O329" s="1214"/>
      <c r="P329" s="1214"/>
      <c r="Q329" s="1214"/>
      <c r="R329" s="1214"/>
      <c r="S329" s="1214"/>
      <c r="T329" s="1214"/>
      <c r="U329" s="1214"/>
    </row>
    <row r="330" spans="1:21" s="1199" customFormat="1" ht="24" customHeight="1">
      <c r="A330" s="1474" t="s">
        <v>2679</v>
      </c>
      <c r="B330" s="2174" t="s">
        <v>1110</v>
      </c>
      <c r="C330" s="1191"/>
      <c r="D330" s="1471"/>
      <c r="E330" s="1206"/>
      <c r="F330" s="1207"/>
      <c r="G330" s="2175"/>
      <c r="H330" s="1264"/>
      <c r="I330" s="1265"/>
      <c r="J330" s="1264"/>
      <c r="K330" s="1265"/>
      <c r="L330" s="1473"/>
      <c r="M330" s="1214"/>
      <c r="N330" s="1214"/>
      <c r="O330" s="1214"/>
      <c r="P330" s="1214"/>
      <c r="Q330" s="1214"/>
      <c r="R330" s="1214"/>
      <c r="S330" s="1214"/>
      <c r="T330" s="1214"/>
      <c r="U330" s="1214"/>
    </row>
    <row r="331" spans="1:21" s="1199" customFormat="1" ht="24" customHeight="1">
      <c r="A331" s="1480"/>
      <c r="B331" s="2174" t="s">
        <v>1350</v>
      </c>
      <c r="C331" s="1191"/>
      <c r="D331" s="1471"/>
      <c r="E331" s="1387">
        <v>80</v>
      </c>
      <c r="F331" s="1358" t="s">
        <v>226</v>
      </c>
      <c r="G331" s="2176">
        <v>56</v>
      </c>
      <c r="H331" s="1264">
        <f>ROUND(E331*G331,)</f>
        <v>4480</v>
      </c>
      <c r="I331" s="2177">
        <v>26</v>
      </c>
      <c r="J331" s="1264">
        <f t="shared" ref="J331" si="64">ROUND(E331*I331,)</f>
        <v>2080</v>
      </c>
      <c r="K331" s="1801">
        <f t="shared" ref="K331" si="65">H331+J331</f>
        <v>6560</v>
      </c>
      <c r="L331" s="2001" t="s">
        <v>2667</v>
      </c>
      <c r="M331" s="1214"/>
      <c r="N331" s="1199">
        <v>169.2</v>
      </c>
      <c r="O331" s="1199">
        <f>ROUND(N331/3,)</f>
        <v>56</v>
      </c>
      <c r="P331" s="1214"/>
      <c r="Q331" s="1214"/>
      <c r="R331" s="1214"/>
      <c r="S331" s="1214"/>
      <c r="T331" s="1214"/>
      <c r="U331" s="1214"/>
    </row>
    <row r="332" spans="1:21" s="1199" customFormat="1" ht="24" customHeight="1">
      <c r="A332" s="1480"/>
      <c r="B332" s="2174" t="s">
        <v>1384</v>
      </c>
      <c r="C332" s="1191"/>
      <c r="D332" s="1471"/>
      <c r="E332" s="1206">
        <v>1</v>
      </c>
      <c r="F332" s="1207" t="s">
        <v>1104</v>
      </c>
      <c r="G332" s="2175">
        <f>ROUND(SUM(H329:H331)*15%,0)</f>
        <v>672</v>
      </c>
      <c r="H332" s="1264">
        <f>ROUND(E332*G332,)</f>
        <v>672</v>
      </c>
      <c r="I332" s="1265">
        <f>ROUND(G332*0.3,0)</f>
        <v>202</v>
      </c>
      <c r="J332" s="1264">
        <f>ROUND(I332*E332,)</f>
        <v>202</v>
      </c>
      <c r="K332" s="1265">
        <f>H332+I332</f>
        <v>874</v>
      </c>
      <c r="L332" s="1473"/>
      <c r="M332" s="1214"/>
      <c r="N332" s="1214"/>
      <c r="O332" s="1214"/>
      <c r="P332" s="1214"/>
      <c r="Q332" s="1214"/>
      <c r="R332" s="1214"/>
      <c r="S332" s="1214"/>
      <c r="T332" s="1214"/>
      <c r="U332" s="1214"/>
    </row>
    <row r="333" spans="1:21" s="1199" customFormat="1" ht="24" customHeight="1">
      <c r="A333" s="1474" t="s">
        <v>2918</v>
      </c>
      <c r="B333" s="2174" t="s">
        <v>1381</v>
      </c>
      <c r="C333" s="1191"/>
      <c r="D333" s="1471"/>
      <c r="E333" s="1206"/>
      <c r="F333" s="1207" t="s">
        <v>1104</v>
      </c>
      <c r="G333" s="2175"/>
      <c r="H333" s="1264"/>
      <c r="I333" s="1504"/>
      <c r="J333" s="1264"/>
      <c r="K333" s="1265"/>
      <c r="L333" s="1473"/>
      <c r="M333" s="1214"/>
      <c r="N333" s="1214"/>
      <c r="O333" s="1214"/>
      <c r="P333" s="1214"/>
      <c r="Q333" s="1214"/>
      <c r="R333" s="1214"/>
      <c r="S333" s="1214"/>
      <c r="T333" s="1214"/>
      <c r="U333" s="1214"/>
    </row>
    <row r="334" spans="1:21" s="1199" customFormat="1" ht="24" customHeight="1">
      <c r="A334" s="1480"/>
      <c r="B334" s="2174" t="s">
        <v>1117</v>
      </c>
      <c r="C334" s="1191"/>
      <c r="D334" s="1471"/>
      <c r="E334" s="1387"/>
      <c r="F334" s="1358"/>
      <c r="G334" s="2176"/>
      <c r="H334" s="1264"/>
      <c r="I334" s="2177"/>
      <c r="J334" s="1264"/>
      <c r="K334" s="1801"/>
      <c r="L334" s="2001"/>
      <c r="M334" s="1214"/>
      <c r="N334" s="1214"/>
      <c r="O334" s="1214"/>
      <c r="P334" s="1214"/>
      <c r="Q334" s="1214"/>
      <c r="R334" s="1214"/>
      <c r="S334" s="1214"/>
      <c r="T334" s="1214"/>
      <c r="U334" s="1214"/>
    </row>
    <row r="335" spans="1:21" s="1199" customFormat="1" ht="24" customHeight="1">
      <c r="A335" s="1480"/>
      <c r="B335" s="2174" t="s">
        <v>1118</v>
      </c>
      <c r="C335" s="1191"/>
      <c r="D335" s="1471"/>
      <c r="E335" s="1206"/>
      <c r="F335" s="1207"/>
      <c r="G335" s="2175"/>
      <c r="H335" s="1264"/>
      <c r="I335" s="1265"/>
      <c r="J335" s="1264"/>
      <c r="K335" s="1265"/>
      <c r="L335" s="1473"/>
      <c r="M335" s="1214"/>
      <c r="N335" s="1214"/>
      <c r="O335" s="1214"/>
      <c r="P335" s="1214"/>
      <c r="Q335" s="1214"/>
      <c r="R335" s="1214"/>
      <c r="S335" s="1214"/>
      <c r="T335" s="1214"/>
      <c r="U335" s="1214"/>
    </row>
    <row r="336" spans="1:21" s="1199" customFormat="1" ht="24" customHeight="1">
      <c r="A336" s="1474"/>
      <c r="B336" s="2174" t="s">
        <v>1118</v>
      </c>
      <c r="C336" s="1191"/>
      <c r="D336" s="1471"/>
      <c r="E336" s="1206"/>
      <c r="F336" s="1207"/>
      <c r="G336" s="2175"/>
      <c r="H336" s="1264"/>
      <c r="I336" s="1504"/>
      <c r="J336" s="1264"/>
      <c r="K336" s="1265"/>
      <c r="L336" s="1473"/>
      <c r="M336" s="1214"/>
      <c r="N336" s="1214"/>
      <c r="O336" s="1214"/>
      <c r="P336" s="1214"/>
      <c r="Q336" s="1214"/>
      <c r="R336" s="1214"/>
      <c r="S336" s="1214"/>
      <c r="T336" s="1214"/>
      <c r="U336" s="1214"/>
    </row>
    <row r="337" spans="1:21" s="1199" customFormat="1" ht="24" customHeight="1">
      <c r="A337" s="1474"/>
      <c r="B337" s="2174"/>
      <c r="C337" s="1191"/>
      <c r="D337" s="1471"/>
      <c r="E337" s="1206"/>
      <c r="F337" s="1207"/>
      <c r="G337" s="1520"/>
      <c r="H337" s="1264"/>
      <c r="I337" s="1504"/>
      <c r="J337" s="1264"/>
      <c r="K337" s="1265"/>
      <c r="L337" s="1473"/>
      <c r="M337" s="1214"/>
      <c r="N337" s="1214"/>
      <c r="O337" s="1214"/>
      <c r="P337" s="1214"/>
      <c r="Q337" s="1214"/>
      <c r="R337" s="1214"/>
      <c r="S337" s="1214"/>
      <c r="T337" s="1214"/>
      <c r="U337" s="1214"/>
    </row>
    <row r="338" spans="1:21" s="1199" customFormat="1" ht="24" customHeight="1">
      <c r="A338" s="1474"/>
      <c r="B338" s="2174"/>
      <c r="C338" s="1191"/>
      <c r="D338" s="1471"/>
      <c r="E338" s="1206"/>
      <c r="F338" s="1207"/>
      <c r="G338" s="1520"/>
      <c r="H338" s="1264"/>
      <c r="I338" s="1504"/>
      <c r="J338" s="1264"/>
      <c r="K338" s="1265"/>
      <c r="L338" s="1473"/>
      <c r="M338" s="1214"/>
      <c r="N338" s="1214"/>
      <c r="O338" s="1214"/>
      <c r="P338" s="1214"/>
      <c r="Q338" s="1214"/>
      <c r="R338" s="1214"/>
      <c r="S338" s="1214"/>
      <c r="T338" s="1214"/>
      <c r="U338" s="1214"/>
    </row>
    <row r="339" spans="1:21" s="1199" customFormat="1" ht="24" customHeight="1">
      <c r="A339" s="1474"/>
      <c r="B339" s="2174"/>
      <c r="C339" s="1191"/>
      <c r="D339" s="1471"/>
      <c r="E339" s="1206"/>
      <c r="F339" s="1207"/>
      <c r="G339" s="1520"/>
      <c r="H339" s="1264"/>
      <c r="I339" s="1504"/>
      <c r="J339" s="1264"/>
      <c r="K339" s="1265"/>
      <c r="L339" s="1473"/>
      <c r="M339" s="1214"/>
      <c r="N339" s="1214"/>
      <c r="O339" s="1214"/>
      <c r="P339" s="1214"/>
      <c r="Q339" s="1214"/>
      <c r="R339" s="1214"/>
      <c r="S339" s="1214"/>
      <c r="T339" s="1214"/>
      <c r="U339" s="1214"/>
    </row>
    <row r="340" spans="1:21" s="1199" customFormat="1" ht="24" customHeight="1">
      <c r="A340" s="1474"/>
      <c r="B340" s="2174"/>
      <c r="C340" s="1191"/>
      <c r="D340" s="1471"/>
      <c r="E340" s="1206"/>
      <c r="F340" s="1207"/>
      <c r="G340" s="1520"/>
      <c r="H340" s="1264"/>
      <c r="I340" s="1504"/>
      <c r="J340" s="1264"/>
      <c r="K340" s="1265"/>
      <c r="L340" s="1473"/>
      <c r="M340" s="1214"/>
      <c r="N340" s="1214"/>
      <c r="O340" s="1214"/>
      <c r="P340" s="1214"/>
      <c r="Q340" s="1214"/>
      <c r="R340" s="1214"/>
      <c r="S340" s="1214"/>
      <c r="T340" s="1214"/>
      <c r="U340" s="1214"/>
    </row>
    <row r="341" spans="1:21" s="1199" customFormat="1" ht="24" customHeight="1">
      <c r="A341" s="1474"/>
      <c r="B341" s="2174"/>
      <c r="C341" s="1191"/>
      <c r="D341" s="1471"/>
      <c r="E341" s="1206"/>
      <c r="F341" s="1207"/>
      <c r="G341" s="1520"/>
      <c r="H341" s="1264"/>
      <c r="I341" s="1504"/>
      <c r="J341" s="1264"/>
      <c r="K341" s="1265"/>
      <c r="L341" s="1473"/>
      <c r="M341" s="1214"/>
      <c r="N341" s="1214"/>
      <c r="O341" s="1214"/>
      <c r="P341" s="1214"/>
      <c r="Q341" s="1214"/>
      <c r="R341" s="1214"/>
      <c r="S341" s="1214"/>
      <c r="T341" s="1214"/>
      <c r="U341" s="1214"/>
    </row>
    <row r="342" spans="1:21" s="1199" customFormat="1" ht="24" customHeight="1">
      <c r="A342" s="1474"/>
      <c r="B342" s="2174"/>
      <c r="C342" s="1191"/>
      <c r="D342" s="1471"/>
      <c r="E342" s="1206"/>
      <c r="F342" s="1207"/>
      <c r="G342" s="1520"/>
      <c r="H342" s="1264"/>
      <c r="I342" s="1504"/>
      <c r="J342" s="1264"/>
      <c r="K342" s="1265"/>
      <c r="L342" s="1473"/>
      <c r="M342" s="1214"/>
      <c r="N342" s="1214"/>
      <c r="O342" s="1214"/>
      <c r="P342" s="1214"/>
      <c r="Q342" s="1214"/>
      <c r="R342" s="1214"/>
      <c r="S342" s="1214"/>
      <c r="T342" s="1214"/>
      <c r="U342" s="1214"/>
    </row>
    <row r="343" spans="1:21" s="1199" customFormat="1" ht="24" customHeight="1">
      <c r="A343" s="1474"/>
      <c r="B343" s="2174"/>
      <c r="C343" s="1191"/>
      <c r="D343" s="1471"/>
      <c r="E343" s="1206"/>
      <c r="F343" s="1207"/>
      <c r="G343" s="1520"/>
      <c r="H343" s="1264"/>
      <c r="I343" s="1504"/>
      <c r="J343" s="1264"/>
      <c r="K343" s="1265"/>
      <c r="L343" s="1473"/>
      <c r="M343" s="1214"/>
      <c r="N343" s="1214"/>
      <c r="O343" s="1214"/>
      <c r="P343" s="1214"/>
      <c r="Q343" s="1214"/>
      <c r="R343" s="1214"/>
      <c r="S343" s="1214"/>
      <c r="T343" s="1214"/>
      <c r="U343" s="1214"/>
    </row>
    <row r="344" spans="1:21" s="1199" customFormat="1" ht="24" customHeight="1">
      <c r="A344" s="1474"/>
      <c r="B344" s="2174"/>
      <c r="C344" s="1191"/>
      <c r="D344" s="1471"/>
      <c r="E344" s="1206"/>
      <c r="F344" s="1207"/>
      <c r="G344" s="1520"/>
      <c r="H344" s="1264"/>
      <c r="I344" s="1504"/>
      <c r="J344" s="1264"/>
      <c r="K344" s="1265"/>
      <c r="L344" s="1473"/>
      <c r="M344" s="1214"/>
      <c r="N344" s="1214"/>
      <c r="O344" s="1214"/>
      <c r="P344" s="1214"/>
      <c r="Q344" s="1214"/>
      <c r="R344" s="1214"/>
      <c r="S344" s="1214"/>
      <c r="T344" s="1214"/>
      <c r="U344" s="1214"/>
    </row>
    <row r="345" spans="1:21" s="1199" customFormat="1" ht="24" customHeight="1">
      <c r="A345" s="1480"/>
      <c r="B345" s="2174"/>
      <c r="C345" s="1191"/>
      <c r="D345" s="1471"/>
      <c r="E345" s="1387"/>
      <c r="F345" s="1358"/>
      <c r="G345" s="2176"/>
      <c r="H345" s="1264"/>
      <c r="I345" s="2177"/>
      <c r="J345" s="1264"/>
      <c r="K345" s="1801"/>
      <c r="L345" s="2001"/>
      <c r="M345" s="1214"/>
      <c r="N345" s="1214"/>
      <c r="O345" s="1214"/>
      <c r="P345" s="1214"/>
      <c r="Q345" s="1214"/>
      <c r="R345" s="1214"/>
      <c r="S345" s="1214"/>
      <c r="T345" s="1214"/>
      <c r="U345" s="1214"/>
    </row>
    <row r="346" spans="1:21" s="1199" customFormat="1" ht="24" customHeight="1">
      <c r="A346" s="1245"/>
      <c r="B346" s="2257" t="str">
        <f>"รวมราคารายการที่ "&amp;A323</f>
        <v>รวมราคารายการที่ 3.12</v>
      </c>
      <c r="C346" s="2258"/>
      <c r="D346" s="2259"/>
      <c r="E346" s="1481"/>
      <c r="F346" s="1245"/>
      <c r="G346" s="1246"/>
      <c r="H346" s="1247">
        <f>SUM(H324:H334)</f>
        <v>24332</v>
      </c>
      <c r="I346" s="1246"/>
      <c r="J346" s="1247">
        <f t="shared" ref="J346:K346" si="66">SUM(J324:J334)</f>
        <v>6632</v>
      </c>
      <c r="K346" s="1247">
        <f t="shared" si="66"/>
        <v>30964</v>
      </c>
      <c r="L346" s="1245"/>
      <c r="M346" s="1214"/>
      <c r="N346" s="1214"/>
      <c r="O346" s="1214"/>
      <c r="P346" s="1214"/>
      <c r="Q346" s="1214"/>
      <c r="R346" s="1214"/>
      <c r="S346" s="1214"/>
      <c r="T346" s="1214"/>
      <c r="U346" s="1214"/>
    </row>
  </sheetData>
  <mergeCells count="21">
    <mergeCell ref="B161:D161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91:D91"/>
    <mergeCell ref="B106:D106"/>
    <mergeCell ref="B139:D139"/>
    <mergeCell ref="B346:D346"/>
    <mergeCell ref="B178:D178"/>
    <mergeCell ref="B208:D208"/>
    <mergeCell ref="B250:D250"/>
    <mergeCell ref="B267:D267"/>
    <mergeCell ref="B291:D291"/>
    <mergeCell ref="B322:D322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10-อาคารทิศตะวันตก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4"/>
  <sheetViews>
    <sheetView view="pageBreakPreview" topLeftCell="A19" zoomScale="85" zoomScaleNormal="85" zoomScaleSheetLayoutView="85" workbookViewId="0">
      <selection activeCell="L29" sqref="L29"/>
    </sheetView>
  </sheetViews>
  <sheetFormatPr defaultColWidth="9" defaultRowHeight="23.4"/>
  <cols>
    <col min="1" max="1" width="10.703125" style="351" customWidth="1"/>
    <col min="2" max="2" width="25.703125" style="404" customWidth="1"/>
    <col min="3" max="3" width="8.703125" style="351" customWidth="1"/>
    <col min="4" max="4" width="9.703125" style="351" customWidth="1"/>
    <col min="5" max="5" width="10.703125" style="351" customWidth="1"/>
    <col min="6" max="6" width="27.703125" style="351" customWidth="1"/>
    <col min="7" max="7" width="13.703125" style="351" customWidth="1"/>
    <col min="8" max="8" width="27.703125" style="351" customWidth="1"/>
    <col min="9" max="9" width="14.703125" style="351" customWidth="1"/>
    <col min="10" max="11" width="9" style="351"/>
    <col min="12" max="12" width="14.5859375" style="351" bestFit="1" customWidth="1"/>
    <col min="13" max="13" width="23" style="351" customWidth="1"/>
    <col min="14" max="14" width="21.29296875" style="351" customWidth="1"/>
    <col min="15" max="15" width="17" style="351" bestFit="1" customWidth="1"/>
    <col min="16" max="16" width="16" style="351" bestFit="1" customWidth="1"/>
    <col min="17" max="16384" width="9" style="351"/>
  </cols>
  <sheetData>
    <row r="1" spans="1:9" s="335" customFormat="1" ht="24" customHeight="1">
      <c r="A1" s="247"/>
      <c r="B1" s="332"/>
      <c r="C1" s="247"/>
      <c r="D1" s="247"/>
      <c r="E1" s="247"/>
      <c r="F1" s="247"/>
      <c r="G1" s="247"/>
      <c r="H1" s="333" t="s">
        <v>123</v>
      </c>
      <c r="I1" s="334"/>
    </row>
    <row r="2" spans="1:9" s="335" customFormat="1" ht="24" customHeight="1">
      <c r="A2" s="2188" t="s">
        <v>124</v>
      </c>
      <c r="B2" s="2188"/>
      <c r="C2" s="2188"/>
      <c r="D2" s="2188"/>
      <c r="E2" s="2188"/>
      <c r="F2" s="2188"/>
      <c r="G2" s="2188"/>
      <c r="H2" s="2188"/>
      <c r="I2" s="2188"/>
    </row>
    <row r="3" spans="1:9" s="338" customFormat="1" ht="24" customHeight="1">
      <c r="A3" s="218" t="s">
        <v>125</v>
      </c>
      <c r="B3" s="215"/>
      <c r="C3" s="215" t="s">
        <v>126</v>
      </c>
      <c r="D3" s="336"/>
      <c r="E3" s="336"/>
      <c r="F3" s="336"/>
      <c r="G3" s="336"/>
      <c r="H3" s="337"/>
      <c r="I3" s="337"/>
    </row>
    <row r="4" spans="1:9" s="338" customFormat="1" ht="24" customHeight="1">
      <c r="A4" s="218"/>
      <c r="B4" s="215"/>
      <c r="C4" s="215" t="s">
        <v>127</v>
      </c>
      <c r="D4" s="336"/>
      <c r="E4" s="336"/>
      <c r="F4" s="336"/>
      <c r="G4" s="336"/>
      <c r="H4" s="337"/>
      <c r="I4" s="337"/>
    </row>
    <row r="5" spans="1:9" s="338" customFormat="1" ht="24" customHeight="1">
      <c r="A5" s="238" t="s">
        <v>128</v>
      </c>
      <c r="B5" s="236"/>
      <c r="C5" s="236" t="s">
        <v>129</v>
      </c>
      <c r="D5" s="339"/>
      <c r="E5" s="339"/>
      <c r="F5" s="339"/>
      <c r="G5" s="339"/>
      <c r="H5" s="228"/>
      <c r="I5" s="228"/>
    </row>
    <row r="6" spans="1:9" s="338" customFormat="1" ht="24" customHeight="1">
      <c r="A6" s="238" t="s">
        <v>130</v>
      </c>
      <c r="B6" s="236"/>
      <c r="C6" s="236" t="s">
        <v>131</v>
      </c>
      <c r="D6" s="339"/>
      <c r="E6" s="339"/>
      <c r="F6" s="339"/>
      <c r="G6" s="339"/>
      <c r="H6" s="228"/>
      <c r="I6" s="228"/>
    </row>
    <row r="7" spans="1:9" s="338" customFormat="1" ht="24" customHeight="1">
      <c r="A7" s="223" t="s">
        <v>132</v>
      </c>
      <c r="B7" s="226"/>
      <c r="C7" s="218" t="s">
        <v>95</v>
      </c>
      <c r="D7" s="223"/>
      <c r="E7" s="223"/>
      <c r="F7" s="223"/>
      <c r="G7" s="223"/>
      <c r="H7" s="228"/>
      <c r="I7" s="228"/>
    </row>
    <row r="8" spans="1:9" s="338" customFormat="1" ht="24" customHeight="1">
      <c r="A8" s="223"/>
      <c r="B8" s="226"/>
      <c r="C8" s="44" t="s">
        <v>1068</v>
      </c>
      <c r="D8" s="223"/>
      <c r="E8" s="223"/>
      <c r="F8" s="223"/>
      <c r="G8" s="223"/>
      <c r="H8" s="228"/>
      <c r="I8" s="228"/>
    </row>
    <row r="9" spans="1:9" s="338" customFormat="1" ht="24" customHeight="1">
      <c r="A9" s="223" t="s">
        <v>53</v>
      </c>
      <c r="B9" s="226"/>
      <c r="C9" s="223" t="s">
        <v>21</v>
      </c>
      <c r="D9" s="223"/>
      <c r="E9" s="223"/>
      <c r="F9" s="223"/>
      <c r="G9" s="223"/>
      <c r="H9" s="340"/>
      <c r="I9" s="341"/>
    </row>
    <row r="10" spans="1:9" s="338" customFormat="1" ht="24" customHeight="1">
      <c r="A10" s="223" t="s">
        <v>55</v>
      </c>
      <c r="B10" s="226"/>
      <c r="C10" s="223"/>
      <c r="D10" s="339"/>
      <c r="E10" s="339"/>
      <c r="F10" s="339"/>
      <c r="G10" s="339"/>
      <c r="H10" s="228"/>
      <c r="I10" s="228"/>
    </row>
    <row r="11" spans="1:9" s="338" customFormat="1" ht="24" customHeight="1">
      <c r="A11" s="236" t="s">
        <v>20</v>
      </c>
      <c r="B11" s="226"/>
      <c r="C11" s="342"/>
      <c r="D11" s="343"/>
      <c r="E11" s="233"/>
      <c r="F11" s="233"/>
      <c r="G11" s="233"/>
      <c r="H11" s="228"/>
      <c r="I11" s="228"/>
    </row>
    <row r="12" spans="1:9" s="338" customFormat="1" ht="24" customHeight="1">
      <c r="A12" s="223" t="s">
        <v>133</v>
      </c>
      <c r="B12" s="226"/>
      <c r="C12" s="223"/>
      <c r="D12" s="223" t="s">
        <v>134</v>
      </c>
      <c r="E12" s="223"/>
      <c r="F12" s="223"/>
      <c r="G12" s="223"/>
      <c r="H12" s="228"/>
      <c r="I12" s="228"/>
    </row>
    <row r="13" spans="1:9" s="338" customFormat="1" ht="24" customHeight="1">
      <c r="A13" s="344" t="s">
        <v>31</v>
      </c>
      <c r="B13" s="226"/>
      <c r="C13" s="343"/>
      <c r="D13" s="223"/>
      <c r="E13" s="223"/>
      <c r="F13" s="223"/>
      <c r="G13" s="236" t="s">
        <v>135</v>
      </c>
      <c r="H13" s="345"/>
      <c r="I13" s="346"/>
    </row>
    <row r="14" spans="1:9" s="335" customFormat="1" ht="22.15" customHeight="1">
      <c r="A14" s="6"/>
      <c r="B14" s="240"/>
      <c r="C14" s="242"/>
      <c r="D14" s="347"/>
      <c r="E14" s="348"/>
      <c r="F14" s="348"/>
      <c r="G14" s="348"/>
      <c r="H14" s="349"/>
      <c r="I14" s="2207" t="s">
        <v>136</v>
      </c>
    </row>
    <row r="15" spans="1:9" ht="10.5" customHeight="1">
      <c r="A15" s="244"/>
      <c r="B15" s="245"/>
      <c r="C15" s="246"/>
      <c r="D15" s="247"/>
      <c r="E15" s="247"/>
      <c r="F15" s="247"/>
      <c r="G15" s="247"/>
      <c r="H15" s="350"/>
      <c r="I15" s="2208"/>
    </row>
    <row r="16" spans="1:9" s="338" customFormat="1" ht="22.15" customHeight="1">
      <c r="A16" s="2191" t="s">
        <v>8</v>
      </c>
      <c r="B16" s="2193" t="s">
        <v>9</v>
      </c>
      <c r="C16" s="2194"/>
      <c r="D16" s="2194"/>
      <c r="E16" s="2195"/>
      <c r="F16" s="2191" t="s">
        <v>137</v>
      </c>
      <c r="G16" s="2191" t="s">
        <v>138</v>
      </c>
      <c r="H16" s="2199" t="s">
        <v>100</v>
      </c>
      <c r="I16" s="2199" t="s">
        <v>15</v>
      </c>
    </row>
    <row r="17" spans="1:16" s="338" customFormat="1" ht="22.15" customHeight="1">
      <c r="A17" s="2192"/>
      <c r="B17" s="2196"/>
      <c r="C17" s="2197"/>
      <c r="D17" s="2197"/>
      <c r="E17" s="2198"/>
      <c r="F17" s="2192"/>
      <c r="G17" s="2192"/>
      <c r="H17" s="2200"/>
      <c r="I17" s="2200"/>
    </row>
    <row r="18" spans="1:16" ht="24" customHeight="1">
      <c r="A18" s="352"/>
      <c r="B18" s="353" t="s">
        <v>139</v>
      </c>
      <c r="C18" s="354"/>
      <c r="D18" s="355"/>
      <c r="E18" s="355"/>
      <c r="F18" s="356"/>
      <c r="G18" s="357"/>
      <c r="H18" s="269"/>
      <c r="I18" s="358"/>
    </row>
    <row r="19" spans="1:16" s="230" customFormat="1" ht="24" customHeight="1">
      <c r="A19" s="359" t="s">
        <v>38</v>
      </c>
      <c r="B19" s="360" t="str">
        <f>'Sum-ทิศตะวันตก'!B13</f>
        <v>งานโครงสร้าง</v>
      </c>
      <c r="C19" s="255"/>
      <c r="D19" s="278"/>
      <c r="E19" s="278"/>
      <c r="F19" s="361">
        <f>'Sum-ทิศตะวันตก'!K13</f>
        <v>245098735.23000002</v>
      </c>
      <c r="G19" s="362">
        <f>'Factor F'!C21</f>
        <v>1.1719999999999999</v>
      </c>
      <c r="H19" s="263">
        <f>ROUND(F19*G19,2)</f>
        <v>287255717.69</v>
      </c>
      <c r="I19" s="280"/>
      <c r="M19" s="230" t="s">
        <v>39</v>
      </c>
      <c r="N19" s="883">
        <v>534386110.45480114</v>
      </c>
      <c r="O19" s="884">
        <f>H19+ปร.6!F33</f>
        <v>308628398.88999999</v>
      </c>
      <c r="P19" s="884">
        <f>N19-O19</f>
        <v>225757711.56480116</v>
      </c>
    </row>
    <row r="20" spans="1:16" s="230" customFormat="1" ht="24" customHeight="1">
      <c r="A20" s="359" t="s">
        <v>35</v>
      </c>
      <c r="B20" s="360" t="str">
        <f>'Sum-ทิศตะวันตก'!B14</f>
        <v>งานสถาปัตยกรรม</v>
      </c>
      <c r="C20" s="261"/>
      <c r="D20" s="278"/>
      <c r="E20" s="278"/>
      <c r="F20" s="361">
        <f>'Sum-ทิศตะวันตก'!K14</f>
        <v>430361813.94000006</v>
      </c>
      <c r="G20" s="362">
        <f>'Factor F'!C21</f>
        <v>1.1719999999999999</v>
      </c>
      <c r="H20" s="263">
        <f t="shared" ref="H20:H31" si="0">ROUND(F20*G20,2)</f>
        <v>504384045.94</v>
      </c>
      <c r="I20" s="280"/>
      <c r="M20" s="230" t="s">
        <v>36</v>
      </c>
      <c r="N20" s="883">
        <v>640574945.29161668</v>
      </c>
      <c r="O20" s="884">
        <f>H20+H28</f>
        <v>504384045.94</v>
      </c>
      <c r="P20" s="884">
        <f t="shared" ref="P20:P22" si="1">N20-O20</f>
        <v>136190899.35161668</v>
      </c>
    </row>
    <row r="21" spans="1:16" s="230" customFormat="1" ht="24" customHeight="1">
      <c r="A21" s="359" t="s">
        <v>30</v>
      </c>
      <c r="B21" s="360" t="str">
        <f>'Sum-ทิศตะวันตก'!B15</f>
        <v>งานระบบไฟฟ้าและสื่อสาร</v>
      </c>
      <c r="C21" s="261"/>
      <c r="D21" s="278"/>
      <c r="E21" s="278"/>
      <c r="F21" s="361">
        <f>'Sum-ทิศตะวันตก'!K15</f>
        <v>138993891</v>
      </c>
      <c r="G21" s="362">
        <f>'Factor F'!C21</f>
        <v>1.1719999999999999</v>
      </c>
      <c r="H21" s="263">
        <f t="shared" si="0"/>
        <v>162900840.25</v>
      </c>
      <c r="I21" s="280"/>
      <c r="M21" s="230" t="s">
        <v>591</v>
      </c>
      <c r="N21" s="883">
        <v>534825560.52713716</v>
      </c>
      <c r="O21" s="881">
        <f>SUM(H21:H26)</f>
        <v>437563961.49000001</v>
      </c>
      <c r="P21" s="884">
        <f t="shared" si="1"/>
        <v>97261599.037137151</v>
      </c>
    </row>
    <row r="22" spans="1:16" s="230" customFormat="1" ht="24" customHeight="1">
      <c r="A22" s="359" t="s">
        <v>28</v>
      </c>
      <c r="B22" s="360" t="str">
        <f>'Sum-ทิศตะวันตก'!B16</f>
        <v>งานระบบโทรทัศน์วงจรปิด</v>
      </c>
      <c r="C22" s="261"/>
      <c r="D22" s="278"/>
      <c r="E22" s="278"/>
      <c r="F22" s="361">
        <f>'Sum-ทิศตะวันตก'!K16</f>
        <v>6343368</v>
      </c>
      <c r="G22" s="362">
        <f>'Factor F'!C21</f>
        <v>1.1719999999999999</v>
      </c>
      <c r="H22" s="263">
        <f t="shared" si="0"/>
        <v>7434427.2999999998</v>
      </c>
      <c r="I22" s="280"/>
      <c r="M22" s="230" t="s">
        <v>144</v>
      </c>
      <c r="N22" s="883">
        <v>40213383.726444975</v>
      </c>
      <c r="O22" s="881">
        <f>H31</f>
        <v>15699195.92</v>
      </c>
      <c r="P22" s="884">
        <f t="shared" si="1"/>
        <v>24514187.806444973</v>
      </c>
    </row>
    <row r="23" spans="1:16" s="230" customFormat="1" ht="24" customHeight="1">
      <c r="A23" s="359" t="s">
        <v>27</v>
      </c>
      <c r="B23" s="360" t="str">
        <f>'Sum-ทิศตะวันตก'!B17</f>
        <v>งานระบบสุขาภิบาล</v>
      </c>
      <c r="C23" s="261"/>
      <c r="D23" s="278"/>
      <c r="E23" s="278"/>
      <c r="F23" s="361">
        <f>'Sum-ทิศตะวันตก'!K17</f>
        <v>24357713</v>
      </c>
      <c r="G23" s="362">
        <f>'Factor F'!C21</f>
        <v>1.1719999999999999</v>
      </c>
      <c r="H23" s="263">
        <f t="shared" si="0"/>
        <v>28547239.640000001</v>
      </c>
      <c r="I23" s="280"/>
      <c r="N23" s="881">
        <f>SUM(N19:N22)</f>
        <v>1749999999.9999998</v>
      </c>
      <c r="O23" s="884">
        <f>SUM(O19:O22)</f>
        <v>1266275602.24</v>
      </c>
      <c r="P23" s="884">
        <f>SUM(P19:P22)</f>
        <v>483724397.75999999</v>
      </c>
    </row>
    <row r="24" spans="1:16" s="230" customFormat="1" ht="24" customHeight="1">
      <c r="A24" s="359" t="s">
        <v>26</v>
      </c>
      <c r="B24" s="360" t="str">
        <f>'Sum-ทิศตะวันตก'!B18</f>
        <v>งานระบบดับเพลิงและป้องกันอัคคีภัย</v>
      </c>
      <c r="C24" s="261"/>
      <c r="D24" s="278"/>
      <c r="E24" s="278"/>
      <c r="F24" s="361">
        <f>'Sum-ทิศตะวันตก'!K18</f>
        <v>34695160</v>
      </c>
      <c r="G24" s="362">
        <f>'Factor F'!C21</f>
        <v>1.1719999999999999</v>
      </c>
      <c r="H24" s="263">
        <f t="shared" si="0"/>
        <v>40662727.520000003</v>
      </c>
      <c r="I24" s="280"/>
      <c r="L24" s="883">
        <v>28663962</v>
      </c>
      <c r="M24" s="881"/>
    </row>
    <row r="25" spans="1:16" s="230" customFormat="1" ht="24" customHeight="1">
      <c r="A25" s="359" t="s">
        <v>24</v>
      </c>
      <c r="B25" s="360" t="str">
        <f>'Sum-ทิศตะวันตก'!B19</f>
        <v>งานระบบปรับอากาศ และระบายอากาศ</v>
      </c>
      <c r="C25" s="261"/>
      <c r="D25" s="278"/>
      <c r="E25" s="278"/>
      <c r="F25" s="361">
        <f>'Sum-ทิศตะวันตก'!K19</f>
        <v>118167958</v>
      </c>
      <c r="G25" s="362">
        <f>'Factor F'!C21</f>
        <v>1.1719999999999999</v>
      </c>
      <c r="H25" s="263">
        <f t="shared" si="0"/>
        <v>138492846.78</v>
      </c>
      <c r="I25" s="280"/>
    </row>
    <row r="26" spans="1:16" s="230" customFormat="1" ht="24" customHeight="1">
      <c r="A26" s="370" t="s">
        <v>582</v>
      </c>
      <c r="B26" s="879" t="str">
        <f>'Sum-ทิศตะวันตก'!B20</f>
        <v>งานระบบลิฟต์และบันไดเลื่อน (Lift &amp; Escalator System)</v>
      </c>
      <c r="C26" s="283"/>
      <c r="D26" s="283"/>
      <c r="E26" s="283"/>
      <c r="F26" s="363">
        <f>'Sum-ทิศตะวันตก'!K20</f>
        <v>50790000</v>
      </c>
      <c r="G26" s="364">
        <f>'Factor F'!C21</f>
        <v>1.1719999999999999</v>
      </c>
      <c r="H26" s="285">
        <f t="shared" si="0"/>
        <v>59525880</v>
      </c>
      <c r="I26" s="286"/>
    </row>
    <row r="27" spans="1:16" s="230" customFormat="1" ht="24" customHeight="1">
      <c r="A27" s="365"/>
      <c r="B27" s="366" t="s">
        <v>140</v>
      </c>
      <c r="C27" s="278"/>
      <c r="D27" s="278"/>
      <c r="E27" s="278"/>
      <c r="F27" s="367"/>
      <c r="G27" s="368"/>
      <c r="H27" s="263"/>
      <c r="I27" s="280"/>
    </row>
    <row r="28" spans="1:16" s="230" customFormat="1" ht="24" customHeight="1">
      <c r="A28" s="359" t="s">
        <v>38</v>
      </c>
      <c r="B28" s="369" t="s">
        <v>141</v>
      </c>
      <c r="C28" s="261"/>
      <c r="D28" s="278"/>
      <c r="E28" s="278"/>
      <c r="F28" s="361"/>
      <c r="G28" s="362"/>
      <c r="H28" s="263">
        <f t="shared" si="0"/>
        <v>0</v>
      </c>
      <c r="I28" s="280"/>
    </row>
    <row r="29" spans="1:16" s="230" customFormat="1" ht="24" customHeight="1">
      <c r="A29" s="370" t="s">
        <v>35</v>
      </c>
      <c r="B29" s="283" t="s">
        <v>142</v>
      </c>
      <c r="C29" s="283"/>
      <c r="D29" s="283"/>
      <c r="E29" s="283"/>
      <c r="F29" s="285"/>
      <c r="G29" s="364"/>
      <c r="H29" s="285"/>
      <c r="I29" s="286"/>
    </row>
    <row r="30" spans="1:16" s="230" customFormat="1" ht="24" customHeight="1">
      <c r="A30" s="259"/>
      <c r="B30" s="366" t="s">
        <v>143</v>
      </c>
      <c r="C30" s="278"/>
      <c r="D30" s="278"/>
      <c r="E30" s="278"/>
      <c r="F30" s="263"/>
      <c r="G30" s="368"/>
      <c r="H30" s="263"/>
      <c r="I30" s="280"/>
    </row>
    <row r="31" spans="1:16" s="230" customFormat="1" ht="24" customHeight="1">
      <c r="A31" s="359" t="s">
        <v>38</v>
      </c>
      <c r="B31" s="278" t="s">
        <v>144</v>
      </c>
      <c r="C31" s="261"/>
      <c r="D31" s="278"/>
      <c r="E31" s="278"/>
      <c r="F31" s="289">
        <f>'08.hardscape- อาคารทิศตะวันตก'!K34</f>
        <v>13395218.361000001</v>
      </c>
      <c r="G31" s="362">
        <f>'Factor F'!C21</f>
        <v>1.1719999999999999</v>
      </c>
      <c r="H31" s="263">
        <f t="shared" si="0"/>
        <v>15699195.92</v>
      </c>
      <c r="I31" s="280"/>
    </row>
    <row r="32" spans="1:16" s="230" customFormat="1" ht="24" customHeight="1">
      <c r="A32" s="359"/>
      <c r="B32" s="278"/>
      <c r="C32" s="261"/>
      <c r="D32" s="278"/>
      <c r="E32" s="278"/>
      <c r="F32" s="361"/>
      <c r="G32" s="362"/>
      <c r="H32" s="263"/>
      <c r="I32" s="280"/>
    </row>
    <row r="33" spans="1:9" s="230" customFormat="1" ht="24" customHeight="1">
      <c r="A33" s="281"/>
      <c r="B33" s="371"/>
      <c r="C33" s="372"/>
      <c r="D33" s="372"/>
      <c r="E33" s="372"/>
      <c r="F33" s="373"/>
      <c r="G33" s="374"/>
      <c r="H33" s="375"/>
      <c r="I33" s="376"/>
    </row>
    <row r="34" spans="1:9" s="381" customFormat="1" ht="24" customHeight="1">
      <c r="A34" s="309"/>
      <c r="B34" s="2201" t="s">
        <v>145</v>
      </c>
      <c r="C34" s="2202"/>
      <c r="D34" s="2202"/>
      <c r="E34" s="2203"/>
      <c r="F34" s="377"/>
      <c r="G34" s="378"/>
      <c r="H34" s="379"/>
      <c r="I34" s="380"/>
    </row>
    <row r="35" spans="1:9" s="381" customFormat="1" ht="24" customHeight="1">
      <c r="A35" s="382"/>
      <c r="B35" s="261" t="s">
        <v>146</v>
      </c>
      <c r="C35" s="383">
        <v>10</v>
      </c>
      <c r="D35" s="384" t="s">
        <v>147</v>
      </c>
      <c r="E35" s="385"/>
      <c r="F35" s="386"/>
      <c r="G35" s="387"/>
      <c r="H35" s="379"/>
      <c r="I35" s="380"/>
    </row>
    <row r="36" spans="1:9" s="381" customFormat="1" ht="24" customHeight="1">
      <c r="A36" s="382"/>
      <c r="B36" s="261" t="s">
        <v>148</v>
      </c>
      <c r="C36" s="388">
        <v>5</v>
      </c>
      <c r="D36" s="384" t="s">
        <v>147</v>
      </c>
      <c r="E36" s="385"/>
      <c r="F36" s="386"/>
      <c r="G36" s="387"/>
      <c r="H36" s="379"/>
      <c r="I36" s="389"/>
    </row>
    <row r="37" spans="1:9" s="381" customFormat="1" ht="24" customHeight="1">
      <c r="A37" s="382"/>
      <c r="B37" s="278" t="s">
        <v>149</v>
      </c>
      <c r="C37" s="388">
        <v>5</v>
      </c>
      <c r="D37" s="384" t="s">
        <v>147</v>
      </c>
      <c r="E37" s="385"/>
      <c r="F37" s="377"/>
      <c r="G37" s="390"/>
      <c r="H37" s="379"/>
      <c r="I37" s="389"/>
    </row>
    <row r="38" spans="1:9" s="381" customFormat="1" ht="24" customHeight="1">
      <c r="A38" s="391"/>
      <c r="B38" s="283" t="s">
        <v>150</v>
      </c>
      <c r="C38" s="392">
        <v>7</v>
      </c>
      <c r="D38" s="393" t="s">
        <v>147</v>
      </c>
      <c r="E38" s="394"/>
      <c r="F38" s="395"/>
      <c r="G38" s="396"/>
      <c r="H38" s="397"/>
      <c r="I38" s="398"/>
    </row>
    <row r="39" spans="1:9" s="402" customFormat="1" ht="30" customHeight="1">
      <c r="A39" s="399" t="s">
        <v>120</v>
      </c>
      <c r="B39" s="2204" t="s">
        <v>151</v>
      </c>
      <c r="C39" s="2205"/>
      <c r="D39" s="2205"/>
      <c r="E39" s="2205"/>
      <c r="F39" s="2205"/>
      <c r="G39" s="2206"/>
      <c r="H39" s="400">
        <f>SUM(H19:H38)</f>
        <v>1244902921.04</v>
      </c>
      <c r="I39" s="401"/>
    </row>
    <row r="40" spans="1:9" ht="18" customHeight="1">
      <c r="A40" s="331"/>
      <c r="B40" s="331"/>
      <c r="C40" s="331"/>
      <c r="D40" s="331"/>
      <c r="E40" s="331"/>
      <c r="F40" s="331"/>
      <c r="G40" s="331"/>
      <c r="H40" s="403"/>
      <c r="I40" s="28"/>
    </row>
    <row r="41" spans="1:9" ht="18" customHeight="1">
      <c r="A41" s="214"/>
      <c r="B41" s="214"/>
      <c r="C41" s="213"/>
      <c r="D41" s="214"/>
      <c r="E41" s="214"/>
      <c r="F41" s="214"/>
      <c r="G41" s="214"/>
    </row>
    <row r="42" spans="1:9" ht="18" customHeight="1"/>
    <row r="43" spans="1:9">
      <c r="E43" s="480" t="s">
        <v>170</v>
      </c>
      <c r="F43" s="481">
        <v>68875</v>
      </c>
      <c r="G43" s="482" t="s">
        <v>34</v>
      </c>
    </row>
    <row r="44" spans="1:9" ht="18" customHeight="1">
      <c r="E44" s="480" t="s">
        <v>171</v>
      </c>
      <c r="F44" s="483">
        <f>_xlfn.CEILING.MATH(H39/F43,100)</f>
        <v>18100</v>
      </c>
      <c r="G44" s="213" t="s">
        <v>172</v>
      </c>
    </row>
  </sheetData>
  <mergeCells count="10">
    <mergeCell ref="B34:E34"/>
    <mergeCell ref="B39:G39"/>
    <mergeCell ref="A2:I2"/>
    <mergeCell ref="I14:I15"/>
    <mergeCell ref="A16:A17"/>
    <mergeCell ref="B16:E17"/>
    <mergeCell ref="F16:F17"/>
    <mergeCell ref="G16:G17"/>
    <mergeCell ref="H16:H17"/>
    <mergeCell ref="I16:I17"/>
  </mergeCells>
  <pageMargins left="0.59055118110236227" right="0.19685039370078741" top="0.94488188976377963" bottom="0.59055118110236227" header="0.31496062992125984" footer="0.31496062992125984"/>
  <pageSetup paperSize="9" scale="6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0A5EE-7AB9-4D9B-B1C9-4077E4EE373F}">
  <sheetPr>
    <tabColor rgb="FF92D050"/>
  </sheetPr>
  <dimension ref="A1:U322"/>
  <sheetViews>
    <sheetView view="pageBreakPreview" topLeftCell="A169" zoomScale="85" zoomScaleNormal="100" zoomScaleSheetLayoutView="85" workbookViewId="0">
      <selection activeCell="A153" sqref="A153:L157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29296875" style="1" customWidth="1"/>
    <col min="13" max="94" width="7.703125" style="1" customWidth="1"/>
    <col min="95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1642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30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H82</f>
        <v>334765</v>
      </c>
      <c r="I12" s="1241"/>
      <c r="J12" s="1196">
        <f>J82</f>
        <v>24000</v>
      </c>
      <c r="K12" s="1196">
        <f>K82</f>
        <v>358765</v>
      </c>
      <c r="L12" s="1430"/>
    </row>
    <row r="13" spans="1:12" s="1199" customFormat="1" ht="24" customHeight="1">
      <c r="A13" s="1204">
        <f>A83</f>
        <v>3.2</v>
      </c>
      <c r="B13" s="1431" t="str">
        <f>B83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H91</f>
        <v>0</v>
      </c>
      <c r="I13" s="1241"/>
      <c r="J13" s="1196">
        <f>J91</f>
        <v>0</v>
      </c>
      <c r="K13" s="1196">
        <f>K91</f>
        <v>0</v>
      </c>
      <c r="L13" s="1430"/>
    </row>
    <row r="14" spans="1:12" s="1199" customFormat="1" ht="24" customHeight="1">
      <c r="A14" s="1204">
        <f>A92</f>
        <v>3.3</v>
      </c>
      <c r="B14" s="1431" t="str">
        <f>B92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H106</f>
        <v>0</v>
      </c>
      <c r="I14" s="1241"/>
      <c r="J14" s="1196">
        <f>J106</f>
        <v>0</v>
      </c>
      <c r="K14" s="1196">
        <f>K106</f>
        <v>0</v>
      </c>
      <c r="L14" s="1430"/>
    </row>
    <row r="15" spans="1:12" s="1199" customFormat="1" ht="24" customHeight="1">
      <c r="A15" s="1204">
        <f>A107</f>
        <v>3.4</v>
      </c>
      <c r="B15" s="1190" t="str">
        <f>B107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H139</f>
        <v>103772</v>
      </c>
      <c r="I15" s="1197"/>
      <c r="J15" s="1196">
        <f>J139</f>
        <v>35488</v>
      </c>
      <c r="K15" s="1196">
        <f t="shared" ref="K15:K21" si="0">SUM(H15:J15)</f>
        <v>139260</v>
      </c>
      <c r="L15" s="1430"/>
    </row>
    <row r="16" spans="1:12" s="1199" customFormat="1" ht="24" customHeight="1">
      <c r="A16" s="1204" t="str">
        <f>A140</f>
        <v>3.5</v>
      </c>
      <c r="B16" s="1190" t="str">
        <f>B140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H161</f>
        <v>48295</v>
      </c>
      <c r="I16" s="1197"/>
      <c r="J16" s="1196">
        <f>J161</f>
        <v>15656</v>
      </c>
      <c r="K16" s="1196">
        <f t="shared" si="0"/>
        <v>63951</v>
      </c>
      <c r="L16" s="1430"/>
    </row>
    <row r="17" spans="1:12" s="1199" customFormat="1" ht="24" customHeight="1">
      <c r="A17" s="1204" t="str">
        <f>A162</f>
        <v>3.6</v>
      </c>
      <c r="B17" s="1190" t="str">
        <f>B162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H178</f>
        <v>2376</v>
      </c>
      <c r="I17" s="1197"/>
      <c r="J17" s="1196">
        <f>J178</f>
        <v>1380</v>
      </c>
      <c r="K17" s="1196">
        <f t="shared" si="0"/>
        <v>3756</v>
      </c>
      <c r="L17" s="1430"/>
    </row>
    <row r="18" spans="1:12" s="1199" customFormat="1" ht="24" customHeight="1">
      <c r="A18" s="1204" t="str">
        <f>A179</f>
        <v>3.7</v>
      </c>
      <c r="B18" s="1190" t="str">
        <f>B179</f>
        <v>โคมไฟฟ้า (Luminaire)</v>
      </c>
      <c r="C18" s="1202"/>
      <c r="D18" s="1203"/>
      <c r="E18" s="1193">
        <v>1</v>
      </c>
      <c r="F18" s="1194" t="s">
        <v>19</v>
      </c>
      <c r="G18" s="1195"/>
      <c r="H18" s="1196">
        <f>H208</f>
        <v>14196</v>
      </c>
      <c r="I18" s="1197"/>
      <c r="J18" s="1196">
        <f>J208</f>
        <v>4043</v>
      </c>
      <c r="K18" s="1196">
        <f t="shared" si="0"/>
        <v>18239</v>
      </c>
      <c r="L18" s="1430"/>
    </row>
    <row r="19" spans="1:12" s="1199" customFormat="1" ht="24" customHeight="1">
      <c r="A19" s="1204">
        <f>A209</f>
        <v>3.8</v>
      </c>
      <c r="B19" s="2174" t="str">
        <f>B209</f>
        <v>ระบบสัญญาณแจ้งเหตุเพลิงไหม้ (Fire Alarm System)</v>
      </c>
      <c r="C19" s="1202"/>
      <c r="D19" s="1203"/>
      <c r="E19" s="1193">
        <v>1</v>
      </c>
      <c r="F19" s="1207" t="s">
        <v>19</v>
      </c>
      <c r="G19" s="1208"/>
      <c r="H19" s="1196">
        <f>H250</f>
        <v>1579662</v>
      </c>
      <c r="I19" s="1197"/>
      <c r="J19" s="1196">
        <f>J250</f>
        <v>268011</v>
      </c>
      <c r="K19" s="1196">
        <f t="shared" si="0"/>
        <v>1847673</v>
      </c>
      <c r="L19" s="1430"/>
    </row>
    <row r="20" spans="1:12" s="1199" customFormat="1" ht="24" customHeight="1">
      <c r="A20" s="1204" t="str">
        <f>A251</f>
        <v>3.9</v>
      </c>
      <c r="B20" s="2174" t="str">
        <f>B251</f>
        <v>ระบบเสียงและประกาศเรียก (Public Address System)</v>
      </c>
      <c r="C20" s="1202"/>
      <c r="D20" s="1203"/>
      <c r="E20" s="1193">
        <v>1</v>
      </c>
      <c r="F20" s="1207" t="s">
        <v>19</v>
      </c>
      <c r="G20" s="1208"/>
      <c r="H20" s="1196">
        <f>H266</f>
        <v>99298</v>
      </c>
      <c r="I20" s="1197"/>
      <c r="J20" s="1196">
        <f>J266</f>
        <v>37786</v>
      </c>
      <c r="K20" s="1196">
        <f t="shared" si="0"/>
        <v>137084</v>
      </c>
      <c r="L20" s="1430"/>
    </row>
    <row r="21" spans="1:12" s="1199" customFormat="1" ht="24" customHeight="1">
      <c r="A21" s="1204" t="str">
        <f>A267</f>
        <v>3.10</v>
      </c>
      <c r="B21" s="2174" t="str">
        <f>B267</f>
        <v>ระบบควบคุมประตูอัตโนมัติ (Access Control System)</v>
      </c>
      <c r="C21" s="1202"/>
      <c r="D21" s="1203"/>
      <c r="E21" s="1193">
        <v>1</v>
      </c>
      <c r="F21" s="1207" t="s">
        <v>19</v>
      </c>
      <c r="G21" s="1208"/>
      <c r="H21" s="1196">
        <f>H282</f>
        <v>244424</v>
      </c>
      <c r="I21" s="1197"/>
      <c r="J21" s="1196">
        <f>J282</f>
        <v>16838</v>
      </c>
      <c r="K21" s="1196">
        <f t="shared" si="0"/>
        <v>261262</v>
      </c>
      <c r="L21" s="1430"/>
    </row>
    <row r="22" spans="1:12" s="1199" customFormat="1" ht="24" customHeight="1">
      <c r="A22" s="1204" t="str">
        <f>A283</f>
        <v>3.11</v>
      </c>
      <c r="B22" s="1431" t="str">
        <f>B283</f>
        <v>ระบบบริหารจัดการอาคาร (Building Management System : BMS)</v>
      </c>
      <c r="C22" s="1202"/>
      <c r="D22" s="1203"/>
      <c r="E22" s="1193">
        <v>1</v>
      </c>
      <c r="F22" s="1207" t="s">
        <v>19</v>
      </c>
      <c r="G22" s="1208"/>
      <c r="H22" s="1196">
        <f>H298</f>
        <v>286206</v>
      </c>
      <c r="I22" s="1197"/>
      <c r="J22" s="1196">
        <f t="shared" ref="J22:K22" si="1">J298</f>
        <v>33570</v>
      </c>
      <c r="K22" s="1196">
        <f t="shared" si="1"/>
        <v>319776</v>
      </c>
      <c r="L22" s="1430"/>
    </row>
    <row r="23" spans="1:12" s="1199" customFormat="1" ht="24" customHeight="1">
      <c r="A23" s="1204" t="str">
        <f>A299</f>
        <v>3.12</v>
      </c>
      <c r="B23" s="1431" t="str">
        <f>B299</f>
        <v>ระบบแจ้งเหตุฉุกเฉิน (Panic Alarm System)</v>
      </c>
      <c r="C23" s="1202"/>
      <c r="D23" s="1203"/>
      <c r="E23" s="1193">
        <v>1</v>
      </c>
      <c r="F23" s="1207" t="s">
        <v>19</v>
      </c>
      <c r="G23" s="1195"/>
      <c r="H23" s="1196">
        <f>H322</f>
        <v>24582</v>
      </c>
      <c r="I23" s="1241"/>
      <c r="J23" s="1196">
        <f t="shared" ref="J23:K23" si="2">J322</f>
        <v>6757</v>
      </c>
      <c r="K23" s="1196">
        <f t="shared" si="2"/>
        <v>31339</v>
      </c>
      <c r="L23" s="1430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195"/>
      <c r="H24" s="1196"/>
      <c r="I24" s="1241"/>
      <c r="J24" s="1229"/>
      <c r="K24" s="1242"/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11</v>
      </c>
      <c r="C34" s="2258"/>
      <c r="D34" s="2259"/>
      <c r="E34" s="1244"/>
      <c r="F34" s="1245"/>
      <c r="G34" s="1246"/>
      <c r="H34" s="1247">
        <f>SUM(H11:H33)</f>
        <v>2737576</v>
      </c>
      <c r="I34" s="1246"/>
      <c r="J34" s="1247">
        <f>SUM(J11:J33)</f>
        <v>443529</v>
      </c>
      <c r="K34" s="1247">
        <f>SUM(K11:K33)</f>
        <v>3181105</v>
      </c>
      <c r="L34" s="1245"/>
      <c r="M34" s="1214"/>
      <c r="N34" s="1214"/>
      <c r="O34" s="1214"/>
      <c r="P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361" t="s">
        <v>1096</v>
      </c>
      <c r="B36" s="1362" t="s">
        <v>1242</v>
      </c>
      <c r="C36" s="1260"/>
      <c r="D36" s="1260"/>
      <c r="E36" s="1261"/>
      <c r="F36" s="1358"/>
      <c r="G36" s="2175"/>
      <c r="H36" s="1264"/>
      <c r="I36" s="1265"/>
      <c r="J36" s="1264"/>
      <c r="K36" s="1265"/>
      <c r="L36" s="1266"/>
    </row>
    <row r="37" spans="1:18" s="1199" customFormat="1" ht="24" customHeight="1">
      <c r="A37" s="1339" t="s">
        <v>1098</v>
      </c>
      <c r="B37" s="1259" t="s">
        <v>1210</v>
      </c>
      <c r="C37" s="1260"/>
      <c r="D37" s="1260"/>
      <c r="E37" s="1261"/>
      <c r="F37" s="1358"/>
      <c r="G37" s="2175"/>
      <c r="H37" s="1264"/>
      <c r="I37" s="1265"/>
      <c r="J37" s="1264"/>
      <c r="K37" s="1265"/>
      <c r="L37" s="1266"/>
    </row>
    <row r="38" spans="1:18" s="1199" customFormat="1" ht="24" customHeight="1">
      <c r="A38" s="1339"/>
      <c r="B38" s="1259" t="s">
        <v>1211</v>
      </c>
      <c r="C38" s="1260"/>
      <c r="D38" s="1260"/>
      <c r="E38" s="1261"/>
      <c r="F38" s="1207" t="s">
        <v>363</v>
      </c>
      <c r="G38" s="2175">
        <v>2400</v>
      </c>
      <c r="H38" s="1264">
        <f t="shared" ref="H38:H55" si="3">ROUND(G38*E38,)</f>
        <v>0</v>
      </c>
      <c r="I38" s="1265"/>
      <c r="J38" s="1264"/>
      <c r="K38" s="1265">
        <f t="shared" ref="K38:K55" si="4">J38+H38</f>
        <v>0</v>
      </c>
      <c r="L38" s="1266"/>
      <c r="N38" s="1363"/>
      <c r="O38" s="1363"/>
      <c r="P38" s="1363"/>
      <c r="Q38" s="1363"/>
      <c r="R38" s="1363"/>
    </row>
    <row r="39" spans="1:18" s="1199" customFormat="1" ht="24" customHeight="1">
      <c r="A39" s="1339"/>
      <c r="B39" s="1259" t="s">
        <v>1212</v>
      </c>
      <c r="C39" s="1260"/>
      <c r="D39" s="1260"/>
      <c r="E39" s="1261">
        <v>1</v>
      </c>
      <c r="F39" s="1207" t="s">
        <v>363</v>
      </c>
      <c r="G39" s="2175">
        <v>2400</v>
      </c>
      <c r="H39" s="1264">
        <f t="shared" si="3"/>
        <v>2400</v>
      </c>
      <c r="I39" s="1265"/>
      <c r="J39" s="1264"/>
      <c r="K39" s="1265">
        <f t="shared" si="4"/>
        <v>2400</v>
      </c>
      <c r="L39" s="1266"/>
      <c r="N39" s="1363"/>
      <c r="O39" s="1363"/>
      <c r="P39" s="1363"/>
      <c r="Q39" s="1363"/>
      <c r="R39" s="1363"/>
    </row>
    <row r="40" spans="1:18" s="1199" customFormat="1" ht="24" customHeight="1">
      <c r="A40" s="1339"/>
      <c r="B40" s="1259" t="s">
        <v>1213</v>
      </c>
      <c r="C40" s="1260"/>
      <c r="D40" s="1260"/>
      <c r="E40" s="1261"/>
      <c r="F40" s="1207" t="s">
        <v>363</v>
      </c>
      <c r="G40" s="2175">
        <v>2400</v>
      </c>
      <c r="H40" s="1264">
        <f t="shared" si="3"/>
        <v>0</v>
      </c>
      <c r="I40" s="1265"/>
      <c r="J40" s="1264"/>
      <c r="K40" s="1265">
        <f t="shared" si="4"/>
        <v>0</v>
      </c>
      <c r="L40" s="1266"/>
      <c r="N40" s="1363"/>
      <c r="O40" s="1363"/>
      <c r="P40" s="1363"/>
      <c r="Q40" s="1363"/>
      <c r="R40" s="1363"/>
    </row>
    <row r="41" spans="1:18" s="1199" customFormat="1" ht="24" customHeight="1">
      <c r="A41" s="1339"/>
      <c r="B41" s="1259" t="s">
        <v>1214</v>
      </c>
      <c r="C41" s="1260"/>
      <c r="D41" s="1260"/>
      <c r="E41" s="1261"/>
      <c r="F41" s="1207" t="s">
        <v>363</v>
      </c>
      <c r="G41" s="2175">
        <v>2400</v>
      </c>
      <c r="H41" s="1264">
        <f t="shared" si="3"/>
        <v>0</v>
      </c>
      <c r="I41" s="1265"/>
      <c r="J41" s="1264"/>
      <c r="K41" s="1265">
        <f t="shared" si="4"/>
        <v>0</v>
      </c>
      <c r="L41" s="1266"/>
    </row>
    <row r="42" spans="1:18" s="1199" customFormat="1" ht="24" customHeight="1">
      <c r="A42" s="1339"/>
      <c r="B42" s="1259" t="s">
        <v>1215</v>
      </c>
      <c r="C42" s="1260"/>
      <c r="D42" s="1260"/>
      <c r="E42" s="1261">
        <v>1</v>
      </c>
      <c r="F42" s="1207" t="s">
        <v>363</v>
      </c>
      <c r="G42" s="2175">
        <v>2400</v>
      </c>
      <c r="H42" s="1264">
        <f t="shared" si="3"/>
        <v>2400</v>
      </c>
      <c r="I42" s="1265"/>
      <c r="J42" s="1264"/>
      <c r="K42" s="1265">
        <f t="shared" si="4"/>
        <v>2400</v>
      </c>
      <c r="L42" s="1266"/>
    </row>
    <row r="43" spans="1:18" s="1199" customFormat="1" ht="24" customHeight="1">
      <c r="A43" s="1339"/>
      <c r="B43" s="1259" t="s">
        <v>1216</v>
      </c>
      <c r="C43" s="1260"/>
      <c r="D43" s="1260"/>
      <c r="E43" s="1261">
        <v>3</v>
      </c>
      <c r="F43" s="1207" t="s">
        <v>363</v>
      </c>
      <c r="G43" s="2175">
        <v>2400</v>
      </c>
      <c r="H43" s="1264">
        <f t="shared" si="3"/>
        <v>7200</v>
      </c>
      <c r="I43" s="1265"/>
      <c r="J43" s="1264"/>
      <c r="K43" s="1265">
        <f t="shared" si="4"/>
        <v>7200</v>
      </c>
      <c r="L43" s="1266"/>
    </row>
    <row r="44" spans="1:18" s="1199" customFormat="1" ht="24" customHeight="1">
      <c r="A44" s="1339"/>
      <c r="B44" s="1259" t="s">
        <v>1217</v>
      </c>
      <c r="C44" s="1260"/>
      <c r="D44" s="1260"/>
      <c r="E44" s="1261"/>
      <c r="F44" s="1207" t="s">
        <v>363</v>
      </c>
      <c r="G44" s="2175">
        <v>3000</v>
      </c>
      <c r="H44" s="1264">
        <f t="shared" si="3"/>
        <v>0</v>
      </c>
      <c r="I44" s="1265"/>
      <c r="J44" s="1264"/>
      <c r="K44" s="1265">
        <f t="shared" si="4"/>
        <v>0</v>
      </c>
      <c r="L44" s="1266"/>
    </row>
    <row r="45" spans="1:18" s="1199" customFormat="1" ht="24" customHeight="1">
      <c r="A45" s="1339"/>
      <c r="B45" s="1259" t="s">
        <v>1218</v>
      </c>
      <c r="C45" s="1260"/>
      <c r="D45" s="1260"/>
      <c r="E45" s="1261"/>
      <c r="F45" s="1207" t="s">
        <v>363</v>
      </c>
      <c r="G45" s="2175">
        <v>3000</v>
      </c>
      <c r="H45" s="1264">
        <f t="shared" si="3"/>
        <v>0</v>
      </c>
      <c r="I45" s="1265"/>
      <c r="J45" s="1264"/>
      <c r="K45" s="1265">
        <f t="shared" si="4"/>
        <v>0</v>
      </c>
      <c r="L45" s="1266"/>
    </row>
    <row r="46" spans="1:18" s="1199" customFormat="1" ht="24" customHeight="1">
      <c r="A46" s="1339"/>
      <c r="B46" s="1259" t="s">
        <v>1219</v>
      </c>
      <c r="C46" s="1260"/>
      <c r="D46" s="1260"/>
      <c r="E46" s="1261"/>
      <c r="F46" s="1207" t="s">
        <v>363</v>
      </c>
      <c r="G46" s="2175">
        <v>3000</v>
      </c>
      <c r="H46" s="1264">
        <f t="shared" si="3"/>
        <v>0</v>
      </c>
      <c r="I46" s="1265"/>
      <c r="J46" s="1264"/>
      <c r="K46" s="1265">
        <f t="shared" si="4"/>
        <v>0</v>
      </c>
      <c r="L46" s="1266"/>
    </row>
    <row r="47" spans="1:18" s="1199" customFormat="1" ht="24" customHeight="1">
      <c r="A47" s="1339"/>
      <c r="B47" s="1259" t="s">
        <v>1220</v>
      </c>
      <c r="C47" s="1260"/>
      <c r="D47" s="1260"/>
      <c r="E47" s="1261"/>
      <c r="F47" s="1207" t="s">
        <v>363</v>
      </c>
      <c r="G47" s="2175">
        <v>8600</v>
      </c>
      <c r="H47" s="1264">
        <f t="shared" si="3"/>
        <v>0</v>
      </c>
      <c r="I47" s="1265"/>
      <c r="J47" s="1264"/>
      <c r="K47" s="1265">
        <f t="shared" si="4"/>
        <v>0</v>
      </c>
      <c r="L47" s="1266"/>
    </row>
    <row r="48" spans="1:18" s="1199" customFormat="1" ht="24" customHeight="1">
      <c r="A48" s="1339"/>
      <c r="B48" s="1259" t="s">
        <v>1221</v>
      </c>
      <c r="C48" s="1260"/>
      <c r="D48" s="1260"/>
      <c r="E48" s="1261"/>
      <c r="F48" s="1207" t="s">
        <v>363</v>
      </c>
      <c r="G48" s="2175">
        <v>11500</v>
      </c>
      <c r="H48" s="1264">
        <f t="shared" si="3"/>
        <v>0</v>
      </c>
      <c r="I48" s="1265"/>
      <c r="J48" s="1264"/>
      <c r="K48" s="1265">
        <f t="shared" si="4"/>
        <v>0</v>
      </c>
      <c r="L48" s="1266"/>
    </row>
    <row r="49" spans="1:18" s="1199" customFormat="1" ht="24" customHeight="1">
      <c r="A49" s="1331"/>
      <c r="B49" s="2174" t="s">
        <v>1262</v>
      </c>
      <c r="C49" s="1275"/>
      <c r="D49" s="1275"/>
      <c r="E49" s="1276">
        <v>1</v>
      </c>
      <c r="F49" s="1207" t="s">
        <v>363</v>
      </c>
      <c r="G49" s="2175">
        <v>20200</v>
      </c>
      <c r="H49" s="1264">
        <f t="shared" si="3"/>
        <v>20200</v>
      </c>
      <c r="I49" s="1265"/>
      <c r="J49" s="1264"/>
      <c r="K49" s="1265">
        <f t="shared" si="4"/>
        <v>20200</v>
      </c>
      <c r="L49" s="1266"/>
    </row>
    <row r="50" spans="1:18" s="1199" customFormat="1" ht="24" customHeight="1">
      <c r="A50" s="1339" t="s">
        <v>2887</v>
      </c>
      <c r="B50" s="1259" t="s">
        <v>1143</v>
      </c>
      <c r="C50" s="1260"/>
      <c r="D50" s="1260"/>
      <c r="E50" s="1261"/>
      <c r="F50" s="1358"/>
      <c r="G50" s="2175"/>
      <c r="H50" s="1264">
        <f t="shared" si="3"/>
        <v>0</v>
      </c>
      <c r="I50" s="1265"/>
      <c r="J50" s="1264"/>
      <c r="K50" s="1265">
        <f t="shared" si="4"/>
        <v>0</v>
      </c>
      <c r="L50" s="1266"/>
    </row>
    <row r="51" spans="1:18" s="1199" customFormat="1" ht="24" customHeight="1">
      <c r="A51" s="1339"/>
      <c r="B51" s="1259" t="s">
        <v>1276</v>
      </c>
      <c r="C51" s="1260"/>
      <c r="D51" s="1260"/>
      <c r="E51" s="1261">
        <v>3</v>
      </c>
      <c r="F51" s="1207" t="s">
        <v>363</v>
      </c>
      <c r="G51" s="2175">
        <v>675</v>
      </c>
      <c r="H51" s="1264">
        <f t="shared" si="3"/>
        <v>2025</v>
      </c>
      <c r="I51" s="1265"/>
      <c r="J51" s="1264"/>
      <c r="K51" s="1265">
        <f t="shared" si="4"/>
        <v>2025</v>
      </c>
      <c r="L51" s="1266"/>
    </row>
    <row r="52" spans="1:18" s="1199" customFormat="1" ht="24" customHeight="1">
      <c r="A52" s="1339"/>
      <c r="B52" s="1259" t="s">
        <v>1145</v>
      </c>
      <c r="C52" s="1260"/>
      <c r="D52" s="1260"/>
      <c r="E52" s="1261">
        <v>3</v>
      </c>
      <c r="F52" s="1207" t="s">
        <v>363</v>
      </c>
      <c r="G52" s="2175">
        <v>120</v>
      </c>
      <c r="H52" s="1264">
        <f t="shared" si="3"/>
        <v>360</v>
      </c>
      <c r="I52" s="1265"/>
      <c r="J52" s="1264"/>
      <c r="K52" s="1265">
        <f t="shared" si="4"/>
        <v>360</v>
      </c>
      <c r="L52" s="1266"/>
    </row>
    <row r="53" spans="1:18" s="1199" customFormat="1" ht="24" customHeight="1">
      <c r="A53" s="1339"/>
      <c r="B53" s="1259" t="s">
        <v>1146</v>
      </c>
      <c r="C53" s="1260"/>
      <c r="D53" s="1260"/>
      <c r="E53" s="1261">
        <v>3</v>
      </c>
      <c r="F53" s="1207" t="s">
        <v>363</v>
      </c>
      <c r="G53" s="2175">
        <v>100</v>
      </c>
      <c r="H53" s="1264">
        <f t="shared" si="3"/>
        <v>300</v>
      </c>
      <c r="I53" s="1265"/>
      <c r="J53" s="1264"/>
      <c r="K53" s="1265">
        <f t="shared" si="4"/>
        <v>300</v>
      </c>
      <c r="L53" s="1266"/>
    </row>
    <row r="54" spans="1:18" s="1199" customFormat="1" ht="24" customHeight="1">
      <c r="A54" s="1339"/>
      <c r="B54" s="1259" t="s">
        <v>1224</v>
      </c>
      <c r="C54" s="1260"/>
      <c r="D54" s="1260"/>
      <c r="E54" s="1261">
        <v>6</v>
      </c>
      <c r="F54" s="1207" t="s">
        <v>363</v>
      </c>
      <c r="G54" s="2175">
        <v>15435</v>
      </c>
      <c r="H54" s="1264">
        <f t="shared" si="3"/>
        <v>92610</v>
      </c>
      <c r="I54" s="1265"/>
      <c r="J54" s="1264"/>
      <c r="K54" s="1265">
        <f t="shared" si="4"/>
        <v>92610</v>
      </c>
      <c r="L54" s="1266"/>
    </row>
    <row r="55" spans="1:18" s="1199" customFormat="1" ht="24" customHeight="1">
      <c r="A55" s="1339" t="s">
        <v>2888</v>
      </c>
      <c r="B55" s="1259" t="s">
        <v>1226</v>
      </c>
      <c r="C55" s="1260"/>
      <c r="D55" s="1260"/>
      <c r="E55" s="1261">
        <v>1</v>
      </c>
      <c r="F55" s="1207" t="s">
        <v>1104</v>
      </c>
      <c r="G55" s="2175">
        <v>40000</v>
      </c>
      <c r="H55" s="1264">
        <f t="shared" si="3"/>
        <v>40000</v>
      </c>
      <c r="I55" s="1265">
        <f>G55*0.3</f>
        <v>12000</v>
      </c>
      <c r="J55" s="1264">
        <f>ROUND(E55*I55,)</f>
        <v>12000</v>
      </c>
      <c r="K55" s="1265">
        <f t="shared" si="4"/>
        <v>52000</v>
      </c>
      <c r="L55" s="1266"/>
    </row>
    <row r="56" spans="1:18" s="1199" customFormat="1" ht="24" customHeight="1">
      <c r="A56" s="1339"/>
      <c r="B56" s="1259"/>
      <c r="C56" s="1260"/>
      <c r="D56" s="1260"/>
      <c r="E56" s="1261"/>
      <c r="F56" s="1207"/>
      <c r="G56" s="2175"/>
      <c r="H56" s="1264"/>
      <c r="I56" s="1265"/>
      <c r="J56" s="1264"/>
      <c r="K56" s="1265"/>
      <c r="L56" s="1266"/>
    </row>
    <row r="57" spans="1:18" s="1199" customFormat="1" ht="24" customHeight="1">
      <c r="A57" s="1339"/>
      <c r="B57" s="1259"/>
      <c r="C57" s="1260"/>
      <c r="D57" s="1260"/>
      <c r="E57" s="1261"/>
      <c r="F57" s="1207"/>
      <c r="G57" s="2175"/>
      <c r="H57" s="1264"/>
      <c r="I57" s="1265"/>
      <c r="J57" s="1264"/>
      <c r="K57" s="1265"/>
      <c r="L57" s="1266"/>
    </row>
    <row r="58" spans="1:18" s="1199" customFormat="1" ht="24" customHeight="1">
      <c r="A58" s="1339"/>
      <c r="B58" s="1259"/>
      <c r="C58" s="1260"/>
      <c r="D58" s="1260"/>
      <c r="E58" s="1261"/>
      <c r="F58" s="1207"/>
      <c r="G58" s="2175"/>
      <c r="H58" s="1264"/>
      <c r="I58" s="1265"/>
      <c r="J58" s="1264"/>
      <c r="K58" s="1265"/>
      <c r="L58" s="1266"/>
    </row>
    <row r="59" spans="1:18" s="1199" customFormat="1" ht="24" customHeight="1">
      <c r="A59" s="1361" t="s">
        <v>1617</v>
      </c>
      <c r="B59" s="1362" t="s">
        <v>1253</v>
      </c>
      <c r="C59" s="1260"/>
      <c r="D59" s="1260"/>
      <c r="E59" s="1261"/>
      <c r="F59" s="1358"/>
      <c r="G59" s="2175"/>
      <c r="H59" s="1264"/>
      <c r="I59" s="1265"/>
      <c r="J59" s="1264"/>
      <c r="K59" s="1265"/>
      <c r="L59" s="1266"/>
    </row>
    <row r="60" spans="1:18" s="1199" customFormat="1" ht="24" customHeight="1">
      <c r="A60" s="1339" t="s">
        <v>2889</v>
      </c>
      <c r="B60" s="1259" t="s">
        <v>1210</v>
      </c>
      <c r="C60" s="1260"/>
      <c r="D60" s="1260"/>
      <c r="E60" s="1261"/>
      <c r="F60" s="1358"/>
      <c r="G60" s="2175"/>
      <c r="H60" s="1264"/>
      <c r="I60" s="1265"/>
      <c r="J60" s="1264"/>
      <c r="K60" s="1265"/>
      <c r="L60" s="1266"/>
    </row>
    <row r="61" spans="1:18" s="1199" customFormat="1" ht="24" customHeight="1">
      <c r="A61" s="1339"/>
      <c r="B61" s="1259" t="s">
        <v>1211</v>
      </c>
      <c r="C61" s="1260"/>
      <c r="D61" s="1260"/>
      <c r="E61" s="1261"/>
      <c r="F61" s="1207" t="s">
        <v>363</v>
      </c>
      <c r="G61" s="2175">
        <v>2400</v>
      </c>
      <c r="H61" s="1264">
        <f t="shared" ref="H61:H78" si="5">ROUND(G61*E61,)</f>
        <v>0</v>
      </c>
      <c r="I61" s="1265"/>
      <c r="J61" s="1264"/>
      <c r="K61" s="1265">
        <f t="shared" ref="K61:K78" si="6">J61+H61</f>
        <v>0</v>
      </c>
      <c r="L61" s="1266"/>
      <c r="N61" s="1363"/>
      <c r="O61" s="1363"/>
      <c r="P61" s="1363"/>
      <c r="Q61" s="1363"/>
      <c r="R61" s="1363"/>
    </row>
    <row r="62" spans="1:18" s="1199" customFormat="1" ht="24" customHeight="1">
      <c r="A62" s="1339"/>
      <c r="B62" s="1259" t="s">
        <v>1212</v>
      </c>
      <c r="C62" s="1260"/>
      <c r="D62" s="1260"/>
      <c r="E62" s="1261">
        <v>2</v>
      </c>
      <c r="F62" s="1207" t="s">
        <v>363</v>
      </c>
      <c r="G62" s="2175">
        <v>2400</v>
      </c>
      <c r="H62" s="1264">
        <f t="shared" si="5"/>
        <v>4800</v>
      </c>
      <c r="I62" s="1265"/>
      <c r="J62" s="1264"/>
      <c r="K62" s="1265">
        <f t="shared" si="6"/>
        <v>4800</v>
      </c>
      <c r="L62" s="1266"/>
      <c r="N62" s="1363"/>
      <c r="O62" s="1363"/>
      <c r="P62" s="1363"/>
      <c r="Q62" s="1363"/>
      <c r="R62" s="1363"/>
    </row>
    <row r="63" spans="1:18" s="1199" customFormat="1" ht="24" customHeight="1">
      <c r="A63" s="1339"/>
      <c r="B63" s="1259" t="s">
        <v>1213</v>
      </c>
      <c r="C63" s="1260"/>
      <c r="D63" s="1260"/>
      <c r="E63" s="1261"/>
      <c r="F63" s="1207" t="s">
        <v>363</v>
      </c>
      <c r="G63" s="2175">
        <v>2400</v>
      </c>
      <c r="H63" s="1264">
        <f t="shared" si="5"/>
        <v>0</v>
      </c>
      <c r="I63" s="1265"/>
      <c r="J63" s="1264"/>
      <c r="K63" s="1265">
        <f t="shared" si="6"/>
        <v>0</v>
      </c>
      <c r="L63" s="1266"/>
      <c r="N63" s="1363"/>
      <c r="O63" s="1363"/>
      <c r="P63" s="1363"/>
      <c r="Q63" s="1363"/>
      <c r="R63" s="1363"/>
    </row>
    <row r="64" spans="1:18" s="1199" customFormat="1" ht="24" customHeight="1">
      <c r="A64" s="1339"/>
      <c r="B64" s="1259" t="s">
        <v>1214</v>
      </c>
      <c r="C64" s="1260"/>
      <c r="D64" s="1260"/>
      <c r="E64" s="1261"/>
      <c r="F64" s="1207" t="s">
        <v>363</v>
      </c>
      <c r="G64" s="2175">
        <v>2400</v>
      </c>
      <c r="H64" s="1264">
        <f t="shared" si="5"/>
        <v>0</v>
      </c>
      <c r="I64" s="1265"/>
      <c r="J64" s="1264"/>
      <c r="K64" s="1265">
        <f t="shared" si="6"/>
        <v>0</v>
      </c>
      <c r="L64" s="1266"/>
    </row>
    <row r="65" spans="1:17" s="1199" customFormat="1" ht="24" customHeight="1">
      <c r="A65" s="1339"/>
      <c r="B65" s="1259" t="s">
        <v>1215</v>
      </c>
      <c r="C65" s="1260"/>
      <c r="D65" s="1260"/>
      <c r="E65" s="1261">
        <v>1</v>
      </c>
      <c r="F65" s="1207" t="s">
        <v>363</v>
      </c>
      <c r="G65" s="2175">
        <v>2400</v>
      </c>
      <c r="H65" s="1264">
        <f t="shared" si="5"/>
        <v>2400</v>
      </c>
      <c r="I65" s="1265"/>
      <c r="J65" s="1264"/>
      <c r="K65" s="1265">
        <f t="shared" si="6"/>
        <v>2400</v>
      </c>
      <c r="L65" s="1266"/>
    </row>
    <row r="66" spans="1:17" s="1199" customFormat="1" ht="24" customHeight="1">
      <c r="A66" s="1339"/>
      <c r="B66" s="1259" t="s">
        <v>1216</v>
      </c>
      <c r="C66" s="1260"/>
      <c r="D66" s="1260"/>
      <c r="E66" s="1261">
        <v>2</v>
      </c>
      <c r="F66" s="1207" t="s">
        <v>363</v>
      </c>
      <c r="G66" s="2175">
        <v>2400</v>
      </c>
      <c r="H66" s="1264">
        <f t="shared" si="5"/>
        <v>4800</v>
      </c>
      <c r="I66" s="1265"/>
      <c r="J66" s="1264"/>
      <c r="K66" s="1265">
        <f t="shared" si="6"/>
        <v>4800</v>
      </c>
      <c r="L66" s="1266"/>
    </row>
    <row r="67" spans="1:17" s="1199" customFormat="1" ht="24" customHeight="1">
      <c r="A67" s="1339"/>
      <c r="B67" s="1259" t="s">
        <v>1217</v>
      </c>
      <c r="C67" s="1260"/>
      <c r="D67" s="1260"/>
      <c r="E67" s="1261"/>
      <c r="F67" s="1207" t="s">
        <v>363</v>
      </c>
      <c r="G67" s="2175">
        <v>3000</v>
      </c>
      <c r="H67" s="1264">
        <f t="shared" si="5"/>
        <v>0</v>
      </c>
      <c r="I67" s="1265"/>
      <c r="J67" s="1264"/>
      <c r="K67" s="1265">
        <f t="shared" si="6"/>
        <v>0</v>
      </c>
      <c r="L67" s="1266"/>
    </row>
    <row r="68" spans="1:17" s="1199" customFormat="1" ht="24" customHeight="1">
      <c r="A68" s="1339"/>
      <c r="B68" s="1259" t="s">
        <v>1218</v>
      </c>
      <c r="C68" s="1260"/>
      <c r="D68" s="1260"/>
      <c r="E68" s="1261"/>
      <c r="F68" s="1207" t="s">
        <v>363</v>
      </c>
      <c r="G68" s="2175">
        <v>3000</v>
      </c>
      <c r="H68" s="1264">
        <f t="shared" si="5"/>
        <v>0</v>
      </c>
      <c r="I68" s="1265"/>
      <c r="J68" s="1264"/>
      <c r="K68" s="1265">
        <f t="shared" si="6"/>
        <v>0</v>
      </c>
      <c r="L68" s="1266"/>
    </row>
    <row r="69" spans="1:17" s="1199" customFormat="1" ht="24" customHeight="1">
      <c r="A69" s="1339"/>
      <c r="B69" s="1259" t="s">
        <v>1219</v>
      </c>
      <c r="C69" s="1260"/>
      <c r="D69" s="1260"/>
      <c r="E69" s="1261"/>
      <c r="F69" s="1207" t="s">
        <v>363</v>
      </c>
      <c r="G69" s="2175">
        <v>3000</v>
      </c>
      <c r="H69" s="1264">
        <f t="shared" si="5"/>
        <v>0</v>
      </c>
      <c r="I69" s="1265"/>
      <c r="J69" s="1264"/>
      <c r="K69" s="1265">
        <f t="shared" si="6"/>
        <v>0</v>
      </c>
      <c r="L69" s="1266"/>
    </row>
    <row r="70" spans="1:17" s="1199" customFormat="1" ht="24" customHeight="1">
      <c r="A70" s="1339"/>
      <c r="B70" s="1259" t="s">
        <v>1220</v>
      </c>
      <c r="C70" s="1260"/>
      <c r="D70" s="1260"/>
      <c r="E70" s="1261"/>
      <c r="F70" s="1207" t="s">
        <v>363</v>
      </c>
      <c r="G70" s="2175">
        <v>8600</v>
      </c>
      <c r="H70" s="1264">
        <f t="shared" si="5"/>
        <v>0</v>
      </c>
      <c r="I70" s="1265"/>
      <c r="J70" s="1264"/>
      <c r="K70" s="1265">
        <f t="shared" si="6"/>
        <v>0</v>
      </c>
      <c r="L70" s="1266"/>
    </row>
    <row r="71" spans="1:17" s="1199" customFormat="1" ht="24" customHeight="1">
      <c r="A71" s="1339"/>
      <c r="B71" s="1259" t="s">
        <v>1221</v>
      </c>
      <c r="C71" s="1260"/>
      <c r="D71" s="1260"/>
      <c r="E71" s="1261"/>
      <c r="F71" s="1207" t="s">
        <v>363</v>
      </c>
      <c r="G71" s="2175">
        <v>11500</v>
      </c>
      <c r="H71" s="1264">
        <f t="shared" si="5"/>
        <v>0</v>
      </c>
      <c r="I71" s="1265"/>
      <c r="J71" s="1264"/>
      <c r="K71" s="1265">
        <f t="shared" si="6"/>
        <v>0</v>
      </c>
      <c r="L71" s="1266"/>
    </row>
    <row r="72" spans="1:17" s="1199" customFormat="1" ht="24" customHeight="1">
      <c r="A72" s="1331"/>
      <c r="B72" s="2174" t="s">
        <v>1262</v>
      </c>
      <c r="C72" s="1275"/>
      <c r="D72" s="1275"/>
      <c r="E72" s="1276">
        <v>1</v>
      </c>
      <c r="F72" s="1207" t="s">
        <v>363</v>
      </c>
      <c r="G72" s="2175">
        <v>20200</v>
      </c>
      <c r="H72" s="1264">
        <f t="shared" si="5"/>
        <v>20200</v>
      </c>
      <c r="I72" s="1265"/>
      <c r="J72" s="1264"/>
      <c r="K72" s="1265">
        <f t="shared" si="6"/>
        <v>20200</v>
      </c>
      <c r="L72" s="1266"/>
    </row>
    <row r="73" spans="1:17" s="1199" customFormat="1" ht="24" customHeight="1">
      <c r="A73" s="1339" t="s">
        <v>2890</v>
      </c>
      <c r="B73" s="1259" t="s">
        <v>1143</v>
      </c>
      <c r="C73" s="1260"/>
      <c r="D73" s="1260"/>
      <c r="E73" s="1261"/>
      <c r="F73" s="1358"/>
      <c r="G73" s="2175"/>
      <c r="H73" s="1264">
        <f t="shared" si="5"/>
        <v>0</v>
      </c>
      <c r="I73" s="1265"/>
      <c r="J73" s="1264"/>
      <c r="K73" s="1265">
        <f t="shared" si="6"/>
        <v>0</v>
      </c>
      <c r="L73" s="1266"/>
    </row>
    <row r="74" spans="1:17" s="1199" customFormat="1" ht="24" customHeight="1">
      <c r="A74" s="1339"/>
      <c r="B74" s="1259" t="s">
        <v>1276</v>
      </c>
      <c r="C74" s="1260"/>
      <c r="D74" s="1260"/>
      <c r="E74" s="1261">
        <v>3</v>
      </c>
      <c r="F74" s="1207" t="s">
        <v>363</v>
      </c>
      <c r="G74" s="2175">
        <v>600</v>
      </c>
      <c r="H74" s="1264">
        <f t="shared" si="5"/>
        <v>1800</v>
      </c>
      <c r="I74" s="1265"/>
      <c r="J74" s="1264"/>
      <c r="K74" s="1265">
        <f t="shared" si="6"/>
        <v>1800</v>
      </c>
      <c r="L74" s="1266"/>
    </row>
    <row r="75" spans="1:17" s="1199" customFormat="1" ht="24" customHeight="1">
      <c r="A75" s="1339"/>
      <c r="B75" s="1259" t="s">
        <v>1145</v>
      </c>
      <c r="C75" s="1260"/>
      <c r="D75" s="1260"/>
      <c r="E75" s="1261">
        <v>3</v>
      </c>
      <c r="F75" s="1207" t="s">
        <v>363</v>
      </c>
      <c r="G75" s="2175">
        <v>120</v>
      </c>
      <c r="H75" s="1264">
        <f t="shared" si="5"/>
        <v>360</v>
      </c>
      <c r="I75" s="1265"/>
      <c r="J75" s="1264"/>
      <c r="K75" s="1265">
        <f t="shared" si="6"/>
        <v>360</v>
      </c>
      <c r="L75" s="1266"/>
    </row>
    <row r="76" spans="1:17" s="1199" customFormat="1" ht="24" customHeight="1">
      <c r="A76" s="1339"/>
      <c r="B76" s="1259" t="s">
        <v>1146</v>
      </c>
      <c r="C76" s="1260"/>
      <c r="D76" s="1260"/>
      <c r="E76" s="1261">
        <v>3</v>
      </c>
      <c r="F76" s="1207" t="s">
        <v>363</v>
      </c>
      <c r="G76" s="2175">
        <v>100</v>
      </c>
      <c r="H76" s="1264">
        <f t="shared" si="5"/>
        <v>300</v>
      </c>
      <c r="I76" s="1265"/>
      <c r="J76" s="1264"/>
      <c r="K76" s="1265">
        <f t="shared" si="6"/>
        <v>300</v>
      </c>
      <c r="L76" s="1266"/>
    </row>
    <row r="77" spans="1:17" s="1199" customFormat="1" ht="24" customHeight="1">
      <c r="A77" s="1339"/>
      <c r="B77" s="1259" t="s">
        <v>1224</v>
      </c>
      <c r="C77" s="1260"/>
      <c r="D77" s="1260"/>
      <c r="E77" s="1261">
        <v>6</v>
      </c>
      <c r="F77" s="1207" t="s">
        <v>363</v>
      </c>
      <c r="G77" s="2175">
        <v>15435</v>
      </c>
      <c r="H77" s="1264">
        <f t="shared" si="5"/>
        <v>92610</v>
      </c>
      <c r="I77" s="1265"/>
      <c r="J77" s="1264"/>
      <c r="K77" s="1265">
        <f t="shared" si="6"/>
        <v>92610</v>
      </c>
      <c r="L77" s="1266"/>
    </row>
    <row r="78" spans="1:17" s="1199" customFormat="1" ht="24" customHeight="1">
      <c r="A78" s="1339" t="s">
        <v>2891</v>
      </c>
      <c r="B78" s="1259" t="s">
        <v>1226</v>
      </c>
      <c r="C78" s="1260"/>
      <c r="D78" s="1260"/>
      <c r="E78" s="1261">
        <v>1</v>
      </c>
      <c r="F78" s="1207" t="s">
        <v>1104</v>
      </c>
      <c r="G78" s="2175">
        <v>40000</v>
      </c>
      <c r="H78" s="1264">
        <f t="shared" si="5"/>
        <v>40000</v>
      </c>
      <c r="I78" s="1265">
        <f>G78*0.3</f>
        <v>12000</v>
      </c>
      <c r="J78" s="1264">
        <f>ROUND(E78*I78,)</f>
        <v>12000</v>
      </c>
      <c r="K78" s="1265">
        <f t="shared" si="6"/>
        <v>52000</v>
      </c>
      <c r="L78" s="1266"/>
    </row>
    <row r="79" spans="1:17" s="1199" customFormat="1" ht="24" customHeight="1">
      <c r="A79" s="1331"/>
      <c r="B79" s="2174" t="s">
        <v>1117</v>
      </c>
      <c r="C79" s="1275"/>
      <c r="D79" s="1275"/>
      <c r="E79" s="1276"/>
      <c r="F79" s="1358"/>
      <c r="G79" s="2175"/>
      <c r="H79" s="1264"/>
      <c r="I79" s="1265"/>
      <c r="J79" s="1264"/>
      <c r="K79" s="1265"/>
      <c r="L79" s="1434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2174" t="s">
        <v>1118</v>
      </c>
      <c r="C80" s="1275"/>
      <c r="D80" s="1275"/>
      <c r="E80" s="1276"/>
      <c r="F80" s="1358"/>
      <c r="G80" s="2175"/>
      <c r="H80" s="1264"/>
      <c r="I80" s="1265"/>
      <c r="J80" s="1264"/>
      <c r="K80" s="1265"/>
      <c r="L80" s="1434"/>
      <c r="M80" s="1214"/>
      <c r="N80" s="1214"/>
      <c r="O80" s="1214"/>
      <c r="P80" s="1214"/>
      <c r="Q80" s="1214"/>
    </row>
    <row r="81" spans="1:17" s="1199" customFormat="1" ht="24" customHeight="1">
      <c r="A81" s="1331"/>
      <c r="B81" s="2174" t="s">
        <v>1118</v>
      </c>
      <c r="C81" s="1275"/>
      <c r="D81" s="1275"/>
      <c r="E81" s="1276"/>
      <c r="F81" s="1358"/>
      <c r="G81" s="2175"/>
      <c r="H81" s="1264"/>
      <c r="I81" s="1265"/>
      <c r="J81" s="1264"/>
      <c r="K81" s="1265"/>
      <c r="L81" s="1434"/>
      <c r="M81" s="1214"/>
      <c r="N81" s="1214"/>
      <c r="O81" s="1214"/>
      <c r="P81" s="1214"/>
      <c r="Q81" s="1214"/>
    </row>
    <row r="82" spans="1:17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SUM(H35:H81)</f>
        <v>334765</v>
      </c>
      <c r="I82" s="1246"/>
      <c r="J82" s="1247">
        <f>SUM(J35:J81)</f>
        <v>24000</v>
      </c>
      <c r="K82" s="1247">
        <f>SUM(K35:K81)</f>
        <v>358765</v>
      </c>
      <c r="L82" s="1245"/>
      <c r="M82" s="1214"/>
      <c r="N82" s="1214"/>
      <c r="O82" s="1214"/>
      <c r="P82" s="1214"/>
      <c r="Q82" s="1214"/>
    </row>
    <row r="83" spans="1:17" s="1199" customFormat="1" ht="24" customHeight="1">
      <c r="A83" s="1352">
        <v>3.2</v>
      </c>
      <c r="B83" s="1353" t="s">
        <v>1254</v>
      </c>
      <c r="C83" s="1354"/>
      <c r="D83" s="1354"/>
      <c r="E83" s="1355"/>
      <c r="F83" s="1296"/>
      <c r="G83" s="1297"/>
      <c r="H83" s="1298"/>
      <c r="I83" s="1299"/>
      <c r="J83" s="1298"/>
      <c r="K83" s="1299"/>
      <c r="L83" s="1300"/>
    </row>
    <row r="84" spans="1:17" s="1199" customFormat="1" ht="24" customHeight="1">
      <c r="A84" s="1189"/>
      <c r="B84" s="1451" t="s">
        <v>1118</v>
      </c>
      <c r="C84" s="1202"/>
      <c r="D84" s="1202"/>
      <c r="E84" s="1387"/>
      <c r="F84" s="1207" t="s">
        <v>363</v>
      </c>
      <c r="G84" s="2176"/>
      <c r="H84" s="1264">
        <f>ROUND(E84*G84,)</f>
        <v>0</v>
      </c>
      <c r="I84" s="2177">
        <f>G84*0.05</f>
        <v>0</v>
      </c>
      <c r="J84" s="1264">
        <f>ROUND(E84*I84,)</f>
        <v>0</v>
      </c>
      <c r="K84" s="1273">
        <f>H84+J84</f>
        <v>0</v>
      </c>
      <c r="L84" s="1385"/>
      <c r="M84" s="1214"/>
      <c r="N84" s="1214"/>
      <c r="O84" s="1214"/>
      <c r="P84" s="1214"/>
    </row>
    <row r="85" spans="1:17" s="1199" customFormat="1" ht="24" customHeight="1">
      <c r="A85" s="1189"/>
      <c r="B85" s="1451" t="s">
        <v>1118</v>
      </c>
      <c r="C85" s="1202"/>
      <c r="D85" s="1202"/>
      <c r="E85" s="1387"/>
      <c r="F85" s="1207" t="s">
        <v>363</v>
      </c>
      <c r="G85" s="2176"/>
      <c r="H85" s="1264">
        <f>ROUND(E85*G85,)</f>
        <v>0</v>
      </c>
      <c r="I85" s="2177">
        <f>G85*0.05</f>
        <v>0</v>
      </c>
      <c r="J85" s="1264">
        <f>ROUND(E85*I85,)</f>
        <v>0</v>
      </c>
      <c r="K85" s="1273">
        <f>H85+J85</f>
        <v>0</v>
      </c>
      <c r="L85" s="1385"/>
      <c r="M85" s="1214"/>
      <c r="N85" s="1214"/>
      <c r="O85" s="1214"/>
      <c r="P85" s="1214"/>
    </row>
    <row r="86" spans="1:17" s="1199" customFormat="1" ht="24" customHeight="1">
      <c r="A86" s="1189"/>
      <c r="B86" s="1451" t="s">
        <v>1118</v>
      </c>
      <c r="C86" s="1202"/>
      <c r="D86" s="1202"/>
      <c r="E86" s="1387"/>
      <c r="F86" s="1207" t="s">
        <v>363</v>
      </c>
      <c r="G86" s="2176"/>
      <c r="H86" s="1264">
        <f>ROUND(E86*G86,)</f>
        <v>0</v>
      </c>
      <c r="I86" s="2177">
        <f>G86*0.05</f>
        <v>0</v>
      </c>
      <c r="J86" s="1264">
        <f>ROUND(E86*I86,)</f>
        <v>0</v>
      </c>
      <c r="K86" s="1273">
        <f>H86+J86</f>
        <v>0</v>
      </c>
      <c r="L86" s="1385"/>
      <c r="M86" s="1214"/>
      <c r="N86" s="1214"/>
      <c r="O86" s="1214"/>
      <c r="P86" s="1214"/>
    </row>
    <row r="87" spans="1:17" s="1199" customFormat="1" ht="24" customHeight="1">
      <c r="A87" s="1331"/>
      <c r="B87" s="1190" t="s">
        <v>1117</v>
      </c>
      <c r="C87" s="1275"/>
      <c r="D87" s="1275"/>
      <c r="E87" s="2145"/>
      <c r="F87" s="1358"/>
      <c r="G87" s="2175"/>
      <c r="H87" s="1264"/>
      <c r="I87" s="1265"/>
      <c r="J87" s="1264"/>
      <c r="K87" s="1299"/>
      <c r="L87" s="1432"/>
    </row>
    <row r="88" spans="1:17" s="1199" customFormat="1" ht="24" customHeight="1">
      <c r="A88" s="1331"/>
      <c r="B88" s="1190" t="s">
        <v>1118</v>
      </c>
      <c r="C88" s="1275"/>
      <c r="D88" s="1275"/>
      <c r="E88" s="2145"/>
      <c r="F88" s="1358"/>
      <c r="G88" s="2175"/>
      <c r="H88" s="1264"/>
      <c r="I88" s="1265"/>
      <c r="J88" s="1264"/>
      <c r="K88" s="1299"/>
      <c r="L88" s="1432"/>
    </row>
    <row r="89" spans="1:17" s="1199" customFormat="1" ht="24" customHeight="1">
      <c r="A89" s="1331"/>
      <c r="B89" s="1190" t="s">
        <v>1118</v>
      </c>
      <c r="C89" s="1275"/>
      <c r="D89" s="1275"/>
      <c r="E89" s="2145"/>
      <c r="F89" s="1358"/>
      <c r="G89" s="2175"/>
      <c r="H89" s="1264"/>
      <c r="I89" s="1265"/>
      <c r="J89" s="1264"/>
      <c r="K89" s="1299"/>
      <c r="L89" s="1432"/>
    </row>
    <row r="90" spans="1:17" s="1199" customFormat="1" ht="24" customHeight="1">
      <c r="A90" s="1189"/>
      <c r="B90" s="1650"/>
      <c r="C90" s="1275"/>
      <c r="D90" s="1275"/>
      <c r="E90" s="2145"/>
      <c r="F90" s="1358"/>
      <c r="G90" s="2175"/>
      <c r="H90" s="1264"/>
      <c r="I90" s="1265"/>
      <c r="J90" s="1264"/>
      <c r="K90" s="1299"/>
      <c r="L90" s="1432"/>
    </row>
    <row r="91" spans="1:17" s="1199" customFormat="1" ht="24" customHeight="1">
      <c r="A91" s="1243"/>
      <c r="B91" s="2257" t="str">
        <f>"รวมราคารายการที่ "&amp;A83</f>
        <v>รวมราคารายการที่ 3.2</v>
      </c>
      <c r="C91" s="2258"/>
      <c r="D91" s="2259"/>
      <c r="E91" s="1244"/>
      <c r="F91" s="1245"/>
      <c r="G91" s="1246"/>
      <c r="H91" s="1247">
        <f>SUM(H83:H90)</f>
        <v>0</v>
      </c>
      <c r="I91" s="1246"/>
      <c r="J91" s="1247">
        <f>SUM(J83:J90)</f>
        <v>0</v>
      </c>
      <c r="K91" s="1247">
        <f>SUM(K83:K90)</f>
        <v>0</v>
      </c>
      <c r="L91" s="1245"/>
      <c r="M91" s="1214"/>
      <c r="N91" s="1214"/>
      <c r="O91" s="1214"/>
      <c r="P91" s="1214"/>
      <c r="Q91" s="1214"/>
    </row>
    <row r="92" spans="1:17" s="1199" customFormat="1" ht="24" customHeight="1">
      <c r="A92" s="1381">
        <v>3.3</v>
      </c>
      <c r="B92" s="1292" t="s">
        <v>1427</v>
      </c>
      <c r="C92" s="1294"/>
      <c r="D92" s="1294"/>
      <c r="E92" s="1295"/>
      <c r="F92" s="1296"/>
      <c r="G92" s="1297"/>
      <c r="H92" s="1298"/>
      <c r="I92" s="1299"/>
      <c r="J92" s="1298"/>
      <c r="K92" s="1299"/>
      <c r="L92" s="1432"/>
    </row>
    <row r="93" spans="1:17" s="1199" customFormat="1" ht="24" customHeight="1">
      <c r="A93" s="1331" t="s">
        <v>1128</v>
      </c>
      <c r="B93" s="1190" t="s">
        <v>2892</v>
      </c>
      <c r="C93" s="1275"/>
      <c r="D93" s="1275"/>
      <c r="E93" s="1276"/>
      <c r="F93" s="1358"/>
      <c r="G93" s="2175"/>
      <c r="H93" s="1264"/>
      <c r="I93" s="1265"/>
      <c r="J93" s="1264"/>
      <c r="K93" s="1299"/>
      <c r="L93" s="1432"/>
    </row>
    <row r="94" spans="1:17" s="1199" customFormat="1" ht="24" customHeight="1">
      <c r="A94" s="1331"/>
      <c r="B94" s="1190" t="s">
        <v>2893</v>
      </c>
      <c r="C94" s="1275"/>
      <c r="D94" s="1275"/>
      <c r="E94" s="1276"/>
      <c r="F94" s="1194" t="s">
        <v>363</v>
      </c>
      <c r="G94" s="2175">
        <v>6800</v>
      </c>
      <c r="H94" s="1264">
        <f>ROUND(E94*G94,)</f>
        <v>0</v>
      </c>
      <c r="I94" s="1265">
        <v>1500</v>
      </c>
      <c r="J94" s="1264">
        <f>ROUND(E94*I94,)</f>
        <v>0</v>
      </c>
      <c r="K94" s="1299">
        <f>H94+J94</f>
        <v>0</v>
      </c>
      <c r="L94" s="1432"/>
    </row>
    <row r="95" spans="1:17" s="1199" customFormat="1" ht="24" customHeight="1">
      <c r="A95" s="1331"/>
      <c r="B95" s="1190" t="s">
        <v>2894</v>
      </c>
      <c r="C95" s="1275"/>
      <c r="D95" s="1275"/>
      <c r="E95" s="1276"/>
      <c r="F95" s="1194" t="s">
        <v>363</v>
      </c>
      <c r="G95" s="2175">
        <v>2400</v>
      </c>
      <c r="H95" s="1264"/>
      <c r="I95" s="1265"/>
      <c r="J95" s="1264"/>
      <c r="K95" s="1299"/>
      <c r="L95" s="1432"/>
    </row>
    <row r="96" spans="1:17" s="1199" customFormat="1" ht="24" customHeight="1">
      <c r="A96" s="1331"/>
      <c r="B96" s="1190" t="s">
        <v>2895</v>
      </c>
      <c r="C96" s="1275"/>
      <c r="D96" s="1275"/>
      <c r="E96" s="1276"/>
      <c r="F96" s="1194" t="s">
        <v>363</v>
      </c>
      <c r="G96" s="2175">
        <v>138</v>
      </c>
      <c r="H96" s="1264">
        <f>ROUND(E96*G96,)</f>
        <v>0</v>
      </c>
      <c r="I96" s="1265"/>
      <c r="J96" s="1264">
        <f>ROUND(E96*I96,)</f>
        <v>0</v>
      </c>
      <c r="K96" s="1299">
        <f>H96+J96</f>
        <v>0</v>
      </c>
      <c r="L96" s="1432"/>
    </row>
    <row r="97" spans="1:16" s="1199" customFormat="1" ht="24" customHeight="1">
      <c r="A97" s="1331"/>
      <c r="B97" s="1190" t="s">
        <v>1432</v>
      </c>
      <c r="C97" s="1275"/>
      <c r="D97" s="1275"/>
      <c r="E97" s="1276"/>
      <c r="F97" s="1194" t="s">
        <v>363</v>
      </c>
      <c r="G97" s="2175">
        <v>138</v>
      </c>
      <c r="H97" s="1264">
        <f t="shared" ref="H97:H98" si="7">ROUND(E97*G97,)</f>
        <v>0</v>
      </c>
      <c r="I97" s="1265"/>
      <c r="J97" s="1264">
        <f t="shared" ref="J97:J98" si="8">ROUND(E97*I97,)</f>
        <v>0</v>
      </c>
      <c r="K97" s="1299">
        <f t="shared" ref="K97:K98" si="9">H97+J97</f>
        <v>0</v>
      </c>
      <c r="L97" s="1432"/>
    </row>
    <row r="98" spans="1:16" s="1199" customFormat="1" ht="24" customHeight="1">
      <c r="A98" s="1331"/>
      <c r="B98" s="1190" t="s">
        <v>2896</v>
      </c>
      <c r="C98" s="1275"/>
      <c r="D98" s="1275"/>
      <c r="E98" s="1276"/>
      <c r="F98" s="1194" t="s">
        <v>363</v>
      </c>
      <c r="G98" s="2175">
        <v>619</v>
      </c>
      <c r="H98" s="1264">
        <f t="shared" si="7"/>
        <v>0</v>
      </c>
      <c r="I98" s="1265"/>
      <c r="J98" s="1264">
        <f t="shared" si="8"/>
        <v>0</v>
      </c>
      <c r="K98" s="1299">
        <f t="shared" si="9"/>
        <v>0</v>
      </c>
      <c r="L98" s="1432"/>
    </row>
    <row r="99" spans="1:16" s="1199" customFormat="1" ht="24" customHeight="1">
      <c r="A99" s="1331"/>
      <c r="B99" s="1190" t="s">
        <v>1117</v>
      </c>
      <c r="C99" s="1275"/>
      <c r="D99" s="1275"/>
      <c r="E99" s="2145"/>
      <c r="F99" s="1358"/>
      <c r="G99" s="2175"/>
      <c r="H99" s="1264"/>
      <c r="I99" s="1265"/>
      <c r="J99" s="1264"/>
      <c r="K99" s="1299"/>
      <c r="L99" s="1432"/>
    </row>
    <row r="100" spans="1:16" s="1199" customFormat="1" ht="24" customHeight="1">
      <c r="A100" s="1331"/>
      <c r="B100" s="1190" t="s">
        <v>1118</v>
      </c>
      <c r="C100" s="1275"/>
      <c r="D100" s="1275"/>
      <c r="E100" s="2145"/>
      <c r="F100" s="1358"/>
      <c r="G100" s="2175"/>
      <c r="H100" s="1264"/>
      <c r="I100" s="1265"/>
      <c r="J100" s="1264"/>
      <c r="K100" s="1299"/>
      <c r="L100" s="1432"/>
    </row>
    <row r="101" spans="1:16" s="1199" customFormat="1" ht="24" customHeight="1">
      <c r="A101" s="1331"/>
      <c r="B101" s="1190" t="s">
        <v>1118</v>
      </c>
      <c r="C101" s="1275"/>
      <c r="D101" s="1275"/>
      <c r="E101" s="2145"/>
      <c r="F101" s="1358"/>
      <c r="G101" s="2175"/>
      <c r="H101" s="1264"/>
      <c r="I101" s="1265"/>
      <c r="J101" s="1264"/>
      <c r="K101" s="1299"/>
      <c r="L101" s="1432"/>
    </row>
    <row r="102" spans="1:16" s="1199" customFormat="1" ht="24" customHeight="1">
      <c r="A102" s="1331"/>
      <c r="B102" s="1190"/>
      <c r="C102" s="1275"/>
      <c r="D102" s="1275"/>
      <c r="E102" s="2145"/>
      <c r="F102" s="1358"/>
      <c r="G102" s="2175"/>
      <c r="H102" s="1264"/>
      <c r="I102" s="1265"/>
      <c r="J102" s="1264"/>
      <c r="K102" s="1299"/>
      <c r="L102" s="1432"/>
    </row>
    <row r="103" spans="1:16" s="1199" customFormat="1" ht="24" customHeight="1">
      <c r="A103" s="1331"/>
      <c r="B103" s="1190"/>
      <c r="C103" s="1275"/>
      <c r="D103" s="1275"/>
      <c r="E103" s="2145"/>
      <c r="F103" s="1358"/>
      <c r="G103" s="2175"/>
      <c r="H103" s="1264"/>
      <c r="I103" s="1265"/>
      <c r="J103" s="1264"/>
      <c r="K103" s="1299"/>
      <c r="L103" s="1432"/>
    </row>
    <row r="104" spans="1:16" s="1199" customFormat="1" ht="24" customHeight="1">
      <c r="A104" s="1331"/>
      <c r="B104" s="1190"/>
      <c r="C104" s="1275"/>
      <c r="D104" s="1275"/>
      <c r="E104" s="2145"/>
      <c r="F104" s="1358"/>
      <c r="G104" s="2175"/>
      <c r="H104" s="1264"/>
      <c r="I104" s="1265"/>
      <c r="J104" s="1264"/>
      <c r="K104" s="1299"/>
      <c r="L104" s="1432"/>
    </row>
    <row r="105" spans="1:16" s="1199" customFormat="1" ht="24" customHeight="1">
      <c r="A105" s="1189"/>
      <c r="B105" s="1650"/>
      <c r="C105" s="1275"/>
      <c r="D105" s="1275"/>
      <c r="E105" s="2145"/>
      <c r="F105" s="1358"/>
      <c r="G105" s="2175"/>
      <c r="H105" s="1264"/>
      <c r="I105" s="1265"/>
      <c r="J105" s="1264"/>
      <c r="K105" s="1299"/>
      <c r="L105" s="1432"/>
    </row>
    <row r="106" spans="1:16" s="1199" customFormat="1" ht="24" customHeight="1">
      <c r="A106" s="1243"/>
      <c r="B106" s="2257" t="str">
        <f>"รวมราคารายการที่ "&amp;A92</f>
        <v>รวมราคารายการที่ 3.3</v>
      </c>
      <c r="C106" s="2258"/>
      <c r="D106" s="2259"/>
      <c r="E106" s="1244"/>
      <c r="F106" s="1245"/>
      <c r="G106" s="1246"/>
      <c r="H106" s="1247">
        <f>SUM(H93:H98)</f>
        <v>0</v>
      </c>
      <c r="I106" s="1246"/>
      <c r="J106" s="1247">
        <f>SUM(J93:J98)</f>
        <v>0</v>
      </c>
      <c r="K106" s="1245">
        <f>SUM(K93:K98)</f>
        <v>0</v>
      </c>
      <c r="L106" s="1245"/>
    </row>
    <row r="107" spans="1:16" s="1199" customFormat="1" ht="24" customHeight="1">
      <c r="A107" s="1308">
        <v>3.4</v>
      </c>
      <c r="B107" s="1436" t="s">
        <v>1312</v>
      </c>
      <c r="C107" s="1202"/>
      <c r="D107" s="1202"/>
      <c r="E107" s="1387"/>
      <c r="F107" s="1384"/>
      <c r="G107" s="2176"/>
      <c r="H107" s="1264">
        <f t="shared" ref="H107" si="10">ROUND(E107*G107,)</f>
        <v>0</v>
      </c>
      <c r="I107" s="2177"/>
      <c r="J107" s="1264">
        <f t="shared" ref="J107" si="11">ROUND(E107*I107,)</f>
        <v>0</v>
      </c>
      <c r="K107" s="1385"/>
      <c r="L107" s="1385"/>
      <c r="M107" s="1214"/>
      <c r="N107" s="1214"/>
      <c r="O107" s="1214"/>
      <c r="P107" s="1214"/>
    </row>
    <row r="108" spans="1:16" s="1199" customFormat="1" ht="24" customHeight="1">
      <c r="A108" s="1331" t="s">
        <v>1135</v>
      </c>
      <c r="B108" s="2174" t="s">
        <v>1314</v>
      </c>
      <c r="C108" s="1275"/>
      <c r="D108" s="1275"/>
      <c r="E108" s="1276"/>
      <c r="F108" s="1358"/>
      <c r="G108" s="2175"/>
      <c r="H108" s="1264"/>
      <c r="I108" s="1265"/>
      <c r="J108" s="1264"/>
      <c r="K108" s="1273"/>
      <c r="L108" s="1269"/>
    </row>
    <row r="109" spans="1:16" s="1199" customFormat="1" ht="24" customHeight="1">
      <c r="A109" s="1331" t="s">
        <v>1137</v>
      </c>
      <c r="B109" s="2174" t="s">
        <v>1315</v>
      </c>
      <c r="C109" s="1275"/>
      <c r="D109" s="1275"/>
      <c r="E109" s="1276"/>
      <c r="F109" s="1358"/>
      <c r="G109" s="2176"/>
      <c r="H109" s="1264"/>
      <c r="I109" s="1265"/>
      <c r="J109" s="1264"/>
      <c r="K109" s="1273"/>
      <c r="L109" s="1269"/>
    </row>
    <row r="110" spans="1:16" s="1199" customFormat="1" ht="24" customHeight="1">
      <c r="A110" s="1331"/>
      <c r="B110" s="2174" t="s">
        <v>1316</v>
      </c>
      <c r="C110" s="1275"/>
      <c r="D110" s="1275"/>
      <c r="E110" s="1270"/>
      <c r="F110" s="1358" t="s">
        <v>226</v>
      </c>
      <c r="G110" s="2176">
        <v>14</v>
      </c>
      <c r="H110" s="1264">
        <f t="shared" ref="H110:H123" si="12">ROUND(E110*G110,)</f>
        <v>0</v>
      </c>
      <c r="I110" s="1265">
        <v>10</v>
      </c>
      <c r="J110" s="1264">
        <f t="shared" ref="J110:J123" si="13">ROUND(E110*I110,)</f>
        <v>0</v>
      </c>
      <c r="K110" s="1273">
        <f t="shared" ref="K110:K123" si="14">H110+J110</f>
        <v>0</v>
      </c>
      <c r="L110" s="2000" t="s">
        <v>2667</v>
      </c>
      <c r="N110" s="1199">
        <v>1375.8</v>
      </c>
      <c r="O110" s="1199">
        <f>ROUND(N110/100,)</f>
        <v>14</v>
      </c>
      <c r="P110" s="1199">
        <f>E110*1.1</f>
        <v>0</v>
      </c>
    </row>
    <row r="111" spans="1:16" s="1199" customFormat="1" ht="24" customHeight="1">
      <c r="A111" s="1331"/>
      <c r="B111" s="2174" t="s">
        <v>1317</v>
      </c>
      <c r="C111" s="1275"/>
      <c r="D111" s="1275"/>
      <c r="E111" s="1270">
        <v>205</v>
      </c>
      <c r="F111" s="1358" t="s">
        <v>226</v>
      </c>
      <c r="G111" s="2176">
        <v>23</v>
      </c>
      <c r="H111" s="1264">
        <f t="shared" si="12"/>
        <v>4715</v>
      </c>
      <c r="I111" s="1265">
        <v>12</v>
      </c>
      <c r="J111" s="1264">
        <f t="shared" si="13"/>
        <v>2460</v>
      </c>
      <c r="K111" s="1273">
        <f t="shared" si="14"/>
        <v>7175</v>
      </c>
      <c r="L111" s="2000" t="s">
        <v>2667</v>
      </c>
      <c r="N111" s="1199">
        <v>2264.1999999999998</v>
      </c>
      <c r="O111" s="1199">
        <f t="shared" ref="O111:O119" si="15">ROUND(N111/100,)</f>
        <v>23</v>
      </c>
      <c r="P111" s="1199">
        <f t="shared" ref="P111:P123" si="16">E111*1.1</f>
        <v>225.50000000000003</v>
      </c>
    </row>
    <row r="112" spans="1:16" s="1199" customFormat="1" ht="24" customHeight="1">
      <c r="A112" s="1331"/>
      <c r="B112" s="2174" t="s">
        <v>1318</v>
      </c>
      <c r="C112" s="1275"/>
      <c r="D112" s="1275"/>
      <c r="E112" s="1270"/>
      <c r="F112" s="1358" t="s">
        <v>226</v>
      </c>
      <c r="G112" s="2176">
        <v>39</v>
      </c>
      <c r="H112" s="1264">
        <f t="shared" si="12"/>
        <v>0</v>
      </c>
      <c r="I112" s="1265">
        <v>16</v>
      </c>
      <c r="J112" s="1264">
        <f t="shared" si="13"/>
        <v>0</v>
      </c>
      <c r="K112" s="1273">
        <f t="shared" si="14"/>
        <v>0</v>
      </c>
      <c r="L112" s="2000" t="s">
        <v>2667</v>
      </c>
      <c r="N112" s="1199">
        <v>3944.2</v>
      </c>
      <c r="O112" s="1199">
        <f t="shared" si="15"/>
        <v>39</v>
      </c>
      <c r="P112" s="1199">
        <f t="shared" si="16"/>
        <v>0</v>
      </c>
    </row>
    <row r="113" spans="1:17" s="1199" customFormat="1" ht="24" customHeight="1">
      <c r="A113" s="1331"/>
      <c r="B113" s="2174" t="s">
        <v>1319</v>
      </c>
      <c r="C113" s="1275"/>
      <c r="D113" s="1275"/>
      <c r="E113" s="1270"/>
      <c r="F113" s="1358" t="s">
        <v>226</v>
      </c>
      <c r="G113" s="2176">
        <v>61</v>
      </c>
      <c r="H113" s="1264">
        <f t="shared" si="12"/>
        <v>0</v>
      </c>
      <c r="I113" s="1265">
        <v>20</v>
      </c>
      <c r="J113" s="1264">
        <f t="shared" si="13"/>
        <v>0</v>
      </c>
      <c r="K113" s="1273">
        <f t="shared" si="14"/>
        <v>0</v>
      </c>
      <c r="L113" s="2000" t="s">
        <v>2667</v>
      </c>
      <c r="N113" s="1199">
        <v>6120</v>
      </c>
      <c r="O113" s="1199">
        <f t="shared" si="15"/>
        <v>61</v>
      </c>
      <c r="P113" s="1199">
        <f t="shared" si="16"/>
        <v>0</v>
      </c>
    </row>
    <row r="114" spans="1:17" s="1199" customFormat="1" ht="24" customHeight="1">
      <c r="A114" s="1331"/>
      <c r="B114" s="2174" t="s">
        <v>1320</v>
      </c>
      <c r="C114" s="1275"/>
      <c r="D114" s="1275"/>
      <c r="E114" s="1270">
        <v>820</v>
      </c>
      <c r="F114" s="1358" t="s">
        <v>226</v>
      </c>
      <c r="G114" s="2176">
        <v>96</v>
      </c>
      <c r="H114" s="1264">
        <f t="shared" si="12"/>
        <v>78720</v>
      </c>
      <c r="I114" s="1265">
        <v>25</v>
      </c>
      <c r="J114" s="1264">
        <f t="shared" si="13"/>
        <v>20500</v>
      </c>
      <c r="K114" s="1273">
        <f t="shared" si="14"/>
        <v>99220</v>
      </c>
      <c r="L114" s="2000" t="s">
        <v>2667</v>
      </c>
      <c r="N114" s="1199">
        <v>9600</v>
      </c>
      <c r="O114" s="1199">
        <f t="shared" si="15"/>
        <v>96</v>
      </c>
      <c r="P114" s="1199">
        <f t="shared" si="16"/>
        <v>902.00000000000011</v>
      </c>
    </row>
    <row r="115" spans="1:17" s="1199" customFormat="1" ht="24" customHeight="1">
      <c r="A115" s="1331"/>
      <c r="B115" s="2174" t="s">
        <v>1321</v>
      </c>
      <c r="C115" s="1275"/>
      <c r="D115" s="1275"/>
      <c r="E115" s="1270"/>
      <c r="F115" s="1358" t="s">
        <v>226</v>
      </c>
      <c r="G115" s="2176">
        <v>127</v>
      </c>
      <c r="H115" s="1264">
        <f t="shared" si="12"/>
        <v>0</v>
      </c>
      <c r="I115" s="1265">
        <v>30</v>
      </c>
      <c r="J115" s="1264">
        <f t="shared" si="13"/>
        <v>0</v>
      </c>
      <c r="K115" s="1273">
        <f t="shared" si="14"/>
        <v>0</v>
      </c>
      <c r="L115" s="2000" t="s">
        <v>2667</v>
      </c>
      <c r="N115" s="1199">
        <v>12744.2</v>
      </c>
      <c r="O115" s="1199">
        <f t="shared" si="15"/>
        <v>127</v>
      </c>
      <c r="P115" s="1199">
        <f t="shared" si="16"/>
        <v>0</v>
      </c>
    </row>
    <row r="116" spans="1:17" s="1199" customFormat="1" ht="24" customHeight="1">
      <c r="A116" s="1331"/>
      <c r="B116" s="2174" t="s">
        <v>1322</v>
      </c>
      <c r="C116" s="1275"/>
      <c r="D116" s="1275"/>
      <c r="E116" s="1270"/>
      <c r="F116" s="1358" t="s">
        <v>226</v>
      </c>
      <c r="G116" s="2176">
        <v>183</v>
      </c>
      <c r="H116" s="1264">
        <f t="shared" si="12"/>
        <v>0</v>
      </c>
      <c r="I116" s="1265">
        <v>40</v>
      </c>
      <c r="J116" s="1264">
        <f t="shared" si="13"/>
        <v>0</v>
      </c>
      <c r="K116" s="1273">
        <f t="shared" si="14"/>
        <v>0</v>
      </c>
      <c r="L116" s="2000" t="s">
        <v>2667</v>
      </c>
      <c r="N116" s="1199">
        <v>18335.8</v>
      </c>
      <c r="O116" s="1199">
        <f t="shared" si="15"/>
        <v>183</v>
      </c>
      <c r="P116" s="1199">
        <f t="shared" si="16"/>
        <v>0</v>
      </c>
    </row>
    <row r="117" spans="1:17" s="1199" customFormat="1" ht="24" customHeight="1">
      <c r="A117" s="1331"/>
      <c r="B117" s="2174" t="s">
        <v>1323</v>
      </c>
      <c r="C117" s="1275"/>
      <c r="D117" s="1275"/>
      <c r="E117" s="1270"/>
      <c r="F117" s="1358" t="s">
        <v>226</v>
      </c>
      <c r="G117" s="2176">
        <v>262</v>
      </c>
      <c r="H117" s="1264">
        <f t="shared" si="12"/>
        <v>0</v>
      </c>
      <c r="I117" s="1265">
        <v>45</v>
      </c>
      <c r="J117" s="1264">
        <f t="shared" si="13"/>
        <v>0</v>
      </c>
      <c r="K117" s="1273">
        <f t="shared" si="14"/>
        <v>0</v>
      </c>
      <c r="L117" s="2000" t="s">
        <v>2667</v>
      </c>
      <c r="N117" s="1199">
        <v>26215.8</v>
      </c>
      <c r="O117" s="1199">
        <f t="shared" si="15"/>
        <v>262</v>
      </c>
      <c r="P117" s="1199">
        <f t="shared" si="16"/>
        <v>0</v>
      </c>
    </row>
    <row r="118" spans="1:17" s="1199" customFormat="1" ht="24" customHeight="1">
      <c r="A118" s="1331"/>
      <c r="B118" s="2174" t="s">
        <v>1324</v>
      </c>
      <c r="C118" s="1275"/>
      <c r="D118" s="1275"/>
      <c r="E118" s="1270"/>
      <c r="F118" s="1358" t="s">
        <v>226</v>
      </c>
      <c r="G118" s="2176">
        <v>361</v>
      </c>
      <c r="H118" s="1264">
        <f t="shared" si="12"/>
        <v>0</v>
      </c>
      <c r="I118" s="1265">
        <v>55</v>
      </c>
      <c r="J118" s="1264">
        <f t="shared" si="13"/>
        <v>0</v>
      </c>
      <c r="K118" s="1273">
        <f t="shared" si="14"/>
        <v>0</v>
      </c>
      <c r="L118" s="2000" t="s">
        <v>2667</v>
      </c>
      <c r="N118" s="1199">
        <v>36120</v>
      </c>
      <c r="O118" s="1199">
        <f t="shared" si="15"/>
        <v>361</v>
      </c>
      <c r="P118" s="1199">
        <f t="shared" si="16"/>
        <v>0</v>
      </c>
    </row>
    <row r="119" spans="1:17" s="1199" customFormat="1" ht="24" customHeight="1">
      <c r="A119" s="1331"/>
      <c r="B119" s="2174" t="s">
        <v>1325</v>
      </c>
      <c r="C119" s="1275"/>
      <c r="D119" s="1275"/>
      <c r="E119" s="1270"/>
      <c r="F119" s="1358" t="s">
        <v>226</v>
      </c>
      <c r="G119" s="2176">
        <v>458</v>
      </c>
      <c r="H119" s="1264">
        <f t="shared" si="12"/>
        <v>0</v>
      </c>
      <c r="I119" s="1265">
        <v>60</v>
      </c>
      <c r="J119" s="1264">
        <f t="shared" si="13"/>
        <v>0</v>
      </c>
      <c r="K119" s="1273">
        <f t="shared" si="14"/>
        <v>0</v>
      </c>
      <c r="L119" s="2000" t="s">
        <v>2667</v>
      </c>
      <c r="N119" s="1199">
        <v>45760</v>
      </c>
      <c r="O119" s="1199">
        <f t="shared" si="15"/>
        <v>458</v>
      </c>
      <c r="P119" s="1199">
        <f t="shared" si="16"/>
        <v>0</v>
      </c>
    </row>
    <row r="120" spans="1:17" s="1199" customFormat="1" ht="24" customHeight="1">
      <c r="A120" s="1331"/>
      <c r="B120" s="2174" t="s">
        <v>1326</v>
      </c>
      <c r="C120" s="1275"/>
      <c r="D120" s="1275"/>
      <c r="E120" s="1270"/>
      <c r="F120" s="1358" t="s">
        <v>226</v>
      </c>
      <c r="G120" s="2176">
        <v>525</v>
      </c>
      <c r="H120" s="1264">
        <f t="shared" si="12"/>
        <v>0</v>
      </c>
      <c r="I120" s="1265">
        <v>70</v>
      </c>
      <c r="J120" s="1264">
        <f t="shared" si="13"/>
        <v>0</v>
      </c>
      <c r="K120" s="1273">
        <f t="shared" si="14"/>
        <v>0</v>
      </c>
      <c r="L120" s="1269"/>
      <c r="P120" s="1199">
        <f t="shared" si="16"/>
        <v>0</v>
      </c>
    </row>
    <row r="121" spans="1:17" s="1199" customFormat="1" ht="24" customHeight="1">
      <c r="A121" s="1331"/>
      <c r="B121" s="2174" t="s">
        <v>1327</v>
      </c>
      <c r="C121" s="1275"/>
      <c r="D121" s="1275"/>
      <c r="E121" s="1270"/>
      <c r="F121" s="1358" t="s">
        <v>226</v>
      </c>
      <c r="G121" s="2176">
        <v>659</v>
      </c>
      <c r="H121" s="1264">
        <f t="shared" si="12"/>
        <v>0</v>
      </c>
      <c r="I121" s="1265">
        <v>85</v>
      </c>
      <c r="J121" s="1264">
        <f t="shared" si="13"/>
        <v>0</v>
      </c>
      <c r="K121" s="1273">
        <f t="shared" si="14"/>
        <v>0</v>
      </c>
      <c r="L121" s="1269"/>
      <c r="P121" s="1199">
        <f t="shared" si="16"/>
        <v>0</v>
      </c>
    </row>
    <row r="122" spans="1:17" s="1199" customFormat="1" ht="24" customHeight="1">
      <c r="A122" s="1331"/>
      <c r="B122" s="2174" t="s">
        <v>1328</v>
      </c>
      <c r="C122" s="1275"/>
      <c r="D122" s="1275"/>
      <c r="E122" s="1270"/>
      <c r="F122" s="1358" t="s">
        <v>226</v>
      </c>
      <c r="G122" s="2176">
        <v>865</v>
      </c>
      <c r="H122" s="1264">
        <f t="shared" si="12"/>
        <v>0</v>
      </c>
      <c r="I122" s="1265">
        <v>100</v>
      </c>
      <c r="J122" s="1264">
        <f t="shared" si="13"/>
        <v>0</v>
      </c>
      <c r="K122" s="1273">
        <f t="shared" si="14"/>
        <v>0</v>
      </c>
      <c r="L122" s="1269"/>
      <c r="P122" s="1199">
        <f t="shared" si="16"/>
        <v>0</v>
      </c>
    </row>
    <row r="123" spans="1:17" s="1199" customFormat="1" ht="24" customHeight="1">
      <c r="A123" s="1331"/>
      <c r="B123" s="2174" t="s">
        <v>1329</v>
      </c>
      <c r="C123" s="1275"/>
      <c r="D123" s="1275"/>
      <c r="E123" s="1270"/>
      <c r="F123" s="1358" t="s">
        <v>226</v>
      </c>
      <c r="G123" s="2176">
        <v>1084</v>
      </c>
      <c r="H123" s="1264">
        <f t="shared" si="12"/>
        <v>0</v>
      </c>
      <c r="I123" s="1265">
        <v>110</v>
      </c>
      <c r="J123" s="1264">
        <f t="shared" si="13"/>
        <v>0</v>
      </c>
      <c r="K123" s="1273">
        <f t="shared" si="14"/>
        <v>0</v>
      </c>
      <c r="L123" s="1269"/>
      <c r="P123" s="1199">
        <f t="shared" si="16"/>
        <v>0</v>
      </c>
    </row>
    <row r="124" spans="1:17" s="1199" customFormat="1" ht="24" customHeight="1">
      <c r="A124" s="1331" t="s">
        <v>1158</v>
      </c>
      <c r="B124" s="2174" t="s">
        <v>2897</v>
      </c>
      <c r="C124" s="1275"/>
      <c r="D124" s="1275"/>
      <c r="E124" s="1276"/>
      <c r="F124" s="1358"/>
      <c r="G124" s="2175"/>
      <c r="H124" s="1264"/>
      <c r="I124" s="1265"/>
      <c r="J124" s="1264"/>
      <c r="K124" s="1273"/>
      <c r="L124" s="1269"/>
    </row>
    <row r="125" spans="1:17" s="1199" customFormat="1" ht="24" customHeight="1">
      <c r="A125" s="1331" t="s">
        <v>2898</v>
      </c>
      <c r="B125" s="1190" t="s">
        <v>1597</v>
      </c>
      <c r="C125" s="1202"/>
      <c r="D125" s="1202"/>
      <c r="E125" s="1387"/>
      <c r="F125" s="1384"/>
      <c r="G125" s="2176"/>
      <c r="H125" s="1264">
        <f t="shared" ref="H125:H134" si="17">ROUND(E125*G125,)</f>
        <v>0</v>
      </c>
      <c r="I125" s="2177"/>
      <c r="J125" s="1264">
        <f t="shared" ref="J125:J134" si="18">ROUND(E125*I125,)</f>
        <v>0</v>
      </c>
      <c r="K125" s="1385"/>
      <c r="L125" s="1385"/>
      <c r="M125" s="1214"/>
      <c r="N125" s="1214"/>
      <c r="O125" s="1214"/>
      <c r="P125" s="1214"/>
      <c r="Q125" s="1214"/>
    </row>
    <row r="126" spans="1:17" s="1199" customFormat="1" ht="24" customHeight="1">
      <c r="A126" s="1331"/>
      <c r="B126" s="1190" t="s">
        <v>1443</v>
      </c>
      <c r="C126" s="1202"/>
      <c r="D126" s="1202"/>
      <c r="E126" s="1439">
        <v>85</v>
      </c>
      <c r="F126" s="1358" t="s">
        <v>226</v>
      </c>
      <c r="G126" s="2176">
        <v>9</v>
      </c>
      <c r="H126" s="1264">
        <f t="shared" si="17"/>
        <v>765</v>
      </c>
      <c r="I126" s="2177">
        <v>7</v>
      </c>
      <c r="J126" s="1264">
        <f t="shared" si="18"/>
        <v>595</v>
      </c>
      <c r="K126" s="1273">
        <f>H126+J126</f>
        <v>1360</v>
      </c>
      <c r="L126" s="2001" t="s">
        <v>2667</v>
      </c>
      <c r="M126" s="1214"/>
      <c r="N126" s="1199">
        <v>912.1</v>
      </c>
      <c r="O126" s="1199">
        <f>ROUND(N126/100,)</f>
        <v>9</v>
      </c>
      <c r="P126" s="1214"/>
      <c r="Q126" s="1214"/>
    </row>
    <row r="127" spans="1:17" s="1199" customFormat="1" ht="24" customHeight="1">
      <c r="A127" s="1331"/>
      <c r="B127" s="2174" t="s">
        <v>1316</v>
      </c>
      <c r="C127" s="1202"/>
      <c r="D127" s="1202"/>
      <c r="E127" s="1439">
        <v>1045</v>
      </c>
      <c r="F127" s="1358" t="s">
        <v>226</v>
      </c>
      <c r="G127" s="2176">
        <v>14</v>
      </c>
      <c r="H127" s="1264">
        <f t="shared" si="17"/>
        <v>14630</v>
      </c>
      <c r="I127" s="2177">
        <v>10</v>
      </c>
      <c r="J127" s="1264">
        <f t="shared" si="18"/>
        <v>10450</v>
      </c>
      <c r="K127" s="1273">
        <f>H127+J127</f>
        <v>25080</v>
      </c>
      <c r="L127" s="2001" t="s">
        <v>2667</v>
      </c>
      <c r="M127" s="1214"/>
      <c r="N127" s="1199">
        <v>1375.8</v>
      </c>
      <c r="O127" s="1199">
        <f>ROUND(N127/100,)</f>
        <v>14</v>
      </c>
      <c r="P127" s="1214"/>
      <c r="Q127" s="1214"/>
    </row>
    <row r="128" spans="1:17" s="1199" customFormat="1" ht="24" customHeight="1">
      <c r="A128" s="1331"/>
      <c r="B128" s="2174" t="s">
        <v>1317</v>
      </c>
      <c r="C128" s="1275"/>
      <c r="D128" s="1275"/>
      <c r="E128" s="1270"/>
      <c r="F128" s="1358" t="s">
        <v>226</v>
      </c>
      <c r="G128" s="2176">
        <v>23</v>
      </c>
      <c r="H128" s="1264">
        <f t="shared" si="17"/>
        <v>0</v>
      </c>
      <c r="I128" s="1265">
        <v>12</v>
      </c>
      <c r="J128" s="1264">
        <f t="shared" si="18"/>
        <v>0</v>
      </c>
      <c r="K128" s="1273">
        <f t="shared" ref="K128:K129" si="19">H128+J128</f>
        <v>0</v>
      </c>
      <c r="L128" s="2001" t="s">
        <v>2667</v>
      </c>
      <c r="N128" s="1199">
        <v>2264.1999999999998</v>
      </c>
      <c r="O128" s="1199">
        <f t="shared" ref="O128:O129" si="20">ROUND(N128/100,)</f>
        <v>23</v>
      </c>
    </row>
    <row r="129" spans="1:17" s="1199" customFormat="1" ht="24" customHeight="1">
      <c r="A129" s="1331"/>
      <c r="B129" s="2174" t="s">
        <v>1318</v>
      </c>
      <c r="C129" s="1275"/>
      <c r="D129" s="1275"/>
      <c r="E129" s="1270"/>
      <c r="F129" s="1358" t="s">
        <v>226</v>
      </c>
      <c r="G129" s="2176">
        <v>39</v>
      </c>
      <c r="H129" s="1264">
        <f t="shared" si="17"/>
        <v>0</v>
      </c>
      <c r="I129" s="1265">
        <v>16</v>
      </c>
      <c r="J129" s="1264">
        <f t="shared" si="18"/>
        <v>0</v>
      </c>
      <c r="K129" s="1273">
        <f t="shared" si="19"/>
        <v>0</v>
      </c>
      <c r="L129" s="2001" t="s">
        <v>2667</v>
      </c>
      <c r="N129" s="1199">
        <v>3944.2</v>
      </c>
      <c r="O129" s="1199">
        <f t="shared" si="20"/>
        <v>39</v>
      </c>
    </row>
    <row r="130" spans="1:17" s="1199" customFormat="1" ht="24" customHeight="1">
      <c r="A130" s="1331"/>
      <c r="B130" s="2174"/>
      <c r="C130" s="1275"/>
      <c r="D130" s="1275"/>
      <c r="E130" s="1270"/>
      <c r="F130" s="1358"/>
      <c r="G130" s="2176"/>
      <c r="H130" s="1264"/>
      <c r="I130" s="1265"/>
      <c r="J130" s="1264"/>
      <c r="K130" s="1273"/>
      <c r="L130" s="2172"/>
    </row>
    <row r="131" spans="1:17" s="1199" customFormat="1" ht="24" customHeight="1">
      <c r="A131" s="1331" t="s">
        <v>2899</v>
      </c>
      <c r="B131" s="2174" t="s">
        <v>1331</v>
      </c>
      <c r="C131" s="1202"/>
      <c r="D131" s="1202"/>
      <c r="E131" s="1404"/>
      <c r="F131" s="1384"/>
      <c r="G131" s="2176"/>
      <c r="H131" s="1264">
        <f t="shared" si="17"/>
        <v>0</v>
      </c>
      <c r="I131" s="2177"/>
      <c r="J131" s="1264">
        <f t="shared" si="18"/>
        <v>0</v>
      </c>
      <c r="K131" s="1385"/>
      <c r="L131" s="1385"/>
      <c r="M131" s="1214"/>
      <c r="N131" s="1214"/>
      <c r="O131" s="1214"/>
      <c r="P131" s="1214"/>
      <c r="Q131" s="1214"/>
    </row>
    <row r="132" spans="1:17" s="1199" customFormat="1" ht="24" customHeight="1">
      <c r="A132" s="1331"/>
      <c r="B132" s="2174" t="s">
        <v>1443</v>
      </c>
      <c r="C132" s="1202"/>
      <c r="D132" s="1202"/>
      <c r="E132" s="1270"/>
      <c r="F132" s="1358" t="s">
        <v>226</v>
      </c>
      <c r="G132" s="2176">
        <v>41</v>
      </c>
      <c r="H132" s="1264">
        <f t="shared" si="17"/>
        <v>0</v>
      </c>
      <c r="I132" s="2177">
        <v>12</v>
      </c>
      <c r="J132" s="1264">
        <f t="shared" si="18"/>
        <v>0</v>
      </c>
      <c r="K132" s="1273">
        <f>H132+J132</f>
        <v>0</v>
      </c>
      <c r="L132" s="1385"/>
      <c r="M132" s="1214"/>
      <c r="N132" s="1214"/>
      <c r="O132" s="1214"/>
      <c r="P132" s="1214"/>
      <c r="Q132" s="1214"/>
    </row>
    <row r="133" spans="1:17" s="1199" customFormat="1" ht="24" customHeight="1">
      <c r="A133" s="1331"/>
      <c r="B133" s="2174" t="s">
        <v>1316</v>
      </c>
      <c r="C133" s="1202"/>
      <c r="D133" s="1202"/>
      <c r="E133" s="1506"/>
      <c r="F133" s="1358" t="s">
        <v>226</v>
      </c>
      <c r="G133" s="2176">
        <v>53</v>
      </c>
      <c r="H133" s="1264">
        <f t="shared" si="17"/>
        <v>0</v>
      </c>
      <c r="I133" s="2177">
        <v>14</v>
      </c>
      <c r="J133" s="1264">
        <f t="shared" si="18"/>
        <v>0</v>
      </c>
      <c r="K133" s="1273">
        <f>H133+J133</f>
        <v>0</v>
      </c>
      <c r="L133" s="1385"/>
      <c r="M133" s="1214"/>
      <c r="N133" s="1214"/>
      <c r="O133" s="1214"/>
      <c r="P133" s="1214"/>
      <c r="Q133" s="1214"/>
    </row>
    <row r="134" spans="1:17" s="1199" customFormat="1" ht="24" customHeight="1">
      <c r="A134" s="1406"/>
      <c r="B134" s="2174" t="s">
        <v>1444</v>
      </c>
      <c r="C134" s="1202"/>
      <c r="D134" s="1202"/>
      <c r="E134" s="1490">
        <v>1</v>
      </c>
      <c r="F134" s="1358" t="s">
        <v>1104</v>
      </c>
      <c r="G134" s="2176">
        <f>ROUND(SUM(H108:H133)*0.05,)</f>
        <v>4942</v>
      </c>
      <c r="H134" s="1264">
        <f t="shared" si="17"/>
        <v>4942</v>
      </c>
      <c r="I134" s="2177">
        <f>ROUND(G134*0.3,)</f>
        <v>1483</v>
      </c>
      <c r="J134" s="1264">
        <f t="shared" si="18"/>
        <v>1483</v>
      </c>
      <c r="K134" s="1273">
        <f>H134+J134</f>
        <v>6425</v>
      </c>
      <c r="L134" s="1385"/>
      <c r="M134" s="1214"/>
      <c r="N134" s="1214"/>
      <c r="O134" s="1214"/>
      <c r="P134" s="1214"/>
      <c r="Q134" s="1214"/>
    </row>
    <row r="135" spans="1:17" s="1199" customFormat="1" ht="24" customHeight="1">
      <c r="A135" s="1331"/>
      <c r="B135" s="2174" t="s">
        <v>1117</v>
      </c>
      <c r="C135" s="1202"/>
      <c r="D135" s="1202"/>
      <c r="E135" s="1489"/>
      <c r="F135" s="1384"/>
      <c r="G135" s="2176"/>
      <c r="H135" s="1388"/>
      <c r="I135" s="2177"/>
      <c r="J135" s="1385"/>
      <c r="K135" s="1385"/>
      <c r="L135" s="1385"/>
      <c r="M135" s="1214"/>
      <c r="N135" s="1214"/>
      <c r="O135" s="1214"/>
      <c r="P135" s="1214"/>
    </row>
    <row r="136" spans="1:17" s="1199" customFormat="1" ht="24" customHeight="1">
      <c r="A136" s="1331"/>
      <c r="B136" s="2174" t="s">
        <v>1118</v>
      </c>
      <c r="C136" s="1202"/>
      <c r="D136" s="1202"/>
      <c r="E136" s="1387"/>
      <c r="F136" s="1384"/>
      <c r="G136" s="2176"/>
      <c r="H136" s="1388"/>
      <c r="I136" s="2177"/>
      <c r="J136" s="1385"/>
      <c r="K136" s="1385"/>
      <c r="L136" s="1385"/>
      <c r="M136" s="1214"/>
      <c r="N136" s="1214"/>
      <c r="O136" s="1214"/>
      <c r="P136" s="1214"/>
    </row>
    <row r="137" spans="1:17" s="1199" customFormat="1" ht="24" customHeight="1">
      <c r="A137" s="1331"/>
      <c r="B137" s="2174" t="s">
        <v>1118</v>
      </c>
      <c r="C137" s="1202"/>
      <c r="D137" s="1202"/>
      <c r="E137" s="1387"/>
      <c r="F137" s="1384"/>
      <c r="G137" s="2176"/>
      <c r="H137" s="1388"/>
      <c r="I137" s="2177"/>
      <c r="J137" s="1385"/>
      <c r="K137" s="1385"/>
      <c r="L137" s="1385"/>
      <c r="M137" s="1214"/>
      <c r="N137" s="1214"/>
      <c r="O137" s="1214"/>
      <c r="P137" s="1214"/>
    </row>
    <row r="138" spans="1:17" s="1199" customFormat="1" ht="24" customHeight="1">
      <c r="A138" s="1331"/>
      <c r="B138" s="2174"/>
      <c r="C138" s="1202"/>
      <c r="D138" s="1202"/>
      <c r="E138" s="1387"/>
      <c r="F138" s="1384"/>
      <c r="G138" s="2176"/>
      <c r="H138" s="1388"/>
      <c r="I138" s="2177"/>
      <c r="J138" s="1385"/>
      <c r="K138" s="1385"/>
      <c r="L138" s="1385"/>
      <c r="M138" s="1214"/>
      <c r="N138" s="1214"/>
      <c r="O138" s="1214"/>
      <c r="P138" s="1214"/>
    </row>
    <row r="139" spans="1:17" s="1199" customFormat="1" ht="24" customHeight="1">
      <c r="A139" s="1243"/>
      <c r="B139" s="2257" t="str">
        <f>"รวมราคารายการที่ "&amp;A107</f>
        <v>รวมราคารายการที่ 3.4</v>
      </c>
      <c r="C139" s="2258"/>
      <c r="D139" s="2259"/>
      <c r="E139" s="1244"/>
      <c r="F139" s="1245"/>
      <c r="G139" s="1246"/>
      <c r="H139" s="1247">
        <f>SUM(H107:H136)</f>
        <v>103772</v>
      </c>
      <c r="I139" s="1246"/>
      <c r="J139" s="1247">
        <f>SUM(J107:J136)</f>
        <v>35488</v>
      </c>
      <c r="K139" s="1247">
        <f>SUM(K107:K136)</f>
        <v>139260</v>
      </c>
      <c r="L139" s="1245"/>
      <c r="M139" s="1214"/>
      <c r="N139" s="1214"/>
      <c r="O139" s="1214"/>
      <c r="P139" s="1214"/>
    </row>
    <row r="140" spans="1:17" s="1199" customFormat="1" ht="24" customHeight="1">
      <c r="A140" s="1435" t="s">
        <v>1461</v>
      </c>
      <c r="B140" s="1436" t="s">
        <v>1333</v>
      </c>
      <c r="C140" s="1202"/>
      <c r="D140" s="1202"/>
      <c r="E140" s="1387"/>
      <c r="F140" s="1384"/>
      <c r="G140" s="2176"/>
      <c r="H140" s="1388"/>
      <c r="I140" s="2177"/>
      <c r="J140" s="1385"/>
      <c r="K140" s="1385"/>
      <c r="L140" s="1385"/>
      <c r="M140" s="1214"/>
      <c r="N140" s="1214"/>
      <c r="O140" s="1214"/>
      <c r="P140" s="1214"/>
    </row>
    <row r="141" spans="1:17" s="1199" customFormat="1" ht="24" customHeight="1">
      <c r="A141" s="1331" t="s">
        <v>1181</v>
      </c>
      <c r="B141" s="2174" t="s">
        <v>1446</v>
      </c>
      <c r="C141" s="1202"/>
      <c r="D141" s="1202"/>
      <c r="E141" s="1387"/>
      <c r="F141" s="1384"/>
      <c r="G141" s="2176"/>
      <c r="H141" s="1264">
        <f t="shared" ref="H141:H156" si="21">ROUND(E141*G141,)</f>
        <v>0</v>
      </c>
      <c r="I141" s="2177"/>
      <c r="J141" s="1264">
        <f t="shared" ref="J141:J156" si="22">ROUND(E141*I141,)</f>
        <v>0</v>
      </c>
      <c r="K141" s="1385"/>
      <c r="L141" s="1385"/>
      <c r="M141" s="1214"/>
      <c r="N141" s="1214"/>
      <c r="O141" s="1214"/>
      <c r="P141" s="1214"/>
    </row>
    <row r="142" spans="1:17" s="1199" customFormat="1" ht="24" customHeight="1">
      <c r="A142" s="1331"/>
      <c r="B142" s="2174" t="s">
        <v>1350</v>
      </c>
      <c r="C142" s="1202"/>
      <c r="D142" s="1202"/>
      <c r="E142" s="1404">
        <v>110</v>
      </c>
      <c r="F142" s="1358" t="s">
        <v>226</v>
      </c>
      <c r="G142" s="2176">
        <v>27</v>
      </c>
      <c r="H142" s="1264">
        <f t="shared" si="21"/>
        <v>2970</v>
      </c>
      <c r="I142" s="2177">
        <v>22</v>
      </c>
      <c r="J142" s="1264">
        <f t="shared" si="22"/>
        <v>2420</v>
      </c>
      <c r="K142" s="1802">
        <f t="shared" ref="K142" si="23">H142+J142</f>
        <v>5390</v>
      </c>
      <c r="L142" s="2001" t="s">
        <v>2667</v>
      </c>
      <c r="M142" s="1214"/>
      <c r="N142" s="1199">
        <v>79.8</v>
      </c>
      <c r="O142" s="1199">
        <f>ROUND(N142/3,)</f>
        <v>27</v>
      </c>
      <c r="P142" s="1214"/>
    </row>
    <row r="143" spans="1:17" s="1199" customFormat="1" ht="24" customHeight="1">
      <c r="A143" s="1331"/>
      <c r="B143" s="2174" t="s">
        <v>1108</v>
      </c>
      <c r="C143" s="1202"/>
      <c r="D143" s="1202"/>
      <c r="E143" s="1404">
        <v>1</v>
      </c>
      <c r="F143" s="1384" t="s">
        <v>1104</v>
      </c>
      <c r="G143" s="2176">
        <f>ROUND(SUM(H142:H142)*15%,)</f>
        <v>446</v>
      </c>
      <c r="H143" s="1264">
        <f t="shared" si="21"/>
        <v>446</v>
      </c>
      <c r="I143" s="2177">
        <f>ROUND(G143*0.3,)</f>
        <v>134</v>
      </c>
      <c r="J143" s="1264">
        <f t="shared" si="22"/>
        <v>134</v>
      </c>
      <c r="K143" s="1273">
        <f>H143+J143</f>
        <v>580</v>
      </c>
      <c r="L143" s="1385"/>
      <c r="M143" s="1214"/>
      <c r="N143" s="1214"/>
      <c r="O143" s="1214"/>
      <c r="P143" s="1214"/>
    </row>
    <row r="144" spans="1:17" s="1199" customFormat="1" ht="24" customHeight="1">
      <c r="A144" s="1331" t="s">
        <v>1197</v>
      </c>
      <c r="B144" s="2174" t="s">
        <v>1110</v>
      </c>
      <c r="C144" s="1202"/>
      <c r="D144" s="1202"/>
      <c r="E144" s="1404"/>
      <c r="F144" s="1384"/>
      <c r="G144" s="2176"/>
      <c r="H144" s="1264">
        <f t="shared" si="21"/>
        <v>0</v>
      </c>
      <c r="I144" s="2177"/>
      <c r="J144" s="1264">
        <f t="shared" si="22"/>
        <v>0</v>
      </c>
      <c r="K144" s="1385"/>
      <c r="L144" s="1385"/>
      <c r="M144" s="1214"/>
      <c r="N144" s="1214"/>
      <c r="O144" s="1214"/>
      <c r="P144" s="1214"/>
    </row>
    <row r="145" spans="1:17" s="1199" customFormat="1" ht="24" customHeight="1">
      <c r="A145" s="1331"/>
      <c r="B145" s="2174" t="s">
        <v>1350</v>
      </c>
      <c r="C145" s="1202"/>
      <c r="D145" s="1202"/>
      <c r="E145" s="1404"/>
      <c r="F145" s="1358" t="s">
        <v>226</v>
      </c>
      <c r="G145" s="2176">
        <v>56</v>
      </c>
      <c r="H145" s="1264">
        <f t="shared" si="21"/>
        <v>0</v>
      </c>
      <c r="I145" s="2177">
        <v>26</v>
      </c>
      <c r="J145" s="1264">
        <f t="shared" si="22"/>
        <v>0</v>
      </c>
      <c r="K145" s="1273">
        <f>H145+J145</f>
        <v>0</v>
      </c>
      <c r="L145" s="2001" t="s">
        <v>2667</v>
      </c>
      <c r="M145" s="1214"/>
      <c r="N145" s="1199">
        <v>169.2</v>
      </c>
      <c r="O145" s="1199">
        <f t="shared" ref="O145:O150" si="24">ROUND(N145/3,)</f>
        <v>56</v>
      </c>
      <c r="P145" s="1214"/>
    </row>
    <row r="146" spans="1:17" s="1199" customFormat="1" ht="24" customHeight="1">
      <c r="A146" s="1331"/>
      <c r="B146" s="2174" t="s">
        <v>1448</v>
      </c>
      <c r="C146" s="1202"/>
      <c r="D146" s="1202"/>
      <c r="E146" s="1404">
        <v>160</v>
      </c>
      <c r="F146" s="1358" t="s">
        <v>226</v>
      </c>
      <c r="G146" s="2176">
        <v>75</v>
      </c>
      <c r="H146" s="1264">
        <f t="shared" si="21"/>
        <v>12000</v>
      </c>
      <c r="I146" s="2177">
        <v>29</v>
      </c>
      <c r="J146" s="1264">
        <f t="shared" si="22"/>
        <v>4640</v>
      </c>
      <c r="K146" s="1273">
        <f>H146+J146</f>
        <v>16640</v>
      </c>
      <c r="L146" s="2001" t="s">
        <v>2667</v>
      </c>
      <c r="N146" s="1199">
        <v>225</v>
      </c>
      <c r="O146" s="1199">
        <f t="shared" si="24"/>
        <v>75</v>
      </c>
      <c r="P146" s="1214"/>
    </row>
    <row r="147" spans="1:17" s="1199" customFormat="1" ht="24" customHeight="1">
      <c r="A147" s="1331"/>
      <c r="B147" s="2174" t="s">
        <v>1337</v>
      </c>
      <c r="C147" s="1202"/>
      <c r="D147" s="1202"/>
      <c r="E147" s="1404"/>
      <c r="F147" s="1358" t="s">
        <v>226</v>
      </c>
      <c r="G147" s="2176">
        <v>101</v>
      </c>
      <c r="H147" s="1264">
        <f t="shared" si="21"/>
        <v>0</v>
      </c>
      <c r="I147" s="2177">
        <v>32</v>
      </c>
      <c r="J147" s="1264">
        <f t="shared" si="22"/>
        <v>0</v>
      </c>
      <c r="K147" s="1273">
        <f>H147+J147</f>
        <v>0</v>
      </c>
      <c r="L147" s="2001" t="s">
        <v>2667</v>
      </c>
      <c r="N147" s="1199">
        <v>303.60000000000002</v>
      </c>
      <c r="O147" s="1199">
        <f t="shared" si="24"/>
        <v>101</v>
      </c>
      <c r="P147" s="1214"/>
    </row>
    <row r="148" spans="1:17" s="1199" customFormat="1" ht="24" customHeight="1">
      <c r="A148" s="1331"/>
      <c r="B148" s="2174" t="s">
        <v>1338</v>
      </c>
      <c r="C148" s="1202"/>
      <c r="D148" s="1202"/>
      <c r="E148" s="1270">
        <v>205</v>
      </c>
      <c r="F148" s="1358" t="s">
        <v>226</v>
      </c>
      <c r="G148" s="2176">
        <v>131</v>
      </c>
      <c r="H148" s="1264">
        <f t="shared" si="21"/>
        <v>26855</v>
      </c>
      <c r="I148" s="2177">
        <v>32</v>
      </c>
      <c r="J148" s="1264">
        <f t="shared" si="22"/>
        <v>6560</v>
      </c>
      <c r="K148" s="1273">
        <f t="shared" ref="K148:K153" si="25">H148+J148</f>
        <v>33415</v>
      </c>
      <c r="L148" s="2000" t="s">
        <v>2667</v>
      </c>
      <c r="N148" s="1199">
        <v>391.8</v>
      </c>
      <c r="O148" s="1199">
        <f t="shared" si="24"/>
        <v>131</v>
      </c>
    </row>
    <row r="149" spans="1:17" s="1199" customFormat="1" ht="24" customHeight="1">
      <c r="A149" s="1331"/>
      <c r="B149" s="2174" t="s">
        <v>1339</v>
      </c>
      <c r="C149" s="1202"/>
      <c r="D149" s="1202"/>
      <c r="E149" s="1270"/>
      <c r="F149" s="1358" t="s">
        <v>226</v>
      </c>
      <c r="G149" s="2176">
        <v>160</v>
      </c>
      <c r="H149" s="1264">
        <f t="shared" si="21"/>
        <v>0</v>
      </c>
      <c r="I149" s="2177">
        <v>38</v>
      </c>
      <c r="J149" s="1264">
        <f t="shared" si="22"/>
        <v>0</v>
      </c>
      <c r="K149" s="1273">
        <f t="shared" si="25"/>
        <v>0</v>
      </c>
      <c r="L149" s="2000" t="s">
        <v>2667</v>
      </c>
      <c r="N149" s="1199">
        <v>481.2</v>
      </c>
      <c r="O149" s="1199">
        <f t="shared" si="24"/>
        <v>160</v>
      </c>
    </row>
    <row r="150" spans="1:17" s="1199" customFormat="1" ht="24" customHeight="1">
      <c r="A150" s="1331"/>
      <c r="B150" s="2174" t="s">
        <v>1340</v>
      </c>
      <c r="C150" s="1202"/>
      <c r="D150" s="1202"/>
      <c r="E150" s="1270"/>
      <c r="F150" s="1358" t="s">
        <v>226</v>
      </c>
      <c r="G150" s="2176">
        <v>219</v>
      </c>
      <c r="H150" s="1264">
        <f t="shared" si="21"/>
        <v>0</v>
      </c>
      <c r="I150" s="2177">
        <v>42</v>
      </c>
      <c r="J150" s="1264">
        <f t="shared" si="22"/>
        <v>0</v>
      </c>
      <c r="K150" s="1273">
        <f t="shared" si="25"/>
        <v>0</v>
      </c>
      <c r="L150" s="2000" t="s">
        <v>2667</v>
      </c>
      <c r="N150" s="1199">
        <v>657.6</v>
      </c>
      <c r="O150" s="1199">
        <f t="shared" si="24"/>
        <v>219</v>
      </c>
    </row>
    <row r="151" spans="1:17" s="1199" customFormat="1" ht="24" customHeight="1">
      <c r="A151" s="1331"/>
      <c r="B151" s="2174" t="s">
        <v>1341</v>
      </c>
      <c r="C151" s="1202"/>
      <c r="D151" s="1202"/>
      <c r="E151" s="1270"/>
      <c r="F151" s="1358" t="s">
        <v>226</v>
      </c>
      <c r="G151" s="2176">
        <v>352</v>
      </c>
      <c r="H151" s="1264">
        <f t="shared" si="21"/>
        <v>0</v>
      </c>
      <c r="I151" s="2177">
        <v>48</v>
      </c>
      <c r="J151" s="1264">
        <f t="shared" si="22"/>
        <v>0</v>
      </c>
      <c r="K151" s="1273">
        <f t="shared" si="25"/>
        <v>0</v>
      </c>
      <c r="L151" s="1269"/>
    </row>
    <row r="152" spans="1:17" s="1199" customFormat="1" ht="24" customHeight="1">
      <c r="A152" s="1331"/>
      <c r="B152" s="2174" t="s">
        <v>1342</v>
      </c>
      <c r="C152" s="1202"/>
      <c r="D152" s="1202"/>
      <c r="E152" s="1270"/>
      <c r="F152" s="1358" t="s">
        <v>226</v>
      </c>
      <c r="G152" s="2176">
        <v>434</v>
      </c>
      <c r="H152" s="1264">
        <f t="shared" si="21"/>
        <v>0</v>
      </c>
      <c r="I152" s="2177">
        <v>55</v>
      </c>
      <c r="J152" s="1264">
        <f t="shared" si="22"/>
        <v>0</v>
      </c>
      <c r="K152" s="1273">
        <f t="shared" si="25"/>
        <v>0</v>
      </c>
      <c r="L152" s="1269"/>
    </row>
    <row r="153" spans="1:17" s="1199" customFormat="1" ht="24" customHeight="1">
      <c r="A153" s="1331"/>
      <c r="B153" s="2174" t="s">
        <v>1111</v>
      </c>
      <c r="C153" s="1202"/>
      <c r="D153" s="1202"/>
      <c r="E153" s="1270"/>
      <c r="F153" s="1358" t="s">
        <v>226</v>
      </c>
      <c r="G153" s="2176">
        <v>572</v>
      </c>
      <c r="H153" s="1264">
        <f t="shared" si="21"/>
        <v>0</v>
      </c>
      <c r="I153" s="2177">
        <v>65</v>
      </c>
      <c r="J153" s="1264">
        <f t="shared" si="22"/>
        <v>0</v>
      </c>
      <c r="K153" s="1273">
        <f t="shared" si="25"/>
        <v>0</v>
      </c>
      <c r="L153" s="1269"/>
    </row>
    <row r="154" spans="1:17" s="1199" customFormat="1" ht="23.5" customHeight="1">
      <c r="A154" s="1331"/>
      <c r="B154" s="2174" t="s">
        <v>1108</v>
      </c>
      <c r="C154" s="1202"/>
      <c r="D154" s="1202"/>
      <c r="E154" s="1404">
        <v>1</v>
      </c>
      <c r="F154" s="1384" t="s">
        <v>1104</v>
      </c>
      <c r="G154" s="2176">
        <f>ROUND(SUM(H145:H153)*15%,0)</f>
        <v>5828</v>
      </c>
      <c r="H154" s="1264">
        <f t="shared" si="21"/>
        <v>5828</v>
      </c>
      <c r="I154" s="2177">
        <f>ROUND(ROUND(G154*0.3,),0)</f>
        <v>1748</v>
      </c>
      <c r="J154" s="1264">
        <f t="shared" si="22"/>
        <v>1748</v>
      </c>
      <c r="K154" s="1273">
        <f>H154+J154</f>
        <v>7576</v>
      </c>
      <c r="L154" s="1385"/>
      <c r="M154" s="1214"/>
      <c r="N154" s="1214"/>
      <c r="O154" s="1214"/>
      <c r="P154" s="1214"/>
      <c r="Q154" s="1214"/>
    </row>
    <row r="155" spans="1:17" s="1199" customFormat="1" ht="24" customHeight="1">
      <c r="A155" s="1331" t="s">
        <v>1621</v>
      </c>
      <c r="B155" s="2174" t="s">
        <v>1449</v>
      </c>
      <c r="C155" s="1202"/>
      <c r="D155" s="1202"/>
      <c r="E155" s="1404"/>
      <c r="F155" s="1384"/>
      <c r="G155" s="2176"/>
      <c r="H155" s="1264">
        <f t="shared" si="21"/>
        <v>0</v>
      </c>
      <c r="I155" s="2177"/>
      <c r="J155" s="1264">
        <f t="shared" si="22"/>
        <v>0</v>
      </c>
      <c r="K155" s="1385"/>
      <c r="L155" s="1385"/>
      <c r="M155" s="1214"/>
      <c r="N155" s="1214"/>
      <c r="O155" s="1214"/>
      <c r="P155" s="1214"/>
    </row>
    <row r="156" spans="1:17" s="1199" customFormat="1" ht="24" customHeight="1">
      <c r="A156" s="1331"/>
      <c r="B156" s="2174" t="s">
        <v>1350</v>
      </c>
      <c r="C156" s="1202"/>
      <c r="D156" s="1202"/>
      <c r="E156" s="1404">
        <v>14</v>
      </c>
      <c r="F156" s="1358" t="s">
        <v>226</v>
      </c>
      <c r="G156" s="2176">
        <v>14</v>
      </c>
      <c r="H156" s="1264">
        <f t="shared" si="21"/>
        <v>196</v>
      </c>
      <c r="I156" s="2177">
        <v>11</v>
      </c>
      <c r="J156" s="1264">
        <f t="shared" si="22"/>
        <v>154</v>
      </c>
      <c r="K156" s="1273">
        <f>H156+J156</f>
        <v>350</v>
      </c>
      <c r="L156" s="1385"/>
      <c r="M156" s="1214"/>
      <c r="N156" s="1214"/>
      <c r="O156" s="1214"/>
      <c r="P156" s="1214"/>
    </row>
    <row r="157" spans="1:17" s="1199" customFormat="1" ht="24" customHeight="1">
      <c r="A157" s="1331"/>
      <c r="B157" s="2174" t="s">
        <v>1117</v>
      </c>
      <c r="C157" s="1202"/>
      <c r="D157" s="1202"/>
      <c r="E157" s="1387"/>
      <c r="F157" s="1384"/>
      <c r="G157" s="2176"/>
      <c r="H157" s="1388"/>
      <c r="I157" s="2177"/>
      <c r="J157" s="1385"/>
      <c r="K157" s="1385"/>
      <c r="L157" s="1385"/>
      <c r="M157" s="1214"/>
      <c r="N157" s="1214"/>
      <c r="O157" s="1214"/>
      <c r="P157" s="1214"/>
    </row>
    <row r="158" spans="1:17" s="1199" customFormat="1" ht="24" customHeight="1">
      <c r="A158" s="1331"/>
      <c r="B158" s="2174" t="s">
        <v>1118</v>
      </c>
      <c r="C158" s="1202"/>
      <c r="D158" s="1202"/>
      <c r="E158" s="1387"/>
      <c r="F158" s="1384"/>
      <c r="G158" s="2176"/>
      <c r="H158" s="1388"/>
      <c r="I158" s="2177"/>
      <c r="J158" s="1385"/>
      <c r="K158" s="1385"/>
      <c r="L158" s="1385"/>
      <c r="M158" s="1214"/>
      <c r="N158" s="1214"/>
      <c r="O158" s="1214"/>
      <c r="P158" s="1214"/>
    </row>
    <row r="159" spans="1:17" s="1199" customFormat="1" ht="24" customHeight="1">
      <c r="A159" s="1331"/>
      <c r="B159" s="2174" t="s">
        <v>1118</v>
      </c>
      <c r="C159" s="1202"/>
      <c r="D159" s="1202"/>
      <c r="E159" s="1387"/>
      <c r="F159" s="1384"/>
      <c r="G159" s="2176"/>
      <c r="H159" s="1388"/>
      <c r="I159" s="2177"/>
      <c r="J159" s="1385"/>
      <c r="K159" s="1385"/>
      <c r="L159" s="1385"/>
      <c r="M159" s="1214"/>
      <c r="N159" s="1214"/>
      <c r="O159" s="1214"/>
      <c r="P159" s="1214"/>
    </row>
    <row r="160" spans="1:17" s="1199" customFormat="1" ht="24" customHeight="1">
      <c r="A160" s="1440"/>
      <c r="B160" s="1441"/>
      <c r="C160" s="1442"/>
      <c r="D160" s="1442"/>
      <c r="E160" s="1443"/>
      <c r="F160" s="1507"/>
      <c r="G160" s="1445"/>
      <c r="H160" s="1446"/>
      <c r="I160" s="1447"/>
      <c r="J160" s="1448"/>
      <c r="K160" s="1448"/>
      <c r="L160" s="1448"/>
      <c r="M160" s="1214"/>
      <c r="N160" s="1214"/>
      <c r="O160" s="1214"/>
      <c r="P160" s="1214"/>
    </row>
    <row r="161" spans="1:16" s="1199" customFormat="1" ht="24" customHeight="1">
      <c r="A161" s="1243"/>
      <c r="B161" s="2257" t="str">
        <f>"รวมราคารายการที่ "&amp;A140</f>
        <v>รวมราคารายการที่ 3.5</v>
      </c>
      <c r="C161" s="2258"/>
      <c r="D161" s="2259"/>
      <c r="E161" s="1244"/>
      <c r="F161" s="1245"/>
      <c r="G161" s="1246"/>
      <c r="H161" s="1247">
        <f>SUM(H141:H159)</f>
        <v>48295</v>
      </c>
      <c r="I161" s="1246"/>
      <c r="J161" s="1247">
        <f>SUM(J141:J159)</f>
        <v>15656</v>
      </c>
      <c r="K161" s="1247">
        <f>SUM(K141:K159)</f>
        <v>63951</v>
      </c>
      <c r="L161" s="1245"/>
      <c r="M161" s="1214"/>
      <c r="N161" s="1214"/>
      <c r="O161" s="1214"/>
      <c r="P161" s="1214"/>
    </row>
    <row r="162" spans="1:16" s="1199" customFormat="1" ht="24" customHeight="1">
      <c r="A162" s="1435" t="s">
        <v>1465</v>
      </c>
      <c r="B162" s="1436" t="s">
        <v>1451</v>
      </c>
      <c r="C162" s="1202"/>
      <c r="D162" s="1202"/>
      <c r="E162" s="1387"/>
      <c r="F162" s="1384"/>
      <c r="G162" s="2176"/>
      <c r="H162" s="1388"/>
      <c r="I162" s="2177"/>
      <c r="J162" s="1385"/>
      <c r="K162" s="1385"/>
      <c r="L162" s="1385"/>
      <c r="M162" s="1214"/>
      <c r="N162" s="1214"/>
      <c r="O162" s="1214"/>
      <c r="P162" s="1214"/>
    </row>
    <row r="163" spans="1:16" s="1199" customFormat="1" ht="24" customHeight="1">
      <c r="A163" s="1331" t="s">
        <v>1207</v>
      </c>
      <c r="B163" s="2174" t="s">
        <v>1451</v>
      </c>
      <c r="C163" s="1202"/>
      <c r="D163" s="1202"/>
      <c r="E163" s="1387"/>
      <c r="F163" s="1384"/>
      <c r="G163" s="2176"/>
      <c r="H163" s="1388"/>
      <c r="I163" s="2177"/>
      <c r="J163" s="1385"/>
      <c r="K163" s="1385"/>
      <c r="L163" s="1385"/>
      <c r="M163" s="1214"/>
      <c r="N163" s="1214"/>
      <c r="O163" s="1214"/>
      <c r="P163" s="1214"/>
    </row>
    <row r="164" spans="1:16" s="1199" customFormat="1" ht="24" customHeight="1">
      <c r="A164" s="1331"/>
      <c r="B164" s="2174" t="s">
        <v>1452</v>
      </c>
      <c r="C164" s="1202"/>
      <c r="D164" s="1202"/>
      <c r="E164" s="1387">
        <v>6</v>
      </c>
      <c r="F164" s="1207" t="s">
        <v>363</v>
      </c>
      <c r="G164" s="2176">
        <v>90</v>
      </c>
      <c r="H164" s="1264">
        <f t="shared" ref="H164:H171" si="26">ROUND(E164*G164,)</f>
        <v>540</v>
      </c>
      <c r="I164" s="2177">
        <v>80</v>
      </c>
      <c r="J164" s="1264">
        <f t="shared" ref="J164:J171" si="27">ROUND(E164*I164,)</f>
        <v>480</v>
      </c>
      <c r="K164" s="1273">
        <f t="shared" ref="K164:K171" si="28">H164+J164</f>
        <v>1020</v>
      </c>
      <c r="L164" s="1389"/>
      <c r="M164" s="1214"/>
      <c r="N164" s="1214"/>
      <c r="O164" s="1214"/>
    </row>
    <row r="165" spans="1:16" s="1199" customFormat="1" ht="24" customHeight="1">
      <c r="A165" s="1331"/>
      <c r="B165" s="2174" t="s">
        <v>1453</v>
      </c>
      <c r="C165" s="1202"/>
      <c r="D165" s="1202"/>
      <c r="E165" s="1387"/>
      <c r="F165" s="1207" t="s">
        <v>363</v>
      </c>
      <c r="G165" s="2176">
        <v>130</v>
      </c>
      <c r="H165" s="1264">
        <f t="shared" si="26"/>
        <v>0</v>
      </c>
      <c r="I165" s="2177">
        <v>90</v>
      </c>
      <c r="J165" s="1264">
        <f t="shared" si="27"/>
        <v>0</v>
      </c>
      <c r="K165" s="1273">
        <f t="shared" si="28"/>
        <v>0</v>
      </c>
      <c r="L165" s="1389"/>
      <c r="M165" s="1214"/>
      <c r="N165" s="1214"/>
      <c r="O165" s="1214"/>
    </row>
    <row r="166" spans="1:16" s="1199" customFormat="1" ht="24" customHeight="1">
      <c r="A166" s="1331"/>
      <c r="B166" s="2174" t="s">
        <v>1454</v>
      </c>
      <c r="C166" s="1202"/>
      <c r="D166" s="1202"/>
      <c r="E166" s="1387"/>
      <c r="F166" s="1207" t="s">
        <v>363</v>
      </c>
      <c r="G166" s="2176">
        <v>240</v>
      </c>
      <c r="H166" s="1264">
        <f t="shared" si="26"/>
        <v>0</v>
      </c>
      <c r="I166" s="2177">
        <v>90</v>
      </c>
      <c r="J166" s="1264">
        <f t="shared" si="27"/>
        <v>0</v>
      </c>
      <c r="K166" s="1273">
        <f t="shared" si="28"/>
        <v>0</v>
      </c>
      <c r="L166" s="1389"/>
      <c r="M166" s="1214"/>
      <c r="N166" s="1214"/>
      <c r="O166" s="1214"/>
    </row>
    <row r="167" spans="1:16" s="1199" customFormat="1" ht="24" customHeight="1">
      <c r="A167" s="1331"/>
      <c r="B167" s="2174" t="s">
        <v>1455</v>
      </c>
      <c r="C167" s="1202"/>
      <c r="D167" s="1202"/>
      <c r="E167" s="1387"/>
      <c r="F167" s="1207" t="s">
        <v>363</v>
      </c>
      <c r="G167" s="2176">
        <v>162</v>
      </c>
      <c r="H167" s="1264">
        <f t="shared" si="26"/>
        <v>0</v>
      </c>
      <c r="I167" s="2177">
        <v>90</v>
      </c>
      <c r="J167" s="1264">
        <f t="shared" si="27"/>
        <v>0</v>
      </c>
      <c r="K167" s="1273">
        <f t="shared" si="28"/>
        <v>0</v>
      </c>
      <c r="L167" s="1389"/>
      <c r="M167" s="1214"/>
      <c r="N167" s="1214"/>
      <c r="O167" s="1214"/>
    </row>
    <row r="168" spans="1:16" s="1199" customFormat="1" ht="24" customHeight="1">
      <c r="A168" s="1331"/>
      <c r="B168" s="2174" t="s">
        <v>1456</v>
      </c>
      <c r="C168" s="1202"/>
      <c r="D168" s="1202"/>
      <c r="E168" s="1387">
        <v>8</v>
      </c>
      <c r="F168" s="1207" t="s">
        <v>363</v>
      </c>
      <c r="G168" s="2176">
        <v>197</v>
      </c>
      <c r="H168" s="1264">
        <f t="shared" si="26"/>
        <v>1576</v>
      </c>
      <c r="I168" s="2177">
        <v>90</v>
      </c>
      <c r="J168" s="1264">
        <f t="shared" si="27"/>
        <v>720</v>
      </c>
      <c r="K168" s="1273">
        <f t="shared" si="28"/>
        <v>2296</v>
      </c>
      <c r="L168" s="1389"/>
      <c r="M168" s="1214"/>
      <c r="N168" s="1214"/>
      <c r="O168" s="1214"/>
    </row>
    <row r="169" spans="1:16" s="1199" customFormat="1" ht="24" customHeight="1">
      <c r="A169" s="1331"/>
      <c r="B169" s="2174" t="s">
        <v>1457</v>
      </c>
      <c r="C169" s="1202"/>
      <c r="D169" s="1202"/>
      <c r="E169" s="1387"/>
      <c r="F169" s="1207" t="s">
        <v>363</v>
      </c>
      <c r="G169" s="2176">
        <v>1500</v>
      </c>
      <c r="H169" s="1264">
        <f t="shared" si="26"/>
        <v>0</v>
      </c>
      <c r="I169" s="2177">
        <v>265</v>
      </c>
      <c r="J169" s="1264">
        <f t="shared" si="27"/>
        <v>0</v>
      </c>
      <c r="K169" s="1385">
        <f t="shared" si="28"/>
        <v>0</v>
      </c>
      <c r="L169" s="1389"/>
      <c r="M169" s="1214"/>
      <c r="N169" s="1214"/>
      <c r="O169" s="1214"/>
    </row>
    <row r="170" spans="1:16" s="1199" customFormat="1" ht="24" customHeight="1">
      <c r="A170" s="1331"/>
      <c r="B170" s="2174" t="s">
        <v>1458</v>
      </c>
      <c r="C170" s="1202"/>
      <c r="D170" s="1202"/>
      <c r="E170" s="1387"/>
      <c r="F170" s="1207" t="s">
        <v>363</v>
      </c>
      <c r="G170" s="2176">
        <v>518</v>
      </c>
      <c r="H170" s="1264">
        <f t="shared" si="26"/>
        <v>0</v>
      </c>
      <c r="I170" s="2177">
        <v>115</v>
      </c>
      <c r="J170" s="1264">
        <f t="shared" si="27"/>
        <v>0</v>
      </c>
      <c r="K170" s="1273">
        <f t="shared" si="28"/>
        <v>0</v>
      </c>
      <c r="L170" s="1389"/>
      <c r="M170" s="1214"/>
      <c r="N170" s="1214"/>
      <c r="O170" s="1214"/>
    </row>
    <row r="171" spans="1:16" s="1199" customFormat="1" ht="24" customHeight="1">
      <c r="A171" s="1331"/>
      <c r="B171" s="2174" t="s">
        <v>1459</v>
      </c>
      <c r="C171" s="1202"/>
      <c r="D171" s="1202"/>
      <c r="E171" s="1387"/>
      <c r="F171" s="1207" t="s">
        <v>363</v>
      </c>
      <c r="G171" s="2176">
        <v>850</v>
      </c>
      <c r="H171" s="1264">
        <f t="shared" si="26"/>
        <v>0</v>
      </c>
      <c r="I171" s="2177">
        <v>265</v>
      </c>
      <c r="J171" s="1264">
        <f t="shared" si="27"/>
        <v>0</v>
      </c>
      <c r="K171" s="1273">
        <f t="shared" si="28"/>
        <v>0</v>
      </c>
      <c r="L171" s="1389"/>
      <c r="M171" s="1214"/>
      <c r="N171" s="1214"/>
      <c r="O171" s="1214"/>
    </row>
    <row r="172" spans="1:16" s="1199" customFormat="1" ht="24" customHeight="1">
      <c r="A172" s="1331" t="s">
        <v>1229</v>
      </c>
      <c r="B172" s="2174" t="s">
        <v>1460</v>
      </c>
      <c r="C172" s="1202"/>
      <c r="D172" s="1202"/>
      <c r="E172" s="1387">
        <v>2</v>
      </c>
      <c r="F172" s="1207" t="s">
        <v>363</v>
      </c>
      <c r="G172" s="2176">
        <v>130</v>
      </c>
      <c r="H172" s="1264">
        <f>ROUND(E172*G172,)</f>
        <v>260</v>
      </c>
      <c r="I172" s="2177">
        <v>90</v>
      </c>
      <c r="J172" s="1264">
        <f>ROUND(E172*I172,)</f>
        <v>180</v>
      </c>
      <c r="K172" s="1273">
        <f>H172+J172</f>
        <v>440</v>
      </c>
      <c r="L172" s="1385"/>
      <c r="M172" s="1214"/>
      <c r="N172" s="1214"/>
      <c r="O172" s="1214"/>
      <c r="P172" s="1214"/>
    </row>
    <row r="173" spans="1:16" s="1199" customFormat="1" ht="24" customHeight="1">
      <c r="A173" s="1331"/>
      <c r="B173" s="2174" t="s">
        <v>1117</v>
      </c>
      <c r="C173" s="1202"/>
      <c r="D173" s="1202"/>
      <c r="E173" s="1387"/>
      <c r="F173" s="1384"/>
      <c r="G173" s="2176"/>
      <c r="H173" s="1388"/>
      <c r="I173" s="2177"/>
      <c r="J173" s="1385"/>
      <c r="K173" s="1385"/>
      <c r="L173" s="1385"/>
      <c r="M173" s="1214"/>
      <c r="N173" s="1214"/>
      <c r="O173" s="1214"/>
      <c r="P173" s="1214"/>
    </row>
    <row r="174" spans="1:16" s="1199" customFormat="1" ht="24" customHeight="1">
      <c r="A174" s="1331"/>
      <c r="B174" s="2174" t="s">
        <v>1118</v>
      </c>
      <c r="C174" s="1202"/>
      <c r="D174" s="1202"/>
      <c r="E174" s="1387"/>
      <c r="F174" s="1384"/>
      <c r="G174" s="2176"/>
      <c r="H174" s="1388"/>
      <c r="I174" s="2177"/>
      <c r="J174" s="1385"/>
      <c r="K174" s="1385"/>
      <c r="L174" s="1385"/>
      <c r="M174" s="1214"/>
      <c r="N174" s="1214"/>
      <c r="O174" s="1214"/>
      <c r="P174" s="1214"/>
    </row>
    <row r="175" spans="1:16" s="1199" customFormat="1" ht="24" customHeight="1">
      <c r="A175" s="1331"/>
      <c r="B175" s="2174" t="s">
        <v>1369</v>
      </c>
      <c r="C175" s="1202"/>
      <c r="D175" s="1202"/>
      <c r="E175" s="1404"/>
      <c r="F175" s="1384"/>
      <c r="G175" s="2176"/>
      <c r="H175" s="1388"/>
      <c r="I175" s="2177"/>
      <c r="J175" s="1385"/>
      <c r="K175" s="1385"/>
      <c r="L175" s="1385"/>
      <c r="M175" s="1214"/>
      <c r="N175" s="1214"/>
      <c r="O175" s="1214"/>
      <c r="P175" s="1214"/>
    </row>
    <row r="176" spans="1:16" s="1199" customFormat="1" ht="24" customHeight="1">
      <c r="A176" s="1331"/>
      <c r="B176" s="2174"/>
      <c r="C176" s="1202"/>
      <c r="D176" s="1202"/>
      <c r="E176" s="1517"/>
      <c r="F176" s="1507"/>
      <c r="G176" s="1445"/>
      <c r="H176" s="1446"/>
      <c r="I176" s="1447"/>
      <c r="J176" s="1448"/>
      <c r="K176" s="1448"/>
      <c r="L176" s="1448"/>
      <c r="M176" s="1214"/>
      <c r="N176" s="1214"/>
      <c r="O176" s="1214"/>
      <c r="P176" s="1214"/>
    </row>
    <row r="177" spans="1:16" s="1199" customFormat="1" ht="24" customHeight="1">
      <c r="A177" s="1331"/>
      <c r="B177" s="2174"/>
      <c r="C177" s="1202"/>
      <c r="D177" s="1202"/>
      <c r="E177" s="1443"/>
      <c r="F177" s="1507"/>
      <c r="G177" s="1445"/>
      <c r="H177" s="1446"/>
      <c r="I177" s="1447"/>
      <c r="J177" s="1448"/>
      <c r="K177" s="1448"/>
      <c r="L177" s="1448"/>
      <c r="M177" s="1214"/>
      <c r="N177" s="1214"/>
      <c r="O177" s="1214"/>
      <c r="P177" s="1214"/>
    </row>
    <row r="178" spans="1:16" s="1199" customFormat="1" ht="24" customHeight="1">
      <c r="A178" s="1243"/>
      <c r="B178" s="2257" t="str">
        <f>"รวมราคารายการที่ "&amp;A162</f>
        <v>รวมราคารายการที่ 3.6</v>
      </c>
      <c r="C178" s="2258"/>
      <c r="D178" s="2259"/>
      <c r="E178" s="1244"/>
      <c r="F178" s="1245"/>
      <c r="G178" s="1246"/>
      <c r="H178" s="1247">
        <f>SUM(H163:H174)</f>
        <v>2376</v>
      </c>
      <c r="I178" s="1246"/>
      <c r="J178" s="1247">
        <f t="shared" ref="J178:K178" si="29">SUM(J163:J174)</f>
        <v>1380</v>
      </c>
      <c r="K178" s="1247">
        <f t="shared" si="29"/>
        <v>3756</v>
      </c>
      <c r="L178" s="1245"/>
      <c r="M178" s="1214"/>
      <c r="N178" s="1214"/>
      <c r="O178" s="1214"/>
      <c r="P178" s="1214"/>
    </row>
    <row r="179" spans="1:16" s="1199" customFormat="1" ht="24" customHeight="1">
      <c r="A179" s="1435" t="s">
        <v>1490</v>
      </c>
      <c r="B179" s="1436" t="s">
        <v>1466</v>
      </c>
      <c r="C179" s="1202"/>
      <c r="D179" s="1202"/>
      <c r="E179" s="1387"/>
      <c r="F179" s="1207"/>
      <c r="G179" s="2176"/>
      <c r="H179" s="1264"/>
      <c r="I179" s="2177"/>
      <c r="J179" s="1264"/>
      <c r="K179" s="1273"/>
      <c r="L179" s="1385"/>
      <c r="M179" s="1214"/>
      <c r="N179" s="1214"/>
      <c r="O179" s="1214"/>
      <c r="P179" s="1214"/>
    </row>
    <row r="180" spans="1:16" s="1199" customFormat="1" ht="24" customHeight="1">
      <c r="A180" s="1339"/>
      <c r="B180" s="1259" t="s">
        <v>1467</v>
      </c>
      <c r="C180" s="1202"/>
      <c r="D180" s="1202"/>
      <c r="E180" s="1404">
        <v>12</v>
      </c>
      <c r="F180" s="1267" t="s">
        <v>363</v>
      </c>
      <c r="G180" s="1386">
        <v>420</v>
      </c>
      <c r="H180" s="1343">
        <f t="shared" ref="H180:H203" si="30">ROUND(E180*G180,)</f>
        <v>5040</v>
      </c>
      <c r="I180" s="1414">
        <v>115</v>
      </c>
      <c r="J180" s="1343">
        <f t="shared" ref="J180:J203" si="31">ROUND(E180*I180,)</f>
        <v>1380</v>
      </c>
      <c r="K180" s="1262">
        <f t="shared" ref="K180:K203" si="32">H180+J180</f>
        <v>6420</v>
      </c>
      <c r="L180" s="1415"/>
      <c r="M180" s="1214"/>
      <c r="N180" s="1214"/>
      <c r="O180" s="1214"/>
      <c r="P180" s="1214"/>
    </row>
    <row r="181" spans="1:16" s="1199" customFormat="1" ht="24" customHeight="1">
      <c r="A181" s="1339"/>
      <c r="B181" s="1259" t="s">
        <v>1468</v>
      </c>
      <c r="C181" s="1202"/>
      <c r="D181" s="1202"/>
      <c r="E181" s="1404">
        <v>4</v>
      </c>
      <c r="F181" s="1267" t="s">
        <v>363</v>
      </c>
      <c r="G181" s="1386">
        <v>500</v>
      </c>
      <c r="H181" s="1343">
        <f t="shared" si="30"/>
        <v>2000</v>
      </c>
      <c r="I181" s="1414">
        <v>115</v>
      </c>
      <c r="J181" s="1343">
        <f t="shared" si="31"/>
        <v>460</v>
      </c>
      <c r="K181" s="1262">
        <f t="shared" si="32"/>
        <v>2460</v>
      </c>
      <c r="L181" s="1415"/>
      <c r="M181" s="1214"/>
      <c r="N181" s="1214"/>
      <c r="O181" s="1214"/>
      <c r="P181" s="1214"/>
    </row>
    <row r="182" spans="1:16" s="1199" customFormat="1" ht="24" customHeight="1">
      <c r="A182" s="1339"/>
      <c r="B182" s="1259" t="s">
        <v>1469</v>
      </c>
      <c r="C182" s="1202"/>
      <c r="D182" s="1202"/>
      <c r="E182" s="1404"/>
      <c r="F182" s="1267" t="s">
        <v>363</v>
      </c>
      <c r="G182" s="1386">
        <v>550</v>
      </c>
      <c r="H182" s="1343">
        <f t="shared" si="30"/>
        <v>0</v>
      </c>
      <c r="I182" s="1414">
        <v>115</v>
      </c>
      <c r="J182" s="1343">
        <f t="shared" si="31"/>
        <v>0</v>
      </c>
      <c r="K182" s="1262">
        <f t="shared" si="32"/>
        <v>0</v>
      </c>
      <c r="L182" s="1415"/>
      <c r="M182" s="1214"/>
      <c r="N182" s="1214"/>
      <c r="O182" s="1214"/>
      <c r="P182" s="1214"/>
    </row>
    <row r="183" spans="1:16" s="1199" customFormat="1" ht="24" customHeight="1">
      <c r="A183" s="1339"/>
      <c r="B183" s="1259" t="s">
        <v>1470</v>
      </c>
      <c r="C183" s="1202"/>
      <c r="D183" s="1202"/>
      <c r="E183" s="1404"/>
      <c r="F183" s="1267" t="s">
        <v>363</v>
      </c>
      <c r="G183" s="1386">
        <v>750</v>
      </c>
      <c r="H183" s="1343">
        <f t="shared" si="30"/>
        <v>0</v>
      </c>
      <c r="I183" s="1414">
        <v>135</v>
      </c>
      <c r="J183" s="1343">
        <f t="shared" si="31"/>
        <v>0</v>
      </c>
      <c r="K183" s="1262">
        <f t="shared" si="32"/>
        <v>0</v>
      </c>
      <c r="L183" s="1415"/>
      <c r="M183" s="1214"/>
      <c r="N183" s="1214"/>
      <c r="O183" s="1214"/>
      <c r="P183" s="1214"/>
    </row>
    <row r="184" spans="1:16" s="1199" customFormat="1" ht="24" customHeight="1">
      <c r="A184" s="1339"/>
      <c r="B184" s="1259" t="s">
        <v>1471</v>
      </c>
      <c r="C184" s="1202"/>
      <c r="D184" s="1202"/>
      <c r="E184" s="1404"/>
      <c r="F184" s="1267" t="s">
        <v>363</v>
      </c>
      <c r="G184" s="1386">
        <v>1550</v>
      </c>
      <c r="H184" s="1343">
        <f t="shared" si="30"/>
        <v>0</v>
      </c>
      <c r="I184" s="1414">
        <v>135</v>
      </c>
      <c r="J184" s="1343">
        <f t="shared" si="31"/>
        <v>0</v>
      </c>
      <c r="K184" s="1262">
        <f t="shared" si="32"/>
        <v>0</v>
      </c>
      <c r="L184" s="1415"/>
      <c r="M184" s="1214"/>
      <c r="N184" s="1214"/>
      <c r="O184" s="1214"/>
      <c r="P184" s="1214"/>
    </row>
    <row r="185" spans="1:16" s="1199" customFormat="1" ht="24" customHeight="1">
      <c r="A185" s="1339"/>
      <c r="B185" s="1259" t="s">
        <v>1472</v>
      </c>
      <c r="C185" s="1202"/>
      <c r="D185" s="1202"/>
      <c r="E185" s="1404"/>
      <c r="F185" s="1267" t="s">
        <v>363</v>
      </c>
      <c r="G185" s="1386">
        <v>2090</v>
      </c>
      <c r="H185" s="1343">
        <f t="shared" si="30"/>
        <v>0</v>
      </c>
      <c r="I185" s="1414">
        <v>135</v>
      </c>
      <c r="J185" s="1343">
        <f t="shared" si="31"/>
        <v>0</v>
      </c>
      <c r="K185" s="1262">
        <f t="shared" si="32"/>
        <v>0</v>
      </c>
      <c r="L185" s="1415"/>
      <c r="M185" s="1214"/>
      <c r="N185" s="1214"/>
      <c r="O185" s="1214"/>
      <c r="P185" s="1214"/>
    </row>
    <row r="186" spans="1:16" s="1199" customFormat="1" ht="24" customHeight="1">
      <c r="A186" s="1339"/>
      <c r="B186" s="1259" t="s">
        <v>1473</v>
      </c>
      <c r="C186" s="1202"/>
      <c r="D186" s="1202"/>
      <c r="E186" s="1404"/>
      <c r="F186" s="1267" t="s">
        <v>363</v>
      </c>
      <c r="G186" s="1386">
        <v>3750</v>
      </c>
      <c r="H186" s="1343">
        <f t="shared" si="30"/>
        <v>0</v>
      </c>
      <c r="I186" s="1414">
        <v>135</v>
      </c>
      <c r="J186" s="1343">
        <f t="shared" si="31"/>
        <v>0</v>
      </c>
      <c r="K186" s="1262">
        <f t="shared" si="32"/>
        <v>0</v>
      </c>
      <c r="L186" s="1415"/>
      <c r="M186" s="1214"/>
      <c r="N186" s="1214"/>
      <c r="O186" s="1214"/>
      <c r="P186" s="1214"/>
    </row>
    <row r="187" spans="1:16" s="1199" customFormat="1" ht="24" customHeight="1">
      <c r="A187" s="1339"/>
      <c r="B187" s="1259" t="s">
        <v>1474</v>
      </c>
      <c r="C187" s="1202"/>
      <c r="D187" s="1202"/>
      <c r="E187" s="1404"/>
      <c r="F187" s="1267" t="s">
        <v>363</v>
      </c>
      <c r="G187" s="1386">
        <v>2450</v>
      </c>
      <c r="H187" s="1343">
        <f t="shared" si="30"/>
        <v>0</v>
      </c>
      <c r="I187" s="1414">
        <v>135</v>
      </c>
      <c r="J187" s="1343">
        <f t="shared" si="31"/>
        <v>0</v>
      </c>
      <c r="K187" s="1262">
        <f t="shared" si="32"/>
        <v>0</v>
      </c>
      <c r="L187" s="1415"/>
      <c r="M187" s="1214"/>
      <c r="N187" s="1214"/>
      <c r="O187" s="1214"/>
      <c r="P187" s="1214"/>
    </row>
    <row r="188" spans="1:16" s="1199" customFormat="1" ht="24" customHeight="1">
      <c r="A188" s="1339"/>
      <c r="B188" s="1259" t="s">
        <v>1475</v>
      </c>
      <c r="C188" s="1202"/>
      <c r="D188" s="1202"/>
      <c r="E188" s="1404"/>
      <c r="F188" s="1267" t="s">
        <v>363</v>
      </c>
      <c r="G188" s="1386">
        <v>1860</v>
      </c>
      <c r="H188" s="1343">
        <f t="shared" si="30"/>
        <v>0</v>
      </c>
      <c r="I188" s="1414">
        <v>135</v>
      </c>
      <c r="J188" s="1343">
        <f t="shared" si="31"/>
        <v>0</v>
      </c>
      <c r="K188" s="1262">
        <f t="shared" si="32"/>
        <v>0</v>
      </c>
      <c r="L188" s="1415"/>
      <c r="M188" s="1214"/>
      <c r="N188" s="1214"/>
      <c r="O188" s="1214"/>
      <c r="P188" s="1214"/>
    </row>
    <row r="189" spans="1:16" s="1199" customFormat="1" ht="24" customHeight="1">
      <c r="A189" s="1339"/>
      <c r="B189" s="1259" t="s">
        <v>1476</v>
      </c>
      <c r="C189" s="1202"/>
      <c r="D189" s="1202"/>
      <c r="E189" s="1404"/>
      <c r="F189" s="1267" t="s">
        <v>363</v>
      </c>
      <c r="G189" s="1386">
        <v>1200</v>
      </c>
      <c r="H189" s="1343">
        <f t="shared" si="30"/>
        <v>0</v>
      </c>
      <c r="I189" s="1414">
        <v>135</v>
      </c>
      <c r="J189" s="1343">
        <f t="shared" si="31"/>
        <v>0</v>
      </c>
      <c r="K189" s="1262">
        <f t="shared" si="32"/>
        <v>0</v>
      </c>
      <c r="L189" s="1415"/>
      <c r="M189" s="1214"/>
      <c r="N189" s="1214"/>
      <c r="O189" s="1214"/>
      <c r="P189" s="1214"/>
    </row>
    <row r="190" spans="1:16" s="1199" customFormat="1" ht="24" customHeight="1">
      <c r="A190" s="1339"/>
      <c r="B190" s="1259" t="s">
        <v>1477</v>
      </c>
      <c r="C190" s="1202"/>
      <c r="D190" s="1202"/>
      <c r="E190" s="1404"/>
      <c r="F190" s="1267" t="s">
        <v>363</v>
      </c>
      <c r="G190" s="1386">
        <v>1450</v>
      </c>
      <c r="H190" s="1343">
        <f t="shared" si="30"/>
        <v>0</v>
      </c>
      <c r="I190" s="1414">
        <v>135</v>
      </c>
      <c r="J190" s="1343">
        <f t="shared" si="31"/>
        <v>0</v>
      </c>
      <c r="K190" s="1262">
        <f t="shared" si="32"/>
        <v>0</v>
      </c>
      <c r="L190" s="1415"/>
      <c r="M190" s="1214"/>
      <c r="N190" s="1214"/>
      <c r="O190" s="1214"/>
      <c r="P190" s="1214"/>
    </row>
    <row r="191" spans="1:16" s="1199" customFormat="1" ht="24" customHeight="1">
      <c r="A191" s="1339"/>
      <c r="B191" s="1259" t="s">
        <v>1478</v>
      </c>
      <c r="C191" s="1202"/>
      <c r="D191" s="1202"/>
      <c r="E191" s="1404"/>
      <c r="F191" s="1267" t="s">
        <v>363</v>
      </c>
      <c r="G191" s="1386">
        <v>1250</v>
      </c>
      <c r="H191" s="1343">
        <f t="shared" si="30"/>
        <v>0</v>
      </c>
      <c r="I191" s="1414">
        <v>135</v>
      </c>
      <c r="J191" s="1343">
        <f t="shared" si="31"/>
        <v>0</v>
      </c>
      <c r="K191" s="1262">
        <f t="shared" si="32"/>
        <v>0</v>
      </c>
      <c r="L191" s="1415"/>
      <c r="M191" s="1214"/>
      <c r="N191" s="1214"/>
      <c r="O191" s="1214"/>
      <c r="P191" s="1214"/>
    </row>
    <row r="192" spans="1:16" s="1199" customFormat="1" ht="24" customHeight="1">
      <c r="A192" s="1339"/>
      <c r="B192" s="1259" t="s">
        <v>1479</v>
      </c>
      <c r="C192" s="1202"/>
      <c r="D192" s="1202"/>
      <c r="E192" s="1404"/>
      <c r="F192" s="1267" t="s">
        <v>363</v>
      </c>
      <c r="G192" s="1386">
        <v>650</v>
      </c>
      <c r="H192" s="1343">
        <f t="shared" si="30"/>
        <v>0</v>
      </c>
      <c r="I192" s="1414">
        <v>20</v>
      </c>
      <c r="J192" s="1343">
        <f t="shared" si="31"/>
        <v>0</v>
      </c>
      <c r="K192" s="1262">
        <f t="shared" si="32"/>
        <v>0</v>
      </c>
      <c r="L192" s="1415"/>
      <c r="M192" s="1214"/>
      <c r="N192" s="1214"/>
      <c r="O192" s="1214"/>
      <c r="P192" s="1214"/>
    </row>
    <row r="193" spans="1:17" s="1199" customFormat="1" ht="24" customHeight="1">
      <c r="A193" s="1339"/>
      <c r="B193" s="1259" t="s">
        <v>1480</v>
      </c>
      <c r="C193" s="1202"/>
      <c r="D193" s="1202"/>
      <c r="E193" s="1404"/>
      <c r="F193" s="1267" t="s">
        <v>363</v>
      </c>
      <c r="G193" s="1386">
        <v>2565</v>
      </c>
      <c r="H193" s="1343">
        <f t="shared" si="30"/>
        <v>0</v>
      </c>
      <c r="I193" s="1414">
        <v>135</v>
      </c>
      <c r="J193" s="1343">
        <f t="shared" si="31"/>
        <v>0</v>
      </c>
      <c r="K193" s="1262">
        <f t="shared" si="32"/>
        <v>0</v>
      </c>
      <c r="L193" s="1415"/>
      <c r="M193" s="1214"/>
      <c r="N193" s="1214"/>
      <c r="O193" s="1214"/>
      <c r="P193" s="1214"/>
    </row>
    <row r="194" spans="1:17" s="1199" customFormat="1" ht="24" customHeight="1">
      <c r="A194" s="1339"/>
      <c r="B194" s="1259" t="s">
        <v>1481</v>
      </c>
      <c r="C194" s="1202"/>
      <c r="D194" s="1202"/>
      <c r="E194" s="1404"/>
      <c r="F194" s="1267" t="s">
        <v>363</v>
      </c>
      <c r="G194" s="1386">
        <v>1200</v>
      </c>
      <c r="H194" s="1343">
        <f t="shared" si="30"/>
        <v>0</v>
      </c>
      <c r="I194" s="1414">
        <v>135</v>
      </c>
      <c r="J194" s="1343">
        <f t="shared" si="31"/>
        <v>0</v>
      </c>
      <c r="K194" s="1262">
        <f t="shared" si="32"/>
        <v>0</v>
      </c>
      <c r="L194" s="1415"/>
      <c r="M194" s="1214"/>
      <c r="N194" s="1214"/>
      <c r="O194" s="1214"/>
      <c r="P194" s="1214"/>
    </row>
    <row r="195" spans="1:17" s="1199" customFormat="1" ht="24" customHeight="1">
      <c r="A195" s="1339"/>
      <c r="B195" s="1259" t="s">
        <v>1482</v>
      </c>
      <c r="C195" s="1202"/>
      <c r="D195" s="1202"/>
      <c r="E195" s="1404"/>
      <c r="F195" s="1267" t="s">
        <v>363</v>
      </c>
      <c r="G195" s="1386">
        <v>1200</v>
      </c>
      <c r="H195" s="1343">
        <f t="shared" si="30"/>
        <v>0</v>
      </c>
      <c r="I195" s="1414">
        <v>135</v>
      </c>
      <c r="J195" s="1343">
        <f t="shared" si="31"/>
        <v>0</v>
      </c>
      <c r="K195" s="1262">
        <f t="shared" si="32"/>
        <v>0</v>
      </c>
      <c r="L195" s="1415"/>
      <c r="M195" s="1214"/>
      <c r="N195" s="1214"/>
      <c r="O195" s="1214"/>
      <c r="P195" s="1214"/>
    </row>
    <row r="196" spans="1:17" s="1199" customFormat="1" ht="24" customHeight="1">
      <c r="A196" s="1339"/>
      <c r="B196" s="1259" t="s">
        <v>1483</v>
      </c>
      <c r="C196" s="1202"/>
      <c r="D196" s="1202"/>
      <c r="E196" s="1404"/>
      <c r="F196" s="1267" t="s">
        <v>363</v>
      </c>
      <c r="G196" s="1386">
        <v>1860</v>
      </c>
      <c r="H196" s="1343">
        <f t="shared" si="30"/>
        <v>0</v>
      </c>
      <c r="I196" s="1414">
        <v>135</v>
      </c>
      <c r="J196" s="1343">
        <f t="shared" si="31"/>
        <v>0</v>
      </c>
      <c r="K196" s="1262">
        <f t="shared" si="32"/>
        <v>0</v>
      </c>
      <c r="L196" s="1415"/>
      <c r="M196" s="1214"/>
      <c r="N196" s="1214"/>
      <c r="O196" s="1214"/>
      <c r="P196" s="1214"/>
    </row>
    <row r="197" spans="1:17" s="1199" customFormat="1" ht="24" customHeight="1">
      <c r="A197" s="1339"/>
      <c r="B197" s="1259" t="s">
        <v>1484</v>
      </c>
      <c r="C197" s="1202"/>
      <c r="D197" s="1202"/>
      <c r="E197" s="1404"/>
      <c r="F197" s="1267" t="s">
        <v>363</v>
      </c>
      <c r="G197" s="1386">
        <v>1200</v>
      </c>
      <c r="H197" s="1343">
        <f t="shared" si="30"/>
        <v>0</v>
      </c>
      <c r="I197" s="1414">
        <v>135</v>
      </c>
      <c r="J197" s="1343">
        <f t="shared" si="31"/>
        <v>0</v>
      </c>
      <c r="K197" s="1262">
        <f t="shared" si="32"/>
        <v>0</v>
      </c>
      <c r="L197" s="1415"/>
      <c r="M197" s="1214"/>
      <c r="N197" s="1214"/>
      <c r="O197" s="1214"/>
      <c r="P197" s="1214"/>
    </row>
    <row r="198" spans="1:17" s="1199" customFormat="1" ht="24" customHeight="1">
      <c r="A198" s="1339"/>
      <c r="B198" s="1259" t="s">
        <v>1485</v>
      </c>
      <c r="C198" s="1202"/>
      <c r="D198" s="1202"/>
      <c r="E198" s="1404"/>
      <c r="F198" s="1267" t="s">
        <v>363</v>
      </c>
      <c r="G198" s="1386">
        <v>1200</v>
      </c>
      <c r="H198" s="1343">
        <f t="shared" si="30"/>
        <v>0</v>
      </c>
      <c r="I198" s="1414">
        <v>135</v>
      </c>
      <c r="J198" s="1343">
        <f t="shared" si="31"/>
        <v>0</v>
      </c>
      <c r="K198" s="1262">
        <f t="shared" si="32"/>
        <v>0</v>
      </c>
      <c r="L198" s="1415"/>
      <c r="M198" s="1214"/>
      <c r="N198" s="1214"/>
      <c r="O198" s="1214"/>
      <c r="P198" s="1214"/>
    </row>
    <row r="199" spans="1:17" s="1199" customFormat="1" ht="24" customHeight="1">
      <c r="A199" s="1339"/>
      <c r="B199" s="1259" t="s">
        <v>1486</v>
      </c>
      <c r="C199" s="1202"/>
      <c r="D199" s="1202"/>
      <c r="E199" s="1404"/>
      <c r="F199" s="1267" t="s">
        <v>363</v>
      </c>
      <c r="G199" s="1386">
        <v>1830</v>
      </c>
      <c r="H199" s="1343">
        <f t="shared" si="30"/>
        <v>0</v>
      </c>
      <c r="I199" s="1414">
        <v>500</v>
      </c>
      <c r="J199" s="1343">
        <f t="shared" si="31"/>
        <v>0</v>
      </c>
      <c r="K199" s="1262">
        <f t="shared" si="32"/>
        <v>0</v>
      </c>
      <c r="L199" s="1415"/>
      <c r="M199" s="1214"/>
      <c r="N199" s="1214"/>
      <c r="O199" s="1214"/>
      <c r="P199" s="1214"/>
      <c r="Q199" s="1214"/>
    </row>
    <row r="200" spans="1:17" s="1199" customFormat="1" ht="24" customHeight="1">
      <c r="A200" s="1339"/>
      <c r="B200" s="1259" t="s">
        <v>1487</v>
      </c>
      <c r="C200" s="1202"/>
      <c r="D200" s="1202"/>
      <c r="E200" s="1404">
        <v>4</v>
      </c>
      <c r="F200" s="1267" t="s">
        <v>363</v>
      </c>
      <c r="G200" s="1386">
        <v>1620</v>
      </c>
      <c r="H200" s="1343">
        <f t="shared" si="30"/>
        <v>6480</v>
      </c>
      <c r="I200" s="1414">
        <v>500</v>
      </c>
      <c r="J200" s="1343">
        <f t="shared" si="31"/>
        <v>2000</v>
      </c>
      <c r="K200" s="1262">
        <f t="shared" si="32"/>
        <v>8480</v>
      </c>
      <c r="L200" s="1415"/>
      <c r="M200" s="1214"/>
      <c r="N200" s="1214"/>
      <c r="O200" s="1214"/>
      <c r="P200" s="1214"/>
      <c r="Q200" s="1214"/>
    </row>
    <row r="201" spans="1:17" s="1199" customFormat="1" ht="24" customHeight="1">
      <c r="A201" s="1339"/>
      <c r="B201" s="1259" t="s">
        <v>1488</v>
      </c>
      <c r="C201" s="1202"/>
      <c r="D201" s="1202"/>
      <c r="E201" s="1404"/>
      <c r="F201" s="1267" t="s">
        <v>363</v>
      </c>
      <c r="G201" s="1386">
        <v>920</v>
      </c>
      <c r="H201" s="1343">
        <f t="shared" si="30"/>
        <v>0</v>
      </c>
      <c r="I201" s="1414">
        <v>250</v>
      </c>
      <c r="J201" s="1343">
        <f t="shared" si="31"/>
        <v>0</v>
      </c>
      <c r="K201" s="1262">
        <f t="shared" si="32"/>
        <v>0</v>
      </c>
      <c r="L201" s="1415"/>
      <c r="M201" s="1214"/>
      <c r="N201" s="1214"/>
      <c r="O201" s="1214"/>
      <c r="P201" s="1214"/>
      <c r="Q201" s="1214"/>
    </row>
    <row r="202" spans="1:17" s="1199" customFormat="1" ht="24" customHeight="1">
      <c r="A202" s="1339"/>
      <c r="B202" s="1259" t="s">
        <v>1489</v>
      </c>
      <c r="C202" s="1202"/>
      <c r="D202" s="1202"/>
      <c r="E202" s="1404"/>
      <c r="F202" s="1267" t="s">
        <v>363</v>
      </c>
      <c r="G202" s="1386">
        <v>2180</v>
      </c>
      <c r="H202" s="1343">
        <f t="shared" si="30"/>
        <v>0</v>
      </c>
      <c r="I202" s="1414">
        <v>500</v>
      </c>
      <c r="J202" s="1343">
        <f t="shared" si="31"/>
        <v>0</v>
      </c>
      <c r="K202" s="1262">
        <f t="shared" si="32"/>
        <v>0</v>
      </c>
      <c r="L202" s="1415"/>
      <c r="M202" s="1214"/>
      <c r="N202" s="1214"/>
      <c r="O202" s="1214"/>
      <c r="P202" s="1214"/>
    </row>
    <row r="203" spans="1:17" s="1199" customFormat="1" ht="24" customHeight="1">
      <c r="A203" s="1339"/>
      <c r="B203" s="1259" t="s">
        <v>1602</v>
      </c>
      <c r="C203" s="1202"/>
      <c r="D203" s="1202"/>
      <c r="E203" s="1404">
        <v>1</v>
      </c>
      <c r="F203" s="1267" t="s">
        <v>1104</v>
      </c>
      <c r="G203" s="1386">
        <f>SUM(H179:H201)*5%</f>
        <v>676</v>
      </c>
      <c r="H203" s="1343">
        <f t="shared" si="30"/>
        <v>676</v>
      </c>
      <c r="I203" s="1414">
        <f>ROUND(G203*0.3,)</f>
        <v>203</v>
      </c>
      <c r="J203" s="1343">
        <f t="shared" si="31"/>
        <v>203</v>
      </c>
      <c r="K203" s="1262">
        <f t="shared" si="32"/>
        <v>879</v>
      </c>
      <c r="L203" s="1415"/>
      <c r="M203" s="1214"/>
      <c r="N203" s="1214"/>
      <c r="O203" s="1214"/>
      <c r="P203" s="1214"/>
      <c r="Q203" s="1214"/>
    </row>
    <row r="204" spans="1:17" s="1199" customFormat="1" ht="24" customHeight="1">
      <c r="A204" s="1331"/>
      <c r="B204" s="2174" t="s">
        <v>1117</v>
      </c>
      <c r="C204" s="1202"/>
      <c r="D204" s="1202"/>
      <c r="E204" s="1387"/>
      <c r="F204" s="1207"/>
      <c r="G204" s="2176"/>
      <c r="H204" s="1388"/>
      <c r="I204" s="2177"/>
      <c r="J204" s="1385"/>
      <c r="K204" s="1385"/>
      <c r="L204" s="1385"/>
      <c r="M204" s="1214"/>
      <c r="N204" s="1214"/>
      <c r="O204" s="1214"/>
      <c r="P204" s="1214"/>
    </row>
    <row r="205" spans="1:17" s="1199" customFormat="1" ht="24" customHeight="1">
      <c r="A205" s="1331"/>
      <c r="B205" s="2174" t="s">
        <v>1369</v>
      </c>
      <c r="C205" s="1202"/>
      <c r="D205" s="1202"/>
      <c r="E205" s="1387"/>
      <c r="F205" s="1207"/>
      <c r="G205" s="2176"/>
      <c r="H205" s="1388"/>
      <c r="I205" s="2177"/>
      <c r="J205" s="1385"/>
      <c r="K205" s="1385"/>
      <c r="L205" s="1385"/>
      <c r="M205" s="1214"/>
      <c r="N205" s="1214"/>
      <c r="O205" s="1214"/>
      <c r="P205" s="1214"/>
    </row>
    <row r="206" spans="1:17" s="1199" customFormat="1" ht="24" customHeight="1">
      <c r="A206" s="1331"/>
      <c r="B206" s="2174" t="s">
        <v>1369</v>
      </c>
      <c r="C206" s="1202"/>
      <c r="D206" s="1202"/>
      <c r="E206" s="1404"/>
      <c r="F206" s="1384"/>
      <c r="G206" s="2176"/>
      <c r="H206" s="1388"/>
      <c r="I206" s="2177"/>
      <c r="J206" s="1385"/>
      <c r="K206" s="1385"/>
      <c r="L206" s="1385"/>
      <c r="M206" s="1214"/>
      <c r="N206" s="1214"/>
      <c r="O206" s="1214"/>
      <c r="P206" s="1214"/>
    </row>
    <row r="207" spans="1:17" s="1199" customFormat="1" ht="24" customHeight="1">
      <c r="A207" s="1440"/>
      <c r="B207" s="1441"/>
      <c r="C207" s="1442"/>
      <c r="D207" s="1442"/>
      <c r="E207" s="1443"/>
      <c r="F207" s="1507"/>
      <c r="G207" s="1445"/>
      <c r="H207" s="1446"/>
      <c r="I207" s="1447"/>
      <c r="J207" s="1448"/>
      <c r="K207" s="1448"/>
      <c r="L207" s="1448"/>
      <c r="M207" s="1214"/>
      <c r="N207" s="1214"/>
      <c r="O207" s="1214"/>
      <c r="P207" s="1214"/>
    </row>
    <row r="208" spans="1:17" s="1199" customFormat="1" ht="24" customHeight="1">
      <c r="A208" s="1243"/>
      <c r="B208" s="2257" t="str">
        <f>"รวมราคารายการที่ "&amp;A179</f>
        <v>รวมราคารายการที่ 3.7</v>
      </c>
      <c r="C208" s="2258"/>
      <c r="D208" s="2259"/>
      <c r="E208" s="1244"/>
      <c r="F208" s="1245"/>
      <c r="G208" s="1246"/>
      <c r="H208" s="1247">
        <f>SUM(H179:H205)</f>
        <v>14196</v>
      </c>
      <c r="I208" s="1246"/>
      <c r="J208" s="1247">
        <f t="shared" ref="J208:K208" si="33">SUM(J179:J205)</f>
        <v>4043</v>
      </c>
      <c r="K208" s="1247">
        <f t="shared" si="33"/>
        <v>18239</v>
      </c>
      <c r="L208" s="1245"/>
      <c r="M208" s="1214"/>
      <c r="N208" s="1214"/>
      <c r="O208" s="1214"/>
      <c r="P208" s="1214"/>
    </row>
    <row r="209" spans="1:17" s="1199" customFormat="1" ht="24" customHeight="1">
      <c r="A209" s="1435">
        <v>3.8</v>
      </c>
      <c r="B209" s="1436" t="s">
        <v>1371</v>
      </c>
      <c r="C209" s="1202"/>
      <c r="D209" s="1202"/>
      <c r="E209" s="1387"/>
      <c r="F209" s="1384"/>
      <c r="G209" s="2176"/>
      <c r="H209" s="1388"/>
      <c r="I209" s="2177"/>
      <c r="J209" s="1385"/>
      <c r="K209" s="1385"/>
      <c r="L209" s="1385"/>
      <c r="M209" s="1214"/>
      <c r="N209" s="1214"/>
      <c r="O209" s="1214"/>
      <c r="P209" s="1214"/>
    </row>
    <row r="210" spans="1:17" s="1199" customFormat="1" ht="24" customHeight="1">
      <c r="A210" s="1406" t="s">
        <v>1292</v>
      </c>
      <c r="B210" s="2174" t="s">
        <v>1491</v>
      </c>
      <c r="C210" s="1202"/>
      <c r="D210" s="1202"/>
      <c r="E210" s="1387">
        <v>2</v>
      </c>
      <c r="F210" s="1207" t="s">
        <v>363</v>
      </c>
      <c r="G210" s="2176">
        <f>30000+13500</f>
        <v>43500</v>
      </c>
      <c r="H210" s="1264">
        <f t="shared" ref="H210:H235" si="34">ROUND(E210*G210,)</f>
        <v>87000</v>
      </c>
      <c r="I210" s="2177">
        <f>G210*0.1</f>
        <v>4350</v>
      </c>
      <c r="J210" s="1264">
        <f t="shared" ref="J210:J244" si="35">ROUND(E210*I210,)</f>
        <v>8700</v>
      </c>
      <c r="K210" s="1273">
        <f t="shared" ref="K210:K244" si="36">H210+J210</f>
        <v>95700</v>
      </c>
      <c r="L210" s="1385"/>
      <c r="M210" s="1214"/>
      <c r="N210" s="1214"/>
      <c r="O210" s="1214"/>
      <c r="P210" s="1214"/>
    </row>
    <row r="211" spans="1:17" s="1199" customFormat="1" ht="24" customHeight="1">
      <c r="A211" s="1406" t="s">
        <v>1299</v>
      </c>
      <c r="B211" s="2174" t="s">
        <v>1492</v>
      </c>
      <c r="C211" s="1202"/>
      <c r="D211" s="1202"/>
      <c r="E211" s="1387">
        <v>6</v>
      </c>
      <c r="F211" s="1207" t="s">
        <v>363</v>
      </c>
      <c r="G211" s="2176">
        <v>1850</v>
      </c>
      <c r="H211" s="1264">
        <f t="shared" si="34"/>
        <v>11100</v>
      </c>
      <c r="I211" s="2177">
        <v>250</v>
      </c>
      <c r="J211" s="1264">
        <f t="shared" si="35"/>
        <v>1500</v>
      </c>
      <c r="K211" s="1273">
        <f t="shared" si="36"/>
        <v>12600</v>
      </c>
      <c r="L211" s="1385"/>
      <c r="M211" s="1214"/>
      <c r="N211" s="1214"/>
      <c r="O211" s="1214"/>
      <c r="P211" s="1214"/>
    </row>
    <row r="212" spans="1:17" s="1199" customFormat="1" ht="24" customHeight="1">
      <c r="A212" s="1406" t="s">
        <v>1301</v>
      </c>
      <c r="B212" s="2174" t="s">
        <v>1493</v>
      </c>
      <c r="C212" s="1202"/>
      <c r="D212" s="1202"/>
      <c r="E212" s="1387">
        <v>6</v>
      </c>
      <c r="F212" s="1207" t="s">
        <v>363</v>
      </c>
      <c r="G212" s="2176">
        <v>1850</v>
      </c>
      <c r="H212" s="1264">
        <f t="shared" si="34"/>
        <v>11100</v>
      </c>
      <c r="I212" s="2177">
        <v>250</v>
      </c>
      <c r="J212" s="1264">
        <f t="shared" si="35"/>
        <v>1500</v>
      </c>
      <c r="K212" s="1273">
        <f t="shared" si="36"/>
        <v>12600</v>
      </c>
      <c r="L212" s="1385"/>
      <c r="M212" s="1214"/>
      <c r="N212" s="1214"/>
      <c r="O212" s="1214"/>
      <c r="P212" s="1214"/>
    </row>
    <row r="213" spans="1:17" s="1199" customFormat="1" ht="24" customHeight="1">
      <c r="A213" s="1406" t="s">
        <v>1309</v>
      </c>
      <c r="B213" s="2174" t="s">
        <v>1494</v>
      </c>
      <c r="C213" s="1202"/>
      <c r="D213" s="1202"/>
      <c r="E213" s="1387">
        <v>4</v>
      </c>
      <c r="F213" s="1207" t="s">
        <v>363</v>
      </c>
      <c r="G213" s="2176">
        <v>1850</v>
      </c>
      <c r="H213" s="1264">
        <f t="shared" si="34"/>
        <v>7400</v>
      </c>
      <c r="I213" s="2177">
        <v>250</v>
      </c>
      <c r="J213" s="1264">
        <f t="shared" si="35"/>
        <v>1000</v>
      </c>
      <c r="K213" s="1273">
        <f t="shared" si="36"/>
        <v>8400</v>
      </c>
      <c r="L213" s="1385"/>
      <c r="M213" s="1214"/>
      <c r="N213" s="1214"/>
      <c r="O213" s="1214"/>
      <c r="P213" s="1214"/>
    </row>
    <row r="214" spans="1:17" s="1199" customFormat="1" ht="24" customHeight="1">
      <c r="A214" s="1406" t="s">
        <v>1533</v>
      </c>
      <c r="B214" s="2174" t="s">
        <v>1495</v>
      </c>
      <c r="C214" s="1202"/>
      <c r="D214" s="1202"/>
      <c r="E214" s="1387">
        <v>4</v>
      </c>
      <c r="F214" s="1207" t="s">
        <v>363</v>
      </c>
      <c r="G214" s="2176">
        <v>1850</v>
      </c>
      <c r="H214" s="1264">
        <f t="shared" si="34"/>
        <v>7400</v>
      </c>
      <c r="I214" s="2177">
        <v>250</v>
      </c>
      <c r="J214" s="1264">
        <f t="shared" si="35"/>
        <v>1000</v>
      </c>
      <c r="K214" s="1273">
        <f t="shared" si="36"/>
        <v>8400</v>
      </c>
      <c r="L214" s="1385"/>
      <c r="M214" s="1214"/>
      <c r="N214" s="1214"/>
      <c r="O214" s="1214"/>
      <c r="P214" s="1214"/>
    </row>
    <row r="215" spans="1:17" s="1199" customFormat="1" ht="24" customHeight="1">
      <c r="A215" s="1406" t="s">
        <v>1536</v>
      </c>
      <c r="B215" s="2174" t="s">
        <v>1496</v>
      </c>
      <c r="C215" s="1202"/>
      <c r="D215" s="1202"/>
      <c r="E215" s="1387"/>
      <c r="F215" s="1207" t="s">
        <v>363</v>
      </c>
      <c r="G215" s="2176">
        <v>1850</v>
      </c>
      <c r="H215" s="1264">
        <f t="shared" si="34"/>
        <v>0</v>
      </c>
      <c r="I215" s="2177">
        <v>250</v>
      </c>
      <c r="J215" s="1264">
        <f t="shared" si="35"/>
        <v>0</v>
      </c>
      <c r="K215" s="1273">
        <f t="shared" si="36"/>
        <v>0</v>
      </c>
      <c r="L215" s="1385"/>
      <c r="M215" s="1214"/>
      <c r="N215" s="1214"/>
      <c r="O215" s="1214"/>
      <c r="P215" s="1214"/>
    </row>
    <row r="216" spans="1:17" s="1199" customFormat="1" ht="24" customHeight="1">
      <c r="A216" s="1406" t="s">
        <v>1537</v>
      </c>
      <c r="B216" s="2174" t="s">
        <v>1497</v>
      </c>
      <c r="C216" s="1202"/>
      <c r="D216" s="1202"/>
      <c r="E216" s="1387">
        <v>2</v>
      </c>
      <c r="F216" s="1207" t="s">
        <v>363</v>
      </c>
      <c r="G216" s="2176">
        <v>2750</v>
      </c>
      <c r="H216" s="1264">
        <f t="shared" si="34"/>
        <v>5500</v>
      </c>
      <c r="I216" s="2177">
        <v>250</v>
      </c>
      <c r="J216" s="1264">
        <f t="shared" si="35"/>
        <v>500</v>
      </c>
      <c r="K216" s="1273">
        <f t="shared" si="36"/>
        <v>6000</v>
      </c>
      <c r="L216" s="1385"/>
      <c r="M216" s="1214"/>
      <c r="N216" s="1214"/>
      <c r="O216" s="1214"/>
      <c r="P216" s="1214"/>
    </row>
    <row r="217" spans="1:17" s="1199" customFormat="1" ht="24" customHeight="1">
      <c r="A217" s="1406" t="s">
        <v>1538</v>
      </c>
      <c r="B217" s="2174" t="s">
        <v>1498</v>
      </c>
      <c r="C217" s="1202"/>
      <c r="D217" s="1202"/>
      <c r="E217" s="1387">
        <v>2</v>
      </c>
      <c r="F217" s="1207" t="s">
        <v>363</v>
      </c>
      <c r="G217" s="2176">
        <v>2750</v>
      </c>
      <c r="H217" s="1264">
        <f t="shared" si="34"/>
        <v>5500</v>
      </c>
      <c r="I217" s="2177">
        <v>250</v>
      </c>
      <c r="J217" s="1264">
        <f t="shared" si="35"/>
        <v>500</v>
      </c>
      <c r="K217" s="1273">
        <f t="shared" si="36"/>
        <v>6000</v>
      </c>
      <c r="L217" s="1385"/>
      <c r="M217" s="1214"/>
      <c r="N217" s="1214"/>
      <c r="O217" s="1214"/>
      <c r="P217" s="1214"/>
    </row>
    <row r="218" spans="1:17" s="1199" customFormat="1" ht="24" customHeight="1">
      <c r="A218" s="1406" t="s">
        <v>2900</v>
      </c>
      <c r="B218" s="2174" t="s">
        <v>1500</v>
      </c>
      <c r="C218" s="1202"/>
      <c r="D218" s="1202"/>
      <c r="E218" s="1387">
        <v>2</v>
      </c>
      <c r="F218" s="1207" t="s">
        <v>363</v>
      </c>
      <c r="G218" s="2176">
        <v>2750</v>
      </c>
      <c r="H218" s="1264">
        <f t="shared" si="34"/>
        <v>5500</v>
      </c>
      <c r="I218" s="2177">
        <v>250</v>
      </c>
      <c r="J218" s="1264">
        <f t="shared" si="35"/>
        <v>500</v>
      </c>
      <c r="K218" s="1273">
        <f t="shared" si="36"/>
        <v>6000</v>
      </c>
      <c r="L218" s="1385"/>
      <c r="M218" s="1214"/>
      <c r="N218" s="1214"/>
      <c r="O218" s="1214"/>
      <c r="P218" s="1214"/>
    </row>
    <row r="219" spans="1:17" s="1199" customFormat="1" ht="24" customHeight="1">
      <c r="A219" s="1406" t="s">
        <v>2901</v>
      </c>
      <c r="B219" s="1190" t="s">
        <v>1603</v>
      </c>
      <c r="C219" s="1202"/>
      <c r="D219" s="1202"/>
      <c r="E219" s="1387">
        <v>2</v>
      </c>
      <c r="F219" s="1194" t="s">
        <v>363</v>
      </c>
      <c r="G219" s="2176">
        <v>2750</v>
      </c>
      <c r="H219" s="1264">
        <f t="shared" si="34"/>
        <v>5500</v>
      </c>
      <c r="I219" s="2177">
        <v>250</v>
      </c>
      <c r="J219" s="1264">
        <f t="shared" si="35"/>
        <v>500</v>
      </c>
      <c r="K219" s="1273">
        <f t="shared" si="36"/>
        <v>6000</v>
      </c>
      <c r="L219" s="1385"/>
      <c r="M219" s="1214"/>
      <c r="N219" s="1214"/>
      <c r="O219" s="1214"/>
      <c r="P219" s="1214"/>
      <c r="Q219" s="1214"/>
    </row>
    <row r="220" spans="1:17" s="1199" customFormat="1" ht="24" customHeight="1">
      <c r="A220" s="1406" t="s">
        <v>2902</v>
      </c>
      <c r="B220" s="2174" t="s">
        <v>1502</v>
      </c>
      <c r="C220" s="1202"/>
      <c r="D220" s="1202"/>
      <c r="E220" s="1387">
        <v>2</v>
      </c>
      <c r="F220" s="1207" t="s">
        <v>363</v>
      </c>
      <c r="G220" s="2176">
        <v>2750</v>
      </c>
      <c r="H220" s="1264">
        <f t="shared" si="34"/>
        <v>5500</v>
      </c>
      <c r="I220" s="2177">
        <v>250</v>
      </c>
      <c r="J220" s="1264">
        <f t="shared" si="35"/>
        <v>500</v>
      </c>
      <c r="K220" s="1273">
        <f t="shared" si="36"/>
        <v>6000</v>
      </c>
      <c r="L220" s="1385"/>
      <c r="M220" s="1214"/>
      <c r="N220" s="1214"/>
      <c r="O220" s="1214"/>
      <c r="P220" s="1214"/>
    </row>
    <row r="221" spans="1:17" s="1199" customFormat="1" ht="24" customHeight="1">
      <c r="A221" s="1406" t="s">
        <v>2903</v>
      </c>
      <c r="B221" s="2174" t="s">
        <v>1504</v>
      </c>
      <c r="C221" s="1202"/>
      <c r="D221" s="1202"/>
      <c r="E221" s="1387">
        <v>2</v>
      </c>
      <c r="F221" s="1207" t="s">
        <v>363</v>
      </c>
      <c r="G221" s="2176">
        <v>2750</v>
      </c>
      <c r="H221" s="1264">
        <f t="shared" si="34"/>
        <v>5500</v>
      </c>
      <c r="I221" s="2177">
        <v>250</v>
      </c>
      <c r="J221" s="1264">
        <f t="shared" si="35"/>
        <v>500</v>
      </c>
      <c r="K221" s="1273">
        <f t="shared" si="36"/>
        <v>6000</v>
      </c>
      <c r="L221" s="1385"/>
      <c r="M221" s="1214"/>
      <c r="N221" s="1214"/>
      <c r="O221" s="1214"/>
      <c r="P221" s="1214"/>
    </row>
    <row r="222" spans="1:17" s="1199" customFormat="1" ht="24" customHeight="1">
      <c r="A222" s="1406" t="s">
        <v>2904</v>
      </c>
      <c r="B222" s="2174" t="s">
        <v>1506</v>
      </c>
      <c r="C222" s="1202"/>
      <c r="D222" s="1202"/>
      <c r="E222" s="1387">
        <v>3</v>
      </c>
      <c r="F222" s="1207" t="s">
        <v>363</v>
      </c>
      <c r="G222" s="2176">
        <v>2750</v>
      </c>
      <c r="H222" s="1264">
        <f t="shared" si="34"/>
        <v>8250</v>
      </c>
      <c r="I222" s="2177">
        <v>250</v>
      </c>
      <c r="J222" s="1264">
        <f t="shared" si="35"/>
        <v>750</v>
      </c>
      <c r="K222" s="1273">
        <f t="shared" si="36"/>
        <v>9000</v>
      </c>
      <c r="L222" s="1385"/>
      <c r="M222" s="1214"/>
      <c r="N222" s="1214"/>
      <c r="O222" s="1214"/>
      <c r="P222" s="1214"/>
    </row>
    <row r="223" spans="1:17" s="1199" customFormat="1" ht="24" customHeight="1">
      <c r="A223" s="1406" t="s">
        <v>2905</v>
      </c>
      <c r="B223" s="2174" t="s">
        <v>1508</v>
      </c>
      <c r="C223" s="1202"/>
      <c r="D223" s="1202"/>
      <c r="E223" s="1387">
        <v>4</v>
      </c>
      <c r="F223" s="1207" t="s">
        <v>363</v>
      </c>
      <c r="G223" s="2176">
        <v>2250</v>
      </c>
      <c r="H223" s="1264">
        <f t="shared" si="34"/>
        <v>9000</v>
      </c>
      <c r="I223" s="2177">
        <v>250</v>
      </c>
      <c r="J223" s="1264">
        <f t="shared" si="35"/>
        <v>1000</v>
      </c>
      <c r="K223" s="1273">
        <f t="shared" si="36"/>
        <v>10000</v>
      </c>
      <c r="L223" s="1385"/>
      <c r="M223" s="1214"/>
      <c r="N223" s="1214"/>
      <c r="O223" s="1214"/>
      <c r="P223" s="1214"/>
    </row>
    <row r="224" spans="1:17" s="1199" customFormat="1" ht="24" customHeight="1">
      <c r="A224" s="1406" t="s">
        <v>2906</v>
      </c>
      <c r="B224" s="2174" t="s">
        <v>1510</v>
      </c>
      <c r="C224" s="1202"/>
      <c r="D224" s="1202"/>
      <c r="E224" s="1387">
        <v>197</v>
      </c>
      <c r="F224" s="1207" t="s">
        <v>363</v>
      </c>
      <c r="G224" s="2176">
        <f>3300+300</f>
        <v>3600</v>
      </c>
      <c r="H224" s="1264">
        <f t="shared" si="34"/>
        <v>709200</v>
      </c>
      <c r="I224" s="2177">
        <v>200</v>
      </c>
      <c r="J224" s="1264">
        <f t="shared" si="35"/>
        <v>39400</v>
      </c>
      <c r="K224" s="1273">
        <f t="shared" si="36"/>
        <v>748600</v>
      </c>
      <c r="L224" s="1385"/>
      <c r="M224" s="1214"/>
      <c r="N224" s="1214"/>
      <c r="O224" s="1214"/>
      <c r="P224" s="1214"/>
    </row>
    <row r="225" spans="1:17" s="1199" customFormat="1" ht="24" customHeight="1">
      <c r="A225" s="1406" t="s">
        <v>2907</v>
      </c>
      <c r="B225" s="2174" t="s">
        <v>1512</v>
      </c>
      <c r="C225" s="1202"/>
      <c r="D225" s="1202"/>
      <c r="E225" s="1387">
        <v>10</v>
      </c>
      <c r="F225" s="1207" t="s">
        <v>363</v>
      </c>
      <c r="G225" s="2176">
        <v>5000</v>
      </c>
      <c r="H225" s="1264">
        <f t="shared" si="34"/>
        <v>50000</v>
      </c>
      <c r="I225" s="2177">
        <v>500</v>
      </c>
      <c r="J225" s="1264">
        <f t="shared" si="35"/>
        <v>5000</v>
      </c>
      <c r="K225" s="1273">
        <f t="shared" si="36"/>
        <v>55000</v>
      </c>
      <c r="L225" s="1385"/>
      <c r="M225" s="1214"/>
      <c r="N225" s="1214"/>
      <c r="O225" s="1214"/>
      <c r="P225" s="1214"/>
    </row>
    <row r="226" spans="1:17" s="1199" customFormat="1" ht="24" customHeight="1">
      <c r="A226" s="1406" t="s">
        <v>2908</v>
      </c>
      <c r="B226" s="2174" t="s">
        <v>1514</v>
      </c>
      <c r="C226" s="1202"/>
      <c r="D226" s="1202"/>
      <c r="E226" s="1387">
        <v>6</v>
      </c>
      <c r="F226" s="1207" t="s">
        <v>363</v>
      </c>
      <c r="G226" s="2176">
        <v>350</v>
      </c>
      <c r="H226" s="1264">
        <f t="shared" si="34"/>
        <v>2100</v>
      </c>
      <c r="I226" s="2177">
        <v>200</v>
      </c>
      <c r="J226" s="1264">
        <f t="shared" si="35"/>
        <v>1200</v>
      </c>
      <c r="K226" s="1273">
        <f t="shared" si="36"/>
        <v>3300</v>
      </c>
      <c r="L226" s="1385"/>
      <c r="M226" s="1214"/>
      <c r="N226" s="1214"/>
      <c r="O226" s="1214"/>
      <c r="P226" s="1214"/>
    </row>
    <row r="227" spans="1:17" s="1199" customFormat="1" ht="24" customHeight="1">
      <c r="A227" s="1406" t="s">
        <v>2909</v>
      </c>
      <c r="B227" s="2174" t="s">
        <v>1516</v>
      </c>
      <c r="C227" s="1202"/>
      <c r="D227" s="1202"/>
      <c r="E227" s="1387">
        <v>6</v>
      </c>
      <c r="F227" s="1207" t="s">
        <v>363</v>
      </c>
      <c r="G227" s="2176">
        <v>4200</v>
      </c>
      <c r="H227" s="1264">
        <f t="shared" si="34"/>
        <v>25200</v>
      </c>
      <c r="I227" s="2177">
        <v>200</v>
      </c>
      <c r="J227" s="1264">
        <f t="shared" si="35"/>
        <v>1200</v>
      </c>
      <c r="K227" s="1273">
        <f t="shared" si="36"/>
        <v>26400</v>
      </c>
      <c r="L227" s="1385"/>
      <c r="M227" s="1214"/>
      <c r="N227" s="1214"/>
      <c r="O227" s="1214"/>
      <c r="P227" s="1214"/>
    </row>
    <row r="228" spans="1:17" s="1199" customFormat="1" ht="24" customHeight="1">
      <c r="A228" s="1406" t="s">
        <v>2910</v>
      </c>
      <c r="B228" s="2174" t="s">
        <v>1518</v>
      </c>
      <c r="C228" s="1202"/>
      <c r="D228" s="1202"/>
      <c r="E228" s="1404">
        <v>24</v>
      </c>
      <c r="F228" s="1207" t="s">
        <v>363</v>
      </c>
      <c r="G228" s="2176">
        <v>2200</v>
      </c>
      <c r="H228" s="1264">
        <f t="shared" si="34"/>
        <v>52800</v>
      </c>
      <c r="I228" s="2177">
        <v>200</v>
      </c>
      <c r="J228" s="1264">
        <f t="shared" si="35"/>
        <v>4800</v>
      </c>
      <c r="K228" s="1273">
        <f t="shared" si="36"/>
        <v>57600</v>
      </c>
      <c r="L228" s="1385"/>
      <c r="M228" s="1214"/>
      <c r="N228" s="1214"/>
      <c r="O228" s="1214"/>
      <c r="P228" s="1214"/>
    </row>
    <row r="229" spans="1:17" s="1199" customFormat="1" ht="24" customHeight="1">
      <c r="A229" s="1406" t="s">
        <v>2911</v>
      </c>
      <c r="B229" s="2174" t="s">
        <v>1604</v>
      </c>
      <c r="C229" s="1202"/>
      <c r="D229" s="1202"/>
      <c r="E229" s="1387">
        <v>2</v>
      </c>
      <c r="F229" s="1207" t="s">
        <v>363</v>
      </c>
      <c r="G229" s="2176">
        <v>4785</v>
      </c>
      <c r="H229" s="1264">
        <f>ROUND(E229*G229,)</f>
        <v>9570</v>
      </c>
      <c r="I229" s="2177">
        <v>100</v>
      </c>
      <c r="J229" s="1264">
        <f>ROUND(E229*I229,)</f>
        <v>200</v>
      </c>
      <c r="K229" s="1273">
        <f>H229+J229</f>
        <v>9770</v>
      </c>
      <c r="L229" s="1385"/>
      <c r="M229" s="1214"/>
      <c r="N229" s="1214"/>
      <c r="O229" s="1214"/>
      <c r="P229" s="1214"/>
      <c r="Q229" s="1214"/>
    </row>
    <row r="230" spans="1:17" s="1199" customFormat="1" ht="24" customHeight="1">
      <c r="A230" s="1406" t="s">
        <v>2912</v>
      </c>
      <c r="B230" s="2174" t="s">
        <v>1521</v>
      </c>
      <c r="C230" s="1202"/>
      <c r="D230" s="1202"/>
      <c r="E230" s="1404">
        <v>2</v>
      </c>
      <c r="F230" s="1207" t="s">
        <v>363</v>
      </c>
      <c r="G230" s="2176">
        <v>5000</v>
      </c>
      <c r="H230" s="1264">
        <f t="shared" si="34"/>
        <v>10000</v>
      </c>
      <c r="I230" s="2177">
        <v>500</v>
      </c>
      <c r="J230" s="1264">
        <f t="shared" si="35"/>
        <v>1000</v>
      </c>
      <c r="K230" s="1273">
        <f t="shared" si="36"/>
        <v>11000</v>
      </c>
      <c r="L230" s="1385"/>
      <c r="M230" s="1214"/>
      <c r="N230" s="1214"/>
      <c r="O230" s="1214"/>
      <c r="P230" s="1214"/>
    </row>
    <row r="231" spans="1:17" s="1199" customFormat="1" ht="24" customHeight="1">
      <c r="A231" s="1406" t="s">
        <v>2913</v>
      </c>
      <c r="B231" s="2174" t="s">
        <v>1312</v>
      </c>
      <c r="C231" s="1202"/>
      <c r="D231" s="1202"/>
      <c r="E231" s="1404"/>
      <c r="F231" s="1384"/>
      <c r="G231" s="2176"/>
      <c r="H231" s="1264">
        <f t="shared" si="34"/>
        <v>0</v>
      </c>
      <c r="I231" s="2177"/>
      <c r="J231" s="1264">
        <f t="shared" si="35"/>
        <v>0</v>
      </c>
      <c r="K231" s="1273">
        <f t="shared" si="36"/>
        <v>0</v>
      </c>
      <c r="L231" s="1385"/>
      <c r="M231" s="1214"/>
      <c r="N231" s="1214"/>
      <c r="O231" s="1214"/>
      <c r="P231" s="1214"/>
    </row>
    <row r="232" spans="1:17" s="1199" customFormat="1" ht="24" customHeight="1">
      <c r="A232" s="1331"/>
      <c r="B232" s="2174" t="s">
        <v>1523</v>
      </c>
      <c r="C232" s="1202"/>
      <c r="D232" s="1202"/>
      <c r="E232" s="1404">
        <v>1800</v>
      </c>
      <c r="F232" s="1358" t="s">
        <v>226</v>
      </c>
      <c r="G232" s="2176">
        <v>82</v>
      </c>
      <c r="H232" s="1264">
        <f t="shared" si="34"/>
        <v>147600</v>
      </c>
      <c r="I232" s="2177">
        <v>12</v>
      </c>
      <c r="J232" s="1264">
        <f t="shared" si="35"/>
        <v>21600</v>
      </c>
      <c r="K232" s="1273">
        <f t="shared" si="36"/>
        <v>169200</v>
      </c>
      <c r="L232" s="1385"/>
      <c r="M232" s="1214"/>
      <c r="N232" s="1214"/>
      <c r="O232" s="1214"/>
      <c r="P232" s="1214"/>
    </row>
    <row r="233" spans="1:17" s="1199" customFormat="1" ht="24" customHeight="1">
      <c r="A233" s="1331"/>
      <c r="B233" s="2174" t="s">
        <v>2553</v>
      </c>
      <c r="C233" s="1202"/>
      <c r="D233" s="1202"/>
      <c r="E233" s="1404">
        <v>2400</v>
      </c>
      <c r="F233" s="1358" t="s">
        <v>226</v>
      </c>
      <c r="G233" s="2176">
        <v>6</v>
      </c>
      <c r="H233" s="1264">
        <f t="shared" si="34"/>
        <v>14400</v>
      </c>
      <c r="I233" s="2177">
        <v>6</v>
      </c>
      <c r="J233" s="1264">
        <f t="shared" si="35"/>
        <v>14400</v>
      </c>
      <c r="K233" s="1273">
        <f t="shared" si="36"/>
        <v>28800</v>
      </c>
      <c r="L233" s="1385"/>
      <c r="M233" s="1214"/>
      <c r="N233" s="1214"/>
      <c r="O233" s="1214"/>
      <c r="P233" s="1214"/>
    </row>
    <row r="234" spans="1:17" s="1199" customFormat="1" ht="24" customHeight="1">
      <c r="A234" s="1331"/>
      <c r="B234" s="2174" t="s">
        <v>1524</v>
      </c>
      <c r="C234" s="1202"/>
      <c r="D234" s="1202"/>
      <c r="E234" s="1404">
        <v>1723</v>
      </c>
      <c r="F234" s="1358" t="s">
        <v>226</v>
      </c>
      <c r="G234" s="2176">
        <v>18</v>
      </c>
      <c r="H234" s="1264">
        <f t="shared" si="34"/>
        <v>31014</v>
      </c>
      <c r="I234" s="2177">
        <v>8</v>
      </c>
      <c r="J234" s="1264">
        <f t="shared" si="35"/>
        <v>13784</v>
      </c>
      <c r="K234" s="1273">
        <f t="shared" si="36"/>
        <v>44798</v>
      </c>
      <c r="L234" s="1385"/>
      <c r="M234" s="1214"/>
      <c r="N234" s="1214"/>
      <c r="O234" s="1214"/>
      <c r="P234" s="1214"/>
    </row>
    <row r="235" spans="1:17" s="1199" customFormat="1" ht="24" customHeight="1">
      <c r="A235" s="1331"/>
      <c r="B235" s="2174" t="s">
        <v>1525</v>
      </c>
      <c r="C235" s="1202"/>
      <c r="D235" s="1202"/>
      <c r="E235" s="1404">
        <v>1</v>
      </c>
      <c r="F235" s="1384" t="s">
        <v>1104</v>
      </c>
      <c r="G235" s="2176">
        <f>ROUND(SUM(H232:H234)*5%,)</f>
        <v>9651</v>
      </c>
      <c r="H235" s="1264">
        <f t="shared" si="34"/>
        <v>9651</v>
      </c>
      <c r="I235" s="1414">
        <f>ROUND(G235*0.3,)</f>
        <v>2895</v>
      </c>
      <c r="J235" s="1264">
        <f t="shared" si="35"/>
        <v>2895</v>
      </c>
      <c r="K235" s="1273">
        <f t="shared" si="36"/>
        <v>12546</v>
      </c>
      <c r="L235" s="1385"/>
      <c r="M235" s="1214"/>
      <c r="N235" s="1214"/>
      <c r="O235" s="1214"/>
      <c r="P235" s="1214"/>
    </row>
    <row r="236" spans="1:17" s="1199" customFormat="1" ht="24" customHeight="1">
      <c r="A236" s="1406" t="s">
        <v>2914</v>
      </c>
      <c r="B236" s="2174" t="s">
        <v>1526</v>
      </c>
      <c r="C236" s="1202"/>
      <c r="D236" s="1202"/>
      <c r="E236" s="1387"/>
      <c r="F236" s="1384"/>
      <c r="G236" s="2176"/>
      <c r="H236" s="1264">
        <f>ROUND(G236*E236,)</f>
        <v>0</v>
      </c>
      <c r="I236" s="2177"/>
      <c r="J236" s="1264">
        <f t="shared" si="35"/>
        <v>0</v>
      </c>
      <c r="K236" s="1273">
        <f t="shared" si="36"/>
        <v>0</v>
      </c>
      <c r="L236" s="1385"/>
      <c r="M236" s="1214"/>
      <c r="N236" s="1214"/>
      <c r="O236" s="1214"/>
      <c r="P236" s="1214"/>
    </row>
    <row r="237" spans="1:17" s="1199" customFormat="1" ht="24" customHeight="1">
      <c r="A237" s="1331"/>
      <c r="B237" s="2174" t="s">
        <v>1350</v>
      </c>
      <c r="C237" s="1202"/>
      <c r="D237" s="1202"/>
      <c r="E237" s="1387">
        <v>1200</v>
      </c>
      <c r="F237" s="1358" t="s">
        <v>226</v>
      </c>
      <c r="G237" s="2176">
        <v>27</v>
      </c>
      <c r="H237" s="1264">
        <f t="shared" ref="H237" si="37">ROUND(E237*G237,)</f>
        <v>32400</v>
      </c>
      <c r="I237" s="2177">
        <v>22</v>
      </c>
      <c r="J237" s="1264">
        <f t="shared" si="35"/>
        <v>26400</v>
      </c>
      <c r="K237" s="1802">
        <f t="shared" si="36"/>
        <v>58800</v>
      </c>
      <c r="L237" s="2001" t="s">
        <v>2667</v>
      </c>
      <c r="M237" s="1214"/>
      <c r="N237" s="1199">
        <v>79.8</v>
      </c>
      <c r="O237" s="1199">
        <f>ROUND(N237/3,)</f>
        <v>27</v>
      </c>
      <c r="P237" s="1214"/>
    </row>
    <row r="238" spans="1:17" s="1199" customFormat="1" ht="24" customHeight="1">
      <c r="A238" s="1331"/>
      <c r="B238" s="2174" t="s">
        <v>1384</v>
      </c>
      <c r="C238" s="1202"/>
      <c r="D238" s="1202"/>
      <c r="E238" s="1387">
        <v>1</v>
      </c>
      <c r="F238" s="1407" t="s">
        <v>1104</v>
      </c>
      <c r="G238" s="2176">
        <f>SUM(H237:H237)*15%</f>
        <v>4860</v>
      </c>
      <c r="H238" s="1264">
        <f>ROUND(G238*E238,)</f>
        <v>4860</v>
      </c>
      <c r="I238" s="2177">
        <f>G238*0.3</f>
        <v>1458</v>
      </c>
      <c r="J238" s="1264">
        <f t="shared" si="35"/>
        <v>1458</v>
      </c>
      <c r="K238" s="1273">
        <f t="shared" si="36"/>
        <v>6318</v>
      </c>
      <c r="L238" s="1385"/>
      <c r="M238" s="1214"/>
      <c r="N238" s="1214"/>
      <c r="O238" s="1214"/>
      <c r="P238" s="1214"/>
    </row>
    <row r="239" spans="1:17" s="1199" customFormat="1" ht="24" customHeight="1">
      <c r="A239" s="1406" t="s">
        <v>2915</v>
      </c>
      <c r="B239" s="2174" t="s">
        <v>1110</v>
      </c>
      <c r="C239" s="1202"/>
      <c r="D239" s="1202"/>
      <c r="E239" s="1387"/>
      <c r="F239" s="1384"/>
      <c r="G239" s="2176"/>
      <c r="H239" s="1264">
        <f t="shared" ref="H239:H244" si="38">ROUND(E239*G239,)</f>
        <v>0</v>
      </c>
      <c r="I239" s="2177"/>
      <c r="J239" s="1264">
        <f t="shared" si="35"/>
        <v>0</v>
      </c>
      <c r="K239" s="1273">
        <f t="shared" si="36"/>
        <v>0</v>
      </c>
      <c r="L239" s="1385"/>
      <c r="M239" s="1214"/>
      <c r="N239" s="1214"/>
      <c r="O239" s="1214"/>
      <c r="P239" s="1214"/>
    </row>
    <row r="240" spans="1:17" s="1199" customFormat="1" ht="24" customHeight="1">
      <c r="A240" s="1331"/>
      <c r="B240" s="2174" t="s">
        <v>1350</v>
      </c>
      <c r="C240" s="1202"/>
      <c r="D240" s="1202"/>
      <c r="E240" s="1387"/>
      <c r="F240" s="1358" t="s">
        <v>226</v>
      </c>
      <c r="G240" s="2176">
        <v>56</v>
      </c>
      <c r="H240" s="1264">
        <f t="shared" si="38"/>
        <v>0</v>
      </c>
      <c r="I240" s="2177">
        <v>26</v>
      </c>
      <c r="J240" s="1264">
        <f t="shared" si="35"/>
        <v>0</v>
      </c>
      <c r="K240" s="1273">
        <f t="shared" si="36"/>
        <v>0</v>
      </c>
      <c r="L240" s="2001" t="s">
        <v>2667</v>
      </c>
      <c r="M240" s="1214"/>
      <c r="N240" s="1199">
        <v>169.2</v>
      </c>
      <c r="O240" s="1199">
        <f>ROUND(N240/3,)</f>
        <v>56</v>
      </c>
      <c r="P240" s="1214"/>
    </row>
    <row r="241" spans="1:16" s="1199" customFormat="1" ht="24" customHeight="1">
      <c r="A241" s="1331"/>
      <c r="B241" s="2174" t="s">
        <v>1448</v>
      </c>
      <c r="C241" s="1202"/>
      <c r="D241" s="1202"/>
      <c r="E241" s="1404">
        <v>3523</v>
      </c>
      <c r="F241" s="1358" t="s">
        <v>226</v>
      </c>
      <c r="G241" s="2176">
        <v>75</v>
      </c>
      <c r="H241" s="1264">
        <f t="shared" si="38"/>
        <v>264225</v>
      </c>
      <c r="I241" s="2177">
        <v>29</v>
      </c>
      <c r="J241" s="1264">
        <f t="shared" si="35"/>
        <v>102167</v>
      </c>
      <c r="K241" s="1273">
        <f>H241+J241</f>
        <v>366392</v>
      </c>
      <c r="L241" s="2001" t="s">
        <v>2667</v>
      </c>
      <c r="N241" s="1199">
        <v>225</v>
      </c>
      <c r="O241" s="1199">
        <f>ROUND(N241/3,)</f>
        <v>75</v>
      </c>
      <c r="P241" s="1214"/>
    </row>
    <row r="242" spans="1:16" s="1199" customFormat="1" ht="24" customHeight="1">
      <c r="A242" s="1331"/>
      <c r="B242" s="2174" t="s">
        <v>1108</v>
      </c>
      <c r="C242" s="1202"/>
      <c r="D242" s="1202"/>
      <c r="E242" s="1387">
        <v>1</v>
      </c>
      <c r="F242" s="1384" t="s">
        <v>1104</v>
      </c>
      <c r="G242" s="2176">
        <f>SUM(H240:H241)*15%</f>
        <v>39633.75</v>
      </c>
      <c r="H242" s="1264">
        <f t="shared" si="38"/>
        <v>39634</v>
      </c>
      <c r="I242" s="1414">
        <f>ROUND(G242*0.3,)</f>
        <v>11890</v>
      </c>
      <c r="J242" s="1264">
        <f t="shared" si="35"/>
        <v>11890</v>
      </c>
      <c r="K242" s="1273">
        <f t="shared" si="36"/>
        <v>51524</v>
      </c>
      <c r="L242" s="1385"/>
      <c r="M242" s="1214"/>
      <c r="N242" s="1214"/>
      <c r="O242" s="1214"/>
      <c r="P242" s="1214"/>
    </row>
    <row r="243" spans="1:16" s="1199" customFormat="1" ht="24" customHeight="1">
      <c r="A243" s="1406" t="s">
        <v>2916</v>
      </c>
      <c r="B243" s="2174" t="s">
        <v>1449</v>
      </c>
      <c r="C243" s="1202"/>
      <c r="D243" s="1202"/>
      <c r="E243" s="1387"/>
      <c r="F243" s="1384"/>
      <c r="G243" s="2176"/>
      <c r="H243" s="1264">
        <f t="shared" si="38"/>
        <v>0</v>
      </c>
      <c r="I243" s="2177"/>
      <c r="J243" s="1264">
        <f t="shared" si="35"/>
        <v>0</v>
      </c>
      <c r="K243" s="1273">
        <f t="shared" si="36"/>
        <v>0</v>
      </c>
      <c r="L243" s="1385"/>
      <c r="M243" s="1214"/>
      <c r="N243" s="1214"/>
      <c r="O243" s="1214"/>
      <c r="P243" s="1214"/>
    </row>
    <row r="244" spans="1:16" s="1199" customFormat="1" ht="24" customHeight="1">
      <c r="A244" s="1331"/>
      <c r="B244" s="2174" t="s">
        <v>1350</v>
      </c>
      <c r="C244" s="1202"/>
      <c r="D244" s="1202"/>
      <c r="E244" s="1387">
        <v>197</v>
      </c>
      <c r="F244" s="1358" t="s">
        <v>226</v>
      </c>
      <c r="G244" s="2176">
        <v>14</v>
      </c>
      <c r="H244" s="1264">
        <f t="shared" si="38"/>
        <v>2758</v>
      </c>
      <c r="I244" s="2177">
        <v>11</v>
      </c>
      <c r="J244" s="1264">
        <f t="shared" si="35"/>
        <v>2167</v>
      </c>
      <c r="K244" s="1273">
        <f t="shared" si="36"/>
        <v>4925</v>
      </c>
      <c r="L244" s="1385"/>
      <c r="M244" s="1214"/>
      <c r="N244" s="1214"/>
      <c r="O244" s="1214"/>
      <c r="P244" s="1214"/>
    </row>
    <row r="245" spans="1:16" s="1199" customFormat="1" ht="24" customHeight="1">
      <c r="A245" s="1331"/>
      <c r="B245" s="2174" t="s">
        <v>1117</v>
      </c>
      <c r="C245" s="1202"/>
      <c r="D245" s="1202"/>
      <c r="E245" s="1404"/>
      <c r="F245" s="1384"/>
      <c r="G245" s="2176"/>
      <c r="H245" s="1388"/>
      <c r="I245" s="2177"/>
      <c r="J245" s="1385"/>
      <c r="K245" s="1385"/>
      <c r="L245" s="1385"/>
      <c r="M245" s="1214"/>
      <c r="N245" s="1214"/>
      <c r="O245" s="1214"/>
      <c r="P245" s="1214"/>
    </row>
    <row r="246" spans="1:16" s="1199" customFormat="1" ht="24" customHeight="1">
      <c r="A246" s="1331"/>
      <c r="B246" s="2174" t="s">
        <v>1369</v>
      </c>
      <c r="C246" s="1202"/>
      <c r="D246" s="1202"/>
      <c r="E246" s="1387"/>
      <c r="F246" s="1384"/>
      <c r="G246" s="2176"/>
      <c r="H246" s="1264"/>
      <c r="I246" s="2177"/>
      <c r="J246" s="1264"/>
      <c r="K246" s="1273"/>
      <c r="L246" s="1385"/>
      <c r="M246" s="1214"/>
      <c r="N246" s="1214"/>
      <c r="O246" s="1214"/>
      <c r="P246" s="1214"/>
    </row>
    <row r="247" spans="1:16" s="1199" customFormat="1" ht="24" customHeight="1">
      <c r="A247" s="1406"/>
      <c r="B247" s="2174" t="s">
        <v>1369</v>
      </c>
      <c r="C247" s="1202"/>
      <c r="D247" s="1202"/>
      <c r="E247" s="1387"/>
      <c r="F247" s="1384"/>
      <c r="G247" s="2176"/>
      <c r="H247" s="1264"/>
      <c r="I247" s="2177"/>
      <c r="J247" s="1264"/>
      <c r="K247" s="1273"/>
      <c r="L247" s="1385"/>
      <c r="M247" s="1214"/>
      <c r="N247" s="1214"/>
      <c r="O247" s="1214"/>
      <c r="P247" s="1214"/>
    </row>
    <row r="248" spans="1:16" s="1199" customFormat="1" ht="24" customHeight="1">
      <c r="A248" s="1406"/>
      <c r="B248" s="2174"/>
      <c r="C248" s="1202"/>
      <c r="D248" s="1202"/>
      <c r="E248" s="1387"/>
      <c r="F248" s="1384"/>
      <c r="G248" s="2176"/>
      <c r="H248" s="1264"/>
      <c r="I248" s="2177"/>
      <c r="J248" s="1273"/>
      <c r="K248" s="1273"/>
      <c r="L248" s="1385"/>
      <c r="M248" s="1214"/>
      <c r="N248" s="1214"/>
      <c r="O248" s="1214"/>
      <c r="P248" s="1214"/>
    </row>
    <row r="249" spans="1:16" s="1199" customFormat="1" ht="24" customHeight="1">
      <c r="A249" s="1331"/>
      <c r="B249" s="2174"/>
      <c r="C249" s="1202"/>
      <c r="D249" s="1202"/>
      <c r="E249" s="1404"/>
      <c r="F249" s="1384"/>
      <c r="G249" s="2176"/>
      <c r="H249" s="1388"/>
      <c r="I249" s="2177"/>
      <c r="J249" s="1385"/>
      <c r="K249" s="1385"/>
      <c r="L249" s="1385"/>
      <c r="M249" s="1214"/>
      <c r="N249" s="1214"/>
      <c r="O249" s="1214"/>
      <c r="P249" s="1214"/>
    </row>
    <row r="250" spans="1:16" s="1199" customFormat="1" ht="24" customHeight="1">
      <c r="A250" s="1243"/>
      <c r="B250" s="2257" t="str">
        <f>"รวมราคารายการที่ "&amp;A209</f>
        <v>รวมราคารายการที่ 3.8</v>
      </c>
      <c r="C250" s="2258"/>
      <c r="D250" s="2259"/>
      <c r="E250" s="1244"/>
      <c r="F250" s="1245"/>
      <c r="G250" s="1246"/>
      <c r="H250" s="1247">
        <f>SUM(H210:H247)</f>
        <v>1579662</v>
      </c>
      <c r="I250" s="1246"/>
      <c r="J250" s="1247">
        <f>SUM(J210:J247)</f>
        <v>268011</v>
      </c>
      <c r="K250" s="1247">
        <f>SUM(K210:K247)</f>
        <v>1847673</v>
      </c>
      <c r="L250" s="1245"/>
      <c r="M250" s="1214"/>
      <c r="N250" s="1214"/>
      <c r="O250" s="1214"/>
      <c r="P250" s="1214"/>
    </row>
    <row r="251" spans="1:16" s="1199" customFormat="1" ht="24" customHeight="1">
      <c r="A251" s="1435" t="s">
        <v>1311</v>
      </c>
      <c r="B251" s="1436" t="s">
        <v>1404</v>
      </c>
      <c r="C251" s="1202"/>
      <c r="D251" s="1202"/>
      <c r="E251" s="1387"/>
      <c r="F251" s="1407"/>
      <c r="G251" s="2176"/>
      <c r="H251" s="1388"/>
      <c r="I251" s="2177"/>
      <c r="J251" s="1385"/>
      <c r="K251" s="1385"/>
      <c r="L251" s="1385"/>
      <c r="M251" s="1214"/>
      <c r="N251" s="1214"/>
      <c r="O251" s="1214"/>
      <c r="P251" s="1214"/>
    </row>
    <row r="252" spans="1:16" s="1199" customFormat="1" ht="24" customHeight="1">
      <c r="A252" s="1406" t="s">
        <v>1313</v>
      </c>
      <c r="B252" s="2174" t="s">
        <v>1529</v>
      </c>
      <c r="C252" s="1202"/>
      <c r="D252" s="1202"/>
      <c r="E252" s="1387">
        <v>24</v>
      </c>
      <c r="F252" s="1207" t="s">
        <v>363</v>
      </c>
      <c r="G252" s="2176">
        <v>900</v>
      </c>
      <c r="H252" s="1264">
        <f t="shared" ref="H252:H257" si="39">ROUND(G252*E252,)</f>
        <v>21600</v>
      </c>
      <c r="I252" s="2177">
        <v>140</v>
      </c>
      <c r="J252" s="1264">
        <f t="shared" ref="J252:J263" si="40">ROUND(E252*I252,)</f>
        <v>3360</v>
      </c>
      <c r="K252" s="1273">
        <f t="shared" ref="K252:K263" si="41">H252+J252</f>
        <v>24960</v>
      </c>
      <c r="L252" s="1385"/>
      <c r="M252" s="1214"/>
      <c r="N252" s="1214"/>
      <c r="O252" s="1214"/>
      <c r="P252" s="1214"/>
    </row>
    <row r="253" spans="1:16" s="1199" customFormat="1" ht="24" customHeight="1">
      <c r="A253" s="1406" t="s">
        <v>1547</v>
      </c>
      <c r="B253" s="2174" t="s">
        <v>1531</v>
      </c>
      <c r="C253" s="1202"/>
      <c r="D253" s="1202"/>
      <c r="E253" s="1387">
        <v>2</v>
      </c>
      <c r="F253" s="1207" t="s">
        <v>363</v>
      </c>
      <c r="G253" s="2176">
        <v>3800</v>
      </c>
      <c r="H253" s="1264">
        <f t="shared" si="39"/>
        <v>7600</v>
      </c>
      <c r="I253" s="2177">
        <v>200</v>
      </c>
      <c r="J253" s="1264">
        <f t="shared" si="40"/>
        <v>400</v>
      </c>
      <c r="K253" s="1273">
        <f t="shared" si="41"/>
        <v>8000</v>
      </c>
      <c r="L253" s="1385"/>
      <c r="M253" s="1214"/>
      <c r="N253" s="1214"/>
      <c r="O253" s="1214"/>
      <c r="P253" s="1214"/>
    </row>
    <row r="254" spans="1:16" s="1199" customFormat="1" ht="24" customHeight="1">
      <c r="A254" s="1406" t="s">
        <v>1549</v>
      </c>
      <c r="B254" s="2174" t="s">
        <v>1532</v>
      </c>
      <c r="C254" s="1202"/>
      <c r="D254" s="1202"/>
      <c r="E254" s="1387">
        <v>2</v>
      </c>
      <c r="F254" s="1207" t="s">
        <v>363</v>
      </c>
      <c r="G254" s="2176">
        <v>5000</v>
      </c>
      <c r="H254" s="1264">
        <f t="shared" si="39"/>
        <v>10000</v>
      </c>
      <c r="I254" s="2177">
        <f>G254*0.1</f>
        <v>500</v>
      </c>
      <c r="J254" s="1264">
        <f t="shared" si="40"/>
        <v>1000</v>
      </c>
      <c r="K254" s="1273">
        <f t="shared" si="41"/>
        <v>11000</v>
      </c>
      <c r="L254" s="1385"/>
      <c r="M254" s="1214"/>
      <c r="N254" s="1214"/>
      <c r="O254" s="1214"/>
      <c r="P254" s="1214"/>
    </row>
    <row r="255" spans="1:16" s="1199" customFormat="1" ht="24" customHeight="1">
      <c r="A255" s="1406" t="s">
        <v>1631</v>
      </c>
      <c r="B255" s="2174" t="s">
        <v>1312</v>
      </c>
      <c r="C255" s="1202"/>
      <c r="D255" s="1202"/>
      <c r="E255" s="1387"/>
      <c r="F255" s="1384"/>
      <c r="G255" s="2176"/>
      <c r="H255" s="1264">
        <f t="shared" si="39"/>
        <v>0</v>
      </c>
      <c r="I255" s="2177"/>
      <c r="J255" s="1264">
        <f t="shared" si="40"/>
        <v>0</v>
      </c>
      <c r="K255" s="1273">
        <f t="shared" si="41"/>
        <v>0</v>
      </c>
      <c r="L255" s="1385"/>
      <c r="M255" s="1214"/>
      <c r="N255" s="1214"/>
      <c r="O255" s="1214"/>
      <c r="P255" s="1214"/>
    </row>
    <row r="256" spans="1:16" s="1199" customFormat="1" ht="24" customHeight="1">
      <c r="A256" s="1331"/>
      <c r="B256" s="2174" t="s">
        <v>1534</v>
      </c>
      <c r="C256" s="1202"/>
      <c r="D256" s="1202"/>
      <c r="E256" s="1387">
        <v>827.99999999999989</v>
      </c>
      <c r="F256" s="1358" t="s">
        <v>226</v>
      </c>
      <c r="G256" s="2176">
        <v>32</v>
      </c>
      <c r="H256" s="1264">
        <f t="shared" si="39"/>
        <v>26496</v>
      </c>
      <c r="I256" s="2177">
        <v>11</v>
      </c>
      <c r="J256" s="1264">
        <f t="shared" si="40"/>
        <v>9108</v>
      </c>
      <c r="K256" s="1802">
        <f t="shared" si="41"/>
        <v>35604</v>
      </c>
      <c r="L256" s="2001" t="s">
        <v>2667</v>
      </c>
      <c r="M256" s="1214"/>
      <c r="N256" s="1199">
        <v>3183</v>
      </c>
      <c r="O256" s="1199">
        <f>ROUND(N256/100,)</f>
        <v>32</v>
      </c>
      <c r="P256" s="1214"/>
    </row>
    <row r="257" spans="1:16" s="1199" customFormat="1" ht="24" customHeight="1">
      <c r="A257" s="1331"/>
      <c r="B257" s="2174" t="s">
        <v>1535</v>
      </c>
      <c r="C257" s="1202"/>
      <c r="D257" s="1202"/>
      <c r="E257" s="1387">
        <v>114.99999999999999</v>
      </c>
      <c r="F257" s="1358" t="s">
        <v>226</v>
      </c>
      <c r="G257" s="2176">
        <v>40</v>
      </c>
      <c r="H257" s="1264">
        <f t="shared" si="39"/>
        <v>4600</v>
      </c>
      <c r="I257" s="2177">
        <v>12</v>
      </c>
      <c r="J257" s="1264">
        <f t="shared" si="40"/>
        <v>1380</v>
      </c>
      <c r="K257" s="1802">
        <f t="shared" si="41"/>
        <v>5980</v>
      </c>
      <c r="L257" s="2001" t="s">
        <v>2667</v>
      </c>
      <c r="M257" s="1214"/>
      <c r="N257" s="1199">
        <v>4039</v>
      </c>
      <c r="O257" s="1199">
        <f>ROUND(N257/100,)</f>
        <v>40</v>
      </c>
      <c r="P257" s="1214"/>
    </row>
    <row r="258" spans="1:16" s="1199" customFormat="1" ht="24" customHeight="1">
      <c r="A258" s="1331"/>
      <c r="B258" s="2174" t="s">
        <v>1525</v>
      </c>
      <c r="C258" s="1202"/>
      <c r="D258" s="1202"/>
      <c r="E258" s="1387">
        <v>1</v>
      </c>
      <c r="F258" s="1384" t="s">
        <v>1104</v>
      </c>
      <c r="G258" s="2176">
        <f>ROUND(SUM(H256:H257)*5%,)</f>
        <v>1555</v>
      </c>
      <c r="H258" s="1264">
        <f>ROUND(E258*G258,)</f>
        <v>1555</v>
      </c>
      <c r="I258" s="1414">
        <f>ROUND(G258*0.3,)</f>
        <v>467</v>
      </c>
      <c r="J258" s="1264">
        <f t="shared" si="40"/>
        <v>467</v>
      </c>
      <c r="K258" s="1273">
        <f t="shared" si="41"/>
        <v>2022</v>
      </c>
      <c r="L258" s="1385"/>
      <c r="M258" s="1214"/>
      <c r="N258" s="1214"/>
      <c r="O258" s="1214"/>
      <c r="P258" s="1214"/>
    </row>
    <row r="259" spans="1:16" s="1199" customFormat="1" ht="24" customHeight="1">
      <c r="A259" s="1406" t="s">
        <v>1610</v>
      </c>
      <c r="B259" s="2174" t="s">
        <v>1526</v>
      </c>
      <c r="C259" s="1202"/>
      <c r="D259" s="1202"/>
      <c r="E259" s="1387"/>
      <c r="F259" s="1384"/>
      <c r="G259" s="2176"/>
      <c r="H259" s="1264">
        <f>ROUND(G259*E259,)</f>
        <v>0</v>
      </c>
      <c r="I259" s="2177"/>
      <c r="J259" s="1264">
        <f t="shared" si="40"/>
        <v>0</v>
      </c>
      <c r="K259" s="1273">
        <f t="shared" si="41"/>
        <v>0</v>
      </c>
      <c r="L259" s="1385"/>
      <c r="M259" s="1214"/>
      <c r="N259" s="1214"/>
      <c r="O259" s="1214"/>
      <c r="P259" s="1214"/>
    </row>
    <row r="260" spans="1:16" s="1199" customFormat="1" ht="24" customHeight="1">
      <c r="A260" s="1331"/>
      <c r="B260" s="2174" t="s">
        <v>1350</v>
      </c>
      <c r="C260" s="1202"/>
      <c r="D260" s="1202"/>
      <c r="E260" s="1387">
        <v>942.99999999999989</v>
      </c>
      <c r="F260" s="1358" t="s">
        <v>226</v>
      </c>
      <c r="G260" s="2176">
        <v>25</v>
      </c>
      <c r="H260" s="1264">
        <f>ROUND(G260*E260,)</f>
        <v>23575</v>
      </c>
      <c r="I260" s="2177">
        <v>22</v>
      </c>
      <c r="J260" s="1264">
        <f t="shared" si="40"/>
        <v>20746</v>
      </c>
      <c r="K260" s="1273">
        <f t="shared" si="41"/>
        <v>44321</v>
      </c>
      <c r="L260" s="2001" t="s">
        <v>2667</v>
      </c>
      <c r="M260" s="1214"/>
      <c r="N260" s="1214"/>
      <c r="O260" s="1214"/>
      <c r="P260" s="1214"/>
    </row>
    <row r="261" spans="1:16" s="1199" customFormat="1" ht="24" customHeight="1">
      <c r="A261" s="1331"/>
      <c r="B261" s="2174" t="s">
        <v>1384</v>
      </c>
      <c r="C261" s="1202"/>
      <c r="D261" s="1202"/>
      <c r="E261" s="1387">
        <v>1</v>
      </c>
      <c r="F261" s="1407" t="s">
        <v>1104</v>
      </c>
      <c r="G261" s="2176">
        <f>ROUND(SUM(H260:H260)*15%,)</f>
        <v>3536</v>
      </c>
      <c r="H261" s="1264">
        <f>ROUND(G261*E261,)</f>
        <v>3536</v>
      </c>
      <c r="I261" s="1414">
        <f>ROUND(G261*0.3,)</f>
        <v>1061</v>
      </c>
      <c r="J261" s="1264">
        <f t="shared" si="40"/>
        <v>1061</v>
      </c>
      <c r="K261" s="1273">
        <f t="shared" si="41"/>
        <v>4597</v>
      </c>
      <c r="L261" s="1385"/>
      <c r="M261" s="1214"/>
      <c r="N261" s="1214"/>
      <c r="O261" s="1214"/>
      <c r="P261" s="1214"/>
    </row>
    <row r="262" spans="1:16" s="1199" customFormat="1" ht="24" customHeight="1">
      <c r="A262" s="1331" t="s">
        <v>1632</v>
      </c>
      <c r="B262" s="2174" t="s">
        <v>1449</v>
      </c>
      <c r="C262" s="1202"/>
      <c r="D262" s="1202"/>
      <c r="E262" s="1387"/>
      <c r="F262" s="1384"/>
      <c r="G262" s="2176"/>
      <c r="H262" s="1264">
        <f>ROUND(G262*E262,)</f>
        <v>0</v>
      </c>
      <c r="I262" s="2177"/>
      <c r="J262" s="1264">
        <f t="shared" si="40"/>
        <v>0</v>
      </c>
      <c r="K262" s="1273">
        <f t="shared" si="41"/>
        <v>0</v>
      </c>
      <c r="L262" s="1385"/>
      <c r="M262" s="1214"/>
      <c r="N262" s="1214"/>
      <c r="O262" s="1214"/>
      <c r="P262" s="1214"/>
    </row>
    <row r="263" spans="1:16" s="1199" customFormat="1" ht="24" customHeight="1">
      <c r="A263" s="1331"/>
      <c r="B263" s="2174" t="s">
        <v>1350</v>
      </c>
      <c r="C263" s="1202"/>
      <c r="D263" s="1202"/>
      <c r="E263" s="1387">
        <v>24</v>
      </c>
      <c r="F263" s="1358" t="s">
        <v>226</v>
      </c>
      <c r="G263" s="2176">
        <v>14</v>
      </c>
      <c r="H263" s="1264">
        <f>ROUND(G263*E263,)</f>
        <v>336</v>
      </c>
      <c r="I263" s="2177">
        <v>11</v>
      </c>
      <c r="J263" s="1264">
        <f t="shared" si="40"/>
        <v>264</v>
      </c>
      <c r="K263" s="1273">
        <f t="shared" si="41"/>
        <v>600</v>
      </c>
      <c r="L263" s="1385"/>
      <c r="M263" s="1214"/>
      <c r="N263" s="1214"/>
      <c r="O263" s="1214"/>
      <c r="P263" s="1214"/>
    </row>
    <row r="264" spans="1:16" s="1199" customFormat="1" ht="24" customHeight="1">
      <c r="A264" s="1331"/>
      <c r="B264" s="2174" t="s">
        <v>1117</v>
      </c>
      <c r="C264" s="1202"/>
      <c r="D264" s="1202"/>
      <c r="E264" s="1387"/>
      <c r="F264" s="1384"/>
      <c r="G264" s="2176"/>
      <c r="H264" s="1388"/>
      <c r="I264" s="2177"/>
      <c r="J264" s="1385"/>
      <c r="K264" s="1385"/>
      <c r="L264" s="1385"/>
      <c r="M264" s="1214"/>
      <c r="N264" s="1214"/>
      <c r="O264" s="1214"/>
      <c r="P264" s="1214"/>
    </row>
    <row r="265" spans="1:16" s="1199" customFormat="1" ht="24" customHeight="1">
      <c r="A265" s="1331"/>
      <c r="B265" s="2174" t="s">
        <v>1118</v>
      </c>
      <c r="C265" s="1202"/>
      <c r="D265" s="1202"/>
      <c r="E265" s="1387"/>
      <c r="F265" s="1384"/>
      <c r="G265" s="2176"/>
      <c r="H265" s="1388"/>
      <c r="I265" s="2177"/>
      <c r="J265" s="1385"/>
      <c r="K265" s="1385"/>
      <c r="L265" s="1385"/>
      <c r="M265" s="1214"/>
      <c r="N265" s="1214"/>
      <c r="O265" s="1214"/>
      <c r="P265" s="1214"/>
    </row>
    <row r="266" spans="1:16" s="1199" customFormat="1" ht="24" customHeight="1">
      <c r="A266" s="1243"/>
      <c r="B266" s="2257" t="str">
        <f>"รวมราคารายการที่ "&amp;A251</f>
        <v>รวมราคารายการที่ 3.9</v>
      </c>
      <c r="C266" s="2258"/>
      <c r="D266" s="2259"/>
      <c r="E266" s="1244"/>
      <c r="F266" s="1245"/>
      <c r="G266" s="1246"/>
      <c r="H266" s="1247">
        <f>SUM(H252:H265)</f>
        <v>99298</v>
      </c>
      <c r="I266" s="1246"/>
      <c r="J266" s="1247">
        <f>SUM(J252:J265)</f>
        <v>37786</v>
      </c>
      <c r="K266" s="1247">
        <f>SUM(K252:K265)</f>
        <v>137084</v>
      </c>
      <c r="L266" s="1245"/>
      <c r="M266" s="1214"/>
      <c r="N266" s="1214"/>
      <c r="O266" s="1214"/>
      <c r="P266" s="1214"/>
    </row>
    <row r="267" spans="1:16" s="1199" customFormat="1" ht="24" customHeight="1">
      <c r="A267" s="1381" t="s">
        <v>1332</v>
      </c>
      <c r="B267" s="1292" t="s">
        <v>1419</v>
      </c>
      <c r="C267" s="1235"/>
      <c r="D267" s="1235"/>
      <c r="E267" s="1397"/>
      <c r="F267" s="1398"/>
      <c r="G267" s="1399"/>
      <c r="H267" s="1400"/>
      <c r="I267" s="1401"/>
      <c r="J267" s="1402"/>
      <c r="K267" s="1402"/>
      <c r="L267" s="1402"/>
      <c r="M267" s="1214"/>
      <c r="N267" s="1214"/>
      <c r="O267" s="1214"/>
      <c r="P267" s="1214"/>
    </row>
    <row r="268" spans="1:16" s="1199" customFormat="1" ht="24" customHeight="1">
      <c r="A268" s="1331" t="s">
        <v>1334</v>
      </c>
      <c r="B268" s="2174" t="s">
        <v>1539</v>
      </c>
      <c r="C268" s="1202"/>
      <c r="D268" s="1202"/>
      <c r="E268" s="1387"/>
      <c r="F268" s="1384"/>
      <c r="G268" s="2176"/>
      <c r="H268" s="1388"/>
      <c r="I268" s="2177"/>
      <c r="J268" s="1385"/>
      <c r="K268" s="1385"/>
      <c r="L268" s="1385"/>
      <c r="M268" s="1214"/>
      <c r="N268" s="1214"/>
      <c r="O268" s="1214"/>
      <c r="P268" s="1214"/>
    </row>
    <row r="269" spans="1:16" s="1199" customFormat="1" ht="24" customHeight="1">
      <c r="A269" s="1331"/>
      <c r="B269" s="2174" t="s">
        <v>1540</v>
      </c>
      <c r="C269" s="1202"/>
      <c r="D269" s="1202"/>
      <c r="E269" s="1387">
        <v>2</v>
      </c>
      <c r="F269" s="1207" t="s">
        <v>363</v>
      </c>
      <c r="G269" s="2176">
        <v>46645</v>
      </c>
      <c r="H269" s="1388">
        <f t="shared" ref="H269:H274" si="42">ROUND(E269*G269,)</f>
        <v>93290</v>
      </c>
      <c r="I269" s="2177">
        <v>5000</v>
      </c>
      <c r="J269" s="1385">
        <f>ROUND(E269*I269,)</f>
        <v>10000</v>
      </c>
      <c r="K269" s="1385">
        <f t="shared" ref="K269:K274" si="43">H269+J269</f>
        <v>103290</v>
      </c>
      <c r="L269" s="1385"/>
      <c r="M269" s="1214"/>
      <c r="N269" s="1214"/>
      <c r="O269" s="1214"/>
      <c r="P269" s="1214"/>
    </row>
    <row r="270" spans="1:16" s="1199" customFormat="1" ht="24" customHeight="1">
      <c r="A270" s="1331"/>
      <c r="B270" s="2174" t="s">
        <v>1541</v>
      </c>
      <c r="C270" s="1202"/>
      <c r="D270" s="1202"/>
      <c r="E270" s="1387">
        <v>4</v>
      </c>
      <c r="F270" s="1207" t="s">
        <v>363</v>
      </c>
      <c r="G270" s="2176">
        <v>21375</v>
      </c>
      <c r="H270" s="1388">
        <f t="shared" si="42"/>
        <v>85500</v>
      </c>
      <c r="I270" s="2177" t="s">
        <v>1542</v>
      </c>
      <c r="J270" s="1385"/>
      <c r="K270" s="1385">
        <f t="shared" si="43"/>
        <v>85500</v>
      </c>
      <c r="L270" s="1385"/>
      <c r="M270" s="1214"/>
      <c r="N270" s="1214"/>
      <c r="O270" s="1214"/>
      <c r="P270" s="1214"/>
    </row>
    <row r="271" spans="1:16" s="1199" customFormat="1" ht="24" customHeight="1">
      <c r="A271" s="1331"/>
      <c r="B271" s="2174" t="s">
        <v>1543</v>
      </c>
      <c r="C271" s="1202"/>
      <c r="D271" s="1202"/>
      <c r="E271" s="1387">
        <v>4</v>
      </c>
      <c r="F271" s="1207" t="s">
        <v>363</v>
      </c>
      <c r="G271" s="2176">
        <v>9025</v>
      </c>
      <c r="H271" s="1388">
        <f t="shared" si="42"/>
        <v>36100</v>
      </c>
      <c r="I271" s="2177" t="s">
        <v>1542</v>
      </c>
      <c r="J271" s="1385"/>
      <c r="K271" s="1385">
        <f t="shared" si="43"/>
        <v>36100</v>
      </c>
      <c r="L271" s="1385"/>
      <c r="M271" s="1214"/>
      <c r="N271" s="1214"/>
      <c r="O271" s="1214"/>
      <c r="P271" s="1214"/>
    </row>
    <row r="272" spans="1:16" s="1199" customFormat="1" ht="24" customHeight="1">
      <c r="A272" s="1331"/>
      <c r="B272" s="2174" t="s">
        <v>1544</v>
      </c>
      <c r="C272" s="1202"/>
      <c r="D272" s="1202"/>
      <c r="E272" s="1387">
        <v>4</v>
      </c>
      <c r="F272" s="1207" t="s">
        <v>363</v>
      </c>
      <c r="G272" s="2176">
        <v>1995</v>
      </c>
      <c r="H272" s="1388">
        <f t="shared" si="42"/>
        <v>7980</v>
      </c>
      <c r="I272" s="2177" t="s">
        <v>1542</v>
      </c>
      <c r="J272" s="1385"/>
      <c r="K272" s="1385">
        <f t="shared" si="43"/>
        <v>7980</v>
      </c>
      <c r="L272" s="1385"/>
      <c r="M272" s="1214"/>
      <c r="N272" s="1214"/>
      <c r="O272" s="1214"/>
      <c r="P272" s="1214"/>
    </row>
    <row r="273" spans="1:16" s="1199" customFormat="1" ht="24" customHeight="1">
      <c r="A273" s="1331"/>
      <c r="B273" s="2174" t="s">
        <v>1545</v>
      </c>
      <c r="C273" s="1202"/>
      <c r="D273" s="1202"/>
      <c r="E273" s="1387">
        <v>4</v>
      </c>
      <c r="F273" s="1207" t="s">
        <v>363</v>
      </c>
      <c r="G273" s="2176">
        <v>427.5</v>
      </c>
      <c r="H273" s="1388">
        <f t="shared" si="42"/>
        <v>1710</v>
      </c>
      <c r="I273" s="2177" t="s">
        <v>1542</v>
      </c>
      <c r="J273" s="1385"/>
      <c r="K273" s="1385">
        <f t="shared" si="43"/>
        <v>1710</v>
      </c>
      <c r="L273" s="1385"/>
      <c r="M273" s="1214"/>
      <c r="N273" s="1214"/>
      <c r="O273" s="1214"/>
      <c r="P273" s="1214"/>
    </row>
    <row r="274" spans="1:16" s="1199" customFormat="1" ht="24" customHeight="1">
      <c r="A274" s="1331"/>
      <c r="B274" s="2174" t="s">
        <v>1546</v>
      </c>
      <c r="C274" s="1202"/>
      <c r="D274" s="1202"/>
      <c r="E274" s="1404">
        <v>4</v>
      </c>
      <c r="F274" s="1207" t="s">
        <v>363</v>
      </c>
      <c r="G274" s="2176">
        <v>807.5</v>
      </c>
      <c r="H274" s="1388">
        <f t="shared" si="42"/>
        <v>3230</v>
      </c>
      <c r="I274" s="2177" t="s">
        <v>1542</v>
      </c>
      <c r="J274" s="1385"/>
      <c r="K274" s="1385">
        <f t="shared" si="43"/>
        <v>3230</v>
      </c>
      <c r="L274" s="1385"/>
      <c r="M274" s="1214"/>
      <c r="N274" s="1214"/>
      <c r="O274" s="1214"/>
      <c r="P274" s="1214"/>
    </row>
    <row r="275" spans="1:16" s="1199" customFormat="1" ht="24" customHeight="1">
      <c r="A275" s="1406" t="s">
        <v>1556</v>
      </c>
      <c r="B275" s="2174" t="s">
        <v>1312</v>
      </c>
      <c r="C275" s="1202"/>
      <c r="D275" s="1202"/>
      <c r="E275" s="1404"/>
      <c r="F275" s="1384"/>
      <c r="G275" s="2176"/>
      <c r="H275" s="1388"/>
      <c r="I275" s="2177"/>
      <c r="J275" s="1385"/>
      <c r="K275" s="1385"/>
      <c r="L275" s="1385"/>
      <c r="M275" s="1214"/>
      <c r="N275" s="1214"/>
      <c r="O275" s="1214"/>
      <c r="P275" s="1214"/>
    </row>
    <row r="276" spans="1:16" s="1199" customFormat="1" ht="24" customHeight="1">
      <c r="A276" s="1331"/>
      <c r="B276" s="2174" t="s">
        <v>1548</v>
      </c>
      <c r="C276" s="1202"/>
      <c r="D276" s="1202"/>
      <c r="E276" s="1404">
        <v>237.66666666666666</v>
      </c>
      <c r="F276" s="1358" t="s">
        <v>226</v>
      </c>
      <c r="G276" s="2176">
        <v>37</v>
      </c>
      <c r="H276" s="1388">
        <f>ROUND(E276*G276,)</f>
        <v>8794</v>
      </c>
      <c r="I276" s="2177">
        <v>5</v>
      </c>
      <c r="J276" s="1385">
        <f>ROUND(E276*I276,)</f>
        <v>1188</v>
      </c>
      <c r="K276" s="1385">
        <f>H276+J276</f>
        <v>9982</v>
      </c>
      <c r="L276" s="1385"/>
      <c r="M276" s="1214"/>
      <c r="N276" s="1214"/>
      <c r="O276" s="1214"/>
      <c r="P276" s="1214"/>
    </row>
    <row r="277" spans="1:16" s="1199" customFormat="1" ht="24" customHeight="1">
      <c r="A277" s="1331"/>
      <c r="B277" s="2174" t="s">
        <v>1525</v>
      </c>
      <c r="C277" s="1202"/>
      <c r="D277" s="1202"/>
      <c r="E277" s="1404">
        <v>1</v>
      </c>
      <c r="F277" s="1384" t="s">
        <v>1104</v>
      </c>
      <c r="G277" s="2176">
        <f>ROUND(SUM(H276)*5%,)</f>
        <v>440</v>
      </c>
      <c r="H277" s="1264">
        <f>ROUND(E277*G277,)</f>
        <v>440</v>
      </c>
      <c r="I277" s="1414">
        <f>ROUND(G277*0.3,)</f>
        <v>132</v>
      </c>
      <c r="J277" s="1264">
        <f>ROUND(E277*I277,)</f>
        <v>132</v>
      </c>
      <c r="K277" s="1273">
        <f>H277+J277</f>
        <v>572</v>
      </c>
      <c r="L277" s="1385"/>
      <c r="M277" s="1214"/>
      <c r="N277" s="1214"/>
      <c r="O277" s="1214"/>
      <c r="P277" s="1214"/>
    </row>
    <row r="278" spans="1:16" s="1199" customFormat="1" ht="24" customHeight="1">
      <c r="A278" s="1406" t="s">
        <v>1566</v>
      </c>
      <c r="B278" s="2174" t="s">
        <v>1526</v>
      </c>
      <c r="C278" s="1202"/>
      <c r="D278" s="1202"/>
      <c r="E278" s="1404"/>
      <c r="F278" s="1384"/>
      <c r="G278" s="2176"/>
      <c r="H278" s="1388"/>
      <c r="I278" s="2177"/>
      <c r="J278" s="1385"/>
      <c r="K278" s="1385"/>
      <c r="L278" s="1385"/>
      <c r="M278" s="1214"/>
      <c r="N278" s="1214"/>
      <c r="O278" s="1214"/>
      <c r="P278" s="1214"/>
    </row>
    <row r="279" spans="1:16" s="1199" customFormat="1" ht="24" customHeight="1">
      <c r="A279" s="1331"/>
      <c r="B279" s="2174" t="s">
        <v>1350</v>
      </c>
      <c r="C279" s="1202"/>
      <c r="D279" s="1202"/>
      <c r="E279" s="1404">
        <v>237.66666666666666</v>
      </c>
      <c r="F279" s="1358" t="s">
        <v>226</v>
      </c>
      <c r="G279" s="2176">
        <v>27</v>
      </c>
      <c r="H279" s="1264">
        <f t="shared" ref="H279" si="44">ROUND(G279*E279,)</f>
        <v>6417</v>
      </c>
      <c r="I279" s="2177">
        <v>22</v>
      </c>
      <c r="J279" s="1264">
        <f t="shared" ref="J279" si="45">ROUND(E279*I279,)</f>
        <v>5229</v>
      </c>
      <c r="K279" s="1801">
        <f t="shared" ref="K279" si="46">H279+J279</f>
        <v>11646</v>
      </c>
      <c r="L279" s="2001" t="s">
        <v>2667</v>
      </c>
      <c r="M279" s="1214"/>
      <c r="N279" s="1199">
        <v>79.8</v>
      </c>
      <c r="O279" s="1199">
        <f>ROUND(N279/3,)</f>
        <v>27</v>
      </c>
      <c r="P279" s="1214"/>
    </row>
    <row r="280" spans="1:16" s="1199" customFormat="1" ht="24" customHeight="1">
      <c r="A280" s="1331"/>
      <c r="B280" s="2174" t="s">
        <v>1384</v>
      </c>
      <c r="C280" s="1202"/>
      <c r="D280" s="1202"/>
      <c r="E280" s="1404">
        <v>1</v>
      </c>
      <c r="F280" s="1384" t="s">
        <v>1104</v>
      </c>
      <c r="G280" s="2176">
        <f>ROUND(H279*15%,)</f>
        <v>963</v>
      </c>
      <c r="H280" s="1264">
        <f>ROUND(G280*E280,)</f>
        <v>963</v>
      </c>
      <c r="I280" s="1414">
        <f>ROUND(G280*0.3,)</f>
        <v>289</v>
      </c>
      <c r="J280" s="1264">
        <f>ROUND(E280*I280,)</f>
        <v>289</v>
      </c>
      <c r="K280" s="1273">
        <f>H280+J280</f>
        <v>1252</v>
      </c>
      <c r="L280" s="1385"/>
      <c r="M280" s="1214"/>
      <c r="N280" s="1214"/>
      <c r="O280" s="1214"/>
      <c r="P280" s="1214"/>
    </row>
    <row r="281" spans="1:16" s="1199" customFormat="1" ht="24" customHeight="1">
      <c r="A281" s="1331"/>
      <c r="B281" s="2174" t="s">
        <v>1117</v>
      </c>
      <c r="C281" s="1202"/>
      <c r="D281" s="1202"/>
      <c r="E281" s="1404"/>
      <c r="F281" s="1384"/>
      <c r="G281" s="2176"/>
      <c r="H281" s="1388"/>
      <c r="I281" s="2177"/>
      <c r="J281" s="1385"/>
      <c r="K281" s="1385"/>
      <c r="L281" s="1385"/>
      <c r="M281" s="1214"/>
      <c r="N281" s="1214"/>
      <c r="O281" s="1214"/>
      <c r="P281" s="1214"/>
    </row>
    <row r="282" spans="1:16" s="1199" customFormat="1" ht="24" customHeight="1">
      <c r="A282" s="1243"/>
      <c r="B282" s="2257" t="str">
        <f>"รวมราคารายการที่ "&amp;A267</f>
        <v>รวมราคารายการที่ 3.10</v>
      </c>
      <c r="C282" s="2258"/>
      <c r="D282" s="2259"/>
      <c r="E282" s="1244"/>
      <c r="F282" s="1245"/>
      <c r="G282" s="1246"/>
      <c r="H282" s="1247">
        <f>SUM(H268:H281)</f>
        <v>244424</v>
      </c>
      <c r="I282" s="1246"/>
      <c r="J282" s="1247">
        <f>SUM(J268:J281)</f>
        <v>16838</v>
      </c>
      <c r="K282" s="1247">
        <f>SUM(K268:K281)</f>
        <v>261262</v>
      </c>
      <c r="L282" s="1245"/>
    </row>
    <row r="283" spans="1:16" s="1199" customFormat="1" ht="24" customHeight="1">
      <c r="A283" s="1367" t="s">
        <v>1570</v>
      </c>
      <c r="B283" s="1353" t="s">
        <v>1550</v>
      </c>
      <c r="C283" s="1452"/>
      <c r="D283" s="1452"/>
      <c r="E283" s="1453"/>
      <c r="F283" s="1454"/>
      <c r="G283" s="1455"/>
      <c r="H283" s="820"/>
      <c r="I283" s="1456"/>
      <c r="J283" s="1457"/>
      <c r="K283" s="1457"/>
      <c r="L283" s="1457"/>
      <c r="M283" s="1214"/>
      <c r="N283" s="1214"/>
      <c r="O283" s="1214"/>
      <c r="P283" s="1214"/>
    </row>
    <row r="284" spans="1:16" s="1199" customFormat="1" ht="24" customHeight="1">
      <c r="A284" s="1458" t="s">
        <v>1348</v>
      </c>
      <c r="B284" s="1220" t="s">
        <v>1551</v>
      </c>
      <c r="C284" s="1221"/>
      <c r="D284" s="1221"/>
      <c r="E284" s="1459"/>
      <c r="F284" s="1460"/>
      <c r="G284" s="1461"/>
      <c r="H284" s="1462"/>
      <c r="I284" s="1463"/>
      <c r="J284" s="1462"/>
      <c r="K284" s="1464"/>
      <c r="L284" s="1415"/>
      <c r="M284" s="1214"/>
      <c r="N284" s="1214"/>
      <c r="O284" s="1214"/>
      <c r="P284" s="1214"/>
    </row>
    <row r="285" spans="1:16" s="1199" customFormat="1" ht="24" customHeight="1">
      <c r="A285" s="1339"/>
      <c r="B285" s="1220" t="s">
        <v>1643</v>
      </c>
      <c r="C285" s="1221"/>
      <c r="D285" s="1221"/>
      <c r="E285" s="1404">
        <v>1</v>
      </c>
      <c r="F285" s="1223" t="s">
        <v>363</v>
      </c>
      <c r="G285" s="1386">
        <v>114800</v>
      </c>
      <c r="H285" s="1413">
        <f t="shared" ref="H285:H286" si="47">ROUND(E285*G285,)</f>
        <v>114800</v>
      </c>
      <c r="I285" s="1414">
        <f>G285*0.1</f>
        <v>11480</v>
      </c>
      <c r="J285" s="1415">
        <f>ROUND(E285*I285,)</f>
        <v>11480</v>
      </c>
      <c r="K285" s="1415">
        <f t="shared" ref="K285:K286" si="48">H285+J285</f>
        <v>126280</v>
      </c>
      <c r="L285" s="1415"/>
      <c r="M285" s="1214"/>
      <c r="N285" s="1214"/>
      <c r="O285" s="1214"/>
      <c r="P285" s="1214"/>
    </row>
    <row r="286" spans="1:16" s="1199" customFormat="1" ht="24" customHeight="1">
      <c r="A286" s="1339"/>
      <c r="B286" s="1220" t="s">
        <v>1644</v>
      </c>
      <c r="C286" s="1221"/>
      <c r="D286" s="1221"/>
      <c r="E286" s="1404">
        <v>1</v>
      </c>
      <c r="F286" s="1223" t="s">
        <v>363</v>
      </c>
      <c r="G286" s="1386">
        <v>106400</v>
      </c>
      <c r="H286" s="1413">
        <f t="shared" si="47"/>
        <v>106400</v>
      </c>
      <c r="I286" s="1414">
        <f t="shared" ref="I286" si="49">G286*0.1</f>
        <v>10640</v>
      </c>
      <c r="J286" s="1415">
        <f t="shared" ref="J286" si="50">ROUND(E286*I286,)</f>
        <v>10640</v>
      </c>
      <c r="K286" s="1415">
        <f t="shared" si="48"/>
        <v>117040</v>
      </c>
      <c r="L286" s="1415"/>
      <c r="M286" s="1214"/>
      <c r="N286" s="1214"/>
      <c r="O286" s="1214"/>
      <c r="P286" s="1214"/>
    </row>
    <row r="287" spans="1:16" s="1199" customFormat="1" ht="24" customHeight="1">
      <c r="A287" s="1458" t="s">
        <v>1349</v>
      </c>
      <c r="B287" s="1220" t="s">
        <v>1557</v>
      </c>
      <c r="C287" s="1221"/>
      <c r="D287" s="1221"/>
      <c r="E287" s="1459"/>
      <c r="F287" s="1460"/>
      <c r="G287" s="1461"/>
      <c r="H287" s="1462"/>
      <c r="I287" s="1463"/>
      <c r="J287" s="1462"/>
      <c r="K287" s="1464"/>
      <c r="L287" s="1415"/>
      <c r="M287" s="1214"/>
      <c r="N287" s="1214"/>
      <c r="O287" s="1214"/>
      <c r="P287" s="1214"/>
    </row>
    <row r="288" spans="1:16" s="1199" customFormat="1" ht="24" customHeight="1">
      <c r="A288" s="1339"/>
      <c r="B288" s="1220" t="s">
        <v>1645</v>
      </c>
      <c r="C288" s="1221"/>
      <c r="D288" s="1221"/>
      <c r="E288" s="1404">
        <v>1</v>
      </c>
      <c r="F288" s="1223" t="s">
        <v>363</v>
      </c>
      <c r="G288" s="1386">
        <v>3500</v>
      </c>
      <c r="H288" s="1413">
        <f t="shared" ref="H288:H289" si="51">ROUND(E288*G288,)</f>
        <v>3500</v>
      </c>
      <c r="I288" s="1414">
        <f t="shared" ref="I288:I289" si="52">G288*0.1</f>
        <v>350</v>
      </c>
      <c r="J288" s="1415">
        <f t="shared" ref="J288:J289" si="53">ROUND(E288*I288,)</f>
        <v>350</v>
      </c>
      <c r="K288" s="1415">
        <f t="shared" ref="K288:K289" si="54">H288+J288</f>
        <v>3850</v>
      </c>
      <c r="L288" s="1415"/>
      <c r="M288" s="1214"/>
      <c r="N288" s="1214"/>
      <c r="O288" s="1214"/>
      <c r="P288" s="1214"/>
    </row>
    <row r="289" spans="1:21" s="1199" customFormat="1" ht="24" customHeight="1">
      <c r="A289" s="1339"/>
      <c r="B289" s="1220" t="s">
        <v>1646</v>
      </c>
      <c r="C289" s="1221"/>
      <c r="D289" s="1221"/>
      <c r="E289" s="1404">
        <v>1</v>
      </c>
      <c r="F289" s="1223" t="s">
        <v>363</v>
      </c>
      <c r="G289" s="1386">
        <v>3500</v>
      </c>
      <c r="H289" s="1413">
        <f t="shared" si="51"/>
        <v>3500</v>
      </c>
      <c r="I289" s="1414">
        <f t="shared" si="52"/>
        <v>350</v>
      </c>
      <c r="J289" s="1415">
        <f t="shared" si="53"/>
        <v>350</v>
      </c>
      <c r="K289" s="1415">
        <f t="shared" si="54"/>
        <v>3850</v>
      </c>
      <c r="L289" s="1415"/>
      <c r="M289" s="1214"/>
      <c r="N289" s="1214"/>
      <c r="O289" s="1214"/>
      <c r="P289" s="1214"/>
    </row>
    <row r="290" spans="1:21" s="1199" customFormat="1" ht="24" customHeight="1">
      <c r="A290" s="1458" t="s">
        <v>1577</v>
      </c>
      <c r="B290" s="1465" t="s">
        <v>1312</v>
      </c>
      <c r="C290" s="1452"/>
      <c r="D290" s="1452"/>
      <c r="E290" s="1453"/>
      <c r="F290" s="1454"/>
      <c r="G290" s="1386"/>
      <c r="H290" s="1413"/>
      <c r="I290" s="1414"/>
      <c r="J290" s="1415"/>
      <c r="K290" s="1415"/>
      <c r="L290" s="1457"/>
      <c r="M290" s="1214"/>
      <c r="N290" s="1214"/>
      <c r="O290" s="1214"/>
      <c r="P290" s="1214"/>
    </row>
    <row r="291" spans="1:21" s="1199" customFormat="1" ht="24" customHeight="1">
      <c r="A291" s="1339"/>
      <c r="B291" s="1220" t="s">
        <v>1567</v>
      </c>
      <c r="C291" s="1221"/>
      <c r="D291" s="1221"/>
      <c r="E291" s="1404">
        <v>240</v>
      </c>
      <c r="F291" s="1262" t="s">
        <v>226</v>
      </c>
      <c r="G291" s="1386">
        <v>103</v>
      </c>
      <c r="H291" s="1413">
        <f>ROUND(E291*G291,)</f>
        <v>24720</v>
      </c>
      <c r="I291" s="1414">
        <v>21</v>
      </c>
      <c r="J291" s="1415">
        <f>ROUND(E291*I291,)</f>
        <v>5040</v>
      </c>
      <c r="K291" s="1415">
        <f>H291+J291</f>
        <v>29760</v>
      </c>
      <c r="L291" s="1415"/>
      <c r="M291" s="1214"/>
      <c r="N291" s="1214"/>
      <c r="O291" s="1214"/>
      <c r="P291" s="1214"/>
    </row>
    <row r="292" spans="1:21" s="1199" customFormat="1" ht="24" customHeight="1">
      <c r="A292" s="1339"/>
      <c r="B292" s="1220" t="s">
        <v>1568</v>
      </c>
      <c r="C292" s="1221"/>
      <c r="D292" s="1221"/>
      <c r="E292" s="1404">
        <v>120</v>
      </c>
      <c r="F292" s="1262" t="s">
        <v>226</v>
      </c>
      <c r="G292" s="1386">
        <v>139</v>
      </c>
      <c r="H292" s="1413">
        <f>ROUND(E292*G292,)</f>
        <v>16680</v>
      </c>
      <c r="I292" s="1414">
        <v>21</v>
      </c>
      <c r="J292" s="1415">
        <f>ROUND(E292*I292,)</f>
        <v>2520</v>
      </c>
      <c r="K292" s="1415">
        <f>H292+J292</f>
        <v>19200</v>
      </c>
      <c r="L292" s="1415"/>
      <c r="M292" s="1214"/>
      <c r="N292" s="1214"/>
      <c r="O292" s="1214"/>
      <c r="P292" s="1214"/>
    </row>
    <row r="293" spans="1:21" s="1199" customFormat="1" ht="24" customHeight="1">
      <c r="A293" s="1339"/>
      <c r="B293" s="1220" t="s">
        <v>1525</v>
      </c>
      <c r="C293" s="1221"/>
      <c r="D293" s="1221"/>
      <c r="E293" s="1404">
        <v>1</v>
      </c>
      <c r="F293" s="1412" t="s">
        <v>1104</v>
      </c>
      <c r="G293" s="1386">
        <f>ROUND(SUM(H291:H292)*5%,)</f>
        <v>2070</v>
      </c>
      <c r="H293" s="1343">
        <f t="shared" ref="H293" si="55">ROUND(E293*G293,)</f>
        <v>2070</v>
      </c>
      <c r="I293" s="1414">
        <f>ROUND(G293*0.3,)</f>
        <v>621</v>
      </c>
      <c r="J293" s="1343">
        <f t="shared" ref="J293" si="56">ROUND(E293*I293,)</f>
        <v>621</v>
      </c>
      <c r="K293" s="1262">
        <f t="shared" ref="K293" si="57">H293+J293</f>
        <v>2691</v>
      </c>
      <c r="L293" s="1415"/>
      <c r="M293" s="1214"/>
      <c r="N293" s="1214"/>
      <c r="O293" s="1214"/>
      <c r="P293" s="1214"/>
    </row>
    <row r="294" spans="1:21" s="1199" customFormat="1" ht="24" customHeight="1">
      <c r="A294" s="1339" t="s">
        <v>1361</v>
      </c>
      <c r="B294" s="1220" t="s">
        <v>1343</v>
      </c>
      <c r="C294" s="1221"/>
      <c r="D294" s="1221"/>
      <c r="E294" s="1404"/>
      <c r="F294" s="1412"/>
      <c r="G294" s="1386"/>
      <c r="H294" s="1343"/>
      <c r="I294" s="1414"/>
      <c r="J294" s="1343"/>
      <c r="K294" s="1262"/>
      <c r="L294" s="1466"/>
    </row>
    <row r="295" spans="1:21" s="1199" customFormat="1" ht="24" customHeight="1">
      <c r="A295" s="1339"/>
      <c r="B295" s="1220" t="s">
        <v>1344</v>
      </c>
      <c r="C295" s="1221"/>
      <c r="D295" s="1221"/>
      <c r="E295" s="1404">
        <v>40</v>
      </c>
      <c r="F295" s="1262" t="s">
        <v>226</v>
      </c>
      <c r="G295" s="1386">
        <v>316</v>
      </c>
      <c r="H295" s="1343">
        <f t="shared" ref="H295" si="58">ROUND(E295*G295,)</f>
        <v>12640</v>
      </c>
      <c r="I295" s="1414">
        <v>50</v>
      </c>
      <c r="J295" s="1343">
        <f t="shared" ref="J295:J296" si="59">ROUND(E295*I295,)</f>
        <v>2000</v>
      </c>
      <c r="K295" s="1262">
        <f t="shared" ref="K295:K296" si="60">H295+J295</f>
        <v>14640</v>
      </c>
      <c r="L295" s="1466"/>
    </row>
    <row r="296" spans="1:21" s="1199" customFormat="1" ht="24" customHeight="1">
      <c r="A296" s="1339"/>
      <c r="B296" s="1220" t="s">
        <v>1384</v>
      </c>
      <c r="C296" s="1221"/>
      <c r="D296" s="1221"/>
      <c r="E296" s="1404">
        <v>1</v>
      </c>
      <c r="F296" s="1412" t="s">
        <v>1104</v>
      </c>
      <c r="G296" s="1386">
        <f>SUM(H295)*15%</f>
        <v>1896</v>
      </c>
      <c r="H296" s="1343">
        <f t="shared" ref="H296" si="61">ROUND(G296*E296,)</f>
        <v>1896</v>
      </c>
      <c r="I296" s="1414">
        <f>G296*0.3</f>
        <v>568.79999999999995</v>
      </c>
      <c r="J296" s="1343">
        <f t="shared" si="59"/>
        <v>569</v>
      </c>
      <c r="K296" s="1262">
        <f t="shared" si="60"/>
        <v>2465</v>
      </c>
      <c r="L296" s="1466"/>
    </row>
    <row r="297" spans="1:21" s="1199" customFormat="1" ht="24" customHeight="1">
      <c r="A297" s="1339"/>
      <c r="B297" s="1220" t="s">
        <v>1117</v>
      </c>
      <c r="C297" s="1221"/>
      <c r="D297" s="1221"/>
      <c r="E297" s="1404"/>
      <c r="F297" s="1412"/>
      <c r="G297" s="1386"/>
      <c r="H297" s="1413"/>
      <c r="I297" s="1414"/>
      <c r="J297" s="1415"/>
      <c r="K297" s="1415"/>
      <c r="L297" s="1415"/>
      <c r="M297" s="1214"/>
      <c r="N297" s="1214"/>
      <c r="O297" s="1214"/>
      <c r="P297" s="1214"/>
    </row>
    <row r="298" spans="1:21" s="1199" customFormat="1" ht="24" customHeight="1">
      <c r="A298" s="1243"/>
      <c r="B298" s="2257" t="str">
        <f>"รวมราคารายการที่ "&amp;A283</f>
        <v>รวมราคารายการที่ 3.11</v>
      </c>
      <c r="C298" s="2258"/>
      <c r="D298" s="2259"/>
      <c r="E298" s="1244"/>
      <c r="F298" s="1245"/>
      <c r="G298" s="1246"/>
      <c r="H298" s="1247">
        <f>SUM(H284:H297)</f>
        <v>286206</v>
      </c>
      <c r="I298" s="1246"/>
      <c r="J298" s="1247">
        <f>SUM(J284:J297)</f>
        <v>33570</v>
      </c>
      <c r="K298" s="1247">
        <f>SUM(K284:K297)</f>
        <v>319776</v>
      </c>
      <c r="L298" s="1245"/>
    </row>
    <row r="299" spans="1:21" s="1199" customFormat="1" ht="24" customHeight="1">
      <c r="A299" s="1467" t="s">
        <v>2917</v>
      </c>
      <c r="B299" s="1292" t="s">
        <v>1571</v>
      </c>
      <c r="C299" s="1468"/>
      <c r="D299" s="1192"/>
      <c r="E299" s="1193"/>
      <c r="F299" s="1194"/>
      <c r="G299" s="1297"/>
      <c r="H299" s="1298"/>
      <c r="I299" s="1299"/>
      <c r="J299" s="1298"/>
      <c r="K299" s="1299"/>
      <c r="L299" s="1469"/>
      <c r="M299" s="1214"/>
      <c r="N299" s="1214"/>
      <c r="O299" s="1214"/>
      <c r="P299" s="1214"/>
      <c r="Q299" s="1214"/>
      <c r="R299" s="1214"/>
      <c r="S299" s="1214"/>
      <c r="T299" s="1214"/>
      <c r="U299" s="1214"/>
    </row>
    <row r="300" spans="1:21" s="1199" customFormat="1" ht="24" customHeight="1">
      <c r="A300" s="1470" t="s">
        <v>1352</v>
      </c>
      <c r="B300" s="2174" t="s">
        <v>1611</v>
      </c>
      <c r="C300" s="1191"/>
      <c r="D300" s="1471"/>
      <c r="E300" s="1472">
        <v>2</v>
      </c>
      <c r="F300" s="1267" t="s">
        <v>363</v>
      </c>
      <c r="G300" s="2178">
        <v>3200</v>
      </c>
      <c r="H300" s="1343">
        <f>ROUND(E300*G300,)</f>
        <v>6400</v>
      </c>
      <c r="I300" s="1344">
        <v>150</v>
      </c>
      <c r="J300" s="1343">
        <f>ROUND(I300*E300,)</f>
        <v>300</v>
      </c>
      <c r="K300" s="1344">
        <f>H300+J300</f>
        <v>6700</v>
      </c>
      <c r="L300" s="1473"/>
      <c r="M300" s="1214"/>
      <c r="N300" s="1214"/>
      <c r="O300" s="1214"/>
      <c r="P300" s="1214"/>
      <c r="Q300" s="1214"/>
      <c r="R300" s="1214"/>
      <c r="S300" s="1214"/>
      <c r="T300" s="1214"/>
      <c r="U300" s="1214"/>
    </row>
    <row r="301" spans="1:21" s="1199" customFormat="1" ht="24" customHeight="1">
      <c r="A301" s="1474" t="s">
        <v>1354</v>
      </c>
      <c r="B301" s="2174" t="s">
        <v>1612</v>
      </c>
      <c r="C301" s="1191"/>
      <c r="D301" s="1471"/>
      <c r="E301" s="1472">
        <v>2</v>
      </c>
      <c r="F301" s="1267" t="s">
        <v>363</v>
      </c>
      <c r="G301" s="2178">
        <v>2640</v>
      </c>
      <c r="H301" s="1343">
        <f>ROUND(E301*G301,)</f>
        <v>5280</v>
      </c>
      <c r="I301" s="1344">
        <v>150</v>
      </c>
      <c r="J301" s="1343">
        <f>ROUND(I301*E301,)</f>
        <v>300</v>
      </c>
      <c r="K301" s="1344">
        <f>H301+J301</f>
        <v>5580</v>
      </c>
      <c r="L301" s="1473"/>
      <c r="M301" s="1214"/>
      <c r="N301" s="1214"/>
      <c r="O301" s="1214"/>
      <c r="P301" s="1214"/>
      <c r="Q301" s="1214"/>
      <c r="R301" s="1214"/>
      <c r="S301" s="1214"/>
      <c r="T301" s="1214"/>
      <c r="U301" s="1214"/>
    </row>
    <row r="302" spans="1:21" s="1199" customFormat="1" ht="24" customHeight="1">
      <c r="A302" s="1474" t="s">
        <v>1357</v>
      </c>
      <c r="B302" s="2174" t="s">
        <v>1613</v>
      </c>
      <c r="C302" s="1191"/>
      <c r="D302" s="1471"/>
      <c r="E302" s="1206"/>
      <c r="F302" s="1207"/>
      <c r="G302" s="2175"/>
      <c r="H302" s="1264"/>
      <c r="I302" s="1265"/>
      <c r="J302" s="1264"/>
      <c r="K302" s="1265"/>
      <c r="L302" s="1473"/>
      <c r="M302" s="1214"/>
      <c r="N302" s="1214"/>
      <c r="O302" s="1214"/>
      <c r="P302" s="1214"/>
      <c r="Q302" s="1214"/>
      <c r="R302" s="1214"/>
      <c r="S302" s="1214"/>
      <c r="T302" s="1214"/>
      <c r="U302" s="1214"/>
    </row>
    <row r="303" spans="1:21" s="1199" customFormat="1" ht="24" customHeight="1">
      <c r="A303" s="1478"/>
      <c r="B303" s="1259" t="s">
        <v>1614</v>
      </c>
      <c r="C303" s="1191"/>
      <c r="D303" s="1471"/>
      <c r="E303" s="1206">
        <v>775</v>
      </c>
      <c r="F303" s="1207" t="s">
        <v>226</v>
      </c>
      <c r="G303" s="2178">
        <v>10</v>
      </c>
      <c r="H303" s="1264">
        <f>ROUND(E303*G303,)</f>
        <v>7750</v>
      </c>
      <c r="I303" s="1265">
        <v>5</v>
      </c>
      <c r="J303" s="1264">
        <f>ROUND(I303*E303,)</f>
        <v>3875</v>
      </c>
      <c r="K303" s="1265">
        <f>H303+J303</f>
        <v>11625</v>
      </c>
      <c r="L303" s="1473"/>
      <c r="M303" s="1214"/>
      <c r="N303" s="1214"/>
      <c r="O303" s="1214"/>
      <c r="P303" s="1214"/>
      <c r="Q303" s="1214"/>
      <c r="R303" s="1214"/>
      <c r="S303" s="1214"/>
      <c r="T303" s="1214"/>
      <c r="U303" s="1214"/>
    </row>
    <row r="304" spans="1:21" s="1199" customFormat="1" ht="24" customHeight="1">
      <c r="A304" s="1474" t="s">
        <v>2677</v>
      </c>
      <c r="B304" s="2174" t="s">
        <v>1526</v>
      </c>
      <c r="C304" s="1191"/>
      <c r="D304" s="1471"/>
      <c r="E304" s="1206"/>
      <c r="F304" s="1207"/>
      <c r="G304" s="2175"/>
      <c r="H304" s="1264"/>
      <c r="I304" s="1265"/>
      <c r="J304" s="1264"/>
      <c r="K304" s="1265"/>
      <c r="L304" s="1473"/>
      <c r="M304" s="1214"/>
      <c r="N304" s="1214"/>
      <c r="O304" s="1214"/>
      <c r="P304" s="1214"/>
      <c r="Q304" s="1214"/>
      <c r="R304" s="1214"/>
      <c r="S304" s="1214"/>
      <c r="T304" s="1214"/>
      <c r="U304" s="1214"/>
    </row>
    <row r="305" spans="1:21" s="1199" customFormat="1" ht="24" customHeight="1">
      <c r="A305" s="1479"/>
      <c r="B305" s="2174" t="s">
        <v>1350</v>
      </c>
      <c r="C305" s="1191"/>
      <c r="D305" s="1471"/>
      <c r="E305" s="1387"/>
      <c r="F305" s="1358" t="s">
        <v>226</v>
      </c>
      <c r="G305" s="2176">
        <v>27</v>
      </c>
      <c r="H305" s="1264">
        <f t="shared" ref="H305" si="62">ROUND(G305*E305,)</f>
        <v>0</v>
      </c>
      <c r="I305" s="2177">
        <v>22</v>
      </c>
      <c r="J305" s="1264">
        <f t="shared" ref="J305" si="63">ROUND(E305*I305,)</f>
        <v>0</v>
      </c>
      <c r="K305" s="1802">
        <f t="shared" ref="K305" si="64">H305+J305</f>
        <v>0</v>
      </c>
      <c r="L305" s="2001" t="s">
        <v>2667</v>
      </c>
      <c r="M305" s="1214"/>
      <c r="N305" s="1214"/>
      <c r="O305" s="1214"/>
      <c r="P305" s="1214"/>
      <c r="Q305" s="1214"/>
      <c r="R305" s="1214"/>
      <c r="S305" s="1214"/>
      <c r="T305" s="1214"/>
      <c r="U305" s="1214"/>
    </row>
    <row r="306" spans="1:21" s="1199" customFormat="1" ht="24" customHeight="1">
      <c r="A306" s="1474" t="s">
        <v>2679</v>
      </c>
      <c r="B306" s="2174" t="s">
        <v>1110</v>
      </c>
      <c r="C306" s="1191"/>
      <c r="D306" s="1471"/>
      <c r="E306" s="1206"/>
      <c r="F306" s="1207"/>
      <c r="G306" s="2175"/>
      <c r="H306" s="1264"/>
      <c r="I306" s="1265"/>
      <c r="J306" s="1264"/>
      <c r="K306" s="1265"/>
      <c r="L306" s="1473"/>
      <c r="M306" s="1214"/>
      <c r="N306" s="1214"/>
      <c r="O306" s="1214"/>
      <c r="P306" s="1214"/>
      <c r="Q306" s="1214"/>
      <c r="R306" s="1214"/>
      <c r="S306" s="1214"/>
      <c r="T306" s="1214"/>
      <c r="U306" s="1214"/>
    </row>
    <row r="307" spans="1:21" s="1199" customFormat="1" ht="24" customHeight="1">
      <c r="A307" s="1480"/>
      <c r="B307" s="2174" t="s">
        <v>1350</v>
      </c>
      <c r="C307" s="1191"/>
      <c r="D307" s="1471"/>
      <c r="E307" s="1387">
        <v>80</v>
      </c>
      <c r="F307" s="1358" t="s">
        <v>226</v>
      </c>
      <c r="G307" s="2176">
        <v>56</v>
      </c>
      <c r="H307" s="1264">
        <f>ROUND(E307*G307,)</f>
        <v>4480</v>
      </c>
      <c r="I307" s="2177">
        <v>26</v>
      </c>
      <c r="J307" s="1264">
        <f t="shared" ref="J307" si="65">ROUND(E307*I307,)</f>
        <v>2080</v>
      </c>
      <c r="K307" s="1801">
        <f t="shared" ref="K307" si="66">H307+J307</f>
        <v>6560</v>
      </c>
      <c r="L307" s="2001" t="s">
        <v>2667</v>
      </c>
      <c r="M307" s="1214"/>
      <c r="N307" s="1199">
        <v>169.2</v>
      </c>
      <c r="O307" s="1199">
        <f>ROUND(N307/3,)</f>
        <v>56</v>
      </c>
      <c r="P307" s="1214"/>
      <c r="Q307" s="1214"/>
      <c r="R307" s="1214"/>
      <c r="S307" s="1214"/>
      <c r="T307" s="1214"/>
      <c r="U307" s="1214"/>
    </row>
    <row r="308" spans="1:21" s="1199" customFormat="1" ht="24" customHeight="1">
      <c r="A308" s="1480"/>
      <c r="B308" s="2174" t="s">
        <v>1384</v>
      </c>
      <c r="C308" s="1191"/>
      <c r="D308" s="1471"/>
      <c r="E308" s="1206">
        <v>1</v>
      </c>
      <c r="F308" s="1207" t="s">
        <v>1104</v>
      </c>
      <c r="G308" s="2175">
        <f>ROUND(SUM(H305:H307)*15%,0)</f>
        <v>672</v>
      </c>
      <c r="H308" s="1264">
        <f>ROUND(E308*G308,)</f>
        <v>672</v>
      </c>
      <c r="I308" s="1265">
        <f>ROUND(G308*0.3,0)</f>
        <v>202</v>
      </c>
      <c r="J308" s="1264">
        <f>ROUND(I308*E308,)</f>
        <v>202</v>
      </c>
      <c r="K308" s="1265">
        <f>H308+I308</f>
        <v>874</v>
      </c>
      <c r="L308" s="1473"/>
      <c r="M308" s="1214"/>
      <c r="N308" s="1214"/>
      <c r="O308" s="1214"/>
      <c r="P308" s="1214"/>
      <c r="Q308" s="1214"/>
      <c r="R308" s="1214"/>
      <c r="S308" s="1214"/>
      <c r="T308" s="1214"/>
      <c r="U308" s="1214"/>
    </row>
    <row r="309" spans="1:21" s="1199" customFormat="1" ht="24" customHeight="1">
      <c r="A309" s="1474" t="s">
        <v>2918</v>
      </c>
      <c r="B309" s="2174" t="s">
        <v>1381</v>
      </c>
      <c r="C309" s="1191"/>
      <c r="D309" s="1471"/>
      <c r="E309" s="1206"/>
      <c r="F309" s="1207" t="s">
        <v>1104</v>
      </c>
      <c r="G309" s="2175"/>
      <c r="H309" s="1264"/>
      <c r="I309" s="1504"/>
      <c r="J309" s="1264"/>
      <c r="K309" s="1265"/>
      <c r="L309" s="1473"/>
      <c r="M309" s="1214"/>
      <c r="N309" s="1214"/>
      <c r="O309" s="1214"/>
      <c r="P309" s="1214"/>
      <c r="Q309" s="1214"/>
      <c r="R309" s="1214"/>
      <c r="S309" s="1214"/>
      <c r="T309" s="1214"/>
      <c r="U309" s="1214"/>
    </row>
    <row r="310" spans="1:21" s="1199" customFormat="1" ht="24" customHeight="1">
      <c r="A310" s="1480"/>
      <c r="B310" s="2174" t="s">
        <v>1117</v>
      </c>
      <c r="C310" s="1191"/>
      <c r="D310" s="1471"/>
      <c r="E310" s="1206"/>
      <c r="F310" s="1207"/>
      <c r="G310" s="2175"/>
      <c r="H310" s="1264"/>
      <c r="I310" s="1265"/>
      <c r="J310" s="1264"/>
      <c r="K310" s="1265"/>
      <c r="L310" s="1473"/>
      <c r="M310" s="1214"/>
      <c r="N310" s="1214"/>
      <c r="O310" s="1214"/>
      <c r="P310" s="1214"/>
      <c r="Q310" s="1214"/>
      <c r="R310" s="1214"/>
      <c r="S310" s="1214"/>
      <c r="T310" s="1214"/>
      <c r="U310" s="1214"/>
    </row>
    <row r="311" spans="1:21" s="1199" customFormat="1" ht="24" customHeight="1">
      <c r="A311" s="1339"/>
      <c r="B311" s="1220" t="s">
        <v>1118</v>
      </c>
      <c r="C311" s="1221"/>
      <c r="D311" s="1221"/>
      <c r="E311" s="1404"/>
      <c r="F311" s="1412"/>
      <c r="G311" s="1386"/>
      <c r="H311" s="1413"/>
      <c r="I311" s="1414"/>
      <c r="J311" s="1415"/>
      <c r="K311" s="1415"/>
      <c r="L311" s="1415"/>
      <c r="M311" s="1214"/>
      <c r="N311" s="1214"/>
      <c r="O311" s="1214"/>
      <c r="P311" s="1214"/>
    </row>
    <row r="312" spans="1:21" s="1199" customFormat="1" ht="24" customHeight="1">
      <c r="A312" s="1339"/>
      <c r="B312" s="1220" t="s">
        <v>1118</v>
      </c>
      <c r="C312" s="1221"/>
      <c r="D312" s="1221"/>
      <c r="E312" s="1404"/>
      <c r="F312" s="1412"/>
      <c r="G312" s="1386"/>
      <c r="H312" s="1413"/>
      <c r="I312" s="1414"/>
      <c r="J312" s="1415"/>
      <c r="K312" s="1415"/>
      <c r="L312" s="1415"/>
      <c r="M312" s="1214"/>
      <c r="N312" s="1214"/>
      <c r="O312" s="1214"/>
      <c r="P312" s="1214"/>
    </row>
    <row r="313" spans="1:21" s="1199" customFormat="1" ht="24" customHeight="1">
      <c r="A313" s="1339"/>
      <c r="B313" s="1505"/>
      <c r="C313" s="1221"/>
      <c r="D313" s="1221"/>
      <c r="E313" s="1404"/>
      <c r="F313" s="1412"/>
      <c r="G313" s="1386"/>
      <c r="H313" s="1413"/>
      <c r="I313" s="1414"/>
      <c r="J313" s="1415"/>
      <c r="K313" s="1415"/>
      <c r="L313" s="1415"/>
      <c r="M313" s="1214"/>
      <c r="N313" s="1214"/>
      <c r="O313" s="1214"/>
      <c r="P313" s="1214"/>
    </row>
    <row r="314" spans="1:21" s="1199" customFormat="1" ht="24" customHeight="1">
      <c r="A314" s="1339"/>
      <c r="B314" s="1505"/>
      <c r="C314" s="1221"/>
      <c r="D314" s="1221"/>
      <c r="E314" s="1404"/>
      <c r="F314" s="1412"/>
      <c r="G314" s="1386"/>
      <c r="H314" s="1413"/>
      <c r="I314" s="1414"/>
      <c r="J314" s="1415"/>
      <c r="K314" s="1415"/>
      <c r="L314" s="1415"/>
      <c r="M314" s="1214"/>
      <c r="N314" s="1214"/>
      <c r="O314" s="1214"/>
      <c r="P314" s="1214"/>
    </row>
    <row r="315" spans="1:21" s="1199" customFormat="1" ht="24" customHeight="1">
      <c r="A315" s="1339"/>
      <c r="B315" s="1505"/>
      <c r="C315" s="1221"/>
      <c r="D315" s="1221"/>
      <c r="E315" s="1404"/>
      <c r="F315" s="1412"/>
      <c r="G315" s="1386"/>
      <c r="H315" s="1413"/>
      <c r="I315" s="1414"/>
      <c r="J315" s="1415"/>
      <c r="K315" s="1415"/>
      <c r="L315" s="1415"/>
      <c r="M315" s="1214"/>
      <c r="N315" s="1214"/>
      <c r="O315" s="1214"/>
      <c r="P315" s="1214"/>
    </row>
    <row r="316" spans="1:21" s="1199" customFormat="1" ht="24" customHeight="1">
      <c r="A316" s="1339"/>
      <c r="B316" s="1505"/>
      <c r="C316" s="1221"/>
      <c r="D316" s="1221"/>
      <c r="E316" s="1404"/>
      <c r="F316" s="1412"/>
      <c r="G316" s="1386"/>
      <c r="H316" s="1413"/>
      <c r="I316" s="1414"/>
      <c r="J316" s="1415"/>
      <c r="K316" s="1415"/>
      <c r="L316" s="1415"/>
      <c r="M316" s="1214"/>
      <c r="N316" s="1214"/>
      <c r="O316" s="1214"/>
      <c r="P316" s="1214"/>
    </row>
    <row r="317" spans="1:21" s="1199" customFormat="1" ht="24" customHeight="1">
      <c r="A317" s="1339"/>
      <c r="B317" s="1505"/>
      <c r="C317" s="1221"/>
      <c r="D317" s="1221"/>
      <c r="E317" s="1404"/>
      <c r="F317" s="1412"/>
      <c r="G317" s="1386"/>
      <c r="H317" s="1413"/>
      <c r="I317" s="1414"/>
      <c r="J317" s="1415"/>
      <c r="K317" s="1415"/>
      <c r="L317" s="1415"/>
      <c r="M317" s="1214"/>
      <c r="N317" s="1214"/>
      <c r="O317" s="1214"/>
      <c r="P317" s="1214"/>
    </row>
    <row r="318" spans="1:21" s="1199" customFormat="1" ht="24" customHeight="1">
      <c r="A318" s="1339"/>
      <c r="B318" s="1505"/>
      <c r="C318" s="1221"/>
      <c r="D318" s="1221"/>
      <c r="E318" s="1404"/>
      <c r="F318" s="1412"/>
      <c r="G318" s="1386"/>
      <c r="H318" s="1413"/>
      <c r="I318" s="1414"/>
      <c r="J318" s="1415"/>
      <c r="K318" s="1415"/>
      <c r="L318" s="1415"/>
      <c r="M318" s="1214"/>
      <c r="N318" s="1214"/>
      <c r="O318" s="1214"/>
      <c r="P318" s="1214"/>
    </row>
    <row r="319" spans="1:21" s="1199" customFormat="1" ht="24" customHeight="1">
      <c r="A319" s="1339"/>
      <c r="B319" s="1505"/>
      <c r="C319" s="1221"/>
      <c r="D319" s="1221"/>
      <c r="E319" s="1404"/>
      <c r="F319" s="1412"/>
      <c r="G319" s="1386"/>
      <c r="H319" s="1413"/>
      <c r="I319" s="1414"/>
      <c r="J319" s="1415"/>
      <c r="K319" s="1415"/>
      <c r="L319" s="1415"/>
      <c r="M319" s="1214"/>
      <c r="N319" s="1214"/>
      <c r="O319" s="1214"/>
      <c r="P319" s="1214"/>
    </row>
    <row r="320" spans="1:21" s="1199" customFormat="1" ht="24" customHeight="1">
      <c r="A320" s="1339"/>
      <c r="B320" s="1505"/>
      <c r="C320" s="1221"/>
      <c r="D320" s="1221"/>
      <c r="E320" s="1404"/>
      <c r="F320" s="1412"/>
      <c r="G320" s="1386"/>
      <c r="H320" s="1413"/>
      <c r="I320" s="1414"/>
      <c r="J320" s="1415"/>
      <c r="K320" s="1415"/>
      <c r="L320" s="1415"/>
      <c r="M320" s="1214"/>
      <c r="N320" s="1214"/>
      <c r="O320" s="1214"/>
      <c r="P320" s="1214"/>
    </row>
    <row r="321" spans="1:21" s="1199" customFormat="1" ht="24" customHeight="1">
      <c r="A321" s="1331"/>
      <c r="B321" s="1416"/>
      <c r="C321" s="1202"/>
      <c r="D321" s="1202"/>
      <c r="E321" s="1387"/>
      <c r="F321" s="1384"/>
      <c r="G321" s="2176"/>
      <c r="H321" s="1388"/>
      <c r="I321" s="2177"/>
      <c r="J321" s="1385"/>
      <c r="K321" s="1385"/>
      <c r="L321" s="1385"/>
      <c r="M321" s="1214"/>
      <c r="N321" s="1214"/>
      <c r="O321" s="1214"/>
      <c r="P321" s="1214"/>
    </row>
    <row r="322" spans="1:21" s="1199" customFormat="1" ht="24" customHeight="1">
      <c r="A322" s="1245"/>
      <c r="B322" s="2257" t="str">
        <f>"รวมราคารายการที่ "&amp;A299</f>
        <v>รวมราคารายการที่ 3.12</v>
      </c>
      <c r="C322" s="2258"/>
      <c r="D322" s="2259"/>
      <c r="E322" s="1481"/>
      <c r="F322" s="1245"/>
      <c r="G322" s="1246"/>
      <c r="H322" s="1247">
        <f>SUM(H300:H310)</f>
        <v>24582</v>
      </c>
      <c r="I322" s="1246"/>
      <c r="J322" s="1247">
        <f t="shared" ref="J322:K322" si="67">SUM(J300:J310)</f>
        <v>6757</v>
      </c>
      <c r="K322" s="1247">
        <f t="shared" si="67"/>
        <v>31339</v>
      </c>
      <c r="L322" s="1245"/>
      <c r="M322" s="1214"/>
      <c r="N322" s="1214"/>
      <c r="O322" s="1214"/>
      <c r="P322" s="1214"/>
      <c r="Q322" s="1214"/>
      <c r="R322" s="1214"/>
      <c r="S322" s="1214"/>
      <c r="T322" s="1214"/>
      <c r="U322" s="1214"/>
    </row>
  </sheetData>
  <mergeCells count="21">
    <mergeCell ref="B161:D161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91:D91"/>
    <mergeCell ref="B106:D106"/>
    <mergeCell ref="B139:D139"/>
    <mergeCell ref="B322:D322"/>
    <mergeCell ref="B178:D178"/>
    <mergeCell ref="B208:D208"/>
    <mergeCell ref="B250:D250"/>
    <mergeCell ref="B266:D266"/>
    <mergeCell ref="B282:D282"/>
    <mergeCell ref="B298:D298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11-อาคารทิศตะวันตก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EDE72-C31A-4653-A09B-CF291E8A5DDF}">
  <sheetPr>
    <tabColor rgb="FF92D050"/>
  </sheetPr>
  <dimension ref="A1:R346"/>
  <sheetViews>
    <sheetView tabSelected="1" view="pageBreakPreview" topLeftCell="A169" zoomScale="85" zoomScaleNormal="100" zoomScaleSheetLayoutView="85" workbookViewId="0">
      <selection activeCell="H183" sqref="H183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87890625" style="1" customWidth="1"/>
    <col min="13" max="96" width="7.703125" style="1" customWidth="1"/>
    <col min="97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1647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30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H43</f>
        <v>0</v>
      </c>
      <c r="I12" s="1241"/>
      <c r="J12" s="1196">
        <f>J43</f>
        <v>0</v>
      </c>
      <c r="K12" s="1196">
        <f>K43</f>
        <v>0</v>
      </c>
      <c r="L12" s="1430"/>
    </row>
    <row r="13" spans="1:12" s="1199" customFormat="1" ht="24" customHeight="1">
      <c r="A13" s="1204">
        <f>A44</f>
        <v>3.2</v>
      </c>
      <c r="B13" s="1431" t="str">
        <f>B44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H154</f>
        <v>527670</v>
      </c>
      <c r="I13" s="1241"/>
      <c r="J13" s="1196">
        <f>J154</f>
        <v>34440</v>
      </c>
      <c r="K13" s="1196">
        <f>K154</f>
        <v>562110</v>
      </c>
      <c r="L13" s="1430"/>
    </row>
    <row r="14" spans="1:12" s="1199" customFormat="1" ht="24" customHeight="1">
      <c r="A14" s="1518" t="str">
        <f>A155</f>
        <v>3.3</v>
      </c>
      <c r="B14" s="1519" t="str">
        <f>B155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H202</f>
        <v>76746</v>
      </c>
      <c r="I14" s="1197"/>
      <c r="J14" s="1196">
        <f t="shared" ref="J14:K14" si="0">J202</f>
        <v>5000</v>
      </c>
      <c r="K14" s="1196">
        <f t="shared" si="0"/>
        <v>81746</v>
      </c>
      <c r="L14" s="1430"/>
    </row>
    <row r="15" spans="1:12" s="1199" customFormat="1" ht="24" customHeight="1">
      <c r="A15" s="1518">
        <f>A203</f>
        <v>3.4</v>
      </c>
      <c r="B15" s="1190" t="str">
        <f>B203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H218</f>
        <v>296155</v>
      </c>
      <c r="I15" s="1197"/>
      <c r="J15" s="1196">
        <f>J218</f>
        <v>193415</v>
      </c>
      <c r="K15" s="1196">
        <f t="shared" ref="K15:K20" si="1">SUM(H15:J15)</f>
        <v>489570</v>
      </c>
      <c r="L15" s="1430"/>
    </row>
    <row r="16" spans="1:12" s="1199" customFormat="1" ht="24" customHeight="1">
      <c r="A16" s="1204" t="str">
        <f>A219</f>
        <v>3.5</v>
      </c>
      <c r="B16" s="1190" t="str">
        <f>B219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H235</f>
        <v>335936</v>
      </c>
      <c r="I16" s="1197"/>
      <c r="J16" s="1196">
        <f>J235</f>
        <v>180274</v>
      </c>
      <c r="K16" s="1196">
        <f t="shared" si="1"/>
        <v>516210</v>
      </c>
      <c r="L16" s="1430"/>
    </row>
    <row r="17" spans="1:12" s="1199" customFormat="1" ht="24" customHeight="1">
      <c r="A17" s="1204" t="str">
        <f>A236</f>
        <v>3.6</v>
      </c>
      <c r="B17" s="1190" t="str">
        <f>B236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H250</f>
        <v>14929</v>
      </c>
      <c r="I17" s="1197"/>
      <c r="J17" s="1196">
        <f>J250</f>
        <v>9910</v>
      </c>
      <c r="K17" s="1196">
        <f t="shared" si="1"/>
        <v>24839</v>
      </c>
      <c r="L17" s="1430"/>
    </row>
    <row r="18" spans="1:12" s="1199" customFormat="1" ht="24" customHeight="1">
      <c r="A18" s="1204" t="str">
        <f>A251</f>
        <v>3.7</v>
      </c>
      <c r="B18" s="1190" t="str">
        <f>B251</f>
        <v>Two Wire Remote System</v>
      </c>
      <c r="C18" s="1202"/>
      <c r="D18" s="1203"/>
      <c r="E18" s="1193">
        <v>1</v>
      </c>
      <c r="F18" s="1194" t="s">
        <v>19</v>
      </c>
      <c r="G18" s="1195"/>
      <c r="H18" s="1196">
        <f>H257</f>
        <v>140180</v>
      </c>
      <c r="I18" s="1197"/>
      <c r="J18" s="1196">
        <f>J257</f>
        <v>7009</v>
      </c>
      <c r="K18" s="1196">
        <f t="shared" si="1"/>
        <v>147189</v>
      </c>
      <c r="L18" s="1430"/>
    </row>
    <row r="19" spans="1:12" s="1199" customFormat="1" ht="24" customHeight="1">
      <c r="A19" s="1204" t="str">
        <f>A258</f>
        <v>3.8</v>
      </c>
      <c r="B19" s="1190" t="str">
        <f>B258</f>
        <v>โคมไฟฟ้า (Luminaire)</v>
      </c>
      <c r="C19" s="1202"/>
      <c r="D19" s="1203"/>
      <c r="E19" s="1193">
        <v>1</v>
      </c>
      <c r="F19" s="1194" t="s">
        <v>19</v>
      </c>
      <c r="G19" s="1195"/>
      <c r="H19" s="1196">
        <f>H286</f>
        <v>217413</v>
      </c>
      <c r="I19" s="1197"/>
      <c r="J19" s="1196">
        <f>J286</f>
        <v>55406</v>
      </c>
      <c r="K19" s="1196">
        <f t="shared" si="1"/>
        <v>272819</v>
      </c>
      <c r="L19" s="1430"/>
    </row>
    <row r="20" spans="1:12" s="1199" customFormat="1" ht="25.5" customHeight="1">
      <c r="A20" s="1204">
        <f>A287</f>
        <v>3.9</v>
      </c>
      <c r="B20" s="2174" t="str">
        <f>B287</f>
        <v>ระบบสัญญาณแจ้งเหตุเพลิงไหม้ (Fire Alarm System)</v>
      </c>
      <c r="C20" s="1202"/>
      <c r="D20" s="1203"/>
      <c r="E20" s="1193">
        <v>1</v>
      </c>
      <c r="F20" s="1207" t="s">
        <v>19</v>
      </c>
      <c r="G20" s="1208"/>
      <c r="H20" s="1196">
        <f>H322</f>
        <v>1088153</v>
      </c>
      <c r="I20" s="1197"/>
      <c r="J20" s="1196">
        <f>J322</f>
        <v>218283</v>
      </c>
      <c r="K20" s="1196">
        <f t="shared" si="1"/>
        <v>1306436</v>
      </c>
      <c r="L20" s="1430"/>
    </row>
    <row r="21" spans="1:12" s="1199" customFormat="1" ht="24" customHeight="1">
      <c r="A21" s="1204" t="str">
        <f>A323</f>
        <v>3.10</v>
      </c>
      <c r="B21" s="1240" t="str">
        <f>B323</f>
        <v>ระบบบริหารจัดการอาคาร (Building Management System : BMS)</v>
      </c>
      <c r="C21" s="1202"/>
      <c r="D21" s="1203"/>
      <c r="E21" s="1193">
        <v>1</v>
      </c>
      <c r="F21" s="1207" t="s">
        <v>19</v>
      </c>
      <c r="G21" s="1195"/>
      <c r="H21" s="1196">
        <f>H346</f>
        <v>1062565</v>
      </c>
      <c r="I21" s="1241"/>
      <c r="J21" s="1196">
        <f t="shared" ref="J21:K21" si="2">J346</f>
        <v>143720</v>
      </c>
      <c r="K21" s="1196">
        <f t="shared" si="2"/>
        <v>1206285</v>
      </c>
      <c r="L21" s="1430"/>
    </row>
    <row r="22" spans="1:12" s="1199" customFormat="1" ht="24" customHeight="1">
      <c r="A22" s="1204"/>
      <c r="B22" s="1240"/>
      <c r="C22" s="1202"/>
      <c r="D22" s="1203"/>
      <c r="E22" s="1206"/>
      <c r="F22" s="1207"/>
      <c r="G22" s="1195"/>
      <c r="H22" s="1196"/>
      <c r="I22" s="1241"/>
      <c r="J22" s="1229"/>
      <c r="K22" s="1242"/>
      <c r="L22" s="1430"/>
    </row>
    <row r="23" spans="1:12" s="1199" customFormat="1" ht="24" customHeight="1">
      <c r="A23" s="1204"/>
      <c r="B23" s="1240"/>
      <c r="C23" s="1202"/>
      <c r="D23" s="1203"/>
      <c r="E23" s="1206"/>
      <c r="F23" s="1207"/>
      <c r="G23" s="1195"/>
      <c r="H23" s="1196"/>
      <c r="I23" s="1241"/>
      <c r="J23" s="1229"/>
      <c r="K23" s="1242"/>
      <c r="L23" s="1430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195"/>
      <c r="H24" s="1196"/>
      <c r="I24" s="1241"/>
      <c r="J24" s="1229"/>
      <c r="K24" s="1242"/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ดาดฟ้า</v>
      </c>
      <c r="C34" s="2258"/>
      <c r="D34" s="2259"/>
      <c r="E34" s="1244"/>
      <c r="F34" s="1245"/>
      <c r="G34" s="1246"/>
      <c r="H34" s="1247">
        <f>SUM(H11:H33)</f>
        <v>3759747</v>
      </c>
      <c r="I34" s="1246"/>
      <c r="J34" s="1247">
        <f>SUM(J11:J33)</f>
        <v>847457</v>
      </c>
      <c r="K34" s="1247">
        <f>SUM(K11:K33)</f>
        <v>4607204</v>
      </c>
      <c r="L34" s="1245"/>
      <c r="M34" s="1214"/>
      <c r="N34" s="1214"/>
      <c r="O34" s="1214"/>
      <c r="P34" s="1214"/>
      <c r="Q34" s="1214"/>
      <c r="R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189"/>
      <c r="B36" s="1451" t="s">
        <v>1118</v>
      </c>
      <c r="C36" s="1202"/>
      <c r="D36" s="1202"/>
      <c r="E36" s="1387"/>
      <c r="F36" s="1207" t="s">
        <v>363</v>
      </c>
      <c r="G36" s="2176"/>
      <c r="H36" s="1264">
        <f>ROUND(E36*G36,)</f>
        <v>0</v>
      </c>
      <c r="I36" s="2177">
        <f>G36*0.05</f>
        <v>0</v>
      </c>
      <c r="J36" s="1264">
        <f>ROUND(E36*I36,)</f>
        <v>0</v>
      </c>
      <c r="K36" s="1273">
        <f>H36+J36</f>
        <v>0</v>
      </c>
      <c r="L36" s="1385"/>
      <c r="M36" s="1214"/>
      <c r="N36" s="1214"/>
      <c r="O36" s="1214"/>
      <c r="P36" s="1214"/>
    </row>
    <row r="37" spans="1:18" s="1199" customFormat="1" ht="24" customHeight="1">
      <c r="A37" s="1189"/>
      <c r="B37" s="1451" t="s">
        <v>1118</v>
      </c>
      <c r="C37" s="1202"/>
      <c r="D37" s="1202"/>
      <c r="E37" s="1387"/>
      <c r="F37" s="1207" t="s">
        <v>363</v>
      </c>
      <c r="G37" s="2176"/>
      <c r="H37" s="1264">
        <f>ROUND(E37*G37,)</f>
        <v>0</v>
      </c>
      <c r="I37" s="2177">
        <f>G37*0.05</f>
        <v>0</v>
      </c>
      <c r="J37" s="1264">
        <f>ROUND(E37*I37,)</f>
        <v>0</v>
      </c>
      <c r="K37" s="1273">
        <f>H37+J37</f>
        <v>0</v>
      </c>
      <c r="L37" s="1385"/>
      <c r="M37" s="1214"/>
      <c r="N37" s="1214"/>
      <c r="O37" s="1214"/>
      <c r="P37" s="1214"/>
    </row>
    <row r="38" spans="1:18" s="1199" customFormat="1" ht="24" customHeight="1">
      <c r="A38" s="1189"/>
      <c r="B38" s="1451" t="s">
        <v>1118</v>
      </c>
      <c r="C38" s="1202"/>
      <c r="D38" s="1202"/>
      <c r="E38" s="1387"/>
      <c r="F38" s="1207" t="s">
        <v>363</v>
      </c>
      <c r="G38" s="2176"/>
      <c r="H38" s="1264">
        <f>ROUND(E38*G38,)</f>
        <v>0</v>
      </c>
      <c r="I38" s="2177">
        <f>G38*0.05</f>
        <v>0</v>
      </c>
      <c r="J38" s="1264">
        <f>ROUND(E38*I38,)</f>
        <v>0</v>
      </c>
      <c r="K38" s="1273">
        <f>H38+J38</f>
        <v>0</v>
      </c>
      <c r="L38" s="1385"/>
      <c r="M38" s="1214"/>
      <c r="N38" s="1214"/>
      <c r="O38" s="1214"/>
      <c r="P38" s="1214"/>
    </row>
    <row r="39" spans="1:18" s="1199" customFormat="1" ht="24" customHeight="1">
      <c r="A39" s="1331"/>
      <c r="B39" s="2174" t="s">
        <v>1117</v>
      </c>
      <c r="C39" s="1275"/>
      <c r="D39" s="1275"/>
      <c r="E39" s="1276"/>
      <c r="F39" s="1358"/>
      <c r="G39" s="2175"/>
      <c r="H39" s="1264"/>
      <c r="I39" s="1265"/>
      <c r="J39" s="1264"/>
      <c r="K39" s="1265"/>
      <c r="L39" s="1434"/>
      <c r="M39" s="1214"/>
      <c r="N39" s="1214"/>
      <c r="O39" s="1214"/>
      <c r="P39" s="1214"/>
      <c r="Q39" s="1214"/>
    </row>
    <row r="40" spans="1:18" s="1199" customFormat="1" ht="24" customHeight="1">
      <c r="A40" s="1331"/>
      <c r="B40" s="2174" t="s">
        <v>1118</v>
      </c>
      <c r="C40" s="1275"/>
      <c r="D40" s="1275"/>
      <c r="E40" s="1276"/>
      <c r="F40" s="1358"/>
      <c r="G40" s="2175"/>
      <c r="H40" s="1264"/>
      <c r="I40" s="1265"/>
      <c r="J40" s="1264"/>
      <c r="K40" s="1265"/>
      <c r="L40" s="1434"/>
      <c r="M40" s="1214"/>
      <c r="N40" s="1214"/>
      <c r="O40" s="1214"/>
      <c r="P40" s="1214"/>
      <c r="Q40" s="1214"/>
    </row>
    <row r="41" spans="1:18" s="1199" customFormat="1" ht="24" customHeight="1">
      <c r="A41" s="1331"/>
      <c r="B41" s="2174" t="s">
        <v>1118</v>
      </c>
      <c r="C41" s="1275"/>
      <c r="D41" s="1275"/>
      <c r="E41" s="1276"/>
      <c r="F41" s="1358"/>
      <c r="G41" s="2175"/>
      <c r="H41" s="1264"/>
      <c r="I41" s="1265"/>
      <c r="J41" s="1264"/>
      <c r="K41" s="1265"/>
      <c r="L41" s="1434"/>
      <c r="M41" s="1214"/>
      <c r="N41" s="1214"/>
      <c r="O41" s="1214"/>
      <c r="P41" s="1214"/>
      <c r="Q41" s="1214"/>
    </row>
    <row r="42" spans="1:18" s="1199" customFormat="1" ht="24" customHeight="1">
      <c r="A42" s="1331"/>
      <c r="B42" s="2174"/>
      <c r="C42" s="1275"/>
      <c r="D42" s="1275"/>
      <c r="E42" s="1276"/>
      <c r="F42" s="1358"/>
      <c r="G42" s="2175"/>
      <c r="H42" s="1264"/>
      <c r="I42" s="1265"/>
      <c r="J42" s="1264"/>
      <c r="K42" s="1265"/>
      <c r="L42" s="1434"/>
      <c r="M42" s="1214"/>
      <c r="N42" s="1214"/>
      <c r="O42" s="1214"/>
      <c r="P42" s="1214"/>
      <c r="Q42" s="1214"/>
    </row>
    <row r="43" spans="1:18" s="1199" customFormat="1" ht="24" customHeight="1">
      <c r="A43" s="1243"/>
      <c r="B43" s="2257" t="str">
        <f>"รวมราคารายการที่ "&amp;A35</f>
        <v>รวมราคารายการที่ 3.1</v>
      </c>
      <c r="C43" s="2258"/>
      <c r="D43" s="2259"/>
      <c r="E43" s="1244"/>
      <c r="F43" s="1245"/>
      <c r="G43" s="1246"/>
      <c r="H43" s="1247">
        <f>SUM(H35:H42)</f>
        <v>0</v>
      </c>
      <c r="I43" s="1246"/>
      <c r="J43" s="1247">
        <f>SUM(J35:J42)</f>
        <v>0</v>
      </c>
      <c r="K43" s="1247">
        <f>SUM(K35:K42)</f>
        <v>0</v>
      </c>
      <c r="L43" s="1245"/>
      <c r="M43" s="1214"/>
      <c r="N43" s="1214"/>
      <c r="O43" s="1214"/>
      <c r="P43" s="1214"/>
      <c r="Q43" s="1214"/>
    </row>
    <row r="44" spans="1:18" s="1199" customFormat="1" ht="24" customHeight="1">
      <c r="A44" s="1352">
        <v>3.2</v>
      </c>
      <c r="B44" s="1353" t="s">
        <v>1254</v>
      </c>
      <c r="C44" s="1354"/>
      <c r="D44" s="1354"/>
      <c r="E44" s="1355"/>
      <c r="F44" s="1296"/>
      <c r="G44" s="1297"/>
      <c r="H44" s="1298"/>
      <c r="I44" s="1299"/>
      <c r="J44" s="1298"/>
      <c r="K44" s="1299"/>
      <c r="L44" s="1300"/>
    </row>
    <row r="45" spans="1:18" s="1199" customFormat="1" ht="24" customHeight="1">
      <c r="A45" s="1361" t="s">
        <v>1121</v>
      </c>
      <c r="B45" s="1362" t="s">
        <v>1275</v>
      </c>
      <c r="C45" s="1260"/>
      <c r="D45" s="1260"/>
      <c r="E45" s="1261"/>
      <c r="F45" s="1358"/>
      <c r="G45" s="2175"/>
      <c r="H45" s="1264"/>
      <c r="I45" s="1265"/>
      <c r="J45" s="1264"/>
      <c r="K45" s="1265"/>
      <c r="L45" s="1364"/>
    </row>
    <row r="46" spans="1:18" s="1199" customFormat="1" ht="24" customHeight="1">
      <c r="A46" s="1339" t="s">
        <v>1618</v>
      </c>
      <c r="B46" s="1259" t="s">
        <v>1210</v>
      </c>
      <c r="C46" s="1260"/>
      <c r="D46" s="1260"/>
      <c r="E46" s="1261"/>
      <c r="F46" s="1358"/>
      <c r="G46" s="2175"/>
      <c r="H46" s="1264"/>
      <c r="I46" s="1265"/>
      <c r="J46" s="1264"/>
      <c r="K46" s="1265"/>
      <c r="L46" s="1364"/>
    </row>
    <row r="47" spans="1:18" s="1199" customFormat="1" ht="24" customHeight="1">
      <c r="A47" s="1339"/>
      <c r="B47" s="1259" t="s">
        <v>1211</v>
      </c>
      <c r="C47" s="1260"/>
      <c r="D47" s="1260"/>
      <c r="E47" s="1261"/>
      <c r="F47" s="1207" t="s">
        <v>363</v>
      </c>
      <c r="G47" s="2175">
        <v>2400</v>
      </c>
      <c r="H47" s="1264">
        <f t="shared" ref="H47:H69" si="3">ROUND(G47*E47,)</f>
        <v>0</v>
      </c>
      <c r="I47" s="1265"/>
      <c r="J47" s="1264"/>
      <c r="K47" s="1265">
        <f t="shared" ref="K47:K69" si="4">J47+H47</f>
        <v>0</v>
      </c>
      <c r="L47" s="1266"/>
      <c r="N47" s="1363"/>
      <c r="O47" s="1363"/>
      <c r="P47" s="1363"/>
      <c r="Q47" s="1363"/>
      <c r="R47" s="1363"/>
    </row>
    <row r="48" spans="1:18" s="1199" customFormat="1" ht="24" customHeight="1">
      <c r="A48" s="1339"/>
      <c r="B48" s="1259" t="s">
        <v>1212</v>
      </c>
      <c r="C48" s="1260"/>
      <c r="D48" s="1260"/>
      <c r="E48" s="1261"/>
      <c r="F48" s="1207" t="s">
        <v>363</v>
      </c>
      <c r="G48" s="2175">
        <v>2400</v>
      </c>
      <c r="H48" s="1264">
        <f t="shared" si="3"/>
        <v>0</v>
      </c>
      <c r="I48" s="1265"/>
      <c r="J48" s="1264"/>
      <c r="K48" s="1265">
        <f t="shared" si="4"/>
        <v>0</v>
      </c>
      <c r="L48" s="1266"/>
      <c r="N48" s="1363"/>
      <c r="O48" s="1363"/>
      <c r="P48" s="1363"/>
      <c r="Q48" s="1363"/>
      <c r="R48" s="1363"/>
    </row>
    <row r="49" spans="1:12" s="1199" customFormat="1" ht="24" customHeight="1">
      <c r="A49" s="1339"/>
      <c r="B49" s="1259" t="s">
        <v>1213</v>
      </c>
      <c r="C49" s="1260"/>
      <c r="D49" s="1260"/>
      <c r="E49" s="1261"/>
      <c r="F49" s="1207" t="s">
        <v>363</v>
      </c>
      <c r="G49" s="2175">
        <v>2400</v>
      </c>
      <c r="H49" s="1264">
        <f t="shared" si="3"/>
        <v>0</v>
      </c>
      <c r="I49" s="1265"/>
      <c r="J49" s="1264"/>
      <c r="K49" s="1265">
        <f t="shared" si="4"/>
        <v>0</v>
      </c>
      <c r="L49" s="1266"/>
    </row>
    <row r="50" spans="1:12" s="1199" customFormat="1" ht="24" customHeight="1">
      <c r="A50" s="1339"/>
      <c r="B50" s="1259" t="s">
        <v>1214</v>
      </c>
      <c r="C50" s="1260"/>
      <c r="D50" s="1260"/>
      <c r="E50" s="1261">
        <v>1</v>
      </c>
      <c r="F50" s="1207" t="s">
        <v>363</v>
      </c>
      <c r="G50" s="2175">
        <v>2400</v>
      </c>
      <c r="H50" s="1264">
        <f t="shared" si="3"/>
        <v>2400</v>
      </c>
      <c r="I50" s="1265"/>
      <c r="J50" s="1264"/>
      <c r="K50" s="1265">
        <f t="shared" si="4"/>
        <v>2400</v>
      </c>
      <c r="L50" s="1266"/>
    </row>
    <row r="51" spans="1:12" s="1199" customFormat="1" ht="24" customHeight="1">
      <c r="A51" s="1339"/>
      <c r="B51" s="1259" t="s">
        <v>1215</v>
      </c>
      <c r="C51" s="1260"/>
      <c r="D51" s="1260"/>
      <c r="E51" s="1261">
        <v>1</v>
      </c>
      <c r="F51" s="1207" t="s">
        <v>363</v>
      </c>
      <c r="G51" s="2175">
        <v>2400</v>
      </c>
      <c r="H51" s="1264">
        <f t="shared" si="3"/>
        <v>2400</v>
      </c>
      <c r="I51" s="1265"/>
      <c r="J51" s="1264"/>
      <c r="K51" s="1265">
        <f t="shared" si="4"/>
        <v>2400</v>
      </c>
      <c r="L51" s="1266"/>
    </row>
    <row r="52" spans="1:12" s="1199" customFormat="1" ht="24" customHeight="1">
      <c r="A52" s="1339"/>
      <c r="B52" s="1259" t="s">
        <v>1216</v>
      </c>
      <c r="C52" s="1260"/>
      <c r="D52" s="1260"/>
      <c r="E52" s="1261">
        <v>1</v>
      </c>
      <c r="F52" s="1207" t="s">
        <v>363</v>
      </c>
      <c r="G52" s="2175">
        <v>2400</v>
      </c>
      <c r="H52" s="1264">
        <f t="shared" si="3"/>
        <v>2400</v>
      </c>
      <c r="I52" s="1265"/>
      <c r="J52" s="1264"/>
      <c r="K52" s="1265">
        <f t="shared" si="4"/>
        <v>2400</v>
      </c>
      <c r="L52" s="1266"/>
    </row>
    <row r="53" spans="1:12" s="1199" customFormat="1" ht="24" customHeight="1">
      <c r="A53" s="1339"/>
      <c r="B53" s="1259" t="s">
        <v>1257</v>
      </c>
      <c r="C53" s="1260"/>
      <c r="D53" s="1260"/>
      <c r="E53" s="1261"/>
      <c r="F53" s="1207" t="s">
        <v>363</v>
      </c>
      <c r="G53" s="2175">
        <v>2600</v>
      </c>
      <c r="H53" s="1264">
        <f t="shared" si="3"/>
        <v>0</v>
      </c>
      <c r="I53" s="1265"/>
      <c r="J53" s="1264"/>
      <c r="K53" s="1265">
        <f t="shared" si="4"/>
        <v>0</v>
      </c>
      <c r="L53" s="1266"/>
    </row>
    <row r="54" spans="1:12" s="1199" customFormat="1" ht="24" customHeight="1">
      <c r="A54" s="1339"/>
      <c r="B54" s="1259" t="s">
        <v>1217</v>
      </c>
      <c r="C54" s="1260"/>
      <c r="D54" s="1260"/>
      <c r="E54" s="1261">
        <v>3</v>
      </c>
      <c r="F54" s="1207" t="s">
        <v>363</v>
      </c>
      <c r="G54" s="2175">
        <v>3000</v>
      </c>
      <c r="H54" s="1264">
        <f t="shared" si="3"/>
        <v>9000</v>
      </c>
      <c r="I54" s="1265"/>
      <c r="J54" s="1264"/>
      <c r="K54" s="1265">
        <f t="shared" si="4"/>
        <v>9000</v>
      </c>
      <c r="L54" s="1266"/>
    </row>
    <row r="55" spans="1:12" s="1199" customFormat="1" ht="24" customHeight="1">
      <c r="A55" s="1339"/>
      <c r="B55" s="1259" t="s">
        <v>1218</v>
      </c>
      <c r="C55" s="1260"/>
      <c r="D55" s="1260"/>
      <c r="E55" s="1261"/>
      <c r="F55" s="1207" t="s">
        <v>363</v>
      </c>
      <c r="G55" s="2175">
        <v>5000</v>
      </c>
      <c r="H55" s="1264">
        <f t="shared" si="3"/>
        <v>0</v>
      </c>
      <c r="I55" s="1265"/>
      <c r="J55" s="1264"/>
      <c r="K55" s="1265">
        <f t="shared" si="4"/>
        <v>0</v>
      </c>
      <c r="L55" s="1266"/>
    </row>
    <row r="56" spans="1:12" s="1199" customFormat="1" ht="24" customHeight="1">
      <c r="A56" s="1339"/>
      <c r="B56" s="1259" t="s">
        <v>1258</v>
      </c>
      <c r="C56" s="1260"/>
      <c r="D56" s="1260"/>
      <c r="E56" s="1261"/>
      <c r="F56" s="1207" t="s">
        <v>363</v>
      </c>
      <c r="G56" s="2175">
        <v>5700</v>
      </c>
      <c r="H56" s="1264">
        <f t="shared" si="3"/>
        <v>0</v>
      </c>
      <c r="I56" s="1265"/>
      <c r="J56" s="1264"/>
      <c r="K56" s="1265">
        <f t="shared" si="4"/>
        <v>0</v>
      </c>
      <c r="L56" s="1266"/>
    </row>
    <row r="57" spans="1:12" s="1199" customFormat="1" ht="24" customHeight="1">
      <c r="A57" s="1339"/>
      <c r="B57" s="1259" t="s">
        <v>1259</v>
      </c>
      <c r="C57" s="1260"/>
      <c r="D57" s="1260"/>
      <c r="E57" s="1261"/>
      <c r="F57" s="1207" t="s">
        <v>363</v>
      </c>
      <c r="G57" s="2175">
        <v>5700</v>
      </c>
      <c r="H57" s="1264">
        <f t="shared" si="3"/>
        <v>0</v>
      </c>
      <c r="I57" s="1265"/>
      <c r="J57" s="1264"/>
      <c r="K57" s="1265">
        <f t="shared" si="4"/>
        <v>0</v>
      </c>
      <c r="L57" s="1266"/>
    </row>
    <row r="58" spans="1:12" s="1199" customFormat="1" ht="24" customHeight="1">
      <c r="A58" s="1339"/>
      <c r="B58" s="1259" t="s">
        <v>1220</v>
      </c>
      <c r="C58" s="1260"/>
      <c r="D58" s="1260"/>
      <c r="E58" s="1261"/>
      <c r="F58" s="1207" t="s">
        <v>363</v>
      </c>
      <c r="G58" s="2175">
        <v>8600</v>
      </c>
      <c r="H58" s="1264">
        <f t="shared" si="3"/>
        <v>0</v>
      </c>
      <c r="I58" s="1265"/>
      <c r="J58" s="1264"/>
      <c r="K58" s="1265">
        <f t="shared" si="4"/>
        <v>0</v>
      </c>
      <c r="L58" s="1266"/>
    </row>
    <row r="59" spans="1:12" s="1199" customFormat="1" ht="24" customHeight="1">
      <c r="A59" s="1339"/>
      <c r="B59" s="1259" t="s">
        <v>1260</v>
      </c>
      <c r="C59" s="1260"/>
      <c r="D59" s="1260"/>
      <c r="E59" s="1261">
        <v>1</v>
      </c>
      <c r="F59" s="1207" t="s">
        <v>363</v>
      </c>
      <c r="G59" s="2175">
        <v>8600</v>
      </c>
      <c r="H59" s="1264">
        <f t="shared" si="3"/>
        <v>8600</v>
      </c>
      <c r="I59" s="1265"/>
      <c r="J59" s="1264"/>
      <c r="K59" s="1265">
        <f t="shared" si="4"/>
        <v>8600</v>
      </c>
      <c r="L59" s="1266"/>
    </row>
    <row r="60" spans="1:12" s="1199" customFormat="1" ht="24" customHeight="1">
      <c r="A60" s="1339"/>
      <c r="B60" s="1259" t="s">
        <v>1261</v>
      </c>
      <c r="C60" s="1260"/>
      <c r="D60" s="1260"/>
      <c r="E60" s="1261"/>
      <c r="F60" s="1207" t="s">
        <v>363</v>
      </c>
      <c r="G60" s="2175">
        <v>8600</v>
      </c>
      <c r="H60" s="1264">
        <f t="shared" si="3"/>
        <v>0</v>
      </c>
      <c r="I60" s="1265"/>
      <c r="J60" s="1264"/>
      <c r="K60" s="1265">
        <f t="shared" si="4"/>
        <v>0</v>
      </c>
      <c r="L60" s="1266"/>
    </row>
    <row r="61" spans="1:12" s="1199" customFormat="1" ht="24" customHeight="1">
      <c r="A61" s="1339"/>
      <c r="B61" s="1259" t="s">
        <v>1221</v>
      </c>
      <c r="C61" s="1260"/>
      <c r="D61" s="1260"/>
      <c r="E61" s="1261"/>
      <c r="F61" s="1207" t="s">
        <v>363</v>
      </c>
      <c r="G61" s="2175">
        <v>11500</v>
      </c>
      <c r="H61" s="1264">
        <f t="shared" si="3"/>
        <v>0</v>
      </c>
      <c r="I61" s="1265"/>
      <c r="J61" s="1264"/>
      <c r="K61" s="1265">
        <f t="shared" si="4"/>
        <v>0</v>
      </c>
      <c r="L61" s="1266"/>
    </row>
    <row r="62" spans="1:12" s="1199" customFormat="1" ht="24" customHeight="1">
      <c r="A62" s="1339"/>
      <c r="B62" s="1259" t="s">
        <v>1262</v>
      </c>
      <c r="C62" s="1260"/>
      <c r="D62" s="1260"/>
      <c r="E62" s="1261">
        <v>1</v>
      </c>
      <c r="F62" s="1207" t="s">
        <v>363</v>
      </c>
      <c r="G62" s="2175">
        <v>20200</v>
      </c>
      <c r="H62" s="1264">
        <f t="shared" si="3"/>
        <v>20200</v>
      </c>
      <c r="I62" s="1265"/>
      <c r="J62" s="1264"/>
      <c r="K62" s="1265">
        <f t="shared" si="4"/>
        <v>20200</v>
      </c>
      <c r="L62" s="1266"/>
    </row>
    <row r="63" spans="1:12" s="1199" customFormat="1" ht="24" customHeight="1">
      <c r="A63" s="1339"/>
      <c r="B63" s="1259" t="s">
        <v>1263</v>
      </c>
      <c r="C63" s="1260"/>
      <c r="D63" s="1260"/>
      <c r="E63" s="1261"/>
      <c r="F63" s="1207" t="s">
        <v>363</v>
      </c>
      <c r="G63" s="2175">
        <v>20200</v>
      </c>
      <c r="H63" s="1264">
        <f t="shared" si="3"/>
        <v>0</v>
      </c>
      <c r="I63" s="1265"/>
      <c r="J63" s="1264"/>
      <c r="K63" s="1265">
        <f t="shared" si="4"/>
        <v>0</v>
      </c>
      <c r="L63" s="1266"/>
    </row>
    <row r="64" spans="1:12" s="1199" customFormat="1" ht="24" customHeight="1">
      <c r="A64" s="1339" t="s">
        <v>1619</v>
      </c>
      <c r="B64" s="1259" t="s">
        <v>1143</v>
      </c>
      <c r="C64" s="1260"/>
      <c r="D64" s="1260"/>
      <c r="E64" s="1261"/>
      <c r="F64" s="1358"/>
      <c r="G64" s="2175"/>
      <c r="H64" s="1264">
        <f t="shared" si="3"/>
        <v>0</v>
      </c>
      <c r="I64" s="1265"/>
      <c r="J64" s="1264"/>
      <c r="K64" s="1265">
        <f t="shared" si="4"/>
        <v>0</v>
      </c>
      <c r="L64" s="1364"/>
    </row>
    <row r="65" spans="1:18" s="1199" customFormat="1" ht="24" customHeight="1">
      <c r="A65" s="1339"/>
      <c r="B65" s="1259" t="s">
        <v>1276</v>
      </c>
      <c r="C65" s="1260"/>
      <c r="D65" s="1260"/>
      <c r="E65" s="1261">
        <v>3</v>
      </c>
      <c r="F65" s="1207" t="s">
        <v>363</v>
      </c>
      <c r="G65" s="2175">
        <v>600</v>
      </c>
      <c r="H65" s="1264">
        <f t="shared" si="3"/>
        <v>1800</v>
      </c>
      <c r="I65" s="1265"/>
      <c r="J65" s="1264"/>
      <c r="K65" s="1265">
        <f t="shared" si="4"/>
        <v>1800</v>
      </c>
      <c r="L65" s="1364"/>
    </row>
    <row r="66" spans="1:18" s="1199" customFormat="1" ht="24" customHeight="1">
      <c r="A66" s="1339"/>
      <c r="B66" s="1259" t="s">
        <v>1145</v>
      </c>
      <c r="C66" s="1260"/>
      <c r="D66" s="1260"/>
      <c r="E66" s="1261">
        <v>3</v>
      </c>
      <c r="F66" s="1207" t="s">
        <v>363</v>
      </c>
      <c r="G66" s="2175">
        <v>120</v>
      </c>
      <c r="H66" s="1264">
        <f t="shared" si="3"/>
        <v>360</v>
      </c>
      <c r="I66" s="1265"/>
      <c r="J66" s="1264"/>
      <c r="K66" s="1265">
        <f t="shared" si="4"/>
        <v>360</v>
      </c>
      <c r="L66" s="1364"/>
    </row>
    <row r="67" spans="1:18" s="1199" customFormat="1" ht="24" customHeight="1">
      <c r="A67" s="1339"/>
      <c r="B67" s="1259" t="s">
        <v>1146</v>
      </c>
      <c r="C67" s="1260"/>
      <c r="D67" s="1260"/>
      <c r="E67" s="1261">
        <v>3</v>
      </c>
      <c r="F67" s="1207" t="s">
        <v>363</v>
      </c>
      <c r="G67" s="2175">
        <v>100</v>
      </c>
      <c r="H67" s="1264">
        <f t="shared" si="3"/>
        <v>300</v>
      </c>
      <c r="I67" s="1265"/>
      <c r="J67" s="1264"/>
      <c r="K67" s="1265">
        <f t="shared" si="4"/>
        <v>300</v>
      </c>
      <c r="L67" s="1364"/>
    </row>
    <row r="68" spans="1:18" s="1199" customFormat="1" ht="24" customHeight="1">
      <c r="A68" s="1339"/>
      <c r="B68" s="1259" t="s">
        <v>1224</v>
      </c>
      <c r="C68" s="1260"/>
      <c r="D68" s="1260"/>
      <c r="E68" s="1261">
        <v>6</v>
      </c>
      <c r="F68" s="1207" t="s">
        <v>363</v>
      </c>
      <c r="G68" s="2175">
        <v>15435</v>
      </c>
      <c r="H68" s="1264">
        <f t="shared" si="3"/>
        <v>92610</v>
      </c>
      <c r="I68" s="1265"/>
      <c r="J68" s="1264"/>
      <c r="K68" s="1265">
        <f t="shared" si="4"/>
        <v>92610</v>
      </c>
      <c r="L68" s="1364"/>
    </row>
    <row r="69" spans="1:18" s="1199" customFormat="1" ht="24" customHeight="1">
      <c r="A69" s="1339" t="s">
        <v>1620</v>
      </c>
      <c r="B69" s="1259" t="s">
        <v>1226</v>
      </c>
      <c r="C69" s="1260"/>
      <c r="D69" s="1260"/>
      <c r="E69" s="1261">
        <v>1</v>
      </c>
      <c r="F69" s="1207" t="s">
        <v>1104</v>
      </c>
      <c r="G69" s="2175">
        <v>28700</v>
      </c>
      <c r="H69" s="1264">
        <f t="shared" si="3"/>
        <v>28700</v>
      </c>
      <c r="I69" s="1265">
        <f>G69*0.3</f>
        <v>8610</v>
      </c>
      <c r="J69" s="1264">
        <f>ROUND(E69*I69,)</f>
        <v>8610</v>
      </c>
      <c r="K69" s="1265">
        <f t="shared" si="4"/>
        <v>37310</v>
      </c>
      <c r="L69" s="1364"/>
    </row>
    <row r="70" spans="1:18" s="1199" customFormat="1" ht="24" customHeight="1">
      <c r="A70" s="1361" t="s">
        <v>1123</v>
      </c>
      <c r="B70" s="1362" t="s">
        <v>1277</v>
      </c>
      <c r="C70" s="1260"/>
      <c r="D70" s="1260"/>
      <c r="E70" s="1261"/>
      <c r="F70" s="1358"/>
      <c r="G70" s="2175"/>
      <c r="H70" s="1264"/>
      <c r="I70" s="1265"/>
      <c r="J70" s="1264"/>
      <c r="K70" s="1265"/>
      <c r="L70" s="1364"/>
    </row>
    <row r="71" spans="1:18" s="1199" customFormat="1" ht="24" customHeight="1">
      <c r="A71" s="1339" t="s">
        <v>2923</v>
      </c>
      <c r="B71" s="1259" t="s">
        <v>1210</v>
      </c>
      <c r="C71" s="1260"/>
      <c r="D71" s="1260"/>
      <c r="E71" s="1261"/>
      <c r="F71" s="1358"/>
      <c r="G71" s="2175"/>
      <c r="H71" s="1264"/>
      <c r="I71" s="1265"/>
      <c r="J71" s="1264"/>
      <c r="K71" s="1265"/>
      <c r="L71" s="1364"/>
    </row>
    <row r="72" spans="1:18" s="1199" customFormat="1" ht="24" customHeight="1">
      <c r="A72" s="1339"/>
      <c r="B72" s="1259" t="s">
        <v>1211</v>
      </c>
      <c r="C72" s="1260"/>
      <c r="D72" s="1260"/>
      <c r="E72" s="1261"/>
      <c r="F72" s="1207" t="s">
        <v>363</v>
      </c>
      <c r="G72" s="2175">
        <v>2400</v>
      </c>
      <c r="H72" s="1264">
        <f t="shared" ref="H72:H94" si="5">ROUND(G72*E72,)</f>
        <v>0</v>
      </c>
      <c r="I72" s="1265"/>
      <c r="J72" s="1264"/>
      <c r="K72" s="1265">
        <f t="shared" ref="K72:K94" si="6">J72+H72</f>
        <v>0</v>
      </c>
      <c r="L72" s="1266"/>
      <c r="N72" s="1363"/>
      <c r="O72" s="1363"/>
      <c r="P72" s="1363"/>
      <c r="Q72" s="1363"/>
      <c r="R72" s="1363"/>
    </row>
    <row r="73" spans="1:18" s="1199" customFormat="1" ht="24" customHeight="1">
      <c r="A73" s="1339"/>
      <c r="B73" s="1259" t="s">
        <v>1212</v>
      </c>
      <c r="C73" s="1260"/>
      <c r="D73" s="1260"/>
      <c r="E73" s="1261"/>
      <c r="F73" s="1207" t="s">
        <v>363</v>
      </c>
      <c r="G73" s="2175">
        <v>2400</v>
      </c>
      <c r="H73" s="1264">
        <f t="shared" si="5"/>
        <v>0</v>
      </c>
      <c r="I73" s="1265"/>
      <c r="J73" s="1264"/>
      <c r="K73" s="1265">
        <f t="shared" si="6"/>
        <v>0</v>
      </c>
      <c r="L73" s="1266"/>
      <c r="N73" s="1363"/>
      <c r="O73" s="1363"/>
      <c r="P73" s="1363"/>
      <c r="Q73" s="1363"/>
      <c r="R73" s="1363"/>
    </row>
    <row r="74" spans="1:18" s="1199" customFormat="1" ht="24" customHeight="1">
      <c r="A74" s="1339"/>
      <c r="B74" s="1259" t="s">
        <v>1213</v>
      </c>
      <c r="C74" s="1260"/>
      <c r="D74" s="1260"/>
      <c r="E74" s="1261">
        <v>1</v>
      </c>
      <c r="F74" s="1207" t="s">
        <v>363</v>
      </c>
      <c r="G74" s="2175">
        <v>2400</v>
      </c>
      <c r="H74" s="1264">
        <f t="shared" si="5"/>
        <v>2400</v>
      </c>
      <c r="I74" s="1265"/>
      <c r="J74" s="1264"/>
      <c r="K74" s="1265">
        <f t="shared" si="6"/>
        <v>2400</v>
      </c>
      <c r="L74" s="1266"/>
    </row>
    <row r="75" spans="1:18" s="1199" customFormat="1" ht="24" customHeight="1">
      <c r="A75" s="1339"/>
      <c r="B75" s="1259" t="s">
        <v>1214</v>
      </c>
      <c r="C75" s="1260"/>
      <c r="D75" s="1260"/>
      <c r="E75" s="1261"/>
      <c r="F75" s="1207" t="s">
        <v>363</v>
      </c>
      <c r="G75" s="2175">
        <v>2400</v>
      </c>
      <c r="H75" s="1264">
        <f t="shared" si="5"/>
        <v>0</v>
      </c>
      <c r="I75" s="1265"/>
      <c r="J75" s="1264"/>
      <c r="K75" s="1265">
        <f t="shared" si="6"/>
        <v>0</v>
      </c>
      <c r="L75" s="1266"/>
    </row>
    <row r="76" spans="1:18" s="1199" customFormat="1" ht="24" customHeight="1">
      <c r="A76" s="1339"/>
      <c r="B76" s="1259" t="s">
        <v>1215</v>
      </c>
      <c r="C76" s="1260"/>
      <c r="D76" s="1260"/>
      <c r="E76" s="1261">
        <v>1</v>
      </c>
      <c r="F76" s="1207" t="s">
        <v>363</v>
      </c>
      <c r="G76" s="2175">
        <v>2400</v>
      </c>
      <c r="H76" s="1264">
        <f t="shared" si="5"/>
        <v>2400</v>
      </c>
      <c r="I76" s="1265"/>
      <c r="J76" s="1264"/>
      <c r="K76" s="1265">
        <f t="shared" si="6"/>
        <v>2400</v>
      </c>
      <c r="L76" s="1266"/>
    </row>
    <row r="77" spans="1:18" s="1199" customFormat="1" ht="24" customHeight="1">
      <c r="A77" s="1339"/>
      <c r="B77" s="1259" t="s">
        <v>1216</v>
      </c>
      <c r="C77" s="1260"/>
      <c r="D77" s="1260"/>
      <c r="E77" s="1261">
        <v>1</v>
      </c>
      <c r="F77" s="1207" t="s">
        <v>363</v>
      </c>
      <c r="G77" s="2175">
        <v>2400</v>
      </c>
      <c r="H77" s="1264">
        <f t="shared" si="5"/>
        <v>2400</v>
      </c>
      <c r="I77" s="1265"/>
      <c r="J77" s="1264"/>
      <c r="K77" s="1265">
        <f t="shared" si="6"/>
        <v>2400</v>
      </c>
      <c r="L77" s="1266"/>
    </row>
    <row r="78" spans="1:18" s="1199" customFormat="1" ht="24" customHeight="1">
      <c r="A78" s="1339"/>
      <c r="B78" s="1259" t="s">
        <v>1257</v>
      </c>
      <c r="C78" s="1260"/>
      <c r="D78" s="1260"/>
      <c r="E78" s="1261">
        <v>1</v>
      </c>
      <c r="F78" s="1207" t="s">
        <v>363</v>
      </c>
      <c r="G78" s="2175">
        <v>2600</v>
      </c>
      <c r="H78" s="1264">
        <f t="shared" si="5"/>
        <v>2600</v>
      </c>
      <c r="I78" s="1265"/>
      <c r="J78" s="1264"/>
      <c r="K78" s="1265">
        <f t="shared" si="6"/>
        <v>2600</v>
      </c>
      <c r="L78" s="1266"/>
    </row>
    <row r="79" spans="1:18" s="1199" customFormat="1" ht="24" customHeight="1">
      <c r="A79" s="1339"/>
      <c r="B79" s="1259" t="s">
        <v>1217</v>
      </c>
      <c r="C79" s="1260"/>
      <c r="D79" s="1260"/>
      <c r="E79" s="1261"/>
      <c r="F79" s="1207" t="s">
        <v>363</v>
      </c>
      <c r="G79" s="2175">
        <v>3000</v>
      </c>
      <c r="H79" s="1264">
        <f t="shared" si="5"/>
        <v>0</v>
      </c>
      <c r="I79" s="1265"/>
      <c r="J79" s="1264"/>
      <c r="K79" s="1265">
        <f t="shared" si="6"/>
        <v>0</v>
      </c>
      <c r="L79" s="1266"/>
    </row>
    <row r="80" spans="1:18" s="1199" customFormat="1" ht="24" customHeight="1">
      <c r="A80" s="1339"/>
      <c r="B80" s="1259" t="s">
        <v>1218</v>
      </c>
      <c r="C80" s="1260"/>
      <c r="D80" s="1260"/>
      <c r="E80" s="1261">
        <v>1</v>
      </c>
      <c r="F80" s="1207" t="s">
        <v>363</v>
      </c>
      <c r="G80" s="2175">
        <v>5000</v>
      </c>
      <c r="H80" s="1264">
        <f t="shared" si="5"/>
        <v>5000</v>
      </c>
      <c r="I80" s="1265"/>
      <c r="J80" s="1264"/>
      <c r="K80" s="1265">
        <f t="shared" si="6"/>
        <v>5000</v>
      </c>
      <c r="L80" s="1266"/>
    </row>
    <row r="81" spans="1:12" s="1199" customFormat="1" ht="24" customHeight="1">
      <c r="A81" s="1339"/>
      <c r="B81" s="1259" t="s">
        <v>1258</v>
      </c>
      <c r="C81" s="1260"/>
      <c r="D81" s="1260"/>
      <c r="E81" s="1261"/>
      <c r="F81" s="1207" t="s">
        <v>363</v>
      </c>
      <c r="G81" s="2175">
        <v>5700</v>
      </c>
      <c r="H81" s="1264">
        <f t="shared" si="5"/>
        <v>0</v>
      </c>
      <c r="I81" s="1265"/>
      <c r="J81" s="1264"/>
      <c r="K81" s="1265">
        <f t="shared" si="6"/>
        <v>0</v>
      </c>
      <c r="L81" s="1266"/>
    </row>
    <row r="82" spans="1:12" s="1199" customFormat="1" ht="24" customHeight="1">
      <c r="A82" s="1339"/>
      <c r="B82" s="1259" t="s">
        <v>1259</v>
      </c>
      <c r="C82" s="1260"/>
      <c r="D82" s="1260"/>
      <c r="E82" s="1261"/>
      <c r="F82" s="1207" t="s">
        <v>363</v>
      </c>
      <c r="G82" s="2175">
        <v>5700</v>
      </c>
      <c r="H82" s="1264">
        <f t="shared" si="5"/>
        <v>0</v>
      </c>
      <c r="I82" s="1265"/>
      <c r="J82" s="1264"/>
      <c r="K82" s="1265">
        <f t="shared" si="6"/>
        <v>0</v>
      </c>
      <c r="L82" s="1266"/>
    </row>
    <row r="83" spans="1:12" s="1199" customFormat="1" ht="24" customHeight="1">
      <c r="A83" s="1339"/>
      <c r="B83" s="1259" t="s">
        <v>1220</v>
      </c>
      <c r="C83" s="1260"/>
      <c r="D83" s="1260"/>
      <c r="E83" s="1261">
        <v>1</v>
      </c>
      <c r="F83" s="1207" t="s">
        <v>363</v>
      </c>
      <c r="G83" s="2175">
        <v>8600</v>
      </c>
      <c r="H83" s="1264">
        <f t="shared" si="5"/>
        <v>8600</v>
      </c>
      <c r="I83" s="1265"/>
      <c r="J83" s="1264"/>
      <c r="K83" s="1265">
        <f t="shared" si="6"/>
        <v>8600</v>
      </c>
      <c r="L83" s="1266"/>
    </row>
    <row r="84" spans="1:12" s="1199" customFormat="1" ht="24" customHeight="1">
      <c r="A84" s="1339"/>
      <c r="B84" s="1259" t="s">
        <v>1260</v>
      </c>
      <c r="C84" s="1260"/>
      <c r="D84" s="1260"/>
      <c r="E84" s="1261"/>
      <c r="F84" s="1207" t="s">
        <v>363</v>
      </c>
      <c r="G84" s="2175">
        <v>8600</v>
      </c>
      <c r="H84" s="1264">
        <f t="shared" si="5"/>
        <v>0</v>
      </c>
      <c r="I84" s="1265"/>
      <c r="J84" s="1264"/>
      <c r="K84" s="1265">
        <f t="shared" si="6"/>
        <v>0</v>
      </c>
      <c r="L84" s="1266"/>
    </row>
    <row r="85" spans="1:12" s="1199" customFormat="1" ht="24" customHeight="1">
      <c r="A85" s="1339"/>
      <c r="B85" s="1259" t="s">
        <v>1261</v>
      </c>
      <c r="C85" s="1260"/>
      <c r="D85" s="1260"/>
      <c r="E85" s="1261"/>
      <c r="F85" s="1207" t="s">
        <v>363</v>
      </c>
      <c r="G85" s="2175">
        <v>8600</v>
      </c>
      <c r="H85" s="1264">
        <f t="shared" si="5"/>
        <v>0</v>
      </c>
      <c r="I85" s="1265"/>
      <c r="J85" s="1264"/>
      <c r="K85" s="1265">
        <f t="shared" si="6"/>
        <v>0</v>
      </c>
      <c r="L85" s="1266"/>
    </row>
    <row r="86" spans="1:12" s="1199" customFormat="1" ht="24" customHeight="1">
      <c r="A86" s="1339"/>
      <c r="B86" s="1259" t="s">
        <v>1221</v>
      </c>
      <c r="C86" s="1260"/>
      <c r="D86" s="1260"/>
      <c r="E86" s="1261"/>
      <c r="F86" s="1207" t="s">
        <v>363</v>
      </c>
      <c r="G86" s="2175">
        <v>11500</v>
      </c>
      <c r="H86" s="1264">
        <f t="shared" si="5"/>
        <v>0</v>
      </c>
      <c r="I86" s="1265"/>
      <c r="J86" s="1264"/>
      <c r="K86" s="1265">
        <f t="shared" si="6"/>
        <v>0</v>
      </c>
      <c r="L86" s="1266"/>
    </row>
    <row r="87" spans="1:12" s="1199" customFormat="1" ht="24" customHeight="1">
      <c r="A87" s="1339"/>
      <c r="B87" s="1259" t="s">
        <v>1262</v>
      </c>
      <c r="C87" s="1260"/>
      <c r="D87" s="1260"/>
      <c r="E87" s="1261"/>
      <c r="F87" s="1207" t="s">
        <v>363</v>
      </c>
      <c r="G87" s="2175">
        <v>20200</v>
      </c>
      <c r="H87" s="1264">
        <f t="shared" si="5"/>
        <v>0</v>
      </c>
      <c r="I87" s="1265"/>
      <c r="J87" s="1264"/>
      <c r="K87" s="1265">
        <f t="shared" si="6"/>
        <v>0</v>
      </c>
      <c r="L87" s="1266"/>
    </row>
    <row r="88" spans="1:12" s="1199" customFormat="1" ht="24" customHeight="1">
      <c r="A88" s="1339"/>
      <c r="B88" s="1259" t="s">
        <v>1263</v>
      </c>
      <c r="C88" s="1260"/>
      <c r="D88" s="1260"/>
      <c r="E88" s="1261"/>
      <c r="F88" s="1207" t="s">
        <v>363</v>
      </c>
      <c r="G88" s="2175">
        <v>20200</v>
      </c>
      <c r="H88" s="1264">
        <f t="shared" si="5"/>
        <v>0</v>
      </c>
      <c r="I88" s="1265"/>
      <c r="J88" s="1264"/>
      <c r="K88" s="1265">
        <f t="shared" si="6"/>
        <v>0</v>
      </c>
      <c r="L88" s="1266"/>
    </row>
    <row r="89" spans="1:12" s="1199" customFormat="1" ht="24" customHeight="1">
      <c r="A89" s="1339" t="s">
        <v>2924</v>
      </c>
      <c r="B89" s="1259" t="s">
        <v>1143</v>
      </c>
      <c r="C89" s="1260"/>
      <c r="D89" s="1260"/>
      <c r="E89" s="1261"/>
      <c r="F89" s="1358"/>
      <c r="G89" s="2175"/>
      <c r="H89" s="1264">
        <f t="shared" si="5"/>
        <v>0</v>
      </c>
      <c r="I89" s="1265"/>
      <c r="J89" s="1264"/>
      <c r="K89" s="1265">
        <f t="shared" si="6"/>
        <v>0</v>
      </c>
      <c r="L89" s="1364"/>
    </row>
    <row r="90" spans="1:12" s="1199" customFormat="1" ht="24" customHeight="1">
      <c r="A90" s="1339"/>
      <c r="B90" s="1259" t="s">
        <v>1223</v>
      </c>
      <c r="C90" s="1260"/>
      <c r="D90" s="1260"/>
      <c r="E90" s="1261">
        <v>3</v>
      </c>
      <c r="F90" s="1207" t="s">
        <v>363</v>
      </c>
      <c r="G90" s="2175">
        <v>600</v>
      </c>
      <c r="H90" s="1264">
        <f t="shared" si="5"/>
        <v>1800</v>
      </c>
      <c r="I90" s="1265"/>
      <c r="J90" s="1264"/>
      <c r="K90" s="1265">
        <f t="shared" si="6"/>
        <v>1800</v>
      </c>
      <c r="L90" s="1364"/>
    </row>
    <row r="91" spans="1:12" s="1199" customFormat="1" ht="24" customHeight="1">
      <c r="A91" s="1339"/>
      <c r="B91" s="1259" t="s">
        <v>1145</v>
      </c>
      <c r="C91" s="1260"/>
      <c r="D91" s="1260"/>
      <c r="E91" s="1261">
        <v>3</v>
      </c>
      <c r="F91" s="1207" t="s">
        <v>363</v>
      </c>
      <c r="G91" s="2175">
        <v>120</v>
      </c>
      <c r="H91" s="1264">
        <f t="shared" si="5"/>
        <v>360</v>
      </c>
      <c r="I91" s="1265"/>
      <c r="J91" s="1264"/>
      <c r="K91" s="1265">
        <f t="shared" si="6"/>
        <v>360</v>
      </c>
      <c r="L91" s="1364"/>
    </row>
    <row r="92" spans="1:12" s="1199" customFormat="1" ht="24" customHeight="1">
      <c r="A92" s="1339"/>
      <c r="B92" s="1259" t="s">
        <v>1146</v>
      </c>
      <c r="C92" s="1260"/>
      <c r="D92" s="1260"/>
      <c r="E92" s="1261">
        <v>3</v>
      </c>
      <c r="F92" s="1207" t="s">
        <v>363</v>
      </c>
      <c r="G92" s="2175">
        <v>100</v>
      </c>
      <c r="H92" s="1264">
        <f t="shared" si="5"/>
        <v>300</v>
      </c>
      <c r="I92" s="1265"/>
      <c r="J92" s="1264"/>
      <c r="K92" s="1265">
        <f t="shared" si="6"/>
        <v>300</v>
      </c>
      <c r="L92" s="1364"/>
    </row>
    <row r="93" spans="1:12" s="1199" customFormat="1" ht="24" customHeight="1">
      <c r="A93" s="1339"/>
      <c r="B93" s="1259" t="s">
        <v>1224</v>
      </c>
      <c r="C93" s="1260"/>
      <c r="D93" s="1260"/>
      <c r="E93" s="1261">
        <v>4</v>
      </c>
      <c r="F93" s="1207" t="s">
        <v>363</v>
      </c>
      <c r="G93" s="2175">
        <v>15435</v>
      </c>
      <c r="H93" s="1264">
        <f t="shared" si="5"/>
        <v>61740</v>
      </c>
      <c r="I93" s="1265"/>
      <c r="J93" s="1264"/>
      <c r="K93" s="1265">
        <f t="shared" si="6"/>
        <v>61740</v>
      </c>
      <c r="L93" s="1364"/>
    </row>
    <row r="94" spans="1:12" s="1199" customFormat="1" ht="24" customHeight="1">
      <c r="A94" s="1339" t="s">
        <v>2925</v>
      </c>
      <c r="B94" s="1259" t="s">
        <v>1226</v>
      </c>
      <c r="C94" s="1260"/>
      <c r="D94" s="1260"/>
      <c r="E94" s="1261">
        <v>1</v>
      </c>
      <c r="F94" s="1207" t="s">
        <v>1104</v>
      </c>
      <c r="G94" s="2175">
        <v>28700</v>
      </c>
      <c r="H94" s="1264">
        <f t="shared" si="5"/>
        <v>28700</v>
      </c>
      <c r="I94" s="1265">
        <f>G94*0.3</f>
        <v>8610</v>
      </c>
      <c r="J94" s="1264">
        <f>ROUND(E94*I94,)</f>
        <v>8610</v>
      </c>
      <c r="K94" s="1265">
        <f t="shared" si="6"/>
        <v>37310</v>
      </c>
      <c r="L94" s="1364"/>
    </row>
    <row r="95" spans="1:12" s="1199" customFormat="1" ht="24" customHeight="1">
      <c r="A95" s="1361" t="s">
        <v>1125</v>
      </c>
      <c r="B95" s="1362" t="s">
        <v>1288</v>
      </c>
      <c r="C95" s="1260"/>
      <c r="D95" s="1260"/>
      <c r="E95" s="1261"/>
      <c r="F95" s="1358"/>
      <c r="G95" s="2175"/>
      <c r="H95" s="1264"/>
      <c r="I95" s="1265"/>
      <c r="J95" s="1264"/>
      <c r="K95" s="1265"/>
      <c r="L95" s="1364"/>
    </row>
    <row r="96" spans="1:12" s="1199" customFormat="1" ht="24" customHeight="1">
      <c r="A96" s="1339" t="s">
        <v>2984</v>
      </c>
      <c r="B96" s="1259" t="s">
        <v>1210</v>
      </c>
      <c r="C96" s="1260"/>
      <c r="D96" s="1260"/>
      <c r="E96" s="1261"/>
      <c r="F96" s="1358"/>
      <c r="G96" s="2175"/>
      <c r="H96" s="1264"/>
      <c r="I96" s="1265"/>
      <c r="J96" s="1264"/>
      <c r="K96" s="1265"/>
      <c r="L96" s="1364"/>
    </row>
    <row r="97" spans="1:18" s="1199" customFormat="1" ht="24" customHeight="1">
      <c r="A97" s="1339"/>
      <c r="B97" s="1259" t="s">
        <v>1211</v>
      </c>
      <c r="C97" s="1260"/>
      <c r="D97" s="1260"/>
      <c r="E97" s="1261"/>
      <c r="F97" s="1207" t="s">
        <v>363</v>
      </c>
      <c r="G97" s="2175">
        <v>2400</v>
      </c>
      <c r="H97" s="1264">
        <f t="shared" ref="H97:H119" si="7">ROUND(G97*E97,)</f>
        <v>0</v>
      </c>
      <c r="I97" s="1265"/>
      <c r="J97" s="1264"/>
      <c r="K97" s="1265">
        <f t="shared" ref="K97:K119" si="8">J97+H97</f>
        <v>0</v>
      </c>
      <c r="L97" s="1266"/>
      <c r="N97" s="1363"/>
      <c r="O97" s="1363"/>
      <c r="P97" s="1363"/>
      <c r="Q97" s="1363"/>
      <c r="R97" s="1363"/>
    </row>
    <row r="98" spans="1:18" s="1199" customFormat="1" ht="24" customHeight="1">
      <c r="A98" s="1339"/>
      <c r="B98" s="1259" t="s">
        <v>1212</v>
      </c>
      <c r="C98" s="1260"/>
      <c r="D98" s="1260"/>
      <c r="E98" s="1261"/>
      <c r="F98" s="1207" t="s">
        <v>363</v>
      </c>
      <c r="G98" s="2175">
        <v>2400</v>
      </c>
      <c r="H98" s="1264">
        <f t="shared" si="7"/>
        <v>0</v>
      </c>
      <c r="I98" s="1265"/>
      <c r="J98" s="1264"/>
      <c r="K98" s="1265">
        <f t="shared" si="8"/>
        <v>0</v>
      </c>
      <c r="L98" s="1266"/>
      <c r="N98" s="1363"/>
      <c r="O98" s="1363"/>
      <c r="P98" s="1363"/>
      <c r="Q98" s="1363"/>
      <c r="R98" s="1363"/>
    </row>
    <row r="99" spans="1:18" s="1199" customFormat="1" ht="24" customHeight="1">
      <c r="A99" s="1339"/>
      <c r="B99" s="1259" t="s">
        <v>1213</v>
      </c>
      <c r="C99" s="1260"/>
      <c r="D99" s="1260"/>
      <c r="E99" s="1261"/>
      <c r="F99" s="1207" t="s">
        <v>363</v>
      </c>
      <c r="G99" s="2175">
        <v>2400</v>
      </c>
      <c r="H99" s="1264">
        <f t="shared" si="7"/>
        <v>0</v>
      </c>
      <c r="I99" s="1265"/>
      <c r="J99" s="1264"/>
      <c r="K99" s="1265">
        <f t="shared" si="8"/>
        <v>0</v>
      </c>
      <c r="L99" s="1266"/>
    </row>
    <row r="100" spans="1:18" s="1199" customFormat="1" ht="24" customHeight="1">
      <c r="A100" s="1339"/>
      <c r="B100" s="1259" t="s">
        <v>1214</v>
      </c>
      <c r="C100" s="1260"/>
      <c r="D100" s="1260"/>
      <c r="E100" s="1261">
        <v>1</v>
      </c>
      <c r="F100" s="1207" t="s">
        <v>363</v>
      </c>
      <c r="G100" s="2175">
        <v>2400</v>
      </c>
      <c r="H100" s="1264">
        <f t="shared" si="7"/>
        <v>2400</v>
      </c>
      <c r="I100" s="1265"/>
      <c r="J100" s="1264"/>
      <c r="K100" s="1265">
        <f t="shared" si="8"/>
        <v>2400</v>
      </c>
      <c r="L100" s="1266"/>
    </row>
    <row r="101" spans="1:18" s="1199" customFormat="1" ht="24" customHeight="1">
      <c r="A101" s="1339"/>
      <c r="B101" s="1259" t="s">
        <v>1215</v>
      </c>
      <c r="C101" s="1260"/>
      <c r="D101" s="1260"/>
      <c r="E101" s="1261">
        <v>1</v>
      </c>
      <c r="F101" s="1207" t="s">
        <v>363</v>
      </c>
      <c r="G101" s="2175">
        <v>2400</v>
      </c>
      <c r="H101" s="1264">
        <f t="shared" si="7"/>
        <v>2400</v>
      </c>
      <c r="I101" s="1265"/>
      <c r="J101" s="1264"/>
      <c r="K101" s="1265">
        <f t="shared" si="8"/>
        <v>2400</v>
      </c>
      <c r="L101" s="1266"/>
    </row>
    <row r="102" spans="1:18" s="1199" customFormat="1" ht="24" customHeight="1">
      <c r="A102" s="1339"/>
      <c r="B102" s="1259" t="s">
        <v>1216</v>
      </c>
      <c r="C102" s="1260"/>
      <c r="D102" s="1260"/>
      <c r="E102" s="1261">
        <v>1</v>
      </c>
      <c r="F102" s="1207" t="s">
        <v>363</v>
      </c>
      <c r="G102" s="2175">
        <v>2400</v>
      </c>
      <c r="H102" s="1264">
        <f t="shared" si="7"/>
        <v>2400</v>
      </c>
      <c r="I102" s="1265"/>
      <c r="J102" s="1264"/>
      <c r="K102" s="1265">
        <f t="shared" si="8"/>
        <v>2400</v>
      </c>
      <c r="L102" s="1266"/>
    </row>
    <row r="103" spans="1:18" s="1199" customFormat="1" ht="24" customHeight="1">
      <c r="A103" s="1339"/>
      <c r="B103" s="1259" t="s">
        <v>1257</v>
      </c>
      <c r="C103" s="1260"/>
      <c r="D103" s="1260"/>
      <c r="E103" s="1261"/>
      <c r="F103" s="1207" t="s">
        <v>363</v>
      </c>
      <c r="G103" s="2175">
        <v>2600</v>
      </c>
      <c r="H103" s="1264">
        <f t="shared" si="7"/>
        <v>0</v>
      </c>
      <c r="I103" s="1265"/>
      <c r="J103" s="1264"/>
      <c r="K103" s="1265">
        <f t="shared" si="8"/>
        <v>0</v>
      </c>
      <c r="L103" s="1266"/>
    </row>
    <row r="104" spans="1:18" s="1199" customFormat="1" ht="24" customHeight="1">
      <c r="A104" s="1339"/>
      <c r="B104" s="1259" t="s">
        <v>1217</v>
      </c>
      <c r="C104" s="1260"/>
      <c r="D104" s="1260"/>
      <c r="E104" s="1261">
        <v>2</v>
      </c>
      <c r="F104" s="1207" t="s">
        <v>363</v>
      </c>
      <c r="G104" s="2175">
        <v>3000</v>
      </c>
      <c r="H104" s="1264">
        <f t="shared" si="7"/>
        <v>6000</v>
      </c>
      <c r="I104" s="1265"/>
      <c r="J104" s="1264"/>
      <c r="K104" s="1265">
        <f t="shared" si="8"/>
        <v>6000</v>
      </c>
      <c r="L104" s="1266"/>
    </row>
    <row r="105" spans="1:18" s="1199" customFormat="1" ht="24" customHeight="1">
      <c r="A105" s="1339"/>
      <c r="B105" s="1259" t="s">
        <v>1218</v>
      </c>
      <c r="C105" s="1260"/>
      <c r="D105" s="1260"/>
      <c r="E105" s="1261"/>
      <c r="F105" s="1207" t="s">
        <v>363</v>
      </c>
      <c r="G105" s="2175">
        <v>5000</v>
      </c>
      <c r="H105" s="1264">
        <f t="shared" si="7"/>
        <v>0</v>
      </c>
      <c r="I105" s="1265"/>
      <c r="J105" s="1264"/>
      <c r="K105" s="1265">
        <f t="shared" si="8"/>
        <v>0</v>
      </c>
      <c r="L105" s="1266"/>
    </row>
    <row r="106" spans="1:18" s="1199" customFormat="1" ht="24" customHeight="1">
      <c r="A106" s="1339"/>
      <c r="B106" s="1259" t="s">
        <v>1258</v>
      </c>
      <c r="C106" s="1260"/>
      <c r="D106" s="1260"/>
      <c r="E106" s="1261"/>
      <c r="F106" s="1207" t="s">
        <v>363</v>
      </c>
      <c r="G106" s="2175">
        <v>5700</v>
      </c>
      <c r="H106" s="1264">
        <f t="shared" si="7"/>
        <v>0</v>
      </c>
      <c r="I106" s="1265"/>
      <c r="J106" s="1264"/>
      <c r="K106" s="1265">
        <f t="shared" si="8"/>
        <v>0</v>
      </c>
      <c r="L106" s="1266"/>
    </row>
    <row r="107" spans="1:18" s="1199" customFormat="1" ht="24" customHeight="1">
      <c r="A107" s="1339"/>
      <c r="B107" s="1259" t="s">
        <v>1259</v>
      </c>
      <c r="C107" s="1260"/>
      <c r="D107" s="1260"/>
      <c r="E107" s="1261"/>
      <c r="F107" s="1207" t="s">
        <v>363</v>
      </c>
      <c r="G107" s="2175">
        <v>5700</v>
      </c>
      <c r="H107" s="1264">
        <f t="shared" si="7"/>
        <v>0</v>
      </c>
      <c r="I107" s="1265"/>
      <c r="J107" s="1264"/>
      <c r="K107" s="1265">
        <f t="shared" si="8"/>
        <v>0</v>
      </c>
      <c r="L107" s="1266"/>
    </row>
    <row r="108" spans="1:18" s="1199" customFormat="1" ht="24" customHeight="1">
      <c r="A108" s="1339"/>
      <c r="B108" s="1259" t="s">
        <v>1220</v>
      </c>
      <c r="C108" s="1260"/>
      <c r="D108" s="1260"/>
      <c r="E108" s="1261"/>
      <c r="F108" s="1207" t="s">
        <v>363</v>
      </c>
      <c r="G108" s="2175">
        <v>8600</v>
      </c>
      <c r="H108" s="1264">
        <f t="shared" si="7"/>
        <v>0</v>
      </c>
      <c r="I108" s="1265"/>
      <c r="J108" s="1264"/>
      <c r="K108" s="1265">
        <f t="shared" si="8"/>
        <v>0</v>
      </c>
      <c r="L108" s="1266"/>
    </row>
    <row r="109" spans="1:18" s="1199" customFormat="1" ht="24" customHeight="1">
      <c r="A109" s="1339"/>
      <c r="B109" s="1259" t="s">
        <v>1260</v>
      </c>
      <c r="C109" s="1260"/>
      <c r="D109" s="1260"/>
      <c r="E109" s="1261">
        <v>1</v>
      </c>
      <c r="F109" s="1207" t="s">
        <v>363</v>
      </c>
      <c r="G109" s="2175">
        <v>8600</v>
      </c>
      <c r="H109" s="1264">
        <f t="shared" si="7"/>
        <v>8600</v>
      </c>
      <c r="I109" s="1265"/>
      <c r="J109" s="1264"/>
      <c r="K109" s="1265">
        <f t="shared" si="8"/>
        <v>8600</v>
      </c>
      <c r="L109" s="1266"/>
    </row>
    <row r="110" spans="1:18" s="1199" customFormat="1" ht="24" customHeight="1">
      <c r="A110" s="1339"/>
      <c r="B110" s="1259" t="s">
        <v>1261</v>
      </c>
      <c r="C110" s="1260"/>
      <c r="D110" s="1260"/>
      <c r="E110" s="1261"/>
      <c r="F110" s="1207" t="s">
        <v>363</v>
      </c>
      <c r="G110" s="2175">
        <v>8600</v>
      </c>
      <c r="H110" s="1264">
        <f t="shared" si="7"/>
        <v>0</v>
      </c>
      <c r="I110" s="1265"/>
      <c r="J110" s="1264"/>
      <c r="K110" s="1265">
        <f t="shared" si="8"/>
        <v>0</v>
      </c>
      <c r="L110" s="1266"/>
    </row>
    <row r="111" spans="1:18" s="1199" customFormat="1" ht="24" customHeight="1">
      <c r="A111" s="1339"/>
      <c r="B111" s="1259" t="s">
        <v>1221</v>
      </c>
      <c r="C111" s="1260"/>
      <c r="D111" s="1260"/>
      <c r="E111" s="1261"/>
      <c r="F111" s="1207" t="s">
        <v>363</v>
      </c>
      <c r="G111" s="2175">
        <v>11500</v>
      </c>
      <c r="H111" s="1264">
        <f t="shared" si="7"/>
        <v>0</v>
      </c>
      <c r="I111" s="1265"/>
      <c r="J111" s="1264"/>
      <c r="K111" s="1265">
        <f t="shared" si="8"/>
        <v>0</v>
      </c>
      <c r="L111" s="1266"/>
    </row>
    <row r="112" spans="1:18" s="1199" customFormat="1" ht="24" customHeight="1">
      <c r="A112" s="1339"/>
      <c r="B112" s="1259" t="s">
        <v>1262</v>
      </c>
      <c r="C112" s="1260"/>
      <c r="D112" s="1260"/>
      <c r="E112" s="1261">
        <v>1</v>
      </c>
      <c r="F112" s="1207" t="s">
        <v>363</v>
      </c>
      <c r="G112" s="2175">
        <v>20200</v>
      </c>
      <c r="H112" s="1264">
        <f t="shared" si="7"/>
        <v>20200</v>
      </c>
      <c r="I112" s="1265"/>
      <c r="J112" s="1264"/>
      <c r="K112" s="1265">
        <f t="shared" si="8"/>
        <v>20200</v>
      </c>
      <c r="L112" s="1266"/>
    </row>
    <row r="113" spans="1:18" s="1199" customFormat="1" ht="24" customHeight="1">
      <c r="A113" s="1339"/>
      <c r="B113" s="1259" t="s">
        <v>1263</v>
      </c>
      <c r="C113" s="1260"/>
      <c r="D113" s="1260"/>
      <c r="E113" s="1261"/>
      <c r="F113" s="1207" t="s">
        <v>363</v>
      </c>
      <c r="G113" s="2175">
        <v>20200</v>
      </c>
      <c r="H113" s="1264">
        <f t="shared" si="7"/>
        <v>0</v>
      </c>
      <c r="I113" s="1265"/>
      <c r="J113" s="1264"/>
      <c r="K113" s="1265">
        <f t="shared" si="8"/>
        <v>0</v>
      </c>
      <c r="L113" s="1266"/>
    </row>
    <row r="114" spans="1:18" s="1199" customFormat="1" ht="24" customHeight="1">
      <c r="A114" s="1339" t="s">
        <v>2985</v>
      </c>
      <c r="B114" s="1259" t="s">
        <v>1143</v>
      </c>
      <c r="C114" s="1260"/>
      <c r="D114" s="1260"/>
      <c r="E114" s="1261"/>
      <c r="F114" s="1358"/>
      <c r="G114" s="2175"/>
      <c r="H114" s="1264">
        <f t="shared" si="7"/>
        <v>0</v>
      </c>
      <c r="I114" s="1265"/>
      <c r="J114" s="1264"/>
      <c r="K114" s="1265">
        <f t="shared" si="8"/>
        <v>0</v>
      </c>
      <c r="L114" s="1364"/>
    </row>
    <row r="115" spans="1:18" s="1199" customFormat="1" ht="24" customHeight="1">
      <c r="A115" s="1339"/>
      <c r="B115" s="1259" t="s">
        <v>1276</v>
      </c>
      <c r="C115" s="1260"/>
      <c r="D115" s="1260"/>
      <c r="E115" s="1261">
        <v>3</v>
      </c>
      <c r="F115" s="1207" t="s">
        <v>363</v>
      </c>
      <c r="G115" s="2175">
        <v>600</v>
      </c>
      <c r="H115" s="1264">
        <f t="shared" si="7"/>
        <v>1800</v>
      </c>
      <c r="I115" s="1265"/>
      <c r="J115" s="1264"/>
      <c r="K115" s="1265">
        <f t="shared" si="8"/>
        <v>1800</v>
      </c>
      <c r="L115" s="1364"/>
    </row>
    <row r="116" spans="1:18" s="1199" customFormat="1" ht="24" customHeight="1">
      <c r="A116" s="1339"/>
      <c r="B116" s="1259" t="s">
        <v>1145</v>
      </c>
      <c r="C116" s="1260"/>
      <c r="D116" s="1260"/>
      <c r="E116" s="1261">
        <v>3</v>
      </c>
      <c r="F116" s="1207" t="s">
        <v>363</v>
      </c>
      <c r="G116" s="2175">
        <v>120</v>
      </c>
      <c r="H116" s="1264">
        <f t="shared" si="7"/>
        <v>360</v>
      </c>
      <c r="I116" s="1265"/>
      <c r="J116" s="1264"/>
      <c r="K116" s="1265">
        <f t="shared" si="8"/>
        <v>360</v>
      </c>
      <c r="L116" s="1364"/>
    </row>
    <row r="117" spans="1:18" s="1199" customFormat="1" ht="24" customHeight="1">
      <c r="A117" s="1339"/>
      <c r="B117" s="1259" t="s">
        <v>1146</v>
      </c>
      <c r="C117" s="1260"/>
      <c r="D117" s="1260"/>
      <c r="E117" s="1261">
        <v>3</v>
      </c>
      <c r="F117" s="1207" t="s">
        <v>363</v>
      </c>
      <c r="G117" s="2175">
        <v>100</v>
      </c>
      <c r="H117" s="1264">
        <f t="shared" si="7"/>
        <v>300</v>
      </c>
      <c r="I117" s="1265"/>
      <c r="J117" s="1264"/>
      <c r="K117" s="1265">
        <f t="shared" si="8"/>
        <v>300</v>
      </c>
      <c r="L117" s="1364"/>
    </row>
    <row r="118" spans="1:18" s="1199" customFormat="1" ht="24" customHeight="1">
      <c r="A118" s="1339"/>
      <c r="B118" s="1259" t="s">
        <v>1224</v>
      </c>
      <c r="C118" s="1260"/>
      <c r="D118" s="1260"/>
      <c r="E118" s="1261">
        <v>5</v>
      </c>
      <c r="F118" s="1207" t="s">
        <v>363</v>
      </c>
      <c r="G118" s="2175">
        <v>15435</v>
      </c>
      <c r="H118" s="1264">
        <f t="shared" si="7"/>
        <v>77175</v>
      </c>
      <c r="I118" s="1265"/>
      <c r="J118" s="1264"/>
      <c r="K118" s="1265">
        <f t="shared" si="8"/>
        <v>77175</v>
      </c>
      <c r="L118" s="1364"/>
    </row>
    <row r="119" spans="1:18" s="1199" customFormat="1" ht="24" customHeight="1">
      <c r="A119" s="1339" t="s">
        <v>2986</v>
      </c>
      <c r="B119" s="1259" t="s">
        <v>1226</v>
      </c>
      <c r="C119" s="1260"/>
      <c r="D119" s="1260"/>
      <c r="E119" s="1261">
        <v>1</v>
      </c>
      <c r="F119" s="1207" t="s">
        <v>1104</v>
      </c>
      <c r="G119" s="2175">
        <v>28700</v>
      </c>
      <c r="H119" s="1264">
        <f t="shared" si="7"/>
        <v>28700</v>
      </c>
      <c r="I119" s="1265">
        <f>G119*0.3</f>
        <v>8610</v>
      </c>
      <c r="J119" s="1264">
        <f>ROUND(E119*I119,)</f>
        <v>8610</v>
      </c>
      <c r="K119" s="1265">
        <f t="shared" si="8"/>
        <v>37310</v>
      </c>
      <c r="L119" s="1364"/>
    </row>
    <row r="120" spans="1:18" s="1199" customFormat="1" ht="24" customHeight="1">
      <c r="A120" s="1361" t="s">
        <v>2987</v>
      </c>
      <c r="B120" s="1362" t="s">
        <v>1289</v>
      </c>
      <c r="C120" s="1260"/>
      <c r="D120" s="1260"/>
      <c r="E120" s="1261"/>
      <c r="F120" s="1358"/>
      <c r="G120" s="2175"/>
      <c r="H120" s="1264"/>
      <c r="I120" s="1265"/>
      <c r="J120" s="1264"/>
      <c r="K120" s="1265"/>
      <c r="L120" s="1364"/>
    </row>
    <row r="121" spans="1:18" s="1199" customFormat="1" ht="24" customHeight="1">
      <c r="A121" s="1339" t="s">
        <v>2988</v>
      </c>
      <c r="B121" s="1259" t="s">
        <v>1210</v>
      </c>
      <c r="C121" s="1260"/>
      <c r="D121" s="1260"/>
      <c r="E121" s="1261"/>
      <c r="F121" s="1358"/>
      <c r="G121" s="2175"/>
      <c r="H121" s="1264"/>
      <c r="I121" s="1265"/>
      <c r="J121" s="1264"/>
      <c r="K121" s="1265"/>
      <c r="L121" s="1364"/>
    </row>
    <row r="122" spans="1:18" s="1199" customFormat="1" ht="24" customHeight="1">
      <c r="A122" s="1339"/>
      <c r="B122" s="1259" t="s">
        <v>1211</v>
      </c>
      <c r="C122" s="1260"/>
      <c r="D122" s="1260"/>
      <c r="E122" s="1261"/>
      <c r="F122" s="1207" t="s">
        <v>363</v>
      </c>
      <c r="G122" s="2175">
        <v>2400</v>
      </c>
      <c r="H122" s="1264">
        <f t="shared" ref="H122:H144" si="9">ROUND(G122*E122,)</f>
        <v>0</v>
      </c>
      <c r="I122" s="1265"/>
      <c r="J122" s="1264"/>
      <c r="K122" s="1265">
        <f t="shared" ref="K122:K144" si="10">J122+H122</f>
        <v>0</v>
      </c>
      <c r="L122" s="1266"/>
      <c r="N122" s="1363"/>
      <c r="O122" s="1363"/>
      <c r="P122" s="1363"/>
      <c r="Q122" s="1363"/>
      <c r="R122" s="1363"/>
    </row>
    <row r="123" spans="1:18" s="1199" customFormat="1" ht="24" customHeight="1">
      <c r="A123" s="1339"/>
      <c r="B123" s="1259" t="s">
        <v>1212</v>
      </c>
      <c r="C123" s="1260"/>
      <c r="D123" s="1260"/>
      <c r="E123" s="1261"/>
      <c r="F123" s="1207" t="s">
        <v>363</v>
      </c>
      <c r="G123" s="2175">
        <v>2400</v>
      </c>
      <c r="H123" s="1264">
        <f t="shared" si="9"/>
        <v>0</v>
      </c>
      <c r="I123" s="1265"/>
      <c r="J123" s="1264"/>
      <c r="K123" s="1265">
        <f t="shared" si="10"/>
        <v>0</v>
      </c>
      <c r="L123" s="1266"/>
      <c r="N123" s="1363"/>
      <c r="O123" s="1363"/>
      <c r="P123" s="1363"/>
      <c r="Q123" s="1363"/>
      <c r="R123" s="1363"/>
    </row>
    <row r="124" spans="1:18" s="1199" customFormat="1" ht="24" customHeight="1">
      <c r="A124" s="1339"/>
      <c r="B124" s="1259" t="s">
        <v>1213</v>
      </c>
      <c r="C124" s="1260"/>
      <c r="D124" s="1260"/>
      <c r="E124" s="1261">
        <v>1</v>
      </c>
      <c r="F124" s="1207" t="s">
        <v>363</v>
      </c>
      <c r="G124" s="2175">
        <v>2400</v>
      </c>
      <c r="H124" s="1264">
        <f t="shared" si="9"/>
        <v>2400</v>
      </c>
      <c r="I124" s="1265"/>
      <c r="J124" s="1264"/>
      <c r="K124" s="1265">
        <f t="shared" si="10"/>
        <v>2400</v>
      </c>
      <c r="L124" s="1266"/>
    </row>
    <row r="125" spans="1:18" s="1199" customFormat="1" ht="24" customHeight="1">
      <c r="A125" s="1339"/>
      <c r="B125" s="1259" t="s">
        <v>1214</v>
      </c>
      <c r="C125" s="1260"/>
      <c r="D125" s="1260"/>
      <c r="E125" s="1261"/>
      <c r="F125" s="1207" t="s">
        <v>363</v>
      </c>
      <c r="G125" s="2175">
        <v>2400</v>
      </c>
      <c r="H125" s="1264">
        <f t="shared" si="9"/>
        <v>0</v>
      </c>
      <c r="I125" s="1265"/>
      <c r="J125" s="1264"/>
      <c r="K125" s="1265">
        <f t="shared" si="10"/>
        <v>0</v>
      </c>
      <c r="L125" s="1266"/>
    </row>
    <row r="126" spans="1:18" s="1199" customFormat="1" ht="24" customHeight="1">
      <c r="A126" s="1339"/>
      <c r="B126" s="1259" t="s">
        <v>1215</v>
      </c>
      <c r="C126" s="1260"/>
      <c r="D126" s="1260"/>
      <c r="E126" s="1261">
        <v>1</v>
      </c>
      <c r="F126" s="1207" t="s">
        <v>363</v>
      </c>
      <c r="G126" s="2175">
        <v>2400</v>
      </c>
      <c r="H126" s="1264">
        <f t="shared" si="9"/>
        <v>2400</v>
      </c>
      <c r="I126" s="1265"/>
      <c r="J126" s="1264"/>
      <c r="K126" s="1265">
        <f t="shared" si="10"/>
        <v>2400</v>
      </c>
      <c r="L126" s="1266"/>
    </row>
    <row r="127" spans="1:18" s="1199" customFormat="1" ht="24" customHeight="1">
      <c r="A127" s="1339"/>
      <c r="B127" s="1259" t="s">
        <v>1216</v>
      </c>
      <c r="C127" s="1260"/>
      <c r="D127" s="1260"/>
      <c r="E127" s="1261">
        <v>1</v>
      </c>
      <c r="F127" s="1207" t="s">
        <v>363</v>
      </c>
      <c r="G127" s="2175">
        <v>2400</v>
      </c>
      <c r="H127" s="1264">
        <f t="shared" si="9"/>
        <v>2400</v>
      </c>
      <c r="I127" s="1265"/>
      <c r="J127" s="1264"/>
      <c r="K127" s="1265">
        <f t="shared" si="10"/>
        <v>2400</v>
      </c>
      <c r="L127" s="1266"/>
    </row>
    <row r="128" spans="1:18" s="1199" customFormat="1" ht="24" customHeight="1">
      <c r="A128" s="1339"/>
      <c r="B128" s="1259" t="s">
        <v>1257</v>
      </c>
      <c r="C128" s="1260"/>
      <c r="D128" s="1260"/>
      <c r="E128" s="1261">
        <v>1</v>
      </c>
      <c r="F128" s="1207" t="s">
        <v>363</v>
      </c>
      <c r="G128" s="2175">
        <v>2600</v>
      </c>
      <c r="H128" s="1264">
        <f t="shared" si="9"/>
        <v>2600</v>
      </c>
      <c r="I128" s="1265"/>
      <c r="J128" s="1264"/>
      <c r="K128" s="1265">
        <f t="shared" si="10"/>
        <v>2600</v>
      </c>
      <c r="L128" s="1266"/>
    </row>
    <row r="129" spans="1:12" s="1199" customFormat="1" ht="24" customHeight="1">
      <c r="A129" s="1339"/>
      <c r="B129" s="1259" t="s">
        <v>1217</v>
      </c>
      <c r="C129" s="1260"/>
      <c r="D129" s="1260"/>
      <c r="E129" s="1261"/>
      <c r="F129" s="1207" t="s">
        <v>363</v>
      </c>
      <c r="G129" s="2175">
        <v>3000</v>
      </c>
      <c r="H129" s="1264">
        <f t="shared" si="9"/>
        <v>0</v>
      </c>
      <c r="I129" s="1265"/>
      <c r="J129" s="1264"/>
      <c r="K129" s="1265">
        <f t="shared" si="10"/>
        <v>0</v>
      </c>
      <c r="L129" s="1266"/>
    </row>
    <row r="130" spans="1:12" s="1199" customFormat="1" ht="24" customHeight="1">
      <c r="A130" s="1339"/>
      <c r="B130" s="1259" t="s">
        <v>1218</v>
      </c>
      <c r="C130" s="1260"/>
      <c r="D130" s="1260"/>
      <c r="E130" s="1261">
        <v>1</v>
      </c>
      <c r="F130" s="1207" t="s">
        <v>363</v>
      </c>
      <c r="G130" s="2175">
        <v>5000</v>
      </c>
      <c r="H130" s="1264">
        <f t="shared" si="9"/>
        <v>5000</v>
      </c>
      <c r="I130" s="1265"/>
      <c r="J130" s="1264"/>
      <c r="K130" s="1265">
        <f t="shared" si="10"/>
        <v>5000</v>
      </c>
      <c r="L130" s="1266"/>
    </row>
    <row r="131" spans="1:12" s="1199" customFormat="1" ht="24" customHeight="1">
      <c r="A131" s="1339"/>
      <c r="B131" s="1259" t="s">
        <v>1258</v>
      </c>
      <c r="C131" s="1260"/>
      <c r="D131" s="1260"/>
      <c r="E131" s="1261"/>
      <c r="F131" s="1207" t="s">
        <v>363</v>
      </c>
      <c r="G131" s="2175">
        <v>5700</v>
      </c>
      <c r="H131" s="1264">
        <f t="shared" si="9"/>
        <v>0</v>
      </c>
      <c r="I131" s="1265"/>
      <c r="J131" s="1264"/>
      <c r="K131" s="1265">
        <f t="shared" si="10"/>
        <v>0</v>
      </c>
      <c r="L131" s="1266"/>
    </row>
    <row r="132" spans="1:12" s="1199" customFormat="1" ht="24" customHeight="1">
      <c r="A132" s="1339"/>
      <c r="B132" s="1259" t="s">
        <v>1259</v>
      </c>
      <c r="C132" s="1260"/>
      <c r="D132" s="1260"/>
      <c r="E132" s="1261"/>
      <c r="F132" s="1207" t="s">
        <v>363</v>
      </c>
      <c r="G132" s="2175">
        <v>5700</v>
      </c>
      <c r="H132" s="1264">
        <f t="shared" si="9"/>
        <v>0</v>
      </c>
      <c r="I132" s="1265"/>
      <c r="J132" s="1264"/>
      <c r="K132" s="1265">
        <f t="shared" si="10"/>
        <v>0</v>
      </c>
      <c r="L132" s="1266"/>
    </row>
    <row r="133" spans="1:12" s="1199" customFormat="1" ht="24" customHeight="1">
      <c r="A133" s="1339"/>
      <c r="B133" s="1259" t="s">
        <v>1220</v>
      </c>
      <c r="C133" s="1260"/>
      <c r="D133" s="1260"/>
      <c r="E133" s="1261"/>
      <c r="F133" s="1207" t="s">
        <v>363</v>
      </c>
      <c r="G133" s="2175">
        <v>8600</v>
      </c>
      <c r="H133" s="1264">
        <f t="shared" si="9"/>
        <v>0</v>
      </c>
      <c r="I133" s="1265"/>
      <c r="J133" s="1264"/>
      <c r="K133" s="1265">
        <f t="shared" si="10"/>
        <v>0</v>
      </c>
      <c r="L133" s="1266"/>
    </row>
    <row r="134" spans="1:12" s="1199" customFormat="1" ht="24" customHeight="1">
      <c r="A134" s="1339"/>
      <c r="B134" s="1259" t="s">
        <v>1260</v>
      </c>
      <c r="C134" s="1260"/>
      <c r="D134" s="1260"/>
      <c r="E134" s="1261"/>
      <c r="F134" s="1207" t="s">
        <v>363</v>
      </c>
      <c r="G134" s="2175">
        <v>8600</v>
      </c>
      <c r="H134" s="1264">
        <f t="shared" si="9"/>
        <v>0</v>
      </c>
      <c r="I134" s="1265"/>
      <c r="J134" s="1264"/>
      <c r="K134" s="1265">
        <f t="shared" si="10"/>
        <v>0</v>
      </c>
      <c r="L134" s="1266"/>
    </row>
    <row r="135" spans="1:12" s="1199" customFormat="1" ht="24" customHeight="1">
      <c r="A135" s="1339"/>
      <c r="B135" s="1259" t="s">
        <v>1261</v>
      </c>
      <c r="C135" s="1260"/>
      <c r="D135" s="1260"/>
      <c r="E135" s="1261"/>
      <c r="F135" s="1207" t="s">
        <v>363</v>
      </c>
      <c r="G135" s="2175">
        <v>8600</v>
      </c>
      <c r="H135" s="1264">
        <f t="shared" si="9"/>
        <v>0</v>
      </c>
      <c r="I135" s="1265"/>
      <c r="J135" s="1264"/>
      <c r="K135" s="1265">
        <f t="shared" si="10"/>
        <v>0</v>
      </c>
      <c r="L135" s="1266"/>
    </row>
    <row r="136" spans="1:12" s="1199" customFormat="1" ht="24" customHeight="1">
      <c r="A136" s="1339"/>
      <c r="B136" s="1259" t="s">
        <v>1221</v>
      </c>
      <c r="C136" s="1260"/>
      <c r="D136" s="1260"/>
      <c r="E136" s="1261"/>
      <c r="F136" s="1207" t="s">
        <v>363</v>
      </c>
      <c r="G136" s="2175">
        <v>11500</v>
      </c>
      <c r="H136" s="1264">
        <f t="shared" si="9"/>
        <v>0</v>
      </c>
      <c r="I136" s="1265"/>
      <c r="J136" s="1264"/>
      <c r="K136" s="1265">
        <f t="shared" si="10"/>
        <v>0</v>
      </c>
      <c r="L136" s="1266"/>
    </row>
    <row r="137" spans="1:12" s="1199" customFormat="1" ht="24" customHeight="1">
      <c r="A137" s="1339"/>
      <c r="B137" s="1259" t="s">
        <v>1262</v>
      </c>
      <c r="C137" s="1260"/>
      <c r="D137" s="1260"/>
      <c r="E137" s="1261"/>
      <c r="F137" s="1207" t="s">
        <v>363</v>
      </c>
      <c r="G137" s="2175">
        <v>20200</v>
      </c>
      <c r="H137" s="1264">
        <f t="shared" si="9"/>
        <v>0</v>
      </c>
      <c r="I137" s="1265"/>
      <c r="J137" s="1264"/>
      <c r="K137" s="1265">
        <f t="shared" si="10"/>
        <v>0</v>
      </c>
      <c r="L137" s="1266"/>
    </row>
    <row r="138" spans="1:12" s="1199" customFormat="1" ht="24" customHeight="1">
      <c r="A138" s="1339"/>
      <c r="B138" s="1259" t="s">
        <v>1263</v>
      </c>
      <c r="C138" s="1260"/>
      <c r="D138" s="1260"/>
      <c r="E138" s="1261"/>
      <c r="F138" s="1207" t="s">
        <v>363</v>
      </c>
      <c r="G138" s="2175">
        <v>20200</v>
      </c>
      <c r="H138" s="1264">
        <f t="shared" si="9"/>
        <v>0</v>
      </c>
      <c r="I138" s="1265"/>
      <c r="J138" s="1264"/>
      <c r="K138" s="1265">
        <f t="shared" si="10"/>
        <v>0</v>
      </c>
      <c r="L138" s="1266"/>
    </row>
    <row r="139" spans="1:12" s="1199" customFormat="1" ht="24" customHeight="1">
      <c r="A139" s="1339" t="s">
        <v>2989</v>
      </c>
      <c r="B139" s="1259" t="s">
        <v>1143</v>
      </c>
      <c r="C139" s="1260"/>
      <c r="D139" s="1260"/>
      <c r="E139" s="1261"/>
      <c r="F139" s="1358"/>
      <c r="G139" s="2175"/>
      <c r="H139" s="1264">
        <f t="shared" si="9"/>
        <v>0</v>
      </c>
      <c r="I139" s="1265"/>
      <c r="J139" s="1264"/>
      <c r="K139" s="1265">
        <f t="shared" si="10"/>
        <v>0</v>
      </c>
      <c r="L139" s="1364"/>
    </row>
    <row r="140" spans="1:12" s="1199" customFormat="1" ht="24" customHeight="1">
      <c r="A140" s="1339"/>
      <c r="B140" s="1259" t="s">
        <v>3009</v>
      </c>
      <c r="C140" s="1260"/>
      <c r="D140" s="1260"/>
      <c r="E140" s="1261">
        <v>3</v>
      </c>
      <c r="F140" s="1207" t="s">
        <v>363</v>
      </c>
      <c r="G140" s="2175">
        <v>600</v>
      </c>
      <c r="H140" s="1264">
        <f t="shared" si="9"/>
        <v>1800</v>
      </c>
      <c r="I140" s="1265"/>
      <c r="J140" s="1264"/>
      <c r="K140" s="1265">
        <f t="shared" si="10"/>
        <v>1800</v>
      </c>
      <c r="L140" s="1364"/>
    </row>
    <row r="141" spans="1:12" s="1199" customFormat="1" ht="24" customHeight="1">
      <c r="A141" s="1339"/>
      <c r="B141" s="1259" t="s">
        <v>1145</v>
      </c>
      <c r="C141" s="1260"/>
      <c r="D141" s="1260"/>
      <c r="E141" s="1261">
        <v>3</v>
      </c>
      <c r="F141" s="1207" t="s">
        <v>363</v>
      </c>
      <c r="G141" s="2175">
        <v>120</v>
      </c>
      <c r="H141" s="1264">
        <f t="shared" si="9"/>
        <v>360</v>
      </c>
      <c r="I141" s="1265"/>
      <c r="J141" s="1264"/>
      <c r="K141" s="1265">
        <f t="shared" si="10"/>
        <v>360</v>
      </c>
      <c r="L141" s="1364"/>
    </row>
    <row r="142" spans="1:12" s="1199" customFormat="1" ht="24" customHeight="1">
      <c r="A142" s="1339"/>
      <c r="B142" s="1259" t="s">
        <v>1146</v>
      </c>
      <c r="C142" s="1260"/>
      <c r="D142" s="1260"/>
      <c r="E142" s="1261">
        <v>3</v>
      </c>
      <c r="F142" s="1207" t="s">
        <v>363</v>
      </c>
      <c r="G142" s="2175">
        <v>100</v>
      </c>
      <c r="H142" s="1264">
        <f t="shared" si="9"/>
        <v>300</v>
      </c>
      <c r="I142" s="1265"/>
      <c r="J142" s="1264"/>
      <c r="K142" s="1265">
        <f t="shared" si="10"/>
        <v>300</v>
      </c>
      <c r="L142" s="1364"/>
    </row>
    <row r="143" spans="1:12" s="1199" customFormat="1" ht="24" customHeight="1">
      <c r="A143" s="1339"/>
      <c r="B143" s="1259" t="s">
        <v>1224</v>
      </c>
      <c r="C143" s="1260"/>
      <c r="D143" s="1260"/>
      <c r="E143" s="1261">
        <v>3</v>
      </c>
      <c r="F143" s="1207" t="s">
        <v>363</v>
      </c>
      <c r="G143" s="2175">
        <v>15435</v>
      </c>
      <c r="H143" s="1264">
        <f t="shared" si="9"/>
        <v>46305</v>
      </c>
      <c r="I143" s="1265"/>
      <c r="J143" s="1264"/>
      <c r="K143" s="1265">
        <f t="shared" si="10"/>
        <v>46305</v>
      </c>
      <c r="L143" s="1364"/>
    </row>
    <row r="144" spans="1:12" s="1199" customFormat="1" ht="24" customHeight="1">
      <c r="A144" s="1339" t="s">
        <v>2990</v>
      </c>
      <c r="B144" s="1259" t="s">
        <v>1226</v>
      </c>
      <c r="C144" s="1260"/>
      <c r="D144" s="1260"/>
      <c r="E144" s="1261">
        <v>1</v>
      </c>
      <c r="F144" s="1207" t="s">
        <v>1104</v>
      </c>
      <c r="G144" s="2175">
        <v>28700</v>
      </c>
      <c r="H144" s="1264">
        <f t="shared" si="9"/>
        <v>28700</v>
      </c>
      <c r="I144" s="1265">
        <f>G144*0.3</f>
        <v>8610</v>
      </c>
      <c r="J144" s="1264">
        <f>ROUND(E144*I144,)</f>
        <v>8610</v>
      </c>
      <c r="K144" s="1265">
        <f t="shared" si="10"/>
        <v>37310</v>
      </c>
      <c r="L144" s="1364"/>
    </row>
    <row r="145" spans="1:18" s="1199" customFormat="1" ht="24" customHeight="1">
      <c r="A145" s="1331"/>
      <c r="B145" s="1190" t="s">
        <v>1117</v>
      </c>
      <c r="C145" s="1275"/>
      <c r="D145" s="1275"/>
      <c r="E145" s="2145"/>
      <c r="F145" s="1358"/>
      <c r="G145" s="2175"/>
      <c r="H145" s="1264"/>
      <c r="I145" s="1265"/>
      <c r="J145" s="1264"/>
      <c r="K145" s="1299"/>
      <c r="L145" s="1432"/>
    </row>
    <row r="146" spans="1:18" s="1199" customFormat="1" ht="24" customHeight="1">
      <c r="A146" s="1331"/>
      <c r="B146" s="1190" t="s">
        <v>1118</v>
      </c>
      <c r="C146" s="1275"/>
      <c r="D146" s="1275"/>
      <c r="E146" s="2145"/>
      <c r="F146" s="1358"/>
      <c r="G146" s="2175"/>
      <c r="H146" s="1264"/>
      <c r="I146" s="1265"/>
      <c r="J146" s="1264"/>
      <c r="K146" s="1299"/>
      <c r="L146" s="1432"/>
    </row>
    <row r="147" spans="1:18" s="1199" customFormat="1" ht="24" customHeight="1">
      <c r="A147" s="1331"/>
      <c r="B147" s="1190" t="s">
        <v>1118</v>
      </c>
      <c r="C147" s="1275"/>
      <c r="D147" s="1275"/>
      <c r="E147" s="2145"/>
      <c r="F147" s="1358"/>
      <c r="G147" s="2175"/>
      <c r="H147" s="1264"/>
      <c r="I147" s="1265"/>
      <c r="J147" s="1264"/>
      <c r="K147" s="1299"/>
      <c r="L147" s="1432"/>
    </row>
    <row r="148" spans="1:18" s="1199" customFormat="1" ht="24" customHeight="1">
      <c r="A148" s="1331"/>
      <c r="B148" s="1190"/>
      <c r="C148" s="1275"/>
      <c r="D148" s="1275"/>
      <c r="E148" s="2145"/>
      <c r="F148" s="1358"/>
      <c r="G148" s="2175"/>
      <c r="H148" s="1264"/>
      <c r="I148" s="1265"/>
      <c r="J148" s="1264"/>
      <c r="K148" s="1299"/>
      <c r="L148" s="1432"/>
    </row>
    <row r="149" spans="1:18" s="1199" customFormat="1" ht="24" customHeight="1">
      <c r="A149" s="1331"/>
      <c r="B149" s="1190"/>
      <c r="C149" s="1275"/>
      <c r="D149" s="1275"/>
      <c r="E149" s="2145"/>
      <c r="F149" s="1358"/>
      <c r="G149" s="2175"/>
      <c r="H149" s="1264"/>
      <c r="I149" s="1265"/>
      <c r="J149" s="1264"/>
      <c r="K149" s="1299"/>
      <c r="L149" s="1432"/>
    </row>
    <row r="150" spans="1:18" s="1199" customFormat="1" ht="24" customHeight="1">
      <c r="A150" s="1331"/>
      <c r="B150" s="1190"/>
      <c r="C150" s="1275"/>
      <c r="D150" s="1275"/>
      <c r="E150" s="2145"/>
      <c r="F150" s="1358"/>
      <c r="G150" s="2175"/>
      <c r="H150" s="1264"/>
      <c r="I150" s="1265"/>
      <c r="J150" s="1264"/>
      <c r="K150" s="1299"/>
      <c r="L150" s="1432"/>
    </row>
    <row r="151" spans="1:18" s="1199" customFormat="1" ht="24" customHeight="1">
      <c r="A151" s="1331"/>
      <c r="B151" s="1190"/>
      <c r="C151" s="1275"/>
      <c r="D151" s="1275"/>
      <c r="E151" s="2145"/>
      <c r="F151" s="1358"/>
      <c r="G151" s="2175"/>
      <c r="H151" s="1264"/>
      <c r="I151" s="1265"/>
      <c r="J151" s="1264"/>
      <c r="K151" s="1299"/>
      <c r="L151" s="1432"/>
    </row>
    <row r="152" spans="1:18" s="1199" customFormat="1" ht="24" customHeight="1">
      <c r="A152" s="1331"/>
      <c r="B152" s="1190"/>
      <c r="C152" s="1275"/>
      <c r="D152" s="1275"/>
      <c r="E152" s="2145"/>
      <c r="F152" s="1358"/>
      <c r="G152" s="2175"/>
      <c r="H152" s="1264"/>
      <c r="I152" s="1265"/>
      <c r="J152" s="1264"/>
      <c r="K152" s="1299"/>
      <c r="L152" s="1432"/>
    </row>
    <row r="153" spans="1:18" s="1199" customFormat="1" ht="24" customHeight="1">
      <c r="A153" s="1189"/>
      <c r="B153" s="1650"/>
      <c r="C153" s="1275"/>
      <c r="D153" s="1275"/>
      <c r="E153" s="2145"/>
      <c r="F153" s="1358"/>
      <c r="G153" s="2175"/>
      <c r="H153" s="1264"/>
      <c r="I153" s="1265"/>
      <c r="J153" s="1264"/>
      <c r="K153" s="1299"/>
      <c r="L153" s="1432"/>
    </row>
    <row r="154" spans="1:18" s="1199" customFormat="1" ht="24" customHeight="1">
      <c r="A154" s="1243"/>
      <c r="B154" s="2257" t="str">
        <f>"รวมราคารายการที่ "&amp;A44</f>
        <v>รวมราคารายการที่ 3.2</v>
      </c>
      <c r="C154" s="2258"/>
      <c r="D154" s="2259"/>
      <c r="E154" s="1244"/>
      <c r="F154" s="1245"/>
      <c r="G154" s="1246"/>
      <c r="H154" s="1247">
        <f>SUM(H44:H153)</f>
        <v>527670</v>
      </c>
      <c r="I154" s="1246"/>
      <c r="J154" s="1247">
        <f>SUM(J44:J153)</f>
        <v>34440</v>
      </c>
      <c r="K154" s="1247">
        <f>SUM(K44:K153)</f>
        <v>562110</v>
      </c>
      <c r="L154" s="1245"/>
      <c r="M154" s="1214"/>
      <c r="N154" s="1214"/>
      <c r="O154" s="1214"/>
      <c r="P154" s="1214"/>
      <c r="Q154" s="1214"/>
    </row>
    <row r="155" spans="1:18" s="1199" customFormat="1" ht="24" customHeight="1">
      <c r="A155" s="1483" t="s">
        <v>1445</v>
      </c>
      <c r="B155" s="1249" t="s">
        <v>1427</v>
      </c>
      <c r="C155" s="1251"/>
      <c r="D155" s="1251"/>
      <c r="E155" s="1252"/>
      <c r="F155" s="1253"/>
      <c r="G155" s="1254"/>
      <c r="H155" s="1255"/>
      <c r="I155" s="1256"/>
      <c r="J155" s="1255"/>
      <c r="K155" s="1256"/>
      <c r="L155" s="1484"/>
      <c r="M155" s="1214"/>
      <c r="N155" s="1214"/>
      <c r="O155" s="1214"/>
      <c r="P155" s="1214"/>
    </row>
    <row r="156" spans="1:18" s="1199" customFormat="1" ht="24" customHeight="1">
      <c r="A156" s="1308" t="s">
        <v>1128</v>
      </c>
      <c r="B156" s="1433" t="s">
        <v>1428</v>
      </c>
      <c r="C156" s="1260"/>
      <c r="D156" s="1260"/>
      <c r="E156" s="1261"/>
      <c r="F156" s="1262"/>
      <c r="G156" s="2178"/>
      <c r="H156" s="1264">
        <f t="shared" ref="H156" si="11">ROUND(E156*G156,)</f>
        <v>0</v>
      </c>
      <c r="I156" s="1265"/>
      <c r="J156" s="1264">
        <f t="shared" ref="J156" si="12">ROUND(E156*I156,)</f>
        <v>0</v>
      </c>
      <c r="K156" s="1265">
        <f t="shared" ref="K156" si="13">H156+J156</f>
        <v>0</v>
      </c>
      <c r="L156" s="1434"/>
      <c r="M156" s="1214"/>
      <c r="N156" s="1214"/>
      <c r="O156" s="1214"/>
      <c r="P156" s="1214"/>
      <c r="Q156" s="1214"/>
      <c r="R156" s="1214"/>
    </row>
    <row r="157" spans="1:18" s="1199" customFormat="1" ht="24" customHeight="1">
      <c r="A157" s="1331"/>
      <c r="B157" s="1220" t="s">
        <v>1648</v>
      </c>
      <c r="C157" s="1260"/>
      <c r="D157" s="1260"/>
      <c r="E157" s="1261">
        <v>1</v>
      </c>
      <c r="F157" s="1223" t="s">
        <v>363</v>
      </c>
      <c r="G157" s="2178">
        <v>7000</v>
      </c>
      <c r="H157" s="1264">
        <f>ROUND(E157*G157,)</f>
        <v>7000</v>
      </c>
      <c r="I157" s="1265">
        <v>1500</v>
      </c>
      <c r="J157" s="1264">
        <f>ROUND(E157*I157,)</f>
        <v>1500</v>
      </c>
      <c r="K157" s="1299">
        <f>H157+J157</f>
        <v>8500</v>
      </c>
      <c r="L157" s="1432"/>
      <c r="M157" s="1214"/>
      <c r="N157" s="1214"/>
      <c r="O157" s="1214"/>
      <c r="P157" s="1214"/>
      <c r="Q157" s="1214"/>
    </row>
    <row r="158" spans="1:18" s="1199" customFormat="1" ht="24" customHeight="1">
      <c r="A158" s="1331"/>
      <c r="B158" s="1259" t="s">
        <v>1594</v>
      </c>
      <c r="C158" s="1260"/>
      <c r="D158" s="1260"/>
      <c r="E158" s="1261">
        <v>1</v>
      </c>
      <c r="F158" s="1267" t="s">
        <v>363</v>
      </c>
      <c r="G158" s="2178">
        <v>2400</v>
      </c>
      <c r="H158" s="1264">
        <f t="shared" ref="H158:H166" si="14">ROUND(E158*G158,)</f>
        <v>2400</v>
      </c>
      <c r="I158" s="1265"/>
      <c r="J158" s="1264">
        <f t="shared" ref="J158:J166" si="15">ROUND(E158*I158,)</f>
        <v>0</v>
      </c>
      <c r="K158" s="1265">
        <f t="shared" ref="K158:K166" si="16">H158+J158</f>
        <v>2400</v>
      </c>
      <c r="L158" s="1434"/>
      <c r="M158" s="1214"/>
      <c r="N158" s="1214"/>
      <c r="O158" s="1214"/>
      <c r="P158" s="1214"/>
      <c r="Q158" s="1214"/>
      <c r="R158" s="1214"/>
    </row>
    <row r="159" spans="1:18" s="1199" customFormat="1" ht="24" customHeight="1">
      <c r="A159" s="1331"/>
      <c r="B159" s="1259" t="s">
        <v>1431</v>
      </c>
      <c r="C159" s="1260"/>
      <c r="D159" s="1260"/>
      <c r="E159" s="1261">
        <v>14</v>
      </c>
      <c r="F159" s="1267" t="s">
        <v>363</v>
      </c>
      <c r="G159" s="2178">
        <v>138</v>
      </c>
      <c r="H159" s="1264">
        <f t="shared" si="14"/>
        <v>1932</v>
      </c>
      <c r="I159" s="1265"/>
      <c r="J159" s="1264">
        <f t="shared" si="15"/>
        <v>0</v>
      </c>
      <c r="K159" s="1265">
        <f t="shared" si="16"/>
        <v>1932</v>
      </c>
      <c r="L159" s="1434"/>
      <c r="M159" s="1214"/>
      <c r="N159" s="1214"/>
      <c r="O159" s="1214"/>
      <c r="P159" s="1214"/>
    </row>
    <row r="160" spans="1:18" s="1199" customFormat="1" ht="24" customHeight="1">
      <c r="A160" s="1331"/>
      <c r="B160" s="1259" t="s">
        <v>1432</v>
      </c>
      <c r="C160" s="1260"/>
      <c r="D160" s="1260"/>
      <c r="E160" s="1261"/>
      <c r="F160" s="1267" t="s">
        <v>363</v>
      </c>
      <c r="G160" s="2178">
        <v>138</v>
      </c>
      <c r="H160" s="1264">
        <f t="shared" si="14"/>
        <v>0</v>
      </c>
      <c r="I160" s="1265"/>
      <c r="J160" s="1264">
        <f t="shared" si="15"/>
        <v>0</v>
      </c>
      <c r="K160" s="1265">
        <f t="shared" si="16"/>
        <v>0</v>
      </c>
      <c r="L160" s="1434"/>
      <c r="M160" s="1214"/>
      <c r="N160" s="1214"/>
      <c r="O160" s="1214"/>
      <c r="P160" s="1214"/>
    </row>
    <row r="161" spans="1:18" s="1199" customFormat="1" ht="24" customHeight="1">
      <c r="A161" s="1331"/>
      <c r="B161" s="1259" t="s">
        <v>1433</v>
      </c>
      <c r="C161" s="1260"/>
      <c r="D161" s="1260"/>
      <c r="E161" s="1261"/>
      <c r="F161" s="1267" t="s">
        <v>363</v>
      </c>
      <c r="G161" s="2178">
        <v>138</v>
      </c>
      <c r="H161" s="1264">
        <f t="shared" si="14"/>
        <v>0</v>
      </c>
      <c r="I161" s="1265"/>
      <c r="J161" s="1264">
        <f t="shared" si="15"/>
        <v>0</v>
      </c>
      <c r="K161" s="1265">
        <f t="shared" si="16"/>
        <v>0</v>
      </c>
      <c r="L161" s="1434"/>
      <c r="M161" s="1214"/>
      <c r="N161" s="1214"/>
      <c r="O161" s="1214"/>
      <c r="P161" s="1214"/>
    </row>
    <row r="162" spans="1:18" s="1199" customFormat="1" ht="24" customHeight="1">
      <c r="A162" s="1331"/>
      <c r="B162" s="1259" t="s">
        <v>1434</v>
      </c>
      <c r="C162" s="1260"/>
      <c r="D162" s="1260"/>
      <c r="E162" s="1261">
        <v>3</v>
      </c>
      <c r="F162" s="1267" t="s">
        <v>363</v>
      </c>
      <c r="G162" s="2178">
        <v>880</v>
      </c>
      <c r="H162" s="1264">
        <f t="shared" si="14"/>
        <v>2640</v>
      </c>
      <c r="I162" s="1265"/>
      <c r="J162" s="1264">
        <f t="shared" si="15"/>
        <v>0</v>
      </c>
      <c r="K162" s="1265">
        <f t="shared" si="16"/>
        <v>2640</v>
      </c>
      <c r="L162" s="1434"/>
      <c r="M162" s="1214"/>
      <c r="N162" s="1214"/>
      <c r="O162" s="1214"/>
      <c r="P162" s="1214"/>
    </row>
    <row r="163" spans="1:18" s="1199" customFormat="1" ht="24" customHeight="1">
      <c r="A163" s="1331"/>
      <c r="B163" s="1259" t="s">
        <v>1435</v>
      </c>
      <c r="C163" s="1260"/>
      <c r="D163" s="1260"/>
      <c r="E163" s="1261">
        <v>1</v>
      </c>
      <c r="F163" s="1267" t="s">
        <v>363</v>
      </c>
      <c r="G163" s="2178">
        <v>880</v>
      </c>
      <c r="H163" s="1264">
        <f t="shared" si="14"/>
        <v>880</v>
      </c>
      <c r="I163" s="1265"/>
      <c r="J163" s="1264">
        <f t="shared" si="15"/>
        <v>0</v>
      </c>
      <c r="K163" s="1265">
        <f t="shared" si="16"/>
        <v>880</v>
      </c>
      <c r="L163" s="1434"/>
      <c r="M163" s="1214"/>
      <c r="N163" s="1214"/>
      <c r="O163" s="1214"/>
      <c r="P163" s="1214"/>
    </row>
    <row r="164" spans="1:18" s="1199" customFormat="1" ht="24" customHeight="1">
      <c r="A164" s="1331"/>
      <c r="B164" s="1259" t="s">
        <v>1436</v>
      </c>
      <c r="C164" s="1260"/>
      <c r="D164" s="1260"/>
      <c r="E164" s="1261">
        <v>1</v>
      </c>
      <c r="F164" s="1267" t="s">
        <v>363</v>
      </c>
      <c r="G164" s="2178">
        <v>2400</v>
      </c>
      <c r="H164" s="1264">
        <f t="shared" si="14"/>
        <v>2400</v>
      </c>
      <c r="I164" s="1265"/>
      <c r="J164" s="1264">
        <f t="shared" si="15"/>
        <v>0</v>
      </c>
      <c r="K164" s="1265">
        <f t="shared" si="16"/>
        <v>2400</v>
      </c>
      <c r="L164" s="1434"/>
      <c r="M164" s="1214"/>
      <c r="N164" s="1214"/>
      <c r="O164" s="1214"/>
      <c r="P164" s="1214"/>
    </row>
    <row r="165" spans="1:18" s="1199" customFormat="1" ht="24" customHeight="1">
      <c r="A165" s="1331"/>
      <c r="B165" s="1190" t="s">
        <v>1437</v>
      </c>
      <c r="C165" s="1275"/>
      <c r="D165" s="1275"/>
      <c r="E165" s="1276">
        <v>7</v>
      </c>
      <c r="F165" s="1194" t="s">
        <v>363</v>
      </c>
      <c r="G165" s="2175">
        <v>1288</v>
      </c>
      <c r="H165" s="1264">
        <f t="shared" si="14"/>
        <v>9016</v>
      </c>
      <c r="I165" s="1265"/>
      <c r="J165" s="1264">
        <f t="shared" si="15"/>
        <v>0</v>
      </c>
      <c r="K165" s="1299">
        <f t="shared" si="16"/>
        <v>9016</v>
      </c>
      <c r="L165" s="1366"/>
      <c r="M165" s="1214"/>
      <c r="N165" s="1214"/>
      <c r="O165" s="1214"/>
      <c r="P165" s="1214"/>
      <c r="Q165" s="1214"/>
    </row>
    <row r="166" spans="1:18" s="1199" customFormat="1" ht="24" customHeight="1">
      <c r="A166" s="1331"/>
      <c r="B166" s="1190" t="s">
        <v>1438</v>
      </c>
      <c r="C166" s="1275"/>
      <c r="D166" s="1275"/>
      <c r="E166" s="1276"/>
      <c r="F166" s="1194" t="s">
        <v>363</v>
      </c>
      <c r="G166" s="2175">
        <v>1288</v>
      </c>
      <c r="H166" s="1264">
        <f t="shared" si="14"/>
        <v>0</v>
      </c>
      <c r="I166" s="1265"/>
      <c r="J166" s="1264">
        <f t="shared" si="15"/>
        <v>0</v>
      </c>
      <c r="K166" s="1299">
        <f t="shared" si="16"/>
        <v>0</v>
      </c>
      <c r="L166" s="1366"/>
      <c r="M166" s="1214"/>
      <c r="N166" s="1214"/>
      <c r="O166" s="1214"/>
      <c r="P166" s="1214"/>
      <c r="Q166" s="1214"/>
    </row>
    <row r="167" spans="1:18" s="1199" customFormat="1" ht="24" customHeight="1">
      <c r="A167" s="1331"/>
      <c r="B167" s="1220" t="s">
        <v>1649</v>
      </c>
      <c r="C167" s="1260"/>
      <c r="D167" s="1260"/>
      <c r="E167" s="1261">
        <v>1</v>
      </c>
      <c r="F167" s="1223" t="s">
        <v>363</v>
      </c>
      <c r="G167" s="2178">
        <v>7000</v>
      </c>
      <c r="H167" s="1264">
        <f>ROUND(E167*G167,)</f>
        <v>7000</v>
      </c>
      <c r="I167" s="1265">
        <v>1500</v>
      </c>
      <c r="J167" s="1264">
        <f>ROUND(E167*I167,)</f>
        <v>1500</v>
      </c>
      <c r="K167" s="1299">
        <f>H167+J167</f>
        <v>8500</v>
      </c>
      <c r="L167" s="1432"/>
      <c r="M167" s="1214"/>
      <c r="N167" s="1214"/>
      <c r="O167" s="1214"/>
      <c r="P167" s="1214"/>
      <c r="Q167" s="1214"/>
    </row>
    <row r="168" spans="1:18" s="1199" customFormat="1" ht="24" customHeight="1">
      <c r="A168" s="1331"/>
      <c r="B168" s="1259" t="s">
        <v>1594</v>
      </c>
      <c r="C168" s="1260"/>
      <c r="D168" s="1260"/>
      <c r="E168" s="1261">
        <v>1</v>
      </c>
      <c r="F168" s="1267" t="s">
        <v>363</v>
      </c>
      <c r="G168" s="2178">
        <v>2400</v>
      </c>
      <c r="H168" s="1264">
        <f t="shared" ref="H168:H176" si="17">ROUND(E168*G168,)</f>
        <v>2400</v>
      </c>
      <c r="I168" s="1265"/>
      <c r="J168" s="1264">
        <f t="shared" ref="J168:J176" si="18">ROUND(E168*I168,)</f>
        <v>0</v>
      </c>
      <c r="K168" s="1265">
        <f t="shared" ref="K168:K176" si="19">H168+J168</f>
        <v>2400</v>
      </c>
      <c r="L168" s="1434"/>
      <c r="M168" s="1214"/>
      <c r="N168" s="1214"/>
      <c r="O168" s="1214"/>
      <c r="P168" s="1214"/>
      <c r="Q168" s="1214"/>
      <c r="R168" s="1214"/>
    </row>
    <row r="169" spans="1:18" s="1199" customFormat="1" ht="24" customHeight="1">
      <c r="A169" s="1331"/>
      <c r="B169" s="1259" t="s">
        <v>1431</v>
      </c>
      <c r="C169" s="1260"/>
      <c r="D169" s="1260"/>
      <c r="E169" s="1261">
        <v>17</v>
      </c>
      <c r="F169" s="1267" t="s">
        <v>363</v>
      </c>
      <c r="G169" s="2178">
        <v>138</v>
      </c>
      <c r="H169" s="1264">
        <f t="shared" si="17"/>
        <v>2346</v>
      </c>
      <c r="I169" s="1265"/>
      <c r="J169" s="1264">
        <f t="shared" si="18"/>
        <v>0</v>
      </c>
      <c r="K169" s="1265">
        <f t="shared" si="19"/>
        <v>2346</v>
      </c>
      <c r="L169" s="1434"/>
      <c r="M169" s="1214"/>
      <c r="N169" s="1214"/>
      <c r="O169" s="1214"/>
      <c r="P169" s="1214"/>
    </row>
    <row r="170" spans="1:18" s="1199" customFormat="1" ht="24" customHeight="1">
      <c r="A170" s="1331"/>
      <c r="B170" s="1259" t="s">
        <v>1432</v>
      </c>
      <c r="C170" s="1260"/>
      <c r="D170" s="1260"/>
      <c r="E170" s="1261"/>
      <c r="F170" s="1267" t="s">
        <v>363</v>
      </c>
      <c r="G170" s="2178">
        <v>138</v>
      </c>
      <c r="H170" s="1264">
        <f t="shared" si="17"/>
        <v>0</v>
      </c>
      <c r="I170" s="1265"/>
      <c r="J170" s="1264">
        <f t="shared" si="18"/>
        <v>0</v>
      </c>
      <c r="K170" s="1265">
        <f t="shared" si="19"/>
        <v>0</v>
      </c>
      <c r="L170" s="1434"/>
      <c r="M170" s="1214"/>
      <c r="N170" s="1214"/>
      <c r="O170" s="1214"/>
      <c r="P170" s="1214"/>
    </row>
    <row r="171" spans="1:18" s="1199" customFormat="1" ht="24" customHeight="1">
      <c r="A171" s="1331"/>
      <c r="B171" s="1259" t="s">
        <v>1433</v>
      </c>
      <c r="C171" s="1260"/>
      <c r="D171" s="1260"/>
      <c r="E171" s="1261"/>
      <c r="F171" s="1267" t="s">
        <v>363</v>
      </c>
      <c r="G171" s="2178">
        <v>138</v>
      </c>
      <c r="H171" s="1264">
        <f t="shared" si="17"/>
        <v>0</v>
      </c>
      <c r="I171" s="1265"/>
      <c r="J171" s="1264">
        <f t="shared" si="18"/>
        <v>0</v>
      </c>
      <c r="K171" s="1265">
        <f t="shared" si="19"/>
        <v>0</v>
      </c>
      <c r="L171" s="1434"/>
      <c r="M171" s="1214"/>
      <c r="N171" s="1214"/>
      <c r="O171" s="1214"/>
      <c r="P171" s="1214"/>
    </row>
    <row r="172" spans="1:18" s="1199" customFormat="1" ht="24" customHeight="1">
      <c r="A172" s="1331"/>
      <c r="B172" s="1259" t="s">
        <v>1434</v>
      </c>
      <c r="C172" s="1260"/>
      <c r="D172" s="1260"/>
      <c r="E172" s="1261">
        <v>2</v>
      </c>
      <c r="F172" s="1267" t="s">
        <v>363</v>
      </c>
      <c r="G172" s="2178">
        <v>880</v>
      </c>
      <c r="H172" s="1264">
        <f t="shared" si="17"/>
        <v>1760</v>
      </c>
      <c r="I172" s="1265"/>
      <c r="J172" s="1264">
        <f t="shared" si="18"/>
        <v>0</v>
      </c>
      <c r="K172" s="1265">
        <f t="shared" si="19"/>
        <v>1760</v>
      </c>
      <c r="L172" s="1434"/>
      <c r="M172" s="1214"/>
      <c r="N172" s="1214"/>
      <c r="O172" s="1214"/>
      <c r="P172" s="1214"/>
    </row>
    <row r="173" spans="1:18" s="1199" customFormat="1" ht="24" customHeight="1">
      <c r="A173" s="1331"/>
      <c r="B173" s="1259" t="s">
        <v>1435</v>
      </c>
      <c r="C173" s="1260"/>
      <c r="D173" s="1260"/>
      <c r="E173" s="1261">
        <v>2</v>
      </c>
      <c r="F173" s="1267" t="s">
        <v>363</v>
      </c>
      <c r="G173" s="2178">
        <v>880</v>
      </c>
      <c r="H173" s="1264">
        <f t="shared" si="17"/>
        <v>1760</v>
      </c>
      <c r="I173" s="1265"/>
      <c r="J173" s="1264">
        <f t="shared" si="18"/>
        <v>0</v>
      </c>
      <c r="K173" s="1265">
        <f t="shared" si="19"/>
        <v>1760</v>
      </c>
      <c r="L173" s="1434"/>
      <c r="M173" s="1214"/>
      <c r="N173" s="1214"/>
      <c r="O173" s="1214"/>
      <c r="P173" s="1214"/>
    </row>
    <row r="174" spans="1:18" s="1199" customFormat="1" ht="24" customHeight="1">
      <c r="A174" s="1331"/>
      <c r="B174" s="1259" t="s">
        <v>1436</v>
      </c>
      <c r="C174" s="1260"/>
      <c r="D174" s="1260"/>
      <c r="E174" s="1261"/>
      <c r="F174" s="1267" t="s">
        <v>363</v>
      </c>
      <c r="G174" s="2178">
        <v>2400</v>
      </c>
      <c r="H174" s="1264">
        <f t="shared" si="17"/>
        <v>0</v>
      </c>
      <c r="I174" s="1265"/>
      <c r="J174" s="1264">
        <f t="shared" si="18"/>
        <v>0</v>
      </c>
      <c r="K174" s="1265">
        <f t="shared" si="19"/>
        <v>0</v>
      </c>
      <c r="L174" s="1434"/>
      <c r="M174" s="1214"/>
      <c r="N174" s="1214"/>
      <c r="O174" s="1214"/>
      <c r="P174" s="1214"/>
    </row>
    <row r="175" spans="1:18" s="1199" customFormat="1" ht="24" customHeight="1">
      <c r="A175" s="1331"/>
      <c r="B175" s="2174" t="s">
        <v>1437</v>
      </c>
      <c r="C175" s="1275"/>
      <c r="D175" s="1275"/>
      <c r="E175" s="1276">
        <v>7</v>
      </c>
      <c r="F175" s="1207" t="s">
        <v>363</v>
      </c>
      <c r="G175" s="2175">
        <v>1288</v>
      </c>
      <c r="H175" s="1264">
        <f t="shared" si="17"/>
        <v>9016</v>
      </c>
      <c r="I175" s="1265"/>
      <c r="J175" s="1264">
        <f t="shared" si="18"/>
        <v>0</v>
      </c>
      <c r="K175" s="1265">
        <f t="shared" si="19"/>
        <v>9016</v>
      </c>
      <c r="L175" s="1364"/>
      <c r="M175" s="1214"/>
      <c r="N175" s="1214"/>
      <c r="O175" s="1214"/>
      <c r="P175" s="1214"/>
      <c r="Q175" s="1214"/>
    </row>
    <row r="176" spans="1:18" s="1199" customFormat="1" ht="24" customHeight="1">
      <c r="A176" s="1331"/>
      <c r="B176" s="2174" t="s">
        <v>1438</v>
      </c>
      <c r="C176" s="1275"/>
      <c r="D176" s="1275"/>
      <c r="E176" s="1276"/>
      <c r="F176" s="1207" t="s">
        <v>363</v>
      </c>
      <c r="G176" s="2175">
        <v>1288</v>
      </c>
      <c r="H176" s="1264">
        <f t="shared" si="17"/>
        <v>0</v>
      </c>
      <c r="I176" s="1265"/>
      <c r="J176" s="1264">
        <f t="shared" si="18"/>
        <v>0</v>
      </c>
      <c r="K176" s="1265">
        <f t="shared" si="19"/>
        <v>0</v>
      </c>
      <c r="L176" s="1364"/>
      <c r="M176" s="1214"/>
      <c r="N176" s="1214"/>
      <c r="O176" s="1214"/>
      <c r="P176" s="1214"/>
      <c r="Q176" s="1214"/>
    </row>
    <row r="177" spans="1:18" s="1199" customFormat="1" ht="24" customHeight="1">
      <c r="A177" s="1331"/>
      <c r="B177" s="2174"/>
      <c r="C177" s="1275"/>
      <c r="D177" s="1275"/>
      <c r="E177" s="1276"/>
      <c r="F177" s="1207"/>
      <c r="G177" s="2175"/>
      <c r="H177" s="1264"/>
      <c r="I177" s="1265"/>
      <c r="J177" s="1264"/>
      <c r="K177" s="1265"/>
      <c r="L177" s="1364"/>
      <c r="M177" s="1214"/>
      <c r="N177" s="1214"/>
      <c r="O177" s="1214"/>
      <c r="P177" s="1214"/>
      <c r="Q177" s="1214"/>
    </row>
    <row r="178" spans="1:18" s="1199" customFormat="1" ht="24" customHeight="1">
      <c r="A178" s="1331"/>
      <c r="B178" s="2174"/>
      <c r="C178" s="1275"/>
      <c r="D178" s="1275"/>
      <c r="E178" s="1276"/>
      <c r="F178" s="1207"/>
      <c r="G178" s="2175"/>
      <c r="H178" s="1264"/>
      <c r="I178" s="1265"/>
      <c r="J178" s="1264"/>
      <c r="K178" s="1265"/>
      <c r="L178" s="1364"/>
      <c r="M178" s="1214"/>
      <c r="N178" s="1214"/>
      <c r="O178" s="1214"/>
      <c r="P178" s="1214"/>
      <c r="Q178" s="1214"/>
    </row>
    <row r="179" spans="1:18" s="1199" customFormat="1" ht="24" customHeight="1">
      <c r="A179" s="1331"/>
      <c r="B179" s="1259" t="s">
        <v>1650</v>
      </c>
      <c r="C179" s="1260"/>
      <c r="D179" s="1260"/>
      <c r="E179" s="1261">
        <v>1</v>
      </c>
      <c r="F179" s="1267" t="s">
        <v>363</v>
      </c>
      <c r="G179" s="2178">
        <v>5500</v>
      </c>
      <c r="H179" s="1264">
        <f>ROUND(E179*G179,)</f>
        <v>5500</v>
      </c>
      <c r="I179" s="1265">
        <v>1000</v>
      </c>
      <c r="J179" s="1264">
        <f>ROUND(E179*I179,)</f>
        <v>1000</v>
      </c>
      <c r="K179" s="1265">
        <f>H179+J179</f>
        <v>6500</v>
      </c>
      <c r="L179" s="1434"/>
      <c r="M179" s="1214"/>
      <c r="N179" s="1214"/>
      <c r="O179" s="1214"/>
      <c r="P179" s="1214"/>
      <c r="Q179" s="1214"/>
    </row>
    <row r="180" spans="1:18" s="1199" customFormat="1" ht="24" customHeight="1">
      <c r="A180" s="1331"/>
      <c r="B180" s="1259" t="s">
        <v>1440</v>
      </c>
      <c r="C180" s="1260"/>
      <c r="D180" s="1260"/>
      <c r="E180" s="1261">
        <v>1</v>
      </c>
      <c r="F180" s="1267" t="s">
        <v>363</v>
      </c>
      <c r="G180" s="2178">
        <v>2400</v>
      </c>
      <c r="H180" s="1264">
        <f t="shared" ref="H180:H188" si="20">ROUND(E180*G180,)</f>
        <v>2400</v>
      </c>
      <c r="I180" s="1265"/>
      <c r="J180" s="1264">
        <f t="shared" ref="J180:J188" si="21">ROUND(E180*I180,)</f>
        <v>0</v>
      </c>
      <c r="K180" s="1265">
        <f t="shared" ref="K180:K188" si="22">H180+J180</f>
        <v>2400</v>
      </c>
      <c r="L180" s="1434"/>
      <c r="M180" s="1214"/>
      <c r="N180" s="1214"/>
      <c r="O180" s="1214"/>
      <c r="P180" s="1214"/>
      <c r="Q180" s="1214"/>
      <c r="R180" s="1214"/>
    </row>
    <row r="181" spans="1:18" s="1199" customFormat="1" ht="24" customHeight="1">
      <c r="A181" s="1331"/>
      <c r="B181" s="1259" t="s">
        <v>1431</v>
      </c>
      <c r="C181" s="1260"/>
      <c r="D181" s="1260"/>
      <c r="E181" s="1261">
        <v>19</v>
      </c>
      <c r="F181" s="1267" t="s">
        <v>363</v>
      </c>
      <c r="G181" s="2178">
        <v>138</v>
      </c>
      <c r="H181" s="1264">
        <f t="shared" si="20"/>
        <v>2622</v>
      </c>
      <c r="I181" s="1265"/>
      <c r="J181" s="1264">
        <f t="shared" si="21"/>
        <v>0</v>
      </c>
      <c r="K181" s="1265">
        <f t="shared" si="22"/>
        <v>2622</v>
      </c>
      <c r="L181" s="1434"/>
      <c r="M181" s="1214"/>
      <c r="N181" s="1214"/>
      <c r="O181" s="1214"/>
      <c r="P181" s="1214"/>
    </row>
    <row r="182" spans="1:18" s="1199" customFormat="1" ht="24" customHeight="1">
      <c r="A182" s="1331"/>
      <c r="B182" s="1259" t="s">
        <v>1432</v>
      </c>
      <c r="C182" s="1260"/>
      <c r="D182" s="1260"/>
      <c r="E182" s="1261"/>
      <c r="F182" s="1267" t="s">
        <v>363</v>
      </c>
      <c r="G182" s="2178">
        <v>138</v>
      </c>
      <c r="H182" s="1264">
        <f t="shared" si="20"/>
        <v>0</v>
      </c>
      <c r="I182" s="1265"/>
      <c r="J182" s="1264">
        <f t="shared" si="21"/>
        <v>0</v>
      </c>
      <c r="K182" s="1265">
        <f t="shared" si="22"/>
        <v>0</v>
      </c>
      <c r="L182" s="1434"/>
      <c r="M182" s="1214"/>
      <c r="N182" s="1214"/>
      <c r="O182" s="1214"/>
      <c r="P182" s="1214"/>
    </row>
    <row r="183" spans="1:18" s="1199" customFormat="1" ht="24" customHeight="1">
      <c r="A183" s="1331"/>
      <c r="B183" s="1259" t="s">
        <v>1433</v>
      </c>
      <c r="C183" s="1260"/>
      <c r="D183" s="1260"/>
      <c r="E183" s="1261"/>
      <c r="F183" s="1267" t="s">
        <v>363</v>
      </c>
      <c r="G183" s="2178">
        <v>138</v>
      </c>
      <c r="H183" s="1264">
        <f t="shared" si="20"/>
        <v>0</v>
      </c>
      <c r="I183" s="1265"/>
      <c r="J183" s="1264">
        <f t="shared" si="21"/>
        <v>0</v>
      </c>
      <c r="K183" s="1265">
        <f t="shared" si="22"/>
        <v>0</v>
      </c>
      <c r="L183" s="1434"/>
      <c r="M183" s="1214"/>
      <c r="N183" s="1214"/>
      <c r="O183" s="1214"/>
      <c r="P183" s="1214"/>
    </row>
    <row r="184" spans="1:18" s="1199" customFormat="1" ht="24" customHeight="1">
      <c r="A184" s="1331"/>
      <c r="B184" s="1259" t="s">
        <v>1434</v>
      </c>
      <c r="C184" s="1260"/>
      <c r="D184" s="1260"/>
      <c r="E184" s="1261"/>
      <c r="F184" s="1267" t="s">
        <v>363</v>
      </c>
      <c r="G184" s="2178">
        <v>880</v>
      </c>
      <c r="H184" s="1264">
        <f t="shared" si="20"/>
        <v>0</v>
      </c>
      <c r="I184" s="1265"/>
      <c r="J184" s="1264">
        <f t="shared" si="21"/>
        <v>0</v>
      </c>
      <c r="K184" s="1265">
        <f t="shared" si="22"/>
        <v>0</v>
      </c>
      <c r="L184" s="1434"/>
      <c r="M184" s="1214"/>
      <c r="N184" s="1214"/>
      <c r="O184" s="1214"/>
      <c r="P184" s="1214"/>
    </row>
    <row r="185" spans="1:18" s="1199" customFormat="1" ht="24" customHeight="1">
      <c r="A185" s="1331"/>
      <c r="B185" s="1259" t="s">
        <v>1435</v>
      </c>
      <c r="C185" s="1260"/>
      <c r="D185" s="1260"/>
      <c r="E185" s="1261"/>
      <c r="F185" s="1267" t="s">
        <v>363</v>
      </c>
      <c r="G185" s="2178">
        <v>880</v>
      </c>
      <c r="H185" s="1264">
        <f t="shared" si="20"/>
        <v>0</v>
      </c>
      <c r="I185" s="1265"/>
      <c r="J185" s="1264">
        <f t="shared" si="21"/>
        <v>0</v>
      </c>
      <c r="K185" s="1265">
        <f t="shared" si="22"/>
        <v>0</v>
      </c>
      <c r="L185" s="1434"/>
      <c r="M185" s="1214"/>
      <c r="N185" s="1214"/>
      <c r="O185" s="1214"/>
      <c r="P185" s="1214"/>
    </row>
    <row r="186" spans="1:18" s="1199" customFormat="1" ht="24" customHeight="1">
      <c r="A186" s="1331"/>
      <c r="B186" s="1259" t="s">
        <v>1436</v>
      </c>
      <c r="C186" s="1260"/>
      <c r="D186" s="1260"/>
      <c r="E186" s="1261"/>
      <c r="F186" s="1267" t="s">
        <v>363</v>
      </c>
      <c r="G186" s="2178">
        <v>2400</v>
      </c>
      <c r="H186" s="1264">
        <f t="shared" si="20"/>
        <v>0</v>
      </c>
      <c r="I186" s="1265"/>
      <c r="J186" s="1264">
        <f t="shared" si="21"/>
        <v>0</v>
      </c>
      <c r="K186" s="1265">
        <f t="shared" si="22"/>
        <v>0</v>
      </c>
      <c r="L186" s="1434"/>
      <c r="M186" s="1214"/>
      <c r="N186" s="1214"/>
      <c r="O186" s="1214"/>
      <c r="P186" s="1214"/>
    </row>
    <row r="187" spans="1:18" s="1199" customFormat="1" ht="24" customHeight="1">
      <c r="A187" s="1331"/>
      <c r="B187" s="1190" t="s">
        <v>1437</v>
      </c>
      <c r="C187" s="1275"/>
      <c r="D187" s="1275"/>
      <c r="E187" s="1276">
        <v>2</v>
      </c>
      <c r="F187" s="1194" t="s">
        <v>363</v>
      </c>
      <c r="G187" s="2175">
        <v>1288</v>
      </c>
      <c r="H187" s="1264">
        <f t="shared" si="20"/>
        <v>2576</v>
      </c>
      <c r="I187" s="1265"/>
      <c r="J187" s="1264">
        <f t="shared" si="21"/>
        <v>0</v>
      </c>
      <c r="K187" s="1299">
        <f t="shared" si="22"/>
        <v>2576</v>
      </c>
      <c r="L187" s="1366"/>
      <c r="M187" s="1214"/>
      <c r="N187" s="1214"/>
      <c r="O187" s="1214"/>
      <c r="P187" s="1214"/>
      <c r="Q187" s="1214"/>
    </row>
    <row r="188" spans="1:18" s="1199" customFormat="1" ht="24" customHeight="1">
      <c r="A188" s="1331"/>
      <c r="B188" s="1190" t="s">
        <v>1438</v>
      </c>
      <c r="C188" s="1275"/>
      <c r="D188" s="1275"/>
      <c r="E188" s="1276"/>
      <c r="F188" s="1194" t="s">
        <v>363</v>
      </c>
      <c r="G188" s="2175">
        <v>1288</v>
      </c>
      <c r="H188" s="1264">
        <f t="shared" si="20"/>
        <v>0</v>
      </c>
      <c r="I188" s="1265"/>
      <c r="J188" s="1264">
        <f t="shared" si="21"/>
        <v>0</v>
      </c>
      <c r="K188" s="1299">
        <f t="shared" si="22"/>
        <v>0</v>
      </c>
      <c r="L188" s="1366"/>
      <c r="M188" s="1214"/>
      <c r="N188" s="1214"/>
      <c r="O188" s="1214"/>
      <c r="P188" s="1214"/>
      <c r="Q188" s="1214"/>
    </row>
    <row r="189" spans="1:18" s="1199" customFormat="1" ht="24" customHeight="1">
      <c r="A189" s="1331"/>
      <c r="B189" s="1220" t="s">
        <v>1651</v>
      </c>
      <c r="C189" s="1260"/>
      <c r="D189" s="1260"/>
      <c r="E189" s="1261">
        <v>1</v>
      </c>
      <c r="F189" s="1223" t="s">
        <v>363</v>
      </c>
      <c r="G189" s="2178">
        <v>5500</v>
      </c>
      <c r="H189" s="1264">
        <f>ROUND(E189*G189,)</f>
        <v>5500</v>
      </c>
      <c r="I189" s="1265">
        <v>1000</v>
      </c>
      <c r="J189" s="1264">
        <f>ROUND(E189*I189,)</f>
        <v>1000</v>
      </c>
      <c r="K189" s="1265">
        <f>H189+J189</f>
        <v>6500</v>
      </c>
      <c r="L189" s="1434"/>
      <c r="M189" s="1214"/>
      <c r="N189" s="1214"/>
      <c r="O189" s="1214"/>
      <c r="P189" s="1214"/>
      <c r="Q189" s="1214"/>
    </row>
    <row r="190" spans="1:18" s="1199" customFormat="1" ht="24" customHeight="1">
      <c r="A190" s="1331"/>
      <c r="B190" s="1259" t="s">
        <v>1440</v>
      </c>
      <c r="C190" s="1260"/>
      <c r="D190" s="1260"/>
      <c r="E190" s="1261">
        <v>1</v>
      </c>
      <c r="F190" s="1267" t="s">
        <v>363</v>
      </c>
      <c r="G190" s="2178">
        <v>2400</v>
      </c>
      <c r="H190" s="1264">
        <f t="shared" ref="H190:H198" si="23">ROUND(E190*G190,)</f>
        <v>2400</v>
      </c>
      <c r="I190" s="1265"/>
      <c r="J190" s="1264">
        <f t="shared" ref="J190:J198" si="24">ROUND(E190*I190,)</f>
        <v>0</v>
      </c>
      <c r="K190" s="1265">
        <f t="shared" ref="K190:K198" si="25">H190+J190</f>
        <v>2400</v>
      </c>
      <c r="L190" s="1434"/>
      <c r="M190" s="1214"/>
      <c r="N190" s="1214"/>
      <c r="O190" s="1214"/>
      <c r="P190" s="1214"/>
      <c r="Q190" s="1214"/>
      <c r="R190" s="1214"/>
    </row>
    <row r="191" spans="1:18" s="1199" customFormat="1" ht="24" customHeight="1">
      <c r="A191" s="1331"/>
      <c r="B191" s="1259" t="s">
        <v>1431</v>
      </c>
      <c r="C191" s="1260"/>
      <c r="D191" s="1260"/>
      <c r="E191" s="1261">
        <v>19</v>
      </c>
      <c r="F191" s="1267" t="s">
        <v>363</v>
      </c>
      <c r="G191" s="2178">
        <v>138</v>
      </c>
      <c r="H191" s="1264">
        <f t="shared" si="23"/>
        <v>2622</v>
      </c>
      <c r="I191" s="1265"/>
      <c r="J191" s="1264">
        <f t="shared" si="24"/>
        <v>0</v>
      </c>
      <c r="K191" s="1265">
        <f t="shared" si="25"/>
        <v>2622</v>
      </c>
      <c r="L191" s="1434"/>
      <c r="M191" s="1214"/>
      <c r="N191" s="1214"/>
      <c r="O191" s="1214"/>
      <c r="P191" s="1214"/>
    </row>
    <row r="192" spans="1:18" s="1199" customFormat="1" ht="24" customHeight="1">
      <c r="A192" s="1331"/>
      <c r="B192" s="1259" t="s">
        <v>1432</v>
      </c>
      <c r="C192" s="1260"/>
      <c r="D192" s="1260"/>
      <c r="E192" s="1261"/>
      <c r="F192" s="1267" t="s">
        <v>363</v>
      </c>
      <c r="G192" s="2178">
        <v>138</v>
      </c>
      <c r="H192" s="1264">
        <f t="shared" si="23"/>
        <v>0</v>
      </c>
      <c r="I192" s="1265"/>
      <c r="J192" s="1264">
        <f t="shared" si="24"/>
        <v>0</v>
      </c>
      <c r="K192" s="1299">
        <f t="shared" si="25"/>
        <v>0</v>
      </c>
      <c r="L192" s="1366"/>
      <c r="M192" s="1214"/>
      <c r="N192" s="1214"/>
      <c r="O192" s="1214"/>
      <c r="P192" s="1214"/>
    </row>
    <row r="193" spans="1:18" s="1199" customFormat="1" ht="24" customHeight="1">
      <c r="A193" s="1331"/>
      <c r="B193" s="1259" t="s">
        <v>1433</v>
      </c>
      <c r="C193" s="1260"/>
      <c r="D193" s="1260"/>
      <c r="E193" s="1261"/>
      <c r="F193" s="1267" t="s">
        <v>363</v>
      </c>
      <c r="G193" s="2178">
        <v>138</v>
      </c>
      <c r="H193" s="1264">
        <f t="shared" si="23"/>
        <v>0</v>
      </c>
      <c r="I193" s="1265"/>
      <c r="J193" s="1264">
        <f t="shared" si="24"/>
        <v>0</v>
      </c>
      <c r="K193" s="1299">
        <f t="shared" si="25"/>
        <v>0</v>
      </c>
      <c r="L193" s="1366"/>
      <c r="M193" s="1214"/>
      <c r="N193" s="1214"/>
      <c r="O193" s="1214"/>
      <c r="P193" s="1214"/>
    </row>
    <row r="194" spans="1:18" s="1199" customFormat="1" ht="24" customHeight="1">
      <c r="A194" s="1331"/>
      <c r="B194" s="1259" t="s">
        <v>1434</v>
      </c>
      <c r="C194" s="1260"/>
      <c r="D194" s="1260"/>
      <c r="E194" s="1261"/>
      <c r="F194" s="1267" t="s">
        <v>363</v>
      </c>
      <c r="G194" s="2178">
        <v>880</v>
      </c>
      <c r="H194" s="1264">
        <f t="shared" si="23"/>
        <v>0</v>
      </c>
      <c r="I194" s="1265"/>
      <c r="J194" s="1264">
        <f t="shared" si="24"/>
        <v>0</v>
      </c>
      <c r="K194" s="1299">
        <f t="shared" si="25"/>
        <v>0</v>
      </c>
      <c r="L194" s="1432"/>
      <c r="M194" s="1214"/>
      <c r="N194" s="1214"/>
      <c r="O194" s="1214"/>
      <c r="P194" s="1214"/>
    </row>
    <row r="195" spans="1:18" s="1199" customFormat="1" ht="24" customHeight="1">
      <c r="A195" s="1331"/>
      <c r="B195" s="1259" t="s">
        <v>1435</v>
      </c>
      <c r="C195" s="1260"/>
      <c r="D195" s="1260"/>
      <c r="E195" s="1261"/>
      <c r="F195" s="1267" t="s">
        <v>363</v>
      </c>
      <c r="G195" s="2178">
        <v>880</v>
      </c>
      <c r="H195" s="1264">
        <f t="shared" si="23"/>
        <v>0</v>
      </c>
      <c r="I195" s="1265"/>
      <c r="J195" s="1264">
        <f t="shared" si="24"/>
        <v>0</v>
      </c>
      <c r="K195" s="1265">
        <f t="shared" si="25"/>
        <v>0</v>
      </c>
      <c r="L195" s="1434"/>
      <c r="M195" s="1214"/>
      <c r="N195" s="1214"/>
      <c r="O195" s="1214"/>
      <c r="P195" s="1214"/>
    </row>
    <row r="196" spans="1:18" s="1199" customFormat="1" ht="24" customHeight="1">
      <c r="A196" s="1331"/>
      <c r="B196" s="1259" t="s">
        <v>1436</v>
      </c>
      <c r="C196" s="1260"/>
      <c r="D196" s="1260"/>
      <c r="E196" s="1261"/>
      <c r="F196" s="1267" t="s">
        <v>363</v>
      </c>
      <c r="G196" s="2178">
        <v>2400</v>
      </c>
      <c r="H196" s="1264">
        <f t="shared" si="23"/>
        <v>0</v>
      </c>
      <c r="I196" s="1265"/>
      <c r="J196" s="1264">
        <f t="shared" si="24"/>
        <v>0</v>
      </c>
      <c r="K196" s="1265">
        <f t="shared" si="25"/>
        <v>0</v>
      </c>
      <c r="L196" s="1434"/>
      <c r="M196" s="1214"/>
      <c r="N196" s="1214"/>
      <c r="O196" s="1214"/>
      <c r="P196" s="1214"/>
    </row>
    <row r="197" spans="1:18" s="1199" customFormat="1" ht="24" customHeight="1">
      <c r="A197" s="1331"/>
      <c r="B197" s="1190" t="s">
        <v>1437</v>
      </c>
      <c r="C197" s="1275"/>
      <c r="D197" s="1275"/>
      <c r="E197" s="1276">
        <v>2</v>
      </c>
      <c r="F197" s="1194" t="s">
        <v>363</v>
      </c>
      <c r="G197" s="2175">
        <v>1288</v>
      </c>
      <c r="H197" s="1264">
        <f t="shared" si="23"/>
        <v>2576</v>
      </c>
      <c r="I197" s="1265"/>
      <c r="J197" s="1264">
        <f t="shared" si="24"/>
        <v>0</v>
      </c>
      <c r="K197" s="1265">
        <f t="shared" si="25"/>
        <v>2576</v>
      </c>
      <c r="L197" s="1434"/>
      <c r="M197" s="1214"/>
      <c r="N197" s="1214"/>
      <c r="O197" s="1214"/>
      <c r="P197" s="1214"/>
      <c r="Q197" s="1214"/>
    </row>
    <row r="198" spans="1:18" s="1199" customFormat="1" ht="24" customHeight="1">
      <c r="A198" s="1331"/>
      <c r="B198" s="1190" t="s">
        <v>1438</v>
      </c>
      <c r="C198" s="1275"/>
      <c r="D198" s="1275"/>
      <c r="E198" s="1276"/>
      <c r="F198" s="1194" t="s">
        <v>363</v>
      </c>
      <c r="G198" s="2175">
        <v>1288</v>
      </c>
      <c r="H198" s="1264">
        <f t="shared" si="23"/>
        <v>0</v>
      </c>
      <c r="I198" s="1265"/>
      <c r="J198" s="1264">
        <f t="shared" si="24"/>
        <v>0</v>
      </c>
      <c r="K198" s="1299">
        <f t="shared" si="25"/>
        <v>0</v>
      </c>
      <c r="L198" s="1366"/>
      <c r="M198" s="1214"/>
      <c r="N198" s="1214"/>
      <c r="O198" s="1214"/>
      <c r="P198" s="1214"/>
      <c r="Q198" s="1214"/>
    </row>
    <row r="199" spans="1:18" s="1199" customFormat="1" ht="24" customHeight="1">
      <c r="A199" s="1331"/>
      <c r="B199" s="2174" t="s">
        <v>1117</v>
      </c>
      <c r="C199" s="1275"/>
      <c r="D199" s="1275"/>
      <c r="E199" s="1276"/>
      <c r="F199" s="1358"/>
      <c r="G199" s="2175"/>
      <c r="H199" s="1264"/>
      <c r="I199" s="1265"/>
      <c r="J199" s="1264"/>
      <c r="K199" s="1299"/>
      <c r="L199" s="1366"/>
      <c r="M199" s="1214"/>
      <c r="N199" s="1214"/>
      <c r="O199" s="1214"/>
      <c r="P199" s="1214"/>
    </row>
    <row r="200" spans="1:18" s="1199" customFormat="1" ht="24" customHeight="1">
      <c r="A200" s="1331"/>
      <c r="B200" s="2174" t="s">
        <v>1118</v>
      </c>
      <c r="C200" s="1275"/>
      <c r="D200" s="1275"/>
      <c r="E200" s="1276"/>
      <c r="F200" s="1358"/>
      <c r="G200" s="2175"/>
      <c r="H200" s="1264"/>
      <c r="I200" s="1265"/>
      <c r="J200" s="1264"/>
      <c r="K200" s="1299"/>
      <c r="L200" s="1432"/>
      <c r="M200" s="1214"/>
      <c r="N200" s="1214"/>
      <c r="O200" s="1214"/>
      <c r="P200" s="1214"/>
    </row>
    <row r="201" spans="1:18" s="1199" customFormat="1" ht="24" customHeight="1">
      <c r="A201" s="1331"/>
      <c r="B201" s="2174" t="s">
        <v>1118</v>
      </c>
      <c r="C201" s="1275"/>
      <c r="D201" s="1275"/>
      <c r="E201" s="1276"/>
      <c r="F201" s="1358"/>
      <c r="G201" s="2175"/>
      <c r="H201" s="1264"/>
      <c r="I201" s="1265"/>
      <c r="J201" s="1264"/>
      <c r="K201" s="1265"/>
      <c r="L201" s="1434"/>
      <c r="M201" s="1214"/>
      <c r="N201" s="1214"/>
      <c r="O201" s="1214"/>
      <c r="P201" s="1214"/>
    </row>
    <row r="202" spans="1:18" s="1199" customFormat="1" ht="24" customHeight="1">
      <c r="A202" s="1243"/>
      <c r="B202" s="2257" t="str">
        <f>"รวมราคารายการที่ "&amp;A155</f>
        <v>รวมราคารายการที่ 3.3</v>
      </c>
      <c r="C202" s="2258"/>
      <c r="D202" s="2259"/>
      <c r="E202" s="1244"/>
      <c r="F202" s="1245"/>
      <c r="G202" s="1246"/>
      <c r="H202" s="1247">
        <f>SUM(H156:H201)</f>
        <v>76746</v>
      </c>
      <c r="I202" s="1246"/>
      <c r="J202" s="1247">
        <f>SUM(J156:J201)</f>
        <v>5000</v>
      </c>
      <c r="K202" s="1247">
        <f>SUM(K156:K201)</f>
        <v>81746</v>
      </c>
      <c r="L202" s="1245"/>
      <c r="M202" s="1214"/>
      <c r="N202" s="1214"/>
      <c r="O202" s="1214"/>
      <c r="P202" s="1214"/>
    </row>
    <row r="203" spans="1:18" s="1199" customFormat="1" ht="24" customHeight="1">
      <c r="A203" s="1308">
        <v>3.4</v>
      </c>
      <c r="B203" s="1292" t="s">
        <v>1312</v>
      </c>
      <c r="C203" s="1202"/>
      <c r="D203" s="1202"/>
      <c r="E203" s="1387"/>
      <c r="F203" s="1384"/>
      <c r="G203" s="2176"/>
      <c r="H203" s="1264">
        <f t="shared" ref="H203:H216" si="26">ROUND(E203*G203,)</f>
        <v>0</v>
      </c>
      <c r="I203" s="2177"/>
      <c r="J203" s="1264">
        <f t="shared" ref="J203:J216" si="27">ROUND(E203*I203,)</f>
        <v>0</v>
      </c>
      <c r="K203" s="1385"/>
      <c r="L203" s="1385"/>
      <c r="M203" s="1214"/>
      <c r="N203" s="1214"/>
      <c r="O203" s="1214"/>
      <c r="P203" s="1214"/>
      <c r="Q203" s="1214"/>
      <c r="R203" s="1214"/>
    </row>
    <row r="204" spans="1:18" s="1199" customFormat="1" ht="24" customHeight="1">
      <c r="A204" s="1331" t="s">
        <v>1135</v>
      </c>
      <c r="B204" s="2174" t="s">
        <v>1597</v>
      </c>
      <c r="C204" s="1202"/>
      <c r="D204" s="1202"/>
      <c r="E204" s="1387"/>
      <c r="F204" s="1384"/>
      <c r="G204" s="2176"/>
      <c r="H204" s="1264">
        <f t="shared" si="26"/>
        <v>0</v>
      </c>
      <c r="I204" s="2177"/>
      <c r="J204" s="1264">
        <f t="shared" si="27"/>
        <v>0</v>
      </c>
      <c r="K204" s="1385"/>
      <c r="L204" s="1385"/>
      <c r="M204" s="1214"/>
      <c r="N204" s="1214"/>
      <c r="O204" s="1214"/>
      <c r="P204" s="1214"/>
      <c r="Q204" s="1214"/>
      <c r="R204" s="1214"/>
    </row>
    <row r="205" spans="1:18" s="1199" customFormat="1" ht="24" customHeight="1">
      <c r="A205" s="1331"/>
      <c r="B205" s="2174" t="s">
        <v>1443</v>
      </c>
      <c r="C205" s="1202"/>
      <c r="D205" s="1202"/>
      <c r="E205" s="1489">
        <v>10432</v>
      </c>
      <c r="F205" s="1358" t="s">
        <v>226</v>
      </c>
      <c r="G205" s="2176">
        <v>9</v>
      </c>
      <c r="H205" s="1264">
        <f t="shared" si="26"/>
        <v>93888</v>
      </c>
      <c r="I205" s="2177">
        <v>7</v>
      </c>
      <c r="J205" s="1264">
        <f t="shared" si="27"/>
        <v>73024</v>
      </c>
      <c r="K205" s="1273">
        <f>H205+J205</f>
        <v>166912</v>
      </c>
      <c r="L205" s="2001" t="s">
        <v>2667</v>
      </c>
      <c r="M205" s="1214"/>
      <c r="N205" s="1199">
        <v>912.1</v>
      </c>
      <c r="O205" s="1199">
        <f>ROUND(N205/100,)</f>
        <v>9</v>
      </c>
      <c r="P205" s="1214"/>
      <c r="Q205" s="1214"/>
      <c r="R205" s="1214"/>
    </row>
    <row r="206" spans="1:18" s="1199" customFormat="1" ht="24" customHeight="1">
      <c r="A206" s="1331"/>
      <c r="B206" s="2174" t="s">
        <v>1316</v>
      </c>
      <c r="C206" s="1202"/>
      <c r="D206" s="1202"/>
      <c r="E206" s="1489">
        <v>5576</v>
      </c>
      <c r="F206" s="1358" t="s">
        <v>226</v>
      </c>
      <c r="G206" s="2176">
        <v>14</v>
      </c>
      <c r="H206" s="1264">
        <f t="shared" si="26"/>
        <v>78064</v>
      </c>
      <c r="I206" s="2177">
        <v>10</v>
      </c>
      <c r="J206" s="1264">
        <f t="shared" si="27"/>
        <v>55760</v>
      </c>
      <c r="K206" s="1273">
        <f>H206+J206</f>
        <v>133824</v>
      </c>
      <c r="L206" s="2001" t="s">
        <v>2667</v>
      </c>
      <c r="M206" s="1214"/>
      <c r="N206" s="1199">
        <v>1375.8</v>
      </c>
      <c r="O206" s="1199">
        <f>ROUND(N206/100,)</f>
        <v>14</v>
      </c>
      <c r="P206" s="1214"/>
      <c r="Q206" s="1214"/>
      <c r="R206" s="1214"/>
    </row>
    <row r="207" spans="1:18" s="1199" customFormat="1" ht="24" customHeight="1">
      <c r="A207" s="1331"/>
      <c r="B207" s="2174" t="s">
        <v>1317</v>
      </c>
      <c r="C207" s="1202"/>
      <c r="D207" s="1202"/>
      <c r="E207" s="1489"/>
      <c r="F207" s="1358" t="s">
        <v>226</v>
      </c>
      <c r="G207" s="2176">
        <v>23</v>
      </c>
      <c r="H207" s="1264">
        <f t="shared" si="26"/>
        <v>0</v>
      </c>
      <c r="I207" s="1265">
        <v>12</v>
      </c>
      <c r="J207" s="1264">
        <f t="shared" si="27"/>
        <v>0</v>
      </c>
      <c r="K207" s="1273">
        <f t="shared" ref="K207:K208" si="28">H207+J207</f>
        <v>0</v>
      </c>
      <c r="L207" s="2001" t="s">
        <v>2667</v>
      </c>
      <c r="N207" s="1199">
        <v>2264.1999999999998</v>
      </c>
      <c r="O207" s="1199">
        <f t="shared" ref="O207:O208" si="29">ROUND(N207/100,)</f>
        <v>23</v>
      </c>
      <c r="P207" s="1214"/>
      <c r="Q207" s="1214"/>
      <c r="R207" s="1214"/>
    </row>
    <row r="208" spans="1:18" s="1199" customFormat="1" ht="24" customHeight="1">
      <c r="A208" s="1331"/>
      <c r="B208" s="2174" t="s">
        <v>1652</v>
      </c>
      <c r="C208" s="1202"/>
      <c r="D208" s="1202"/>
      <c r="E208" s="1489">
        <v>400</v>
      </c>
      <c r="F208" s="1358" t="s">
        <v>226</v>
      </c>
      <c r="G208" s="2176">
        <v>39</v>
      </c>
      <c r="H208" s="1264">
        <f t="shared" si="26"/>
        <v>15600</v>
      </c>
      <c r="I208" s="1265">
        <v>16</v>
      </c>
      <c r="J208" s="1264">
        <f t="shared" si="27"/>
        <v>6400</v>
      </c>
      <c r="K208" s="1273">
        <f t="shared" si="28"/>
        <v>22000</v>
      </c>
      <c r="L208" s="2001" t="s">
        <v>2667</v>
      </c>
      <c r="N208" s="1199">
        <v>3944.2</v>
      </c>
      <c r="O208" s="1199">
        <f t="shared" si="29"/>
        <v>39</v>
      </c>
      <c r="P208" s="1214"/>
      <c r="Q208" s="1214"/>
      <c r="R208" s="1214"/>
    </row>
    <row r="209" spans="1:18" s="1199" customFormat="1" ht="24" customHeight="1">
      <c r="A209" s="1331" t="s">
        <v>1158</v>
      </c>
      <c r="B209" s="2174" t="s">
        <v>1331</v>
      </c>
      <c r="C209" s="1202"/>
      <c r="D209" s="1202"/>
      <c r="E209" s="1387"/>
      <c r="F209" s="1384"/>
      <c r="G209" s="2176"/>
      <c r="H209" s="1264">
        <f t="shared" si="26"/>
        <v>0</v>
      </c>
      <c r="I209" s="2177"/>
      <c r="J209" s="1264">
        <f t="shared" si="27"/>
        <v>0</v>
      </c>
      <c r="K209" s="1385"/>
      <c r="L209" s="1385"/>
      <c r="M209" s="1214"/>
      <c r="N209" s="1214"/>
      <c r="O209" s="1214"/>
      <c r="P209" s="1214"/>
      <c r="Q209" s="1214"/>
      <c r="R209" s="1214"/>
    </row>
    <row r="210" spans="1:18" s="1199" customFormat="1" ht="24" customHeight="1">
      <c r="A210" s="1331"/>
      <c r="B210" s="2174" t="s">
        <v>1443</v>
      </c>
      <c r="C210" s="1202"/>
      <c r="D210" s="1202"/>
      <c r="E210" s="1521"/>
      <c r="F210" s="1358" t="s">
        <v>226</v>
      </c>
      <c r="G210" s="2176">
        <v>41</v>
      </c>
      <c r="H210" s="1264">
        <f t="shared" si="26"/>
        <v>0</v>
      </c>
      <c r="I210" s="2177">
        <v>12</v>
      </c>
      <c r="J210" s="1264">
        <f t="shared" si="27"/>
        <v>0</v>
      </c>
      <c r="K210" s="1273">
        <f>H210+J210</f>
        <v>0</v>
      </c>
      <c r="L210" s="1385"/>
      <c r="M210" s="1214"/>
      <c r="N210" s="1214"/>
      <c r="O210" s="1214"/>
      <c r="P210" s="1214"/>
      <c r="Q210" s="1214"/>
      <c r="R210" s="1214"/>
    </row>
    <row r="211" spans="1:18" s="1199" customFormat="1" ht="24" customHeight="1">
      <c r="A211" s="1331"/>
      <c r="B211" s="2174" t="s">
        <v>1316</v>
      </c>
      <c r="C211" s="1202"/>
      <c r="D211" s="1202"/>
      <c r="E211" s="1521"/>
      <c r="F211" s="1358" t="s">
        <v>226</v>
      </c>
      <c r="G211" s="2176">
        <v>53</v>
      </c>
      <c r="H211" s="1264">
        <f t="shared" si="26"/>
        <v>0</v>
      </c>
      <c r="I211" s="2177">
        <v>14</v>
      </c>
      <c r="J211" s="1264">
        <f t="shared" si="27"/>
        <v>0</v>
      </c>
      <c r="K211" s="1273">
        <f>H211+J211</f>
        <v>0</v>
      </c>
      <c r="L211" s="1385"/>
      <c r="M211" s="1214"/>
      <c r="N211" s="1214"/>
      <c r="O211" s="1214"/>
      <c r="P211" s="1214"/>
      <c r="Q211" s="1214"/>
      <c r="R211" s="1214"/>
    </row>
    <row r="212" spans="1:18" s="1199" customFormat="1" ht="24" customHeight="1">
      <c r="A212" s="1331" t="s">
        <v>1164</v>
      </c>
      <c r="B212" s="1190" t="s">
        <v>2717</v>
      </c>
      <c r="C212" s="1202"/>
      <c r="D212" s="1202"/>
      <c r="E212" s="1387"/>
      <c r="F212" s="1384"/>
      <c r="G212" s="2176"/>
      <c r="H212" s="1264">
        <f t="shared" si="26"/>
        <v>0</v>
      </c>
      <c r="I212" s="2177"/>
      <c r="J212" s="1264">
        <f t="shared" si="27"/>
        <v>0</v>
      </c>
      <c r="K212" s="1385"/>
      <c r="L212" s="1385"/>
      <c r="M212" s="1214"/>
      <c r="N212" s="1214"/>
      <c r="O212" s="1214"/>
      <c r="P212" s="1214"/>
      <c r="Q212" s="1214"/>
      <c r="R212" s="1214"/>
    </row>
    <row r="213" spans="1:18" s="2079" customFormat="1" ht="24" customHeight="1">
      <c r="A213" s="2073"/>
      <c r="B213" s="1190" t="s">
        <v>2718</v>
      </c>
      <c r="C213" s="2074"/>
      <c r="D213" s="2074"/>
      <c r="E213" s="1489">
        <v>4500</v>
      </c>
      <c r="F213" s="1358" t="s">
        <v>226</v>
      </c>
      <c r="G213" s="2075">
        <v>21</v>
      </c>
      <c r="H213" s="1264">
        <f t="shared" si="26"/>
        <v>94500</v>
      </c>
      <c r="I213" s="2076">
        <v>12</v>
      </c>
      <c r="J213" s="1264">
        <f t="shared" si="27"/>
        <v>54000</v>
      </c>
      <c r="K213" s="1273">
        <f>H213+J213</f>
        <v>148500</v>
      </c>
      <c r="L213" s="2077"/>
      <c r="M213" s="2078"/>
      <c r="N213" s="2078"/>
      <c r="O213" s="2078"/>
      <c r="P213" s="2078"/>
      <c r="Q213" s="2078"/>
      <c r="R213" s="2078"/>
    </row>
    <row r="214" spans="1:18" s="2079" customFormat="1" ht="24" customHeight="1">
      <c r="A214" s="2073"/>
      <c r="B214" s="1190" t="s">
        <v>2719</v>
      </c>
      <c r="C214" s="2074"/>
      <c r="D214" s="2074"/>
      <c r="E214" s="1489"/>
      <c r="F214" s="1358" t="s">
        <v>226</v>
      </c>
      <c r="G214" s="2075">
        <v>28</v>
      </c>
      <c r="H214" s="1264">
        <f t="shared" si="26"/>
        <v>0</v>
      </c>
      <c r="I214" s="2076">
        <v>15</v>
      </c>
      <c r="J214" s="1264">
        <f t="shared" si="27"/>
        <v>0</v>
      </c>
      <c r="K214" s="1273">
        <f>H214+J214</f>
        <v>0</v>
      </c>
      <c r="L214" s="2077"/>
      <c r="M214" s="2078"/>
      <c r="N214" s="2078"/>
      <c r="O214" s="2078"/>
      <c r="P214" s="2078"/>
      <c r="Q214" s="2078"/>
      <c r="R214" s="2078"/>
    </row>
    <row r="215" spans="1:18" s="2079" customFormat="1" ht="24" customHeight="1">
      <c r="A215" s="2073"/>
      <c r="B215" s="2174" t="s">
        <v>2720</v>
      </c>
      <c r="C215" s="2074"/>
      <c r="D215" s="2074"/>
      <c r="E215" s="1489"/>
      <c r="F215" s="1358" t="s">
        <v>226</v>
      </c>
      <c r="G215" s="2075">
        <v>42</v>
      </c>
      <c r="H215" s="1264">
        <f t="shared" si="26"/>
        <v>0</v>
      </c>
      <c r="I215" s="2076">
        <v>20</v>
      </c>
      <c r="J215" s="1264">
        <f t="shared" si="27"/>
        <v>0</v>
      </c>
      <c r="K215" s="1273">
        <f>H215+J215</f>
        <v>0</v>
      </c>
      <c r="L215" s="2077"/>
      <c r="M215" s="2078"/>
      <c r="N215" s="2078"/>
      <c r="O215" s="2078"/>
      <c r="P215" s="2078"/>
      <c r="Q215" s="2078"/>
      <c r="R215" s="2078"/>
    </row>
    <row r="216" spans="1:18" s="1199" customFormat="1" ht="24" customHeight="1">
      <c r="A216" s="1331"/>
      <c r="B216" s="2174" t="s">
        <v>1444</v>
      </c>
      <c r="C216" s="1202"/>
      <c r="D216" s="1202"/>
      <c r="E216" s="1404">
        <v>1</v>
      </c>
      <c r="F216" s="1358" t="s">
        <v>1104</v>
      </c>
      <c r="G216" s="2176">
        <f>ROUND(SUM(H205:H215)*5%,)</f>
        <v>14103</v>
      </c>
      <c r="H216" s="1264">
        <f t="shared" si="26"/>
        <v>14103</v>
      </c>
      <c r="I216" s="2177">
        <f>ROUND(G216*0.3,)</f>
        <v>4231</v>
      </c>
      <c r="J216" s="1264">
        <f t="shared" si="27"/>
        <v>4231</v>
      </c>
      <c r="K216" s="1273">
        <f>H216+J216</f>
        <v>18334</v>
      </c>
      <c r="L216" s="1385"/>
      <c r="M216" s="1214"/>
      <c r="N216" s="1214"/>
      <c r="O216" s="1214"/>
      <c r="P216" s="1214"/>
    </row>
    <row r="217" spans="1:18" s="1199" customFormat="1" ht="24" customHeight="1">
      <c r="A217" s="1331"/>
      <c r="B217" s="2174" t="s">
        <v>1117</v>
      </c>
      <c r="C217" s="1202"/>
      <c r="D217" s="1202"/>
      <c r="E217" s="1387"/>
      <c r="F217" s="1384"/>
      <c r="G217" s="2176"/>
      <c r="H217" s="1388"/>
      <c r="I217" s="2177"/>
      <c r="J217" s="1385"/>
      <c r="K217" s="1385"/>
      <c r="L217" s="1385"/>
      <c r="M217" s="1214"/>
      <c r="N217" s="1214"/>
      <c r="O217" s="1214"/>
      <c r="P217" s="1214"/>
      <c r="Q217" s="1214"/>
      <c r="R217" s="1214"/>
    </row>
    <row r="218" spans="1:18" s="1199" customFormat="1" ht="24" customHeight="1">
      <c r="A218" s="1243"/>
      <c r="B218" s="2257" t="str">
        <f>"รวมราคารายการที่ "&amp;A203</f>
        <v>รวมราคารายการที่ 3.4</v>
      </c>
      <c r="C218" s="2258"/>
      <c r="D218" s="2259"/>
      <c r="E218" s="1244"/>
      <c r="F218" s="1245"/>
      <c r="G218" s="1246"/>
      <c r="H218" s="1247">
        <f>SUM(H203:H217)</f>
        <v>296155</v>
      </c>
      <c r="I218" s="1246"/>
      <c r="J218" s="1247">
        <f>SUM(J203:J217)</f>
        <v>193415</v>
      </c>
      <c r="K218" s="1247">
        <f>SUM(K203:K217)</f>
        <v>489570</v>
      </c>
      <c r="L218" s="1245"/>
      <c r="M218" s="1214"/>
      <c r="N218" s="1214"/>
      <c r="O218" s="1214"/>
      <c r="P218" s="1214"/>
      <c r="Q218" s="1214"/>
      <c r="R218" s="1214"/>
    </row>
    <row r="219" spans="1:18" s="1199" customFormat="1" ht="24" customHeight="1">
      <c r="A219" s="1435" t="s">
        <v>1461</v>
      </c>
      <c r="B219" s="1436" t="s">
        <v>1333</v>
      </c>
      <c r="C219" s="1202"/>
      <c r="D219" s="1202"/>
      <c r="E219" s="1387"/>
      <c r="F219" s="1384"/>
      <c r="G219" s="2176"/>
      <c r="H219" s="1388"/>
      <c r="I219" s="2177"/>
      <c r="J219" s="1385"/>
      <c r="K219" s="1385"/>
      <c r="L219" s="1385"/>
      <c r="M219" s="1214"/>
      <c r="N219" s="1214"/>
      <c r="O219" s="1214"/>
      <c r="P219" s="1214"/>
      <c r="Q219" s="1214"/>
      <c r="R219" s="1214"/>
    </row>
    <row r="220" spans="1:18" s="1199" customFormat="1" ht="24" customHeight="1">
      <c r="A220" s="1331" t="s">
        <v>1181</v>
      </c>
      <c r="B220" s="2174" t="s">
        <v>1653</v>
      </c>
      <c r="C220" s="1202"/>
      <c r="D220" s="1202"/>
      <c r="E220" s="1387"/>
      <c r="F220" s="1384"/>
      <c r="G220" s="2176"/>
      <c r="H220" s="1264">
        <f t="shared" ref="H220:H233" si="30">ROUND(E220*G220,)</f>
        <v>0</v>
      </c>
      <c r="I220" s="2177"/>
      <c r="J220" s="1264">
        <f t="shared" ref="J220:J233" si="31">ROUND(E220*I220,)</f>
        <v>0</v>
      </c>
      <c r="K220" s="1385"/>
      <c r="L220" s="1385"/>
      <c r="M220" s="1214"/>
      <c r="N220" s="1214"/>
      <c r="O220" s="1214"/>
      <c r="P220" s="1214"/>
      <c r="Q220" s="1214"/>
      <c r="R220" s="1214"/>
    </row>
    <row r="221" spans="1:18" s="1199" customFormat="1" ht="24" customHeight="1">
      <c r="A221" s="1331" t="s">
        <v>1183</v>
      </c>
      <c r="B221" s="2174" t="s">
        <v>1446</v>
      </c>
      <c r="C221" s="1202"/>
      <c r="D221" s="1202"/>
      <c r="E221" s="1387"/>
      <c r="F221" s="1384"/>
      <c r="G221" s="2176"/>
      <c r="H221" s="1264">
        <f t="shared" si="30"/>
        <v>0</v>
      </c>
      <c r="I221" s="2177"/>
      <c r="J221" s="1264">
        <f t="shared" si="31"/>
        <v>0</v>
      </c>
      <c r="K221" s="1385"/>
      <c r="L221" s="1385"/>
      <c r="M221" s="1214"/>
      <c r="N221" s="1214"/>
      <c r="O221" s="1214"/>
      <c r="P221" s="1214"/>
      <c r="Q221" s="1214"/>
      <c r="R221" s="1214"/>
    </row>
    <row r="222" spans="1:18" s="1199" customFormat="1" ht="24" customHeight="1">
      <c r="A222" s="1331"/>
      <c r="B222" s="2174" t="s">
        <v>1350</v>
      </c>
      <c r="C222" s="1202"/>
      <c r="D222" s="1202"/>
      <c r="E222" s="1387">
        <v>3310</v>
      </c>
      <c r="F222" s="1358" t="s">
        <v>226</v>
      </c>
      <c r="G222" s="2176">
        <v>27</v>
      </c>
      <c r="H222" s="1264">
        <f t="shared" si="30"/>
        <v>89370</v>
      </c>
      <c r="I222" s="2177">
        <v>22</v>
      </c>
      <c r="J222" s="1264">
        <f t="shared" si="31"/>
        <v>72820</v>
      </c>
      <c r="K222" s="1802">
        <f t="shared" ref="K222" si="32">H222+J222</f>
        <v>162190</v>
      </c>
      <c r="L222" s="2001" t="s">
        <v>2667</v>
      </c>
      <c r="M222" s="1214"/>
      <c r="N222" s="1199">
        <v>79.8</v>
      </c>
      <c r="O222" s="1214"/>
      <c r="P222" s="1214"/>
      <c r="Q222" s="1214"/>
      <c r="R222" s="1214"/>
    </row>
    <row r="223" spans="1:18" s="1199" customFormat="1" ht="24" customHeight="1">
      <c r="A223" s="1331"/>
      <c r="B223" s="2174" t="s">
        <v>1108</v>
      </c>
      <c r="C223" s="1202"/>
      <c r="D223" s="1202"/>
      <c r="E223" s="1387">
        <v>1</v>
      </c>
      <c r="F223" s="1384" t="s">
        <v>1104</v>
      </c>
      <c r="G223" s="2176">
        <f>ROUND(SUM(H222:H222)*15%,)</f>
        <v>13406</v>
      </c>
      <c r="H223" s="1264">
        <f t="shared" si="30"/>
        <v>13406</v>
      </c>
      <c r="I223" s="2177">
        <f>ROUND(G223*0.3,)</f>
        <v>4022</v>
      </c>
      <c r="J223" s="1264">
        <f t="shared" si="31"/>
        <v>4022</v>
      </c>
      <c r="K223" s="1273">
        <f>H223+J223</f>
        <v>17428</v>
      </c>
      <c r="L223" s="1385"/>
      <c r="M223" s="1214"/>
      <c r="N223" s="1214"/>
      <c r="O223" s="1214"/>
      <c r="P223" s="1214"/>
      <c r="Q223" s="1214"/>
      <c r="R223" s="1214"/>
    </row>
    <row r="224" spans="1:18" s="1199" customFormat="1" ht="24" customHeight="1">
      <c r="A224" s="1331" t="s">
        <v>1191</v>
      </c>
      <c r="B224" s="2174" t="s">
        <v>1110</v>
      </c>
      <c r="C224" s="1202"/>
      <c r="D224" s="1202"/>
      <c r="E224" s="1387"/>
      <c r="F224" s="1384"/>
      <c r="G224" s="2176"/>
      <c r="H224" s="1264">
        <f t="shared" si="30"/>
        <v>0</v>
      </c>
      <c r="I224" s="2177"/>
      <c r="J224" s="1264">
        <f t="shared" si="31"/>
        <v>0</v>
      </c>
      <c r="K224" s="1385"/>
      <c r="L224" s="1385"/>
      <c r="M224" s="1214"/>
      <c r="N224" s="1214"/>
      <c r="O224" s="1214"/>
      <c r="P224" s="1214"/>
      <c r="Q224" s="1214"/>
      <c r="R224" s="1214"/>
    </row>
    <row r="225" spans="1:18" s="1199" customFormat="1" ht="24" customHeight="1">
      <c r="A225" s="1331"/>
      <c r="B225" s="2174" t="s">
        <v>1350</v>
      </c>
      <c r="C225" s="1202"/>
      <c r="D225" s="1202"/>
      <c r="E225" s="1387">
        <v>1458</v>
      </c>
      <c r="F225" s="1358" t="s">
        <v>226</v>
      </c>
      <c r="G225" s="2176">
        <v>56</v>
      </c>
      <c r="H225" s="1264">
        <f t="shared" si="30"/>
        <v>81648</v>
      </c>
      <c r="I225" s="2177">
        <v>26</v>
      </c>
      <c r="J225" s="1264">
        <f t="shared" si="31"/>
        <v>37908</v>
      </c>
      <c r="K225" s="1273">
        <f>H225+J225</f>
        <v>119556</v>
      </c>
      <c r="L225" s="2001" t="s">
        <v>2667</v>
      </c>
      <c r="M225" s="1214"/>
      <c r="N225" s="1199">
        <v>169.2</v>
      </c>
      <c r="O225" s="1199">
        <f>ROUND(N225/3,)</f>
        <v>56</v>
      </c>
      <c r="P225" s="1214"/>
      <c r="Q225" s="1214"/>
      <c r="R225" s="1214"/>
    </row>
    <row r="226" spans="1:18" s="1199" customFormat="1" ht="24" customHeight="1">
      <c r="A226" s="1331"/>
      <c r="B226" s="2174" t="s">
        <v>1448</v>
      </c>
      <c r="C226" s="1202"/>
      <c r="D226" s="1202"/>
      <c r="E226" s="1404">
        <v>800</v>
      </c>
      <c r="F226" s="1358" t="s">
        <v>226</v>
      </c>
      <c r="G226" s="2176">
        <v>75</v>
      </c>
      <c r="H226" s="1264">
        <f t="shared" si="30"/>
        <v>60000</v>
      </c>
      <c r="I226" s="2177">
        <v>29</v>
      </c>
      <c r="J226" s="1264">
        <f t="shared" si="31"/>
        <v>23200</v>
      </c>
      <c r="K226" s="1273">
        <f>H226+J226</f>
        <v>83200</v>
      </c>
      <c r="L226" s="2001" t="s">
        <v>2667</v>
      </c>
      <c r="N226" s="1199">
        <v>225</v>
      </c>
      <c r="O226" s="1199">
        <f>ROUND(N226/3,)</f>
        <v>75</v>
      </c>
      <c r="P226" s="1214"/>
    </row>
    <row r="227" spans="1:18" s="1199" customFormat="1" ht="24" customHeight="1">
      <c r="A227" s="1331"/>
      <c r="B227" s="2174" t="s">
        <v>1337</v>
      </c>
      <c r="C227" s="1202"/>
      <c r="D227" s="1202"/>
      <c r="E227" s="1404">
        <v>100</v>
      </c>
      <c r="F227" s="1358" t="s">
        <v>226</v>
      </c>
      <c r="G227" s="2176">
        <v>101</v>
      </c>
      <c r="H227" s="1264">
        <f t="shared" si="30"/>
        <v>10100</v>
      </c>
      <c r="I227" s="2177">
        <v>32</v>
      </c>
      <c r="J227" s="1264">
        <f t="shared" si="31"/>
        <v>3200</v>
      </c>
      <c r="K227" s="1273">
        <f>H227+J227</f>
        <v>13300</v>
      </c>
      <c r="L227" s="2001" t="s">
        <v>2667</v>
      </c>
      <c r="N227" s="1199">
        <v>303.60000000000002</v>
      </c>
      <c r="O227" s="1199">
        <f>ROUND(N227/3,)</f>
        <v>101</v>
      </c>
      <c r="P227" s="1214"/>
    </row>
    <row r="228" spans="1:18" s="1199" customFormat="1" ht="24" customHeight="1">
      <c r="A228" s="1331"/>
      <c r="B228" s="2174" t="s">
        <v>1108</v>
      </c>
      <c r="C228" s="1202"/>
      <c r="D228" s="1202"/>
      <c r="E228" s="1387">
        <v>1</v>
      </c>
      <c r="F228" s="1384" t="s">
        <v>1104</v>
      </c>
      <c r="G228" s="2176">
        <f>ROUND(SUM(H225:H227)*15%,)</f>
        <v>22762</v>
      </c>
      <c r="H228" s="1264">
        <f t="shared" si="30"/>
        <v>22762</v>
      </c>
      <c r="I228" s="2177">
        <f>ROUND(G228*0.3,)</f>
        <v>6829</v>
      </c>
      <c r="J228" s="1264">
        <f t="shared" si="31"/>
        <v>6829</v>
      </c>
      <c r="K228" s="1273">
        <f>H228+J228</f>
        <v>29591</v>
      </c>
      <c r="L228" s="1385"/>
      <c r="M228" s="1214"/>
      <c r="N228" s="1214"/>
      <c r="O228" s="1214"/>
      <c r="P228" s="1214"/>
      <c r="Q228" s="1214"/>
      <c r="R228" s="1214"/>
    </row>
    <row r="229" spans="1:18" s="2079" customFormat="1" ht="24" customHeight="1">
      <c r="A229" s="2073" t="s">
        <v>1193</v>
      </c>
      <c r="B229" s="1190" t="s">
        <v>2721</v>
      </c>
      <c r="C229" s="2074"/>
      <c r="D229" s="2074"/>
      <c r="E229" s="1387"/>
      <c r="F229" s="1384"/>
      <c r="G229" s="2075"/>
      <c r="H229" s="1264">
        <f t="shared" si="30"/>
        <v>0</v>
      </c>
      <c r="I229" s="2076"/>
      <c r="J229" s="1264">
        <f t="shared" si="31"/>
        <v>0</v>
      </c>
      <c r="K229" s="2077"/>
      <c r="L229" s="2077"/>
      <c r="M229" s="2078"/>
      <c r="N229" s="2078"/>
      <c r="O229" s="2078"/>
      <c r="P229" s="2078"/>
      <c r="Q229" s="2078"/>
      <c r="R229" s="2078"/>
    </row>
    <row r="230" spans="1:18" s="2079" customFormat="1" ht="24" customHeight="1">
      <c r="A230" s="2073"/>
      <c r="B230" s="1190" t="s">
        <v>1339</v>
      </c>
      <c r="C230" s="2074"/>
      <c r="D230" s="2074"/>
      <c r="E230" s="1387">
        <v>1500</v>
      </c>
      <c r="F230" s="1358" t="s">
        <v>226</v>
      </c>
      <c r="G230" s="2075">
        <v>34</v>
      </c>
      <c r="H230" s="1264">
        <f t="shared" si="30"/>
        <v>51000</v>
      </c>
      <c r="I230" s="2076">
        <v>20</v>
      </c>
      <c r="J230" s="1264">
        <f t="shared" si="31"/>
        <v>30000</v>
      </c>
      <c r="K230" s="1273">
        <f>H230+J230</f>
        <v>81000</v>
      </c>
      <c r="L230" s="2077"/>
      <c r="M230" s="2078"/>
      <c r="N230" s="2078"/>
      <c r="O230" s="2078"/>
      <c r="P230" s="2078"/>
      <c r="Q230" s="2078"/>
      <c r="R230" s="2078"/>
    </row>
    <row r="231" spans="1:18" s="2079" customFormat="1" ht="24" customHeight="1">
      <c r="A231" s="2073"/>
      <c r="B231" s="1190" t="s">
        <v>1340</v>
      </c>
      <c r="C231" s="2074"/>
      <c r="D231" s="2074"/>
      <c r="E231" s="1387"/>
      <c r="F231" s="1358" t="s">
        <v>226</v>
      </c>
      <c r="G231" s="2075">
        <v>53</v>
      </c>
      <c r="H231" s="1264">
        <f t="shared" si="30"/>
        <v>0</v>
      </c>
      <c r="I231" s="2076">
        <v>22</v>
      </c>
      <c r="J231" s="1264">
        <f t="shared" si="31"/>
        <v>0</v>
      </c>
      <c r="K231" s="1273">
        <f>H231+J231</f>
        <v>0</v>
      </c>
      <c r="L231" s="2077"/>
      <c r="M231" s="2078"/>
      <c r="N231" s="2078"/>
      <c r="O231" s="2078"/>
      <c r="P231" s="2078"/>
      <c r="Q231" s="2078"/>
      <c r="R231" s="2078"/>
    </row>
    <row r="232" spans="1:18" s="2079" customFormat="1" ht="24" customHeight="1">
      <c r="A232" s="2073"/>
      <c r="B232" s="1190" t="s">
        <v>2722</v>
      </c>
      <c r="C232" s="2074"/>
      <c r="D232" s="2074"/>
      <c r="E232" s="1387"/>
      <c r="F232" s="1358" t="s">
        <v>226</v>
      </c>
      <c r="G232" s="2075">
        <v>83</v>
      </c>
      <c r="H232" s="1264">
        <f t="shared" si="30"/>
        <v>0</v>
      </c>
      <c r="I232" s="2076">
        <v>25</v>
      </c>
      <c r="J232" s="1264">
        <f t="shared" si="31"/>
        <v>0</v>
      </c>
      <c r="K232" s="1273">
        <f>H232+J232</f>
        <v>0</v>
      </c>
      <c r="L232" s="2077"/>
      <c r="M232" s="2078"/>
      <c r="N232" s="2078"/>
      <c r="O232" s="2078"/>
      <c r="P232" s="2078"/>
      <c r="Q232" s="2078"/>
      <c r="R232" s="2078"/>
    </row>
    <row r="233" spans="1:18" s="1199" customFormat="1" ht="24" customHeight="1">
      <c r="A233" s="1331"/>
      <c r="B233" s="2174" t="s">
        <v>1108</v>
      </c>
      <c r="C233" s="1202"/>
      <c r="D233" s="1202"/>
      <c r="E233" s="1387">
        <v>1</v>
      </c>
      <c r="F233" s="1384" t="s">
        <v>1104</v>
      </c>
      <c r="G233" s="2176">
        <f>ROUND(SUM(H230:H232)*15%,)</f>
        <v>7650</v>
      </c>
      <c r="H233" s="1264">
        <f t="shared" si="30"/>
        <v>7650</v>
      </c>
      <c r="I233" s="2177">
        <f>ROUND(G233*0.3,)</f>
        <v>2295</v>
      </c>
      <c r="J233" s="1264">
        <f t="shared" si="31"/>
        <v>2295</v>
      </c>
      <c r="K233" s="1273">
        <f>H233+J233</f>
        <v>9945</v>
      </c>
      <c r="L233" s="1385"/>
      <c r="M233" s="1214"/>
      <c r="N233" s="1214"/>
      <c r="O233" s="1214"/>
      <c r="P233" s="1214"/>
      <c r="Q233" s="1214"/>
      <c r="R233" s="1214"/>
    </row>
    <row r="234" spans="1:18" s="1199" customFormat="1" ht="24" customHeight="1">
      <c r="A234" s="1331"/>
      <c r="B234" s="2174" t="s">
        <v>1117</v>
      </c>
      <c r="C234" s="1202"/>
      <c r="D234" s="1202"/>
      <c r="E234" s="1387"/>
      <c r="F234" s="1384"/>
      <c r="G234" s="2176"/>
      <c r="H234" s="1388"/>
      <c r="I234" s="2177"/>
      <c r="J234" s="1385"/>
      <c r="K234" s="1385"/>
      <c r="L234" s="1385"/>
      <c r="M234" s="1214"/>
      <c r="N234" s="1214"/>
      <c r="O234" s="1214"/>
      <c r="P234" s="1214"/>
      <c r="Q234" s="1214"/>
      <c r="R234" s="1214"/>
    </row>
    <row r="235" spans="1:18" s="1199" customFormat="1" ht="24" customHeight="1">
      <c r="A235" s="1243"/>
      <c r="B235" s="2257" t="str">
        <f>"รวมราคารายการที่ "&amp;A219</f>
        <v>รวมราคารายการที่ 3.5</v>
      </c>
      <c r="C235" s="2258"/>
      <c r="D235" s="2259"/>
      <c r="E235" s="1244"/>
      <c r="F235" s="1245"/>
      <c r="G235" s="1246"/>
      <c r="H235" s="1247">
        <f>SUM(H220:H234)</f>
        <v>335936</v>
      </c>
      <c r="I235" s="1246"/>
      <c r="J235" s="1247">
        <f t="shared" ref="J235:K235" si="33">SUM(J220:J234)</f>
        <v>180274</v>
      </c>
      <c r="K235" s="1247">
        <f t="shared" si="33"/>
        <v>516210</v>
      </c>
      <c r="L235" s="1245"/>
      <c r="M235" s="1214"/>
      <c r="N235" s="1214"/>
      <c r="O235" s="1214"/>
      <c r="P235" s="1214"/>
      <c r="Q235" s="1214"/>
      <c r="R235" s="1214"/>
    </row>
    <row r="236" spans="1:18" s="1199" customFormat="1" ht="24" customHeight="1">
      <c r="A236" s="1435" t="s">
        <v>1465</v>
      </c>
      <c r="B236" s="1436" t="s">
        <v>1451</v>
      </c>
      <c r="C236" s="1202"/>
      <c r="D236" s="1202"/>
      <c r="E236" s="1387"/>
      <c r="F236" s="1384"/>
      <c r="G236" s="2176"/>
      <c r="H236" s="1388"/>
      <c r="I236" s="2177"/>
      <c r="J236" s="1385"/>
      <c r="K236" s="1385"/>
      <c r="L236" s="1385"/>
      <c r="M236" s="1214"/>
      <c r="N236" s="1214"/>
      <c r="O236" s="1214"/>
      <c r="P236" s="1214"/>
      <c r="Q236" s="1214"/>
      <c r="R236" s="1214"/>
    </row>
    <row r="237" spans="1:18" s="1199" customFormat="1" ht="24" customHeight="1">
      <c r="A237" s="1331" t="s">
        <v>1207</v>
      </c>
      <c r="B237" s="2174" t="s">
        <v>1451</v>
      </c>
      <c r="C237" s="1202"/>
      <c r="D237" s="1202"/>
      <c r="E237" s="1387"/>
      <c r="F237" s="1384"/>
      <c r="G237" s="2176"/>
      <c r="H237" s="1388"/>
      <c r="I237" s="2177"/>
      <c r="J237" s="1385"/>
      <c r="K237" s="1385"/>
      <c r="L237" s="1385"/>
      <c r="M237" s="1214"/>
      <c r="N237" s="1214"/>
      <c r="O237" s="1214"/>
      <c r="P237" s="1214"/>
      <c r="Q237" s="1214"/>
      <c r="R237" s="1214"/>
    </row>
    <row r="238" spans="1:18" s="1199" customFormat="1" ht="24" customHeight="1">
      <c r="A238" s="1331"/>
      <c r="B238" s="2174" t="s">
        <v>1452</v>
      </c>
      <c r="C238" s="1202"/>
      <c r="D238" s="1202"/>
      <c r="E238" s="1387">
        <v>40</v>
      </c>
      <c r="F238" s="1207" t="s">
        <v>363</v>
      </c>
      <c r="G238" s="2176">
        <v>90</v>
      </c>
      <c r="H238" s="1264">
        <f t="shared" ref="H238:H245" si="34">ROUND(E238*G238,)</f>
        <v>3600</v>
      </c>
      <c r="I238" s="2177">
        <v>80</v>
      </c>
      <c r="J238" s="1264">
        <f t="shared" ref="J238:J245" si="35">ROUND(E238*I238,)</f>
        <v>3200</v>
      </c>
      <c r="K238" s="1273">
        <f t="shared" ref="K238:K245" si="36">H238+J238</f>
        <v>6800</v>
      </c>
      <c r="L238" s="1389"/>
      <c r="M238" s="1214"/>
      <c r="N238" s="1214"/>
      <c r="O238" s="1214"/>
    </row>
    <row r="239" spans="1:18" s="1199" customFormat="1" ht="24" customHeight="1">
      <c r="A239" s="1331"/>
      <c r="B239" s="2174" t="s">
        <v>1453</v>
      </c>
      <c r="C239" s="1202"/>
      <c r="D239" s="1202"/>
      <c r="E239" s="1387"/>
      <c r="F239" s="1207" t="s">
        <v>363</v>
      </c>
      <c r="G239" s="2176">
        <v>130</v>
      </c>
      <c r="H239" s="1264">
        <f t="shared" si="34"/>
        <v>0</v>
      </c>
      <c r="I239" s="2177">
        <v>90</v>
      </c>
      <c r="J239" s="1264">
        <f t="shared" si="35"/>
        <v>0</v>
      </c>
      <c r="K239" s="1273">
        <f t="shared" si="36"/>
        <v>0</v>
      </c>
      <c r="L239" s="1389"/>
      <c r="M239" s="1214"/>
      <c r="N239" s="1214"/>
      <c r="O239" s="1214"/>
    </row>
    <row r="240" spans="1:18" s="1199" customFormat="1" ht="24" customHeight="1">
      <c r="A240" s="1331"/>
      <c r="B240" s="2174" t="s">
        <v>1454</v>
      </c>
      <c r="C240" s="1202"/>
      <c r="D240" s="1202"/>
      <c r="E240" s="1387"/>
      <c r="F240" s="1207" t="s">
        <v>363</v>
      </c>
      <c r="G240" s="2176">
        <v>240</v>
      </c>
      <c r="H240" s="1264">
        <f t="shared" si="34"/>
        <v>0</v>
      </c>
      <c r="I240" s="2177">
        <v>90</v>
      </c>
      <c r="J240" s="1264">
        <f t="shared" si="35"/>
        <v>0</v>
      </c>
      <c r="K240" s="1273">
        <f t="shared" si="36"/>
        <v>0</v>
      </c>
      <c r="L240" s="1389"/>
      <c r="M240" s="1214"/>
      <c r="N240" s="1214"/>
      <c r="O240" s="1214"/>
    </row>
    <row r="241" spans="1:18" s="1199" customFormat="1" ht="24" customHeight="1">
      <c r="A241" s="1331"/>
      <c r="B241" s="2174" t="s">
        <v>1455</v>
      </c>
      <c r="C241" s="1202"/>
      <c r="D241" s="1202"/>
      <c r="E241" s="1387"/>
      <c r="F241" s="1207" t="s">
        <v>363</v>
      </c>
      <c r="G241" s="2176">
        <v>162</v>
      </c>
      <c r="H241" s="1264">
        <f t="shared" si="34"/>
        <v>0</v>
      </c>
      <c r="I241" s="2177">
        <v>90</v>
      </c>
      <c r="J241" s="1264">
        <f t="shared" si="35"/>
        <v>0</v>
      </c>
      <c r="K241" s="1273">
        <f t="shared" si="36"/>
        <v>0</v>
      </c>
      <c r="L241" s="1389"/>
      <c r="M241" s="1214"/>
      <c r="N241" s="1214"/>
      <c r="O241" s="1214"/>
    </row>
    <row r="242" spans="1:18" s="1199" customFormat="1" ht="24" customHeight="1">
      <c r="A242" s="1331"/>
      <c r="B242" s="2174" t="s">
        <v>1456</v>
      </c>
      <c r="C242" s="1202"/>
      <c r="D242" s="1202"/>
      <c r="E242" s="1387">
        <v>17</v>
      </c>
      <c r="F242" s="1207" t="s">
        <v>363</v>
      </c>
      <c r="G242" s="2176">
        <v>197</v>
      </c>
      <c r="H242" s="1264">
        <f t="shared" si="34"/>
        <v>3349</v>
      </c>
      <c r="I242" s="2177">
        <v>90</v>
      </c>
      <c r="J242" s="1264">
        <f t="shared" si="35"/>
        <v>1530</v>
      </c>
      <c r="K242" s="1273">
        <f t="shared" si="36"/>
        <v>4879</v>
      </c>
      <c r="L242" s="1389"/>
      <c r="M242" s="1214"/>
      <c r="N242" s="1214"/>
      <c r="O242" s="1214"/>
    </row>
    <row r="243" spans="1:18" s="1199" customFormat="1" ht="24" customHeight="1">
      <c r="A243" s="1331"/>
      <c r="B243" s="2174" t="s">
        <v>1457</v>
      </c>
      <c r="C243" s="1202"/>
      <c r="D243" s="1202"/>
      <c r="E243" s="1387"/>
      <c r="F243" s="1207" t="s">
        <v>363</v>
      </c>
      <c r="G243" s="2176">
        <v>1500</v>
      </c>
      <c r="H243" s="1264">
        <f t="shared" si="34"/>
        <v>0</v>
      </c>
      <c r="I243" s="2177">
        <v>265</v>
      </c>
      <c r="J243" s="1264">
        <f t="shared" si="35"/>
        <v>0</v>
      </c>
      <c r="K243" s="1385">
        <f t="shared" si="36"/>
        <v>0</v>
      </c>
      <c r="L243" s="1389"/>
      <c r="M243" s="1214"/>
      <c r="N243" s="1214"/>
      <c r="O243" s="1214"/>
    </row>
    <row r="244" spans="1:18" s="1199" customFormat="1" ht="24" customHeight="1">
      <c r="A244" s="1331"/>
      <c r="B244" s="2174" t="s">
        <v>1458</v>
      </c>
      <c r="C244" s="1202"/>
      <c r="D244" s="1202"/>
      <c r="E244" s="1387"/>
      <c r="F244" s="1207" t="s">
        <v>363</v>
      </c>
      <c r="G244" s="2176">
        <v>518</v>
      </c>
      <c r="H244" s="1264">
        <f t="shared" si="34"/>
        <v>0</v>
      </c>
      <c r="I244" s="2177">
        <v>115</v>
      </c>
      <c r="J244" s="1264">
        <f t="shared" si="35"/>
        <v>0</v>
      </c>
      <c r="K244" s="1273">
        <f t="shared" si="36"/>
        <v>0</v>
      </c>
      <c r="L244" s="1389"/>
      <c r="M244" s="1214"/>
      <c r="N244" s="1214"/>
      <c r="O244" s="1214"/>
    </row>
    <row r="245" spans="1:18" s="1199" customFormat="1" ht="24" customHeight="1">
      <c r="A245" s="1331"/>
      <c r="B245" s="2174" t="s">
        <v>1459</v>
      </c>
      <c r="C245" s="1202"/>
      <c r="D245" s="1202"/>
      <c r="E245" s="1387"/>
      <c r="F245" s="1207" t="s">
        <v>363</v>
      </c>
      <c r="G245" s="2176">
        <v>850</v>
      </c>
      <c r="H245" s="1264">
        <f t="shared" si="34"/>
        <v>0</v>
      </c>
      <c r="I245" s="2177">
        <v>265</v>
      </c>
      <c r="J245" s="1264">
        <f t="shared" si="35"/>
        <v>0</v>
      </c>
      <c r="K245" s="1273">
        <f t="shared" si="36"/>
        <v>0</v>
      </c>
      <c r="L245" s="1389"/>
      <c r="M245" s="1214"/>
      <c r="N245" s="1214"/>
      <c r="O245" s="1214"/>
    </row>
    <row r="246" spans="1:18" s="1199" customFormat="1" ht="24" customHeight="1">
      <c r="A246" s="1331"/>
      <c r="B246" s="1190" t="s">
        <v>1654</v>
      </c>
      <c r="C246" s="1202"/>
      <c r="D246" s="1202"/>
      <c r="E246" s="1387">
        <v>16</v>
      </c>
      <c r="F246" s="1194" t="s">
        <v>363</v>
      </c>
      <c r="G246" s="2176">
        <v>320</v>
      </c>
      <c r="H246" s="1264">
        <f>ROUND(E246*G246,)</f>
        <v>5120</v>
      </c>
      <c r="I246" s="2177">
        <v>200</v>
      </c>
      <c r="J246" s="1264">
        <f>ROUND(E246*I246,)</f>
        <v>3200</v>
      </c>
      <c r="K246" s="1273">
        <f>H246+J246</f>
        <v>8320</v>
      </c>
      <c r="L246" s="1385"/>
      <c r="M246" s="1214"/>
      <c r="N246" s="1214"/>
      <c r="O246" s="1214"/>
      <c r="P246" s="1214"/>
      <c r="Q246" s="1214"/>
    </row>
    <row r="247" spans="1:18" s="1199" customFormat="1" ht="24" customHeight="1">
      <c r="A247" s="1331" t="s">
        <v>1229</v>
      </c>
      <c r="B247" s="2174" t="s">
        <v>1460</v>
      </c>
      <c r="C247" s="1202"/>
      <c r="D247" s="1202"/>
      <c r="E247" s="1387">
        <v>22</v>
      </c>
      <c r="F247" s="1207" t="s">
        <v>363</v>
      </c>
      <c r="G247" s="2176">
        <v>130</v>
      </c>
      <c r="H247" s="1264">
        <f>ROUND(E247*G247,)</f>
        <v>2860</v>
      </c>
      <c r="I247" s="2177">
        <v>90</v>
      </c>
      <c r="J247" s="1264">
        <f>ROUND(E247*I247,)</f>
        <v>1980</v>
      </c>
      <c r="K247" s="1273">
        <f>H247+J247</f>
        <v>4840</v>
      </c>
      <c r="L247" s="1385"/>
      <c r="M247" s="1214"/>
      <c r="N247" s="1214"/>
      <c r="O247" s="1214"/>
      <c r="P247" s="1214"/>
    </row>
    <row r="248" spans="1:18" s="1199" customFormat="1" ht="24" customHeight="1">
      <c r="A248" s="1331"/>
      <c r="B248" s="2174" t="s">
        <v>1117</v>
      </c>
      <c r="C248" s="1202"/>
      <c r="D248" s="1202"/>
      <c r="E248" s="1387"/>
      <c r="F248" s="1384"/>
      <c r="G248" s="2176"/>
      <c r="H248" s="1388"/>
      <c r="I248" s="2177"/>
      <c r="J248" s="1385"/>
      <c r="K248" s="1385"/>
      <c r="L248" s="1385"/>
      <c r="M248" s="1214"/>
      <c r="N248" s="1214"/>
      <c r="O248" s="1214"/>
      <c r="P248" s="1214"/>
      <c r="Q248" s="1214"/>
      <c r="R248" s="1214"/>
    </row>
    <row r="249" spans="1:18" s="1199" customFormat="1" ht="24" customHeight="1">
      <c r="A249" s="1331"/>
      <c r="B249" s="2174" t="s">
        <v>1118</v>
      </c>
      <c r="C249" s="1202"/>
      <c r="D249" s="1202"/>
      <c r="E249" s="1387"/>
      <c r="F249" s="1384"/>
      <c r="G249" s="2176"/>
      <c r="H249" s="1388"/>
      <c r="I249" s="2177"/>
      <c r="J249" s="1385"/>
      <c r="K249" s="1385"/>
      <c r="L249" s="1385"/>
      <c r="M249" s="1214"/>
      <c r="N249" s="1214"/>
      <c r="O249" s="1214"/>
      <c r="P249" s="1214"/>
    </row>
    <row r="250" spans="1:18" s="1199" customFormat="1" ht="24" customHeight="1">
      <c r="A250" s="1243"/>
      <c r="B250" s="2257" t="str">
        <f>"รวมราคารายการที่ "&amp;A236</f>
        <v>รวมราคารายการที่ 3.6</v>
      </c>
      <c r="C250" s="2258"/>
      <c r="D250" s="2259"/>
      <c r="E250" s="1244"/>
      <c r="F250" s="1245"/>
      <c r="G250" s="1246"/>
      <c r="H250" s="1247">
        <f>SUM(H237:H248)</f>
        <v>14929</v>
      </c>
      <c r="I250" s="1246"/>
      <c r="J250" s="1247">
        <f>SUM(J237:J248)</f>
        <v>9910</v>
      </c>
      <c r="K250" s="1247">
        <f>SUM(K237:K248)</f>
        <v>24839</v>
      </c>
      <c r="L250" s="1245"/>
      <c r="M250" s="1214"/>
      <c r="N250" s="1214"/>
      <c r="O250" s="1214"/>
      <c r="P250" s="1214"/>
      <c r="Q250" s="1214"/>
      <c r="R250" s="1214"/>
    </row>
    <row r="251" spans="1:18" s="1199" customFormat="1" ht="24" customHeight="1">
      <c r="A251" s="1435" t="s">
        <v>1490</v>
      </c>
      <c r="B251" s="1450" t="s">
        <v>1347</v>
      </c>
      <c r="C251" s="1202"/>
      <c r="D251" s="1202"/>
      <c r="E251" s="1387"/>
      <c r="F251" s="1207"/>
      <c r="G251" s="2176"/>
      <c r="H251" s="1264"/>
      <c r="I251" s="2177"/>
      <c r="J251" s="1264"/>
      <c r="K251" s="1273"/>
      <c r="L251" s="1385"/>
      <c r="M251" s="1214"/>
      <c r="N251" s="1214"/>
      <c r="O251" s="1214"/>
      <c r="P251" s="1214"/>
      <c r="Q251" s="1214"/>
      <c r="R251" s="1214"/>
    </row>
    <row r="252" spans="1:18" s="1199" customFormat="1" ht="24" customHeight="1">
      <c r="A252" s="1331"/>
      <c r="B252" s="1451" t="s">
        <v>1462</v>
      </c>
      <c r="C252" s="1202"/>
      <c r="D252" s="1202"/>
      <c r="E252" s="1387"/>
      <c r="F252" s="1207"/>
      <c r="G252" s="2176"/>
      <c r="H252" s="1264"/>
      <c r="I252" s="2177"/>
      <c r="J252" s="1264"/>
      <c r="K252" s="1273"/>
      <c r="L252" s="1385"/>
      <c r="M252" s="1214"/>
      <c r="N252" s="1214"/>
      <c r="O252" s="1214"/>
      <c r="P252" s="1214"/>
      <c r="Q252" s="1214"/>
      <c r="R252" s="1214"/>
    </row>
    <row r="253" spans="1:18" s="1199" customFormat="1" ht="24" customHeight="1">
      <c r="A253" s="1331"/>
      <c r="B253" s="1451" t="s">
        <v>1655</v>
      </c>
      <c r="C253" s="1202"/>
      <c r="D253" s="1202"/>
      <c r="E253" s="1387">
        <v>1</v>
      </c>
      <c r="F253" s="1207" t="s">
        <v>363</v>
      </c>
      <c r="G253" s="2176">
        <f>72000+20280+5500</f>
        <v>97780</v>
      </c>
      <c r="H253" s="1264">
        <f>ROUND(E253*G253,)</f>
        <v>97780</v>
      </c>
      <c r="I253" s="2177">
        <f>G253*0.05</f>
        <v>4889</v>
      </c>
      <c r="J253" s="1264">
        <f>ROUND(E253*I253,)</f>
        <v>4889</v>
      </c>
      <c r="K253" s="1273">
        <f>H253+J253</f>
        <v>102669</v>
      </c>
      <c r="L253" s="1385"/>
      <c r="M253" s="1214"/>
      <c r="N253" s="1214"/>
      <c r="O253" s="1214"/>
      <c r="P253" s="1214"/>
      <c r="Q253" s="1214"/>
      <c r="R253" s="1214"/>
    </row>
    <row r="254" spans="1:18" s="1199" customFormat="1" ht="24" customHeight="1">
      <c r="A254" s="1331"/>
      <c r="B254" s="1451" t="s">
        <v>1656</v>
      </c>
      <c r="C254" s="1202"/>
      <c r="D254" s="1202"/>
      <c r="E254" s="1387">
        <v>1</v>
      </c>
      <c r="F254" s="1207" t="s">
        <v>363</v>
      </c>
      <c r="G254" s="2176">
        <f>19400+16000+7000</f>
        <v>42400</v>
      </c>
      <c r="H254" s="1264">
        <f>ROUND(E254*G254,)</f>
        <v>42400</v>
      </c>
      <c r="I254" s="2177">
        <f>G254*0.05</f>
        <v>2120</v>
      </c>
      <c r="J254" s="1264">
        <f>ROUND(E254*I254,)</f>
        <v>2120</v>
      </c>
      <c r="K254" s="1273">
        <f>H254+J254</f>
        <v>44520</v>
      </c>
      <c r="L254" s="1385"/>
      <c r="M254" s="1214"/>
      <c r="N254" s="1214"/>
      <c r="O254" s="1214"/>
      <c r="P254" s="1214"/>
      <c r="Q254" s="1214"/>
      <c r="R254" s="1214"/>
    </row>
    <row r="255" spans="1:18" s="1199" customFormat="1" ht="24" customHeight="1">
      <c r="A255" s="1331"/>
      <c r="B255" s="1451" t="s">
        <v>1117</v>
      </c>
      <c r="C255" s="1202"/>
      <c r="D255" s="1202"/>
      <c r="E255" s="1387"/>
      <c r="F255" s="1384"/>
      <c r="G255" s="2176"/>
      <c r="H255" s="1388"/>
      <c r="I255" s="2177"/>
      <c r="J255" s="1385"/>
      <c r="K255" s="1385"/>
      <c r="L255" s="1385"/>
      <c r="M255" s="1214"/>
      <c r="N255" s="1214"/>
      <c r="O255" s="1214"/>
      <c r="P255" s="1214"/>
      <c r="Q255" s="1214"/>
      <c r="R255" s="1214"/>
    </row>
    <row r="256" spans="1:18" s="1199" customFormat="1" ht="24" customHeight="1">
      <c r="A256" s="1331"/>
      <c r="B256" s="1451" t="s">
        <v>1118</v>
      </c>
      <c r="C256" s="1202"/>
      <c r="D256" s="1202"/>
      <c r="E256" s="1387"/>
      <c r="F256" s="1384"/>
      <c r="G256" s="2176"/>
      <c r="H256" s="1388"/>
      <c r="I256" s="2177"/>
      <c r="J256" s="1385"/>
      <c r="K256" s="1385"/>
      <c r="L256" s="1385"/>
      <c r="M256" s="1214"/>
      <c r="N256" s="1214"/>
      <c r="O256" s="1214"/>
      <c r="P256" s="1214"/>
      <c r="Q256" s="1214"/>
      <c r="R256" s="1214"/>
    </row>
    <row r="257" spans="1:18" s="1199" customFormat="1" ht="24" customHeight="1">
      <c r="A257" s="1243"/>
      <c r="B257" s="2257" t="str">
        <f>"รวมราคารายการที่ "&amp;A251</f>
        <v>รวมราคารายการที่ 3.7</v>
      </c>
      <c r="C257" s="2258"/>
      <c r="D257" s="2259"/>
      <c r="E257" s="1244"/>
      <c r="F257" s="1245"/>
      <c r="G257" s="1246"/>
      <c r="H257" s="1247">
        <f>SUM(H252:H256)</f>
        <v>140180</v>
      </c>
      <c r="I257" s="1246"/>
      <c r="J257" s="1247">
        <f t="shared" ref="J257:K257" si="37">SUM(J252:J256)</f>
        <v>7009</v>
      </c>
      <c r="K257" s="1247">
        <f t="shared" si="37"/>
        <v>147189</v>
      </c>
      <c r="L257" s="1245"/>
      <c r="M257" s="1214"/>
      <c r="N257" s="1214"/>
      <c r="O257" s="1214"/>
      <c r="P257" s="1214"/>
      <c r="Q257" s="1214"/>
      <c r="R257" s="1214"/>
    </row>
    <row r="258" spans="1:18" s="1199" customFormat="1" ht="24" customHeight="1">
      <c r="A258" s="1435" t="s">
        <v>1290</v>
      </c>
      <c r="B258" s="1436" t="s">
        <v>1466</v>
      </c>
      <c r="C258" s="1202"/>
      <c r="D258" s="1202"/>
      <c r="E258" s="1387"/>
      <c r="F258" s="1207"/>
      <c r="G258" s="2176"/>
      <c r="H258" s="1264"/>
      <c r="I258" s="2177"/>
      <c r="J258" s="1264"/>
      <c r="K258" s="1273"/>
      <c r="L258" s="1385"/>
      <c r="M258" s="1214"/>
      <c r="N258" s="1214"/>
      <c r="O258" s="1214"/>
      <c r="P258" s="1214"/>
      <c r="Q258" s="1214"/>
      <c r="R258" s="1214"/>
    </row>
    <row r="259" spans="1:18" s="1199" customFormat="1" ht="24" customHeight="1">
      <c r="A259" s="1339"/>
      <c r="B259" s="1259" t="s">
        <v>1467</v>
      </c>
      <c r="C259" s="1202"/>
      <c r="D259" s="1202"/>
      <c r="E259" s="1404">
        <v>136</v>
      </c>
      <c r="F259" s="1267" t="s">
        <v>363</v>
      </c>
      <c r="G259" s="1386">
        <v>420</v>
      </c>
      <c r="H259" s="1343">
        <f t="shared" ref="H259:H282" si="38">ROUND(E259*G259,)</f>
        <v>57120</v>
      </c>
      <c r="I259" s="1414">
        <v>115</v>
      </c>
      <c r="J259" s="1343">
        <f t="shared" ref="J259:J282" si="39">ROUND(E259*I259,)</f>
        <v>15640</v>
      </c>
      <c r="K259" s="1262">
        <f t="shared" ref="K259:K282" si="40">H259+J259</f>
        <v>72760</v>
      </c>
      <c r="L259" s="1415"/>
      <c r="M259" s="1214"/>
      <c r="N259" s="1214"/>
      <c r="O259" s="1214"/>
      <c r="P259" s="1214"/>
    </row>
    <row r="260" spans="1:18" s="1199" customFormat="1" ht="24" customHeight="1">
      <c r="A260" s="1339"/>
      <c r="B260" s="1259" t="s">
        <v>1468</v>
      </c>
      <c r="C260" s="1202"/>
      <c r="D260" s="1202"/>
      <c r="E260" s="1404">
        <v>30</v>
      </c>
      <c r="F260" s="1267" t="s">
        <v>363</v>
      </c>
      <c r="G260" s="1386">
        <v>500</v>
      </c>
      <c r="H260" s="1343">
        <f t="shared" si="38"/>
        <v>15000</v>
      </c>
      <c r="I260" s="1414">
        <v>115</v>
      </c>
      <c r="J260" s="1343">
        <f t="shared" si="39"/>
        <v>3450</v>
      </c>
      <c r="K260" s="1262">
        <f t="shared" si="40"/>
        <v>18450</v>
      </c>
      <c r="L260" s="1415"/>
      <c r="M260" s="1214"/>
      <c r="N260" s="1214"/>
      <c r="O260" s="1214"/>
      <c r="P260" s="1214"/>
    </row>
    <row r="261" spans="1:18" s="1199" customFormat="1" ht="24" customHeight="1">
      <c r="A261" s="1339"/>
      <c r="B261" s="1259" t="s">
        <v>1469</v>
      </c>
      <c r="C261" s="1202"/>
      <c r="D261" s="1202"/>
      <c r="E261" s="1404">
        <v>104</v>
      </c>
      <c r="F261" s="1267" t="s">
        <v>363</v>
      </c>
      <c r="G261" s="1386">
        <v>550</v>
      </c>
      <c r="H261" s="1343">
        <f t="shared" si="38"/>
        <v>57200</v>
      </c>
      <c r="I261" s="1414">
        <v>115</v>
      </c>
      <c r="J261" s="1343">
        <f t="shared" si="39"/>
        <v>11960</v>
      </c>
      <c r="K261" s="1262">
        <f t="shared" si="40"/>
        <v>69160</v>
      </c>
      <c r="L261" s="1415"/>
      <c r="M261" s="1214"/>
      <c r="N261" s="1214"/>
      <c r="O261" s="1214"/>
      <c r="P261" s="1214"/>
    </row>
    <row r="262" spans="1:18" s="1199" customFormat="1" ht="24" customHeight="1">
      <c r="A262" s="1339"/>
      <c r="B262" s="1259" t="s">
        <v>1470</v>
      </c>
      <c r="C262" s="1202"/>
      <c r="D262" s="1202"/>
      <c r="E262" s="1404"/>
      <c r="F262" s="1267" t="s">
        <v>363</v>
      </c>
      <c r="G262" s="1386">
        <v>750</v>
      </c>
      <c r="H262" s="1343">
        <f t="shared" si="38"/>
        <v>0</v>
      </c>
      <c r="I262" s="1414">
        <v>135</v>
      </c>
      <c r="J262" s="1343">
        <f t="shared" si="39"/>
        <v>0</v>
      </c>
      <c r="K262" s="1262">
        <f t="shared" si="40"/>
        <v>0</v>
      </c>
      <c r="L262" s="1415"/>
      <c r="M262" s="1214"/>
      <c r="N262" s="1214"/>
      <c r="O262" s="1214"/>
      <c r="P262" s="1214"/>
    </row>
    <row r="263" spans="1:18" s="1199" customFormat="1" ht="24" customHeight="1">
      <c r="A263" s="1339"/>
      <c r="B263" s="1259" t="s">
        <v>1471</v>
      </c>
      <c r="C263" s="1202"/>
      <c r="D263" s="1202"/>
      <c r="E263" s="1404"/>
      <c r="F263" s="1267" t="s">
        <v>363</v>
      </c>
      <c r="G263" s="1386">
        <v>1550</v>
      </c>
      <c r="H263" s="1343">
        <f t="shared" si="38"/>
        <v>0</v>
      </c>
      <c r="I263" s="1414">
        <v>135</v>
      </c>
      <c r="J263" s="1343">
        <f t="shared" si="39"/>
        <v>0</v>
      </c>
      <c r="K263" s="1262">
        <f t="shared" si="40"/>
        <v>0</v>
      </c>
      <c r="L263" s="1415"/>
      <c r="M263" s="1214"/>
      <c r="N263" s="1214"/>
      <c r="O263" s="1214"/>
      <c r="P263" s="1214"/>
    </row>
    <row r="264" spans="1:18" s="1199" customFormat="1" ht="24" customHeight="1">
      <c r="A264" s="1339"/>
      <c r="B264" s="1259" t="s">
        <v>1472</v>
      </c>
      <c r="C264" s="1202"/>
      <c r="D264" s="1202"/>
      <c r="E264" s="1404"/>
      <c r="F264" s="1267" t="s">
        <v>363</v>
      </c>
      <c r="G264" s="1386">
        <v>2090</v>
      </c>
      <c r="H264" s="1343">
        <f t="shared" si="38"/>
        <v>0</v>
      </c>
      <c r="I264" s="1414">
        <v>135</v>
      </c>
      <c r="J264" s="1343">
        <f t="shared" si="39"/>
        <v>0</v>
      </c>
      <c r="K264" s="1262">
        <f t="shared" si="40"/>
        <v>0</v>
      </c>
      <c r="L264" s="1415"/>
      <c r="M264" s="1214"/>
      <c r="N264" s="1214"/>
      <c r="O264" s="1214"/>
      <c r="P264" s="1214"/>
    </row>
    <row r="265" spans="1:18" s="1199" customFormat="1" ht="24" customHeight="1">
      <c r="A265" s="1339"/>
      <c r="B265" s="1259" t="s">
        <v>1473</v>
      </c>
      <c r="C265" s="1202"/>
      <c r="D265" s="1202"/>
      <c r="E265" s="1404"/>
      <c r="F265" s="1267" t="s">
        <v>363</v>
      </c>
      <c r="G265" s="1386">
        <v>3750</v>
      </c>
      <c r="H265" s="1343">
        <f t="shared" si="38"/>
        <v>0</v>
      </c>
      <c r="I265" s="1414">
        <v>135</v>
      </c>
      <c r="J265" s="1343">
        <f t="shared" si="39"/>
        <v>0</v>
      </c>
      <c r="K265" s="1262">
        <f t="shared" si="40"/>
        <v>0</v>
      </c>
      <c r="L265" s="1415"/>
      <c r="M265" s="1214"/>
      <c r="N265" s="1214"/>
      <c r="O265" s="1214"/>
      <c r="P265" s="1214"/>
    </row>
    <row r="266" spans="1:18" s="1199" customFormat="1" ht="24" customHeight="1">
      <c r="A266" s="1339"/>
      <c r="B266" s="1259" t="s">
        <v>1474</v>
      </c>
      <c r="C266" s="1202"/>
      <c r="D266" s="1202"/>
      <c r="E266" s="1404"/>
      <c r="F266" s="1267" t="s">
        <v>363</v>
      </c>
      <c r="G266" s="1386">
        <v>2450</v>
      </c>
      <c r="H266" s="1343">
        <f t="shared" si="38"/>
        <v>0</v>
      </c>
      <c r="I266" s="1414">
        <v>135</v>
      </c>
      <c r="J266" s="1343">
        <f t="shared" si="39"/>
        <v>0</v>
      </c>
      <c r="K266" s="1262">
        <f t="shared" si="40"/>
        <v>0</v>
      </c>
      <c r="L266" s="1415"/>
      <c r="M266" s="1214"/>
      <c r="N266" s="1214"/>
      <c r="O266" s="1214"/>
      <c r="P266" s="1214"/>
    </row>
    <row r="267" spans="1:18" s="1199" customFormat="1" ht="24" customHeight="1">
      <c r="A267" s="1339"/>
      <c r="B267" s="1259" t="s">
        <v>1475</v>
      </c>
      <c r="C267" s="1202"/>
      <c r="D267" s="1202"/>
      <c r="E267" s="1404"/>
      <c r="F267" s="1267" t="s">
        <v>363</v>
      </c>
      <c r="G267" s="1386">
        <v>1860</v>
      </c>
      <c r="H267" s="1343">
        <f t="shared" si="38"/>
        <v>0</v>
      </c>
      <c r="I267" s="1414">
        <v>135</v>
      </c>
      <c r="J267" s="1343">
        <f t="shared" si="39"/>
        <v>0</v>
      </c>
      <c r="K267" s="1262">
        <f t="shared" si="40"/>
        <v>0</v>
      </c>
      <c r="L267" s="1415"/>
      <c r="M267" s="1214"/>
      <c r="N267" s="1214"/>
      <c r="O267" s="1214"/>
      <c r="P267" s="1214"/>
    </row>
    <row r="268" spans="1:18" s="1199" customFormat="1" ht="24" customHeight="1">
      <c r="A268" s="1339"/>
      <c r="B268" s="1259" t="s">
        <v>1476</v>
      </c>
      <c r="C268" s="1202"/>
      <c r="D268" s="1202"/>
      <c r="E268" s="1404"/>
      <c r="F268" s="1267" t="s">
        <v>363</v>
      </c>
      <c r="G268" s="1386">
        <v>1200</v>
      </c>
      <c r="H268" s="1343">
        <f t="shared" si="38"/>
        <v>0</v>
      </c>
      <c r="I268" s="1414">
        <v>135</v>
      </c>
      <c r="J268" s="1343">
        <f t="shared" si="39"/>
        <v>0</v>
      </c>
      <c r="K268" s="1262">
        <f t="shared" si="40"/>
        <v>0</v>
      </c>
      <c r="L268" s="1415"/>
      <c r="M268" s="1214"/>
      <c r="N268" s="1214"/>
      <c r="O268" s="1214"/>
      <c r="P268" s="1214"/>
    </row>
    <row r="269" spans="1:18" s="1199" customFormat="1" ht="24" customHeight="1">
      <c r="A269" s="1339"/>
      <c r="B269" s="1259" t="s">
        <v>1477</v>
      </c>
      <c r="C269" s="1202"/>
      <c r="D269" s="1202"/>
      <c r="E269" s="1404"/>
      <c r="F269" s="1267" t="s">
        <v>363</v>
      </c>
      <c r="G269" s="1386">
        <v>1450</v>
      </c>
      <c r="H269" s="1343">
        <f t="shared" si="38"/>
        <v>0</v>
      </c>
      <c r="I269" s="1414">
        <v>135</v>
      </c>
      <c r="J269" s="1343">
        <f t="shared" si="39"/>
        <v>0</v>
      </c>
      <c r="K269" s="1262">
        <f t="shared" si="40"/>
        <v>0</v>
      </c>
      <c r="L269" s="1415"/>
      <c r="M269" s="1214"/>
      <c r="N269" s="1214"/>
      <c r="O269" s="1214"/>
      <c r="P269" s="1214"/>
    </row>
    <row r="270" spans="1:18" s="1199" customFormat="1" ht="24" customHeight="1">
      <c r="A270" s="1339"/>
      <c r="B270" s="1259" t="s">
        <v>1478</v>
      </c>
      <c r="C270" s="1202"/>
      <c r="D270" s="1202"/>
      <c r="E270" s="1404"/>
      <c r="F270" s="1267" t="s">
        <v>363</v>
      </c>
      <c r="G270" s="1386">
        <v>1250</v>
      </c>
      <c r="H270" s="1343">
        <f t="shared" si="38"/>
        <v>0</v>
      </c>
      <c r="I270" s="1414">
        <v>135</v>
      </c>
      <c r="J270" s="1343">
        <f t="shared" si="39"/>
        <v>0</v>
      </c>
      <c r="K270" s="1262">
        <f t="shared" si="40"/>
        <v>0</v>
      </c>
      <c r="L270" s="1415"/>
      <c r="M270" s="1214"/>
      <c r="N270" s="1214"/>
      <c r="O270" s="1214"/>
      <c r="P270" s="1214"/>
    </row>
    <row r="271" spans="1:18" s="1199" customFormat="1" ht="24" customHeight="1">
      <c r="A271" s="1339"/>
      <c r="B271" s="1259" t="s">
        <v>1479</v>
      </c>
      <c r="C271" s="1202"/>
      <c r="D271" s="1202"/>
      <c r="E271" s="1404"/>
      <c r="F271" s="1267" t="s">
        <v>363</v>
      </c>
      <c r="G271" s="1386">
        <v>650</v>
      </c>
      <c r="H271" s="1343">
        <f t="shared" si="38"/>
        <v>0</v>
      </c>
      <c r="I271" s="1414">
        <v>20</v>
      </c>
      <c r="J271" s="1343">
        <f t="shared" si="39"/>
        <v>0</v>
      </c>
      <c r="K271" s="1262">
        <f t="shared" si="40"/>
        <v>0</v>
      </c>
      <c r="L271" s="1415"/>
      <c r="M271" s="1214"/>
      <c r="N271" s="1214"/>
      <c r="O271" s="1214"/>
      <c r="P271" s="1214"/>
    </row>
    <row r="272" spans="1:18" s="1199" customFormat="1" ht="24" customHeight="1">
      <c r="A272" s="1339"/>
      <c r="B272" s="1259" t="s">
        <v>1480</v>
      </c>
      <c r="C272" s="1202"/>
      <c r="D272" s="1202"/>
      <c r="E272" s="1404"/>
      <c r="F272" s="1267" t="s">
        <v>363</v>
      </c>
      <c r="G272" s="1386">
        <v>2565</v>
      </c>
      <c r="H272" s="1343">
        <f t="shared" si="38"/>
        <v>0</v>
      </c>
      <c r="I272" s="1414">
        <v>135</v>
      </c>
      <c r="J272" s="1343">
        <f t="shared" si="39"/>
        <v>0</v>
      </c>
      <c r="K272" s="1262">
        <f t="shared" si="40"/>
        <v>0</v>
      </c>
      <c r="L272" s="1415"/>
      <c r="M272" s="1214"/>
      <c r="N272" s="1214"/>
      <c r="O272" s="1214"/>
      <c r="P272" s="1214"/>
    </row>
    <row r="273" spans="1:18" s="1199" customFormat="1" ht="24" customHeight="1">
      <c r="A273" s="1339"/>
      <c r="B273" s="1259" t="s">
        <v>1481</v>
      </c>
      <c r="C273" s="1202"/>
      <c r="D273" s="1202"/>
      <c r="E273" s="1404"/>
      <c r="F273" s="1267" t="s">
        <v>363</v>
      </c>
      <c r="G273" s="1386">
        <v>1200</v>
      </c>
      <c r="H273" s="1343">
        <f t="shared" si="38"/>
        <v>0</v>
      </c>
      <c r="I273" s="1414">
        <v>135</v>
      </c>
      <c r="J273" s="1343">
        <f t="shared" si="39"/>
        <v>0</v>
      </c>
      <c r="K273" s="1262">
        <f t="shared" si="40"/>
        <v>0</v>
      </c>
      <c r="L273" s="1415"/>
      <c r="M273" s="1214"/>
      <c r="N273" s="1214"/>
      <c r="O273" s="1214"/>
      <c r="P273" s="1214"/>
    </row>
    <row r="274" spans="1:18" s="1199" customFormat="1" ht="24" customHeight="1">
      <c r="A274" s="1339"/>
      <c r="B274" s="1259" t="s">
        <v>1482</v>
      </c>
      <c r="C274" s="1202"/>
      <c r="D274" s="1202"/>
      <c r="E274" s="1404"/>
      <c r="F274" s="1267" t="s">
        <v>363</v>
      </c>
      <c r="G274" s="1386">
        <v>1200</v>
      </c>
      <c r="H274" s="1343">
        <f t="shared" si="38"/>
        <v>0</v>
      </c>
      <c r="I274" s="1414">
        <v>135</v>
      </c>
      <c r="J274" s="1343">
        <f t="shared" si="39"/>
        <v>0</v>
      </c>
      <c r="K274" s="1262">
        <f t="shared" si="40"/>
        <v>0</v>
      </c>
      <c r="L274" s="1415"/>
      <c r="M274" s="1214"/>
      <c r="N274" s="1214"/>
      <c r="O274" s="1214"/>
      <c r="P274" s="1214"/>
    </row>
    <row r="275" spans="1:18" s="1199" customFormat="1" ht="24" customHeight="1">
      <c r="A275" s="1339"/>
      <c r="B275" s="1259" t="s">
        <v>1483</v>
      </c>
      <c r="C275" s="1202"/>
      <c r="D275" s="1202"/>
      <c r="E275" s="1404"/>
      <c r="F275" s="1267" t="s">
        <v>363</v>
      </c>
      <c r="G275" s="1386">
        <v>1860</v>
      </c>
      <c r="H275" s="1343">
        <f t="shared" si="38"/>
        <v>0</v>
      </c>
      <c r="I275" s="1414">
        <v>135</v>
      </c>
      <c r="J275" s="1343">
        <f t="shared" si="39"/>
        <v>0</v>
      </c>
      <c r="K275" s="1262">
        <f t="shared" si="40"/>
        <v>0</v>
      </c>
      <c r="L275" s="1415"/>
      <c r="M275" s="1214"/>
      <c r="N275" s="1214"/>
      <c r="O275" s="1214"/>
      <c r="P275" s="1214"/>
    </row>
    <row r="276" spans="1:18" s="1199" customFormat="1" ht="24" customHeight="1">
      <c r="A276" s="1339"/>
      <c r="B276" s="1259" t="s">
        <v>1484</v>
      </c>
      <c r="C276" s="1202"/>
      <c r="D276" s="1202"/>
      <c r="E276" s="1404"/>
      <c r="F276" s="1267" t="s">
        <v>363</v>
      </c>
      <c r="G276" s="1386">
        <v>1200</v>
      </c>
      <c r="H276" s="1343">
        <f t="shared" si="38"/>
        <v>0</v>
      </c>
      <c r="I276" s="1414">
        <v>135</v>
      </c>
      <c r="J276" s="1343">
        <f t="shared" si="39"/>
        <v>0</v>
      </c>
      <c r="K276" s="1262">
        <f t="shared" si="40"/>
        <v>0</v>
      </c>
      <c r="L276" s="1415"/>
      <c r="M276" s="1214"/>
      <c r="N276" s="1214"/>
      <c r="O276" s="1214"/>
      <c r="P276" s="1214"/>
    </row>
    <row r="277" spans="1:18" s="1199" customFormat="1" ht="24" customHeight="1">
      <c r="A277" s="1339"/>
      <c r="B277" s="1259" t="s">
        <v>1485</v>
      </c>
      <c r="C277" s="1202"/>
      <c r="D277" s="1202"/>
      <c r="E277" s="1404"/>
      <c r="F277" s="1267" t="s">
        <v>363</v>
      </c>
      <c r="G277" s="1386">
        <v>1200</v>
      </c>
      <c r="H277" s="1343">
        <f t="shared" si="38"/>
        <v>0</v>
      </c>
      <c r="I277" s="1414">
        <v>135</v>
      </c>
      <c r="J277" s="1343">
        <f t="shared" si="39"/>
        <v>0</v>
      </c>
      <c r="K277" s="1262">
        <f t="shared" si="40"/>
        <v>0</v>
      </c>
      <c r="L277" s="1415"/>
      <c r="M277" s="1214"/>
      <c r="N277" s="1214"/>
      <c r="O277" s="1214"/>
      <c r="P277" s="1214"/>
    </row>
    <row r="278" spans="1:18" s="1199" customFormat="1" ht="24" customHeight="1">
      <c r="A278" s="1339"/>
      <c r="B278" s="1259" t="s">
        <v>1486</v>
      </c>
      <c r="C278" s="1202"/>
      <c r="D278" s="1202"/>
      <c r="E278" s="1404">
        <v>26</v>
      </c>
      <c r="F278" s="1267" t="s">
        <v>363</v>
      </c>
      <c r="G278" s="1386">
        <v>1830</v>
      </c>
      <c r="H278" s="1343">
        <f t="shared" si="38"/>
        <v>47580</v>
      </c>
      <c r="I278" s="1414">
        <v>500</v>
      </c>
      <c r="J278" s="1343">
        <f t="shared" si="39"/>
        <v>13000</v>
      </c>
      <c r="K278" s="1262">
        <f t="shared" si="40"/>
        <v>60580</v>
      </c>
      <c r="L278" s="1415"/>
      <c r="M278" s="1214"/>
      <c r="N278" s="1214"/>
      <c r="O278" s="1214"/>
      <c r="P278" s="1214"/>
      <c r="Q278" s="1214"/>
    </row>
    <row r="279" spans="1:18" s="1199" customFormat="1" ht="24" customHeight="1">
      <c r="A279" s="1339"/>
      <c r="B279" s="1259" t="s">
        <v>1487</v>
      </c>
      <c r="C279" s="1202"/>
      <c r="D279" s="1202"/>
      <c r="E279" s="1404">
        <v>4</v>
      </c>
      <c r="F279" s="1267" t="s">
        <v>363</v>
      </c>
      <c r="G279" s="1386">
        <v>1620</v>
      </c>
      <c r="H279" s="1343">
        <f t="shared" si="38"/>
        <v>6480</v>
      </c>
      <c r="I279" s="1414">
        <v>500</v>
      </c>
      <c r="J279" s="1343">
        <f t="shared" si="39"/>
        <v>2000</v>
      </c>
      <c r="K279" s="1262">
        <f t="shared" si="40"/>
        <v>8480</v>
      </c>
      <c r="L279" s="1415"/>
      <c r="M279" s="1214"/>
      <c r="N279" s="1214"/>
      <c r="O279" s="1214"/>
      <c r="P279" s="1214"/>
      <c r="Q279" s="1214"/>
    </row>
    <row r="280" spans="1:18" s="1199" customFormat="1" ht="24" customHeight="1">
      <c r="A280" s="1339"/>
      <c r="B280" s="1259" t="s">
        <v>1488</v>
      </c>
      <c r="C280" s="1202"/>
      <c r="D280" s="1202"/>
      <c r="E280" s="1404">
        <v>21</v>
      </c>
      <c r="F280" s="1267" t="s">
        <v>363</v>
      </c>
      <c r="G280" s="1386">
        <v>920</v>
      </c>
      <c r="H280" s="1343">
        <f t="shared" si="38"/>
        <v>19320</v>
      </c>
      <c r="I280" s="1414">
        <v>250</v>
      </c>
      <c r="J280" s="1343">
        <f t="shared" si="39"/>
        <v>5250</v>
      </c>
      <c r="K280" s="1262">
        <f t="shared" si="40"/>
        <v>24570</v>
      </c>
      <c r="L280" s="1415"/>
      <c r="M280" s="1214"/>
      <c r="N280" s="1214"/>
      <c r="O280" s="1214"/>
      <c r="P280" s="1214"/>
      <c r="Q280" s="1214"/>
    </row>
    <row r="281" spans="1:18" s="1199" customFormat="1" ht="24" customHeight="1">
      <c r="A281" s="1339"/>
      <c r="B281" s="1259" t="s">
        <v>1489</v>
      </c>
      <c r="C281" s="1202"/>
      <c r="D281" s="1202"/>
      <c r="E281" s="1404">
        <v>2</v>
      </c>
      <c r="F281" s="1267" t="s">
        <v>363</v>
      </c>
      <c r="G281" s="1386">
        <v>2180</v>
      </c>
      <c r="H281" s="1343">
        <f t="shared" si="38"/>
        <v>4360</v>
      </c>
      <c r="I281" s="1414">
        <v>500</v>
      </c>
      <c r="J281" s="1343">
        <f t="shared" si="39"/>
        <v>1000</v>
      </c>
      <c r="K281" s="1262">
        <f t="shared" si="40"/>
        <v>5360</v>
      </c>
      <c r="L281" s="1415"/>
      <c r="M281" s="1214"/>
      <c r="N281" s="1214"/>
      <c r="O281" s="1214"/>
      <c r="P281" s="1214"/>
    </row>
    <row r="282" spans="1:18" s="1199" customFormat="1" ht="24" customHeight="1">
      <c r="A282" s="1331"/>
      <c r="B282" s="2174" t="s">
        <v>1444</v>
      </c>
      <c r="C282" s="1202"/>
      <c r="D282" s="1202"/>
      <c r="E282" s="1387">
        <v>1</v>
      </c>
      <c r="F282" s="1207" t="s">
        <v>1104</v>
      </c>
      <c r="G282" s="2176">
        <f>SUM(H259:H281)*5%</f>
        <v>10353</v>
      </c>
      <c r="H282" s="1264">
        <f t="shared" si="38"/>
        <v>10353</v>
      </c>
      <c r="I282" s="1414">
        <f>ROUND(G282*0.3,)</f>
        <v>3106</v>
      </c>
      <c r="J282" s="1264">
        <f t="shared" si="39"/>
        <v>3106</v>
      </c>
      <c r="K282" s="1273">
        <f t="shared" si="40"/>
        <v>13459</v>
      </c>
      <c r="L282" s="1385"/>
      <c r="M282" s="1214"/>
      <c r="N282" s="1214"/>
      <c r="O282" s="1214"/>
      <c r="P282" s="1214"/>
      <c r="Q282" s="1214"/>
      <c r="R282" s="1214"/>
    </row>
    <row r="283" spans="1:18" s="1199" customFormat="1" ht="24" customHeight="1">
      <c r="A283" s="1331"/>
      <c r="B283" s="2174" t="s">
        <v>1117</v>
      </c>
      <c r="C283" s="1202"/>
      <c r="D283" s="1202"/>
      <c r="E283" s="1387"/>
      <c r="F283" s="1207"/>
      <c r="G283" s="2176"/>
      <c r="H283" s="1388"/>
      <c r="I283" s="2177"/>
      <c r="J283" s="1385"/>
      <c r="K283" s="1385"/>
      <c r="L283" s="1385"/>
      <c r="M283" s="1214"/>
      <c r="N283" s="1214"/>
      <c r="O283" s="1214"/>
      <c r="P283" s="1214"/>
      <c r="Q283" s="1214"/>
      <c r="R283" s="1214"/>
    </row>
    <row r="284" spans="1:18" s="1199" customFormat="1" ht="24" customHeight="1">
      <c r="A284" s="1331"/>
      <c r="B284" s="2174" t="s">
        <v>1369</v>
      </c>
      <c r="C284" s="1202"/>
      <c r="D284" s="1202"/>
      <c r="E284" s="1387"/>
      <c r="F284" s="1207"/>
      <c r="G284" s="2176"/>
      <c r="H284" s="1388"/>
      <c r="I284" s="2177"/>
      <c r="J284" s="1385"/>
      <c r="K284" s="1385"/>
      <c r="L284" s="1385"/>
      <c r="M284" s="1214"/>
      <c r="N284" s="1214"/>
      <c r="O284" s="1214"/>
      <c r="P284" s="1214"/>
      <c r="Q284" s="1214"/>
      <c r="R284" s="1214"/>
    </row>
    <row r="285" spans="1:18" s="1199" customFormat="1" ht="24" customHeight="1">
      <c r="A285" s="1331"/>
      <c r="B285" s="2174" t="s">
        <v>1369</v>
      </c>
      <c r="C285" s="1202"/>
      <c r="D285" s="1202"/>
      <c r="E285" s="1387"/>
      <c r="F285" s="1384"/>
      <c r="G285" s="2176"/>
      <c r="H285" s="1388"/>
      <c r="I285" s="2177"/>
      <c r="J285" s="1385"/>
      <c r="K285" s="1385"/>
      <c r="L285" s="1385"/>
      <c r="M285" s="1214"/>
      <c r="N285" s="1214"/>
      <c r="O285" s="1214"/>
      <c r="P285" s="1214"/>
      <c r="Q285" s="1214"/>
      <c r="R285" s="1214"/>
    </row>
    <row r="286" spans="1:18" s="1199" customFormat="1" ht="24" customHeight="1">
      <c r="A286" s="1243"/>
      <c r="B286" s="2257" t="str">
        <f>"รวมราคารายการที่ "&amp;A258</f>
        <v>รวมราคารายการที่ 3.8</v>
      </c>
      <c r="C286" s="2258"/>
      <c r="D286" s="2259"/>
      <c r="E286" s="1244"/>
      <c r="F286" s="1245"/>
      <c r="G286" s="1246"/>
      <c r="H286" s="1247">
        <f>SUM(H259:H285)</f>
        <v>217413</v>
      </c>
      <c r="I286" s="1246"/>
      <c r="J286" s="1247">
        <f>SUM(J259:J285)</f>
        <v>55406</v>
      </c>
      <c r="K286" s="1247">
        <f>SUM(K259:K285)</f>
        <v>272819</v>
      </c>
      <c r="L286" s="1245"/>
      <c r="M286" s="1214"/>
      <c r="N286" s="1214"/>
      <c r="O286" s="1214"/>
      <c r="P286" s="1214"/>
      <c r="Q286" s="1214"/>
      <c r="R286" s="1214"/>
    </row>
    <row r="287" spans="1:18" s="1199" customFormat="1" ht="24" customHeight="1">
      <c r="A287" s="1381">
        <v>3.9</v>
      </c>
      <c r="B287" s="1292" t="s">
        <v>1371</v>
      </c>
      <c r="C287" s="1235"/>
      <c r="D287" s="1235"/>
      <c r="E287" s="1397"/>
      <c r="F287" s="1398"/>
      <c r="G287" s="1399"/>
      <c r="H287" s="1400"/>
      <c r="I287" s="1401"/>
      <c r="J287" s="1402"/>
      <c r="K287" s="1402"/>
      <c r="L287" s="1402"/>
      <c r="M287" s="1214"/>
      <c r="N287" s="1214"/>
      <c r="O287" s="1214"/>
      <c r="P287" s="1214"/>
      <c r="Q287" s="1214"/>
      <c r="R287" s="1214"/>
    </row>
    <row r="288" spans="1:18" s="1199" customFormat="1" ht="24" customHeight="1">
      <c r="A288" s="1406" t="s">
        <v>1313</v>
      </c>
      <c r="B288" s="2174" t="s">
        <v>1492</v>
      </c>
      <c r="C288" s="1202"/>
      <c r="D288" s="1202"/>
      <c r="E288" s="1387">
        <v>4</v>
      </c>
      <c r="F288" s="1207" t="s">
        <v>363</v>
      </c>
      <c r="G288" s="2176">
        <v>1850</v>
      </c>
      <c r="H288" s="1264">
        <f t="shared" ref="H288:H310" si="41">ROUND(E288*G288,)</f>
        <v>7400</v>
      </c>
      <c r="I288" s="2177">
        <v>250</v>
      </c>
      <c r="J288" s="1264">
        <f t="shared" ref="J288:J319" si="42">ROUND(E288*I288,)</f>
        <v>1000</v>
      </c>
      <c r="K288" s="1273">
        <f t="shared" ref="K288:K319" si="43">H288+J288</f>
        <v>8400</v>
      </c>
      <c r="L288" s="1385"/>
      <c r="M288" s="1214"/>
      <c r="N288" s="1214"/>
      <c r="O288" s="1214"/>
      <c r="P288" s="1214"/>
      <c r="Q288" s="1214"/>
      <c r="R288" s="1214"/>
    </row>
    <row r="289" spans="1:18" s="1199" customFormat="1" ht="24" customHeight="1">
      <c r="A289" s="1406" t="s">
        <v>1547</v>
      </c>
      <c r="B289" s="2174" t="s">
        <v>1493</v>
      </c>
      <c r="C289" s="1202"/>
      <c r="D289" s="1202"/>
      <c r="E289" s="1387">
        <v>4</v>
      </c>
      <c r="F289" s="1207" t="s">
        <v>363</v>
      </c>
      <c r="G289" s="2176">
        <v>1850</v>
      </c>
      <c r="H289" s="1264">
        <f t="shared" si="41"/>
        <v>7400</v>
      </c>
      <c r="I289" s="2177">
        <v>250</v>
      </c>
      <c r="J289" s="1264">
        <f t="shared" si="42"/>
        <v>1000</v>
      </c>
      <c r="K289" s="1273">
        <f t="shared" si="43"/>
        <v>8400</v>
      </c>
      <c r="L289" s="1385"/>
      <c r="M289" s="1214"/>
      <c r="N289" s="1214"/>
      <c r="O289" s="1214"/>
      <c r="P289" s="1214"/>
      <c r="Q289" s="1214"/>
      <c r="R289" s="1214"/>
    </row>
    <row r="290" spans="1:18" s="1199" customFormat="1" ht="24" customHeight="1">
      <c r="A290" s="1406" t="s">
        <v>1549</v>
      </c>
      <c r="B290" s="2174" t="s">
        <v>1494</v>
      </c>
      <c r="C290" s="1202"/>
      <c r="D290" s="1202"/>
      <c r="E290" s="1387">
        <v>2</v>
      </c>
      <c r="F290" s="1207" t="s">
        <v>363</v>
      </c>
      <c r="G290" s="2176">
        <v>1850</v>
      </c>
      <c r="H290" s="1264">
        <f t="shared" si="41"/>
        <v>3700</v>
      </c>
      <c r="I290" s="2177">
        <v>250</v>
      </c>
      <c r="J290" s="1264">
        <f t="shared" si="42"/>
        <v>500</v>
      </c>
      <c r="K290" s="1273">
        <f t="shared" si="43"/>
        <v>4200</v>
      </c>
      <c r="L290" s="1385"/>
      <c r="M290" s="1214"/>
      <c r="N290" s="1214"/>
      <c r="O290" s="1214"/>
      <c r="P290" s="1214"/>
      <c r="Q290" s="1214"/>
      <c r="R290" s="1214"/>
    </row>
    <row r="291" spans="1:18" s="1199" customFormat="1" ht="24" customHeight="1">
      <c r="A291" s="1406" t="s">
        <v>1631</v>
      </c>
      <c r="B291" s="2174" t="s">
        <v>1495</v>
      </c>
      <c r="C291" s="1202"/>
      <c r="D291" s="1202"/>
      <c r="E291" s="1387">
        <v>2</v>
      </c>
      <c r="F291" s="1207" t="s">
        <v>363</v>
      </c>
      <c r="G291" s="2176">
        <v>1850</v>
      </c>
      <c r="H291" s="1264">
        <f t="shared" si="41"/>
        <v>3700</v>
      </c>
      <c r="I291" s="2177">
        <v>250</v>
      </c>
      <c r="J291" s="1264">
        <f t="shared" si="42"/>
        <v>500</v>
      </c>
      <c r="K291" s="1273">
        <f t="shared" si="43"/>
        <v>4200</v>
      </c>
      <c r="L291" s="1385"/>
      <c r="M291" s="1214"/>
      <c r="N291" s="1214"/>
      <c r="O291" s="1214"/>
      <c r="P291" s="1214"/>
      <c r="Q291" s="1214"/>
      <c r="R291" s="1214"/>
    </row>
    <row r="292" spans="1:18" s="1199" customFormat="1" ht="24" customHeight="1">
      <c r="A292" s="1406" t="s">
        <v>1610</v>
      </c>
      <c r="B292" s="2174" t="s">
        <v>1624</v>
      </c>
      <c r="C292" s="1202"/>
      <c r="D292" s="1202"/>
      <c r="E292" s="1387"/>
      <c r="F292" s="1207" t="s">
        <v>363</v>
      </c>
      <c r="G292" s="2176">
        <v>1850</v>
      </c>
      <c r="H292" s="1264">
        <f t="shared" si="41"/>
        <v>0</v>
      </c>
      <c r="I292" s="2177">
        <v>250</v>
      </c>
      <c r="J292" s="1264">
        <f t="shared" si="42"/>
        <v>0</v>
      </c>
      <c r="K292" s="1273">
        <f t="shared" si="43"/>
        <v>0</v>
      </c>
      <c r="L292" s="1385"/>
      <c r="M292" s="1214"/>
      <c r="N292" s="1214"/>
      <c r="O292" s="1214"/>
      <c r="P292" s="1214"/>
      <c r="Q292" s="1214"/>
      <c r="R292" s="1214"/>
    </row>
    <row r="293" spans="1:18" s="1199" customFormat="1" ht="24" customHeight="1">
      <c r="A293" s="1406" t="s">
        <v>1632</v>
      </c>
      <c r="B293" s="2174" t="s">
        <v>1497</v>
      </c>
      <c r="C293" s="1202"/>
      <c r="D293" s="1202"/>
      <c r="E293" s="1387">
        <v>2</v>
      </c>
      <c r="F293" s="1207" t="s">
        <v>363</v>
      </c>
      <c r="G293" s="2176">
        <v>2750</v>
      </c>
      <c r="H293" s="1264">
        <f t="shared" si="41"/>
        <v>5500</v>
      </c>
      <c r="I293" s="2177">
        <v>250</v>
      </c>
      <c r="J293" s="1264">
        <f t="shared" si="42"/>
        <v>500</v>
      </c>
      <c r="K293" s="1273">
        <f t="shared" si="43"/>
        <v>6000</v>
      </c>
      <c r="L293" s="1385"/>
      <c r="M293" s="1214"/>
      <c r="N293" s="1214"/>
      <c r="O293" s="1214"/>
      <c r="P293" s="1214"/>
      <c r="Q293" s="1214"/>
      <c r="R293" s="1214"/>
    </row>
    <row r="294" spans="1:18" s="1199" customFormat="1" ht="24" customHeight="1">
      <c r="A294" s="1406" t="s">
        <v>2952</v>
      </c>
      <c r="B294" s="2174" t="s">
        <v>1498</v>
      </c>
      <c r="C294" s="1202"/>
      <c r="D294" s="1202"/>
      <c r="E294" s="1387">
        <v>2</v>
      </c>
      <c r="F294" s="1207" t="s">
        <v>363</v>
      </c>
      <c r="G294" s="2176">
        <v>2750</v>
      </c>
      <c r="H294" s="1264">
        <f t="shared" si="41"/>
        <v>5500</v>
      </c>
      <c r="I294" s="2177">
        <v>250</v>
      </c>
      <c r="J294" s="1264">
        <f t="shared" si="42"/>
        <v>500</v>
      </c>
      <c r="K294" s="1273">
        <f t="shared" si="43"/>
        <v>6000</v>
      </c>
      <c r="L294" s="1385"/>
      <c r="M294" s="1214"/>
      <c r="N294" s="1214"/>
      <c r="O294" s="1214"/>
      <c r="P294" s="1214"/>
      <c r="Q294" s="1214"/>
      <c r="R294" s="1214"/>
    </row>
    <row r="295" spans="1:18" s="1199" customFormat="1" ht="24" customHeight="1">
      <c r="A295" s="1406" t="s">
        <v>2991</v>
      </c>
      <c r="B295" s="2174" t="s">
        <v>1500</v>
      </c>
      <c r="C295" s="1202"/>
      <c r="D295" s="1202"/>
      <c r="E295" s="1387">
        <v>2</v>
      </c>
      <c r="F295" s="1207" t="s">
        <v>363</v>
      </c>
      <c r="G295" s="2176">
        <v>2750</v>
      </c>
      <c r="H295" s="1264">
        <f t="shared" si="41"/>
        <v>5500</v>
      </c>
      <c r="I295" s="2177">
        <v>250</v>
      </c>
      <c r="J295" s="1264">
        <f t="shared" si="42"/>
        <v>500</v>
      </c>
      <c r="K295" s="1273">
        <f t="shared" si="43"/>
        <v>6000</v>
      </c>
      <c r="L295" s="1385"/>
      <c r="M295" s="1214"/>
      <c r="N295" s="1214"/>
      <c r="O295" s="1214"/>
      <c r="P295" s="1214"/>
      <c r="Q295" s="1214"/>
      <c r="R295" s="1214"/>
    </row>
    <row r="296" spans="1:18" s="1199" customFormat="1" ht="24" customHeight="1">
      <c r="A296" s="1406" t="s">
        <v>2992</v>
      </c>
      <c r="B296" s="2174" t="s">
        <v>1502</v>
      </c>
      <c r="C296" s="1202"/>
      <c r="D296" s="1202"/>
      <c r="E296" s="1387">
        <v>2</v>
      </c>
      <c r="F296" s="1207" t="s">
        <v>363</v>
      </c>
      <c r="G296" s="2176">
        <v>2750</v>
      </c>
      <c r="H296" s="1264">
        <f t="shared" si="41"/>
        <v>5500</v>
      </c>
      <c r="I296" s="2177">
        <v>250</v>
      </c>
      <c r="J296" s="1264">
        <f t="shared" si="42"/>
        <v>500</v>
      </c>
      <c r="K296" s="1273">
        <f t="shared" si="43"/>
        <v>6000</v>
      </c>
      <c r="L296" s="1385"/>
      <c r="M296" s="1214"/>
      <c r="N296" s="1214"/>
      <c r="O296" s="1214"/>
      <c r="P296" s="1214"/>
      <c r="Q296" s="1214"/>
      <c r="R296" s="1214"/>
    </row>
    <row r="297" spans="1:18" s="1199" customFormat="1" ht="24" customHeight="1">
      <c r="A297" s="1406" t="s">
        <v>2993</v>
      </c>
      <c r="B297" s="2174" t="s">
        <v>1504</v>
      </c>
      <c r="C297" s="1202"/>
      <c r="D297" s="1202"/>
      <c r="E297" s="1387">
        <v>2</v>
      </c>
      <c r="F297" s="1207" t="s">
        <v>363</v>
      </c>
      <c r="G297" s="2176">
        <v>2750</v>
      </c>
      <c r="H297" s="1264">
        <f t="shared" si="41"/>
        <v>5500</v>
      </c>
      <c r="I297" s="2177">
        <v>250</v>
      </c>
      <c r="J297" s="1264">
        <f t="shared" si="42"/>
        <v>500</v>
      </c>
      <c r="K297" s="1273">
        <f t="shared" si="43"/>
        <v>6000</v>
      </c>
      <c r="L297" s="1385"/>
      <c r="M297" s="1214"/>
      <c r="N297" s="1214"/>
      <c r="O297" s="1214"/>
      <c r="P297" s="1214"/>
      <c r="Q297" s="1214"/>
      <c r="R297" s="1214"/>
    </row>
    <row r="298" spans="1:18" s="1199" customFormat="1" ht="24" customHeight="1">
      <c r="A298" s="1406" t="s">
        <v>2994</v>
      </c>
      <c r="B298" s="2174" t="s">
        <v>1506</v>
      </c>
      <c r="C298" s="1202"/>
      <c r="D298" s="1202"/>
      <c r="E298" s="1387">
        <v>17</v>
      </c>
      <c r="F298" s="1207" t="s">
        <v>363</v>
      </c>
      <c r="G298" s="2176">
        <v>2750</v>
      </c>
      <c r="H298" s="1264">
        <f t="shared" si="41"/>
        <v>46750</v>
      </c>
      <c r="I298" s="2177">
        <v>250</v>
      </c>
      <c r="J298" s="1264">
        <f t="shared" si="42"/>
        <v>4250</v>
      </c>
      <c r="K298" s="1273">
        <f t="shared" si="43"/>
        <v>51000</v>
      </c>
      <c r="L298" s="1385"/>
      <c r="M298" s="1214"/>
      <c r="N298" s="1214"/>
      <c r="O298" s="1214"/>
      <c r="P298" s="1214"/>
      <c r="Q298" s="1214"/>
      <c r="R298" s="1214"/>
    </row>
    <row r="299" spans="1:18" s="1199" customFormat="1" ht="24" customHeight="1">
      <c r="A299" s="1406" t="s">
        <v>2995</v>
      </c>
      <c r="B299" s="2174" t="s">
        <v>1510</v>
      </c>
      <c r="C299" s="1202"/>
      <c r="D299" s="1202"/>
      <c r="E299" s="1387">
        <v>43</v>
      </c>
      <c r="F299" s="1207" t="s">
        <v>363</v>
      </c>
      <c r="G299" s="2176">
        <f>3300+300</f>
        <v>3600</v>
      </c>
      <c r="H299" s="1264">
        <f t="shared" si="41"/>
        <v>154800</v>
      </c>
      <c r="I299" s="2177">
        <v>200</v>
      </c>
      <c r="J299" s="1264">
        <f t="shared" si="42"/>
        <v>8600</v>
      </c>
      <c r="K299" s="1273">
        <f t="shared" si="43"/>
        <v>163400</v>
      </c>
      <c r="L299" s="1385"/>
      <c r="M299" s="1214"/>
      <c r="N299" s="1214"/>
      <c r="O299" s="1214"/>
      <c r="P299" s="1214"/>
      <c r="Q299" s="1214"/>
      <c r="R299" s="1214"/>
    </row>
    <row r="300" spans="1:18" s="1199" customFormat="1" ht="24" customHeight="1">
      <c r="A300" s="1406" t="s">
        <v>2996</v>
      </c>
      <c r="B300" s="2174" t="s">
        <v>1637</v>
      </c>
      <c r="C300" s="1202"/>
      <c r="D300" s="1202"/>
      <c r="E300" s="1387">
        <v>2</v>
      </c>
      <c r="F300" s="1207" t="s">
        <v>363</v>
      </c>
      <c r="G300" s="2176">
        <v>33500</v>
      </c>
      <c r="H300" s="1264">
        <f t="shared" si="41"/>
        <v>67000</v>
      </c>
      <c r="I300" s="2177">
        <v>500</v>
      </c>
      <c r="J300" s="1264">
        <f t="shared" si="42"/>
        <v>1000</v>
      </c>
      <c r="K300" s="1273">
        <f t="shared" si="43"/>
        <v>68000</v>
      </c>
      <c r="L300" s="1385"/>
      <c r="M300" s="1214"/>
      <c r="N300" s="1214"/>
      <c r="O300" s="1214"/>
      <c r="P300" s="1214"/>
      <c r="Q300" s="1214"/>
      <c r="R300" s="1214"/>
    </row>
    <row r="301" spans="1:18" s="1199" customFormat="1" ht="24" customHeight="1">
      <c r="A301" s="1406" t="s">
        <v>2997</v>
      </c>
      <c r="B301" s="2174" t="s">
        <v>1638</v>
      </c>
      <c r="C301" s="1202"/>
      <c r="D301" s="1202"/>
      <c r="E301" s="1387">
        <v>2</v>
      </c>
      <c r="F301" s="1207" t="s">
        <v>363</v>
      </c>
      <c r="G301" s="2176">
        <v>33500</v>
      </c>
      <c r="H301" s="1264">
        <f t="shared" si="41"/>
        <v>67000</v>
      </c>
      <c r="I301" s="2177">
        <v>500</v>
      </c>
      <c r="J301" s="1264">
        <f t="shared" si="42"/>
        <v>1000</v>
      </c>
      <c r="K301" s="1273">
        <f t="shared" si="43"/>
        <v>68000</v>
      </c>
      <c r="L301" s="1385"/>
      <c r="M301" s="1214"/>
      <c r="N301" s="1214"/>
      <c r="O301" s="1214"/>
      <c r="P301" s="1214"/>
      <c r="Q301" s="1214"/>
      <c r="R301" s="1214"/>
    </row>
    <row r="302" spans="1:18" s="1199" customFormat="1" ht="24" customHeight="1">
      <c r="A302" s="1406" t="s">
        <v>2998</v>
      </c>
      <c r="B302" s="2174" t="s">
        <v>1512</v>
      </c>
      <c r="C302" s="1202"/>
      <c r="D302" s="1202"/>
      <c r="E302" s="1387">
        <v>4</v>
      </c>
      <c r="F302" s="1207" t="s">
        <v>363</v>
      </c>
      <c r="G302" s="2176">
        <v>5000</v>
      </c>
      <c r="H302" s="1264">
        <f t="shared" si="41"/>
        <v>20000</v>
      </c>
      <c r="I302" s="2177">
        <v>500</v>
      </c>
      <c r="J302" s="1264">
        <f t="shared" si="42"/>
        <v>2000</v>
      </c>
      <c r="K302" s="1273">
        <f t="shared" si="43"/>
        <v>22000</v>
      </c>
      <c r="L302" s="1385"/>
      <c r="M302" s="1214"/>
      <c r="N302" s="1214"/>
      <c r="O302" s="1214"/>
      <c r="P302" s="1214"/>
      <c r="Q302" s="1214"/>
    </row>
    <row r="303" spans="1:18" s="1199" customFormat="1" ht="24" customHeight="1">
      <c r="A303" s="1406" t="s">
        <v>2999</v>
      </c>
      <c r="B303" s="2174" t="s">
        <v>1514</v>
      </c>
      <c r="C303" s="1202"/>
      <c r="D303" s="1202"/>
      <c r="E303" s="1387">
        <v>8</v>
      </c>
      <c r="F303" s="1207" t="s">
        <v>363</v>
      </c>
      <c r="G303" s="2176">
        <v>350</v>
      </c>
      <c r="H303" s="1264">
        <f t="shared" si="41"/>
        <v>2800</v>
      </c>
      <c r="I303" s="2177">
        <v>200</v>
      </c>
      <c r="J303" s="1264">
        <f t="shared" si="42"/>
        <v>1600</v>
      </c>
      <c r="K303" s="1273">
        <f t="shared" si="43"/>
        <v>4400</v>
      </c>
      <c r="L303" s="1385"/>
      <c r="M303" s="1214"/>
      <c r="N303" s="1214"/>
      <c r="O303" s="1214"/>
      <c r="P303" s="1214"/>
      <c r="Q303" s="1214"/>
      <c r="R303" s="1214"/>
    </row>
    <row r="304" spans="1:18" s="1199" customFormat="1" ht="24" customHeight="1">
      <c r="A304" s="1406" t="s">
        <v>3000</v>
      </c>
      <c r="B304" s="2174" t="s">
        <v>1516</v>
      </c>
      <c r="C304" s="1202"/>
      <c r="D304" s="1202"/>
      <c r="E304" s="1387">
        <v>4</v>
      </c>
      <c r="F304" s="1207" t="s">
        <v>363</v>
      </c>
      <c r="G304" s="2176">
        <v>4200</v>
      </c>
      <c r="H304" s="1264">
        <f t="shared" si="41"/>
        <v>16800</v>
      </c>
      <c r="I304" s="2177">
        <v>200</v>
      </c>
      <c r="J304" s="1264">
        <f t="shared" si="42"/>
        <v>800</v>
      </c>
      <c r="K304" s="1273">
        <f t="shared" si="43"/>
        <v>17600</v>
      </c>
      <c r="L304" s="1385"/>
      <c r="M304" s="1214"/>
      <c r="N304" s="1214"/>
      <c r="O304" s="1214"/>
      <c r="P304" s="1214"/>
      <c r="Q304" s="1214"/>
      <c r="R304" s="1214"/>
    </row>
    <row r="305" spans="1:18" s="1199" customFormat="1" ht="24" customHeight="1">
      <c r="A305" s="1406" t="s">
        <v>3001</v>
      </c>
      <c r="B305" s="2174" t="s">
        <v>1518</v>
      </c>
      <c r="C305" s="1202"/>
      <c r="D305" s="1202"/>
      <c r="E305" s="1404">
        <v>6</v>
      </c>
      <c r="F305" s="1207" t="s">
        <v>363</v>
      </c>
      <c r="G305" s="2176">
        <v>2200</v>
      </c>
      <c r="H305" s="1264">
        <f t="shared" si="41"/>
        <v>13200</v>
      </c>
      <c r="I305" s="2177">
        <v>200</v>
      </c>
      <c r="J305" s="1264">
        <f t="shared" si="42"/>
        <v>1200</v>
      </c>
      <c r="K305" s="1273">
        <f t="shared" si="43"/>
        <v>14400</v>
      </c>
      <c r="L305" s="1385"/>
      <c r="M305" s="1214"/>
      <c r="N305" s="1214"/>
      <c r="O305" s="1214"/>
      <c r="P305" s="1214"/>
    </row>
    <row r="306" spans="1:18" s="1199" customFormat="1" ht="24" customHeight="1">
      <c r="A306" s="1406" t="s">
        <v>3002</v>
      </c>
      <c r="B306" s="2174" t="s">
        <v>1312</v>
      </c>
      <c r="C306" s="1202"/>
      <c r="D306" s="1202"/>
      <c r="E306" s="1387"/>
      <c r="F306" s="1384"/>
      <c r="G306" s="2176"/>
      <c r="H306" s="1264">
        <f t="shared" si="41"/>
        <v>0</v>
      </c>
      <c r="I306" s="2177"/>
      <c r="J306" s="1264">
        <f t="shared" si="42"/>
        <v>0</v>
      </c>
      <c r="K306" s="1273">
        <f t="shared" si="43"/>
        <v>0</v>
      </c>
      <c r="L306" s="1385"/>
      <c r="M306" s="1214"/>
      <c r="N306" s="1214"/>
      <c r="O306" s="1214"/>
      <c r="P306" s="1214"/>
      <c r="Q306" s="1214"/>
      <c r="R306" s="1214"/>
    </row>
    <row r="307" spans="1:18" s="1199" customFormat="1" ht="24" customHeight="1">
      <c r="A307" s="1331"/>
      <c r="B307" s="2174" t="s">
        <v>1523</v>
      </c>
      <c r="C307" s="1202"/>
      <c r="D307" s="1202"/>
      <c r="E307" s="1387">
        <v>3240</v>
      </c>
      <c r="F307" s="1358" t="s">
        <v>226</v>
      </c>
      <c r="G307" s="2176">
        <v>82</v>
      </c>
      <c r="H307" s="1264">
        <f t="shared" si="41"/>
        <v>265680</v>
      </c>
      <c r="I307" s="2177">
        <v>12</v>
      </c>
      <c r="J307" s="1264">
        <f t="shared" si="42"/>
        <v>38880</v>
      </c>
      <c r="K307" s="1273">
        <f t="shared" si="43"/>
        <v>304560</v>
      </c>
      <c r="L307" s="1385"/>
      <c r="M307" s="1214"/>
      <c r="N307" s="1214"/>
      <c r="O307" s="1214"/>
      <c r="P307" s="1214"/>
      <c r="Q307" s="1214"/>
      <c r="R307" s="1214"/>
    </row>
    <row r="308" spans="1:18" s="1199" customFormat="1" ht="24" customHeight="1">
      <c r="A308" s="1331"/>
      <c r="B308" s="2174" t="s">
        <v>2553</v>
      </c>
      <c r="C308" s="1202"/>
      <c r="D308" s="1202"/>
      <c r="E308" s="1404">
        <v>960</v>
      </c>
      <c r="F308" s="1358" t="s">
        <v>226</v>
      </c>
      <c r="G308" s="2176">
        <v>6</v>
      </c>
      <c r="H308" s="1264">
        <f t="shared" si="41"/>
        <v>5760</v>
      </c>
      <c r="I308" s="2177">
        <v>6</v>
      </c>
      <c r="J308" s="1264">
        <f t="shared" si="42"/>
        <v>5760</v>
      </c>
      <c r="K308" s="1273">
        <f t="shared" si="43"/>
        <v>11520</v>
      </c>
      <c r="L308" s="1385"/>
      <c r="M308" s="1214"/>
      <c r="N308" s="1214"/>
      <c r="O308" s="1214"/>
    </row>
    <row r="309" spans="1:18" s="1199" customFormat="1" ht="24" customHeight="1">
      <c r="A309" s="1331"/>
      <c r="B309" s="2174" t="s">
        <v>1524</v>
      </c>
      <c r="C309" s="1202"/>
      <c r="D309" s="1202"/>
      <c r="E309" s="1404">
        <v>667</v>
      </c>
      <c r="F309" s="1358" t="s">
        <v>226</v>
      </c>
      <c r="G309" s="2176">
        <v>18</v>
      </c>
      <c r="H309" s="1264">
        <f t="shared" si="41"/>
        <v>12006</v>
      </c>
      <c r="I309" s="2177">
        <v>8</v>
      </c>
      <c r="J309" s="1264">
        <f t="shared" si="42"/>
        <v>5336</v>
      </c>
      <c r="K309" s="1273">
        <f t="shared" si="43"/>
        <v>17342</v>
      </c>
      <c r="L309" s="1385"/>
      <c r="M309" s="1214"/>
      <c r="N309" s="1214"/>
      <c r="O309" s="1214"/>
    </row>
    <row r="310" spans="1:18" s="1199" customFormat="1" ht="24" customHeight="1">
      <c r="A310" s="1331"/>
      <c r="B310" s="2174" t="s">
        <v>1525</v>
      </c>
      <c r="C310" s="1202"/>
      <c r="D310" s="1202"/>
      <c r="E310" s="1404">
        <v>1</v>
      </c>
      <c r="F310" s="1384" t="s">
        <v>1104</v>
      </c>
      <c r="G310" s="2176">
        <f>ROUND(SUM(H307:H309)*5%,)</f>
        <v>14172</v>
      </c>
      <c r="H310" s="1264">
        <f t="shared" si="41"/>
        <v>14172</v>
      </c>
      <c r="I310" s="1414">
        <f>ROUND(G310*0.3,)</f>
        <v>4252</v>
      </c>
      <c r="J310" s="1264">
        <f t="shared" si="42"/>
        <v>4252</v>
      </c>
      <c r="K310" s="1273">
        <f t="shared" si="43"/>
        <v>18424</v>
      </c>
      <c r="L310" s="1385"/>
      <c r="M310" s="1214"/>
      <c r="N310" s="1214"/>
      <c r="O310" s="1214"/>
    </row>
    <row r="311" spans="1:18" s="1199" customFormat="1" ht="24" customHeight="1">
      <c r="A311" s="1406" t="s">
        <v>3003</v>
      </c>
      <c r="B311" s="2174" t="s">
        <v>1526</v>
      </c>
      <c r="C311" s="1202"/>
      <c r="D311" s="1202"/>
      <c r="E311" s="1387"/>
      <c r="F311" s="1384"/>
      <c r="G311" s="2176"/>
      <c r="H311" s="1264">
        <f>ROUND(G311*E311,)</f>
        <v>0</v>
      </c>
      <c r="I311" s="2177"/>
      <c r="J311" s="1264">
        <f t="shared" si="42"/>
        <v>0</v>
      </c>
      <c r="K311" s="1273">
        <f t="shared" si="43"/>
        <v>0</v>
      </c>
      <c r="L311" s="1385"/>
      <c r="M311" s="1214"/>
      <c r="N311" s="1214"/>
      <c r="O311" s="1214"/>
      <c r="P311" s="1214"/>
    </row>
    <row r="312" spans="1:18" s="1199" customFormat="1" ht="24" customHeight="1">
      <c r="A312" s="1331"/>
      <c r="B312" s="2174" t="s">
        <v>1350</v>
      </c>
      <c r="C312" s="1202"/>
      <c r="D312" s="1202"/>
      <c r="E312" s="1387">
        <v>480</v>
      </c>
      <c r="F312" s="1358" t="s">
        <v>226</v>
      </c>
      <c r="G312" s="2176">
        <v>27</v>
      </c>
      <c r="H312" s="1264">
        <f t="shared" ref="H312" si="44">ROUND(E312*G312,)</f>
        <v>12960</v>
      </c>
      <c r="I312" s="2177">
        <v>22</v>
      </c>
      <c r="J312" s="1264">
        <f t="shared" si="42"/>
        <v>10560</v>
      </c>
      <c r="K312" s="1802">
        <f t="shared" si="43"/>
        <v>23520</v>
      </c>
      <c r="L312" s="2001" t="s">
        <v>2667</v>
      </c>
      <c r="M312" s="1214"/>
      <c r="N312" s="1199">
        <v>79.8</v>
      </c>
      <c r="O312" s="1199">
        <f>ROUND(N312/3,)</f>
        <v>27</v>
      </c>
      <c r="P312" s="1214"/>
    </row>
    <row r="313" spans="1:18" s="1199" customFormat="1" ht="24" customHeight="1">
      <c r="A313" s="1331"/>
      <c r="B313" s="2174" t="s">
        <v>1384</v>
      </c>
      <c r="C313" s="1202"/>
      <c r="D313" s="1202"/>
      <c r="E313" s="1387">
        <v>1</v>
      </c>
      <c r="F313" s="1407" t="s">
        <v>1104</v>
      </c>
      <c r="G313" s="2176">
        <f>SUM(H312:H312)*15%</f>
        <v>1944</v>
      </c>
      <c r="H313" s="1264">
        <f>ROUND(G313*E313,)</f>
        <v>1944</v>
      </c>
      <c r="I313" s="2177">
        <f>G313*0.3</f>
        <v>583.19999999999993</v>
      </c>
      <c r="J313" s="1264">
        <f t="shared" si="42"/>
        <v>583</v>
      </c>
      <c r="K313" s="1273">
        <f t="shared" si="43"/>
        <v>2527</v>
      </c>
      <c r="L313" s="1385"/>
      <c r="M313" s="1214"/>
      <c r="N313" s="1214"/>
      <c r="O313" s="1214"/>
      <c r="P313" s="1214"/>
    </row>
    <row r="314" spans="1:18" s="1199" customFormat="1" ht="24" customHeight="1">
      <c r="A314" s="1406" t="s">
        <v>3004</v>
      </c>
      <c r="B314" s="2174" t="s">
        <v>1110</v>
      </c>
      <c r="C314" s="1202"/>
      <c r="D314" s="1202"/>
      <c r="E314" s="1387"/>
      <c r="F314" s="1384"/>
      <c r="G314" s="2176"/>
      <c r="H314" s="1264">
        <f t="shared" ref="H314:H319" si="45">ROUND(E314*G314,)</f>
        <v>0</v>
      </c>
      <c r="I314" s="2177"/>
      <c r="J314" s="1264">
        <f t="shared" si="42"/>
        <v>0</v>
      </c>
      <c r="K314" s="1273">
        <f t="shared" si="43"/>
        <v>0</v>
      </c>
      <c r="L314" s="1385"/>
      <c r="M314" s="1214"/>
      <c r="N314" s="1214"/>
      <c r="O314" s="1214"/>
      <c r="P314" s="1214"/>
    </row>
    <row r="315" spans="1:18" s="1199" customFormat="1" ht="24" customHeight="1">
      <c r="A315" s="1331"/>
      <c r="B315" s="2174" t="s">
        <v>1350</v>
      </c>
      <c r="C315" s="1202"/>
      <c r="D315" s="1202"/>
      <c r="E315" s="1387"/>
      <c r="F315" s="1358" t="s">
        <v>226</v>
      </c>
      <c r="G315" s="2176">
        <v>56</v>
      </c>
      <c r="H315" s="1264">
        <f t="shared" si="45"/>
        <v>0</v>
      </c>
      <c r="I315" s="2177">
        <v>26</v>
      </c>
      <c r="J315" s="1264">
        <f t="shared" si="42"/>
        <v>0</v>
      </c>
      <c r="K315" s="1273">
        <f t="shared" si="43"/>
        <v>0</v>
      </c>
      <c r="L315" s="2001" t="s">
        <v>2667</v>
      </c>
      <c r="M315" s="1214"/>
      <c r="N315" s="1199">
        <v>169.2</v>
      </c>
      <c r="O315" s="1199">
        <f>ROUND(N315/3,)</f>
        <v>56</v>
      </c>
      <c r="P315" s="1214"/>
    </row>
    <row r="316" spans="1:18" s="1199" customFormat="1" ht="24" customHeight="1">
      <c r="A316" s="1331"/>
      <c r="B316" s="2174" t="s">
        <v>1448</v>
      </c>
      <c r="C316" s="1202"/>
      <c r="D316" s="1202"/>
      <c r="E316" s="1404">
        <v>3907</v>
      </c>
      <c r="F316" s="1358" t="s">
        <v>226</v>
      </c>
      <c r="G316" s="2176">
        <v>75</v>
      </c>
      <c r="H316" s="1264">
        <f t="shared" si="45"/>
        <v>293025</v>
      </c>
      <c r="I316" s="2177">
        <v>29</v>
      </c>
      <c r="J316" s="1264">
        <f t="shared" si="42"/>
        <v>113303</v>
      </c>
      <c r="K316" s="1273">
        <f>H316+J316</f>
        <v>406328</v>
      </c>
      <c r="L316" s="2001" t="s">
        <v>2667</v>
      </c>
      <c r="N316" s="1199">
        <v>225</v>
      </c>
      <c r="O316" s="1199">
        <f>ROUND(N316/3,)</f>
        <v>75</v>
      </c>
      <c r="P316" s="1214"/>
    </row>
    <row r="317" spans="1:18" s="1199" customFormat="1" ht="24" customHeight="1">
      <c r="A317" s="1331"/>
      <c r="B317" s="2174" t="s">
        <v>1108</v>
      </c>
      <c r="C317" s="1202"/>
      <c r="D317" s="1202"/>
      <c r="E317" s="1387">
        <v>1</v>
      </c>
      <c r="F317" s="1384" t="s">
        <v>1104</v>
      </c>
      <c r="G317" s="2176">
        <f>SUM(H315:H316)*15%</f>
        <v>43953.75</v>
      </c>
      <c r="H317" s="1264">
        <f t="shared" si="45"/>
        <v>43954</v>
      </c>
      <c r="I317" s="1414">
        <f>ROUND(G317*0.3,)</f>
        <v>13186</v>
      </c>
      <c r="J317" s="1264">
        <f t="shared" si="42"/>
        <v>13186</v>
      </c>
      <c r="K317" s="1273">
        <f t="shared" si="43"/>
        <v>57140</v>
      </c>
      <c r="L317" s="1385"/>
      <c r="M317" s="1214"/>
      <c r="N317" s="1214"/>
      <c r="O317" s="1214"/>
      <c r="P317" s="1214"/>
    </row>
    <row r="318" spans="1:18" s="1199" customFormat="1" ht="24" customHeight="1">
      <c r="A318" s="1406" t="s">
        <v>3005</v>
      </c>
      <c r="B318" s="2174" t="s">
        <v>1449</v>
      </c>
      <c r="C318" s="1202"/>
      <c r="D318" s="1202"/>
      <c r="E318" s="1387"/>
      <c r="F318" s="1384"/>
      <c r="G318" s="2176"/>
      <c r="H318" s="1264">
        <f t="shared" si="45"/>
        <v>0</v>
      </c>
      <c r="I318" s="2177"/>
      <c r="J318" s="1264">
        <f t="shared" si="42"/>
        <v>0</v>
      </c>
      <c r="K318" s="1273">
        <f t="shared" si="43"/>
        <v>0</v>
      </c>
      <c r="L318" s="1385"/>
      <c r="M318" s="1214"/>
      <c r="N318" s="1214"/>
      <c r="O318" s="1214"/>
      <c r="P318" s="1214"/>
    </row>
    <row r="319" spans="1:18" s="1199" customFormat="1" ht="24" customHeight="1">
      <c r="A319" s="1331"/>
      <c r="B319" s="2174" t="s">
        <v>1350</v>
      </c>
      <c r="C319" s="1202"/>
      <c r="D319" s="1202"/>
      <c r="E319" s="1387">
        <v>43</v>
      </c>
      <c r="F319" s="1358" t="s">
        <v>226</v>
      </c>
      <c r="G319" s="2176">
        <v>14</v>
      </c>
      <c r="H319" s="1264">
        <f t="shared" si="45"/>
        <v>602</v>
      </c>
      <c r="I319" s="2177">
        <v>11</v>
      </c>
      <c r="J319" s="1264">
        <f t="shared" si="42"/>
        <v>473</v>
      </c>
      <c r="K319" s="1273">
        <f t="shared" si="43"/>
        <v>1075</v>
      </c>
      <c r="L319" s="1385"/>
      <c r="M319" s="1214"/>
      <c r="N319" s="1214"/>
      <c r="O319" s="1214"/>
      <c r="P319" s="1214"/>
    </row>
    <row r="320" spans="1:18" s="1199" customFormat="1" ht="24" customHeight="1">
      <c r="A320" s="1331"/>
      <c r="B320" s="2174" t="s">
        <v>1117</v>
      </c>
      <c r="C320" s="1202"/>
      <c r="D320" s="1202"/>
      <c r="E320" s="1387"/>
      <c r="F320" s="1384"/>
      <c r="G320" s="2176"/>
      <c r="H320" s="1388"/>
      <c r="I320" s="2177"/>
      <c r="J320" s="1385"/>
      <c r="K320" s="1385"/>
      <c r="L320" s="1385"/>
      <c r="M320" s="1214"/>
      <c r="N320" s="1214"/>
      <c r="O320" s="1214"/>
      <c r="P320" s="1214"/>
      <c r="Q320" s="1214"/>
      <c r="R320" s="1214"/>
    </row>
    <row r="321" spans="1:18" s="1199" customFormat="1" ht="24" customHeight="1">
      <c r="A321" s="1331"/>
      <c r="B321" s="2174" t="s">
        <v>1369</v>
      </c>
      <c r="C321" s="1202"/>
      <c r="D321" s="1202"/>
      <c r="E321" s="1387"/>
      <c r="F321" s="1384"/>
      <c r="G321" s="2176"/>
      <c r="H321" s="1388"/>
      <c r="I321" s="2177"/>
      <c r="J321" s="1385"/>
      <c r="K321" s="1385"/>
      <c r="L321" s="1385"/>
      <c r="M321" s="1214"/>
      <c r="N321" s="1214"/>
      <c r="O321" s="1214"/>
      <c r="P321" s="1214"/>
      <c r="Q321" s="1214"/>
      <c r="R321" s="1214"/>
    </row>
    <row r="322" spans="1:18" s="1199" customFormat="1" ht="24" customHeight="1">
      <c r="A322" s="1243"/>
      <c r="B322" s="2257" t="str">
        <f>"รวมราคารายการที่ "&amp;A287</f>
        <v>รวมราคารายการที่ 3.9</v>
      </c>
      <c r="C322" s="2258"/>
      <c r="D322" s="2259"/>
      <c r="E322" s="1244"/>
      <c r="F322" s="1245"/>
      <c r="G322" s="1246"/>
      <c r="H322" s="1247">
        <f>SUM(H288:H321)</f>
        <v>1088153</v>
      </c>
      <c r="I322" s="1246"/>
      <c r="J322" s="1247">
        <f t="shared" ref="J322:K322" si="46">SUM(J288:J321)</f>
        <v>218283</v>
      </c>
      <c r="K322" s="1247">
        <f t="shared" si="46"/>
        <v>1306436</v>
      </c>
      <c r="L322" s="1245"/>
      <c r="M322" s="1214"/>
      <c r="N322" s="1214"/>
      <c r="O322" s="1214"/>
      <c r="P322" s="1214"/>
      <c r="Q322" s="1214"/>
      <c r="R322" s="1214"/>
    </row>
    <row r="323" spans="1:18" s="1199" customFormat="1" ht="24" customHeight="1">
      <c r="A323" s="1367" t="s">
        <v>1332</v>
      </c>
      <c r="B323" s="1353" t="s">
        <v>1550</v>
      </c>
      <c r="C323" s="1452"/>
      <c r="D323" s="1452"/>
      <c r="E323" s="1453"/>
      <c r="F323" s="1454"/>
      <c r="G323" s="1455"/>
      <c r="H323" s="820"/>
      <c r="I323" s="1456"/>
      <c r="J323" s="1457"/>
      <c r="K323" s="1457"/>
      <c r="L323" s="1457"/>
      <c r="M323" s="1214"/>
      <c r="N323" s="1214"/>
      <c r="O323" s="1214"/>
      <c r="P323" s="1214"/>
    </row>
    <row r="324" spans="1:18" s="1199" customFormat="1" ht="24" customHeight="1">
      <c r="A324" s="1458" t="s">
        <v>1334</v>
      </c>
      <c r="B324" s="1220" t="s">
        <v>1551</v>
      </c>
      <c r="C324" s="1221"/>
      <c r="D324" s="1221"/>
      <c r="E324" s="1459"/>
      <c r="F324" s="1460"/>
      <c r="G324" s="1461"/>
      <c r="H324" s="1462"/>
      <c r="I324" s="1463"/>
      <c r="J324" s="1462"/>
      <c r="K324" s="1464"/>
      <c r="L324" s="1415"/>
      <c r="M324" s="1214"/>
      <c r="N324" s="1214"/>
      <c r="O324" s="1214"/>
      <c r="P324" s="1214"/>
    </row>
    <row r="325" spans="1:18" s="1199" customFormat="1" ht="24" customHeight="1">
      <c r="A325" s="1339"/>
      <c r="B325" s="1220" t="s">
        <v>1657</v>
      </c>
      <c r="C325" s="1221"/>
      <c r="D325" s="1221"/>
      <c r="E325" s="1404">
        <v>1</v>
      </c>
      <c r="F325" s="1223" t="s">
        <v>363</v>
      </c>
      <c r="G325" s="1386">
        <v>313600</v>
      </c>
      <c r="H325" s="1413">
        <f t="shared" ref="H325:H328" si="47">ROUND(E325*G325,)</f>
        <v>313600</v>
      </c>
      <c r="I325" s="1414">
        <f>G325*0.1</f>
        <v>31360</v>
      </c>
      <c r="J325" s="1415">
        <f>ROUND(E325*I325,)</f>
        <v>31360</v>
      </c>
      <c r="K325" s="1415">
        <f t="shared" ref="K325:K328" si="48">H325+J325</f>
        <v>344960</v>
      </c>
      <c r="L325" s="1415"/>
      <c r="M325" s="1214"/>
      <c r="N325" s="1214"/>
      <c r="O325" s="1214"/>
      <c r="P325" s="1214"/>
    </row>
    <row r="326" spans="1:18" s="1199" customFormat="1" ht="24" customHeight="1">
      <c r="A326" s="1339"/>
      <c r="B326" s="1259" t="s">
        <v>1658</v>
      </c>
      <c r="C326" s="1221"/>
      <c r="D326" s="1221"/>
      <c r="E326" s="1404">
        <v>1</v>
      </c>
      <c r="F326" s="1267" t="s">
        <v>363</v>
      </c>
      <c r="G326" s="1386">
        <v>280000</v>
      </c>
      <c r="H326" s="1413">
        <f t="shared" si="47"/>
        <v>280000</v>
      </c>
      <c r="I326" s="1414">
        <f t="shared" ref="I326:I328" si="49">G326*0.1</f>
        <v>28000</v>
      </c>
      <c r="J326" s="1415">
        <f t="shared" ref="J326:J328" si="50">ROUND(E326*I326,)</f>
        <v>28000</v>
      </c>
      <c r="K326" s="1415">
        <f t="shared" si="48"/>
        <v>308000</v>
      </c>
      <c r="L326" s="1415"/>
      <c r="M326" s="1214"/>
      <c r="N326" s="1214"/>
      <c r="O326" s="1214"/>
      <c r="P326" s="1214"/>
    </row>
    <row r="327" spans="1:18" s="1199" customFormat="1" ht="24" customHeight="1">
      <c r="A327" s="1339"/>
      <c r="B327" s="1259" t="s">
        <v>1659</v>
      </c>
      <c r="C327" s="1221"/>
      <c r="D327" s="1221"/>
      <c r="E327" s="1404">
        <v>1</v>
      </c>
      <c r="F327" s="1267" t="s">
        <v>363</v>
      </c>
      <c r="G327" s="1386">
        <v>16800</v>
      </c>
      <c r="H327" s="1413">
        <f t="shared" si="47"/>
        <v>16800</v>
      </c>
      <c r="I327" s="1414">
        <f t="shared" si="49"/>
        <v>1680</v>
      </c>
      <c r="J327" s="1415">
        <f t="shared" si="50"/>
        <v>1680</v>
      </c>
      <c r="K327" s="1415">
        <f t="shared" si="48"/>
        <v>18480</v>
      </c>
      <c r="L327" s="1415"/>
      <c r="M327" s="1214"/>
      <c r="N327" s="1214"/>
      <c r="O327" s="1214"/>
      <c r="P327" s="1214"/>
    </row>
    <row r="328" spans="1:18" s="1199" customFormat="1" ht="24" customHeight="1">
      <c r="A328" s="1339"/>
      <c r="B328" s="1259" t="s">
        <v>1660</v>
      </c>
      <c r="C328" s="1221"/>
      <c r="D328" s="1221"/>
      <c r="E328" s="1404">
        <v>1</v>
      </c>
      <c r="F328" s="1267" t="s">
        <v>363</v>
      </c>
      <c r="G328" s="1386">
        <v>11200</v>
      </c>
      <c r="H328" s="1413">
        <f t="shared" si="47"/>
        <v>11200</v>
      </c>
      <c r="I328" s="1414">
        <f t="shared" si="49"/>
        <v>1120</v>
      </c>
      <c r="J328" s="1415">
        <f t="shared" si="50"/>
        <v>1120</v>
      </c>
      <c r="K328" s="1415">
        <f t="shared" si="48"/>
        <v>12320</v>
      </c>
      <c r="L328" s="1415"/>
      <c r="M328" s="1214"/>
      <c r="N328" s="1214"/>
      <c r="O328" s="1214"/>
      <c r="P328" s="1214"/>
    </row>
    <row r="329" spans="1:18" s="1199" customFormat="1" ht="24" customHeight="1">
      <c r="A329" s="1458" t="s">
        <v>1556</v>
      </c>
      <c r="B329" s="1259" t="s">
        <v>1557</v>
      </c>
      <c r="C329" s="1221"/>
      <c r="D329" s="1221"/>
      <c r="E329" s="1459"/>
      <c r="F329" s="1522"/>
      <c r="G329" s="1461"/>
      <c r="H329" s="1462"/>
      <c r="I329" s="1463"/>
      <c r="J329" s="1462"/>
      <c r="K329" s="1464"/>
      <c r="L329" s="1415"/>
      <c r="M329" s="1214"/>
      <c r="N329" s="1214"/>
      <c r="O329" s="1214"/>
      <c r="P329" s="1214"/>
    </row>
    <row r="330" spans="1:18" s="1199" customFormat="1" ht="24" customHeight="1">
      <c r="A330" s="1339"/>
      <c r="B330" s="1259" t="s">
        <v>1661</v>
      </c>
      <c r="C330" s="1221"/>
      <c r="D330" s="1221"/>
      <c r="E330" s="1404">
        <v>1</v>
      </c>
      <c r="F330" s="1267" t="s">
        <v>363</v>
      </c>
      <c r="G330" s="1386">
        <v>3500</v>
      </c>
      <c r="H330" s="1413">
        <f t="shared" ref="H330:H336" si="51">ROUND(E330*G330,)</f>
        <v>3500</v>
      </c>
      <c r="I330" s="1414">
        <f t="shared" ref="I330:I336" si="52">G330*0.1</f>
        <v>350</v>
      </c>
      <c r="J330" s="1415">
        <f t="shared" ref="J330:J336" si="53">ROUND(E330*I330,)</f>
        <v>350</v>
      </c>
      <c r="K330" s="1415">
        <f t="shared" ref="K330:K336" si="54">H330+J330</f>
        <v>3850</v>
      </c>
      <c r="L330" s="1415"/>
      <c r="M330" s="1214"/>
      <c r="N330" s="1214"/>
      <c r="O330" s="1214"/>
      <c r="P330" s="1214"/>
    </row>
    <row r="331" spans="1:18" s="1199" customFormat="1" ht="24" customHeight="1">
      <c r="A331" s="1339"/>
      <c r="B331" s="1259" t="s">
        <v>1662</v>
      </c>
      <c r="C331" s="1221"/>
      <c r="D331" s="1221"/>
      <c r="E331" s="1404">
        <v>1</v>
      </c>
      <c r="F331" s="1267" t="s">
        <v>363</v>
      </c>
      <c r="G331" s="1386">
        <v>3500</v>
      </c>
      <c r="H331" s="1413">
        <f t="shared" si="51"/>
        <v>3500</v>
      </c>
      <c r="I331" s="1414">
        <f t="shared" si="52"/>
        <v>350</v>
      </c>
      <c r="J331" s="1415">
        <f t="shared" si="53"/>
        <v>350</v>
      </c>
      <c r="K331" s="1415">
        <f t="shared" si="54"/>
        <v>3850</v>
      </c>
      <c r="L331" s="1415"/>
      <c r="M331" s="1214"/>
      <c r="N331" s="1214"/>
      <c r="O331" s="1214"/>
      <c r="P331" s="1214"/>
    </row>
    <row r="332" spans="1:18" s="1199" customFormat="1" ht="24" customHeight="1">
      <c r="A332" s="1339"/>
      <c r="B332" s="1259" t="s">
        <v>1663</v>
      </c>
      <c r="C332" s="1221"/>
      <c r="D332" s="1221"/>
      <c r="E332" s="1404">
        <v>1</v>
      </c>
      <c r="F332" s="1267" t="s">
        <v>363</v>
      </c>
      <c r="G332" s="1386">
        <v>3500</v>
      </c>
      <c r="H332" s="1413">
        <f t="shared" si="51"/>
        <v>3500</v>
      </c>
      <c r="I332" s="1414">
        <f t="shared" si="52"/>
        <v>350</v>
      </c>
      <c r="J332" s="1415">
        <f t="shared" si="53"/>
        <v>350</v>
      </c>
      <c r="K332" s="1415">
        <f t="shared" si="54"/>
        <v>3850</v>
      </c>
      <c r="L332" s="1415"/>
      <c r="M332" s="1214"/>
      <c r="N332" s="1214"/>
      <c r="O332" s="1214"/>
      <c r="P332" s="1214"/>
    </row>
    <row r="333" spans="1:18" s="1199" customFormat="1" ht="24" customHeight="1">
      <c r="A333" s="1339"/>
      <c r="B333" s="1259" t="s">
        <v>1664</v>
      </c>
      <c r="C333" s="1221"/>
      <c r="D333" s="1221"/>
      <c r="E333" s="1404">
        <v>1</v>
      </c>
      <c r="F333" s="1267" t="s">
        <v>363</v>
      </c>
      <c r="G333" s="1386">
        <v>3500</v>
      </c>
      <c r="H333" s="1413">
        <f t="shared" si="51"/>
        <v>3500</v>
      </c>
      <c r="I333" s="1414">
        <f t="shared" si="52"/>
        <v>350</v>
      </c>
      <c r="J333" s="1415">
        <f t="shared" si="53"/>
        <v>350</v>
      </c>
      <c r="K333" s="1415">
        <f t="shared" si="54"/>
        <v>3850</v>
      </c>
      <c r="L333" s="1415"/>
      <c r="M333" s="1214"/>
      <c r="N333" s="1214"/>
      <c r="O333" s="1214"/>
      <c r="P333" s="1214"/>
    </row>
    <row r="334" spans="1:18" s="1199" customFormat="1" ht="24" customHeight="1">
      <c r="A334" s="1339"/>
      <c r="B334" s="1259" t="s">
        <v>1665</v>
      </c>
      <c r="C334" s="1221"/>
      <c r="D334" s="1221"/>
      <c r="E334" s="1404">
        <v>1</v>
      </c>
      <c r="F334" s="1267" t="s">
        <v>363</v>
      </c>
      <c r="G334" s="1386">
        <v>3500</v>
      </c>
      <c r="H334" s="1413">
        <f t="shared" si="51"/>
        <v>3500</v>
      </c>
      <c r="I334" s="1414">
        <f t="shared" si="52"/>
        <v>350</v>
      </c>
      <c r="J334" s="1415">
        <f t="shared" si="53"/>
        <v>350</v>
      </c>
      <c r="K334" s="1415">
        <f t="shared" si="54"/>
        <v>3850</v>
      </c>
      <c r="L334" s="1415"/>
      <c r="M334" s="1214"/>
      <c r="N334" s="1214"/>
      <c r="O334" s="1214"/>
      <c r="P334" s="1214"/>
    </row>
    <row r="335" spans="1:18" s="1199" customFormat="1" ht="24" customHeight="1">
      <c r="A335" s="1339"/>
      <c r="B335" s="1259" t="s">
        <v>1666</v>
      </c>
      <c r="C335" s="1221"/>
      <c r="D335" s="1221"/>
      <c r="E335" s="1404">
        <v>1</v>
      </c>
      <c r="F335" s="1267" t="s">
        <v>363</v>
      </c>
      <c r="G335" s="1386">
        <v>3500</v>
      </c>
      <c r="H335" s="1413">
        <f t="shared" si="51"/>
        <v>3500</v>
      </c>
      <c r="I335" s="1414">
        <f t="shared" si="52"/>
        <v>350</v>
      </c>
      <c r="J335" s="1415">
        <f t="shared" si="53"/>
        <v>350</v>
      </c>
      <c r="K335" s="1415">
        <f t="shared" si="54"/>
        <v>3850</v>
      </c>
      <c r="L335" s="1415"/>
      <c r="M335" s="1214"/>
      <c r="N335" s="1214"/>
      <c r="O335" s="1214"/>
      <c r="P335" s="1214"/>
    </row>
    <row r="336" spans="1:18" s="1199" customFormat="1" ht="24" customHeight="1">
      <c r="A336" s="1339"/>
      <c r="B336" s="1220" t="s">
        <v>1667</v>
      </c>
      <c r="C336" s="1221"/>
      <c r="D336" s="1221"/>
      <c r="E336" s="1404">
        <v>1</v>
      </c>
      <c r="F336" s="1267" t="s">
        <v>363</v>
      </c>
      <c r="G336" s="1386">
        <v>3500</v>
      </c>
      <c r="H336" s="1413">
        <f t="shared" si="51"/>
        <v>3500</v>
      </c>
      <c r="I336" s="1414">
        <f t="shared" si="52"/>
        <v>350</v>
      </c>
      <c r="J336" s="1415">
        <f t="shared" si="53"/>
        <v>350</v>
      </c>
      <c r="K336" s="1415">
        <f t="shared" si="54"/>
        <v>3850</v>
      </c>
      <c r="L336" s="1415"/>
      <c r="M336" s="1214"/>
      <c r="N336" s="1214"/>
      <c r="O336" s="1214"/>
      <c r="P336" s="1214"/>
    </row>
    <row r="337" spans="1:16" s="1199" customFormat="1" ht="24" customHeight="1">
      <c r="A337" s="1458" t="s">
        <v>1566</v>
      </c>
      <c r="B337" s="1465" t="s">
        <v>1312</v>
      </c>
      <c r="C337" s="1452"/>
      <c r="D337" s="1452"/>
      <c r="E337" s="1453"/>
      <c r="F337" s="1454"/>
      <c r="G337" s="1386"/>
      <c r="H337" s="1413"/>
      <c r="I337" s="1414"/>
      <c r="J337" s="1415"/>
      <c r="K337" s="1415"/>
      <c r="L337" s="1457"/>
      <c r="M337" s="1214"/>
      <c r="N337" s="1214"/>
      <c r="O337" s="1214"/>
      <c r="P337" s="1214"/>
    </row>
    <row r="338" spans="1:16" s="1199" customFormat="1" ht="24" customHeight="1">
      <c r="A338" s="1339"/>
      <c r="B338" s="1220" t="s">
        <v>1567</v>
      </c>
      <c r="C338" s="1221"/>
      <c r="D338" s="1221"/>
      <c r="E338" s="1404">
        <v>2000</v>
      </c>
      <c r="F338" s="1262" t="s">
        <v>226</v>
      </c>
      <c r="G338" s="1386">
        <v>103</v>
      </c>
      <c r="H338" s="1413">
        <f>ROUND(E338*G338,)</f>
        <v>206000</v>
      </c>
      <c r="I338" s="1414">
        <v>21</v>
      </c>
      <c r="J338" s="1415">
        <f>ROUND(E338*I338,)</f>
        <v>42000</v>
      </c>
      <c r="K338" s="1415">
        <f>H338+J338</f>
        <v>248000</v>
      </c>
      <c r="L338" s="1415"/>
      <c r="M338" s="1214"/>
      <c r="N338" s="1214"/>
      <c r="O338" s="1214"/>
      <c r="P338" s="1214"/>
    </row>
    <row r="339" spans="1:16" s="1199" customFormat="1" ht="24" customHeight="1">
      <c r="A339" s="1339"/>
      <c r="B339" s="1220" t="s">
        <v>1568</v>
      </c>
      <c r="C339" s="1221"/>
      <c r="D339" s="1221"/>
      <c r="E339" s="1404">
        <v>500</v>
      </c>
      <c r="F339" s="1262" t="s">
        <v>226</v>
      </c>
      <c r="G339" s="1386">
        <v>139</v>
      </c>
      <c r="H339" s="1413">
        <f>ROUND(E339*G339,)</f>
        <v>69500</v>
      </c>
      <c r="I339" s="1414">
        <v>21</v>
      </c>
      <c r="J339" s="1415">
        <f>ROUND(E339*I339,)</f>
        <v>10500</v>
      </c>
      <c r="K339" s="1415">
        <f>H339+J339</f>
        <v>80000</v>
      </c>
      <c r="L339" s="1415"/>
      <c r="M339" s="1214"/>
      <c r="N339" s="1214"/>
      <c r="O339" s="1214"/>
      <c r="P339" s="1214"/>
    </row>
    <row r="340" spans="1:16" s="1199" customFormat="1" ht="24" customHeight="1">
      <c r="A340" s="1339"/>
      <c r="B340" s="1220" t="s">
        <v>1525</v>
      </c>
      <c r="C340" s="1221"/>
      <c r="D340" s="1221"/>
      <c r="E340" s="1404">
        <v>1</v>
      </c>
      <c r="F340" s="1412" t="s">
        <v>1104</v>
      </c>
      <c r="G340" s="1386">
        <f>SUM(H338:H339)*5%</f>
        <v>13775</v>
      </c>
      <c r="H340" s="1343">
        <f t="shared" ref="H340" si="55">ROUND(E340*G340,)</f>
        <v>13775</v>
      </c>
      <c r="I340" s="1414">
        <f>ROUND(G340*0.3,)</f>
        <v>4133</v>
      </c>
      <c r="J340" s="1343">
        <f t="shared" ref="J340" si="56">ROUND(E340*I340,)</f>
        <v>4133</v>
      </c>
      <c r="K340" s="1262">
        <f t="shared" ref="K340" si="57">H340+J340</f>
        <v>17908</v>
      </c>
      <c r="L340" s="1415"/>
      <c r="M340" s="1214"/>
      <c r="N340" s="1214"/>
      <c r="O340" s="1214"/>
      <c r="P340" s="1214"/>
    </row>
    <row r="341" spans="1:16" s="1199" customFormat="1" ht="24" customHeight="1">
      <c r="A341" s="1339" t="s">
        <v>1569</v>
      </c>
      <c r="B341" s="1220" t="s">
        <v>1343</v>
      </c>
      <c r="C341" s="1221"/>
      <c r="D341" s="1221"/>
      <c r="E341" s="1404"/>
      <c r="F341" s="1412"/>
      <c r="G341" s="1386"/>
      <c r="H341" s="1343"/>
      <c r="I341" s="1414"/>
      <c r="J341" s="1343"/>
      <c r="K341" s="1262"/>
      <c r="L341" s="1466"/>
    </row>
    <row r="342" spans="1:16" s="1199" customFormat="1" ht="24" customHeight="1">
      <c r="A342" s="1339"/>
      <c r="B342" s="1220" t="s">
        <v>1344</v>
      </c>
      <c r="C342" s="1221"/>
      <c r="D342" s="1221"/>
      <c r="E342" s="1404">
        <v>350</v>
      </c>
      <c r="F342" s="1262" t="s">
        <v>226</v>
      </c>
      <c r="G342" s="1386">
        <v>316</v>
      </c>
      <c r="H342" s="1343">
        <f t="shared" ref="H342" si="58">ROUND(E342*G342,)</f>
        <v>110600</v>
      </c>
      <c r="I342" s="1414">
        <v>50</v>
      </c>
      <c r="J342" s="1343">
        <f t="shared" ref="J342:J343" si="59">ROUND(E342*I342,)</f>
        <v>17500</v>
      </c>
      <c r="K342" s="1262">
        <f t="shared" ref="K342:K343" si="60">H342+J342</f>
        <v>128100</v>
      </c>
      <c r="L342" s="1466"/>
    </row>
    <row r="343" spans="1:16" s="1199" customFormat="1" ht="24" customHeight="1">
      <c r="A343" s="1339"/>
      <c r="B343" s="1220" t="s">
        <v>1384</v>
      </c>
      <c r="C343" s="1221"/>
      <c r="D343" s="1221"/>
      <c r="E343" s="1404">
        <v>1</v>
      </c>
      <c r="F343" s="1412" t="s">
        <v>1104</v>
      </c>
      <c r="G343" s="1386">
        <f>SUM(H342)*15%</f>
        <v>16590</v>
      </c>
      <c r="H343" s="1343">
        <f t="shared" ref="H343" si="61">ROUND(G343*E343,)</f>
        <v>16590</v>
      </c>
      <c r="I343" s="1414">
        <f>G343*0.3</f>
        <v>4977</v>
      </c>
      <c r="J343" s="1343">
        <f t="shared" si="59"/>
        <v>4977</v>
      </c>
      <c r="K343" s="1262">
        <f t="shared" si="60"/>
        <v>21567</v>
      </c>
      <c r="L343" s="1466"/>
    </row>
    <row r="344" spans="1:16" s="1199" customFormat="1" ht="24" customHeight="1">
      <c r="A344" s="1339"/>
      <c r="B344" s="1220" t="s">
        <v>1117</v>
      </c>
      <c r="C344" s="1221"/>
      <c r="D344" s="1221"/>
      <c r="E344" s="1404"/>
      <c r="F344" s="1412"/>
      <c r="G344" s="1386"/>
      <c r="H344" s="1413"/>
      <c r="I344" s="1414"/>
      <c r="J344" s="1415"/>
      <c r="K344" s="1415"/>
      <c r="L344" s="1415"/>
      <c r="M344" s="1214"/>
      <c r="N344" s="1214"/>
      <c r="O344" s="1214"/>
      <c r="P344" s="1214"/>
    </row>
    <row r="345" spans="1:16" s="1199" customFormat="1" ht="24" customHeight="1">
      <c r="A345" s="1339"/>
      <c r="B345" s="1220" t="s">
        <v>1118</v>
      </c>
      <c r="C345" s="1221"/>
      <c r="D345" s="1221"/>
      <c r="E345" s="1404"/>
      <c r="F345" s="1412"/>
      <c r="G345" s="1386"/>
      <c r="H345" s="1413"/>
      <c r="I345" s="1414"/>
      <c r="J345" s="1415"/>
      <c r="K345" s="1415"/>
      <c r="L345" s="1415"/>
      <c r="M345" s="1214"/>
      <c r="N345" s="1214"/>
      <c r="O345" s="1214"/>
      <c r="P345" s="1214"/>
    </row>
    <row r="346" spans="1:16" s="1199" customFormat="1" ht="24" customHeight="1">
      <c r="A346" s="1243"/>
      <c r="B346" s="2257" t="str">
        <f>"รวมราคารายการที่ "&amp;A323</f>
        <v>รวมราคารายการที่ 3.10</v>
      </c>
      <c r="C346" s="2258"/>
      <c r="D346" s="2259"/>
      <c r="E346" s="1244"/>
      <c r="F346" s="1245"/>
      <c r="G346" s="1246"/>
      <c r="H346" s="1247">
        <f>SUM(H324:H345)</f>
        <v>1062565</v>
      </c>
      <c r="I346" s="1246"/>
      <c r="J346" s="1247">
        <f>SUM(J324:J345)</f>
        <v>143720</v>
      </c>
      <c r="K346" s="1247">
        <f>SUM(K324:K345)</f>
        <v>1206285</v>
      </c>
      <c r="L346" s="1245"/>
    </row>
  </sheetData>
  <mergeCells count="19">
    <mergeCell ref="B235:D235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3:D43"/>
    <mergeCell ref="B154:D154"/>
    <mergeCell ref="B202:D202"/>
    <mergeCell ref="B218:D218"/>
    <mergeCell ref="B250:D250"/>
    <mergeCell ref="B257:D257"/>
    <mergeCell ref="B286:D286"/>
    <mergeCell ref="B322:D322"/>
    <mergeCell ref="B346:D346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ดาดฟ้า-อาคารทิศตะวันตก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14C55-0CDB-4900-AEA3-9DA292714FD6}">
  <sheetPr>
    <tabColor rgb="FF92D050"/>
  </sheetPr>
  <dimension ref="A1:U32"/>
  <sheetViews>
    <sheetView view="pageBreakPreview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5.703125" style="1" customWidth="1"/>
    <col min="13" max="13" width="20" style="1" customWidth="1"/>
    <col min="14" max="99" width="7.703125" style="1" customWidth="1"/>
    <col min="100" max="16384" width="9" style="1"/>
  </cols>
  <sheetData>
    <row r="1" spans="1:13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3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3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3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3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3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3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3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3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3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3" ht="24" customHeight="1">
      <c r="A11" s="1523" t="s">
        <v>28</v>
      </c>
      <c r="B11" s="1524" t="s">
        <v>1669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3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3" s="1199" customFormat="1" ht="24" customHeight="1">
      <c r="A13" s="1189">
        <v>1</v>
      </c>
      <c r="B13" s="1190" t="str">
        <f>'04.TV.อาคารตะวันตก(Main)'!B11</f>
        <v>ระบบโทรทัศน์วงจรปิด (Closed Circuit TV System) Main Equipment</v>
      </c>
      <c r="C13" s="1191"/>
      <c r="D13" s="1192"/>
      <c r="E13" s="1193">
        <v>1</v>
      </c>
      <c r="F13" s="1194" t="s">
        <v>19</v>
      </c>
      <c r="G13" s="1195"/>
      <c r="H13" s="1196">
        <f>'04.TV.อาคารตะวันตก(Main)'!H34</f>
        <v>845661</v>
      </c>
      <c r="I13" s="1197"/>
      <c r="J13" s="1196">
        <f>'04.TV.อาคารตะวันตก(Main)'!J34</f>
        <v>201948</v>
      </c>
      <c r="K13" s="1196">
        <f>'04.TV.อาคารตะวันตก(Main)'!K34</f>
        <v>1047609</v>
      </c>
      <c r="L13" s="1531"/>
      <c r="M13" s="1532"/>
    </row>
    <row r="14" spans="1:13" s="1199" customFormat="1" ht="24" customHeight="1">
      <c r="A14" s="1189">
        <v>2</v>
      </c>
      <c r="B14" s="1205" t="str">
        <f>'04.TV.อาคารตะวันตก (B2)'!B11</f>
        <v>ระบบโทรทัศน์วงจรปิด (Closed Circuit TV System) ชั้น B2</v>
      </c>
      <c r="C14" s="1201"/>
      <c r="D14" s="1471"/>
      <c r="E14" s="1206">
        <v>1</v>
      </c>
      <c r="F14" s="1194" t="s">
        <v>19</v>
      </c>
      <c r="G14" s="1195"/>
      <c r="H14" s="1196">
        <f>'04.TV.อาคารตะวันตก (B2)'!H34</f>
        <v>1152386</v>
      </c>
      <c r="I14" s="1197"/>
      <c r="J14" s="1196">
        <f>'04.TV.อาคารตะวันตก (B2)'!J34</f>
        <v>56073</v>
      </c>
      <c r="K14" s="1196">
        <f>'04.TV.อาคารตะวันตก (B2)'!K34</f>
        <v>1208459</v>
      </c>
      <c r="L14" s="1531"/>
      <c r="M14" s="1532"/>
    </row>
    <row r="15" spans="1:13" s="1199" customFormat="1" ht="24" customHeight="1">
      <c r="A15" s="1189">
        <v>3</v>
      </c>
      <c r="B15" s="1205" t="str">
        <f>'04.TV.อาคารตะวันตก (B1)'!B11</f>
        <v>ระบบโทรทัศน์วงจรปิด (Closed Circuit TV System) ชั้น B1</v>
      </c>
      <c r="C15" s="1202"/>
      <c r="D15" s="1203"/>
      <c r="E15" s="1206">
        <v>1</v>
      </c>
      <c r="F15" s="1194" t="s">
        <v>19</v>
      </c>
      <c r="G15" s="1195"/>
      <c r="H15" s="1196">
        <f>'04.TV.อาคารตะวันตก (B1)'!H34</f>
        <v>1057509</v>
      </c>
      <c r="I15" s="1197"/>
      <c r="J15" s="1196">
        <f>'04.TV.อาคารตะวันตก (B1)'!J34</f>
        <v>53937</v>
      </c>
      <c r="K15" s="1196">
        <f>'04.TV.อาคารตะวันตก (B1)'!K34</f>
        <v>1111446</v>
      </c>
      <c r="L15" s="1531"/>
      <c r="M15" s="1532"/>
    </row>
    <row r="16" spans="1:13" s="1199" customFormat="1" ht="24" customHeight="1">
      <c r="A16" s="1189">
        <v>4</v>
      </c>
      <c r="B16" s="1205" t="str">
        <f>'04.TV.อาคารตะวันตก (1FL)'!B11</f>
        <v>ระบบโทรทัศน์วงจรปิด (Closed Circuit TV System) ชั้น 1</v>
      </c>
      <c r="C16" s="1202"/>
      <c r="D16" s="1203"/>
      <c r="E16" s="1193">
        <v>1</v>
      </c>
      <c r="F16" s="1194" t="s">
        <v>19</v>
      </c>
      <c r="G16" s="1195"/>
      <c r="H16" s="1196">
        <f>'04.TV.อาคารตะวันตก (1FL)'!H34</f>
        <v>314743</v>
      </c>
      <c r="I16" s="1197"/>
      <c r="J16" s="1196">
        <f>'04.TV.อาคารตะวันตก (1FL)'!J34</f>
        <v>19979</v>
      </c>
      <c r="K16" s="1196">
        <f>'04.TV.อาคารตะวันตก (1FL)'!K34</f>
        <v>334722</v>
      </c>
      <c r="L16" s="1531"/>
      <c r="M16" s="1532"/>
    </row>
    <row r="17" spans="1:21" s="1199" customFormat="1" ht="24" customHeight="1">
      <c r="A17" s="1189">
        <v>5</v>
      </c>
      <c r="B17" s="1205" t="str">
        <f>'04.TVอาคารตะวันตก (2FL)'!B11</f>
        <v>ระบบโทรทัศน์วงจรปิด (Closed Circuit TV System) ชั้น 2</v>
      </c>
      <c r="C17" s="1202"/>
      <c r="D17" s="1203"/>
      <c r="E17" s="1206">
        <v>1</v>
      </c>
      <c r="F17" s="1194" t="s">
        <v>19</v>
      </c>
      <c r="G17" s="1195"/>
      <c r="H17" s="1196">
        <f>'04.TVอาคารตะวันตก (2FL)'!H34</f>
        <v>201283</v>
      </c>
      <c r="I17" s="1197"/>
      <c r="J17" s="1196">
        <f>'04.TVอาคารตะวันตก (2FL)'!J34</f>
        <v>16979</v>
      </c>
      <c r="K17" s="1196">
        <f>'04.TVอาคารตะวันตก (2FL)'!K34</f>
        <v>218262</v>
      </c>
      <c r="L17" s="1531"/>
      <c r="M17" s="1532"/>
    </row>
    <row r="18" spans="1:21" s="1199" customFormat="1" ht="24" customHeight="1">
      <c r="A18" s="1189">
        <v>6</v>
      </c>
      <c r="B18" s="1205" t="str">
        <f>'04.TV.อาคารตะวันตก (3FL)'!B11</f>
        <v>ระบบโทรทัศน์วงจรปิด (Closed Circuit TV System) ชั้น 3</v>
      </c>
      <c r="C18" s="1202"/>
      <c r="D18" s="1203"/>
      <c r="E18" s="1206">
        <v>1</v>
      </c>
      <c r="F18" s="1194" t="s">
        <v>19</v>
      </c>
      <c r="G18" s="1195"/>
      <c r="H18" s="1196">
        <f>'04.TV.อาคารตะวันตก (3FL)'!H34</f>
        <v>201283</v>
      </c>
      <c r="I18" s="1197"/>
      <c r="J18" s="1196">
        <f>'04.TV.อาคารตะวันตก (3FL)'!J34</f>
        <v>16979</v>
      </c>
      <c r="K18" s="1196">
        <f>'04.TV.อาคารตะวันตก (3FL)'!K34</f>
        <v>218262</v>
      </c>
      <c r="L18" s="1531"/>
      <c r="M18" s="1532"/>
    </row>
    <row r="19" spans="1:21" s="1199" customFormat="1" ht="24" customHeight="1">
      <c r="A19" s="1189">
        <v>7</v>
      </c>
      <c r="B19" s="1205" t="str">
        <f>'04.TV.อาคารตะวันตก (4FL)'!B11</f>
        <v>ระบบโทรทัศน์วงจรปิด (Closed Circuit TV System) ชั้น 4</v>
      </c>
      <c r="C19" s="1202"/>
      <c r="D19" s="1203"/>
      <c r="E19" s="1193">
        <v>1</v>
      </c>
      <c r="F19" s="1194" t="s">
        <v>19</v>
      </c>
      <c r="G19" s="1195"/>
      <c r="H19" s="1196">
        <f>'04.TV.อาคารตะวันตก (4FL)'!H34</f>
        <v>314743</v>
      </c>
      <c r="I19" s="1197"/>
      <c r="J19" s="1196">
        <f>'04.TV.อาคารตะวันตก (4FL)'!J34</f>
        <v>19979</v>
      </c>
      <c r="K19" s="1196">
        <f>'04.TV.อาคารตะวันตก (4FL)'!K34</f>
        <v>334722</v>
      </c>
      <c r="L19" s="1531"/>
      <c r="M19" s="1532"/>
    </row>
    <row r="20" spans="1:21" s="1199" customFormat="1" ht="24" customHeight="1">
      <c r="A20" s="1189">
        <v>8</v>
      </c>
      <c r="B20" s="1205" t="str">
        <f>'04.TV.อาคารตะวันตก (5FL)'!B11</f>
        <v>ระบบโทรทัศน์วงจรปิด (Closed Circuit TV System) ชั้น 5</v>
      </c>
      <c r="C20" s="1202"/>
      <c r="D20" s="1203"/>
      <c r="E20" s="1206">
        <v>1</v>
      </c>
      <c r="F20" s="1194" t="s">
        <v>19</v>
      </c>
      <c r="G20" s="1195"/>
      <c r="H20" s="1196">
        <f>'04.TV.อาคารตะวันตก (5FL)'!H34</f>
        <v>201283</v>
      </c>
      <c r="I20" s="1197"/>
      <c r="J20" s="1196">
        <f>'04.TV.อาคารตะวันตก (5FL)'!J34</f>
        <v>16979</v>
      </c>
      <c r="K20" s="1196">
        <f>'04.TV.อาคารตะวันตก (5FL)'!K34</f>
        <v>218262</v>
      </c>
      <c r="L20" s="1531"/>
      <c r="M20" s="1532"/>
    </row>
    <row r="21" spans="1:21" s="1199" customFormat="1" ht="24" customHeight="1">
      <c r="A21" s="1189">
        <v>9</v>
      </c>
      <c r="B21" s="1205" t="str">
        <f>'04.TVอาคารตะวันตก (6FL)'!B11</f>
        <v>ระบบโทรทัศน์วงจรปิด (Closed Circuit TV System) ชั้น 6</v>
      </c>
      <c r="C21" s="1202"/>
      <c r="D21" s="1203"/>
      <c r="E21" s="1206">
        <v>1</v>
      </c>
      <c r="F21" s="1194" t="s">
        <v>19</v>
      </c>
      <c r="G21" s="1195"/>
      <c r="H21" s="1196">
        <f>'04.TVอาคารตะวันตก (6FL)'!H34</f>
        <v>201283</v>
      </c>
      <c r="I21" s="1197"/>
      <c r="J21" s="1196">
        <f>'04.TVอาคารตะวันตก (6FL)'!J34</f>
        <v>16979</v>
      </c>
      <c r="K21" s="1196">
        <f>'04.TVอาคารตะวันตก (6FL)'!K34</f>
        <v>218262</v>
      </c>
      <c r="L21" s="1531"/>
      <c r="M21" s="1532"/>
    </row>
    <row r="22" spans="1:21" s="1199" customFormat="1" ht="24" customHeight="1">
      <c r="A22" s="1189">
        <v>10</v>
      </c>
      <c r="B22" s="1205" t="str">
        <f>'04.TV.อาคารตะวันตก (7FL)'!B11</f>
        <v>ระบบโทรทัศน์วงจรปิด (Closed Circuit TV System) ชั้น 7</v>
      </c>
      <c r="C22" s="1202"/>
      <c r="D22" s="1203"/>
      <c r="E22" s="1193">
        <v>1</v>
      </c>
      <c r="F22" s="1194" t="s">
        <v>19</v>
      </c>
      <c r="G22" s="1195"/>
      <c r="H22" s="1196">
        <f>'04.TV.อาคารตะวันตก (7FL)'!H34</f>
        <v>314743</v>
      </c>
      <c r="I22" s="1197"/>
      <c r="J22" s="1196">
        <f>'04.TV.อาคารตะวันตก (7FL)'!J34</f>
        <v>19979</v>
      </c>
      <c r="K22" s="1196">
        <f>'04.TV.อาคารตะวันตก (7FL)'!K34</f>
        <v>334722</v>
      </c>
      <c r="L22" s="1531"/>
      <c r="M22" s="1532"/>
    </row>
    <row r="23" spans="1:21" s="1199" customFormat="1" ht="24" customHeight="1">
      <c r="A23" s="1189">
        <v>11</v>
      </c>
      <c r="B23" s="1205" t="str">
        <f>'04.TV.อาคารตะวันตก (8FL)'!B11</f>
        <v>ระบบโทรทัศน์วงจรปิด (Closed Circuit TV System) ชั้น 8</v>
      </c>
      <c r="C23" s="1533"/>
      <c r="D23" s="1534"/>
      <c r="E23" s="1206">
        <v>1</v>
      </c>
      <c r="F23" s="1194" t="s">
        <v>19</v>
      </c>
      <c r="G23" s="1195"/>
      <c r="H23" s="1196">
        <f>'04.TV.อาคารตะวันตก (8FL)'!H34</f>
        <v>201283</v>
      </c>
      <c r="I23" s="1197"/>
      <c r="J23" s="1196">
        <f>'04.TV.อาคารตะวันตก (8FL)'!J34</f>
        <v>16979</v>
      </c>
      <c r="K23" s="1196">
        <f>'04.TV.อาคารตะวันตก (8FL)'!K34</f>
        <v>218262</v>
      </c>
      <c r="L23" s="1531"/>
      <c r="M23" s="1532"/>
    </row>
    <row r="24" spans="1:21" s="1199" customFormat="1" ht="24" customHeight="1">
      <c r="A24" s="1189">
        <v>12</v>
      </c>
      <c r="B24" s="1205" t="str">
        <f>'04.TV.อาคารตะวันตก (9FL)'!B11</f>
        <v>ระบบโทรทัศน์วงจรปิด (Closed Circuit TV System) ชั้น 9</v>
      </c>
      <c r="C24" s="1533"/>
      <c r="D24" s="1534"/>
      <c r="E24" s="1206">
        <v>1</v>
      </c>
      <c r="F24" s="1194" t="s">
        <v>19</v>
      </c>
      <c r="G24" s="1195"/>
      <c r="H24" s="1196">
        <f>'04.TV.อาคารตะวันตก (9FL)'!H34</f>
        <v>201283</v>
      </c>
      <c r="I24" s="1197"/>
      <c r="J24" s="1196">
        <f>'04.TV.อาคารตะวันตก (9FL)'!J34</f>
        <v>16979</v>
      </c>
      <c r="K24" s="1196">
        <f>'04.TV.อาคารตะวันตก (9FL)'!K34</f>
        <v>218262</v>
      </c>
      <c r="L24" s="1531"/>
      <c r="M24" s="1532"/>
    </row>
    <row r="25" spans="1:21" s="1199" customFormat="1" ht="24" customHeight="1">
      <c r="A25" s="1189">
        <v>13</v>
      </c>
      <c r="B25" s="1205" t="str">
        <f>'04.TV.อาคารตะวันตก (10FL)'!B11</f>
        <v>ระบบโทรทัศน์วงจรปิด (Closed Circuit TV System) ชั้น 10</v>
      </c>
      <c r="C25" s="1533"/>
      <c r="D25" s="1534"/>
      <c r="E25" s="1193">
        <v>1</v>
      </c>
      <c r="F25" s="1194" t="s">
        <v>19</v>
      </c>
      <c r="G25" s="1195"/>
      <c r="H25" s="1196">
        <f>'04.TV.อาคารตะวันตก (10FL)'!H34</f>
        <v>314743</v>
      </c>
      <c r="I25" s="1197"/>
      <c r="J25" s="1196">
        <f>'04.TV.อาคารตะวันตก (10FL)'!J34</f>
        <v>19979</v>
      </c>
      <c r="K25" s="1196">
        <f>'04.TV.อาคารตะวันตก (10FL)'!K34</f>
        <v>334722</v>
      </c>
      <c r="L25" s="1531"/>
      <c r="M25" s="1532"/>
    </row>
    <row r="26" spans="1:21" s="1199" customFormat="1" ht="24" customHeight="1">
      <c r="A26" s="1189">
        <v>14</v>
      </c>
      <c r="B26" s="1205" t="str">
        <f>'04.TV.อาคารตะวันตก (11FL)'!B11</f>
        <v>ระบบโทรทัศน์วงจรปิด (Closed Circuit TV System) ชั้น 11</v>
      </c>
      <c r="C26" s="1533"/>
      <c r="D26" s="1534"/>
      <c r="E26" s="1206">
        <v>1</v>
      </c>
      <c r="F26" s="1194" t="s">
        <v>19</v>
      </c>
      <c r="G26" s="1195"/>
      <c r="H26" s="1196">
        <f>'04.TV.อาคารตะวันตก (11FL)'!H34</f>
        <v>201283</v>
      </c>
      <c r="I26" s="1197"/>
      <c r="J26" s="1196">
        <f>'04.TV.อาคารตะวันตก (11FL)'!J34</f>
        <v>16979</v>
      </c>
      <c r="K26" s="1196">
        <f>'04.TV.อาคารตะวันตก (11FL)'!K34</f>
        <v>218262</v>
      </c>
      <c r="L26" s="1531"/>
      <c r="M26" s="1532"/>
    </row>
    <row r="27" spans="1:21" s="1199" customFormat="1" ht="24" customHeight="1">
      <c r="A27" s="1189">
        <v>15</v>
      </c>
      <c r="B27" s="1205" t="str">
        <f>'04.TV.อาคารตะวันตก (RFL)'!B11</f>
        <v>ระบบโทรทัศน์วงจรปิด (Closed Circuit TV System) ชั้น ดาดฟ้า</v>
      </c>
      <c r="C27" s="1533"/>
      <c r="D27" s="1534"/>
      <c r="E27" s="1206">
        <v>1</v>
      </c>
      <c r="F27" s="1194" t="s">
        <v>19</v>
      </c>
      <c r="G27" s="1195"/>
      <c r="H27" s="1196">
        <f>'04.TV.อาคารตะวันตก (RFL)'!H34</f>
        <v>100642</v>
      </c>
      <c r="I27" s="1197"/>
      <c r="J27" s="1196">
        <f>'04.TV.อาคารตะวันตก (RFL)'!J34</f>
        <v>8490</v>
      </c>
      <c r="K27" s="1196">
        <f>'04.TV.อาคารตะวันตก (RFL)'!K34</f>
        <v>109132</v>
      </c>
      <c r="L27" s="1531"/>
      <c r="M27" s="1532"/>
    </row>
    <row r="28" spans="1:21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21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21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21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21" s="1199" customFormat="1" ht="25.15" customHeight="1">
      <c r="A32" s="1209"/>
      <c r="B32" s="1536" t="str">
        <f>"รวมราคา"&amp;B11</f>
        <v>รวมราคาระบบโทรทัศน์วงจรปิด (Closed Circuit TV System)</v>
      </c>
      <c r="C32" s="1536"/>
      <c r="D32" s="1536"/>
      <c r="E32" s="1210"/>
      <c r="F32" s="1211"/>
      <c r="G32" s="1212"/>
      <c r="H32" s="1213">
        <f>SUM(H13:H31)</f>
        <v>5824151</v>
      </c>
      <c r="I32" s="1213"/>
      <c r="J32" s="1213">
        <f>SUM(J13:J31)</f>
        <v>519217</v>
      </c>
      <c r="K32" s="1213">
        <f>SUM(K13:K31)</f>
        <v>6343368</v>
      </c>
      <c r="L32" s="1213"/>
      <c r="M32" s="1214"/>
      <c r="N32" s="1214"/>
      <c r="O32" s="1214"/>
      <c r="P32" s="1214"/>
      <c r="Q32" s="1214"/>
      <c r="R32" s="1214"/>
      <c r="S32" s="1214"/>
      <c r="T32" s="1214"/>
      <c r="U32" s="1214"/>
    </row>
  </sheetData>
  <mergeCells count="8"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74803149606299202" bottom="0.74803149606299202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&amp;Rหน้าสรุปงานระบบโทรทัศน์วงจรปิด-อาคารด้านทิศตะวันตก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F9E17-AB41-4EF3-B679-8D06C0CFB12B}">
  <sheetPr>
    <tabColor rgb="FF92D050"/>
  </sheetPr>
  <dimension ref="A1:U58"/>
  <sheetViews>
    <sheetView view="pageBreakPreview" topLeftCell="A43" zoomScale="85" zoomScaleNormal="100" zoomScaleSheetLayoutView="85" workbookViewId="0">
      <selection activeCell="D64" sqref="D64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3.703125" style="1" customWidth="1"/>
    <col min="13" max="13" width="7.703125" style="1" customWidth="1"/>
    <col min="14" max="14" width="12.5859375" style="1" bestFit="1" customWidth="1"/>
    <col min="15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1670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v>4.0999999999999996</v>
      </c>
      <c r="B13" s="1190" t="s">
        <v>1669</v>
      </c>
      <c r="C13" s="1191"/>
      <c r="D13" s="1192"/>
      <c r="E13" s="1193">
        <v>1</v>
      </c>
      <c r="F13" s="1194" t="s">
        <v>19</v>
      </c>
      <c r="G13" s="1195"/>
      <c r="H13" s="1196">
        <f>H58</f>
        <v>845661</v>
      </c>
      <c r="I13" s="1197"/>
      <c r="J13" s="1196">
        <f t="shared" ref="J13:K13" si="0">J58</f>
        <v>201948</v>
      </c>
      <c r="K13" s="1196">
        <f t="shared" si="0"/>
        <v>1047609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">
        <v>1671</v>
      </c>
      <c r="C34" s="2258"/>
      <c r="D34" s="2259"/>
      <c r="E34" s="1481"/>
      <c r="F34" s="1245"/>
      <c r="G34" s="1246"/>
      <c r="H34" s="1247">
        <f>H13</f>
        <v>845661</v>
      </c>
      <c r="I34" s="1246"/>
      <c r="J34" s="1247">
        <f t="shared" ref="J34:K34" si="1">J13</f>
        <v>201948</v>
      </c>
      <c r="K34" s="1247">
        <f t="shared" si="1"/>
        <v>1047609</v>
      </c>
      <c r="L34" s="1245"/>
      <c r="M34" s="1214"/>
      <c r="N34" s="1540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2068" customFormat="1" ht="24" customHeight="1">
      <c r="A36" s="2065" t="s">
        <v>1677</v>
      </c>
      <c r="B36" s="1205" t="s">
        <v>2723</v>
      </c>
      <c r="C36" s="1191"/>
      <c r="D36" s="1471"/>
      <c r="E36" s="1206"/>
      <c r="F36" s="1207"/>
      <c r="G36" s="1263"/>
      <c r="H36" s="1264"/>
      <c r="I36" s="1265"/>
      <c r="J36" s="1264"/>
      <c r="K36" s="1265"/>
      <c r="L36" s="2066"/>
      <c r="M36" s="2067"/>
      <c r="N36" s="2067"/>
      <c r="O36" s="2067"/>
      <c r="P36" s="2067"/>
      <c r="Q36" s="2067"/>
      <c r="R36" s="2067"/>
      <c r="S36" s="2067"/>
      <c r="T36" s="2067"/>
      <c r="U36" s="2067"/>
    </row>
    <row r="37" spans="1:21" s="2068" customFormat="1" ht="24" customHeight="1">
      <c r="A37" s="2069"/>
      <c r="B37" s="1205" t="s">
        <v>2686</v>
      </c>
      <c r="C37" s="1191"/>
      <c r="D37" s="1471"/>
      <c r="E37" s="1206"/>
      <c r="F37" s="1207" t="s">
        <v>363</v>
      </c>
      <c r="G37" s="1342">
        <v>68500</v>
      </c>
      <c r="H37" s="1264">
        <f>ROUND(E37*G37,)</f>
        <v>0</v>
      </c>
      <c r="I37" s="1344">
        <f>ROUND(G37*0.01,)</f>
        <v>685</v>
      </c>
      <c r="J37" s="1264">
        <f>ROUND(I37*E37,)</f>
        <v>0</v>
      </c>
      <c r="K37" s="1265">
        <f>H37+J37</f>
        <v>0</v>
      </c>
      <c r="L37" s="2066"/>
      <c r="M37" s="2067"/>
      <c r="N37" s="2067"/>
      <c r="O37" s="2067"/>
      <c r="P37" s="2067"/>
      <c r="Q37" s="2067"/>
      <c r="R37" s="2067"/>
      <c r="S37" s="2067"/>
      <c r="T37" s="2067"/>
      <c r="U37" s="2067"/>
    </row>
    <row r="38" spans="1:21" s="2068" customFormat="1" ht="24" customHeight="1">
      <c r="A38" s="2069"/>
      <c r="B38" s="1205" t="s">
        <v>2687</v>
      </c>
      <c r="C38" s="1191"/>
      <c r="D38" s="1471"/>
      <c r="E38" s="1206">
        <v>1</v>
      </c>
      <c r="F38" s="1207" t="s">
        <v>363</v>
      </c>
      <c r="G38" s="1263">
        <v>3598</v>
      </c>
      <c r="H38" s="1264">
        <f>ROUND(E38*G38,)</f>
        <v>3598</v>
      </c>
      <c r="I38" s="1344">
        <f>ROUND(G38*0.01,)</f>
        <v>36</v>
      </c>
      <c r="J38" s="1264">
        <f>ROUND(I38*E38,)</f>
        <v>36</v>
      </c>
      <c r="K38" s="1265">
        <f>H38+J38</f>
        <v>3634</v>
      </c>
      <c r="L38" s="2066"/>
      <c r="M38" s="2067"/>
      <c r="N38" s="2067"/>
      <c r="O38" s="2067"/>
      <c r="P38" s="2067"/>
      <c r="Q38" s="2067"/>
      <c r="R38" s="2067"/>
      <c r="S38" s="2067"/>
      <c r="T38" s="2067"/>
      <c r="U38" s="2067"/>
    </row>
    <row r="39" spans="1:21" s="2068" customFormat="1" ht="24" customHeight="1">
      <c r="A39" s="2069"/>
      <c r="B39" s="1205" t="s">
        <v>2688</v>
      </c>
      <c r="C39" s="1191"/>
      <c r="D39" s="1471"/>
      <c r="E39" s="1206">
        <v>24</v>
      </c>
      <c r="F39" s="1207" t="s">
        <v>363</v>
      </c>
      <c r="G39" s="1263">
        <v>245</v>
      </c>
      <c r="H39" s="1264">
        <f>ROUND(E39*G39,)</f>
        <v>5880</v>
      </c>
      <c r="I39" s="1344">
        <f>ROUND(G39*0.01,)</f>
        <v>2</v>
      </c>
      <c r="J39" s="1264">
        <f>ROUND(I39*E39,)</f>
        <v>48</v>
      </c>
      <c r="K39" s="1265">
        <f>H39+J39</f>
        <v>5928</v>
      </c>
      <c r="L39" s="2066"/>
      <c r="M39" s="2067"/>
      <c r="N39" s="2067"/>
      <c r="O39" s="2067"/>
      <c r="P39" s="2067"/>
      <c r="Q39" s="2067"/>
      <c r="R39" s="2067"/>
      <c r="S39" s="2067"/>
      <c r="T39" s="2067"/>
      <c r="U39" s="2067"/>
    </row>
    <row r="40" spans="1:21" s="2068" customFormat="1" ht="24" customHeight="1">
      <c r="A40" s="2069"/>
      <c r="B40" s="1205" t="s">
        <v>2689</v>
      </c>
      <c r="C40" s="1191"/>
      <c r="D40" s="1471"/>
      <c r="E40" s="1206"/>
      <c r="F40" s="1207" t="s">
        <v>363</v>
      </c>
      <c r="G40" s="1263">
        <v>22500</v>
      </c>
      <c r="H40" s="1264">
        <f>ROUND(E40*G40,)</f>
        <v>0</v>
      </c>
      <c r="I40" s="1344">
        <f>ROUND(G40*0.01,)</f>
        <v>225</v>
      </c>
      <c r="J40" s="1264">
        <f>ROUND(I40*E40,)</f>
        <v>0</v>
      </c>
      <c r="K40" s="1265">
        <f>H40+J40</f>
        <v>0</v>
      </c>
      <c r="L40" s="2066"/>
      <c r="M40" s="2067"/>
      <c r="N40" s="2067"/>
      <c r="O40" s="2067"/>
      <c r="P40" s="2067"/>
      <c r="Q40" s="2067"/>
      <c r="R40" s="2067"/>
      <c r="S40" s="2067"/>
      <c r="T40" s="2067"/>
      <c r="U40" s="2067"/>
    </row>
    <row r="41" spans="1:21" s="2068" customFormat="1" ht="24" customHeight="1">
      <c r="A41" s="1477" t="s">
        <v>1672</v>
      </c>
      <c r="B41" s="1205" t="s">
        <v>2690</v>
      </c>
      <c r="C41" s="1191"/>
      <c r="D41" s="1471"/>
      <c r="E41" s="1206"/>
      <c r="F41" s="1207"/>
      <c r="G41" s="1263"/>
      <c r="H41" s="1264"/>
      <c r="I41" s="1265"/>
      <c r="J41" s="1264"/>
      <c r="K41" s="1265"/>
      <c r="L41" s="2066"/>
      <c r="M41" s="2067"/>
      <c r="N41" s="2067"/>
      <c r="O41" s="2067"/>
      <c r="P41" s="2067"/>
      <c r="Q41" s="2067"/>
      <c r="R41" s="2067"/>
      <c r="S41" s="2067"/>
      <c r="T41" s="2067"/>
      <c r="U41" s="2067"/>
    </row>
    <row r="42" spans="1:21" s="2068" customFormat="1" ht="24" customHeight="1">
      <c r="A42" s="2069"/>
      <c r="B42" s="1205" t="s">
        <v>2686</v>
      </c>
      <c r="C42" s="1191"/>
      <c r="D42" s="1471"/>
      <c r="E42" s="1206">
        <v>2</v>
      </c>
      <c r="F42" s="1207" t="s">
        <v>363</v>
      </c>
      <c r="G42" s="1342">
        <v>68500</v>
      </c>
      <c r="H42" s="1264">
        <f t="shared" ref="H42:H47" si="2">ROUND(E42*G42,)</f>
        <v>137000</v>
      </c>
      <c r="I42" s="1344">
        <f>ROUND(G42*0.01,)</f>
        <v>685</v>
      </c>
      <c r="J42" s="1264">
        <f t="shared" ref="J42:J47" si="3">ROUND(I42*E42,)</f>
        <v>1370</v>
      </c>
      <c r="K42" s="1265">
        <f t="shared" ref="K42:K47" si="4">H42+J42</f>
        <v>138370</v>
      </c>
      <c r="L42" s="2066"/>
      <c r="M42" s="2067"/>
      <c r="N42" s="2067"/>
      <c r="O42" s="2067"/>
      <c r="P42" s="2067"/>
      <c r="Q42" s="2067"/>
      <c r="R42" s="2067"/>
      <c r="S42" s="2067"/>
      <c r="T42" s="2067"/>
      <c r="U42" s="2067"/>
    </row>
    <row r="43" spans="1:21" s="2068" customFormat="1" ht="24" customHeight="1">
      <c r="A43" s="2069"/>
      <c r="B43" s="1205" t="s">
        <v>2687</v>
      </c>
      <c r="C43" s="1191"/>
      <c r="D43" s="1471"/>
      <c r="E43" s="1206">
        <v>6</v>
      </c>
      <c r="F43" s="1207" t="s">
        <v>363</v>
      </c>
      <c r="G43" s="1263">
        <v>3598</v>
      </c>
      <c r="H43" s="1264">
        <f t="shared" si="2"/>
        <v>21588</v>
      </c>
      <c r="I43" s="1344">
        <f>ROUND(G43*0.01,)</f>
        <v>36</v>
      </c>
      <c r="J43" s="1264">
        <f t="shared" si="3"/>
        <v>216</v>
      </c>
      <c r="K43" s="1265">
        <f t="shared" si="4"/>
        <v>21804</v>
      </c>
      <c r="L43" s="2066"/>
      <c r="M43" s="2067"/>
      <c r="N43" s="2067"/>
      <c r="O43" s="2067"/>
      <c r="P43" s="2067"/>
      <c r="Q43" s="2067"/>
      <c r="R43" s="2067"/>
      <c r="S43" s="2067"/>
      <c r="T43" s="2067"/>
      <c r="U43" s="2067"/>
    </row>
    <row r="44" spans="1:21" s="2068" customFormat="1" ht="24" customHeight="1">
      <c r="A44" s="2069"/>
      <c r="B44" s="1205" t="s">
        <v>2688</v>
      </c>
      <c r="C44" s="1191"/>
      <c r="D44" s="1471"/>
      <c r="E44" s="1206">
        <v>144</v>
      </c>
      <c r="F44" s="1207" t="s">
        <v>363</v>
      </c>
      <c r="G44" s="1263">
        <v>245</v>
      </c>
      <c r="H44" s="1264">
        <f t="shared" si="2"/>
        <v>35280</v>
      </c>
      <c r="I44" s="1344">
        <f>ROUND(G44*0.01,)</f>
        <v>2</v>
      </c>
      <c r="J44" s="1264">
        <f t="shared" si="3"/>
        <v>288</v>
      </c>
      <c r="K44" s="1265">
        <f t="shared" si="4"/>
        <v>35568</v>
      </c>
      <c r="L44" s="2066"/>
      <c r="M44" s="2067"/>
      <c r="N44" s="2067"/>
      <c r="O44" s="2067"/>
      <c r="P44" s="2067"/>
      <c r="Q44" s="2067"/>
      <c r="R44" s="2067"/>
      <c r="S44" s="2067"/>
      <c r="T44" s="2067"/>
      <c r="U44" s="2067"/>
    </row>
    <row r="45" spans="1:21" s="2068" customFormat="1" ht="24" customHeight="1">
      <c r="A45" s="2069"/>
      <c r="B45" s="1205" t="s">
        <v>2689</v>
      </c>
      <c r="C45" s="1191"/>
      <c r="D45" s="1471"/>
      <c r="E45" s="1206">
        <v>1</v>
      </c>
      <c r="F45" s="1207" t="s">
        <v>363</v>
      </c>
      <c r="G45" s="1263">
        <v>22500</v>
      </c>
      <c r="H45" s="1264">
        <f t="shared" si="2"/>
        <v>22500</v>
      </c>
      <c r="I45" s="1344">
        <f>ROUND(G45*0.01,)</f>
        <v>225</v>
      </c>
      <c r="J45" s="1264">
        <f t="shared" si="3"/>
        <v>225</v>
      </c>
      <c r="K45" s="1265">
        <f t="shared" si="4"/>
        <v>22725</v>
      </c>
      <c r="L45" s="2066"/>
      <c r="M45" s="2067"/>
      <c r="N45" s="2067"/>
      <c r="O45" s="2067"/>
      <c r="P45" s="2067"/>
      <c r="Q45" s="2067"/>
      <c r="R45" s="2067"/>
      <c r="S45" s="2067"/>
      <c r="T45" s="2067"/>
      <c r="U45" s="2067"/>
    </row>
    <row r="46" spans="1:21" s="1199" customFormat="1" ht="24" customHeight="1">
      <c r="A46" s="1470" t="s">
        <v>1673</v>
      </c>
      <c r="B46" s="1205" t="s">
        <v>2676</v>
      </c>
      <c r="C46" s="1191"/>
      <c r="D46" s="1471"/>
      <c r="E46" s="1206">
        <v>1</v>
      </c>
      <c r="F46" s="1207" t="s">
        <v>363</v>
      </c>
      <c r="G46" s="1263">
        <v>45000</v>
      </c>
      <c r="H46" s="1264">
        <f t="shared" si="2"/>
        <v>45000</v>
      </c>
      <c r="I46" s="1265"/>
      <c r="J46" s="1264">
        <f t="shared" si="3"/>
        <v>0</v>
      </c>
      <c r="K46" s="1265">
        <f t="shared" si="4"/>
        <v>45000</v>
      </c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70" t="s">
        <v>1681</v>
      </c>
      <c r="B47" s="1205" t="s">
        <v>2680</v>
      </c>
      <c r="C47" s="1191"/>
      <c r="D47" s="1471"/>
      <c r="E47" s="1206">
        <v>1</v>
      </c>
      <c r="F47" s="1207" t="s">
        <v>363</v>
      </c>
      <c r="G47" s="1263">
        <v>7500</v>
      </c>
      <c r="H47" s="1264">
        <f t="shared" si="2"/>
        <v>7500</v>
      </c>
      <c r="I47" s="1265"/>
      <c r="J47" s="1264">
        <f t="shared" si="3"/>
        <v>0</v>
      </c>
      <c r="K47" s="1265">
        <f t="shared" si="4"/>
        <v>7500</v>
      </c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78" t="s">
        <v>2724</v>
      </c>
      <c r="B48" s="1205" t="s">
        <v>1397</v>
      </c>
      <c r="C48" s="1191"/>
      <c r="D48" s="1471"/>
      <c r="E48" s="1472"/>
      <c r="F48" s="1207"/>
      <c r="G48" s="1263"/>
      <c r="H48" s="1264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79"/>
      <c r="B49" s="1205" t="s">
        <v>1416</v>
      </c>
      <c r="C49" s="1191"/>
      <c r="D49" s="1471"/>
      <c r="E49" s="1472">
        <v>2500</v>
      </c>
      <c r="F49" s="1207" t="s">
        <v>226</v>
      </c>
      <c r="G49" s="1541">
        <v>68</v>
      </c>
      <c r="H49" s="1273">
        <f>ROUND(G49*E49,)</f>
        <v>170000</v>
      </c>
      <c r="I49" s="1272">
        <v>12</v>
      </c>
      <c r="J49" s="1264">
        <f>I49*E49</f>
        <v>30000</v>
      </c>
      <c r="K49" s="1265">
        <f>J49+H49</f>
        <v>200000</v>
      </c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331"/>
      <c r="B50" s="1205" t="s">
        <v>1103</v>
      </c>
      <c r="C50" s="1202"/>
      <c r="D50" s="1202"/>
      <c r="E50" s="1404">
        <v>1</v>
      </c>
      <c r="F50" s="1384" t="s">
        <v>1104</v>
      </c>
      <c r="G50" s="1271">
        <f>ROUND(SUM(H49)*5%,)</f>
        <v>8500</v>
      </c>
      <c r="H50" s="1264">
        <f>ROUND(E50*G50,)</f>
        <v>8500</v>
      </c>
      <c r="I50" s="1272">
        <f>ROUND(G50*0.3,)</f>
        <v>2550</v>
      </c>
      <c r="J50" s="1264">
        <f>ROUND(E50*I50,)</f>
        <v>2550</v>
      </c>
      <c r="K50" s="1273">
        <f>H50+J50</f>
        <v>11050</v>
      </c>
      <c r="L50" s="1389"/>
    </row>
    <row r="51" spans="1:21" s="1199" customFormat="1" ht="24" customHeight="1">
      <c r="A51" s="1478" t="s">
        <v>2554</v>
      </c>
      <c r="B51" s="1190" t="s">
        <v>1343</v>
      </c>
      <c r="C51" s="1202"/>
      <c r="D51" s="1202"/>
      <c r="E51" s="1404"/>
      <c r="F51" s="1408"/>
      <c r="G51" s="1541"/>
      <c r="H51" s="1385"/>
      <c r="I51" s="1272"/>
      <c r="J51" s="1385"/>
      <c r="K51" s="138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190" t="s">
        <v>1344</v>
      </c>
      <c r="C52" s="1202"/>
      <c r="D52" s="1202"/>
      <c r="E52" s="1404">
        <v>350</v>
      </c>
      <c r="F52" s="1358" t="s">
        <v>226</v>
      </c>
      <c r="G52" s="1541">
        <v>316</v>
      </c>
      <c r="H52" s="1273">
        <f>ROUND(G52*E52,)</f>
        <v>110600</v>
      </c>
      <c r="I52" s="1272">
        <v>50</v>
      </c>
      <c r="J52" s="1264">
        <f>I52*E52</f>
        <v>17500</v>
      </c>
      <c r="K52" s="1265">
        <f>J52+H52</f>
        <v>128100</v>
      </c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331"/>
      <c r="B53" s="1205" t="s">
        <v>1401</v>
      </c>
      <c r="C53" s="1202"/>
      <c r="D53" s="1202"/>
      <c r="E53" s="1404">
        <v>500</v>
      </c>
      <c r="F53" s="1358" t="s">
        <v>226</v>
      </c>
      <c r="G53" s="1271">
        <v>455</v>
      </c>
      <c r="H53" s="1388">
        <f>ROUND(E53*G53,)</f>
        <v>227500</v>
      </c>
      <c r="I53" s="1272">
        <v>69</v>
      </c>
      <c r="J53" s="1273">
        <f t="shared" ref="J53:J54" si="5">ROUND(E53*I53,)</f>
        <v>34500</v>
      </c>
      <c r="K53" s="1273">
        <f t="shared" ref="K53:K54" si="6">H53+J53</f>
        <v>262000</v>
      </c>
      <c r="L53" s="1389"/>
    </row>
    <row r="54" spans="1:21" s="1199" customFormat="1" ht="24" customHeight="1">
      <c r="A54" s="1480"/>
      <c r="B54" s="1205" t="s">
        <v>1384</v>
      </c>
      <c r="C54" s="1191"/>
      <c r="D54" s="1471"/>
      <c r="E54" s="1472">
        <v>1</v>
      </c>
      <c r="F54" s="1207" t="s">
        <v>1104</v>
      </c>
      <c r="G54" s="1271">
        <f>SUM(H52:H53)*15%</f>
        <v>50715</v>
      </c>
      <c r="H54" s="1264">
        <f>ROUND(E54*G54,)</f>
        <v>50715</v>
      </c>
      <c r="I54" s="1272">
        <f>G54*0.3</f>
        <v>15214.5</v>
      </c>
      <c r="J54" s="1264">
        <f t="shared" si="5"/>
        <v>15215</v>
      </c>
      <c r="K54" s="1273">
        <f t="shared" si="6"/>
        <v>65930</v>
      </c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78" t="s">
        <v>1686</v>
      </c>
      <c r="B55" s="1205" t="s">
        <v>1381</v>
      </c>
      <c r="C55" s="1191"/>
      <c r="D55" s="1471"/>
      <c r="E55" s="1206">
        <v>1</v>
      </c>
      <c r="F55" s="1207" t="s">
        <v>1104</v>
      </c>
      <c r="G55" s="1476"/>
      <c r="H55" s="1273"/>
      <c r="I55" s="1265">
        <v>100000</v>
      </c>
      <c r="J55" s="1264">
        <f>I55*E55</f>
        <v>100000</v>
      </c>
      <c r="K55" s="1265">
        <f>J55+H55</f>
        <v>100000</v>
      </c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 t="s">
        <v>1117</v>
      </c>
      <c r="C56" s="1191"/>
      <c r="D56" s="1471"/>
      <c r="E56" s="1206"/>
      <c r="F56" s="1207"/>
      <c r="G56" s="1476"/>
      <c r="H56" s="1273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480"/>
      <c r="B57" s="1205" t="s">
        <v>1118</v>
      </c>
      <c r="C57" s="1191"/>
      <c r="D57" s="1471"/>
      <c r="E57" s="1206"/>
      <c r="F57" s="1207"/>
      <c r="G57" s="1476"/>
      <c r="H57" s="1273"/>
      <c r="I57" s="1265"/>
      <c r="J57" s="1264"/>
      <c r="K57" s="1265"/>
      <c r="L57" s="1473"/>
      <c r="M57" s="1214"/>
      <c r="N57" s="1214"/>
      <c r="O57" s="1214"/>
      <c r="P57" s="1214"/>
      <c r="Q57" s="1214"/>
      <c r="R57" s="1214"/>
      <c r="S57" s="1214"/>
      <c r="T57" s="1214"/>
      <c r="U57" s="1214"/>
    </row>
    <row r="58" spans="1:21" s="1199" customFormat="1" ht="24" customHeight="1">
      <c r="A58" s="1245"/>
      <c r="B58" s="2257" t="s">
        <v>1674</v>
      </c>
      <c r="C58" s="2258"/>
      <c r="D58" s="2259"/>
      <c r="E58" s="1481"/>
      <c r="F58" s="1245"/>
      <c r="G58" s="1246"/>
      <c r="H58" s="1247">
        <f>SUM(H35:H57)</f>
        <v>845661</v>
      </c>
      <c r="I58" s="1246"/>
      <c r="J58" s="1247">
        <f>SUM(J35:J57)</f>
        <v>201948</v>
      </c>
      <c r="K58" s="1247">
        <f>SUM(K35:K57)</f>
        <v>1047609</v>
      </c>
      <c r="L58" s="1245"/>
      <c r="M58" s="1214"/>
      <c r="N58" s="1214"/>
      <c r="O58" s="1214"/>
      <c r="P58" s="1214"/>
      <c r="Q58" s="1214"/>
      <c r="R58" s="1214"/>
      <c r="S58" s="1214"/>
      <c r="T58" s="1214"/>
      <c r="U58" s="1214"/>
    </row>
  </sheetData>
  <mergeCells count="10">
    <mergeCell ref="B34:D34"/>
    <mergeCell ref="B58:D58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(Main Equipment)-อาคารด้านทิศตะวันตก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4E377-0848-4168-B7B6-65B44521FEBF}">
  <sheetPr>
    <tabColor rgb="FF92D050"/>
  </sheetPr>
  <dimension ref="A1:U57"/>
  <sheetViews>
    <sheetView view="pageBreakPreview" topLeftCell="A40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8789062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1546" t="s">
        <v>16</v>
      </c>
      <c r="H10" s="2058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1675</v>
      </c>
      <c r="C11" s="1525"/>
      <c r="D11" s="1526"/>
      <c r="E11" s="1179"/>
      <c r="F11" s="1180"/>
      <c r="G11" s="1547"/>
      <c r="H11" s="1184"/>
      <c r="I11" s="1548"/>
      <c r="J11" s="1549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550"/>
      <c r="H12" s="1184"/>
      <c r="I12" s="1551"/>
      <c r="J12" s="1182"/>
      <c r="K12" s="1184"/>
      <c r="L12" s="1429"/>
    </row>
    <row r="13" spans="1:12" s="1199" customFormat="1" ht="24" customHeight="1">
      <c r="A13" s="1189">
        <v>4.0999999999999996</v>
      </c>
      <c r="B13" s="1190" t="s">
        <v>1669</v>
      </c>
      <c r="C13" s="1191"/>
      <c r="D13" s="1192"/>
      <c r="E13" s="1193">
        <v>1</v>
      </c>
      <c r="F13" s="1194" t="s">
        <v>19</v>
      </c>
      <c r="G13" s="1552"/>
      <c r="H13" s="1553">
        <f>H57</f>
        <v>1152386</v>
      </c>
      <c r="I13" s="1554"/>
      <c r="J13" s="1553">
        <f>J57</f>
        <v>56073</v>
      </c>
      <c r="K13" s="1553">
        <f>K57</f>
        <v>1208459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552"/>
      <c r="H14" s="1553"/>
      <c r="I14" s="1554"/>
      <c r="J14" s="1553"/>
      <c r="K14" s="1553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552"/>
      <c r="H15" s="1553"/>
      <c r="I15" s="1554"/>
      <c r="J15" s="1553"/>
      <c r="K15" s="1553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552"/>
      <c r="H16" s="1553"/>
      <c r="I16" s="1554"/>
      <c r="J16" s="1553"/>
      <c r="K16" s="1553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552"/>
      <c r="H17" s="1553"/>
      <c r="I17" s="1554"/>
      <c r="J17" s="1553"/>
      <c r="K17" s="1553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552"/>
      <c r="H18" s="1553"/>
      <c r="I18" s="1554"/>
      <c r="J18" s="1553"/>
      <c r="K18" s="1553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552"/>
      <c r="H19" s="1553"/>
      <c r="I19" s="1554"/>
      <c r="J19" s="1553"/>
      <c r="K19" s="1553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552"/>
      <c r="H20" s="1553"/>
      <c r="I20" s="1554"/>
      <c r="J20" s="1553"/>
      <c r="K20" s="1553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552"/>
      <c r="H21" s="1553"/>
      <c r="I21" s="1554"/>
      <c r="J21" s="1553"/>
      <c r="K21" s="1553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552"/>
      <c r="H22" s="1553"/>
      <c r="I22" s="1554"/>
      <c r="J22" s="1553"/>
      <c r="K22" s="1553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552"/>
      <c r="H23" s="1553"/>
      <c r="I23" s="1554"/>
      <c r="J23" s="1553"/>
      <c r="K23" s="1553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552"/>
      <c r="H24" s="1553"/>
      <c r="I24" s="1554"/>
      <c r="J24" s="1553"/>
      <c r="K24" s="1553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552"/>
      <c r="H25" s="1553"/>
      <c r="I25" s="1554"/>
      <c r="J25" s="1553"/>
      <c r="K25" s="1553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552"/>
      <c r="H26" s="1553"/>
      <c r="I26" s="1554"/>
      <c r="J26" s="1553"/>
      <c r="K26" s="1553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552"/>
      <c r="H27" s="1553"/>
      <c r="I27" s="1554"/>
      <c r="J27" s="1553"/>
      <c r="K27" s="1553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552"/>
      <c r="H28" s="1553"/>
      <c r="I28" s="1554"/>
      <c r="J28" s="1553"/>
      <c r="K28" s="1553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552"/>
      <c r="H29" s="1553"/>
      <c r="I29" s="1554"/>
      <c r="J29" s="1553"/>
      <c r="K29" s="1553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552"/>
      <c r="H30" s="1553"/>
      <c r="I30" s="1554"/>
      <c r="J30" s="1553"/>
      <c r="K30" s="1553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552"/>
      <c r="H31" s="1553"/>
      <c r="I31" s="1554"/>
      <c r="J31" s="1553"/>
      <c r="K31" s="1553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552"/>
      <c r="H32" s="1553"/>
      <c r="I32" s="1554"/>
      <c r="J32" s="1553"/>
      <c r="K32" s="1553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552"/>
      <c r="H33" s="1553"/>
      <c r="I33" s="1554"/>
      <c r="J33" s="1553"/>
      <c r="K33" s="1553"/>
      <c r="L33" s="1531"/>
    </row>
    <row r="34" spans="1:21" s="1199" customFormat="1" ht="25.15" customHeight="1">
      <c r="A34" s="1245"/>
      <c r="B34" s="2257" t="s">
        <v>1676</v>
      </c>
      <c r="C34" s="2258"/>
      <c r="D34" s="2259"/>
      <c r="E34" s="1481"/>
      <c r="F34" s="1245"/>
      <c r="G34" s="1246"/>
      <c r="H34" s="1555">
        <f>H13</f>
        <v>1152386</v>
      </c>
      <c r="I34" s="1246"/>
      <c r="J34" s="1555">
        <f>J13</f>
        <v>56073</v>
      </c>
      <c r="K34" s="1555">
        <f>K13</f>
        <v>1208459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556"/>
      <c r="H35" s="1382"/>
      <c r="I35" s="1557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1678</v>
      </c>
      <c r="C36" s="1191"/>
      <c r="D36" s="1471"/>
      <c r="E36" s="1206">
        <v>11</v>
      </c>
      <c r="F36" s="1207" t="s">
        <v>363</v>
      </c>
      <c r="G36" s="1476">
        <v>21360</v>
      </c>
      <c r="H36" s="1273">
        <f>ROUND(G36*E36,)</f>
        <v>234960</v>
      </c>
      <c r="I36" s="1332">
        <v>500</v>
      </c>
      <c r="J36" s="1264">
        <f>I36*E36</f>
        <v>5500</v>
      </c>
      <c r="K36" s="1265">
        <f>J36+H36</f>
        <v>240460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0" t="s">
        <v>1672</v>
      </c>
      <c r="B37" s="1205" t="s">
        <v>1679</v>
      </c>
      <c r="C37" s="1191"/>
      <c r="D37" s="1471"/>
      <c r="E37" s="1206">
        <v>8</v>
      </c>
      <c r="F37" s="1207" t="s">
        <v>363</v>
      </c>
      <c r="G37" s="1476">
        <v>22110</v>
      </c>
      <c r="H37" s="1273">
        <f t="shared" ref="H37:H39" si="0">ROUND(G37*E37,)</f>
        <v>176880</v>
      </c>
      <c r="I37" s="1332">
        <v>500</v>
      </c>
      <c r="J37" s="1264">
        <f t="shared" ref="J37:J39" si="1">I37*E37</f>
        <v>4000</v>
      </c>
      <c r="K37" s="1265">
        <f t="shared" ref="K37:K39" si="2">J37+H37</f>
        <v>180880</v>
      </c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0" t="s">
        <v>1673</v>
      </c>
      <c r="B38" s="1259" t="s">
        <v>1680</v>
      </c>
      <c r="C38" s="1191"/>
      <c r="D38" s="1471"/>
      <c r="E38" s="1206">
        <v>6</v>
      </c>
      <c r="F38" s="1207" t="s">
        <v>363</v>
      </c>
      <c r="G38" s="1476">
        <v>91800</v>
      </c>
      <c r="H38" s="1273">
        <f t="shared" si="0"/>
        <v>550800</v>
      </c>
      <c r="I38" s="1332">
        <v>500</v>
      </c>
      <c r="J38" s="1264">
        <f t="shared" si="1"/>
        <v>3000</v>
      </c>
      <c r="K38" s="1265">
        <f t="shared" si="2"/>
        <v>553800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4" t="s">
        <v>1681</v>
      </c>
      <c r="B39" s="1205" t="s">
        <v>2709</v>
      </c>
      <c r="C39" s="1191"/>
      <c r="D39" s="1471"/>
      <c r="E39" s="1206">
        <v>2</v>
      </c>
      <c r="F39" s="1207" t="s">
        <v>363</v>
      </c>
      <c r="G39" s="1271">
        <f>5230+1640+2260+30800+12320+4480</f>
        <v>56730</v>
      </c>
      <c r="H39" s="1273">
        <f t="shared" si="0"/>
        <v>113460</v>
      </c>
      <c r="I39" s="1541">
        <v>1500</v>
      </c>
      <c r="J39" s="1264">
        <f t="shared" si="1"/>
        <v>3000</v>
      </c>
      <c r="K39" s="1265">
        <f t="shared" si="2"/>
        <v>116460</v>
      </c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4"/>
      <c r="B40" s="1205" t="s">
        <v>1682</v>
      </c>
      <c r="C40" s="1191"/>
      <c r="D40" s="1471"/>
      <c r="E40" s="1206"/>
      <c r="F40" s="1207" t="s">
        <v>363</v>
      </c>
      <c r="G40" s="1476" t="s">
        <v>1683</v>
      </c>
      <c r="H40" s="1273"/>
      <c r="I40" s="1332"/>
      <c r="J40" s="1264"/>
      <c r="K40" s="1265"/>
      <c r="L40" s="1473"/>
      <c r="M40" s="1214"/>
      <c r="N40" s="1214"/>
      <c r="O40" s="1214"/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74"/>
      <c r="B41" s="1205" t="s">
        <v>1574</v>
      </c>
      <c r="C41" s="1191"/>
      <c r="D41" s="1471"/>
      <c r="E41" s="1206"/>
      <c r="F41" s="1207" t="s">
        <v>363</v>
      </c>
      <c r="G41" s="1476" t="s">
        <v>1683</v>
      </c>
      <c r="H41" s="1273"/>
      <c r="I41" s="1332"/>
      <c r="J41" s="1264"/>
      <c r="K41" s="1265"/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5"/>
      <c r="B42" s="1205" t="s">
        <v>1575</v>
      </c>
      <c r="C42" s="1191"/>
      <c r="D42" s="1471"/>
      <c r="E42" s="1206"/>
      <c r="F42" s="1207" t="s">
        <v>363</v>
      </c>
      <c r="G42" s="1476" t="s">
        <v>1683</v>
      </c>
      <c r="H42" s="1273"/>
      <c r="I42" s="1332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75"/>
      <c r="B43" s="1205" t="s">
        <v>2710</v>
      </c>
      <c r="C43" s="1191"/>
      <c r="D43" s="1471"/>
      <c r="E43" s="1206"/>
      <c r="F43" s="1207" t="s">
        <v>363</v>
      </c>
      <c r="G43" s="1476" t="s">
        <v>1683</v>
      </c>
      <c r="H43" s="1273"/>
      <c r="I43" s="1332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80"/>
      <c r="B44" s="1205" t="s">
        <v>1684</v>
      </c>
      <c r="C44" s="1191"/>
      <c r="D44" s="1471"/>
      <c r="E44" s="1206"/>
      <c r="F44" s="1207" t="s">
        <v>363</v>
      </c>
      <c r="G44" s="1476" t="s">
        <v>1683</v>
      </c>
      <c r="H44" s="1273"/>
      <c r="I44" s="1332"/>
      <c r="J44" s="1264"/>
      <c r="K44" s="1265"/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75" t="s">
        <v>1691</v>
      </c>
      <c r="B45" s="1205" t="s">
        <v>1578</v>
      </c>
      <c r="C45" s="1191"/>
      <c r="D45" s="1471"/>
      <c r="E45" s="1206"/>
      <c r="F45" s="1207"/>
      <c r="G45" s="1476"/>
      <c r="H45" s="1273"/>
      <c r="I45" s="1332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78"/>
      <c r="B46" s="1205" t="s">
        <v>1685</v>
      </c>
      <c r="C46" s="1191"/>
      <c r="D46" s="1471"/>
      <c r="E46" s="1387">
        <v>1438</v>
      </c>
      <c r="F46" s="1207"/>
      <c r="G46" s="1476">
        <v>22</v>
      </c>
      <c r="H46" s="1273">
        <f>ROUND(G46*E46,)</f>
        <v>31636</v>
      </c>
      <c r="I46" s="1332">
        <v>5</v>
      </c>
      <c r="J46" s="1264">
        <f t="shared" ref="J46" si="3">I46*E46</f>
        <v>7190</v>
      </c>
      <c r="K46" s="1265">
        <f>J46+H46</f>
        <v>38826</v>
      </c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78" t="s">
        <v>2554</v>
      </c>
      <c r="B47" s="1205" t="s">
        <v>1526</v>
      </c>
      <c r="C47" s="1191"/>
      <c r="D47" s="1471"/>
      <c r="E47" s="1206"/>
      <c r="F47" s="1207"/>
      <c r="G47" s="1476"/>
      <c r="H47" s="1273"/>
      <c r="I47" s="1332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79"/>
      <c r="B48" s="1205" t="s">
        <v>1350</v>
      </c>
      <c r="C48" s="1191"/>
      <c r="D48" s="1471"/>
      <c r="E48" s="1387">
        <v>1438</v>
      </c>
      <c r="F48" s="1358"/>
      <c r="G48" s="1271">
        <v>27</v>
      </c>
      <c r="H48" s="1264">
        <f t="shared" ref="H48" si="4">ROUND(E48*G48,)</f>
        <v>38826</v>
      </c>
      <c r="I48" s="1272">
        <v>22</v>
      </c>
      <c r="J48" s="1264">
        <f t="shared" ref="J48" si="5">ROUND(E48*I48,)</f>
        <v>31636</v>
      </c>
      <c r="K48" s="1802">
        <f t="shared" ref="K48" si="6">H48+J48</f>
        <v>70462</v>
      </c>
      <c r="L48" s="2001" t="s">
        <v>2667</v>
      </c>
      <c r="M48" s="1214"/>
      <c r="N48" s="1199">
        <v>79.8</v>
      </c>
      <c r="O48" s="1199">
        <f>ROUND(N48/3,)</f>
        <v>27</v>
      </c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78" t="s">
        <v>1686</v>
      </c>
      <c r="B49" s="1205" t="s">
        <v>1110</v>
      </c>
      <c r="C49" s="1191"/>
      <c r="D49" s="1471"/>
      <c r="E49" s="1206"/>
      <c r="F49" s="1207"/>
      <c r="G49" s="1476"/>
      <c r="H49" s="1273"/>
      <c r="I49" s="1332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 t="s">
        <v>1338</v>
      </c>
      <c r="C50" s="1191"/>
      <c r="D50" s="1471"/>
      <c r="E50" s="1387"/>
      <c r="F50" s="1358" t="s">
        <v>226</v>
      </c>
      <c r="G50" s="1271">
        <v>131</v>
      </c>
      <c r="H50" s="1264">
        <f t="shared" ref="H50" si="7">ROUND(E50*G50,)</f>
        <v>0</v>
      </c>
      <c r="I50" s="1272">
        <v>38</v>
      </c>
      <c r="J50" s="1264">
        <f t="shared" ref="J50" si="8">ROUND(E50*I50,)</f>
        <v>0</v>
      </c>
      <c r="K50" s="1268">
        <f t="shared" ref="K50" si="9">H50+J50</f>
        <v>0</v>
      </c>
      <c r="L50" s="2001" t="s">
        <v>2667</v>
      </c>
      <c r="N50" s="1199">
        <v>391.8</v>
      </c>
      <c r="O50" s="1199">
        <f>ROUND(N50/3,)</f>
        <v>131</v>
      </c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 t="s">
        <v>1384</v>
      </c>
      <c r="C51" s="1191"/>
      <c r="D51" s="1471"/>
      <c r="E51" s="1206">
        <v>1</v>
      </c>
      <c r="F51" s="1207" t="s">
        <v>1104</v>
      </c>
      <c r="G51" s="1476">
        <f>ROUND(SUM(H48:H50)*15%,)</f>
        <v>5824</v>
      </c>
      <c r="H51" s="1273">
        <f>ROUND(G51*E51,)</f>
        <v>5824</v>
      </c>
      <c r="I51" s="1332">
        <f>ROUND(G51*0.3,0)</f>
        <v>1747</v>
      </c>
      <c r="J51" s="1264">
        <f t="shared" ref="J51" si="10">I51*E51</f>
        <v>1747</v>
      </c>
      <c r="K51" s="1265">
        <f>J51+H51</f>
        <v>7571</v>
      </c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 t="s">
        <v>1117</v>
      </c>
      <c r="C52" s="1191"/>
      <c r="D52" s="1471"/>
      <c r="E52" s="1206"/>
      <c r="F52" s="1207"/>
      <c r="G52" s="1558"/>
      <c r="H52" s="1273"/>
      <c r="I52" s="1332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 t="s">
        <v>1118</v>
      </c>
      <c r="C53" s="1191"/>
      <c r="D53" s="1471"/>
      <c r="E53" s="1206"/>
      <c r="F53" s="1207"/>
      <c r="G53" s="1476"/>
      <c r="H53" s="1273"/>
      <c r="I53" s="1332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 t="s">
        <v>1118</v>
      </c>
      <c r="C54" s="1191"/>
      <c r="D54" s="1471"/>
      <c r="E54" s="1206"/>
      <c r="F54" s="1207"/>
      <c r="G54" s="1476"/>
      <c r="H54" s="1273"/>
      <c r="I54" s="1332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476"/>
      <c r="H55" s="1273"/>
      <c r="I55" s="1332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476"/>
      <c r="H56" s="1273"/>
      <c r="I56" s="1332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">
        <v>1674</v>
      </c>
      <c r="C57" s="2258"/>
      <c r="D57" s="2259"/>
      <c r="E57" s="1481"/>
      <c r="F57" s="1245"/>
      <c r="G57" s="1246"/>
      <c r="H57" s="1555">
        <f>SUM(H35:H56)</f>
        <v>1152386</v>
      </c>
      <c r="I57" s="1246"/>
      <c r="J57" s="1555">
        <f>SUM(J35:J56)</f>
        <v>56073</v>
      </c>
      <c r="K57" s="1555">
        <f>SUM(K35:K56)</f>
        <v>1208459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B2-อาคารด้านทิศตะวันตก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2F7B2-9046-4069-8DC6-453D51FD201A}">
  <sheetPr>
    <tabColor rgb="FF92D050"/>
  </sheetPr>
  <dimension ref="A1:U57"/>
  <sheetViews>
    <sheetView view="pageBreakPreview" topLeftCell="A43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.70312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1687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v>4.0999999999999996</v>
      </c>
      <c r="B13" s="1190" t="s">
        <v>1669</v>
      </c>
      <c r="C13" s="1191"/>
      <c r="D13" s="1192"/>
      <c r="E13" s="1193">
        <v>1</v>
      </c>
      <c r="F13" s="1194" t="s">
        <v>19</v>
      </c>
      <c r="G13" s="1195"/>
      <c r="H13" s="1196">
        <f>H57</f>
        <v>1057509</v>
      </c>
      <c r="I13" s="1197"/>
      <c r="J13" s="1196">
        <f t="shared" ref="J13:K13" si="0">J57</f>
        <v>53937</v>
      </c>
      <c r="K13" s="1196">
        <f t="shared" si="0"/>
        <v>1111446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553"/>
      <c r="L33" s="1531"/>
    </row>
    <row r="34" spans="1:21" s="1199" customFormat="1" ht="25.15" customHeight="1">
      <c r="A34" s="1245"/>
      <c r="B34" s="2257" t="s">
        <v>1688</v>
      </c>
      <c r="C34" s="2258"/>
      <c r="D34" s="2259"/>
      <c r="E34" s="1481"/>
      <c r="F34" s="1245"/>
      <c r="G34" s="1246"/>
      <c r="H34" s="1247">
        <f>H13</f>
        <v>1057509</v>
      </c>
      <c r="I34" s="1246"/>
      <c r="J34" s="1247">
        <f t="shared" ref="J34:K34" si="1">J13</f>
        <v>53937</v>
      </c>
      <c r="K34" s="1247">
        <f t="shared" si="1"/>
        <v>1111446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1678</v>
      </c>
      <c r="C36" s="1191"/>
      <c r="D36" s="1471"/>
      <c r="E36" s="1206">
        <v>11</v>
      </c>
      <c r="F36" s="1207" t="s">
        <v>363</v>
      </c>
      <c r="G36" s="1476">
        <v>21360</v>
      </c>
      <c r="H36" s="1273">
        <f>ROUND(G36*E36,)</f>
        <v>234960</v>
      </c>
      <c r="I36" s="1265">
        <v>500</v>
      </c>
      <c r="J36" s="1264">
        <f>I36*E36</f>
        <v>5500</v>
      </c>
      <c r="K36" s="1265">
        <f>J36+H36</f>
        <v>240460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0" t="s">
        <v>1672</v>
      </c>
      <c r="B37" s="1205" t="s">
        <v>1679</v>
      </c>
      <c r="C37" s="1191"/>
      <c r="D37" s="1471"/>
      <c r="E37" s="1206">
        <v>8</v>
      </c>
      <c r="F37" s="1207" t="s">
        <v>363</v>
      </c>
      <c r="G37" s="1476">
        <v>22110</v>
      </c>
      <c r="H37" s="1273">
        <f>ROUND(G37*E37,)</f>
        <v>176880</v>
      </c>
      <c r="I37" s="1265">
        <v>500</v>
      </c>
      <c r="J37" s="1264">
        <f>I37*E37</f>
        <v>4000</v>
      </c>
      <c r="K37" s="1265">
        <f>J37+H37</f>
        <v>180880</v>
      </c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0" t="s">
        <v>1673</v>
      </c>
      <c r="B38" s="1259" t="s">
        <v>1680</v>
      </c>
      <c r="C38" s="1191"/>
      <c r="D38" s="1471"/>
      <c r="E38" s="1206">
        <v>5</v>
      </c>
      <c r="F38" s="1207" t="s">
        <v>363</v>
      </c>
      <c r="G38" s="1476">
        <v>91800</v>
      </c>
      <c r="H38" s="1273">
        <f>ROUND(G38*E38,)</f>
        <v>459000</v>
      </c>
      <c r="I38" s="1265">
        <v>500</v>
      </c>
      <c r="J38" s="1264">
        <f>I38*E38</f>
        <v>2500</v>
      </c>
      <c r="K38" s="1265">
        <f>J38+H38</f>
        <v>461500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4" t="s">
        <v>1681</v>
      </c>
      <c r="B39" s="1205" t="s">
        <v>2711</v>
      </c>
      <c r="C39" s="1191"/>
      <c r="D39" s="1471"/>
      <c r="E39" s="1206">
        <v>2</v>
      </c>
      <c r="F39" s="1207" t="s">
        <v>363</v>
      </c>
      <c r="G39" s="1271">
        <f>5230+1640+2260+30800+12320+4480</f>
        <v>56730</v>
      </c>
      <c r="H39" s="1273">
        <f>ROUND(G39*E39,)</f>
        <v>113460</v>
      </c>
      <c r="I39" s="1272">
        <v>1500</v>
      </c>
      <c r="J39" s="1264">
        <f>I39*E39</f>
        <v>3000</v>
      </c>
      <c r="K39" s="1265">
        <f>J39+H39</f>
        <v>116460</v>
      </c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4"/>
      <c r="B40" s="1205" t="s">
        <v>1682</v>
      </c>
      <c r="C40" s="1191"/>
      <c r="D40" s="1471"/>
      <c r="E40" s="1206"/>
      <c r="F40" s="1207" t="s">
        <v>363</v>
      </c>
      <c r="G40" s="1476" t="s">
        <v>1683</v>
      </c>
      <c r="H40" s="1273"/>
      <c r="I40" s="1265"/>
      <c r="J40" s="1264"/>
      <c r="K40" s="1265"/>
      <c r="L40" s="1473"/>
      <c r="M40" s="1214"/>
      <c r="N40" s="1214"/>
      <c r="O40" s="1214"/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74"/>
      <c r="B41" s="1205" t="s">
        <v>1574</v>
      </c>
      <c r="C41" s="1191"/>
      <c r="D41" s="1471"/>
      <c r="E41" s="1206"/>
      <c r="F41" s="1207" t="s">
        <v>363</v>
      </c>
      <c r="G41" s="1476" t="s">
        <v>1683</v>
      </c>
      <c r="H41" s="1273"/>
      <c r="I41" s="1265"/>
      <c r="J41" s="1264"/>
      <c r="K41" s="1265"/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5"/>
      <c r="B42" s="1205" t="s">
        <v>1575</v>
      </c>
      <c r="C42" s="1191"/>
      <c r="D42" s="1471"/>
      <c r="E42" s="1206"/>
      <c r="F42" s="1207" t="s">
        <v>363</v>
      </c>
      <c r="G42" s="1476" t="s">
        <v>1683</v>
      </c>
      <c r="H42" s="1273"/>
      <c r="I42" s="1265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75"/>
      <c r="B43" s="1205" t="s">
        <v>2710</v>
      </c>
      <c r="C43" s="1191"/>
      <c r="D43" s="1471"/>
      <c r="E43" s="1206"/>
      <c r="F43" s="1207" t="s">
        <v>363</v>
      </c>
      <c r="G43" s="1476" t="s">
        <v>1683</v>
      </c>
      <c r="H43" s="1273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80"/>
      <c r="B44" s="1205" t="s">
        <v>1684</v>
      </c>
      <c r="C44" s="1191"/>
      <c r="D44" s="1471"/>
      <c r="E44" s="1206"/>
      <c r="F44" s="1207" t="s">
        <v>363</v>
      </c>
      <c r="G44" s="1476" t="s">
        <v>1683</v>
      </c>
      <c r="H44" s="1273"/>
      <c r="I44" s="1265"/>
      <c r="J44" s="1264"/>
      <c r="K44" s="1265"/>
      <c r="L44" s="1469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75" t="s">
        <v>1691</v>
      </c>
      <c r="B45" s="1205" t="s">
        <v>1578</v>
      </c>
      <c r="C45" s="1191"/>
      <c r="D45" s="1471"/>
      <c r="E45" s="1206"/>
      <c r="F45" s="1207"/>
      <c r="G45" s="1476"/>
      <c r="H45" s="1273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78"/>
      <c r="B46" s="1205" t="s">
        <v>1685</v>
      </c>
      <c r="C46" s="1191"/>
      <c r="D46" s="1471"/>
      <c r="E46" s="1206">
        <v>1380</v>
      </c>
      <c r="F46" s="1207" t="s">
        <v>226</v>
      </c>
      <c r="G46" s="1476">
        <v>22</v>
      </c>
      <c r="H46" s="1273">
        <f>ROUND(G46*E46,)</f>
        <v>30360</v>
      </c>
      <c r="I46" s="1265">
        <v>5</v>
      </c>
      <c r="J46" s="1264">
        <f>I46*E46</f>
        <v>6900</v>
      </c>
      <c r="K46" s="1265">
        <f>J46+H46</f>
        <v>37260</v>
      </c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78" t="s">
        <v>2554</v>
      </c>
      <c r="B47" s="1205" t="s">
        <v>1526</v>
      </c>
      <c r="C47" s="1191"/>
      <c r="D47" s="1471"/>
      <c r="E47" s="1206"/>
      <c r="F47" s="1207"/>
      <c r="G47" s="1476"/>
      <c r="H47" s="1273"/>
      <c r="I47" s="1265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79"/>
      <c r="B48" s="1205" t="s">
        <v>1350</v>
      </c>
      <c r="C48" s="1191"/>
      <c r="D48" s="1471"/>
      <c r="E48" s="1387">
        <v>1380</v>
      </c>
      <c r="F48" s="1358" t="s">
        <v>226</v>
      </c>
      <c r="G48" s="1271">
        <v>27</v>
      </c>
      <c r="H48" s="1264">
        <f t="shared" ref="H48" si="2">ROUND(E48*G48,)</f>
        <v>37260</v>
      </c>
      <c r="I48" s="1272">
        <v>22</v>
      </c>
      <c r="J48" s="1264">
        <f t="shared" ref="J48" si="3">ROUND(E48*I48,)</f>
        <v>30360</v>
      </c>
      <c r="K48" s="1802">
        <f t="shared" ref="K48" si="4">H48+J48</f>
        <v>67620</v>
      </c>
      <c r="L48" s="2001" t="s">
        <v>2667</v>
      </c>
      <c r="M48" s="1214"/>
      <c r="N48" s="1199">
        <v>79.8</v>
      </c>
      <c r="O48" s="1199">
        <f>ROUND(N48/3,)</f>
        <v>27</v>
      </c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78"/>
      <c r="B49" s="1205" t="s">
        <v>1384</v>
      </c>
      <c r="C49" s="1191"/>
      <c r="D49" s="1471"/>
      <c r="E49" s="1206">
        <v>1</v>
      </c>
      <c r="F49" s="1207" t="s">
        <v>1104</v>
      </c>
      <c r="G49" s="1476">
        <f>ROUND(SUM(H48)*15%,)</f>
        <v>5589</v>
      </c>
      <c r="H49" s="1273">
        <f>ROUND(G49*E49,)</f>
        <v>5589</v>
      </c>
      <c r="I49" s="1332">
        <f>ROUND(G49*0.3,0)</f>
        <v>1677</v>
      </c>
      <c r="J49" s="1264">
        <f>I49*E49</f>
        <v>1677</v>
      </c>
      <c r="K49" s="1265">
        <f>J49+H49</f>
        <v>7266</v>
      </c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 t="s">
        <v>1117</v>
      </c>
      <c r="C50" s="1191"/>
      <c r="D50" s="1471"/>
      <c r="E50" s="1206"/>
      <c r="F50" s="1207"/>
      <c r="G50" s="1476"/>
      <c r="H50" s="1273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 t="s">
        <v>1118</v>
      </c>
      <c r="C51" s="1191"/>
      <c r="D51" s="1471"/>
      <c r="E51" s="1206"/>
      <c r="F51" s="1207"/>
      <c r="G51" s="1476"/>
      <c r="H51" s="1273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 t="s">
        <v>1118</v>
      </c>
      <c r="C52" s="1191"/>
      <c r="D52" s="1471"/>
      <c r="E52" s="1206"/>
      <c r="F52" s="1207"/>
      <c r="G52" s="1263"/>
      <c r="H52" s="1264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263"/>
      <c r="H53" s="1264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263"/>
      <c r="H54" s="1264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263"/>
      <c r="H55" s="1264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263"/>
      <c r="H56" s="1264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">
        <v>1674</v>
      </c>
      <c r="C57" s="2258"/>
      <c r="D57" s="2259"/>
      <c r="E57" s="1481"/>
      <c r="F57" s="1245"/>
      <c r="G57" s="1246"/>
      <c r="H57" s="1247">
        <f>SUM(H35:H56)</f>
        <v>1057509</v>
      </c>
      <c r="I57" s="1246"/>
      <c r="J57" s="1247">
        <f>SUM(J35:J56)</f>
        <v>53937</v>
      </c>
      <c r="K57" s="1247">
        <f>SUM(K35:K56)</f>
        <v>1111446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B1-อาคารด้านทิศตะวันตก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50CAE-D2F6-44E7-B6F2-6B59150C181D}">
  <sheetPr>
    <tabColor rgb="FF92D050"/>
  </sheetPr>
  <dimension ref="A1:U57"/>
  <sheetViews>
    <sheetView view="pageBreakPreview" topLeftCell="A37" zoomScale="70" zoomScaleNormal="100" zoomScaleSheetLayoutView="7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1689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v>4.0999999999999996</v>
      </c>
      <c r="B13" s="1190" t="s">
        <v>1669</v>
      </c>
      <c r="C13" s="1191"/>
      <c r="D13" s="1192"/>
      <c r="E13" s="1193">
        <v>1</v>
      </c>
      <c r="F13" s="1194" t="s">
        <v>19</v>
      </c>
      <c r="G13" s="1195"/>
      <c r="H13" s="1196">
        <f>H57</f>
        <v>314743</v>
      </c>
      <c r="I13" s="1197"/>
      <c r="J13" s="1196">
        <f>J57</f>
        <v>19979</v>
      </c>
      <c r="K13" s="1196">
        <f>K57</f>
        <v>334722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">
        <v>1690</v>
      </c>
      <c r="C34" s="2258"/>
      <c r="D34" s="2259"/>
      <c r="E34" s="1481"/>
      <c r="F34" s="1245"/>
      <c r="G34" s="1246"/>
      <c r="H34" s="1247">
        <f>H13</f>
        <v>314743</v>
      </c>
      <c r="I34" s="1246"/>
      <c r="J34" s="1247">
        <f>J13</f>
        <v>19979</v>
      </c>
      <c r="K34" s="1247">
        <f>K13</f>
        <v>334722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J36+H36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4" t="s">
        <v>1672</v>
      </c>
      <c r="B37" s="1205" t="s">
        <v>2712</v>
      </c>
      <c r="C37" s="1191"/>
      <c r="D37" s="1471"/>
      <c r="E37" s="1206">
        <v>2</v>
      </c>
      <c r="F37" s="1207" t="s">
        <v>363</v>
      </c>
      <c r="G37" s="1271">
        <f>5230+1640+2260+30800+12320+4480</f>
        <v>56730</v>
      </c>
      <c r="H37" s="1273">
        <f>ROUND(G37*E37,)</f>
        <v>113460</v>
      </c>
      <c r="I37" s="1272">
        <v>1500</v>
      </c>
      <c r="J37" s="1264">
        <f>I37*E37</f>
        <v>3000</v>
      </c>
      <c r="K37" s="1265">
        <f>J37+H37</f>
        <v>116460</v>
      </c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4"/>
      <c r="B38" s="1205" t="s">
        <v>1682</v>
      </c>
      <c r="C38" s="1191"/>
      <c r="D38" s="1471"/>
      <c r="E38" s="1206"/>
      <c r="F38" s="1207" t="s">
        <v>363</v>
      </c>
      <c r="G38" s="1476" t="s">
        <v>1683</v>
      </c>
      <c r="H38" s="1273"/>
      <c r="I38" s="1265"/>
      <c r="J38" s="1264"/>
      <c r="K38" s="1265"/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4"/>
      <c r="B39" s="1205" t="s">
        <v>1574</v>
      </c>
      <c r="C39" s="1191"/>
      <c r="D39" s="1471"/>
      <c r="E39" s="1206"/>
      <c r="F39" s="1207" t="s">
        <v>363</v>
      </c>
      <c r="G39" s="1476" t="s">
        <v>1683</v>
      </c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5"/>
      <c r="B40" s="1205" t="s">
        <v>1575</v>
      </c>
      <c r="C40" s="1191"/>
      <c r="D40" s="1471"/>
      <c r="E40" s="1206"/>
      <c r="F40" s="1207" t="s">
        <v>363</v>
      </c>
      <c r="G40" s="1476" t="s">
        <v>1683</v>
      </c>
      <c r="H40" s="1273"/>
      <c r="I40" s="1265"/>
      <c r="J40" s="1264"/>
      <c r="K40" s="1265"/>
      <c r="L40" s="1473"/>
      <c r="M40" s="1214"/>
      <c r="N40" s="1214"/>
      <c r="O40" s="1214"/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75"/>
      <c r="B41" s="1205" t="s">
        <v>2710</v>
      </c>
      <c r="C41" s="1191"/>
      <c r="D41" s="1471"/>
      <c r="E41" s="1206"/>
      <c r="F41" s="1207" t="s">
        <v>363</v>
      </c>
      <c r="G41" s="1476" t="s">
        <v>1683</v>
      </c>
      <c r="H41" s="1273"/>
      <c r="I41" s="1265"/>
      <c r="J41" s="1264"/>
      <c r="K41" s="1265"/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559"/>
      <c r="B42" s="1205" t="s">
        <v>1684</v>
      </c>
      <c r="C42" s="1191"/>
      <c r="D42" s="1471"/>
      <c r="E42" s="1206"/>
      <c r="F42" s="1207" t="s">
        <v>363</v>
      </c>
      <c r="G42" s="1476" t="s">
        <v>1683</v>
      </c>
      <c r="H42" s="1273"/>
      <c r="I42" s="1265"/>
      <c r="J42" s="1264"/>
      <c r="K42" s="1265"/>
      <c r="L42" s="1469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77" t="s">
        <v>1673</v>
      </c>
      <c r="B43" s="1205" t="s">
        <v>1578</v>
      </c>
      <c r="C43" s="1191"/>
      <c r="D43" s="1471"/>
      <c r="E43" s="1206"/>
      <c r="F43" s="1207"/>
      <c r="G43" s="1476"/>
      <c r="H43" s="1273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78"/>
      <c r="B44" s="1205" t="s">
        <v>1685</v>
      </c>
      <c r="C44" s="1191"/>
      <c r="D44" s="1471"/>
      <c r="E44" s="1206">
        <v>460</v>
      </c>
      <c r="F44" s="1207" t="s">
        <v>226</v>
      </c>
      <c r="G44" s="1476">
        <v>22</v>
      </c>
      <c r="H44" s="1273">
        <f>ROUND(G44*E44,)</f>
        <v>10120</v>
      </c>
      <c r="I44" s="1265">
        <v>5</v>
      </c>
      <c r="J44" s="1264">
        <f>I44*E44</f>
        <v>2300</v>
      </c>
      <c r="K44" s="1265">
        <f>J44+H44</f>
        <v>12420</v>
      </c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75" t="s">
        <v>1694</v>
      </c>
      <c r="B45" s="1205" t="s">
        <v>1526</v>
      </c>
      <c r="C45" s="1191"/>
      <c r="D45" s="1471"/>
      <c r="E45" s="1206"/>
      <c r="F45" s="1207"/>
      <c r="G45" s="1476"/>
      <c r="H45" s="1273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79"/>
      <c r="B46" s="1205" t="s">
        <v>1350</v>
      </c>
      <c r="C46" s="1191"/>
      <c r="D46" s="1471"/>
      <c r="E46" s="1387">
        <v>460</v>
      </c>
      <c r="F46" s="1358" t="s">
        <v>226</v>
      </c>
      <c r="G46" s="1271">
        <v>27</v>
      </c>
      <c r="H46" s="1264">
        <f t="shared" ref="H46" si="0">ROUND(E46*G46,)</f>
        <v>12420</v>
      </c>
      <c r="I46" s="1272">
        <v>22</v>
      </c>
      <c r="J46" s="1264">
        <f t="shared" ref="J46" si="1">ROUND(E46*I46,)</f>
        <v>10120</v>
      </c>
      <c r="K46" s="1802">
        <f t="shared" ref="K46" si="2">H46+J46</f>
        <v>22540</v>
      </c>
      <c r="L46" s="2001" t="s">
        <v>2667</v>
      </c>
      <c r="M46" s="1214"/>
      <c r="N46" s="1199">
        <v>79.8</v>
      </c>
      <c r="O46" s="1199">
        <f>ROUND(N46/3,)</f>
        <v>27</v>
      </c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 t="s">
        <v>1384</v>
      </c>
      <c r="C47" s="1191"/>
      <c r="D47" s="1471"/>
      <c r="E47" s="1206">
        <v>1</v>
      </c>
      <c r="F47" s="1207" t="s">
        <v>1104</v>
      </c>
      <c r="G47" s="1476">
        <f>ROUND(SUM(H46)*15%,)</f>
        <v>1863</v>
      </c>
      <c r="H47" s="1273">
        <f>ROUND(G47*E47,)</f>
        <v>1863</v>
      </c>
      <c r="I47" s="1332">
        <f>ROUND(G47*0.3,0)</f>
        <v>559</v>
      </c>
      <c r="J47" s="1264">
        <f>I47*E47</f>
        <v>559</v>
      </c>
      <c r="K47" s="1265">
        <f>J47+H47</f>
        <v>2422</v>
      </c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78"/>
      <c r="B48" s="1205" t="s">
        <v>1117</v>
      </c>
      <c r="C48" s="1191"/>
      <c r="D48" s="1471"/>
      <c r="E48" s="1206"/>
      <c r="F48" s="1207"/>
      <c r="G48" s="1476"/>
      <c r="H48" s="1273"/>
      <c r="I48" s="1504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 t="s">
        <v>1118</v>
      </c>
      <c r="C49" s="1191"/>
      <c r="D49" s="1471"/>
      <c r="E49" s="1206"/>
      <c r="F49" s="1207"/>
      <c r="G49" s="1476"/>
      <c r="H49" s="1273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 t="s">
        <v>1118</v>
      </c>
      <c r="C50" s="1191"/>
      <c r="D50" s="1471"/>
      <c r="E50" s="1206"/>
      <c r="F50" s="1207"/>
      <c r="G50" s="1476"/>
      <c r="H50" s="1273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476"/>
      <c r="H51" s="1273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476"/>
      <c r="H52" s="1273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476"/>
      <c r="H53" s="1273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476"/>
      <c r="H54" s="1273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476"/>
      <c r="H55" s="1273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476"/>
      <c r="H56" s="1273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">
        <v>1674</v>
      </c>
      <c r="C57" s="2258"/>
      <c r="D57" s="2259"/>
      <c r="E57" s="1481"/>
      <c r="F57" s="1245"/>
      <c r="G57" s="1246"/>
      <c r="H57" s="1247">
        <f>SUM(H36:H56)</f>
        <v>314743</v>
      </c>
      <c r="I57" s="1246"/>
      <c r="J57" s="1247">
        <f t="shared" ref="J57:K57" si="3">SUM(J36:J56)</f>
        <v>19979</v>
      </c>
      <c r="K57" s="1247">
        <f t="shared" si="3"/>
        <v>334722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1-อาคารด้านทิศตะวันตก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957A4-21A0-4CE9-8458-0DB2D82F6398}">
  <sheetPr>
    <tabColor rgb="FF92D050"/>
  </sheetPr>
  <dimension ref="A1:U57"/>
  <sheetViews>
    <sheetView view="pageBreakPreview" topLeftCell="A43" zoomScale="85" zoomScaleNormal="100" zoomScaleSheetLayoutView="85" workbookViewId="0">
      <selection activeCell="K63" sqref="K63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585937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1692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v>4.0999999999999996</v>
      </c>
      <c r="B13" s="1190" t="s">
        <v>1669</v>
      </c>
      <c r="C13" s="1191"/>
      <c r="D13" s="1192"/>
      <c r="E13" s="1193">
        <v>1</v>
      </c>
      <c r="F13" s="1194" t="s">
        <v>19</v>
      </c>
      <c r="G13" s="1195"/>
      <c r="H13" s="1196">
        <f>H57</f>
        <v>201283</v>
      </c>
      <c r="I13" s="1197"/>
      <c r="J13" s="1196">
        <f>J57</f>
        <v>16979</v>
      </c>
      <c r="K13" s="1196">
        <f>K57</f>
        <v>218262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">
        <v>1693</v>
      </c>
      <c r="C34" s="2258"/>
      <c r="D34" s="2259"/>
      <c r="E34" s="1481"/>
      <c r="F34" s="1245"/>
      <c r="G34" s="1246"/>
      <c r="H34" s="1247">
        <f>H13</f>
        <v>201283</v>
      </c>
      <c r="I34" s="1246"/>
      <c r="J34" s="1247">
        <f>J13</f>
        <v>16979</v>
      </c>
      <c r="K34" s="1247">
        <f>K13</f>
        <v>218262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J36+H36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7" t="s">
        <v>1672</v>
      </c>
      <c r="B37" s="1205" t="s">
        <v>1578</v>
      </c>
      <c r="C37" s="1191"/>
      <c r="D37" s="1471"/>
      <c r="E37" s="1206"/>
      <c r="F37" s="1207"/>
      <c r="G37" s="1476"/>
      <c r="H37" s="1273"/>
      <c r="I37" s="1265"/>
      <c r="J37" s="1264"/>
      <c r="K37" s="1265"/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8"/>
      <c r="B38" s="1205" t="s">
        <v>1685</v>
      </c>
      <c r="C38" s="1191"/>
      <c r="D38" s="1471"/>
      <c r="E38" s="1206">
        <v>460</v>
      </c>
      <c r="F38" s="1207" t="s">
        <v>226</v>
      </c>
      <c r="G38" s="1476">
        <v>22</v>
      </c>
      <c r="H38" s="1273">
        <f>ROUND(G38*E38,)</f>
        <v>10120</v>
      </c>
      <c r="I38" s="1265">
        <v>5</v>
      </c>
      <c r="J38" s="1264">
        <f>I38*E38</f>
        <v>2300</v>
      </c>
      <c r="K38" s="1265">
        <f>J38+H38</f>
        <v>12420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5" t="s">
        <v>2555</v>
      </c>
      <c r="B39" s="1205" t="s">
        <v>1526</v>
      </c>
      <c r="C39" s="1191"/>
      <c r="D39" s="1471"/>
      <c r="E39" s="1206"/>
      <c r="F39" s="1207"/>
      <c r="G39" s="1476"/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7"/>
      <c r="B40" s="1205" t="s">
        <v>1350</v>
      </c>
      <c r="C40" s="1191"/>
      <c r="D40" s="1471"/>
      <c r="E40" s="1206">
        <v>460</v>
      </c>
      <c r="F40" s="1207" t="s">
        <v>226</v>
      </c>
      <c r="G40" s="1271">
        <v>27</v>
      </c>
      <c r="H40" s="1264">
        <f t="shared" ref="H40" si="0">ROUND(E40*G40,)</f>
        <v>12420</v>
      </c>
      <c r="I40" s="1272">
        <v>22</v>
      </c>
      <c r="J40" s="1264">
        <f t="shared" ref="J40" si="1">ROUND(E40*I40,)</f>
        <v>10120</v>
      </c>
      <c r="K40" s="1802">
        <f t="shared" ref="K40" si="2">H40+J40</f>
        <v>22540</v>
      </c>
      <c r="L40" s="2001" t="s">
        <v>2667</v>
      </c>
      <c r="M40" s="1214"/>
      <c r="N40" s="1199">
        <v>79.8</v>
      </c>
      <c r="O40" s="1199">
        <f>ROUND(N40/3,)</f>
        <v>27</v>
      </c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78"/>
      <c r="B41" s="1205" t="s">
        <v>1384</v>
      </c>
      <c r="C41" s="1191"/>
      <c r="D41" s="1471"/>
      <c r="E41" s="1206">
        <v>1</v>
      </c>
      <c r="F41" s="1207" t="s">
        <v>1104</v>
      </c>
      <c r="G41" s="1476">
        <f>ROUND(SUM(H40)*15%,)</f>
        <v>1863</v>
      </c>
      <c r="H41" s="1273">
        <f>ROUND(G41*E41,)</f>
        <v>1863</v>
      </c>
      <c r="I41" s="1265">
        <f>ROUND(G41*0.3,0)</f>
        <v>559</v>
      </c>
      <c r="J41" s="1264">
        <f>I41*E41</f>
        <v>559</v>
      </c>
      <c r="K41" s="1265">
        <f>J41+H41</f>
        <v>2422</v>
      </c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5"/>
      <c r="B42" s="1205" t="s">
        <v>1117</v>
      </c>
      <c r="C42" s="1191"/>
      <c r="D42" s="1471"/>
      <c r="E42" s="1206"/>
      <c r="F42" s="1207"/>
      <c r="G42" s="1476"/>
      <c r="H42" s="1273"/>
      <c r="I42" s="1265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77"/>
      <c r="B43" s="1205" t="s">
        <v>1118</v>
      </c>
      <c r="C43" s="1191"/>
      <c r="D43" s="1471"/>
      <c r="E43" s="1206"/>
      <c r="F43" s="1207"/>
      <c r="G43" s="1476"/>
      <c r="H43" s="1273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78"/>
      <c r="B44" s="1205" t="s">
        <v>1118</v>
      </c>
      <c r="C44" s="1191"/>
      <c r="D44" s="1471"/>
      <c r="E44" s="1206"/>
      <c r="F44" s="1207"/>
      <c r="G44" s="1476"/>
      <c r="H44" s="1273"/>
      <c r="I44" s="1265"/>
      <c r="J44" s="1264"/>
      <c r="K44" s="1265"/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75"/>
      <c r="B45" s="1205"/>
      <c r="C45" s="1191"/>
      <c r="D45" s="1471"/>
      <c r="E45" s="1206"/>
      <c r="F45" s="1207"/>
      <c r="G45" s="1476"/>
      <c r="H45" s="1273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77"/>
      <c r="B46" s="1205"/>
      <c r="C46" s="1191"/>
      <c r="D46" s="1471"/>
      <c r="E46" s="1206"/>
      <c r="F46" s="1207"/>
      <c r="G46" s="1476"/>
      <c r="H46" s="1273"/>
      <c r="I46" s="1265"/>
      <c r="J46" s="1264"/>
      <c r="K46" s="1265"/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78"/>
      <c r="B47" s="1205"/>
      <c r="C47" s="1191"/>
      <c r="D47" s="1471"/>
      <c r="E47" s="1206"/>
      <c r="F47" s="1207"/>
      <c r="G47" s="1476"/>
      <c r="H47" s="1273"/>
      <c r="I47" s="1265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75"/>
      <c r="B48" s="1205"/>
      <c r="C48" s="1191"/>
      <c r="D48" s="1471"/>
      <c r="E48" s="1206"/>
      <c r="F48" s="1207"/>
      <c r="G48" s="1476"/>
      <c r="H48" s="1273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77"/>
      <c r="B49" s="1205"/>
      <c r="C49" s="1191"/>
      <c r="D49" s="1471"/>
      <c r="E49" s="1206"/>
      <c r="F49" s="1207"/>
      <c r="G49" s="1476"/>
      <c r="H49" s="1273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78"/>
      <c r="B50" s="1205"/>
      <c r="C50" s="1191"/>
      <c r="D50" s="1471"/>
      <c r="E50" s="1206"/>
      <c r="F50" s="1207"/>
      <c r="G50" s="1476"/>
      <c r="H50" s="1273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75"/>
      <c r="B51" s="1205"/>
      <c r="C51" s="1191"/>
      <c r="D51" s="1471"/>
      <c r="E51" s="1206"/>
      <c r="F51" s="1207"/>
      <c r="G51" s="1476"/>
      <c r="H51" s="1273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77"/>
      <c r="B52" s="1205"/>
      <c r="C52" s="1191"/>
      <c r="D52" s="1471"/>
      <c r="E52" s="1206"/>
      <c r="F52" s="1207"/>
      <c r="G52" s="1476"/>
      <c r="H52" s="1273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78"/>
      <c r="B53" s="1205"/>
      <c r="C53" s="1191"/>
      <c r="D53" s="1471"/>
      <c r="E53" s="1206"/>
      <c r="F53" s="1207"/>
      <c r="G53" s="1476"/>
      <c r="H53" s="1273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75"/>
      <c r="B54" s="1205"/>
      <c r="C54" s="1191"/>
      <c r="D54" s="1471"/>
      <c r="E54" s="1206"/>
      <c r="F54" s="1207"/>
      <c r="G54" s="1476"/>
      <c r="H54" s="1273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77"/>
      <c r="B55" s="1205"/>
      <c r="C55" s="1191"/>
      <c r="D55" s="1471"/>
      <c r="E55" s="1206"/>
      <c r="F55" s="1207"/>
      <c r="G55" s="1476"/>
      <c r="H55" s="1273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78"/>
      <c r="B56" s="1205"/>
      <c r="C56" s="1191"/>
      <c r="D56" s="1471"/>
      <c r="E56" s="1206"/>
      <c r="F56" s="1207"/>
      <c r="G56" s="1476"/>
      <c r="H56" s="1273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">
        <v>1674</v>
      </c>
      <c r="C57" s="2258"/>
      <c r="D57" s="2259"/>
      <c r="E57" s="1481"/>
      <c r="F57" s="1245"/>
      <c r="G57" s="1246"/>
      <c r="H57" s="1247">
        <f>SUM(H36:H56)</f>
        <v>201283</v>
      </c>
      <c r="I57" s="1246"/>
      <c r="J57" s="1247">
        <f>SUM(J36:J56)</f>
        <v>16979</v>
      </c>
      <c r="K57" s="1247">
        <f>SUM(K36:K56)</f>
        <v>218262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2-อาคารด้านทิศตะวันตก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F9D2A-7DFF-42E8-9597-1E1F8CF42CEF}">
  <sheetPr>
    <tabColor rgb="FF92D050"/>
  </sheetPr>
  <dimension ref="A1:U57"/>
  <sheetViews>
    <sheetView view="pageBreakPreview" topLeftCell="A37" zoomScale="70" zoomScaleNormal="100" zoomScaleSheetLayoutView="7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2929687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1695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v>4.0999999999999996</v>
      </c>
      <c r="B13" s="1190" t="s">
        <v>1669</v>
      </c>
      <c r="C13" s="1191"/>
      <c r="D13" s="1192"/>
      <c r="E13" s="1193">
        <v>1</v>
      </c>
      <c r="F13" s="1194" t="s">
        <v>19</v>
      </c>
      <c r="G13" s="1195"/>
      <c r="H13" s="1196">
        <f>H57</f>
        <v>201283</v>
      </c>
      <c r="I13" s="1197"/>
      <c r="J13" s="1196">
        <f>J57</f>
        <v>16979</v>
      </c>
      <c r="K13" s="1196">
        <f>K57</f>
        <v>218262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">
        <v>1696</v>
      </c>
      <c r="C34" s="2258"/>
      <c r="D34" s="2259"/>
      <c r="E34" s="1481"/>
      <c r="F34" s="1245"/>
      <c r="G34" s="1246"/>
      <c r="H34" s="1247">
        <f>H13</f>
        <v>201283</v>
      </c>
      <c r="I34" s="1246"/>
      <c r="J34" s="1247">
        <f>J13</f>
        <v>16979</v>
      </c>
      <c r="K34" s="1247">
        <f>K13</f>
        <v>218262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J36+H36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7" t="s">
        <v>1672</v>
      </c>
      <c r="B37" s="1205" t="s">
        <v>1578</v>
      </c>
      <c r="C37" s="1191"/>
      <c r="D37" s="1471"/>
      <c r="E37" s="1206"/>
      <c r="F37" s="1207"/>
      <c r="G37" s="1476"/>
      <c r="H37" s="1273"/>
      <c r="I37" s="1265"/>
      <c r="J37" s="1264"/>
      <c r="K37" s="1265"/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8"/>
      <c r="B38" s="1205" t="s">
        <v>1685</v>
      </c>
      <c r="C38" s="1191"/>
      <c r="D38" s="1471"/>
      <c r="E38" s="1206">
        <v>460</v>
      </c>
      <c r="F38" s="1207" t="s">
        <v>226</v>
      </c>
      <c r="G38" s="1476">
        <v>22</v>
      </c>
      <c r="H38" s="1273">
        <f>ROUND(G38*E38,)</f>
        <v>10120</v>
      </c>
      <c r="I38" s="1265">
        <v>5</v>
      </c>
      <c r="J38" s="1264">
        <f>I38*E38</f>
        <v>2300</v>
      </c>
      <c r="K38" s="1265">
        <f>J38+H38</f>
        <v>12420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5" t="s">
        <v>2555</v>
      </c>
      <c r="B39" s="1205" t="s">
        <v>1526</v>
      </c>
      <c r="C39" s="1191"/>
      <c r="D39" s="1471"/>
      <c r="E39" s="1206"/>
      <c r="F39" s="1207"/>
      <c r="G39" s="1476"/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9"/>
      <c r="B40" s="1205" t="s">
        <v>1350</v>
      </c>
      <c r="C40" s="1191"/>
      <c r="D40" s="1471"/>
      <c r="E40" s="1387">
        <v>460</v>
      </c>
      <c r="F40" s="1358" t="s">
        <v>226</v>
      </c>
      <c r="G40" s="1271">
        <v>27</v>
      </c>
      <c r="H40" s="1264">
        <f t="shared" ref="H40" si="0">ROUND(E40*G40,)</f>
        <v>12420</v>
      </c>
      <c r="I40" s="1272">
        <v>22</v>
      </c>
      <c r="J40" s="1264">
        <f t="shared" ref="J40" si="1">ROUND(E40*I40,)</f>
        <v>10120</v>
      </c>
      <c r="K40" s="1802">
        <f t="shared" ref="K40" si="2">H40+J40</f>
        <v>22540</v>
      </c>
      <c r="L40" s="2001" t="s">
        <v>2667</v>
      </c>
      <c r="M40" s="1214"/>
      <c r="N40" s="1199">
        <v>79.8</v>
      </c>
      <c r="O40" s="1199">
        <f>ROUND(N40/3,)</f>
        <v>27</v>
      </c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80"/>
      <c r="B41" s="1205" t="s">
        <v>1384</v>
      </c>
      <c r="C41" s="1191"/>
      <c r="D41" s="1471"/>
      <c r="E41" s="1206">
        <v>1</v>
      </c>
      <c r="F41" s="1207" t="s">
        <v>1104</v>
      </c>
      <c r="G41" s="1476">
        <f>ROUND(SUM(H40)*15%,)</f>
        <v>1863</v>
      </c>
      <c r="H41" s="1273">
        <f>ROUND(G41*E41,)</f>
        <v>1863</v>
      </c>
      <c r="I41" s="1332">
        <f>ROUND(G41*0.3,0)</f>
        <v>559</v>
      </c>
      <c r="J41" s="1264">
        <f>I41*E41</f>
        <v>559</v>
      </c>
      <c r="K41" s="1265">
        <f>J41+H41</f>
        <v>2422</v>
      </c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8"/>
      <c r="B42" s="1205" t="s">
        <v>1117</v>
      </c>
      <c r="C42" s="1191"/>
      <c r="D42" s="1471"/>
      <c r="E42" s="1206"/>
      <c r="F42" s="1207"/>
      <c r="G42" s="1476"/>
      <c r="H42" s="1273"/>
      <c r="I42" s="1504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80"/>
      <c r="B43" s="1205" t="s">
        <v>1118</v>
      </c>
      <c r="C43" s="1191"/>
      <c r="D43" s="1471"/>
      <c r="E43" s="1206"/>
      <c r="F43" s="1207"/>
      <c r="G43" s="1476"/>
      <c r="H43" s="1273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78"/>
      <c r="B44" s="1205" t="s">
        <v>1118</v>
      </c>
      <c r="C44" s="1191"/>
      <c r="D44" s="1471"/>
      <c r="E44" s="1206"/>
      <c r="F44" s="1207"/>
      <c r="G44" s="1476"/>
      <c r="H44" s="1273"/>
      <c r="I44" s="1265"/>
      <c r="J44" s="1264"/>
      <c r="K44" s="1265"/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75"/>
      <c r="B45" s="1205"/>
      <c r="C45" s="1191"/>
      <c r="D45" s="1471"/>
      <c r="E45" s="1206"/>
      <c r="F45" s="1207"/>
      <c r="G45" s="1476"/>
      <c r="H45" s="1273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79"/>
      <c r="B46" s="1205"/>
      <c r="C46" s="1191"/>
      <c r="D46" s="1471"/>
      <c r="E46" s="1387"/>
      <c r="F46" s="1358"/>
      <c r="G46" s="1541"/>
      <c r="H46" s="1273"/>
      <c r="I46" s="1272"/>
      <c r="J46" s="1264"/>
      <c r="K46" s="1265"/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/>
      <c r="C47" s="1191"/>
      <c r="D47" s="1471"/>
      <c r="E47" s="1206"/>
      <c r="F47" s="1207"/>
      <c r="G47" s="1476"/>
      <c r="H47" s="1273"/>
      <c r="I47" s="1332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78"/>
      <c r="B48" s="1205"/>
      <c r="C48" s="1191"/>
      <c r="D48" s="1471"/>
      <c r="E48" s="1206"/>
      <c r="F48" s="1207"/>
      <c r="G48" s="1476"/>
      <c r="H48" s="1273"/>
      <c r="I48" s="1504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/>
      <c r="C49" s="1191"/>
      <c r="D49" s="1471"/>
      <c r="E49" s="1206"/>
      <c r="F49" s="1207"/>
      <c r="G49" s="1476"/>
      <c r="H49" s="1273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78"/>
      <c r="B50" s="1205"/>
      <c r="C50" s="1191"/>
      <c r="D50" s="1471"/>
      <c r="E50" s="1206"/>
      <c r="F50" s="1207"/>
      <c r="G50" s="1476"/>
      <c r="H50" s="1273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75"/>
      <c r="B51" s="1205"/>
      <c r="C51" s="1191"/>
      <c r="D51" s="1471"/>
      <c r="E51" s="1206"/>
      <c r="F51" s="1207"/>
      <c r="G51" s="1476"/>
      <c r="H51" s="1273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79"/>
      <c r="B52" s="1205"/>
      <c r="C52" s="1191"/>
      <c r="D52" s="1471"/>
      <c r="E52" s="1387"/>
      <c r="F52" s="1358"/>
      <c r="G52" s="1541"/>
      <c r="H52" s="1273"/>
      <c r="I52" s="1272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476"/>
      <c r="H53" s="1273"/>
      <c r="I53" s="1332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78"/>
      <c r="B54" s="1205"/>
      <c r="C54" s="1191"/>
      <c r="D54" s="1471"/>
      <c r="E54" s="1206"/>
      <c r="F54" s="1207"/>
      <c r="G54" s="1476"/>
      <c r="H54" s="1273"/>
      <c r="I54" s="1504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476"/>
      <c r="H55" s="1273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78"/>
      <c r="B56" s="1205"/>
      <c r="C56" s="1191"/>
      <c r="D56" s="1471"/>
      <c r="E56" s="1206"/>
      <c r="F56" s="1207"/>
      <c r="G56" s="1476"/>
      <c r="H56" s="1273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">
        <v>1674</v>
      </c>
      <c r="C57" s="2258"/>
      <c r="D57" s="2259"/>
      <c r="E57" s="1481"/>
      <c r="F57" s="1245"/>
      <c r="G57" s="1246"/>
      <c r="H57" s="1247">
        <f>SUM(H36:H56)</f>
        <v>201283</v>
      </c>
      <c r="I57" s="1246"/>
      <c r="J57" s="1247">
        <f>SUM(J36:J56)</f>
        <v>16979</v>
      </c>
      <c r="K57" s="1247">
        <f>SUM(K36:K56)</f>
        <v>218262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3-อาคารด้านทิศตะวันตก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B06C6-6268-466B-B016-96559B34EA0E}">
  <sheetPr>
    <tabColor rgb="FF92D050"/>
  </sheetPr>
  <dimension ref="A1:U57"/>
  <sheetViews>
    <sheetView view="pageBreakPreview" topLeftCell="A37" zoomScale="70" zoomScaleNormal="100" zoomScaleSheetLayoutView="7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9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1697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v>4.0999999999999996</v>
      </c>
      <c r="B13" s="1190" t="s">
        <v>1669</v>
      </c>
      <c r="C13" s="1191"/>
      <c r="D13" s="1192"/>
      <c r="E13" s="1193">
        <v>1</v>
      </c>
      <c r="F13" s="1194" t="s">
        <v>19</v>
      </c>
      <c r="G13" s="1195"/>
      <c r="H13" s="1196">
        <f>H57</f>
        <v>314743</v>
      </c>
      <c r="I13" s="1197"/>
      <c r="J13" s="1196">
        <f>J57</f>
        <v>19979</v>
      </c>
      <c r="K13" s="1196">
        <f>K57</f>
        <v>334722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205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">
        <v>1698</v>
      </c>
      <c r="C34" s="2258"/>
      <c r="D34" s="2259"/>
      <c r="E34" s="1481"/>
      <c r="F34" s="1245"/>
      <c r="G34" s="1246"/>
      <c r="H34" s="1247">
        <f>H13</f>
        <v>314743</v>
      </c>
      <c r="I34" s="1246"/>
      <c r="J34" s="1247">
        <f>J13</f>
        <v>19979</v>
      </c>
      <c r="K34" s="1247">
        <f>K13</f>
        <v>334722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J36+H36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4" t="s">
        <v>1672</v>
      </c>
      <c r="B37" s="1205" t="s">
        <v>2714</v>
      </c>
      <c r="C37" s="1191"/>
      <c r="D37" s="1471"/>
      <c r="E37" s="1206">
        <v>2</v>
      </c>
      <c r="F37" s="1207" t="s">
        <v>363</v>
      </c>
      <c r="G37" s="1271">
        <f>5230+1640+2260+30800+12320+4480</f>
        <v>56730</v>
      </c>
      <c r="H37" s="1273">
        <f>ROUND(G37*E37,)</f>
        <v>113460</v>
      </c>
      <c r="I37" s="1272">
        <v>1500</v>
      </c>
      <c r="J37" s="1264">
        <f>I37*E37</f>
        <v>3000</v>
      </c>
      <c r="K37" s="1265">
        <f>J37+H37</f>
        <v>116460</v>
      </c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4"/>
      <c r="B38" s="1205" t="s">
        <v>1682</v>
      </c>
      <c r="C38" s="1191"/>
      <c r="D38" s="1471"/>
      <c r="E38" s="1206"/>
      <c r="F38" s="1207" t="s">
        <v>363</v>
      </c>
      <c r="G38" s="1476" t="s">
        <v>1683</v>
      </c>
      <c r="H38" s="1273"/>
      <c r="I38" s="1265"/>
      <c r="J38" s="1264"/>
      <c r="K38" s="1265"/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4"/>
      <c r="B39" s="1205" t="s">
        <v>1574</v>
      </c>
      <c r="C39" s="1191"/>
      <c r="D39" s="1471"/>
      <c r="E39" s="1206"/>
      <c r="F39" s="1207" t="s">
        <v>363</v>
      </c>
      <c r="G39" s="1476" t="s">
        <v>1683</v>
      </c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5"/>
      <c r="B40" s="1205" t="s">
        <v>1575</v>
      </c>
      <c r="C40" s="1191"/>
      <c r="D40" s="1471"/>
      <c r="E40" s="1206"/>
      <c r="F40" s="1207" t="s">
        <v>363</v>
      </c>
      <c r="G40" s="1476" t="s">
        <v>1683</v>
      </c>
      <c r="H40" s="1273"/>
      <c r="I40" s="1265"/>
      <c r="J40" s="1264"/>
      <c r="K40" s="1265"/>
      <c r="L40" s="1473"/>
      <c r="M40" s="1214"/>
      <c r="N40" s="1214"/>
      <c r="O40" s="1214"/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75"/>
      <c r="B41" s="1205" t="s">
        <v>2710</v>
      </c>
      <c r="C41" s="1191"/>
      <c r="D41" s="1471"/>
      <c r="E41" s="1206"/>
      <c r="F41" s="1207" t="s">
        <v>363</v>
      </c>
      <c r="G41" s="1476" t="s">
        <v>1683</v>
      </c>
      <c r="H41" s="1273"/>
      <c r="I41" s="1265"/>
      <c r="J41" s="1264"/>
      <c r="K41" s="1265"/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559"/>
      <c r="B42" s="1205" t="s">
        <v>1684</v>
      </c>
      <c r="C42" s="1191"/>
      <c r="D42" s="1471"/>
      <c r="E42" s="1206"/>
      <c r="F42" s="1207" t="s">
        <v>363</v>
      </c>
      <c r="G42" s="1476" t="s">
        <v>1683</v>
      </c>
      <c r="H42" s="1273"/>
      <c r="I42" s="1265"/>
      <c r="J42" s="1264"/>
      <c r="K42" s="1265"/>
      <c r="L42" s="1469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77" t="s">
        <v>1673</v>
      </c>
      <c r="B43" s="1205" t="s">
        <v>1578</v>
      </c>
      <c r="C43" s="1191"/>
      <c r="D43" s="1471"/>
      <c r="E43" s="1206"/>
      <c r="F43" s="1207"/>
      <c r="G43" s="1476"/>
      <c r="H43" s="1273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78"/>
      <c r="B44" s="1205" t="s">
        <v>1685</v>
      </c>
      <c r="C44" s="1191"/>
      <c r="D44" s="1471"/>
      <c r="E44" s="1206">
        <v>460</v>
      </c>
      <c r="F44" s="1207" t="s">
        <v>226</v>
      </c>
      <c r="G44" s="1476">
        <v>22</v>
      </c>
      <c r="H44" s="1273">
        <f>ROUND(G44*E44,)</f>
        <v>10120</v>
      </c>
      <c r="I44" s="1265">
        <v>5</v>
      </c>
      <c r="J44" s="1264">
        <f>I44*E44</f>
        <v>2300</v>
      </c>
      <c r="K44" s="1265">
        <f>J44+H44</f>
        <v>12420</v>
      </c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75" t="s">
        <v>1694</v>
      </c>
      <c r="B45" s="1205" t="s">
        <v>1526</v>
      </c>
      <c r="C45" s="1191"/>
      <c r="D45" s="1471"/>
      <c r="E45" s="1206"/>
      <c r="F45" s="1207"/>
      <c r="G45" s="1476"/>
      <c r="H45" s="1273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79"/>
      <c r="B46" s="1205" t="s">
        <v>1350</v>
      </c>
      <c r="C46" s="1191"/>
      <c r="D46" s="1471"/>
      <c r="E46" s="1387">
        <v>460</v>
      </c>
      <c r="F46" s="1358" t="s">
        <v>226</v>
      </c>
      <c r="G46" s="1271">
        <v>27</v>
      </c>
      <c r="H46" s="1264">
        <f t="shared" ref="H46" si="0">ROUND(E46*G46,)</f>
        <v>12420</v>
      </c>
      <c r="I46" s="1272">
        <v>22</v>
      </c>
      <c r="J46" s="1264">
        <f t="shared" ref="J46" si="1">ROUND(E46*I46,)</f>
        <v>10120</v>
      </c>
      <c r="K46" s="1802">
        <f t="shared" ref="K46" si="2">H46+J46</f>
        <v>22540</v>
      </c>
      <c r="L46" s="2001" t="s">
        <v>2667</v>
      </c>
      <c r="M46" s="1214"/>
      <c r="N46" s="1199">
        <v>79.8</v>
      </c>
      <c r="O46" s="1199">
        <f>ROUND(N46/3,)</f>
        <v>27</v>
      </c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 t="s">
        <v>1384</v>
      </c>
      <c r="C47" s="1191"/>
      <c r="D47" s="1471"/>
      <c r="E47" s="1206">
        <v>1</v>
      </c>
      <c r="F47" s="1207" t="s">
        <v>1104</v>
      </c>
      <c r="G47" s="1476">
        <f>ROUND(SUM(H46)*15%,)</f>
        <v>1863</v>
      </c>
      <c r="H47" s="1273">
        <f>ROUND(G47*E47,)</f>
        <v>1863</v>
      </c>
      <c r="I47" s="1332">
        <f>ROUND(G47*0.3,0)</f>
        <v>559</v>
      </c>
      <c r="J47" s="1264">
        <f>I47*E47</f>
        <v>559</v>
      </c>
      <c r="K47" s="1265">
        <f>J47+H47</f>
        <v>2422</v>
      </c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75"/>
      <c r="B48" s="1205" t="s">
        <v>1117</v>
      </c>
      <c r="C48" s="1191"/>
      <c r="D48" s="1471"/>
      <c r="E48" s="1206"/>
      <c r="F48" s="1207"/>
      <c r="G48" s="1476"/>
      <c r="H48" s="1273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 t="s">
        <v>1118</v>
      </c>
      <c r="C49" s="1191"/>
      <c r="D49" s="1471"/>
      <c r="E49" s="1206"/>
      <c r="F49" s="1207"/>
      <c r="G49" s="1476"/>
      <c r="H49" s="1273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 t="s">
        <v>1118</v>
      </c>
      <c r="C50" s="1191"/>
      <c r="D50" s="1471"/>
      <c r="E50" s="1206"/>
      <c r="F50" s="1207"/>
      <c r="G50" s="1476"/>
      <c r="H50" s="1273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476"/>
      <c r="H51" s="1273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476"/>
      <c r="H52" s="1273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476"/>
      <c r="H53" s="1273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476"/>
      <c r="H54" s="1273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476"/>
      <c r="H55" s="1273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476"/>
      <c r="H56" s="1273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">
        <v>1674</v>
      </c>
      <c r="C57" s="2258"/>
      <c r="D57" s="2259"/>
      <c r="E57" s="1481"/>
      <c r="F57" s="1245"/>
      <c r="G57" s="1246"/>
      <c r="H57" s="1247">
        <f>SUM(H36:H56)</f>
        <v>314743</v>
      </c>
      <c r="I57" s="1246"/>
      <c r="J57" s="1247">
        <f t="shared" ref="J57:K57" si="3">SUM(J36:J56)</f>
        <v>19979</v>
      </c>
      <c r="K57" s="1247">
        <f t="shared" si="3"/>
        <v>334722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4-อาคารด้านทิศตะวันตก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5"/>
  <sheetViews>
    <sheetView view="pageBreakPreview" topLeftCell="A10" zoomScale="70" zoomScaleNormal="70" zoomScaleSheetLayoutView="70" workbookViewId="0">
      <selection activeCell="J24" sqref="J24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7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23.703125" style="1" customWidth="1"/>
    <col min="9" max="9" width="14.703125" style="1" customWidth="1"/>
    <col min="10" max="10" width="22.703125" style="1" customWidth="1"/>
    <col min="11" max="11" width="24.703125" style="1" customWidth="1"/>
    <col min="12" max="12" width="14.703125" style="1" customWidth="1"/>
    <col min="13" max="14" width="7.703125" style="1" customWidth="1"/>
    <col min="15" max="16" width="18" style="1" bestFit="1" customWidth="1"/>
    <col min="17" max="17" width="7.703125" style="1" customWidth="1"/>
    <col min="18" max="18" width="25.29296875" style="1" customWidth="1"/>
    <col min="19" max="63" width="7.703125" style="1" customWidth="1"/>
    <col min="64" max="16384" width="9" style="1"/>
  </cols>
  <sheetData>
    <row r="1" spans="1:18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8" ht="25.15" customHeight="1">
      <c r="A2" s="11" t="s">
        <v>2</v>
      </c>
      <c r="B2" s="36"/>
      <c r="C2" s="37"/>
      <c r="D2" s="12" t="s">
        <v>168</v>
      </c>
      <c r="E2" s="37"/>
      <c r="F2" s="13"/>
      <c r="G2" s="13"/>
      <c r="H2" s="13"/>
      <c r="I2" s="13"/>
      <c r="J2" s="14"/>
      <c r="K2" s="13"/>
      <c r="L2" s="15"/>
    </row>
    <row r="3" spans="1:18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8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8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8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8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8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8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55" t="s">
        <v>14</v>
      </c>
      <c r="L9" s="2224" t="s">
        <v>15</v>
      </c>
    </row>
    <row r="10" spans="1:18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56" t="s">
        <v>18</v>
      </c>
      <c r="L10" s="2225"/>
    </row>
    <row r="11" spans="1:18" ht="24" customHeight="1">
      <c r="A11" s="57" t="s">
        <v>38</v>
      </c>
      <c r="B11" s="58" t="s">
        <v>173</v>
      </c>
      <c r="C11" s="53"/>
      <c r="D11" s="46"/>
      <c r="E11" s="47"/>
      <c r="F11" s="47"/>
      <c r="G11" s="48"/>
      <c r="H11" s="49"/>
      <c r="I11" s="50"/>
      <c r="J11" s="49"/>
      <c r="K11" s="51"/>
      <c r="L11" s="52"/>
    </row>
    <row r="12" spans="1:18" ht="24" customHeight="1">
      <c r="A12" s="57"/>
      <c r="B12" s="58"/>
      <c r="C12" s="53"/>
      <c r="D12" s="46"/>
      <c r="E12" s="47"/>
      <c r="F12" s="47"/>
      <c r="G12" s="48"/>
      <c r="H12" s="49"/>
      <c r="I12" s="50"/>
      <c r="J12" s="49"/>
      <c r="K12" s="51"/>
      <c r="L12" s="52"/>
    </row>
    <row r="13" spans="1:18" s="450" customFormat="1" ht="24" customHeight="1">
      <c r="A13" s="441">
        <v>1</v>
      </c>
      <c r="B13" s="442" t="s">
        <v>39</v>
      </c>
      <c r="C13" s="443"/>
      <c r="D13" s="444"/>
      <c r="E13" s="486">
        <v>1</v>
      </c>
      <c r="F13" s="445" t="s">
        <v>19</v>
      </c>
      <c r="G13" s="446"/>
      <c r="H13" s="447">
        <f>ROUND('01.ST อาคารทิศตะวันตก'!H35,2)</f>
        <v>204558610.81</v>
      </c>
      <c r="I13" s="448"/>
      <c r="J13" s="447">
        <f>ROUND('01.ST อาคารทิศตะวันตก'!J35,2)</f>
        <v>40540124.420000002</v>
      </c>
      <c r="K13" s="447">
        <f>H13+J13</f>
        <v>245098735.23000002</v>
      </c>
      <c r="L13" s="449"/>
      <c r="O13" s="451"/>
      <c r="P13" s="451"/>
    </row>
    <row r="14" spans="1:18" s="450" customFormat="1" ht="24" customHeight="1">
      <c r="A14" s="441">
        <v>2</v>
      </c>
      <c r="B14" s="452" t="s">
        <v>36</v>
      </c>
      <c r="C14" s="443"/>
      <c r="D14" s="444"/>
      <c r="E14" s="486">
        <v>1</v>
      </c>
      <c r="F14" s="445" t="s">
        <v>19</v>
      </c>
      <c r="G14" s="446"/>
      <c r="H14" s="447">
        <f>'02.AR อาคารทิศตะวันตก'!H37</f>
        <v>390953893.66000003</v>
      </c>
      <c r="I14" s="448"/>
      <c r="J14" s="447">
        <f>'02.AR อาคารทิศตะวันตก'!J37</f>
        <v>39407920.280000001</v>
      </c>
      <c r="K14" s="447">
        <f>H14+J14</f>
        <v>430361813.94000006</v>
      </c>
      <c r="L14" s="449"/>
      <c r="O14" s="451"/>
    </row>
    <row r="15" spans="1:18" s="450" customFormat="1" ht="24" customHeight="1">
      <c r="A15" s="441">
        <v>3</v>
      </c>
      <c r="B15" s="452" t="s">
        <v>29</v>
      </c>
      <c r="C15" s="443"/>
      <c r="D15" s="444"/>
      <c r="E15" s="486">
        <v>1</v>
      </c>
      <c r="F15" s="445" t="s">
        <v>19</v>
      </c>
      <c r="G15" s="446"/>
      <c r="H15" s="447">
        <f>'03.SUM-EE-ทิศตะวันตก'!H33</f>
        <v>120761014</v>
      </c>
      <c r="I15" s="448"/>
      <c r="J15" s="447">
        <f>'03.SUM-EE-ทิศตะวันตก'!J33</f>
        <v>18232877</v>
      </c>
      <c r="K15" s="447">
        <f t="shared" ref="K15:K20" si="0">H15+J15</f>
        <v>138993891</v>
      </c>
      <c r="L15" s="449"/>
      <c r="O15" s="451"/>
      <c r="P15" s="484"/>
      <c r="R15" s="451"/>
    </row>
    <row r="16" spans="1:18" s="450" customFormat="1" ht="24" customHeight="1">
      <c r="A16" s="441">
        <v>4</v>
      </c>
      <c r="B16" s="452" t="s">
        <v>1025</v>
      </c>
      <c r="C16" s="443"/>
      <c r="D16" s="444"/>
      <c r="E16" s="486">
        <v>1</v>
      </c>
      <c r="F16" s="445" t="s">
        <v>19</v>
      </c>
      <c r="G16" s="446"/>
      <c r="H16" s="447">
        <f>'04.SUM-TV.อาคารตะวันตก'!H32</f>
        <v>5824151</v>
      </c>
      <c r="I16" s="448"/>
      <c r="J16" s="447">
        <f>'04.SUM-TV.อาคารตะวันตก'!J32</f>
        <v>519217</v>
      </c>
      <c r="K16" s="447">
        <f t="shared" si="0"/>
        <v>6343368</v>
      </c>
      <c r="L16" s="449"/>
      <c r="O16" s="451"/>
    </row>
    <row r="17" spans="1:15" s="450" customFormat="1" ht="24" customHeight="1">
      <c r="A17" s="441">
        <v>5</v>
      </c>
      <c r="B17" s="452" t="s">
        <v>1023</v>
      </c>
      <c r="C17" s="443"/>
      <c r="D17" s="444"/>
      <c r="E17" s="486">
        <v>1</v>
      </c>
      <c r="F17" s="445" t="s">
        <v>19</v>
      </c>
      <c r="G17" s="446"/>
      <c r="H17" s="447">
        <f>'05.SUM-SAN อาคารตะวันตก'!H34</f>
        <v>18980378</v>
      </c>
      <c r="I17" s="448"/>
      <c r="J17" s="447">
        <f>'05.SUM-SAN อาคารตะวันตก'!J34</f>
        <v>5377335</v>
      </c>
      <c r="K17" s="447">
        <f t="shared" si="0"/>
        <v>24357713</v>
      </c>
      <c r="L17" s="449"/>
      <c r="O17" s="451"/>
    </row>
    <row r="18" spans="1:15" s="450" customFormat="1" ht="24" customHeight="1">
      <c r="A18" s="441">
        <v>6</v>
      </c>
      <c r="B18" s="452" t="s">
        <v>1024</v>
      </c>
      <c r="C18" s="443"/>
      <c r="D18" s="444"/>
      <c r="E18" s="486">
        <v>1</v>
      </c>
      <c r="F18" s="445" t="s">
        <v>19</v>
      </c>
      <c r="G18" s="446"/>
      <c r="H18" s="447">
        <f>'06.SUM-FP อาคารตะวันตก'!H34</f>
        <v>26780876</v>
      </c>
      <c r="I18" s="448"/>
      <c r="J18" s="447">
        <f>'06.SUM-FP อาคารตะวันตก'!J34</f>
        <v>7914284</v>
      </c>
      <c r="K18" s="447">
        <f t="shared" si="0"/>
        <v>34695160</v>
      </c>
      <c r="L18" s="449"/>
      <c r="O18" s="451"/>
    </row>
    <row r="19" spans="1:15" s="450" customFormat="1" ht="24" customHeight="1">
      <c r="A19" s="441">
        <v>7</v>
      </c>
      <c r="B19" s="452" t="s">
        <v>25</v>
      </c>
      <c r="C19" s="443"/>
      <c r="D19" s="444"/>
      <c r="E19" s="486">
        <v>1</v>
      </c>
      <c r="F19" s="445" t="s">
        <v>19</v>
      </c>
      <c r="G19" s="446"/>
      <c r="H19" s="447">
        <f>'06.SUM-AC อาคารทิศตะวันตก'!H34</f>
        <v>101623722</v>
      </c>
      <c r="I19" s="448"/>
      <c r="J19" s="447">
        <f>'06.SUM-AC อาคารทิศตะวันตก'!J34</f>
        <v>16544236</v>
      </c>
      <c r="K19" s="447">
        <f t="shared" si="0"/>
        <v>118167958</v>
      </c>
      <c r="L19" s="449"/>
      <c r="O19" s="451"/>
    </row>
    <row r="20" spans="1:15" ht="24" customHeight="1">
      <c r="A20" s="441">
        <v>8</v>
      </c>
      <c r="B20" s="452" t="s">
        <v>1026</v>
      </c>
      <c r="C20" s="455"/>
      <c r="D20" s="456"/>
      <c r="E20" s="486">
        <v>1</v>
      </c>
      <c r="F20" s="445" t="s">
        <v>19</v>
      </c>
      <c r="G20" s="458"/>
      <c r="H20" s="447">
        <f>'07.LIFT-อาคารทิศตะวันตก (2)'!H34</f>
        <v>50790000</v>
      </c>
      <c r="I20" s="460"/>
      <c r="J20" s="447">
        <f>'07.LIFT-อาคารทิศตะวันตก (2)'!J34</f>
        <v>0</v>
      </c>
      <c r="K20" s="447">
        <f t="shared" si="0"/>
        <v>50790000</v>
      </c>
      <c r="L20" s="462"/>
    </row>
    <row r="21" spans="1:15" ht="24" customHeight="1">
      <c r="A21" s="453"/>
      <c r="B21" s="454"/>
      <c r="C21" s="455"/>
      <c r="D21" s="456"/>
      <c r="E21" s="457"/>
      <c r="F21" s="457"/>
      <c r="G21" s="458"/>
      <c r="H21" s="459"/>
      <c r="I21" s="460"/>
      <c r="J21" s="459"/>
      <c r="K21" s="461"/>
      <c r="L21" s="462"/>
    </row>
    <row r="22" spans="1:15" ht="24" customHeight="1">
      <c r="A22" s="453"/>
      <c r="B22" s="454"/>
      <c r="C22" s="455"/>
      <c r="D22" s="456"/>
      <c r="E22" s="457"/>
      <c r="F22" s="457"/>
      <c r="G22" s="458"/>
      <c r="H22" s="459"/>
      <c r="I22" s="460"/>
      <c r="J22" s="459"/>
      <c r="K22" s="461"/>
      <c r="L22" s="462"/>
    </row>
    <row r="23" spans="1:15" ht="24" customHeight="1">
      <c r="A23" s="453"/>
      <c r="B23" s="454"/>
      <c r="C23" s="455"/>
      <c r="D23" s="456"/>
      <c r="E23" s="457"/>
      <c r="F23" s="457"/>
      <c r="G23" s="458"/>
      <c r="H23" s="459"/>
      <c r="I23" s="460"/>
      <c r="J23" s="459"/>
      <c r="K23" s="461"/>
      <c r="L23" s="462"/>
    </row>
    <row r="24" spans="1:15" ht="24" customHeight="1">
      <c r="A24" s="453"/>
      <c r="B24" s="454"/>
      <c r="C24" s="455"/>
      <c r="D24" s="456"/>
      <c r="E24" s="457"/>
      <c r="F24" s="457"/>
      <c r="G24" s="458"/>
      <c r="H24" s="459"/>
      <c r="I24" s="460"/>
      <c r="J24" s="459"/>
      <c r="K24" s="461"/>
      <c r="L24" s="462"/>
    </row>
    <row r="25" spans="1:15" ht="24" customHeight="1">
      <c r="A25" s="453"/>
      <c r="B25" s="454"/>
      <c r="C25" s="455"/>
      <c r="D25" s="456"/>
      <c r="E25" s="457"/>
      <c r="F25" s="457"/>
      <c r="G25" s="458"/>
      <c r="H25" s="459"/>
      <c r="I25" s="460"/>
      <c r="J25" s="459"/>
      <c r="K25" s="461"/>
      <c r="L25" s="462"/>
    </row>
    <row r="26" spans="1:15" ht="24" customHeight="1">
      <c r="A26" s="453"/>
      <c r="B26" s="454"/>
      <c r="C26" s="455"/>
      <c r="D26" s="456"/>
      <c r="E26" s="457"/>
      <c r="F26" s="457"/>
      <c r="G26" s="458"/>
      <c r="H26" s="459"/>
      <c r="I26" s="460"/>
      <c r="J26" s="459"/>
      <c r="K26" s="461"/>
      <c r="L26" s="462"/>
    </row>
    <row r="27" spans="1:15" ht="24" customHeight="1">
      <c r="A27" s="463"/>
      <c r="B27" s="454"/>
      <c r="C27" s="455"/>
      <c r="D27" s="456"/>
      <c r="E27" s="457"/>
      <c r="F27" s="457"/>
      <c r="G27" s="458"/>
      <c r="H27" s="459"/>
      <c r="I27" s="460"/>
      <c r="J27" s="459"/>
      <c r="K27" s="461"/>
      <c r="L27" s="462"/>
    </row>
    <row r="28" spans="1:15" ht="24" customHeight="1">
      <c r="A28" s="463"/>
      <c r="B28" s="454"/>
      <c r="C28" s="455"/>
      <c r="D28" s="456"/>
      <c r="E28" s="457"/>
      <c r="F28" s="457"/>
      <c r="G28" s="458"/>
      <c r="H28" s="459"/>
      <c r="I28" s="460"/>
      <c r="J28" s="459"/>
      <c r="K28" s="461"/>
      <c r="L28" s="462"/>
    </row>
    <row r="29" spans="1:15" ht="24" customHeight="1">
      <c r="A29" s="464"/>
      <c r="B29" s="454"/>
      <c r="C29" s="455"/>
      <c r="D29" s="456"/>
      <c r="E29" s="457"/>
      <c r="F29" s="457"/>
      <c r="G29" s="458"/>
      <c r="H29" s="459"/>
      <c r="I29" s="460"/>
      <c r="J29" s="459"/>
      <c r="K29" s="461"/>
      <c r="L29" s="462"/>
    </row>
    <row r="30" spans="1:15" ht="24" customHeight="1">
      <c r="A30" s="465"/>
      <c r="B30" s="466"/>
      <c r="C30" s="45"/>
      <c r="D30" s="467"/>
      <c r="E30" s="468"/>
      <c r="F30" s="468"/>
      <c r="G30" s="469"/>
      <c r="H30" s="470"/>
      <c r="I30" s="471"/>
      <c r="J30" s="470"/>
      <c r="K30" s="472"/>
      <c r="L30" s="473"/>
    </row>
    <row r="31" spans="1:15" ht="30" customHeight="1">
      <c r="A31" s="474"/>
      <c r="B31" s="2209" t="s">
        <v>169</v>
      </c>
      <c r="C31" s="2209"/>
      <c r="D31" s="2209"/>
      <c r="E31" s="475"/>
      <c r="F31" s="476"/>
      <c r="G31" s="477"/>
      <c r="H31" s="478">
        <f>SUM(H13:H30)</f>
        <v>920272645.47000003</v>
      </c>
      <c r="I31" s="478"/>
      <c r="J31" s="478">
        <f>SUM(J13:J30)</f>
        <v>128535993.7</v>
      </c>
      <c r="K31" s="478">
        <f>SUM(K13:K30)</f>
        <v>1048808639.1700001</v>
      </c>
      <c r="L31" s="478"/>
    </row>
    <row r="35" spans="11:11">
      <c r="K35" s="880"/>
    </row>
  </sheetData>
  <mergeCells count="9">
    <mergeCell ref="B31:D31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74803149606299202" bottom="0.59055118110236204" header="0.31496062992126" footer="0.31496062992126"/>
  <pageSetup paperSize="9" scale="68" pageOrder="overThenDown" orientation="landscape" r:id="rId1"/>
  <headerFooter>
    <oddHeader xml:space="preserve">&amp;Rแผ่นที่ &amp;P ใน &amp;N แผ่น </oddHeader>
    <oddFooter>&amp;Rหน้ารวม -อาคารทิศตะวันตก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E10F4-6296-4545-9D20-A6970AB79357}">
  <sheetPr>
    <tabColor rgb="FF92D050"/>
  </sheetPr>
  <dimension ref="A1:U57"/>
  <sheetViews>
    <sheetView view="pageBreakPreview" topLeftCell="A34" zoomScale="70" zoomScaleNormal="100" zoomScaleSheetLayoutView="7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9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061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06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1699</v>
      </c>
      <c r="C11" s="1525"/>
      <c r="D11" s="1526"/>
      <c r="E11" s="1179"/>
      <c r="F11" s="1180"/>
      <c r="G11" s="1509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509"/>
      <c r="H12" s="1182"/>
      <c r="I12" s="1183"/>
      <c r="J12" s="1182"/>
      <c r="K12" s="1184"/>
      <c r="L12" s="1429"/>
    </row>
    <row r="13" spans="1:12" s="1199" customFormat="1" ht="24" customHeight="1">
      <c r="A13" s="1189">
        <f>A35</f>
        <v>4.0999999999999996</v>
      </c>
      <c r="B13" s="1190" t="str">
        <f>B35</f>
        <v>ระบบโทรทัศน์วงจรปิด (Closed Circuit TV System)</v>
      </c>
      <c r="C13" s="1191"/>
      <c r="D13" s="1192"/>
      <c r="E13" s="1193">
        <v>1</v>
      </c>
      <c r="F13" s="1194" t="s">
        <v>19</v>
      </c>
      <c r="G13" s="1510"/>
      <c r="H13" s="1196">
        <f>H57</f>
        <v>201283</v>
      </c>
      <c r="I13" s="1197"/>
      <c r="J13" s="1196">
        <f t="shared" ref="J13:K13" si="0">J57</f>
        <v>16979</v>
      </c>
      <c r="K13" s="1196">
        <f t="shared" si="0"/>
        <v>218262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510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510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510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510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510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510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510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510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510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510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510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510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510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510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510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510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510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510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510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510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tr">
        <f>"รวมราคา"&amp;B11</f>
        <v>รวมราคาระบบโทรทัศน์วงจรปิด (Closed Circuit TV System) ชั้น 5</v>
      </c>
      <c r="C34" s="2258"/>
      <c r="D34" s="2259"/>
      <c r="E34" s="1481"/>
      <c r="F34" s="1245"/>
      <c r="G34" s="1246"/>
      <c r="H34" s="1247">
        <f>H13</f>
        <v>201283</v>
      </c>
      <c r="I34" s="1246"/>
      <c r="J34" s="1247">
        <f t="shared" ref="J34:K34" si="1">J13</f>
        <v>16979</v>
      </c>
      <c r="K34" s="1247">
        <f t="shared" si="1"/>
        <v>218262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35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H36+J36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7" t="s">
        <v>1672</v>
      </c>
      <c r="B37" s="1205" t="s">
        <v>1578</v>
      </c>
      <c r="C37" s="1191"/>
      <c r="D37" s="1471"/>
      <c r="E37" s="1206"/>
      <c r="F37" s="1207"/>
      <c r="G37" s="1476"/>
      <c r="H37" s="1273"/>
      <c r="I37" s="1265"/>
      <c r="J37" s="1264"/>
      <c r="K37" s="1265"/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8"/>
      <c r="B38" s="1205" t="s">
        <v>1685</v>
      </c>
      <c r="C38" s="1191"/>
      <c r="D38" s="1471"/>
      <c r="E38" s="1206">
        <v>460</v>
      </c>
      <c r="F38" s="1207" t="s">
        <v>226</v>
      </c>
      <c r="G38" s="1476">
        <v>22</v>
      </c>
      <c r="H38" s="1273">
        <f>ROUND(G38*E38,)</f>
        <v>10120</v>
      </c>
      <c r="I38" s="1265">
        <v>5</v>
      </c>
      <c r="J38" s="1264">
        <f>I38*E38</f>
        <v>2300</v>
      </c>
      <c r="K38" s="1273">
        <f>H38+J38</f>
        <v>12420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5" t="s">
        <v>2555</v>
      </c>
      <c r="B39" s="1205" t="s">
        <v>1526</v>
      </c>
      <c r="C39" s="1191"/>
      <c r="D39" s="1471"/>
      <c r="E39" s="1206"/>
      <c r="F39" s="1207"/>
      <c r="G39" s="1476"/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9"/>
      <c r="B40" s="1205" t="s">
        <v>1350</v>
      </c>
      <c r="C40" s="1191"/>
      <c r="D40" s="1471"/>
      <c r="E40" s="1387">
        <v>460</v>
      </c>
      <c r="F40" s="1358" t="s">
        <v>226</v>
      </c>
      <c r="G40" s="1271">
        <v>27</v>
      </c>
      <c r="H40" s="1264">
        <f t="shared" ref="H40" si="2">ROUND(E40*G40,)</f>
        <v>12420</v>
      </c>
      <c r="I40" s="1272">
        <v>22</v>
      </c>
      <c r="J40" s="1264">
        <f t="shared" ref="J40" si="3">ROUND(E40*I40,)</f>
        <v>10120</v>
      </c>
      <c r="K40" s="1802">
        <f t="shared" ref="K40" si="4">H40+J40</f>
        <v>22540</v>
      </c>
      <c r="L40" s="2001" t="s">
        <v>2667</v>
      </c>
      <c r="M40" s="1214"/>
      <c r="N40" s="1199">
        <v>79.8</v>
      </c>
      <c r="O40" s="1199">
        <f>ROUND(N40/3,)</f>
        <v>27</v>
      </c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80"/>
      <c r="B41" s="1205" t="s">
        <v>1384</v>
      </c>
      <c r="C41" s="1191"/>
      <c r="D41" s="1471"/>
      <c r="E41" s="1206">
        <v>1</v>
      </c>
      <c r="F41" s="1207" t="s">
        <v>1104</v>
      </c>
      <c r="G41" s="1476">
        <f>ROUND(SUM(H40)*15%,)</f>
        <v>1863</v>
      </c>
      <c r="H41" s="1273">
        <f>ROUND(G41*E41,)</f>
        <v>1863</v>
      </c>
      <c r="I41" s="1332">
        <f>ROUND(G41*0.3,0)</f>
        <v>559</v>
      </c>
      <c r="J41" s="1264">
        <f>I41*E41</f>
        <v>559</v>
      </c>
      <c r="K41" s="1273">
        <f>H41+J41</f>
        <v>2422</v>
      </c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5"/>
      <c r="B42" s="1205" t="s">
        <v>1117</v>
      </c>
      <c r="C42" s="1191"/>
      <c r="D42" s="1471"/>
      <c r="E42" s="1206"/>
      <c r="F42" s="1207"/>
      <c r="G42" s="1558"/>
      <c r="H42" s="1264"/>
      <c r="I42" s="1265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80"/>
      <c r="B43" s="1205" t="s">
        <v>1118</v>
      </c>
      <c r="C43" s="1191"/>
      <c r="D43" s="1471"/>
      <c r="E43" s="1206"/>
      <c r="F43" s="1207"/>
      <c r="G43" s="1263"/>
      <c r="H43" s="1264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80"/>
      <c r="B44" s="1205" t="s">
        <v>1118</v>
      </c>
      <c r="C44" s="1191"/>
      <c r="D44" s="1471"/>
      <c r="E44" s="1206"/>
      <c r="F44" s="1207"/>
      <c r="G44" s="1263"/>
      <c r="H44" s="1264"/>
      <c r="I44" s="1265"/>
      <c r="J44" s="1264"/>
      <c r="K44" s="1265"/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80"/>
      <c r="B45" s="1205"/>
      <c r="C45" s="1191"/>
      <c r="D45" s="1471"/>
      <c r="E45" s="1206"/>
      <c r="F45" s="1207"/>
      <c r="G45" s="1263"/>
      <c r="H45" s="1264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80"/>
      <c r="B46" s="1205"/>
      <c r="C46" s="1191"/>
      <c r="D46" s="1471"/>
      <c r="E46" s="1206"/>
      <c r="F46" s="1207"/>
      <c r="G46" s="1263"/>
      <c r="H46" s="1264"/>
      <c r="I46" s="1265"/>
      <c r="J46" s="1264"/>
      <c r="K46" s="1265"/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/>
      <c r="C47" s="1191"/>
      <c r="D47" s="1471"/>
      <c r="E47" s="1206"/>
      <c r="F47" s="1207"/>
      <c r="G47" s="1263"/>
      <c r="H47" s="1264"/>
      <c r="I47" s="1265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80"/>
      <c r="B48" s="1205"/>
      <c r="C48" s="1191"/>
      <c r="D48" s="1471"/>
      <c r="E48" s="1206"/>
      <c r="F48" s="1207"/>
      <c r="G48" s="1263"/>
      <c r="H48" s="1264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/>
      <c r="C49" s="1191"/>
      <c r="D49" s="1471"/>
      <c r="E49" s="1206"/>
      <c r="F49" s="1207"/>
      <c r="G49" s="1263"/>
      <c r="H49" s="1264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/>
      <c r="C50" s="1191"/>
      <c r="D50" s="1471"/>
      <c r="E50" s="1206"/>
      <c r="F50" s="1207"/>
      <c r="G50" s="1263"/>
      <c r="H50" s="1264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263"/>
      <c r="H51" s="1264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263"/>
      <c r="H52" s="1264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263"/>
      <c r="H53" s="1264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263"/>
      <c r="H54" s="1264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263"/>
      <c r="H55" s="1264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516"/>
      <c r="H56" s="1264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tr">
        <f>"รวมราคารายการที่ "&amp;A35</f>
        <v>รวมราคารายการที่ 4.1</v>
      </c>
      <c r="C57" s="2258"/>
      <c r="D57" s="2259"/>
      <c r="E57" s="1481"/>
      <c r="F57" s="1245"/>
      <c r="G57" s="1246"/>
      <c r="H57" s="1247">
        <f>SUM(H36:H56)</f>
        <v>201283</v>
      </c>
      <c r="I57" s="1246"/>
      <c r="J57" s="1247">
        <f>SUM(J36:J56)</f>
        <v>16979</v>
      </c>
      <c r="K57" s="1247">
        <f>SUM(K36:K56)</f>
        <v>218262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9">
    <mergeCell ref="L9:L10"/>
    <mergeCell ref="B34:D34"/>
    <mergeCell ref="B57:D57"/>
    <mergeCell ref="A9:A10"/>
    <mergeCell ref="B9:D10"/>
    <mergeCell ref="E9:E10"/>
    <mergeCell ref="F9:F10"/>
    <mergeCell ref="G9:H9"/>
    <mergeCell ref="I9:J9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5-อาคารด้านทิศตะวันตก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B376B-10AA-4005-A05D-083B78E6DFB0}">
  <sheetPr>
    <tabColor rgb="FF92D050"/>
  </sheetPr>
  <dimension ref="A1:U57"/>
  <sheetViews>
    <sheetView view="pageBreakPreview" topLeftCell="A40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70312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061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06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1700</v>
      </c>
      <c r="C11" s="1525"/>
      <c r="D11" s="1526"/>
      <c r="E11" s="1179"/>
      <c r="F11" s="1180"/>
      <c r="G11" s="1509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509"/>
      <c r="H12" s="1182"/>
      <c r="I12" s="1183"/>
      <c r="J12" s="1182"/>
      <c r="K12" s="1184"/>
      <c r="L12" s="1429"/>
    </row>
    <row r="13" spans="1:12" s="1199" customFormat="1" ht="24" customHeight="1">
      <c r="A13" s="1189">
        <f>A35</f>
        <v>4.0999999999999996</v>
      </c>
      <c r="B13" s="1190" t="str">
        <f>B35</f>
        <v>ระบบโทรทัศน์วงจรปิด (Closed Circuit TV System)</v>
      </c>
      <c r="C13" s="1191"/>
      <c r="D13" s="1192"/>
      <c r="E13" s="1193">
        <v>1</v>
      </c>
      <c r="F13" s="1194" t="s">
        <v>19</v>
      </c>
      <c r="G13" s="1510"/>
      <c r="H13" s="1196">
        <f>H57</f>
        <v>201283</v>
      </c>
      <c r="I13" s="1197"/>
      <c r="J13" s="1196">
        <f t="shared" ref="J13:K13" si="0">J57</f>
        <v>16979</v>
      </c>
      <c r="K13" s="1196">
        <f t="shared" si="0"/>
        <v>218262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510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510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510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510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510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510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510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510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510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510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510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510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510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510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510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510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510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510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510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510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tr">
        <f>"รวมราคา"&amp;B11</f>
        <v>รวมราคาระบบโทรทัศน์วงจรปิด (Closed Circuit TV System) ชั้น 6</v>
      </c>
      <c r="C34" s="2258"/>
      <c r="D34" s="2259"/>
      <c r="E34" s="1481"/>
      <c r="F34" s="1245"/>
      <c r="G34" s="1246"/>
      <c r="H34" s="1247">
        <f>H13</f>
        <v>201283</v>
      </c>
      <c r="I34" s="1246"/>
      <c r="J34" s="1247">
        <f t="shared" ref="J34:K34" si="1">J13</f>
        <v>16979</v>
      </c>
      <c r="K34" s="1247">
        <f t="shared" si="1"/>
        <v>218262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35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H36+J36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7" t="s">
        <v>1672</v>
      </c>
      <c r="B37" s="1205" t="s">
        <v>1578</v>
      </c>
      <c r="C37" s="1191"/>
      <c r="D37" s="1471"/>
      <c r="E37" s="1206"/>
      <c r="F37" s="1207"/>
      <c r="G37" s="1476"/>
      <c r="H37" s="1273"/>
      <c r="I37" s="1265"/>
      <c r="J37" s="1264"/>
      <c r="K37" s="1265"/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8"/>
      <c r="B38" s="1205" t="s">
        <v>1685</v>
      </c>
      <c r="C38" s="1191"/>
      <c r="D38" s="1471"/>
      <c r="E38" s="1206">
        <v>460</v>
      </c>
      <c r="F38" s="1207" t="s">
        <v>226</v>
      </c>
      <c r="G38" s="1476">
        <v>22</v>
      </c>
      <c r="H38" s="1273">
        <f>ROUND(G38*E38,)</f>
        <v>10120</v>
      </c>
      <c r="I38" s="1265">
        <v>5</v>
      </c>
      <c r="J38" s="1264">
        <f>I38*E38</f>
        <v>2300</v>
      </c>
      <c r="K38" s="1273">
        <f>H38+J38</f>
        <v>12420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5" t="s">
        <v>2555</v>
      </c>
      <c r="B39" s="1205" t="s">
        <v>1526</v>
      </c>
      <c r="C39" s="1191"/>
      <c r="D39" s="1471"/>
      <c r="E39" s="1206"/>
      <c r="F39" s="1207"/>
      <c r="G39" s="1476"/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9"/>
      <c r="B40" s="1205" t="s">
        <v>1350</v>
      </c>
      <c r="C40" s="1191"/>
      <c r="D40" s="1471"/>
      <c r="E40" s="1387">
        <v>460</v>
      </c>
      <c r="F40" s="1358" t="s">
        <v>226</v>
      </c>
      <c r="G40" s="1271">
        <v>27</v>
      </c>
      <c r="H40" s="1264">
        <f t="shared" ref="H40" si="2">ROUND(E40*G40,)</f>
        <v>12420</v>
      </c>
      <c r="I40" s="1272">
        <v>22</v>
      </c>
      <c r="J40" s="1264">
        <f t="shared" ref="J40" si="3">ROUND(E40*I40,)</f>
        <v>10120</v>
      </c>
      <c r="K40" s="1802">
        <f t="shared" ref="K40" si="4">H40+J40</f>
        <v>22540</v>
      </c>
      <c r="L40" s="2001" t="s">
        <v>2667</v>
      </c>
      <c r="M40" s="1214"/>
      <c r="N40" s="1199">
        <v>79.8</v>
      </c>
      <c r="O40" s="1199">
        <f>ROUND(N40/3,)</f>
        <v>27</v>
      </c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80"/>
      <c r="B41" s="1205" t="s">
        <v>1384</v>
      </c>
      <c r="C41" s="1191"/>
      <c r="D41" s="1471"/>
      <c r="E41" s="1206">
        <v>1</v>
      </c>
      <c r="F41" s="1207" t="s">
        <v>1104</v>
      </c>
      <c r="G41" s="1476">
        <f>ROUND(SUM(H40)*15%,)</f>
        <v>1863</v>
      </c>
      <c r="H41" s="1273">
        <f>ROUND(G41*E41,)</f>
        <v>1863</v>
      </c>
      <c r="I41" s="1332">
        <f>ROUND(G41*0.3,0)</f>
        <v>559</v>
      </c>
      <c r="J41" s="1264">
        <f>I41*E41</f>
        <v>559</v>
      </c>
      <c r="K41" s="1273">
        <f>H41+J41</f>
        <v>2422</v>
      </c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5"/>
      <c r="B42" s="1205" t="s">
        <v>1117</v>
      </c>
      <c r="C42" s="1191"/>
      <c r="D42" s="1471"/>
      <c r="E42" s="1206"/>
      <c r="F42" s="1207"/>
      <c r="G42" s="1558"/>
      <c r="H42" s="1264"/>
      <c r="I42" s="1265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80"/>
      <c r="B43" s="1205" t="s">
        <v>1118</v>
      </c>
      <c r="C43" s="1191"/>
      <c r="D43" s="1471"/>
      <c r="E43" s="1206"/>
      <c r="F43" s="1207"/>
      <c r="G43" s="1263"/>
      <c r="H43" s="1264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80"/>
      <c r="B44" s="1205" t="s">
        <v>1118</v>
      </c>
      <c r="C44" s="1191"/>
      <c r="D44" s="1471"/>
      <c r="E44" s="1206"/>
      <c r="F44" s="1207"/>
      <c r="G44" s="1263"/>
      <c r="H44" s="1264"/>
      <c r="I44" s="1265"/>
      <c r="J44" s="1264"/>
      <c r="K44" s="1265"/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80"/>
      <c r="B45" s="1205"/>
      <c r="C45" s="1191"/>
      <c r="D45" s="1471"/>
      <c r="E45" s="1206"/>
      <c r="F45" s="1207"/>
      <c r="G45" s="1263"/>
      <c r="H45" s="1264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80"/>
      <c r="B46" s="1205"/>
      <c r="C46" s="1191"/>
      <c r="D46" s="1471"/>
      <c r="E46" s="1206"/>
      <c r="F46" s="1207"/>
      <c r="G46" s="1263"/>
      <c r="H46" s="1264"/>
      <c r="I46" s="1265"/>
      <c r="J46" s="1264"/>
      <c r="K46" s="1265"/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/>
      <c r="C47" s="1191"/>
      <c r="D47" s="1471"/>
      <c r="E47" s="1206"/>
      <c r="F47" s="1207"/>
      <c r="G47" s="1263"/>
      <c r="H47" s="1264"/>
      <c r="I47" s="1265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80"/>
      <c r="B48" s="1205"/>
      <c r="C48" s="1191"/>
      <c r="D48" s="1471"/>
      <c r="E48" s="1206"/>
      <c r="F48" s="1207"/>
      <c r="G48" s="1263"/>
      <c r="H48" s="1264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/>
      <c r="C49" s="1191"/>
      <c r="D49" s="1471"/>
      <c r="E49" s="1206"/>
      <c r="F49" s="1207"/>
      <c r="G49" s="1263"/>
      <c r="H49" s="1264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/>
      <c r="C50" s="1191"/>
      <c r="D50" s="1471"/>
      <c r="E50" s="1206"/>
      <c r="F50" s="1207"/>
      <c r="G50" s="1263"/>
      <c r="H50" s="1264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263"/>
      <c r="H51" s="1264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263"/>
      <c r="H52" s="1264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263"/>
      <c r="H53" s="1264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263"/>
      <c r="H54" s="1264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263"/>
      <c r="H55" s="1264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516"/>
      <c r="H56" s="1264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tr">
        <f>"รวมราคารายการที่ "&amp;A35</f>
        <v>รวมราคารายการที่ 4.1</v>
      </c>
      <c r="C57" s="2258"/>
      <c r="D57" s="2259"/>
      <c r="E57" s="1481"/>
      <c r="F57" s="1245"/>
      <c r="G57" s="1246"/>
      <c r="H57" s="1247">
        <f>SUM(H36:H56)</f>
        <v>201283</v>
      </c>
      <c r="I57" s="1246"/>
      <c r="J57" s="1247">
        <f t="shared" ref="J57:K57" si="5">SUM(J36:J56)</f>
        <v>16979</v>
      </c>
      <c r="K57" s="1247">
        <f t="shared" si="5"/>
        <v>218262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9">
    <mergeCell ref="L9:L10"/>
    <mergeCell ref="B34:D34"/>
    <mergeCell ref="B57:D57"/>
    <mergeCell ref="A9:A10"/>
    <mergeCell ref="B9:D10"/>
    <mergeCell ref="E9:E10"/>
    <mergeCell ref="F9:F10"/>
    <mergeCell ref="G9:H9"/>
    <mergeCell ref="I9:J9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6-อาคารด้านทิศตะวันตก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38C3C-2B8E-485E-BB5B-2EB802DE25A9}">
  <sheetPr>
    <tabColor rgb="FF92D050"/>
  </sheetPr>
  <dimension ref="A1:U57"/>
  <sheetViews>
    <sheetView view="pageBreakPreview" topLeftCell="A40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9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1701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v>4.0999999999999996</v>
      </c>
      <c r="B13" s="1190" t="s">
        <v>1669</v>
      </c>
      <c r="C13" s="1191"/>
      <c r="D13" s="1192"/>
      <c r="E13" s="1193">
        <v>1</v>
      </c>
      <c r="F13" s="1194" t="s">
        <v>19</v>
      </c>
      <c r="G13" s="1195"/>
      <c r="H13" s="1196">
        <f>H57</f>
        <v>314743</v>
      </c>
      <c r="I13" s="1197"/>
      <c r="J13" s="1196">
        <f t="shared" ref="J13:K13" si="0">J57</f>
        <v>19979</v>
      </c>
      <c r="K13" s="1196">
        <f t="shared" si="0"/>
        <v>334722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">
        <v>1702</v>
      </c>
      <c r="C34" s="2258"/>
      <c r="D34" s="2259"/>
      <c r="E34" s="1481"/>
      <c r="F34" s="1245"/>
      <c r="G34" s="1246"/>
      <c r="H34" s="1247">
        <f>H13</f>
        <v>314743</v>
      </c>
      <c r="I34" s="1246"/>
      <c r="J34" s="1247">
        <f t="shared" ref="J34:K34" si="1">J13</f>
        <v>19979</v>
      </c>
      <c r="K34" s="1247">
        <f t="shared" si="1"/>
        <v>334722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J36+H36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4" t="s">
        <v>1672</v>
      </c>
      <c r="B37" s="1205" t="s">
        <v>2715</v>
      </c>
      <c r="C37" s="1191"/>
      <c r="D37" s="1471"/>
      <c r="E37" s="1206">
        <v>2</v>
      </c>
      <c r="F37" s="1207" t="s">
        <v>363</v>
      </c>
      <c r="G37" s="1271">
        <f>5230+1640+2260+30800+12320+4480</f>
        <v>56730</v>
      </c>
      <c r="H37" s="1273">
        <f>ROUND(G37*E37,)</f>
        <v>113460</v>
      </c>
      <c r="I37" s="1272">
        <v>1500</v>
      </c>
      <c r="J37" s="1264">
        <f>I37*E37</f>
        <v>3000</v>
      </c>
      <c r="K37" s="1265">
        <f>J37+H37</f>
        <v>116460</v>
      </c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4"/>
      <c r="B38" s="1205" t="s">
        <v>1682</v>
      </c>
      <c r="C38" s="1191"/>
      <c r="D38" s="1471"/>
      <c r="E38" s="1206"/>
      <c r="F38" s="1207" t="s">
        <v>363</v>
      </c>
      <c r="G38" s="1476" t="s">
        <v>1683</v>
      </c>
      <c r="H38" s="1273"/>
      <c r="I38" s="1265"/>
      <c r="J38" s="1264"/>
      <c r="K38" s="1265"/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4"/>
      <c r="B39" s="1205" t="s">
        <v>1574</v>
      </c>
      <c r="C39" s="1191"/>
      <c r="D39" s="1471"/>
      <c r="E39" s="1206"/>
      <c r="F39" s="1207" t="s">
        <v>363</v>
      </c>
      <c r="G39" s="1476" t="s">
        <v>1683</v>
      </c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5"/>
      <c r="B40" s="1205" t="s">
        <v>1575</v>
      </c>
      <c r="C40" s="1191"/>
      <c r="D40" s="1471"/>
      <c r="E40" s="1206"/>
      <c r="F40" s="1207" t="s">
        <v>363</v>
      </c>
      <c r="G40" s="1476" t="s">
        <v>1683</v>
      </c>
      <c r="H40" s="1273"/>
      <c r="I40" s="1265"/>
      <c r="J40" s="1264"/>
      <c r="K40" s="1265"/>
      <c r="L40" s="1473"/>
      <c r="M40" s="1214"/>
      <c r="N40" s="1214"/>
      <c r="O40" s="1214"/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75"/>
      <c r="B41" s="1205" t="s">
        <v>2710</v>
      </c>
      <c r="C41" s="1191"/>
      <c r="D41" s="1471"/>
      <c r="E41" s="1206"/>
      <c r="F41" s="1207" t="s">
        <v>363</v>
      </c>
      <c r="G41" s="1476" t="s">
        <v>1683</v>
      </c>
      <c r="H41" s="1273"/>
      <c r="I41" s="1265"/>
      <c r="J41" s="1264"/>
      <c r="K41" s="1265"/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559"/>
      <c r="B42" s="1205" t="s">
        <v>1684</v>
      </c>
      <c r="C42" s="1191"/>
      <c r="D42" s="1471"/>
      <c r="E42" s="1206"/>
      <c r="F42" s="1207" t="s">
        <v>363</v>
      </c>
      <c r="G42" s="1476" t="s">
        <v>1683</v>
      </c>
      <c r="H42" s="1273"/>
      <c r="I42" s="1265"/>
      <c r="J42" s="1264"/>
      <c r="K42" s="1265"/>
      <c r="L42" s="1469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77" t="s">
        <v>1673</v>
      </c>
      <c r="B43" s="1205" t="s">
        <v>1578</v>
      </c>
      <c r="C43" s="1191"/>
      <c r="D43" s="1471"/>
      <c r="E43" s="1206"/>
      <c r="F43" s="1207"/>
      <c r="G43" s="1476"/>
      <c r="H43" s="1273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78"/>
      <c r="B44" s="1205" t="s">
        <v>1685</v>
      </c>
      <c r="C44" s="1191"/>
      <c r="D44" s="1471"/>
      <c r="E44" s="1206">
        <v>460</v>
      </c>
      <c r="F44" s="1207" t="s">
        <v>226</v>
      </c>
      <c r="G44" s="1476">
        <v>22</v>
      </c>
      <c r="H44" s="1273">
        <f>ROUND(G44*E44,)</f>
        <v>10120</v>
      </c>
      <c r="I44" s="1265">
        <v>5</v>
      </c>
      <c r="J44" s="1264">
        <f>I44*E44</f>
        <v>2300</v>
      </c>
      <c r="K44" s="1265">
        <f>J44+H44</f>
        <v>12420</v>
      </c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75" t="s">
        <v>1694</v>
      </c>
      <c r="B45" s="1205" t="s">
        <v>1526</v>
      </c>
      <c r="C45" s="1191"/>
      <c r="D45" s="1471"/>
      <c r="E45" s="1206"/>
      <c r="F45" s="1207"/>
      <c r="G45" s="1476"/>
      <c r="H45" s="1273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79"/>
      <c r="B46" s="1205" t="s">
        <v>1350</v>
      </c>
      <c r="C46" s="1191"/>
      <c r="D46" s="1471"/>
      <c r="E46" s="1387">
        <v>460</v>
      </c>
      <c r="F46" s="1358" t="s">
        <v>226</v>
      </c>
      <c r="G46" s="1271">
        <v>27</v>
      </c>
      <c r="H46" s="1264">
        <f t="shared" ref="H46" si="2">ROUND(E46*G46,)</f>
        <v>12420</v>
      </c>
      <c r="I46" s="1272">
        <v>22</v>
      </c>
      <c r="J46" s="1264">
        <f t="shared" ref="J46" si="3">ROUND(E46*I46,)</f>
        <v>10120</v>
      </c>
      <c r="K46" s="1802">
        <f t="shared" ref="K46" si="4">H46+J46</f>
        <v>22540</v>
      </c>
      <c r="L46" s="2001" t="s">
        <v>2667</v>
      </c>
      <c r="M46" s="1214"/>
      <c r="N46" s="1199">
        <v>79.8</v>
      </c>
      <c r="O46" s="1199">
        <f>ROUND(N46/3,)</f>
        <v>27</v>
      </c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 t="s">
        <v>1384</v>
      </c>
      <c r="C47" s="1191"/>
      <c r="D47" s="1471"/>
      <c r="E47" s="1206">
        <v>1</v>
      </c>
      <c r="F47" s="1207" t="s">
        <v>1104</v>
      </c>
      <c r="G47" s="1476">
        <f>ROUND(SUM(H46)*15%,)</f>
        <v>1863</v>
      </c>
      <c r="H47" s="1273">
        <f>ROUND(G47*E47,)</f>
        <v>1863</v>
      </c>
      <c r="I47" s="1332">
        <f>ROUND(G47*0.3,0)</f>
        <v>559</v>
      </c>
      <c r="J47" s="1264">
        <f>I47*E47</f>
        <v>559</v>
      </c>
      <c r="K47" s="1265">
        <f>J47+H47</f>
        <v>2422</v>
      </c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75"/>
      <c r="B48" s="1205" t="s">
        <v>1117</v>
      </c>
      <c r="C48" s="1191"/>
      <c r="D48" s="1471"/>
      <c r="E48" s="1206"/>
      <c r="F48" s="1207"/>
      <c r="G48" s="1476"/>
      <c r="H48" s="1264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 t="s">
        <v>1118</v>
      </c>
      <c r="C49" s="1191"/>
      <c r="D49" s="1471"/>
      <c r="E49" s="1206"/>
      <c r="F49" s="1207"/>
      <c r="G49" s="1263"/>
      <c r="H49" s="1264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 t="s">
        <v>1118</v>
      </c>
      <c r="C50" s="1191"/>
      <c r="D50" s="1471"/>
      <c r="E50" s="1206"/>
      <c r="F50" s="1207"/>
      <c r="G50" s="1263"/>
      <c r="H50" s="1264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263"/>
      <c r="H51" s="1264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263"/>
      <c r="H52" s="1264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263"/>
      <c r="H53" s="1264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263"/>
      <c r="H54" s="1264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263"/>
      <c r="H55" s="1264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516"/>
      <c r="H56" s="1264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">
        <v>1674</v>
      </c>
      <c r="C57" s="2258"/>
      <c r="D57" s="2259"/>
      <c r="E57" s="1481"/>
      <c r="F57" s="1245"/>
      <c r="G57" s="1246"/>
      <c r="H57" s="1247">
        <f>SUM(H36:H56)</f>
        <v>314743</v>
      </c>
      <c r="I57" s="1246"/>
      <c r="J57" s="1247">
        <f t="shared" ref="J57:K57" si="5">SUM(J36:J56)</f>
        <v>19979</v>
      </c>
      <c r="K57" s="1247">
        <f t="shared" si="5"/>
        <v>334722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7-อาคารด้านทิศตะวันตก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11B77-48CD-4E86-8FF8-D7330B96668B}">
  <sheetPr>
    <tabColor rgb="FF92D050"/>
  </sheetPr>
  <dimension ref="A1:U58"/>
  <sheetViews>
    <sheetView view="pageBreakPreview" topLeftCell="A40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70312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1703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f>A35</f>
        <v>4.0999999999999996</v>
      </c>
      <c r="B13" s="1190" t="str">
        <f>B35</f>
        <v>ระบบโทรทัศน์วงจรปิด (Closed Circuit TV System)</v>
      </c>
      <c r="C13" s="1191"/>
      <c r="D13" s="1192"/>
      <c r="E13" s="1193">
        <v>1</v>
      </c>
      <c r="F13" s="1194" t="s">
        <v>19</v>
      </c>
      <c r="G13" s="1195"/>
      <c r="H13" s="1196">
        <f>H57</f>
        <v>201283</v>
      </c>
      <c r="I13" s="1197"/>
      <c r="J13" s="1196">
        <f t="shared" ref="J13:K13" si="0">J57</f>
        <v>16979</v>
      </c>
      <c r="K13" s="1196">
        <f t="shared" si="0"/>
        <v>218262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tr">
        <f>"รวมราคา"&amp;B11</f>
        <v>รวมราคาระบบโทรทัศน์วงจรปิด (Closed Circuit TV System) ชั้น 8</v>
      </c>
      <c r="C34" s="2258"/>
      <c r="D34" s="2259"/>
      <c r="E34" s="1481"/>
      <c r="F34" s="1245"/>
      <c r="G34" s="1246"/>
      <c r="H34" s="1247">
        <f>H13</f>
        <v>201283</v>
      </c>
      <c r="I34" s="1246"/>
      <c r="J34" s="1247">
        <f t="shared" ref="J34:K34" si="1">J13</f>
        <v>16979</v>
      </c>
      <c r="K34" s="1247">
        <f t="shared" si="1"/>
        <v>218262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H36+J36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7" t="s">
        <v>1672</v>
      </c>
      <c r="B37" s="1205" t="s">
        <v>1578</v>
      </c>
      <c r="C37" s="1191"/>
      <c r="D37" s="1471"/>
      <c r="E37" s="1206"/>
      <c r="F37" s="1207"/>
      <c r="G37" s="1476"/>
      <c r="H37" s="1273"/>
      <c r="I37" s="1265"/>
      <c r="J37" s="1264"/>
      <c r="K37" s="1265"/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8"/>
      <c r="B38" s="1205" t="s">
        <v>1685</v>
      </c>
      <c r="C38" s="1191"/>
      <c r="D38" s="1471"/>
      <c r="E38" s="1206">
        <v>460</v>
      </c>
      <c r="F38" s="1207" t="s">
        <v>226</v>
      </c>
      <c r="G38" s="1476">
        <v>22</v>
      </c>
      <c r="H38" s="1273">
        <f>ROUND(G38*E38,)</f>
        <v>10120</v>
      </c>
      <c r="I38" s="1265">
        <v>5</v>
      </c>
      <c r="J38" s="1264">
        <f>I38*E38</f>
        <v>2300</v>
      </c>
      <c r="K38" s="1273">
        <f>H38+J38</f>
        <v>12420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5" t="s">
        <v>2555</v>
      </c>
      <c r="B39" s="1205" t="s">
        <v>1526</v>
      </c>
      <c r="C39" s="1191"/>
      <c r="D39" s="1471"/>
      <c r="E39" s="1206"/>
      <c r="F39" s="1207"/>
      <c r="G39" s="1476"/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9"/>
      <c r="B40" s="1205" t="s">
        <v>1350</v>
      </c>
      <c r="C40" s="1191"/>
      <c r="D40" s="1471"/>
      <c r="E40" s="1387">
        <v>460</v>
      </c>
      <c r="F40" s="1358" t="s">
        <v>226</v>
      </c>
      <c r="G40" s="1271">
        <v>27</v>
      </c>
      <c r="H40" s="1264">
        <f t="shared" ref="H40" si="2">ROUND(E40*G40,)</f>
        <v>12420</v>
      </c>
      <c r="I40" s="1272">
        <v>22</v>
      </c>
      <c r="J40" s="1264">
        <f t="shared" ref="J40" si="3">ROUND(E40*I40,)</f>
        <v>10120</v>
      </c>
      <c r="K40" s="1802">
        <f t="shared" ref="K40" si="4">H40+J40</f>
        <v>22540</v>
      </c>
      <c r="L40" s="2001" t="s">
        <v>2667</v>
      </c>
      <c r="M40" s="1214"/>
      <c r="N40" s="1199">
        <v>79.8</v>
      </c>
      <c r="O40" s="1199">
        <f>ROUND(N40/3,)</f>
        <v>27</v>
      </c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80"/>
      <c r="B41" s="1205" t="s">
        <v>1384</v>
      </c>
      <c r="C41" s="1191"/>
      <c r="D41" s="1471"/>
      <c r="E41" s="1206">
        <v>1</v>
      </c>
      <c r="F41" s="1207" t="s">
        <v>1104</v>
      </c>
      <c r="G41" s="1476">
        <f>ROUND(SUM(H40)*15%,)</f>
        <v>1863</v>
      </c>
      <c r="H41" s="1273">
        <f>ROUND(G41*E41,)</f>
        <v>1863</v>
      </c>
      <c r="I41" s="1332">
        <f>ROUND(G41*0.3,0)</f>
        <v>559</v>
      </c>
      <c r="J41" s="1264">
        <f>I41*E41</f>
        <v>559</v>
      </c>
      <c r="K41" s="1273">
        <f>H41+J41</f>
        <v>2422</v>
      </c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5"/>
      <c r="B42" s="1205" t="s">
        <v>1117</v>
      </c>
      <c r="C42" s="1191"/>
      <c r="D42" s="1471"/>
      <c r="E42" s="1206"/>
      <c r="F42" s="1207"/>
      <c r="G42" s="1476"/>
      <c r="H42" s="1264"/>
      <c r="I42" s="1265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80"/>
      <c r="B43" s="1205" t="s">
        <v>1118</v>
      </c>
      <c r="C43" s="1191"/>
      <c r="D43" s="1471"/>
      <c r="E43" s="1206"/>
      <c r="F43" s="1207"/>
      <c r="G43" s="1263"/>
      <c r="H43" s="1264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80"/>
      <c r="B44" s="1205" t="s">
        <v>1118</v>
      </c>
      <c r="C44" s="1191"/>
      <c r="D44" s="1471"/>
      <c r="E44" s="1206"/>
      <c r="F44" s="1207"/>
      <c r="G44" s="1263"/>
      <c r="H44" s="1264"/>
      <c r="I44" s="1265"/>
      <c r="J44" s="1264"/>
      <c r="K44" s="1265"/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80"/>
      <c r="B45" s="1205"/>
      <c r="C45" s="1191"/>
      <c r="D45" s="1471"/>
      <c r="E45" s="1206"/>
      <c r="F45" s="1207"/>
      <c r="G45" s="1263"/>
      <c r="H45" s="1264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80"/>
      <c r="B46" s="1205"/>
      <c r="C46" s="1191"/>
      <c r="D46" s="1471"/>
      <c r="E46" s="1206"/>
      <c r="F46" s="1207"/>
      <c r="G46" s="1263"/>
      <c r="H46" s="1264"/>
      <c r="I46" s="1265"/>
      <c r="J46" s="1264"/>
      <c r="K46" s="1265"/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/>
      <c r="C47" s="1191"/>
      <c r="D47" s="1471"/>
      <c r="E47" s="1206"/>
      <c r="F47" s="1207"/>
      <c r="G47" s="1263"/>
      <c r="H47" s="1264"/>
      <c r="I47" s="1265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80"/>
      <c r="B48" s="1205"/>
      <c r="C48" s="1191"/>
      <c r="D48" s="1471"/>
      <c r="E48" s="1206"/>
      <c r="F48" s="1207"/>
      <c r="G48" s="1263"/>
      <c r="H48" s="1264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/>
      <c r="C49" s="1191"/>
      <c r="D49" s="1471"/>
      <c r="E49" s="1206"/>
      <c r="F49" s="1207"/>
      <c r="G49" s="1263"/>
      <c r="H49" s="1264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/>
      <c r="C50" s="1191"/>
      <c r="D50" s="1471"/>
      <c r="E50" s="1206"/>
      <c r="F50" s="1207"/>
      <c r="G50" s="1263"/>
      <c r="H50" s="1264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263"/>
      <c r="H51" s="1264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263"/>
      <c r="H52" s="1264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263"/>
      <c r="H53" s="1264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263"/>
      <c r="H54" s="1264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263"/>
      <c r="H55" s="1264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263"/>
      <c r="H56" s="1264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tr">
        <f>"รวมราคารายการที่ "&amp;A35</f>
        <v>รวมราคารายการที่ 4.1</v>
      </c>
      <c r="C57" s="2258"/>
      <c r="D57" s="2259"/>
      <c r="E57" s="1481"/>
      <c r="F57" s="1245"/>
      <c r="G57" s="1246"/>
      <c r="H57" s="1247">
        <f>SUM(H35:H56)</f>
        <v>201283</v>
      </c>
      <c r="I57" s="1246"/>
      <c r="J57" s="1247">
        <f t="shared" ref="J57:K57" si="5">SUM(J35:J56)</f>
        <v>16979</v>
      </c>
      <c r="K57" s="1247">
        <f t="shared" si="5"/>
        <v>218262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  <row r="58" spans="1:21" ht="24" customHeight="1"/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8-อาคารด้านทิศตะวันตก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98BD3-80E0-4FE8-8DA1-B51E6733931B}">
  <sheetPr>
    <tabColor rgb="FF92D050"/>
  </sheetPr>
  <dimension ref="A1:U57"/>
  <sheetViews>
    <sheetView view="pageBreakPreview" topLeftCell="A43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8789062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1704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f>A35</f>
        <v>4.0999999999999996</v>
      </c>
      <c r="B13" s="1190" t="str">
        <f>B35</f>
        <v>ระบบโทรทัศน์วงจรปิด (Closed Circuit TV System)</v>
      </c>
      <c r="C13" s="1191"/>
      <c r="D13" s="1192"/>
      <c r="E13" s="1193">
        <v>1</v>
      </c>
      <c r="F13" s="1194" t="s">
        <v>19</v>
      </c>
      <c r="G13" s="1195"/>
      <c r="H13" s="1196">
        <f>H57</f>
        <v>201283</v>
      </c>
      <c r="I13" s="1197"/>
      <c r="J13" s="1196">
        <f t="shared" ref="J13:K13" si="0">J57</f>
        <v>16979</v>
      </c>
      <c r="K13" s="1196">
        <f t="shared" si="0"/>
        <v>218262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tr">
        <f>"รวมราคา"&amp;B11</f>
        <v>รวมราคาระบบโทรทัศน์วงจรปิด (Closed Circuit TV System) ชั้น 9</v>
      </c>
      <c r="C34" s="2258"/>
      <c r="D34" s="2259"/>
      <c r="E34" s="1481"/>
      <c r="F34" s="1245"/>
      <c r="G34" s="1246"/>
      <c r="H34" s="1247">
        <f>H13</f>
        <v>201283</v>
      </c>
      <c r="I34" s="1246"/>
      <c r="J34" s="1247">
        <f t="shared" ref="J34:K34" si="1">J13</f>
        <v>16979</v>
      </c>
      <c r="K34" s="1247">
        <f t="shared" si="1"/>
        <v>218262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H36+J36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7" t="s">
        <v>1672</v>
      </c>
      <c r="B37" s="1205" t="s">
        <v>1578</v>
      </c>
      <c r="C37" s="1191"/>
      <c r="D37" s="1471"/>
      <c r="E37" s="1206"/>
      <c r="F37" s="1207"/>
      <c r="G37" s="1476"/>
      <c r="H37" s="1273"/>
      <c r="I37" s="1265"/>
      <c r="J37" s="1264"/>
      <c r="K37" s="1265"/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8"/>
      <c r="B38" s="1205" t="s">
        <v>1685</v>
      </c>
      <c r="C38" s="1191"/>
      <c r="D38" s="1471"/>
      <c r="E38" s="1206">
        <v>460</v>
      </c>
      <c r="F38" s="1207" t="s">
        <v>226</v>
      </c>
      <c r="G38" s="1476">
        <v>22</v>
      </c>
      <c r="H38" s="1273">
        <f>ROUND(G38*E38,)</f>
        <v>10120</v>
      </c>
      <c r="I38" s="1265">
        <v>5</v>
      </c>
      <c r="J38" s="1264">
        <f>I38*E38</f>
        <v>2300</v>
      </c>
      <c r="K38" s="1273">
        <f>H38+J38</f>
        <v>12420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5" t="s">
        <v>2555</v>
      </c>
      <c r="B39" s="1205" t="s">
        <v>1526</v>
      </c>
      <c r="C39" s="1191"/>
      <c r="D39" s="1471"/>
      <c r="E39" s="1206"/>
      <c r="F39" s="1207"/>
      <c r="G39" s="1476"/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9"/>
      <c r="B40" s="1205" t="s">
        <v>1350</v>
      </c>
      <c r="C40" s="1191"/>
      <c r="D40" s="1471"/>
      <c r="E40" s="1387">
        <v>460</v>
      </c>
      <c r="F40" s="1358" t="s">
        <v>226</v>
      </c>
      <c r="G40" s="1271">
        <v>27</v>
      </c>
      <c r="H40" s="1264">
        <f t="shared" ref="H40" si="2">ROUND(E40*G40,)</f>
        <v>12420</v>
      </c>
      <c r="I40" s="1272">
        <v>22</v>
      </c>
      <c r="J40" s="1264">
        <f t="shared" ref="J40" si="3">ROUND(E40*I40,)</f>
        <v>10120</v>
      </c>
      <c r="K40" s="1802">
        <f t="shared" ref="K40" si="4">H40+J40</f>
        <v>22540</v>
      </c>
      <c r="L40" s="2001" t="s">
        <v>2667</v>
      </c>
      <c r="M40" s="1214"/>
      <c r="N40" s="1199">
        <v>79.8</v>
      </c>
      <c r="O40" s="1199">
        <f>ROUND(N40/3,)</f>
        <v>27</v>
      </c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80"/>
      <c r="B41" s="1205" t="s">
        <v>1384</v>
      </c>
      <c r="C41" s="1191"/>
      <c r="D41" s="1471"/>
      <c r="E41" s="1206">
        <v>1</v>
      </c>
      <c r="F41" s="1207" t="s">
        <v>1104</v>
      </c>
      <c r="G41" s="1476">
        <f>ROUND(SUM(H40)*15%,)</f>
        <v>1863</v>
      </c>
      <c r="H41" s="1273">
        <f>ROUND(G41*E41,)</f>
        <v>1863</v>
      </c>
      <c r="I41" s="1332">
        <f>ROUND(G41*0.3,0)</f>
        <v>559</v>
      </c>
      <c r="J41" s="1264">
        <f>I41*E41</f>
        <v>559</v>
      </c>
      <c r="K41" s="1273">
        <f>H41+J41</f>
        <v>2422</v>
      </c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5"/>
      <c r="B42" s="1205" t="s">
        <v>1117</v>
      </c>
      <c r="C42" s="1191"/>
      <c r="D42" s="1471"/>
      <c r="E42" s="1206"/>
      <c r="F42" s="1207"/>
      <c r="G42" s="1476"/>
      <c r="H42" s="1264"/>
      <c r="I42" s="1265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80"/>
      <c r="B43" s="1205" t="s">
        <v>1118</v>
      </c>
      <c r="C43" s="1191"/>
      <c r="D43" s="1471"/>
      <c r="E43" s="1206"/>
      <c r="F43" s="1207"/>
      <c r="G43" s="1263"/>
      <c r="H43" s="1264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80"/>
      <c r="B44" s="1205" t="s">
        <v>1118</v>
      </c>
      <c r="C44" s="1191"/>
      <c r="D44" s="1471"/>
      <c r="E44" s="1206"/>
      <c r="F44" s="1207"/>
      <c r="G44" s="1263"/>
      <c r="H44" s="1264"/>
      <c r="I44" s="1265"/>
      <c r="J44" s="1264"/>
      <c r="K44" s="1265"/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80"/>
      <c r="B45" s="1205"/>
      <c r="C45" s="1191"/>
      <c r="D45" s="1471"/>
      <c r="E45" s="1206"/>
      <c r="F45" s="1207"/>
      <c r="G45" s="1263"/>
      <c r="H45" s="1264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80"/>
      <c r="B46" s="1205"/>
      <c r="C46" s="1191"/>
      <c r="D46" s="1471"/>
      <c r="E46" s="1206"/>
      <c r="F46" s="1207"/>
      <c r="G46" s="1263"/>
      <c r="H46" s="1264"/>
      <c r="I46" s="1265"/>
      <c r="J46" s="1264"/>
      <c r="K46" s="1265"/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/>
      <c r="C47" s="1191"/>
      <c r="D47" s="1471"/>
      <c r="E47" s="1206"/>
      <c r="F47" s="1207"/>
      <c r="G47" s="1263"/>
      <c r="H47" s="1264"/>
      <c r="I47" s="1265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80"/>
      <c r="B48" s="1205"/>
      <c r="C48" s="1191"/>
      <c r="D48" s="1471"/>
      <c r="E48" s="1206"/>
      <c r="F48" s="1207"/>
      <c r="G48" s="1263"/>
      <c r="H48" s="1264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/>
      <c r="C49" s="1191"/>
      <c r="D49" s="1471"/>
      <c r="E49" s="1206"/>
      <c r="F49" s="1207"/>
      <c r="G49" s="1263"/>
      <c r="H49" s="1264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/>
      <c r="C50" s="1191"/>
      <c r="D50" s="1471"/>
      <c r="E50" s="1206"/>
      <c r="F50" s="1207"/>
      <c r="G50" s="1263"/>
      <c r="H50" s="1264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263"/>
      <c r="H51" s="1264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263"/>
      <c r="H52" s="1264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263"/>
      <c r="H53" s="1264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263"/>
      <c r="H54" s="1264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263"/>
      <c r="H55" s="1264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263"/>
      <c r="H56" s="1264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tr">
        <f>"รวมราคารายการที่ "&amp;A35</f>
        <v>รวมราคารายการที่ 4.1</v>
      </c>
      <c r="C57" s="2258"/>
      <c r="D57" s="2259"/>
      <c r="E57" s="1481"/>
      <c r="F57" s="1245"/>
      <c r="G57" s="1246"/>
      <c r="H57" s="1247">
        <f>SUM(H35:H56)</f>
        <v>201283</v>
      </c>
      <c r="I57" s="1246"/>
      <c r="J57" s="1247">
        <f t="shared" ref="J57:K57" si="5">SUM(J35:J56)</f>
        <v>16979</v>
      </c>
      <c r="K57" s="1247">
        <f t="shared" si="5"/>
        <v>218262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9-อาคารด้านทิศตะวันตก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190B6-8DE4-4247-85C3-AFB86DD3E092}">
  <sheetPr>
    <tabColor rgb="FF92D050"/>
  </sheetPr>
  <dimension ref="A1:U57"/>
  <sheetViews>
    <sheetView view="pageBreakPreview" topLeftCell="A43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2929687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1705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f>A35</f>
        <v>4.0999999999999996</v>
      </c>
      <c r="B13" s="1190" t="str">
        <f>B35</f>
        <v>ระบบโทรทัศน์วงจรปิด (Closed Circuit TV System)</v>
      </c>
      <c r="C13" s="1191"/>
      <c r="D13" s="1192"/>
      <c r="E13" s="1193">
        <v>1</v>
      </c>
      <c r="F13" s="1194" t="s">
        <v>19</v>
      </c>
      <c r="G13" s="1195"/>
      <c r="H13" s="1196">
        <f>H57</f>
        <v>314743</v>
      </c>
      <c r="I13" s="1197"/>
      <c r="J13" s="1196">
        <f t="shared" ref="J13" si="0">J57</f>
        <v>19979</v>
      </c>
      <c r="K13" s="1196">
        <f>K57</f>
        <v>334722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tr">
        <f>"รวมราคา"&amp;B11</f>
        <v>รวมราคาระบบโทรทัศน์วงจรปิด (Closed Circuit TV System) ชั้น 10</v>
      </c>
      <c r="C34" s="2258"/>
      <c r="D34" s="2259"/>
      <c r="E34" s="1481"/>
      <c r="F34" s="1245"/>
      <c r="G34" s="1246"/>
      <c r="H34" s="1247">
        <f>H13</f>
        <v>314743</v>
      </c>
      <c r="I34" s="1246"/>
      <c r="J34" s="1247">
        <f t="shared" ref="J34" si="1">J13</f>
        <v>19979</v>
      </c>
      <c r="K34" s="1247">
        <f>K13</f>
        <v>334722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J36+H36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4" t="s">
        <v>1672</v>
      </c>
      <c r="B37" s="1205" t="s">
        <v>2716</v>
      </c>
      <c r="C37" s="1191"/>
      <c r="D37" s="1471"/>
      <c r="E37" s="1206">
        <v>2</v>
      </c>
      <c r="F37" s="1207" t="s">
        <v>363</v>
      </c>
      <c r="G37" s="1271">
        <f>5230+1640+2260+30800+12320+4480</f>
        <v>56730</v>
      </c>
      <c r="H37" s="1273">
        <f>ROUND(G37*E37,)</f>
        <v>113460</v>
      </c>
      <c r="I37" s="1272">
        <v>1500</v>
      </c>
      <c r="J37" s="1264">
        <f>I37*E37</f>
        <v>3000</v>
      </c>
      <c r="K37" s="1265">
        <f>J37+H37</f>
        <v>116460</v>
      </c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4"/>
      <c r="B38" s="1205" t="s">
        <v>1682</v>
      </c>
      <c r="C38" s="1191"/>
      <c r="D38" s="1471"/>
      <c r="E38" s="1206"/>
      <c r="F38" s="1207" t="s">
        <v>363</v>
      </c>
      <c r="G38" s="1476" t="s">
        <v>1683</v>
      </c>
      <c r="H38" s="1273"/>
      <c r="I38" s="1265"/>
      <c r="J38" s="1264"/>
      <c r="K38" s="1265"/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4"/>
      <c r="B39" s="1205" t="s">
        <v>1574</v>
      </c>
      <c r="C39" s="1191"/>
      <c r="D39" s="1471"/>
      <c r="E39" s="1206"/>
      <c r="F39" s="1207" t="s">
        <v>363</v>
      </c>
      <c r="G39" s="1476" t="s">
        <v>1683</v>
      </c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5"/>
      <c r="B40" s="1205" t="s">
        <v>1575</v>
      </c>
      <c r="C40" s="1191"/>
      <c r="D40" s="1471"/>
      <c r="E40" s="1206"/>
      <c r="F40" s="1207" t="s">
        <v>363</v>
      </c>
      <c r="G40" s="1476" t="s">
        <v>1683</v>
      </c>
      <c r="H40" s="1273"/>
      <c r="I40" s="1265"/>
      <c r="J40" s="1264"/>
      <c r="K40" s="1265"/>
      <c r="L40" s="1473"/>
      <c r="M40" s="1214"/>
      <c r="N40" s="1214"/>
      <c r="O40" s="1214"/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75"/>
      <c r="B41" s="1205" t="s">
        <v>2710</v>
      </c>
      <c r="C41" s="1191"/>
      <c r="D41" s="1471"/>
      <c r="E41" s="1206"/>
      <c r="F41" s="1207" t="s">
        <v>363</v>
      </c>
      <c r="G41" s="1476" t="s">
        <v>1683</v>
      </c>
      <c r="H41" s="1273"/>
      <c r="I41" s="1265"/>
      <c r="J41" s="1264"/>
      <c r="K41" s="1265"/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559"/>
      <c r="B42" s="1205" t="s">
        <v>1684</v>
      </c>
      <c r="C42" s="1191"/>
      <c r="D42" s="1471"/>
      <c r="E42" s="1206"/>
      <c r="F42" s="1207" t="s">
        <v>363</v>
      </c>
      <c r="G42" s="1476" t="s">
        <v>1683</v>
      </c>
      <c r="H42" s="1273"/>
      <c r="I42" s="1265"/>
      <c r="J42" s="1264"/>
      <c r="K42" s="1265"/>
      <c r="L42" s="1469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77" t="s">
        <v>1673</v>
      </c>
      <c r="B43" s="1205" t="s">
        <v>1578</v>
      </c>
      <c r="C43" s="1191"/>
      <c r="D43" s="1471"/>
      <c r="E43" s="1206"/>
      <c r="F43" s="1207"/>
      <c r="G43" s="1476"/>
      <c r="H43" s="1273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78"/>
      <c r="B44" s="1205" t="s">
        <v>1685</v>
      </c>
      <c r="C44" s="1191"/>
      <c r="D44" s="1471"/>
      <c r="E44" s="1206">
        <v>460</v>
      </c>
      <c r="F44" s="1207" t="s">
        <v>226</v>
      </c>
      <c r="G44" s="1476">
        <v>22</v>
      </c>
      <c r="H44" s="1273">
        <f>ROUND(G44*E44,)</f>
        <v>10120</v>
      </c>
      <c r="I44" s="1265">
        <v>5</v>
      </c>
      <c r="J44" s="1264">
        <f>I44*E44</f>
        <v>2300</v>
      </c>
      <c r="K44" s="1265">
        <f>J44+H44</f>
        <v>12420</v>
      </c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75" t="s">
        <v>1694</v>
      </c>
      <c r="B45" s="1205" t="s">
        <v>1526</v>
      </c>
      <c r="C45" s="1191"/>
      <c r="D45" s="1471"/>
      <c r="E45" s="1206"/>
      <c r="F45" s="1207"/>
      <c r="G45" s="1476"/>
      <c r="H45" s="1273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79"/>
      <c r="B46" s="1205" t="s">
        <v>1350</v>
      </c>
      <c r="C46" s="1191"/>
      <c r="D46" s="1471"/>
      <c r="E46" s="1387">
        <v>460</v>
      </c>
      <c r="F46" s="1358" t="s">
        <v>226</v>
      </c>
      <c r="G46" s="1271">
        <v>27</v>
      </c>
      <c r="H46" s="1264">
        <f t="shared" ref="H46" si="2">ROUND(E46*G46,)</f>
        <v>12420</v>
      </c>
      <c r="I46" s="1272">
        <v>22</v>
      </c>
      <c r="J46" s="1264">
        <f t="shared" ref="J46" si="3">ROUND(E46*I46,)</f>
        <v>10120</v>
      </c>
      <c r="K46" s="1802">
        <f t="shared" ref="K46" si="4">H46+J46</f>
        <v>22540</v>
      </c>
      <c r="L46" s="2001" t="s">
        <v>2667</v>
      </c>
      <c r="M46" s="1214"/>
      <c r="N46" s="1199">
        <v>79.8</v>
      </c>
      <c r="O46" s="1199">
        <f>ROUND(N46/3,)</f>
        <v>27</v>
      </c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 t="s">
        <v>1384</v>
      </c>
      <c r="C47" s="1191"/>
      <c r="D47" s="1471"/>
      <c r="E47" s="1206">
        <v>1</v>
      </c>
      <c r="F47" s="1207" t="s">
        <v>1104</v>
      </c>
      <c r="G47" s="1476">
        <f>ROUND(SUM(H46)*15%,)</f>
        <v>1863</v>
      </c>
      <c r="H47" s="1273">
        <f>ROUND(G47*E47,)</f>
        <v>1863</v>
      </c>
      <c r="I47" s="1332">
        <f>ROUND(G47*0.3,0)</f>
        <v>559</v>
      </c>
      <c r="J47" s="1264">
        <f>I47*E47</f>
        <v>559</v>
      </c>
      <c r="K47" s="1265">
        <f>J47+H47</f>
        <v>2422</v>
      </c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75"/>
      <c r="B48" s="1205" t="s">
        <v>1117</v>
      </c>
      <c r="C48" s="1191"/>
      <c r="D48" s="1471"/>
      <c r="E48" s="1206"/>
      <c r="F48" s="1207"/>
      <c r="G48" s="1476"/>
      <c r="H48" s="1264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 t="s">
        <v>1118</v>
      </c>
      <c r="C49" s="1191"/>
      <c r="D49" s="1471"/>
      <c r="E49" s="1206"/>
      <c r="F49" s="1207"/>
      <c r="G49" s="1263"/>
      <c r="H49" s="1264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 t="s">
        <v>1118</v>
      </c>
      <c r="C50" s="1191"/>
      <c r="D50" s="1471"/>
      <c r="E50" s="1206"/>
      <c r="F50" s="1207"/>
      <c r="G50" s="1263"/>
      <c r="H50" s="1264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263"/>
      <c r="H51" s="1264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263"/>
      <c r="H52" s="1264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263"/>
      <c r="H53" s="1264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263"/>
      <c r="H54" s="1264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263"/>
      <c r="H55" s="1264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263"/>
      <c r="H56" s="1264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tr">
        <f>"รวมราคารายการที่ "&amp;A35</f>
        <v>รวมราคารายการที่ 4.1</v>
      </c>
      <c r="C57" s="2258"/>
      <c r="D57" s="2259"/>
      <c r="E57" s="1481"/>
      <c r="F57" s="1245"/>
      <c r="G57" s="1246"/>
      <c r="H57" s="1247">
        <f>SUM(H36:H56)</f>
        <v>314743</v>
      </c>
      <c r="I57" s="1246"/>
      <c r="J57" s="1247">
        <f t="shared" ref="J57:K57" si="5">SUM(J36:J56)</f>
        <v>19979</v>
      </c>
      <c r="K57" s="1247">
        <f t="shared" si="5"/>
        <v>334722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10-อาคารด้านทิศตะวันตก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D462C-9707-4BA5-89D4-512F0C510165}">
  <sheetPr>
    <tabColor rgb="FF92D050"/>
  </sheetPr>
  <dimension ref="A1:U57"/>
  <sheetViews>
    <sheetView view="pageBreakPreview" topLeftCell="A7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2929687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1706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f>A35</f>
        <v>4.0999999999999996</v>
      </c>
      <c r="B13" s="1190" t="str">
        <f>B35</f>
        <v>ระบบโทรทัศน์วงจรปิด (Closed Circuit TV System)</v>
      </c>
      <c r="C13" s="1191"/>
      <c r="D13" s="1192"/>
      <c r="E13" s="1193">
        <v>1</v>
      </c>
      <c r="F13" s="1194" t="s">
        <v>19</v>
      </c>
      <c r="G13" s="1195"/>
      <c r="H13" s="1196">
        <f>H57</f>
        <v>201283</v>
      </c>
      <c r="I13" s="1197"/>
      <c r="J13" s="1196">
        <f t="shared" ref="J13" si="0">J57</f>
        <v>16979</v>
      </c>
      <c r="K13" s="1196">
        <f>K57</f>
        <v>218262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tr">
        <f>"รวมราคา"&amp;B11</f>
        <v>รวมราคาระบบโทรทัศน์วงจรปิด (Closed Circuit TV System) ชั้น 11</v>
      </c>
      <c r="C34" s="2258"/>
      <c r="D34" s="2259"/>
      <c r="E34" s="1481"/>
      <c r="F34" s="1245"/>
      <c r="G34" s="1246"/>
      <c r="H34" s="1247">
        <f>H13</f>
        <v>201283</v>
      </c>
      <c r="I34" s="1246"/>
      <c r="J34" s="1247">
        <f t="shared" ref="J34:K34" si="1">J13</f>
        <v>16979</v>
      </c>
      <c r="K34" s="1247">
        <f t="shared" si="1"/>
        <v>218262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8</v>
      </c>
      <c r="F36" s="1207" t="s">
        <v>363</v>
      </c>
      <c r="G36" s="1476">
        <v>22110</v>
      </c>
      <c r="H36" s="1273">
        <f>ROUND(G36*E36,)</f>
        <v>176880</v>
      </c>
      <c r="I36" s="1265">
        <v>500</v>
      </c>
      <c r="J36" s="1264">
        <f>I36*E36</f>
        <v>4000</v>
      </c>
      <c r="K36" s="1265">
        <f>H36+J36</f>
        <v>180880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7" t="s">
        <v>1672</v>
      </c>
      <c r="B37" s="1205" t="s">
        <v>1578</v>
      </c>
      <c r="C37" s="1191"/>
      <c r="D37" s="1471"/>
      <c r="E37" s="1206"/>
      <c r="F37" s="1207"/>
      <c r="G37" s="1476"/>
      <c r="H37" s="1273"/>
      <c r="I37" s="1265"/>
      <c r="J37" s="1264"/>
      <c r="K37" s="1265"/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8"/>
      <c r="B38" s="1205" t="s">
        <v>1685</v>
      </c>
      <c r="C38" s="1191"/>
      <c r="D38" s="1471"/>
      <c r="E38" s="1206">
        <v>460</v>
      </c>
      <c r="F38" s="1207" t="s">
        <v>226</v>
      </c>
      <c r="G38" s="1476">
        <v>22</v>
      </c>
      <c r="H38" s="1273">
        <f>ROUND(G38*E38,)</f>
        <v>10120</v>
      </c>
      <c r="I38" s="1265">
        <v>5</v>
      </c>
      <c r="J38" s="1264">
        <f>I38*E38</f>
        <v>2300</v>
      </c>
      <c r="K38" s="1273">
        <f>H38+J38</f>
        <v>12420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5" t="s">
        <v>2555</v>
      </c>
      <c r="B39" s="1205" t="s">
        <v>1526</v>
      </c>
      <c r="C39" s="1191"/>
      <c r="D39" s="1471"/>
      <c r="E39" s="1206"/>
      <c r="F39" s="1207"/>
      <c r="G39" s="1476"/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9"/>
      <c r="B40" s="1205" t="s">
        <v>1350</v>
      </c>
      <c r="C40" s="1191"/>
      <c r="D40" s="1471"/>
      <c r="E40" s="1387">
        <v>460</v>
      </c>
      <c r="F40" s="1358" t="s">
        <v>226</v>
      </c>
      <c r="G40" s="1271">
        <v>27</v>
      </c>
      <c r="H40" s="1264">
        <f t="shared" ref="H40" si="2">ROUND(E40*G40,)</f>
        <v>12420</v>
      </c>
      <c r="I40" s="1272">
        <v>22</v>
      </c>
      <c r="J40" s="1264">
        <f t="shared" ref="J40" si="3">ROUND(E40*I40,)</f>
        <v>10120</v>
      </c>
      <c r="K40" s="1802">
        <f t="shared" ref="K40" si="4">H40+J40</f>
        <v>22540</v>
      </c>
      <c r="L40" s="2001" t="s">
        <v>2667</v>
      </c>
      <c r="M40" s="1214"/>
      <c r="N40" s="1199">
        <v>79.8</v>
      </c>
      <c r="O40" s="1199">
        <f>ROUND(N40/3,)</f>
        <v>27</v>
      </c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80"/>
      <c r="B41" s="1205" t="s">
        <v>1384</v>
      </c>
      <c r="C41" s="1191"/>
      <c r="D41" s="1471"/>
      <c r="E41" s="1206">
        <v>1</v>
      </c>
      <c r="F41" s="1207" t="s">
        <v>1104</v>
      </c>
      <c r="G41" s="1476">
        <f>ROUND(SUM(H40)*15%,)</f>
        <v>1863</v>
      </c>
      <c r="H41" s="1273">
        <f>ROUND(G41*E41,)</f>
        <v>1863</v>
      </c>
      <c r="I41" s="1332">
        <f>ROUND(G41*0.3,0)</f>
        <v>559</v>
      </c>
      <c r="J41" s="1264">
        <f>I41*E41</f>
        <v>559</v>
      </c>
      <c r="K41" s="1273">
        <f>H41+J41</f>
        <v>2422</v>
      </c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8"/>
      <c r="B42" s="1205" t="s">
        <v>1117</v>
      </c>
      <c r="C42" s="1191"/>
      <c r="D42" s="1471"/>
      <c r="E42" s="1206"/>
      <c r="F42" s="1207"/>
      <c r="G42" s="1263"/>
      <c r="H42" s="1264"/>
      <c r="I42" s="1504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80"/>
      <c r="B43" s="1205" t="s">
        <v>1118</v>
      </c>
      <c r="C43" s="1191"/>
      <c r="D43" s="1471"/>
      <c r="E43" s="1206"/>
      <c r="F43" s="1207"/>
      <c r="G43" s="1263"/>
      <c r="H43" s="1264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80"/>
      <c r="B44" s="1205" t="s">
        <v>1118</v>
      </c>
      <c r="C44" s="1191"/>
      <c r="D44" s="1471"/>
      <c r="E44" s="1206"/>
      <c r="F44" s="1207"/>
      <c r="G44" s="1263"/>
      <c r="H44" s="1264"/>
      <c r="I44" s="1265"/>
      <c r="J44" s="1264"/>
      <c r="K44" s="1265"/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80"/>
      <c r="B45" s="1205"/>
      <c r="C45" s="1191"/>
      <c r="D45" s="1471"/>
      <c r="E45" s="1206"/>
      <c r="F45" s="1207"/>
      <c r="G45" s="1263"/>
      <c r="H45" s="1264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80"/>
      <c r="B46" s="1205"/>
      <c r="C46" s="1191"/>
      <c r="D46" s="1471"/>
      <c r="E46" s="1206"/>
      <c r="F46" s="1207"/>
      <c r="G46" s="1263"/>
      <c r="H46" s="1264"/>
      <c r="I46" s="1265"/>
      <c r="J46" s="1264"/>
      <c r="K46" s="1265"/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/>
      <c r="C47" s="1191"/>
      <c r="D47" s="1471"/>
      <c r="E47" s="1206"/>
      <c r="F47" s="1207"/>
      <c r="G47" s="1263"/>
      <c r="H47" s="1264"/>
      <c r="I47" s="1265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80"/>
      <c r="B48" s="1205"/>
      <c r="C48" s="1191"/>
      <c r="D48" s="1471"/>
      <c r="E48" s="1206"/>
      <c r="F48" s="1207"/>
      <c r="G48" s="1263"/>
      <c r="H48" s="1264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/>
      <c r="C49" s="1191"/>
      <c r="D49" s="1471"/>
      <c r="E49" s="1206"/>
      <c r="F49" s="1207"/>
      <c r="G49" s="1263"/>
      <c r="H49" s="1264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/>
      <c r="C50" s="1191"/>
      <c r="D50" s="1471"/>
      <c r="E50" s="1206"/>
      <c r="F50" s="1207"/>
      <c r="G50" s="1263"/>
      <c r="H50" s="1264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263"/>
      <c r="H51" s="1264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263"/>
      <c r="H52" s="1264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263"/>
      <c r="H53" s="1264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263"/>
      <c r="H54" s="1264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263"/>
      <c r="H55" s="1264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263"/>
      <c r="H56" s="1264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tr">
        <f>"รวมราคารายการที่ "&amp;A35</f>
        <v>รวมราคารายการที่ 4.1</v>
      </c>
      <c r="C57" s="2258"/>
      <c r="D57" s="2259"/>
      <c r="E57" s="1481"/>
      <c r="F57" s="1245"/>
      <c r="G57" s="1246"/>
      <c r="H57" s="1247">
        <f>SUM(H35:H56)</f>
        <v>201283</v>
      </c>
      <c r="I57" s="1246"/>
      <c r="J57" s="1247">
        <f t="shared" ref="J57:K57" si="5">SUM(J35:J56)</f>
        <v>16979</v>
      </c>
      <c r="K57" s="1247">
        <f t="shared" si="5"/>
        <v>218262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11-อาคารด้านทิศตะวันตก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56D97-58CF-4B8C-A563-69FDF5B5A584}">
  <sheetPr>
    <tabColor rgb="FF92D050"/>
  </sheetPr>
  <dimension ref="A1:U57"/>
  <sheetViews>
    <sheetView view="pageBreakPreview" topLeftCell="A19" zoomScale="85" zoomScaleNormal="10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29296875" style="1" customWidth="1"/>
    <col min="13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1668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3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4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61"/>
    </row>
    <row r="11" spans="1:12" ht="24" customHeight="1">
      <c r="A11" s="1523" t="s">
        <v>28</v>
      </c>
      <c r="B11" s="1524" t="s">
        <v>1707</v>
      </c>
      <c r="C11" s="1525"/>
      <c r="D11" s="1526"/>
      <c r="E11" s="1179"/>
      <c r="F11" s="1180"/>
      <c r="G11" s="1181"/>
      <c r="H11" s="1182"/>
      <c r="I11" s="1183"/>
      <c r="J11" s="1182"/>
      <c r="K11" s="1184"/>
      <c r="L11" s="1429"/>
    </row>
    <row r="12" spans="1:12" ht="24" customHeight="1">
      <c r="A12" s="1527"/>
      <c r="B12" s="1528"/>
      <c r="C12" s="1529"/>
      <c r="D12" s="1530"/>
      <c r="E12" s="1179"/>
      <c r="F12" s="1180"/>
      <c r="G12" s="1181"/>
      <c r="H12" s="1182"/>
      <c r="I12" s="1183"/>
      <c r="J12" s="1182"/>
      <c r="K12" s="1184"/>
      <c r="L12" s="1429"/>
    </row>
    <row r="13" spans="1:12" s="1199" customFormat="1" ht="24" customHeight="1">
      <c r="A13" s="1189">
        <f>A35</f>
        <v>4.0999999999999996</v>
      </c>
      <c r="B13" s="1190" t="str">
        <f>B35</f>
        <v>ระบบโทรทัศน์วงจรปิด (Closed Circuit TV System)</v>
      </c>
      <c r="C13" s="1191"/>
      <c r="D13" s="1192"/>
      <c r="E13" s="1193">
        <v>1</v>
      </c>
      <c r="F13" s="1194" t="s">
        <v>19</v>
      </c>
      <c r="G13" s="1195"/>
      <c r="H13" s="1196">
        <f>H57</f>
        <v>100642</v>
      </c>
      <c r="I13" s="1197"/>
      <c r="J13" s="1196">
        <f t="shared" ref="J13:K13" si="0">J57</f>
        <v>8490</v>
      </c>
      <c r="K13" s="1196">
        <f t="shared" si="0"/>
        <v>109132</v>
      </c>
      <c r="L13" s="1531"/>
    </row>
    <row r="14" spans="1:12" s="1199" customFormat="1" ht="24" customHeight="1">
      <c r="A14" s="1189"/>
      <c r="B14" s="1205"/>
      <c r="C14" s="1201"/>
      <c r="D14" s="1471"/>
      <c r="E14" s="1206"/>
      <c r="F14" s="1207"/>
      <c r="G14" s="1195"/>
      <c r="H14" s="1196"/>
      <c r="I14" s="1197"/>
      <c r="J14" s="1196"/>
      <c r="K14" s="1196"/>
      <c r="L14" s="1531"/>
    </row>
    <row r="15" spans="1:12" s="1199" customFormat="1" ht="24" customHeight="1">
      <c r="A15" s="1204"/>
      <c r="B15" s="1205"/>
      <c r="C15" s="1202"/>
      <c r="D15" s="1203"/>
      <c r="E15" s="1206"/>
      <c r="F15" s="1207"/>
      <c r="G15" s="1195"/>
      <c r="H15" s="1196"/>
      <c r="I15" s="1197"/>
      <c r="J15" s="1196"/>
      <c r="K15" s="1196"/>
      <c r="L15" s="1531"/>
    </row>
    <row r="16" spans="1:12" s="1199" customFormat="1" ht="24" customHeight="1">
      <c r="A16" s="1204"/>
      <c r="B16" s="1205"/>
      <c r="C16" s="1202"/>
      <c r="D16" s="1203"/>
      <c r="E16" s="1206"/>
      <c r="F16" s="1207"/>
      <c r="G16" s="1195"/>
      <c r="H16" s="1196"/>
      <c r="I16" s="1197"/>
      <c r="J16" s="1196"/>
      <c r="K16" s="1196"/>
      <c r="L16" s="1531"/>
    </row>
    <row r="17" spans="1:12" s="1199" customFormat="1" ht="24" customHeight="1">
      <c r="A17" s="1204"/>
      <c r="B17" s="1205"/>
      <c r="C17" s="1202"/>
      <c r="D17" s="1203"/>
      <c r="E17" s="1206"/>
      <c r="F17" s="1207"/>
      <c r="G17" s="1195"/>
      <c r="H17" s="1196"/>
      <c r="I17" s="1197"/>
      <c r="J17" s="1196"/>
      <c r="K17" s="1196"/>
      <c r="L17" s="1531"/>
    </row>
    <row r="18" spans="1:12" s="1199" customFormat="1" ht="24" customHeight="1">
      <c r="A18" s="1204"/>
      <c r="B18" s="1205"/>
      <c r="C18" s="1202"/>
      <c r="D18" s="1203"/>
      <c r="E18" s="1206"/>
      <c r="F18" s="1207"/>
      <c r="G18" s="1195"/>
      <c r="H18" s="1196"/>
      <c r="I18" s="1197"/>
      <c r="J18" s="1196"/>
      <c r="K18" s="1196"/>
      <c r="L18" s="1531"/>
    </row>
    <row r="19" spans="1:12" s="1199" customFormat="1" ht="24" customHeight="1">
      <c r="A19" s="1204"/>
      <c r="B19" s="1205"/>
      <c r="C19" s="1202"/>
      <c r="D19" s="1203"/>
      <c r="E19" s="1206"/>
      <c r="F19" s="1207"/>
      <c r="G19" s="1195"/>
      <c r="H19" s="1196"/>
      <c r="I19" s="1197"/>
      <c r="J19" s="1196"/>
      <c r="K19" s="1196"/>
      <c r="L19" s="1531"/>
    </row>
    <row r="20" spans="1:12" s="1199" customFormat="1" ht="24" customHeight="1">
      <c r="A20" s="1204"/>
      <c r="B20" s="1205"/>
      <c r="C20" s="1202"/>
      <c r="D20" s="1203"/>
      <c r="E20" s="1206"/>
      <c r="F20" s="120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204"/>
      <c r="B21" s="1205"/>
      <c r="C21" s="1202"/>
      <c r="D21" s="1203"/>
      <c r="E21" s="1206"/>
      <c r="F21" s="1207"/>
      <c r="G21" s="1195"/>
      <c r="H21" s="1196"/>
      <c r="I21" s="1197"/>
      <c r="J21" s="1196"/>
      <c r="K21" s="1196"/>
      <c r="L21" s="1531"/>
    </row>
    <row r="22" spans="1:12" s="1199" customFormat="1" ht="24" customHeight="1">
      <c r="A22" s="1204"/>
      <c r="B22" s="1205"/>
      <c r="C22" s="1202"/>
      <c r="D22" s="1203"/>
      <c r="E22" s="1206"/>
      <c r="F22" s="1207"/>
      <c r="G22" s="1195"/>
      <c r="H22" s="1196"/>
      <c r="I22" s="1197"/>
      <c r="J22" s="1196"/>
      <c r="K22" s="1196"/>
      <c r="L22" s="1531"/>
    </row>
    <row r="23" spans="1:12" s="1199" customFormat="1" ht="24" customHeight="1">
      <c r="A23" s="1535"/>
      <c r="B23" s="1205"/>
      <c r="C23" s="1533"/>
      <c r="D23" s="1534"/>
      <c r="E23" s="1206"/>
      <c r="F23" s="120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535"/>
      <c r="B24" s="1205"/>
      <c r="C24" s="1533"/>
      <c r="D24" s="1534"/>
      <c r="E24" s="1206"/>
      <c r="F24" s="1207"/>
      <c r="G24" s="1195"/>
      <c r="H24" s="1196"/>
      <c r="I24" s="1197"/>
      <c r="J24" s="1196"/>
      <c r="K24" s="1196"/>
      <c r="L24" s="1531"/>
    </row>
    <row r="25" spans="1:12" s="1199" customFormat="1" ht="24" customHeight="1">
      <c r="A25" s="1535"/>
      <c r="B25" s="1205"/>
      <c r="C25" s="1533"/>
      <c r="D25" s="1534"/>
      <c r="E25" s="1206"/>
      <c r="F25" s="1207"/>
      <c r="G25" s="1195"/>
      <c r="H25" s="1196"/>
      <c r="I25" s="1197"/>
      <c r="J25" s="1196"/>
      <c r="K25" s="1196"/>
      <c r="L25" s="1531"/>
    </row>
    <row r="26" spans="1:12" s="1199" customFormat="1" ht="24" customHeight="1">
      <c r="A26" s="1535"/>
      <c r="B26" s="1205"/>
      <c r="C26" s="1533"/>
      <c r="D26" s="1534"/>
      <c r="E26" s="1206"/>
      <c r="F26" s="1207"/>
      <c r="G26" s="1195"/>
      <c r="H26" s="1196"/>
      <c r="I26" s="1197"/>
      <c r="J26" s="1196"/>
      <c r="K26" s="1196"/>
      <c r="L26" s="1531"/>
    </row>
    <row r="27" spans="1:12" s="1199" customFormat="1" ht="24" customHeight="1">
      <c r="A27" s="1535"/>
      <c r="B27" s="1205"/>
      <c r="C27" s="1533"/>
      <c r="D27" s="1534"/>
      <c r="E27" s="1206"/>
      <c r="F27" s="1207"/>
      <c r="G27" s="1195"/>
      <c r="H27" s="1196"/>
      <c r="I27" s="1197"/>
      <c r="J27" s="1196"/>
      <c r="K27" s="1196"/>
      <c r="L27" s="1531"/>
    </row>
    <row r="28" spans="1:12" s="1199" customFormat="1" ht="24" customHeight="1">
      <c r="A28" s="1535"/>
      <c r="B28" s="1205"/>
      <c r="C28" s="1533"/>
      <c r="D28" s="1534"/>
      <c r="E28" s="1206"/>
      <c r="F28" s="1207"/>
      <c r="G28" s="1195"/>
      <c r="H28" s="1196"/>
      <c r="I28" s="1197"/>
      <c r="J28" s="1196"/>
      <c r="K28" s="1196"/>
      <c r="L28" s="1531"/>
    </row>
    <row r="29" spans="1:12" s="1199" customFormat="1" ht="24" customHeight="1">
      <c r="A29" s="1535"/>
      <c r="B29" s="1205"/>
      <c r="C29" s="1533"/>
      <c r="D29" s="1534"/>
      <c r="E29" s="1206"/>
      <c r="F29" s="1207"/>
      <c r="G29" s="1195"/>
      <c r="H29" s="1196"/>
      <c r="I29" s="1197"/>
      <c r="J29" s="1196"/>
      <c r="K29" s="1196"/>
      <c r="L29" s="1531"/>
    </row>
    <row r="30" spans="1:12" s="1199" customFormat="1" ht="24" customHeight="1">
      <c r="A30" s="1535"/>
      <c r="B30" s="1205"/>
      <c r="C30" s="1533"/>
      <c r="D30" s="1534"/>
      <c r="E30" s="1206"/>
      <c r="F30" s="1207"/>
      <c r="G30" s="1195"/>
      <c r="H30" s="1196"/>
      <c r="I30" s="1197"/>
      <c r="J30" s="1196"/>
      <c r="K30" s="1196"/>
      <c r="L30" s="1531"/>
    </row>
    <row r="31" spans="1:12" s="1199" customFormat="1" ht="24" customHeight="1">
      <c r="A31" s="1535"/>
      <c r="B31" s="1205"/>
      <c r="C31" s="1533"/>
      <c r="D31" s="1534"/>
      <c r="E31" s="1206"/>
      <c r="F31" s="1207"/>
      <c r="G31" s="1195"/>
      <c r="H31" s="1196"/>
      <c r="I31" s="1197"/>
      <c r="J31" s="1196"/>
      <c r="K31" s="1196"/>
      <c r="L31" s="1531"/>
    </row>
    <row r="32" spans="1:12" s="1199" customFormat="1" ht="24" customHeight="1">
      <c r="A32" s="1535"/>
      <c r="B32" s="1205"/>
      <c r="C32" s="1533"/>
      <c r="D32" s="1534"/>
      <c r="E32" s="1206"/>
      <c r="F32" s="1207"/>
      <c r="G32" s="1195"/>
      <c r="H32" s="1196"/>
      <c r="I32" s="1197"/>
      <c r="J32" s="1196"/>
      <c r="K32" s="1196"/>
      <c r="L32" s="1531"/>
    </row>
    <row r="33" spans="1:21" s="1199" customFormat="1" ht="24" customHeight="1">
      <c r="A33" s="1537"/>
      <c r="B33" s="1538"/>
      <c r="C33" s="1533"/>
      <c r="D33" s="1534"/>
      <c r="E33" s="1539"/>
      <c r="F33" s="1207"/>
      <c r="G33" s="1195"/>
      <c r="H33" s="1196"/>
      <c r="I33" s="1197"/>
      <c r="J33" s="1196"/>
      <c r="K33" s="1196"/>
      <c r="L33" s="1531"/>
    </row>
    <row r="34" spans="1:21" s="1199" customFormat="1" ht="25.15" customHeight="1">
      <c r="A34" s="1245"/>
      <c r="B34" s="2257" t="str">
        <f>"รวมราคา"&amp;B11</f>
        <v>รวมราคาระบบโทรทัศน์วงจรปิด (Closed Circuit TV System) ชั้น ดาดฟ้า</v>
      </c>
      <c r="C34" s="2258"/>
      <c r="D34" s="2259"/>
      <c r="E34" s="1481"/>
      <c r="F34" s="1245"/>
      <c r="G34" s="1246"/>
      <c r="H34" s="1247">
        <f>H13</f>
        <v>100642</v>
      </c>
      <c r="I34" s="1246"/>
      <c r="J34" s="1247">
        <f t="shared" ref="J34:K34" si="1">J13</f>
        <v>8490</v>
      </c>
      <c r="K34" s="1247">
        <f t="shared" si="1"/>
        <v>109132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467">
        <v>4.0999999999999996</v>
      </c>
      <c r="B35" s="1292" t="s">
        <v>1669</v>
      </c>
      <c r="C35" s="1468"/>
      <c r="D35" s="1192"/>
      <c r="E35" s="1193"/>
      <c r="F35" s="1194"/>
      <c r="G35" s="1297"/>
      <c r="H35" s="1298"/>
      <c r="I35" s="1299"/>
      <c r="J35" s="1298"/>
      <c r="K35" s="129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470" t="s">
        <v>1677</v>
      </c>
      <c r="B36" s="1205" t="s">
        <v>1679</v>
      </c>
      <c r="C36" s="1191"/>
      <c r="D36" s="1471"/>
      <c r="E36" s="1206">
        <v>4</v>
      </c>
      <c r="F36" s="1207" t="s">
        <v>363</v>
      </c>
      <c r="G36" s="1476">
        <v>22110</v>
      </c>
      <c r="H36" s="1273">
        <f>ROUND(G36*E36,)</f>
        <v>88440</v>
      </c>
      <c r="I36" s="1265">
        <v>500</v>
      </c>
      <c r="J36" s="1264">
        <f>I36*E36</f>
        <v>2000</v>
      </c>
      <c r="K36" s="1265">
        <f>H36+J36</f>
        <v>90440</v>
      </c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477" t="s">
        <v>1672</v>
      </c>
      <c r="B37" s="1205" t="s">
        <v>1578</v>
      </c>
      <c r="C37" s="1191"/>
      <c r="D37" s="1471"/>
      <c r="E37" s="1206"/>
      <c r="F37" s="1207"/>
      <c r="G37" s="1476"/>
      <c r="H37" s="1273"/>
      <c r="I37" s="1265"/>
      <c r="J37" s="1264"/>
      <c r="K37" s="1265"/>
      <c r="L37" s="1473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478"/>
      <c r="B38" s="1205" t="s">
        <v>1685</v>
      </c>
      <c r="C38" s="1191"/>
      <c r="D38" s="1471"/>
      <c r="E38" s="1206">
        <v>230</v>
      </c>
      <c r="F38" s="1207" t="s">
        <v>226</v>
      </c>
      <c r="G38" s="1476">
        <v>22</v>
      </c>
      <c r="H38" s="1273">
        <f>ROUND(G38*E38,)</f>
        <v>5060</v>
      </c>
      <c r="I38" s="1265">
        <v>5</v>
      </c>
      <c r="J38" s="1264">
        <f>I38*E38</f>
        <v>1150</v>
      </c>
      <c r="K38" s="1273">
        <f>H38+J38</f>
        <v>6210</v>
      </c>
      <c r="L38" s="1473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475" t="s">
        <v>2555</v>
      </c>
      <c r="B39" s="1205" t="s">
        <v>1526</v>
      </c>
      <c r="C39" s="1191"/>
      <c r="D39" s="1471"/>
      <c r="E39" s="1206"/>
      <c r="F39" s="1207"/>
      <c r="G39" s="1476"/>
      <c r="H39" s="1273"/>
      <c r="I39" s="1265"/>
      <c r="J39" s="1264"/>
      <c r="K39" s="1265"/>
      <c r="L39" s="1473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479"/>
      <c r="B40" s="1205" t="s">
        <v>1350</v>
      </c>
      <c r="C40" s="1191"/>
      <c r="D40" s="1471"/>
      <c r="E40" s="1387">
        <v>230</v>
      </c>
      <c r="F40" s="1358" t="s">
        <v>226</v>
      </c>
      <c r="G40" s="1271">
        <v>27</v>
      </c>
      <c r="H40" s="1264">
        <f t="shared" ref="H40" si="2">ROUND(E40*G40,)</f>
        <v>6210</v>
      </c>
      <c r="I40" s="1272">
        <v>22</v>
      </c>
      <c r="J40" s="1264">
        <f t="shared" ref="J40" si="3">ROUND(E40*I40,)</f>
        <v>5060</v>
      </c>
      <c r="K40" s="1802">
        <f t="shared" ref="K40" si="4">H40+J40</f>
        <v>11270</v>
      </c>
      <c r="L40" s="2001" t="s">
        <v>2667</v>
      </c>
      <c r="M40" s="1214"/>
      <c r="N40" s="1199">
        <v>79.8</v>
      </c>
      <c r="O40" s="1199">
        <f>ROUND(N40/3,)</f>
        <v>27</v>
      </c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480"/>
      <c r="B41" s="1205" t="s">
        <v>1384</v>
      </c>
      <c r="C41" s="1191"/>
      <c r="D41" s="1471"/>
      <c r="E41" s="1206">
        <v>1</v>
      </c>
      <c r="F41" s="1207" t="s">
        <v>1104</v>
      </c>
      <c r="G41" s="1476">
        <f>ROUND(SUM(H40)*15%,)</f>
        <v>932</v>
      </c>
      <c r="H41" s="1273">
        <f>ROUND(G41*E41,)</f>
        <v>932</v>
      </c>
      <c r="I41" s="1332">
        <f>ROUND(G41*0.3,0)</f>
        <v>280</v>
      </c>
      <c r="J41" s="1264">
        <f>I41*E41</f>
        <v>280</v>
      </c>
      <c r="K41" s="1273">
        <f>H41+J41</f>
        <v>1212</v>
      </c>
      <c r="L41" s="1473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478"/>
      <c r="B42" s="1205" t="s">
        <v>1117</v>
      </c>
      <c r="C42" s="1191"/>
      <c r="D42" s="1471"/>
      <c r="E42" s="1206"/>
      <c r="F42" s="1207"/>
      <c r="G42" s="1476"/>
      <c r="H42" s="1264"/>
      <c r="I42" s="1265"/>
      <c r="J42" s="1264"/>
      <c r="K42" s="1265"/>
      <c r="L42" s="1473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480"/>
      <c r="B43" s="1205" t="s">
        <v>1118</v>
      </c>
      <c r="C43" s="1191"/>
      <c r="D43" s="1471"/>
      <c r="E43" s="1206"/>
      <c r="F43" s="1207"/>
      <c r="G43" s="1263"/>
      <c r="H43" s="1264"/>
      <c r="I43" s="1265"/>
      <c r="J43" s="1264"/>
      <c r="K43" s="1265"/>
      <c r="L43" s="1473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480"/>
      <c r="B44" s="1205" t="s">
        <v>1118</v>
      </c>
      <c r="C44" s="1191"/>
      <c r="D44" s="1471"/>
      <c r="E44" s="1206"/>
      <c r="F44" s="1207"/>
      <c r="G44" s="1263"/>
      <c r="H44" s="1264"/>
      <c r="I44" s="1265"/>
      <c r="J44" s="1264"/>
      <c r="K44" s="1265"/>
      <c r="L44" s="1473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480"/>
      <c r="B45" s="1205"/>
      <c r="C45" s="1191"/>
      <c r="D45" s="1471"/>
      <c r="E45" s="1206"/>
      <c r="F45" s="1207"/>
      <c r="G45" s="1263"/>
      <c r="H45" s="1264"/>
      <c r="I45" s="1265"/>
      <c r="J45" s="1264"/>
      <c r="K45" s="1265"/>
      <c r="L45" s="1473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480"/>
      <c r="B46" s="1205"/>
      <c r="C46" s="1191"/>
      <c r="D46" s="1471"/>
      <c r="E46" s="1206"/>
      <c r="F46" s="1207"/>
      <c r="G46" s="1263"/>
      <c r="H46" s="1264"/>
      <c r="I46" s="1265"/>
      <c r="J46" s="1264"/>
      <c r="K46" s="1265"/>
      <c r="L46" s="1473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480"/>
      <c r="B47" s="1205"/>
      <c r="C47" s="1191"/>
      <c r="D47" s="1471"/>
      <c r="E47" s="1206"/>
      <c r="F47" s="1207"/>
      <c r="G47" s="1263"/>
      <c r="H47" s="1264"/>
      <c r="I47" s="1265"/>
      <c r="J47" s="1264"/>
      <c r="K47" s="1265"/>
      <c r="L47" s="1473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480"/>
      <c r="B48" s="1205"/>
      <c r="C48" s="1191"/>
      <c r="D48" s="1471"/>
      <c r="E48" s="1206"/>
      <c r="F48" s="1207"/>
      <c r="G48" s="1263"/>
      <c r="H48" s="1264"/>
      <c r="I48" s="1265"/>
      <c r="J48" s="1264"/>
      <c r="K48" s="1265"/>
      <c r="L48" s="1473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480"/>
      <c r="B49" s="1205"/>
      <c r="C49" s="1191"/>
      <c r="D49" s="1471"/>
      <c r="E49" s="1206"/>
      <c r="F49" s="1207"/>
      <c r="G49" s="1263"/>
      <c r="H49" s="1264"/>
      <c r="I49" s="1265"/>
      <c r="J49" s="1264"/>
      <c r="K49" s="1265"/>
      <c r="L49" s="1473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480"/>
      <c r="B50" s="1205"/>
      <c r="C50" s="1191"/>
      <c r="D50" s="1471"/>
      <c r="E50" s="1206"/>
      <c r="F50" s="1207"/>
      <c r="G50" s="1263"/>
      <c r="H50" s="1264"/>
      <c r="I50" s="1265"/>
      <c r="J50" s="1264"/>
      <c r="K50" s="1265"/>
      <c r="L50" s="1473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480"/>
      <c r="B51" s="1205"/>
      <c r="C51" s="1191"/>
      <c r="D51" s="1471"/>
      <c r="E51" s="1206"/>
      <c r="F51" s="1207"/>
      <c r="G51" s="1263"/>
      <c r="H51" s="1264"/>
      <c r="I51" s="1265"/>
      <c r="J51" s="1264"/>
      <c r="K51" s="1265"/>
      <c r="L51" s="1473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480"/>
      <c r="B52" s="1205"/>
      <c r="C52" s="1191"/>
      <c r="D52" s="1471"/>
      <c r="E52" s="1206"/>
      <c r="F52" s="1207"/>
      <c r="G52" s="1263"/>
      <c r="H52" s="1264"/>
      <c r="I52" s="1265"/>
      <c r="J52" s="1264"/>
      <c r="K52" s="1265"/>
      <c r="L52" s="1473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480"/>
      <c r="B53" s="1205"/>
      <c r="C53" s="1191"/>
      <c r="D53" s="1471"/>
      <c r="E53" s="1206"/>
      <c r="F53" s="1207"/>
      <c r="G53" s="1263"/>
      <c r="H53" s="1264"/>
      <c r="I53" s="1265"/>
      <c r="J53" s="1264"/>
      <c r="K53" s="1265"/>
      <c r="L53" s="1473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480"/>
      <c r="B54" s="1205"/>
      <c r="C54" s="1191"/>
      <c r="D54" s="1471"/>
      <c r="E54" s="1206"/>
      <c r="F54" s="1207"/>
      <c r="G54" s="1263"/>
      <c r="H54" s="1264"/>
      <c r="I54" s="1265"/>
      <c r="J54" s="1264"/>
      <c r="K54" s="1265"/>
      <c r="L54" s="1473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480"/>
      <c r="B55" s="1205"/>
      <c r="C55" s="1191"/>
      <c r="D55" s="1471"/>
      <c r="E55" s="1206"/>
      <c r="F55" s="1207"/>
      <c r="G55" s="1263"/>
      <c r="H55" s="1264"/>
      <c r="I55" s="1265"/>
      <c r="J55" s="1264"/>
      <c r="K55" s="1265"/>
      <c r="L55" s="1473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480"/>
      <c r="B56" s="1205"/>
      <c r="C56" s="1191"/>
      <c r="D56" s="1471"/>
      <c r="E56" s="1206"/>
      <c r="F56" s="1207"/>
      <c r="G56" s="1263"/>
      <c r="H56" s="1264"/>
      <c r="I56" s="1265"/>
      <c r="J56" s="1264"/>
      <c r="K56" s="1265"/>
      <c r="L56" s="1473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245"/>
      <c r="B57" s="2257" t="str">
        <f>"รวมราคารายการที่ "&amp;A35</f>
        <v>รวมราคารายการที่ 4.1</v>
      </c>
      <c r="C57" s="2258"/>
      <c r="D57" s="2259"/>
      <c r="E57" s="1481"/>
      <c r="F57" s="1245"/>
      <c r="G57" s="1246"/>
      <c r="H57" s="1247">
        <f>SUM(H36:H56)</f>
        <v>100642</v>
      </c>
      <c r="I57" s="1246"/>
      <c r="J57" s="1247">
        <f t="shared" ref="J57:K57" si="5">SUM(J36:J56)</f>
        <v>8490</v>
      </c>
      <c r="K57" s="1247">
        <f t="shared" si="5"/>
        <v>109132</v>
      </c>
      <c r="L57" s="1245"/>
      <c r="M57" s="1214"/>
      <c r="N57" s="1214"/>
      <c r="O57" s="1214"/>
      <c r="P57" s="1214"/>
      <c r="Q57" s="1214"/>
      <c r="R57" s="1214"/>
      <c r="S57" s="1214"/>
      <c r="T57" s="1214"/>
      <c r="U57" s="1214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ดาดฟ้า-อาคารด้านทิศตะวันตก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C9169-DBC6-4416-B335-63439D9BE696}">
  <sheetPr>
    <tabColor rgb="FF92D050"/>
  </sheetPr>
  <dimension ref="A1:U34"/>
  <sheetViews>
    <sheetView showGridLines="0" view="pageBreakPreview" topLeftCell="A12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5.703125" style="1" customWidth="1"/>
    <col min="13" max="14" width="7.703125" style="1" customWidth="1"/>
    <col min="15" max="15" width="14.29296875" style="1" customWidth="1"/>
    <col min="16" max="99" width="7.703125" style="1" customWidth="1"/>
    <col min="100" max="16384" width="9" style="1"/>
  </cols>
  <sheetData>
    <row r="1" spans="1:15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5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5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5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5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5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5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5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5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5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5" ht="24" customHeight="1">
      <c r="A11" s="1560" t="s">
        <v>27</v>
      </c>
      <c r="B11" s="1561" t="s">
        <v>1023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429"/>
    </row>
    <row r="12" spans="1:15" ht="24" customHeight="1">
      <c r="A12" s="1564"/>
      <c r="B12" s="1565"/>
      <c r="C12" s="1533"/>
      <c r="D12" s="1534"/>
      <c r="E12" s="1566"/>
      <c r="F12" s="1567"/>
      <c r="G12" s="1195"/>
      <c r="H12" s="1196"/>
      <c r="I12" s="1197"/>
      <c r="J12" s="1196"/>
      <c r="K12" s="1553"/>
      <c r="L12" s="1531"/>
    </row>
    <row r="13" spans="1:15" ht="24" customHeight="1">
      <c r="A13" s="1564"/>
      <c r="B13" s="1568"/>
      <c r="C13" s="1533"/>
      <c r="D13" s="1534"/>
      <c r="E13" s="1569"/>
      <c r="F13" s="1567"/>
      <c r="G13" s="1195"/>
      <c r="H13" s="1196"/>
      <c r="I13" s="1197"/>
      <c r="J13" s="1196"/>
      <c r="K13" s="1553"/>
      <c r="L13" s="1531"/>
    </row>
    <row r="14" spans="1:15" s="1199" customFormat="1" ht="24" customHeight="1">
      <c r="A14" s="1564">
        <v>1</v>
      </c>
      <c r="B14" s="1565" t="str">
        <f>'05.SAN อาคารทิศตะวันตก(Main)'!B11</f>
        <v>งานระบบสุขาภิบาล (Main Equipment)</v>
      </c>
      <c r="C14" s="1533"/>
      <c r="D14" s="1534"/>
      <c r="E14" s="1569">
        <v>1</v>
      </c>
      <c r="F14" s="1567" t="s">
        <v>19</v>
      </c>
      <c r="G14" s="1195"/>
      <c r="H14" s="1196">
        <f>'05.SAN อาคารทิศตะวันตก(Main)'!H34</f>
        <v>9291239</v>
      </c>
      <c r="I14" s="1197"/>
      <c r="J14" s="1196">
        <f>'05.SAN อาคารทิศตะวันตก(Main)'!J34</f>
        <v>2201912</v>
      </c>
      <c r="K14" s="1196">
        <f>'05.SAN อาคารทิศตะวันตก(Main)'!K34</f>
        <v>11493151</v>
      </c>
      <c r="L14" s="2080"/>
      <c r="O14" s="1570"/>
    </row>
    <row r="15" spans="1:15" s="1199" customFormat="1" ht="24" customHeight="1">
      <c r="A15" s="1564">
        <v>2</v>
      </c>
      <c r="B15" s="1565" t="str">
        <f>'05.SAN อาคารทิศตะวันตก(B2)'!B11</f>
        <v>งานระบบสุขาภิบาล ชั้น B2</v>
      </c>
      <c r="C15" s="1533"/>
      <c r="D15" s="1534"/>
      <c r="E15" s="1569">
        <v>1</v>
      </c>
      <c r="F15" s="1567" t="s">
        <v>19</v>
      </c>
      <c r="G15" s="1195"/>
      <c r="H15" s="1196">
        <f>'05.SAN อาคารทิศตะวันตก(B2)'!H34</f>
        <v>166082</v>
      </c>
      <c r="I15" s="1197"/>
      <c r="J15" s="1196">
        <f>'05.SAN อาคารทิศตะวันตก(B2)'!J34</f>
        <v>59748</v>
      </c>
      <c r="K15" s="1196">
        <f>'05.SAN อาคารทิศตะวันตก(B2)'!K34</f>
        <v>225830</v>
      </c>
      <c r="L15" s="2080"/>
      <c r="O15" s="1570"/>
    </row>
    <row r="16" spans="1:15" s="1199" customFormat="1" ht="24" customHeight="1">
      <c r="A16" s="1564">
        <v>3</v>
      </c>
      <c r="B16" s="1565" t="str">
        <f>'05.SAN อาคารทิศตะวันตก(B1)'!B11</f>
        <v>งานระบบสุขาภิบาล ชั้น B1</v>
      </c>
      <c r="C16" s="1533"/>
      <c r="D16" s="1534"/>
      <c r="E16" s="1569">
        <v>1</v>
      </c>
      <c r="F16" s="1567" t="s">
        <v>19</v>
      </c>
      <c r="G16" s="1195"/>
      <c r="H16" s="1196">
        <f>'05.SAN อาคารทิศตะวันตก(B1)'!H34</f>
        <v>177879</v>
      </c>
      <c r="I16" s="1197"/>
      <c r="J16" s="1196">
        <f>'05.SAN อาคารทิศตะวันตก(B1)'!J34</f>
        <v>68031</v>
      </c>
      <c r="K16" s="1196">
        <f>'05.SAN อาคารทิศตะวันตก(B1)'!K34</f>
        <v>245910</v>
      </c>
      <c r="L16" s="2080"/>
      <c r="O16" s="1570"/>
    </row>
    <row r="17" spans="1:15" s="1199" customFormat="1" ht="24" customHeight="1">
      <c r="A17" s="1564">
        <v>4</v>
      </c>
      <c r="B17" s="1565" t="str">
        <f>'05.SAN อาคารทิศตะวันตก (FL1)'!B11</f>
        <v>งานระบบสุขาภิบาล ชั้น 1</v>
      </c>
      <c r="C17" s="1533"/>
      <c r="D17" s="1534"/>
      <c r="E17" s="1569">
        <v>1</v>
      </c>
      <c r="F17" s="1567" t="s">
        <v>19</v>
      </c>
      <c r="G17" s="1195"/>
      <c r="H17" s="1196">
        <f>'05.SAN อาคารทิศตะวันตก (FL1)'!H34</f>
        <v>3618505</v>
      </c>
      <c r="I17" s="1197"/>
      <c r="J17" s="1196">
        <f>'05.SAN อาคารทิศตะวันตก (FL1)'!J34</f>
        <v>1096193</v>
      </c>
      <c r="K17" s="1196">
        <f>'05.SAN อาคารทิศตะวันตก (FL1)'!K34</f>
        <v>4714698</v>
      </c>
      <c r="L17" s="2080"/>
      <c r="O17" s="1570"/>
    </row>
    <row r="18" spans="1:15" s="1199" customFormat="1" ht="24" customHeight="1">
      <c r="A18" s="1564">
        <v>5</v>
      </c>
      <c r="B18" s="1565" t="str">
        <f>'05.SAN อาคารทิศตะวันตก (FL2)'!B11</f>
        <v>งานระบบสุขาภิบาล ชั้น 2</v>
      </c>
      <c r="C18" s="1533"/>
      <c r="D18" s="1534"/>
      <c r="E18" s="1569">
        <v>1</v>
      </c>
      <c r="F18" s="1567" t="s">
        <v>19</v>
      </c>
      <c r="G18" s="1195"/>
      <c r="H18" s="1196">
        <f>'05.SAN อาคารทิศตะวันตก (FL2)'!H34</f>
        <v>487260</v>
      </c>
      <c r="I18" s="1197"/>
      <c r="J18" s="1196">
        <f>'05.SAN อาคารทิศตะวันตก (FL2)'!J34</f>
        <v>164859</v>
      </c>
      <c r="K18" s="1196">
        <f>'05.SAN อาคารทิศตะวันตก (FL2)'!K34</f>
        <v>652119</v>
      </c>
      <c r="L18" s="2080"/>
      <c r="O18" s="1570"/>
    </row>
    <row r="19" spans="1:15" s="1199" customFormat="1" ht="24" customHeight="1">
      <c r="A19" s="1564">
        <v>6</v>
      </c>
      <c r="B19" s="1565" t="str">
        <f>'05.SAN อาคารทิศตะวันตก (FL3)'!B11</f>
        <v>งานระบบสุขาภิบาล ชั้น 3</v>
      </c>
      <c r="C19" s="1533"/>
      <c r="D19" s="1534"/>
      <c r="E19" s="1569">
        <v>1</v>
      </c>
      <c r="F19" s="1567" t="s">
        <v>19</v>
      </c>
      <c r="G19" s="1195"/>
      <c r="H19" s="1196">
        <f>'05.SAN อาคารทิศตะวันตก (FL3)'!H34</f>
        <v>526268</v>
      </c>
      <c r="I19" s="1197"/>
      <c r="J19" s="1196">
        <f>'05.SAN อาคารทิศตะวันตก (FL3)'!J34</f>
        <v>179229</v>
      </c>
      <c r="K19" s="1196">
        <f>'05.SAN อาคารทิศตะวันตก (FL3)'!K34</f>
        <v>705497</v>
      </c>
      <c r="L19" s="2080"/>
      <c r="O19" s="1570"/>
    </row>
    <row r="20" spans="1:15" s="1199" customFormat="1" ht="24" customHeight="1">
      <c r="A20" s="1564">
        <v>7</v>
      </c>
      <c r="B20" s="1565" t="str">
        <f>'05.SAN อาคารทิศตะวันตก (FL4)'!B11</f>
        <v>งานระบบสุขาภิบาล ชั้น 4</v>
      </c>
      <c r="C20" s="1533"/>
      <c r="D20" s="1534"/>
      <c r="E20" s="1566">
        <v>1</v>
      </c>
      <c r="F20" s="1567" t="s">
        <v>19</v>
      </c>
      <c r="G20" s="1195"/>
      <c r="H20" s="1196">
        <f>'05.SAN อาคารทิศตะวันตก (FL4)'!H34</f>
        <v>548882</v>
      </c>
      <c r="I20" s="1197"/>
      <c r="J20" s="1196">
        <f>'05.SAN อาคารทิศตะวันตก (FL4)'!J34</f>
        <v>189437</v>
      </c>
      <c r="K20" s="1196">
        <f>'05.SAN อาคารทิศตะวันตก (FL4)'!K34</f>
        <v>738319</v>
      </c>
      <c r="L20" s="2080"/>
      <c r="O20" s="1570"/>
    </row>
    <row r="21" spans="1:15" s="1199" customFormat="1" ht="24" customHeight="1">
      <c r="A21" s="1564">
        <v>8</v>
      </c>
      <c r="B21" s="1565" t="str">
        <f>'05.SAN อาคารทิศตะวันตก (FL5)'!B11</f>
        <v>งานระบบสุขาภิบาล ชั้น 5</v>
      </c>
      <c r="C21" s="1533"/>
      <c r="D21" s="1534"/>
      <c r="E21" s="1566">
        <v>1</v>
      </c>
      <c r="F21" s="1567" t="s">
        <v>19</v>
      </c>
      <c r="G21" s="1195"/>
      <c r="H21" s="1196">
        <f>'05.SAN อาคารทิศตะวันตก (FL5)'!H34</f>
        <v>494919</v>
      </c>
      <c r="I21" s="1197"/>
      <c r="J21" s="1196">
        <f>'05.SAN อาคารทิศตะวันตก (FL5)'!J34</f>
        <v>167343</v>
      </c>
      <c r="K21" s="1196">
        <f>'05.SAN อาคารทิศตะวันตก (FL5)'!K34</f>
        <v>662262</v>
      </c>
      <c r="L21" s="2080"/>
      <c r="O21" s="1570"/>
    </row>
    <row r="22" spans="1:15" s="1199" customFormat="1" ht="24" customHeight="1">
      <c r="A22" s="1564">
        <v>9</v>
      </c>
      <c r="B22" s="1565" t="str">
        <f>'05.SAN อาคารทิศตะวันตก (FL6)'!B11</f>
        <v>งานระบบสุขาภิบาล ชั้น 6</v>
      </c>
      <c r="C22" s="1533"/>
      <c r="D22" s="1534"/>
      <c r="E22" s="1566">
        <v>1</v>
      </c>
      <c r="F22" s="1567" t="s">
        <v>19</v>
      </c>
      <c r="G22" s="1195"/>
      <c r="H22" s="1196">
        <f>'05.SAN อาคารทิศตะวันตก (FL6)'!H34</f>
        <v>472704</v>
      </c>
      <c r="I22" s="1197"/>
      <c r="J22" s="1196">
        <f>'05.SAN อาคารทิศตะวันตก (FL6)'!J34</f>
        <v>160663</v>
      </c>
      <c r="K22" s="1196">
        <f>'05.SAN อาคารทิศตะวันตก (FL6)'!K34</f>
        <v>633367</v>
      </c>
      <c r="L22" s="2080"/>
      <c r="O22" s="1570"/>
    </row>
    <row r="23" spans="1:15" s="1199" customFormat="1" ht="24" customHeight="1">
      <c r="A23" s="1564">
        <v>10</v>
      </c>
      <c r="B23" s="1565" t="str">
        <f>'05.SAN อาคารทิศตะวันตก (FL7)'!B11</f>
        <v>งานระบบสุขาภิบาล ชั้น 7</v>
      </c>
      <c r="C23" s="1533"/>
      <c r="D23" s="1534"/>
      <c r="E23" s="1566">
        <v>1</v>
      </c>
      <c r="F23" s="1567" t="s">
        <v>19</v>
      </c>
      <c r="G23" s="1195"/>
      <c r="H23" s="1196">
        <f>'05.SAN อาคารทิศตะวันตก (FL7)'!H34</f>
        <v>489501</v>
      </c>
      <c r="I23" s="1197"/>
      <c r="J23" s="1196">
        <f>'05.SAN อาคารทิศตะวันตก (FL7)'!J34</f>
        <v>165288</v>
      </c>
      <c r="K23" s="1196">
        <f>'05.SAN อาคารทิศตะวันตก (FL7)'!K34</f>
        <v>654789</v>
      </c>
      <c r="L23" s="2080"/>
      <c r="O23" s="1570"/>
    </row>
    <row r="24" spans="1:15" s="1199" customFormat="1" ht="24" customHeight="1">
      <c r="A24" s="1564">
        <v>11</v>
      </c>
      <c r="B24" s="1565" t="str">
        <f>'05.SAN อาคารทิศตะวันตก (FL8)'!B11</f>
        <v>งานระบบสุขาภิบาล ชั้น 8</v>
      </c>
      <c r="C24" s="1533"/>
      <c r="D24" s="1534"/>
      <c r="E24" s="1566">
        <v>1</v>
      </c>
      <c r="F24" s="1567" t="s">
        <v>19</v>
      </c>
      <c r="G24" s="1195"/>
      <c r="H24" s="1196">
        <f>'05.SAN อาคารทิศตะวันตก (FL8)'!H34</f>
        <v>492010</v>
      </c>
      <c r="I24" s="1197"/>
      <c r="J24" s="1196">
        <f>'05.SAN อาคารทิศตะวันตก (FL8)'!J34</f>
        <v>166108</v>
      </c>
      <c r="K24" s="1196">
        <f>'05.SAN อาคารทิศตะวันตก (FL8)'!K34</f>
        <v>658118</v>
      </c>
      <c r="L24" s="2080"/>
      <c r="O24" s="1570"/>
    </row>
    <row r="25" spans="1:15" s="1199" customFormat="1" ht="24" customHeight="1">
      <c r="A25" s="1564">
        <v>12</v>
      </c>
      <c r="B25" s="1565" t="str">
        <f>'05.SAN อาคารทิศตะวันตก (FL9)'!B11</f>
        <v>งานระบบสุขาภิบาล ชั้น 9</v>
      </c>
      <c r="C25" s="1533"/>
      <c r="D25" s="1534"/>
      <c r="E25" s="1566">
        <v>1</v>
      </c>
      <c r="F25" s="1567" t="s">
        <v>19</v>
      </c>
      <c r="G25" s="1195"/>
      <c r="H25" s="1196">
        <f>'05.SAN อาคารทิศตะวันตก (FL9)'!H34</f>
        <v>487571</v>
      </c>
      <c r="I25" s="1197"/>
      <c r="J25" s="1196">
        <f>'05.SAN อาคารทิศตะวันตก (FL9)'!J34</f>
        <v>164749</v>
      </c>
      <c r="K25" s="1196">
        <f>'05.SAN อาคารทิศตะวันตก (FL9)'!K34</f>
        <v>652320</v>
      </c>
      <c r="L25" s="2080"/>
      <c r="O25" s="1570"/>
    </row>
    <row r="26" spans="1:15" s="1199" customFormat="1" ht="24" customHeight="1">
      <c r="A26" s="1564">
        <v>13</v>
      </c>
      <c r="B26" s="1565" t="str">
        <f>'05.SAN อาคารทิศตะวันตก (FL10)'!B11</f>
        <v>งานระบบสุขาภิบาล ชั้น 10</v>
      </c>
      <c r="C26" s="1533"/>
      <c r="D26" s="1534"/>
      <c r="E26" s="1566">
        <v>1</v>
      </c>
      <c r="F26" s="1567" t="s">
        <v>19</v>
      </c>
      <c r="G26" s="1195"/>
      <c r="H26" s="1196">
        <f>'05.SAN อาคารทิศตะวันตก (FL10)'!H34</f>
        <v>475536</v>
      </c>
      <c r="I26" s="1197"/>
      <c r="J26" s="1196">
        <f>'05.SAN อาคารทิศตะวันตก (FL10)'!J34</f>
        <v>161601</v>
      </c>
      <c r="K26" s="1196">
        <f>'05.SAN อาคารทิศตะวันตก (FL10)'!K34</f>
        <v>637137</v>
      </c>
      <c r="L26" s="2080"/>
      <c r="O26" s="1570"/>
    </row>
    <row r="27" spans="1:15" s="1199" customFormat="1" ht="24" customHeight="1">
      <c r="A27" s="1564">
        <v>14</v>
      </c>
      <c r="B27" s="1565" t="str">
        <f>'05.SAN อาคารทิศตะวันตก (FL11)'!B11</f>
        <v>งานระบบสุขาภิบาล ชั้น 11</v>
      </c>
      <c r="C27" s="1533"/>
      <c r="D27" s="1534"/>
      <c r="E27" s="1566">
        <v>1</v>
      </c>
      <c r="F27" s="1567" t="s">
        <v>19</v>
      </c>
      <c r="G27" s="1195"/>
      <c r="H27" s="1196">
        <f>'05.SAN อาคารทิศตะวันตก (FL11)'!H34</f>
        <v>543417</v>
      </c>
      <c r="I27" s="1197"/>
      <c r="J27" s="1196">
        <f>'05.SAN อาคารทิศตะวันตก (FL11)'!J34</f>
        <v>188824</v>
      </c>
      <c r="K27" s="1196">
        <f>'05.SAN อาคารทิศตะวันตก (FL11)'!K34</f>
        <v>732241</v>
      </c>
      <c r="L27" s="2080"/>
      <c r="O27" s="1570"/>
    </row>
    <row r="28" spans="1:15" s="1199" customFormat="1" ht="24" customHeight="1">
      <c r="A28" s="1564">
        <v>15</v>
      </c>
      <c r="B28" s="1565" t="str">
        <f>'05.SAN อาคารทิศตะวันตก (FLR)'!B11</f>
        <v>งานระบบสุขาภิบาล ชั้นดาดฟ้า และชั้นหลังคา</v>
      </c>
      <c r="C28" s="1533"/>
      <c r="D28" s="1534"/>
      <c r="E28" s="1566">
        <v>1</v>
      </c>
      <c r="F28" s="1567" t="s">
        <v>19</v>
      </c>
      <c r="G28" s="1195"/>
      <c r="H28" s="1196">
        <f>'05.SAN อาคารทิศตะวันตก (FLR)'!H34</f>
        <v>708605</v>
      </c>
      <c r="I28" s="1197"/>
      <c r="J28" s="1196">
        <f>'05.SAN อาคารทิศตะวันตก (FLR)'!J34</f>
        <v>243350</v>
      </c>
      <c r="K28" s="1196">
        <f>'05.SAN อาคารทิศตะวันตก (FLR)'!K34</f>
        <v>951955</v>
      </c>
      <c r="L28" s="2080"/>
      <c r="O28" s="1570"/>
    </row>
    <row r="29" spans="1:15" s="1199" customFormat="1" ht="24" customHeight="1">
      <c r="A29" s="1564"/>
      <c r="B29" s="1568"/>
      <c r="C29" s="1533"/>
      <c r="D29" s="1534"/>
      <c r="E29" s="1566"/>
      <c r="F29" s="1567"/>
      <c r="G29" s="1195"/>
      <c r="H29" s="1196"/>
      <c r="I29" s="1197"/>
      <c r="J29" s="1196"/>
      <c r="K29" s="1553"/>
      <c r="L29" s="2080"/>
    </row>
    <row r="30" spans="1:15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2080"/>
    </row>
    <row r="31" spans="1:15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2080"/>
    </row>
    <row r="32" spans="1:15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2080"/>
    </row>
    <row r="33" spans="1:21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2080"/>
    </row>
    <row r="34" spans="1:21" s="1199" customFormat="1" ht="30" customHeight="1">
      <c r="A34" s="1209"/>
      <c r="B34" s="2252" t="str">
        <f>"รวมราคา"&amp;B11</f>
        <v>รวมราคางานระบบสุขาภิบาล</v>
      </c>
      <c r="C34" s="2252"/>
      <c r="D34" s="2252"/>
      <c r="E34" s="2252"/>
      <c r="F34" s="2252"/>
      <c r="G34" s="2265"/>
      <c r="H34" s="1213">
        <f>SUM(H14:H33)</f>
        <v>18980378</v>
      </c>
      <c r="I34" s="1213"/>
      <c r="J34" s="1213">
        <f>SUM(J14:J33)</f>
        <v>5377335</v>
      </c>
      <c r="K34" s="1213">
        <f>SUM(K14:K33)</f>
        <v>24357713</v>
      </c>
      <c r="L34" s="2081"/>
      <c r="M34" s="1214"/>
      <c r="N34" s="1214"/>
      <c r="O34" s="1214"/>
      <c r="P34" s="1214"/>
      <c r="Q34" s="1214"/>
      <c r="R34" s="1214"/>
      <c r="S34" s="1214"/>
      <c r="T34" s="1214"/>
      <c r="U34" s="1214"/>
    </row>
  </sheetData>
  <mergeCells count="9">
    <mergeCell ref="B34:G34"/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&amp;Rหน้าสรุปงานระบบสุขาภิบาล-อาคารด้านทิศตะวันตก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D262C-2055-4258-9205-4C5CE0618FE3}">
  <sheetPr>
    <tabColor rgb="FF92D050"/>
  </sheetPr>
  <dimension ref="A1:P206"/>
  <sheetViews>
    <sheetView showGridLines="0" view="pageBreakPreview" topLeftCell="A172" zoomScale="85" zoomScaleNormal="60" zoomScaleSheetLayoutView="85" workbookViewId="0">
      <selection activeCell="D174" sqref="D174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5859375" style="1" customWidth="1"/>
    <col min="13" max="15" width="7.703125" style="1" customWidth="1"/>
    <col min="16" max="16" width="13" style="1" bestFit="1" customWidth="1"/>
    <col min="17" max="66" width="7.703125" style="1" customWidth="1"/>
    <col min="67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1709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429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531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H69</f>
        <v>1612442</v>
      </c>
      <c r="I13" s="1197"/>
      <c r="J13" s="1196">
        <f>J69</f>
        <v>332609</v>
      </c>
      <c r="K13" s="1553">
        <f t="shared" ref="K13:K18" si="0">SUM(H13:J13)</f>
        <v>1945051</v>
      </c>
      <c r="L13" s="1531"/>
    </row>
    <row r="14" spans="1:12" s="1199" customFormat="1" ht="24" customHeight="1">
      <c r="A14" s="1572" t="str">
        <f>A70</f>
        <v>5.2</v>
      </c>
      <c r="B14" s="1573" t="str">
        <f>B70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H103</f>
        <v>3291526</v>
      </c>
      <c r="I14" s="1230"/>
      <c r="J14" s="1229">
        <f>J103</f>
        <v>818039</v>
      </c>
      <c r="K14" s="1553">
        <f t="shared" si="0"/>
        <v>4109565</v>
      </c>
      <c r="L14" s="1430"/>
    </row>
    <row r="15" spans="1:12" s="1199" customFormat="1" ht="24" customHeight="1">
      <c r="A15" s="1572">
        <f>A104</f>
        <v>5.3</v>
      </c>
      <c r="B15" s="1573" t="str">
        <f>B104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H138</f>
        <v>2869932</v>
      </c>
      <c r="I15" s="1230"/>
      <c r="J15" s="1229">
        <f>J138</f>
        <v>791931</v>
      </c>
      <c r="K15" s="1553">
        <f t="shared" si="0"/>
        <v>3661863</v>
      </c>
      <c r="L15" s="1430"/>
    </row>
    <row r="16" spans="1:12" s="1199" customFormat="1" ht="24" customHeight="1">
      <c r="A16" s="1564" t="str">
        <f>A139</f>
        <v>5.4</v>
      </c>
      <c r="B16" s="1565" t="str">
        <f>B139</f>
        <v>ระบบรดน้ำต้นไม้ (Irrigation Pump)</v>
      </c>
      <c r="C16" s="1533"/>
      <c r="D16" s="1534"/>
      <c r="E16" s="1569">
        <v>1</v>
      </c>
      <c r="F16" s="1567" t="s">
        <v>19</v>
      </c>
      <c r="G16" s="1195"/>
      <c r="H16" s="1196">
        <f>H159</f>
        <v>698443</v>
      </c>
      <c r="I16" s="1197"/>
      <c r="J16" s="1196">
        <f>J159</f>
        <v>170384</v>
      </c>
      <c r="K16" s="1553">
        <f t="shared" si="0"/>
        <v>868827</v>
      </c>
      <c r="L16" s="1531"/>
    </row>
    <row r="17" spans="1:12" s="1199" customFormat="1" ht="24" customHeight="1">
      <c r="A17" s="1572" t="str">
        <f>A160</f>
        <v>5.5</v>
      </c>
      <c r="B17" s="1573" t="str">
        <f>B160</f>
        <v>ระบบไฟฟ้าและควบคุม (Electrical &amp; Control System) สำหรับระบบสุขาภิบาล</v>
      </c>
      <c r="C17" s="1574"/>
      <c r="D17" s="1575"/>
      <c r="E17" s="1576">
        <v>1</v>
      </c>
      <c r="F17" s="1577" t="s">
        <v>19</v>
      </c>
      <c r="G17" s="1228"/>
      <c r="H17" s="1229">
        <f>H179</f>
        <v>610096</v>
      </c>
      <c r="I17" s="1230"/>
      <c r="J17" s="1229">
        <f>J179</f>
        <v>78509</v>
      </c>
      <c r="K17" s="1553">
        <f t="shared" si="0"/>
        <v>688605</v>
      </c>
      <c r="L17" s="1430"/>
    </row>
    <row r="18" spans="1:12" s="1199" customFormat="1" ht="24" customHeight="1">
      <c r="A18" s="1564" t="str">
        <f>A180</f>
        <v>5.6</v>
      </c>
      <c r="B18" s="1565" t="str">
        <f>B180</f>
        <v>หมวดงานเชื่อมต่อกับระบบ BAS (ระบบสุขาภิบาล)</v>
      </c>
      <c r="C18" s="1533"/>
      <c r="D18" s="1534"/>
      <c r="E18" s="1569">
        <v>1</v>
      </c>
      <c r="F18" s="1567" t="s">
        <v>19</v>
      </c>
      <c r="G18" s="1195"/>
      <c r="H18" s="1196">
        <f>H184</f>
        <v>208800</v>
      </c>
      <c r="I18" s="1197"/>
      <c r="J18" s="1196">
        <f>J184</f>
        <v>10440</v>
      </c>
      <c r="K18" s="1553">
        <f t="shared" si="0"/>
        <v>219240</v>
      </c>
      <c r="L18" s="1531">
        <f>SUM(K13:K17)</f>
        <v>11273911</v>
      </c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6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  <c r="P33" s="1532">
        <f>K34/31210747</f>
        <v>0.36824338103794824</v>
      </c>
    </row>
    <row r="34" spans="1:16" s="1199" customFormat="1" ht="30" customHeight="1">
      <c r="A34" s="1578"/>
      <c r="B34" s="2257" t="str">
        <f>"รวมราคา"&amp;B11</f>
        <v>รวมราคางานระบบสุขาภิบาล (Main Equipment)</v>
      </c>
      <c r="C34" s="2258"/>
      <c r="D34" s="2259"/>
      <c r="E34" s="1579"/>
      <c r="F34" s="1579"/>
      <c r="G34" s="1580"/>
      <c r="H34" s="1581">
        <f>SUM(H12:H19)</f>
        <v>9291239</v>
      </c>
      <c r="I34" s="1582"/>
      <c r="J34" s="1581">
        <f>SUM(J12:J19)</f>
        <v>2201912</v>
      </c>
      <c r="K34" s="1583">
        <f>SUM(K12:K19)</f>
        <v>11493151</v>
      </c>
      <c r="L34" s="1583"/>
      <c r="P34" s="1532">
        <f>P303/P33</f>
        <v>0</v>
      </c>
    </row>
    <row r="35" spans="1:16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330"/>
    </row>
    <row r="36" spans="1:16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596"/>
    </row>
    <row r="37" spans="1:16" s="1199" customFormat="1" ht="24" customHeight="1">
      <c r="A37" s="1572" t="s">
        <v>1712</v>
      </c>
      <c r="B37" s="1597" t="s">
        <v>1713</v>
      </c>
      <c r="C37" s="1533"/>
      <c r="D37" s="1575"/>
      <c r="E37" s="1598"/>
      <c r="F37" s="1577"/>
      <c r="G37" s="1599"/>
      <c r="H37" s="1281"/>
      <c r="I37" s="1600"/>
      <c r="J37" s="1281"/>
      <c r="K37" s="1282"/>
      <c r="L37" s="1601"/>
    </row>
    <row r="38" spans="1:16" s="1199" customFormat="1" ht="24" customHeight="1">
      <c r="A38" s="1564"/>
      <c r="B38" s="1597" t="s">
        <v>1714</v>
      </c>
      <c r="C38" s="1533"/>
      <c r="D38" s="1534"/>
      <c r="E38" s="1566"/>
      <c r="F38" s="1567"/>
      <c r="G38" s="1593"/>
      <c r="H38" s="1264"/>
      <c r="I38" s="1595"/>
      <c r="J38" s="1264"/>
      <c r="K38" s="1265"/>
      <c r="L38" s="1596"/>
    </row>
    <row r="39" spans="1:16" s="1199" customFormat="1" ht="24" customHeight="1">
      <c r="A39" s="1564"/>
      <c r="B39" s="1597" t="s">
        <v>1715</v>
      </c>
      <c r="C39" s="1533"/>
      <c r="D39" s="1534"/>
      <c r="E39" s="1566">
        <v>4</v>
      </c>
      <c r="F39" s="1567" t="s">
        <v>226</v>
      </c>
      <c r="G39" s="1593">
        <v>658</v>
      </c>
      <c r="H39" s="1264">
        <f t="shared" ref="H39:H45" si="1">ROUND(E39*G39,)</f>
        <v>2632</v>
      </c>
      <c r="I39" s="1595">
        <v>100</v>
      </c>
      <c r="J39" s="1264">
        <f t="shared" ref="J39:J45" si="2">ROUND(E39*I39,)</f>
        <v>400</v>
      </c>
      <c r="K39" s="1265">
        <f t="shared" ref="K39:K45" si="3">H39+J39</f>
        <v>3032</v>
      </c>
      <c r="L39" s="2082" t="s">
        <v>2667</v>
      </c>
      <c r="N39" s="1199">
        <f>3949</f>
        <v>3949</v>
      </c>
      <c r="O39" s="1199">
        <f>ROUND(N39/6,)</f>
        <v>658</v>
      </c>
    </row>
    <row r="40" spans="1:16" s="1199" customFormat="1" ht="24" customHeight="1">
      <c r="A40" s="1564"/>
      <c r="B40" s="1597" t="s">
        <v>1716</v>
      </c>
      <c r="C40" s="1533"/>
      <c r="D40" s="1534"/>
      <c r="E40" s="1566">
        <v>26</v>
      </c>
      <c r="F40" s="1567" t="s">
        <v>226</v>
      </c>
      <c r="G40" s="1593">
        <v>836</v>
      </c>
      <c r="H40" s="1264">
        <f t="shared" si="1"/>
        <v>21736</v>
      </c>
      <c r="I40" s="1595">
        <v>175</v>
      </c>
      <c r="J40" s="1264">
        <f t="shared" si="2"/>
        <v>4550</v>
      </c>
      <c r="K40" s="1265">
        <f t="shared" si="3"/>
        <v>26286</v>
      </c>
      <c r="L40" s="2082" t="s">
        <v>2667</v>
      </c>
      <c r="N40" s="1199">
        <f>5013</f>
        <v>5013</v>
      </c>
      <c r="O40" s="1199">
        <f t="shared" ref="O40:O42" si="4">ROUND(N40/6,)</f>
        <v>836</v>
      </c>
    </row>
    <row r="41" spans="1:16" s="1199" customFormat="1" ht="24" customHeight="1">
      <c r="A41" s="1564"/>
      <c r="B41" s="1597" t="s">
        <v>1717</v>
      </c>
      <c r="C41" s="1533"/>
      <c r="D41" s="1534"/>
      <c r="E41" s="1566">
        <v>378</v>
      </c>
      <c r="F41" s="1567" t="s">
        <v>226</v>
      </c>
      <c r="G41" s="1593">
        <v>1088</v>
      </c>
      <c r="H41" s="1264">
        <f t="shared" si="1"/>
        <v>411264</v>
      </c>
      <c r="I41" s="1595">
        <v>250</v>
      </c>
      <c r="J41" s="1264">
        <f t="shared" si="2"/>
        <v>94500</v>
      </c>
      <c r="K41" s="1265">
        <f t="shared" si="3"/>
        <v>505764</v>
      </c>
      <c r="L41" s="2082" t="s">
        <v>2667</v>
      </c>
      <c r="N41" s="1199">
        <f>6526</f>
        <v>6526</v>
      </c>
      <c r="O41" s="1199">
        <f t="shared" si="4"/>
        <v>1088</v>
      </c>
    </row>
    <row r="42" spans="1:16" s="1199" customFormat="1" ht="24" customHeight="1">
      <c r="A42" s="1564"/>
      <c r="B42" s="1597" t="s">
        <v>1718</v>
      </c>
      <c r="C42" s="1533"/>
      <c r="D42" s="1534"/>
      <c r="E42" s="1566">
        <v>117</v>
      </c>
      <c r="F42" s="1567" t="s">
        <v>226</v>
      </c>
      <c r="G42" s="1593">
        <v>1772</v>
      </c>
      <c r="H42" s="1264">
        <f t="shared" si="1"/>
        <v>207324</v>
      </c>
      <c r="I42" s="1595">
        <v>400</v>
      </c>
      <c r="J42" s="1264">
        <f t="shared" si="2"/>
        <v>46800</v>
      </c>
      <c r="K42" s="1265">
        <f t="shared" si="3"/>
        <v>254124</v>
      </c>
      <c r="L42" s="2082" t="s">
        <v>2667</v>
      </c>
      <c r="N42" s="1199">
        <f>10633</f>
        <v>10633</v>
      </c>
      <c r="O42" s="1199">
        <f t="shared" si="4"/>
        <v>1772</v>
      </c>
    </row>
    <row r="43" spans="1:16" s="1199" customFormat="1" ht="24" customHeight="1">
      <c r="A43" s="1564"/>
      <c r="B43" s="1597" t="s">
        <v>1719</v>
      </c>
      <c r="C43" s="1533"/>
      <c r="D43" s="1534"/>
      <c r="E43" s="1566">
        <v>1</v>
      </c>
      <c r="F43" s="1567" t="s">
        <v>1104</v>
      </c>
      <c r="G43" s="1593">
        <f>ROUND(SUM(H39:H42)*50%,)</f>
        <v>321478</v>
      </c>
      <c r="H43" s="1264">
        <f t="shared" si="1"/>
        <v>321478</v>
      </c>
      <c r="I43" s="1595">
        <f>ROUND(G43*0.3,)</f>
        <v>96443</v>
      </c>
      <c r="J43" s="1264">
        <f t="shared" si="2"/>
        <v>96443</v>
      </c>
      <c r="K43" s="1265">
        <f t="shared" si="3"/>
        <v>417921</v>
      </c>
      <c r="L43" s="1596"/>
    </row>
    <row r="44" spans="1:16" s="1199" customFormat="1" ht="24" customHeight="1">
      <c r="A44" s="1564"/>
      <c r="B44" s="1597" t="s">
        <v>1720</v>
      </c>
      <c r="C44" s="1533"/>
      <c r="D44" s="1534"/>
      <c r="E44" s="1566">
        <v>1</v>
      </c>
      <c r="F44" s="1567" t="s">
        <v>1104</v>
      </c>
      <c r="G44" s="1593">
        <f>ROUND(SUM(H39:H42)*20%,)</f>
        <v>128591</v>
      </c>
      <c r="H44" s="1264">
        <f t="shared" si="1"/>
        <v>128591</v>
      </c>
      <c r="I44" s="1595">
        <f>ROUND(G44*0.3,)</f>
        <v>38577</v>
      </c>
      <c r="J44" s="1264">
        <f t="shared" si="2"/>
        <v>38577</v>
      </c>
      <c r="K44" s="1265">
        <f t="shared" si="3"/>
        <v>167168</v>
      </c>
      <c r="L44" s="1596"/>
      <c r="P44" s="1602"/>
    </row>
    <row r="45" spans="1:16" s="1199" customFormat="1" ht="24" customHeight="1">
      <c r="A45" s="1564"/>
      <c r="B45" s="1597" t="s">
        <v>1721</v>
      </c>
      <c r="C45" s="1533"/>
      <c r="D45" s="1534"/>
      <c r="E45" s="1566">
        <v>1</v>
      </c>
      <c r="F45" s="1567" t="s">
        <v>1104</v>
      </c>
      <c r="G45" s="1593">
        <f>ROUND(SUM(H39:H42)*10%,)</f>
        <v>64296</v>
      </c>
      <c r="H45" s="1264">
        <f t="shared" si="1"/>
        <v>64296</v>
      </c>
      <c r="I45" s="1595">
        <f>ROUND(G45*0.3,)</f>
        <v>19289</v>
      </c>
      <c r="J45" s="1264">
        <f t="shared" si="2"/>
        <v>19289</v>
      </c>
      <c r="K45" s="1265">
        <f t="shared" si="3"/>
        <v>83585</v>
      </c>
      <c r="L45" s="1596"/>
      <c r="P45" s="1602"/>
    </row>
    <row r="46" spans="1:16" s="1199" customFormat="1" ht="24" customHeight="1">
      <c r="A46" s="1564" t="s">
        <v>1722</v>
      </c>
      <c r="B46" s="1597" t="s">
        <v>1723</v>
      </c>
      <c r="C46" s="1533"/>
      <c r="D46" s="1534"/>
      <c r="E46" s="1566"/>
      <c r="F46" s="1567"/>
      <c r="G46" s="1593"/>
      <c r="H46" s="1264"/>
      <c r="I46" s="1595"/>
      <c r="J46" s="1264"/>
      <c r="K46" s="1265"/>
      <c r="L46" s="1596"/>
      <c r="P46" s="1602"/>
    </row>
    <row r="47" spans="1:16" s="1199" customFormat="1" ht="24" customHeight="1">
      <c r="A47" s="1564"/>
      <c r="B47" s="1597" t="s">
        <v>1716</v>
      </c>
      <c r="C47" s="1533"/>
      <c r="D47" s="1534"/>
      <c r="E47" s="1566">
        <v>2</v>
      </c>
      <c r="F47" s="1567" t="s">
        <v>363</v>
      </c>
      <c r="G47" s="1593">
        <v>2218</v>
      </c>
      <c r="H47" s="1264">
        <f>ROUND(E47*G47,)</f>
        <v>4436</v>
      </c>
      <c r="I47" s="1595">
        <v>600</v>
      </c>
      <c r="J47" s="1264">
        <f>ROUND(E47*I47,)</f>
        <v>1200</v>
      </c>
      <c r="K47" s="1265">
        <f>H47+J47</f>
        <v>5636</v>
      </c>
      <c r="L47" s="1596"/>
    </row>
    <row r="48" spans="1:16" s="1199" customFormat="1" ht="24" customHeight="1">
      <c r="A48" s="1564"/>
      <c r="B48" s="1597" t="s">
        <v>1717</v>
      </c>
      <c r="C48" s="1533"/>
      <c r="D48" s="1534"/>
      <c r="E48" s="1566">
        <v>15</v>
      </c>
      <c r="F48" s="1567" t="s">
        <v>363</v>
      </c>
      <c r="G48" s="1593">
        <v>2811</v>
      </c>
      <c r="H48" s="1264">
        <f>ROUND(E48*G48,)</f>
        <v>42165</v>
      </c>
      <c r="I48" s="1595">
        <v>800</v>
      </c>
      <c r="J48" s="1264">
        <f>ROUND(E48*I48,)</f>
        <v>12000</v>
      </c>
      <c r="K48" s="1265">
        <f>H48+J48</f>
        <v>54165</v>
      </c>
      <c r="L48" s="1596"/>
    </row>
    <row r="49" spans="1:12" s="1199" customFormat="1" ht="24" customHeight="1">
      <c r="A49" s="1564"/>
      <c r="B49" s="1597" t="s">
        <v>1718</v>
      </c>
      <c r="C49" s="1533"/>
      <c r="D49" s="1534"/>
      <c r="E49" s="1566">
        <v>1</v>
      </c>
      <c r="F49" s="1567" t="s">
        <v>363</v>
      </c>
      <c r="G49" s="1593">
        <v>6734</v>
      </c>
      <c r="H49" s="1264">
        <f>ROUND(E49*G49,)</f>
        <v>6734</v>
      </c>
      <c r="I49" s="1595">
        <v>1200</v>
      </c>
      <c r="J49" s="1264">
        <f>ROUND(E49*I49,)</f>
        <v>1200</v>
      </c>
      <c r="K49" s="1265">
        <f>H49+J49</f>
        <v>7934</v>
      </c>
      <c r="L49" s="1596"/>
    </row>
    <row r="50" spans="1:12" s="1199" customFormat="1" ht="24" customHeight="1">
      <c r="A50" s="1564" t="s">
        <v>1724</v>
      </c>
      <c r="B50" s="1565" t="s">
        <v>1725</v>
      </c>
      <c r="C50" s="1533"/>
      <c r="D50" s="1534"/>
      <c r="E50" s="1566"/>
      <c r="F50" s="1567"/>
      <c r="G50" s="1516"/>
      <c r="H50" s="1264"/>
      <c r="I50" s="1265"/>
      <c r="J50" s="1264"/>
      <c r="K50" s="1273"/>
      <c r="L50" s="1405"/>
    </row>
    <row r="51" spans="1:12" s="1199" customFormat="1" ht="24" customHeight="1">
      <c r="A51" s="1564"/>
      <c r="B51" s="1565" t="s">
        <v>1726</v>
      </c>
      <c r="C51" s="1533"/>
      <c r="D51" s="1534"/>
      <c r="E51" s="1566">
        <v>5</v>
      </c>
      <c r="F51" s="1567" t="s">
        <v>363</v>
      </c>
      <c r="G51" s="1593">
        <v>6146</v>
      </c>
      <c r="H51" s="1264">
        <f>ROUND(E51*G51,)</f>
        <v>30730</v>
      </c>
      <c r="I51" s="1595">
        <v>600</v>
      </c>
      <c r="J51" s="1264">
        <f>ROUND(I51*E51,)</f>
        <v>3000</v>
      </c>
      <c r="K51" s="1273">
        <f>H51+J51</f>
        <v>33730</v>
      </c>
      <c r="L51" s="1596"/>
    </row>
    <row r="52" spans="1:12" s="1199" customFormat="1" ht="24" customHeight="1">
      <c r="A52" s="1564" t="s">
        <v>1727</v>
      </c>
      <c r="B52" s="1597" t="s">
        <v>1728</v>
      </c>
      <c r="C52" s="1533"/>
      <c r="D52" s="1534"/>
      <c r="E52" s="1566"/>
      <c r="F52" s="1567"/>
      <c r="G52" s="1593"/>
      <c r="H52" s="1264"/>
      <c r="I52" s="1595"/>
      <c r="J52" s="1264"/>
      <c r="K52" s="1265"/>
      <c r="L52" s="1596"/>
    </row>
    <row r="53" spans="1:12" s="1199" customFormat="1" ht="24" customHeight="1">
      <c r="A53" s="1564"/>
      <c r="B53" s="1597" t="s">
        <v>1717</v>
      </c>
      <c r="C53" s="1533"/>
      <c r="D53" s="1534"/>
      <c r="E53" s="1566">
        <v>2</v>
      </c>
      <c r="F53" s="1567" t="s">
        <v>363</v>
      </c>
      <c r="G53" s="1587">
        <v>9323</v>
      </c>
      <c r="H53" s="1264">
        <f>ROUND(E53*G53,)</f>
        <v>18646</v>
      </c>
      <c r="I53" s="1595">
        <v>800</v>
      </c>
      <c r="J53" s="1264">
        <f>ROUND(E53*I53,)</f>
        <v>1600</v>
      </c>
      <c r="K53" s="1265">
        <f>H53+J53</f>
        <v>20246</v>
      </c>
      <c r="L53" s="1596"/>
    </row>
    <row r="54" spans="1:12" s="1199" customFormat="1" ht="24" customHeight="1">
      <c r="A54" s="1564" t="s">
        <v>1729</v>
      </c>
      <c r="B54" s="1597" t="s">
        <v>1730</v>
      </c>
      <c r="C54" s="1533"/>
      <c r="D54" s="1534"/>
      <c r="E54" s="1566"/>
      <c r="F54" s="1567"/>
      <c r="G54" s="1593"/>
      <c r="H54" s="1264"/>
      <c r="I54" s="1595"/>
      <c r="J54" s="1264"/>
      <c r="K54" s="1265"/>
      <c r="L54" s="1596"/>
    </row>
    <row r="55" spans="1:12" s="1199" customFormat="1" ht="24" customHeight="1">
      <c r="A55" s="1564"/>
      <c r="B55" s="1597" t="s">
        <v>1731</v>
      </c>
      <c r="C55" s="1533"/>
      <c r="D55" s="1534"/>
      <c r="E55" s="1566">
        <v>7</v>
      </c>
      <c r="F55" s="1567" t="s">
        <v>363</v>
      </c>
      <c r="G55" s="1593">
        <v>2400</v>
      </c>
      <c r="H55" s="1264">
        <f>ROUND(E55*G55,)</f>
        <v>16800</v>
      </c>
      <c r="I55" s="1595">
        <v>150</v>
      </c>
      <c r="J55" s="1264">
        <f>ROUND(I55*E55,)</f>
        <v>1050</v>
      </c>
      <c r="K55" s="1265">
        <f>H55+J55</f>
        <v>17850</v>
      </c>
      <c r="L55" s="1596"/>
    </row>
    <row r="56" spans="1:12" s="1199" customFormat="1" ht="24" customHeight="1">
      <c r="A56" s="1564" t="s">
        <v>1732</v>
      </c>
      <c r="B56" s="1597" t="s">
        <v>1733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596"/>
    </row>
    <row r="57" spans="1:12" s="1199" customFormat="1" ht="24" customHeight="1">
      <c r="A57" s="1564"/>
      <c r="B57" s="1597" t="s">
        <v>1734</v>
      </c>
      <c r="C57" s="1533"/>
      <c r="D57" s="1534"/>
      <c r="E57" s="1566">
        <v>7</v>
      </c>
      <c r="F57" s="1567" t="s">
        <v>363</v>
      </c>
      <c r="G57" s="1593">
        <v>440</v>
      </c>
      <c r="H57" s="1264">
        <f>ROUND(E57*G57,)</f>
        <v>3080</v>
      </c>
      <c r="I57" s="1595">
        <v>200</v>
      </c>
      <c r="J57" s="1264">
        <f>ROUND(I57*E57,)</f>
        <v>1400</v>
      </c>
      <c r="K57" s="1265">
        <f>H57+J57</f>
        <v>4480</v>
      </c>
      <c r="L57" s="1596"/>
    </row>
    <row r="58" spans="1:12" s="1199" customFormat="1" ht="24" customHeight="1">
      <c r="A58" s="1564" t="s">
        <v>1735</v>
      </c>
      <c r="B58" s="1597" t="s">
        <v>1830</v>
      </c>
      <c r="C58" s="1533"/>
      <c r="D58" s="1534"/>
      <c r="E58" s="1566"/>
      <c r="F58" s="1567"/>
      <c r="G58" s="1593"/>
      <c r="H58" s="1264"/>
      <c r="I58" s="1595"/>
      <c r="J58" s="1264"/>
      <c r="K58" s="1273"/>
      <c r="L58" s="1596"/>
    </row>
    <row r="59" spans="1:12" s="1199" customFormat="1" ht="24" customHeight="1">
      <c r="A59" s="1564"/>
      <c r="B59" s="1597" t="s">
        <v>2574</v>
      </c>
      <c r="C59" s="1533"/>
      <c r="D59" s="1534"/>
      <c r="E59" s="1566">
        <v>1</v>
      </c>
      <c r="F59" s="1567" t="s">
        <v>363</v>
      </c>
      <c r="G59" s="1593">
        <v>35986</v>
      </c>
      <c r="H59" s="1264">
        <f t="shared" ref="H59" si="5">ROUND(E59*G59,)</f>
        <v>35986</v>
      </c>
      <c r="I59" s="1595">
        <v>1600</v>
      </c>
      <c r="J59" s="1264">
        <f t="shared" ref="J59" si="6">ROUND(E59*I59,)</f>
        <v>1600</v>
      </c>
      <c r="K59" s="1273">
        <f t="shared" ref="K59" si="7">H59+J59</f>
        <v>37586</v>
      </c>
      <c r="L59" s="1596"/>
    </row>
    <row r="60" spans="1:12" s="1199" customFormat="1" ht="24" customHeight="1">
      <c r="A60" s="1564" t="s">
        <v>1737</v>
      </c>
      <c r="B60" s="1597" t="s">
        <v>1736</v>
      </c>
      <c r="C60" s="1533"/>
      <c r="D60" s="1534"/>
      <c r="E60" s="1566"/>
      <c r="F60" s="1567"/>
      <c r="G60" s="1593"/>
      <c r="H60" s="1264"/>
      <c r="I60" s="1595"/>
      <c r="J60" s="1264"/>
      <c r="K60" s="1265"/>
      <c r="L60" s="1596"/>
    </row>
    <row r="61" spans="1:12" s="1199" customFormat="1" ht="24" customHeight="1">
      <c r="A61" s="1564"/>
      <c r="B61" s="1597" t="s">
        <v>1734</v>
      </c>
      <c r="C61" s="1533"/>
      <c r="D61" s="1534"/>
      <c r="E61" s="1566">
        <v>2</v>
      </c>
      <c r="F61" s="1567" t="s">
        <v>363</v>
      </c>
      <c r="G61" s="1593">
        <v>10920</v>
      </c>
      <c r="H61" s="1264">
        <f>ROUND(E61*G61,)</f>
        <v>21840</v>
      </c>
      <c r="I61" s="1595">
        <v>200</v>
      </c>
      <c r="J61" s="1264">
        <f>ROUND(I61*E61,)</f>
        <v>400</v>
      </c>
      <c r="K61" s="1265">
        <f>H61+J61</f>
        <v>22240</v>
      </c>
      <c r="L61" s="1596"/>
    </row>
    <row r="62" spans="1:12" s="1199" customFormat="1" ht="24" customHeight="1">
      <c r="A62" s="1564"/>
      <c r="B62" s="1597" t="s">
        <v>1716</v>
      </c>
      <c r="C62" s="1533"/>
      <c r="D62" s="1534"/>
      <c r="E62" s="1566">
        <v>2</v>
      </c>
      <c r="F62" s="1567" t="s">
        <v>363</v>
      </c>
      <c r="G62" s="1593">
        <v>37917</v>
      </c>
      <c r="H62" s="1264">
        <f>ROUND(E62*G62,)</f>
        <v>75834</v>
      </c>
      <c r="I62" s="1595">
        <v>600</v>
      </c>
      <c r="J62" s="1264">
        <f>ROUND(I62*E62,)</f>
        <v>1200</v>
      </c>
      <c r="K62" s="1265">
        <f>H62+J62</f>
        <v>77034</v>
      </c>
      <c r="L62" s="1596"/>
    </row>
    <row r="63" spans="1:12" s="1199" customFormat="1" ht="24" customHeight="1">
      <c r="A63" s="1564" t="s">
        <v>1740</v>
      </c>
      <c r="B63" s="1565" t="s">
        <v>1738</v>
      </c>
      <c r="C63" s="1533"/>
      <c r="D63" s="1534"/>
      <c r="E63" s="1566"/>
      <c r="F63" s="1567"/>
      <c r="G63" s="1603"/>
      <c r="H63" s="1264"/>
      <c r="I63" s="1595"/>
      <c r="J63" s="1264"/>
      <c r="K63" s="1265"/>
      <c r="L63" s="1596"/>
    </row>
    <row r="64" spans="1:12" s="1199" customFormat="1" ht="24" customHeight="1">
      <c r="A64" s="1572"/>
      <c r="B64" s="1565" t="s">
        <v>1716</v>
      </c>
      <c r="C64" s="1533"/>
      <c r="D64" s="1534"/>
      <c r="E64" s="1566">
        <v>1</v>
      </c>
      <c r="F64" s="1567" t="s">
        <v>363</v>
      </c>
      <c r="G64" s="1603">
        <v>27300</v>
      </c>
      <c r="H64" s="1264">
        <f>ROUND(E64*G64,)</f>
        <v>27300</v>
      </c>
      <c r="I64" s="1595">
        <v>600</v>
      </c>
      <c r="J64" s="1264">
        <f>ROUND(I64*E64,)</f>
        <v>600</v>
      </c>
      <c r="K64" s="1265">
        <f>H64+J64</f>
        <v>27900</v>
      </c>
      <c r="L64" s="1596"/>
    </row>
    <row r="65" spans="1:12" s="1199" customFormat="1" ht="24" customHeight="1">
      <c r="A65" s="1564"/>
      <c r="B65" s="1565" t="s">
        <v>1739</v>
      </c>
      <c r="C65" s="1533"/>
      <c r="D65" s="1534"/>
      <c r="E65" s="1566">
        <v>4</v>
      </c>
      <c r="F65" s="1567" t="s">
        <v>363</v>
      </c>
      <c r="G65" s="1603">
        <v>34440</v>
      </c>
      <c r="H65" s="1264">
        <f>ROUND(E65*G65,)</f>
        <v>137760</v>
      </c>
      <c r="I65" s="1595">
        <v>800</v>
      </c>
      <c r="J65" s="1264">
        <f>ROUND(I65*E65,)</f>
        <v>3200</v>
      </c>
      <c r="K65" s="1265">
        <f>H65+J65</f>
        <v>140960</v>
      </c>
      <c r="L65" s="1596"/>
    </row>
    <row r="66" spans="1:12" s="1199" customFormat="1" ht="24" customHeight="1">
      <c r="A66" s="1564" t="s">
        <v>1742</v>
      </c>
      <c r="B66" s="1565" t="s">
        <v>1741</v>
      </c>
      <c r="C66" s="1533"/>
      <c r="D66" s="1534"/>
      <c r="E66" s="1566">
        <v>6</v>
      </c>
      <c r="F66" s="1567" t="s">
        <v>363</v>
      </c>
      <c r="G66" s="1603">
        <v>735</v>
      </c>
      <c r="H66" s="1264">
        <f>ROUND(E66*G66,)</f>
        <v>4410</v>
      </c>
      <c r="I66" s="1595">
        <v>100</v>
      </c>
      <c r="J66" s="1264">
        <f>ROUND(I66*E66,)</f>
        <v>600</v>
      </c>
      <c r="K66" s="1265">
        <f>H66+J66</f>
        <v>5010</v>
      </c>
      <c r="L66" s="1596"/>
    </row>
    <row r="67" spans="1:12" s="1199" customFormat="1" ht="24" customHeight="1">
      <c r="A67" s="1564" t="s">
        <v>2575</v>
      </c>
      <c r="B67" s="1597" t="s">
        <v>1743</v>
      </c>
      <c r="C67" s="1533"/>
      <c r="D67" s="1604"/>
      <c r="E67" s="1566">
        <v>5</v>
      </c>
      <c r="F67" s="1567" t="s">
        <v>363</v>
      </c>
      <c r="G67" s="1593">
        <v>5880</v>
      </c>
      <c r="H67" s="1264">
        <f>ROUND(E67*G67,)</f>
        <v>29400</v>
      </c>
      <c r="I67" s="1595">
        <v>600</v>
      </c>
      <c r="J67" s="1264">
        <f>ROUND(I67*E67,)</f>
        <v>3000</v>
      </c>
      <c r="K67" s="1273">
        <f>H67+J67</f>
        <v>32400</v>
      </c>
      <c r="L67" s="1330"/>
    </row>
    <row r="68" spans="1:12" s="1199" customFormat="1" ht="24" customHeight="1">
      <c r="A68" s="1564"/>
      <c r="B68" s="1565"/>
      <c r="C68" s="1533"/>
      <c r="D68" s="1534"/>
      <c r="E68" s="1566"/>
      <c r="F68" s="1567"/>
      <c r="G68" s="1593"/>
      <c r="H68" s="1264"/>
      <c r="I68" s="1595"/>
      <c r="J68" s="1264"/>
      <c r="K68" s="1265"/>
      <c r="L68" s="1596"/>
    </row>
    <row r="69" spans="1:12" s="1199" customFormat="1" ht="24" customHeight="1">
      <c r="A69" s="1578"/>
      <c r="B69" s="2257" t="str">
        <f>"รวมราคารายการที่ "&amp;A36</f>
        <v>รวมราคารายการที่ 5.1</v>
      </c>
      <c r="C69" s="2258"/>
      <c r="D69" s="2259"/>
      <c r="E69" s="1579"/>
      <c r="F69" s="1579"/>
      <c r="G69" s="1580"/>
      <c r="H69" s="1581">
        <f>SUM(H37:H68)</f>
        <v>1612442</v>
      </c>
      <c r="I69" s="1582"/>
      <c r="J69" s="1581">
        <f>SUM(J36:J68)</f>
        <v>332609</v>
      </c>
      <c r="K69" s="1583">
        <f>SUM(K36:K68)</f>
        <v>1945051</v>
      </c>
      <c r="L69" s="1583"/>
    </row>
    <row r="70" spans="1:12" s="1199" customFormat="1" ht="24" customHeight="1">
      <c r="A70" s="1605" t="s">
        <v>1744</v>
      </c>
      <c r="B70" s="1606" t="s">
        <v>1745</v>
      </c>
      <c r="C70" s="1607"/>
      <c r="D70" s="1608"/>
      <c r="E70" s="1609"/>
      <c r="F70" s="1610"/>
      <c r="G70" s="1611"/>
      <c r="H70" s="1612"/>
      <c r="I70" s="1613"/>
      <c r="J70" s="1612"/>
      <c r="K70" s="1614"/>
      <c r="L70" s="1614"/>
    </row>
    <row r="71" spans="1:12" s="1199" customFormat="1" ht="24" customHeight="1">
      <c r="A71" s="1564" t="s">
        <v>1746</v>
      </c>
      <c r="B71" s="1597" t="s">
        <v>1747</v>
      </c>
      <c r="C71" s="1533"/>
      <c r="D71" s="1534"/>
      <c r="E71" s="1566"/>
      <c r="F71" s="1567"/>
      <c r="G71" s="1516"/>
      <c r="H71" s="1264"/>
      <c r="I71" s="1265"/>
      <c r="J71" s="1264"/>
      <c r="K71" s="1273"/>
      <c r="L71" s="1273"/>
    </row>
    <row r="72" spans="1:12" s="1199" customFormat="1" ht="24" customHeight="1">
      <c r="A72" s="1564"/>
      <c r="B72" s="1597" t="s">
        <v>1748</v>
      </c>
      <c r="C72" s="1533"/>
      <c r="D72" s="1534"/>
      <c r="E72" s="1566">
        <v>2</v>
      </c>
      <c r="F72" s="1567" t="s">
        <v>363</v>
      </c>
      <c r="G72" s="1516">
        <v>135000</v>
      </c>
      <c r="H72" s="1264">
        <f>ROUND(E72*G72,)</f>
        <v>270000</v>
      </c>
      <c r="I72" s="1265">
        <f>G72*0.1</f>
        <v>13500</v>
      </c>
      <c r="J72" s="1264">
        <f>ROUND(I72*E72,)</f>
        <v>27000</v>
      </c>
      <c r="K72" s="1273">
        <f>H72+J72</f>
        <v>297000</v>
      </c>
      <c r="L72" s="1273"/>
    </row>
    <row r="73" spans="1:12" s="1199" customFormat="1" ht="24" customHeight="1">
      <c r="A73" s="1564"/>
      <c r="B73" s="1597" t="s">
        <v>1749</v>
      </c>
      <c r="C73" s="1533"/>
      <c r="D73" s="1534"/>
      <c r="E73" s="1566">
        <v>2</v>
      </c>
      <c r="F73" s="1567" t="s">
        <v>363</v>
      </c>
      <c r="G73" s="1516">
        <v>135000</v>
      </c>
      <c r="H73" s="1264">
        <f>ROUND(E73*G73,)</f>
        <v>270000</v>
      </c>
      <c r="I73" s="1265">
        <f>G73*0.1</f>
        <v>13500</v>
      </c>
      <c r="J73" s="1264">
        <f>ROUND(I73*E73,)</f>
        <v>27000</v>
      </c>
      <c r="K73" s="1273">
        <f>H73+J73</f>
        <v>297000</v>
      </c>
      <c r="L73" s="1273"/>
    </row>
    <row r="74" spans="1:12" s="1199" customFormat="1" ht="24" customHeight="1">
      <c r="A74" s="1572"/>
      <c r="B74" s="1597" t="s">
        <v>1750</v>
      </c>
      <c r="C74" s="1533"/>
      <c r="D74" s="1534"/>
      <c r="E74" s="1566">
        <v>2</v>
      </c>
      <c r="F74" s="1567" t="s">
        <v>363</v>
      </c>
      <c r="G74" s="1516">
        <v>110000</v>
      </c>
      <c r="H74" s="1264">
        <f>ROUND(E74*G74,)</f>
        <v>220000</v>
      </c>
      <c r="I74" s="1265">
        <f>G74*0.1</f>
        <v>11000</v>
      </c>
      <c r="J74" s="1264">
        <f>ROUND(I74*E74,)</f>
        <v>22000</v>
      </c>
      <c r="K74" s="1273">
        <f>H74+J74</f>
        <v>242000</v>
      </c>
      <c r="L74" s="1273"/>
    </row>
    <row r="75" spans="1:12" s="1199" customFormat="1" ht="24" customHeight="1">
      <c r="A75" s="1572"/>
      <c r="B75" s="1597" t="s">
        <v>1751</v>
      </c>
      <c r="C75" s="1533"/>
      <c r="D75" s="1534"/>
      <c r="E75" s="1566">
        <v>2</v>
      </c>
      <c r="F75" s="1567" t="s">
        <v>363</v>
      </c>
      <c r="G75" s="1516">
        <v>110000</v>
      </c>
      <c r="H75" s="1264">
        <f>ROUND(E75*G75,)</f>
        <v>220000</v>
      </c>
      <c r="I75" s="1265">
        <f>G75*0.1</f>
        <v>11000</v>
      </c>
      <c r="J75" s="1264">
        <f>ROUND(I75*E75,)</f>
        <v>22000</v>
      </c>
      <c r="K75" s="1273">
        <f>H75+J75</f>
        <v>242000</v>
      </c>
      <c r="L75" s="1273"/>
    </row>
    <row r="76" spans="1:12" s="1199" customFormat="1" ht="24" customHeight="1">
      <c r="A76" s="1572" t="s">
        <v>1752</v>
      </c>
      <c r="B76" s="1573" t="s">
        <v>1753</v>
      </c>
      <c r="C76" s="1574"/>
      <c r="D76" s="1575"/>
      <c r="E76" s="1598"/>
      <c r="F76" s="1577"/>
      <c r="G76" s="1351"/>
      <c r="H76" s="1281"/>
      <c r="I76" s="1282"/>
      <c r="J76" s="1281"/>
      <c r="K76" s="1405"/>
      <c r="L76" s="1273"/>
    </row>
    <row r="77" spans="1:12" s="1199" customFormat="1" ht="24" customHeight="1">
      <c r="A77" s="1564"/>
      <c r="B77" s="1565" t="s">
        <v>1754</v>
      </c>
      <c r="C77" s="1533"/>
      <c r="D77" s="1534"/>
      <c r="E77" s="1566">
        <v>244</v>
      </c>
      <c r="F77" s="1567" t="s">
        <v>226</v>
      </c>
      <c r="G77" s="1516">
        <v>617</v>
      </c>
      <c r="H77" s="1264">
        <f t="shared" ref="H77:H81" si="8">ROUND(E77*G77,)</f>
        <v>150548</v>
      </c>
      <c r="I77" s="1265">
        <v>250</v>
      </c>
      <c r="J77" s="1264">
        <f t="shared" ref="J77:J81" si="9">ROUND(I77*E77,)</f>
        <v>61000</v>
      </c>
      <c r="K77" s="1273">
        <f t="shared" ref="K77:K81" si="10">H77+J77</f>
        <v>211548</v>
      </c>
      <c r="L77" s="1273"/>
    </row>
    <row r="78" spans="1:12" s="1199" customFormat="1" ht="24" customHeight="1">
      <c r="A78" s="1564"/>
      <c r="B78" s="1565" t="s">
        <v>1755</v>
      </c>
      <c r="C78" s="1533"/>
      <c r="D78" s="1534"/>
      <c r="E78" s="1566">
        <v>47</v>
      </c>
      <c r="F78" s="1567" t="s">
        <v>226</v>
      </c>
      <c r="G78" s="1516">
        <v>962</v>
      </c>
      <c r="H78" s="1264">
        <f t="shared" si="8"/>
        <v>45214</v>
      </c>
      <c r="I78" s="1265">
        <v>350</v>
      </c>
      <c r="J78" s="1264">
        <f t="shared" si="9"/>
        <v>16450</v>
      </c>
      <c r="K78" s="1273">
        <f t="shared" si="10"/>
        <v>61664</v>
      </c>
      <c r="L78" s="1273"/>
    </row>
    <row r="79" spans="1:12" s="1199" customFormat="1" ht="24" customHeight="1">
      <c r="A79" s="1564"/>
      <c r="B79" s="1565" t="s">
        <v>1719</v>
      </c>
      <c r="C79" s="1533"/>
      <c r="D79" s="1534"/>
      <c r="E79" s="1566">
        <v>1</v>
      </c>
      <c r="F79" s="1567" t="s">
        <v>1104</v>
      </c>
      <c r="G79" s="1516">
        <f>ROUND(SUM(H77:H78)*40%,)</f>
        <v>78305</v>
      </c>
      <c r="H79" s="1264">
        <f t="shared" si="8"/>
        <v>78305</v>
      </c>
      <c r="I79" s="1595">
        <f>ROUND(G79*0.3,)</f>
        <v>23492</v>
      </c>
      <c r="J79" s="1264">
        <f t="shared" si="9"/>
        <v>23492</v>
      </c>
      <c r="K79" s="1273">
        <f t="shared" si="10"/>
        <v>101797</v>
      </c>
      <c r="L79" s="1273"/>
    </row>
    <row r="80" spans="1:12" s="1199" customFormat="1" ht="24" customHeight="1">
      <c r="A80" s="1564"/>
      <c r="B80" s="1565" t="s">
        <v>1720</v>
      </c>
      <c r="C80" s="1533"/>
      <c r="D80" s="1534"/>
      <c r="E80" s="1566">
        <v>1</v>
      </c>
      <c r="F80" s="1567" t="s">
        <v>1104</v>
      </c>
      <c r="G80" s="1516">
        <f>ROUND(SUM(H77:H78)*20%,)</f>
        <v>39152</v>
      </c>
      <c r="H80" s="1264">
        <f t="shared" si="8"/>
        <v>39152</v>
      </c>
      <c r="I80" s="1595">
        <f>ROUND(G80*0.3,)</f>
        <v>11746</v>
      </c>
      <c r="J80" s="1264">
        <f t="shared" si="9"/>
        <v>11746</v>
      </c>
      <c r="K80" s="1273">
        <f t="shared" si="10"/>
        <v>50898</v>
      </c>
      <c r="L80" s="1273"/>
    </row>
    <row r="81" spans="1:15" s="1199" customFormat="1" ht="24" customHeight="1">
      <c r="A81" s="1564"/>
      <c r="B81" s="1565" t="s">
        <v>1756</v>
      </c>
      <c r="C81" s="1533"/>
      <c r="D81" s="1534"/>
      <c r="E81" s="1566">
        <v>1</v>
      </c>
      <c r="F81" s="1567" t="s">
        <v>1104</v>
      </c>
      <c r="G81" s="1516">
        <f>ROUND(SUM(H77:H78)*10%,)</f>
        <v>19576</v>
      </c>
      <c r="H81" s="1264">
        <f t="shared" si="8"/>
        <v>19576</v>
      </c>
      <c r="I81" s="1595">
        <f>ROUND(G81*0.3,)</f>
        <v>5873</v>
      </c>
      <c r="J81" s="1264">
        <f t="shared" si="9"/>
        <v>5873</v>
      </c>
      <c r="K81" s="1273">
        <f t="shared" si="10"/>
        <v>25449</v>
      </c>
      <c r="L81" s="1273"/>
    </row>
    <row r="82" spans="1:15" s="1199" customFormat="1" ht="24" customHeight="1">
      <c r="A82" s="1572" t="s">
        <v>1757</v>
      </c>
      <c r="B82" s="1573" t="s">
        <v>1758</v>
      </c>
      <c r="C82" s="1574"/>
      <c r="D82" s="1575"/>
      <c r="E82" s="1598"/>
      <c r="F82" s="1577"/>
      <c r="G82" s="1351"/>
      <c r="H82" s="1281"/>
      <c r="I82" s="1282"/>
      <c r="J82" s="1281"/>
      <c r="K82" s="1405"/>
      <c r="L82" s="1273"/>
    </row>
    <row r="83" spans="1:15" s="1199" customFormat="1" ht="24" customHeight="1">
      <c r="A83" s="1564"/>
      <c r="B83" s="1565" t="s">
        <v>1342</v>
      </c>
      <c r="C83" s="1533"/>
      <c r="D83" s="1534"/>
      <c r="E83" s="1566">
        <v>783</v>
      </c>
      <c r="F83" s="1567" t="s">
        <v>226</v>
      </c>
      <c r="G83" s="1516">
        <v>206</v>
      </c>
      <c r="H83" s="1264">
        <f t="shared" ref="H83:H89" si="11">ROUND(E83*G83,)</f>
        <v>161298</v>
      </c>
      <c r="I83" s="1265">
        <v>75</v>
      </c>
      <c r="J83" s="1264">
        <f t="shared" ref="J83:J89" si="12">ROUND(I83*E83,)</f>
        <v>58725</v>
      </c>
      <c r="K83" s="1273">
        <f t="shared" ref="K83:K89" si="13">H83+J83</f>
        <v>220023</v>
      </c>
      <c r="L83" s="1273"/>
    </row>
    <row r="84" spans="1:15" s="1199" customFormat="1" ht="24" customHeight="1">
      <c r="A84" s="1564"/>
      <c r="B84" s="1565" t="s">
        <v>1759</v>
      </c>
      <c r="C84" s="1533"/>
      <c r="D84" s="1534"/>
      <c r="E84" s="1566">
        <v>905</v>
      </c>
      <c r="F84" s="1567" t="s">
        <v>226</v>
      </c>
      <c r="G84" s="1516">
        <v>316</v>
      </c>
      <c r="H84" s="1264">
        <f t="shared" si="11"/>
        <v>285980</v>
      </c>
      <c r="I84" s="1265">
        <v>120</v>
      </c>
      <c r="J84" s="1264">
        <f t="shared" si="12"/>
        <v>108600</v>
      </c>
      <c r="K84" s="1273">
        <f t="shared" si="13"/>
        <v>394580</v>
      </c>
      <c r="L84" s="1273"/>
    </row>
    <row r="85" spans="1:15" s="1199" customFormat="1" ht="24" customHeight="1">
      <c r="A85" s="1564"/>
      <c r="B85" s="1565" t="s">
        <v>1754</v>
      </c>
      <c r="C85" s="1533"/>
      <c r="D85" s="1534"/>
      <c r="E85" s="1566">
        <v>204</v>
      </c>
      <c r="F85" s="1567" t="s">
        <v>226</v>
      </c>
      <c r="G85" s="1516">
        <v>631</v>
      </c>
      <c r="H85" s="1264">
        <f t="shared" si="11"/>
        <v>128724</v>
      </c>
      <c r="I85" s="1265">
        <v>250</v>
      </c>
      <c r="J85" s="1264">
        <f t="shared" si="12"/>
        <v>51000</v>
      </c>
      <c r="K85" s="1273">
        <f t="shared" si="13"/>
        <v>179724</v>
      </c>
      <c r="L85" s="1273"/>
    </row>
    <row r="86" spans="1:15" s="1199" customFormat="1" ht="24" customHeight="1">
      <c r="A86" s="1564"/>
      <c r="B86" s="1565" t="s">
        <v>1755</v>
      </c>
      <c r="C86" s="1533"/>
      <c r="D86" s="1534"/>
      <c r="E86" s="1566">
        <v>145</v>
      </c>
      <c r="F86" s="1567" t="s">
        <v>226</v>
      </c>
      <c r="G86" s="1516">
        <v>1108</v>
      </c>
      <c r="H86" s="1264">
        <f t="shared" si="11"/>
        <v>160660</v>
      </c>
      <c r="I86" s="1265">
        <v>350</v>
      </c>
      <c r="J86" s="1264">
        <f t="shared" si="12"/>
        <v>50750</v>
      </c>
      <c r="K86" s="1273">
        <f t="shared" si="13"/>
        <v>211410</v>
      </c>
      <c r="L86" s="1273"/>
    </row>
    <row r="87" spans="1:15" s="1199" customFormat="1" ht="24" customHeight="1">
      <c r="A87" s="1564"/>
      <c r="B87" s="1565" t="s">
        <v>1719</v>
      </c>
      <c r="C87" s="1533"/>
      <c r="D87" s="1534"/>
      <c r="E87" s="1566">
        <v>1</v>
      </c>
      <c r="F87" s="1567" t="s">
        <v>1104</v>
      </c>
      <c r="G87" s="1516">
        <f>ROUND(SUM(H83:H86)*40%,)</f>
        <v>294665</v>
      </c>
      <c r="H87" s="1264">
        <f t="shared" si="11"/>
        <v>294665</v>
      </c>
      <c r="I87" s="1595">
        <f>ROUND(G87*0.3,)</f>
        <v>88400</v>
      </c>
      <c r="J87" s="1264">
        <f t="shared" si="12"/>
        <v>88400</v>
      </c>
      <c r="K87" s="1273">
        <f t="shared" si="13"/>
        <v>383065</v>
      </c>
      <c r="L87" s="1273"/>
      <c r="N87" s="1602"/>
    </row>
    <row r="88" spans="1:15" s="1199" customFormat="1" ht="24" customHeight="1">
      <c r="A88" s="1564"/>
      <c r="B88" s="1565" t="s">
        <v>1720</v>
      </c>
      <c r="C88" s="1533"/>
      <c r="D88" s="1534"/>
      <c r="E88" s="1566">
        <v>1</v>
      </c>
      <c r="F88" s="1567" t="s">
        <v>1104</v>
      </c>
      <c r="G88" s="1516">
        <f>ROUND(SUM(H83:H86)*20%,)</f>
        <v>147332</v>
      </c>
      <c r="H88" s="1264">
        <f t="shared" si="11"/>
        <v>147332</v>
      </c>
      <c r="I88" s="1595">
        <f>ROUND(G88*0.3,)</f>
        <v>44200</v>
      </c>
      <c r="J88" s="1264">
        <f t="shared" si="12"/>
        <v>44200</v>
      </c>
      <c r="K88" s="1273">
        <f t="shared" si="13"/>
        <v>191532</v>
      </c>
      <c r="L88" s="1273"/>
    </row>
    <row r="89" spans="1:15" s="1199" customFormat="1" ht="24" customHeight="1">
      <c r="A89" s="1564"/>
      <c r="B89" s="1565" t="s">
        <v>1756</v>
      </c>
      <c r="C89" s="1533"/>
      <c r="D89" s="1534"/>
      <c r="E89" s="1566">
        <v>1</v>
      </c>
      <c r="F89" s="1567" t="s">
        <v>1104</v>
      </c>
      <c r="G89" s="1516">
        <f>ROUND(SUM(H83:H86)*10%,)</f>
        <v>73666</v>
      </c>
      <c r="H89" s="1264">
        <f t="shared" si="11"/>
        <v>73666</v>
      </c>
      <c r="I89" s="1595">
        <f>ROUND(G89*0.3,)</f>
        <v>22100</v>
      </c>
      <c r="J89" s="1264">
        <f t="shared" si="12"/>
        <v>22100</v>
      </c>
      <c r="K89" s="1273">
        <f t="shared" si="13"/>
        <v>95766</v>
      </c>
      <c r="L89" s="1273"/>
      <c r="O89" s="1199">
        <f>52*2</f>
        <v>104</v>
      </c>
    </row>
    <row r="90" spans="1:15" s="1199" customFormat="1" ht="24" customHeight="1">
      <c r="A90" s="1572" t="s">
        <v>1760</v>
      </c>
      <c r="B90" s="1597" t="s">
        <v>1761</v>
      </c>
      <c r="C90" s="1533"/>
      <c r="D90" s="1534"/>
      <c r="E90" s="1566"/>
      <c r="F90" s="1567"/>
      <c r="G90" s="1516"/>
      <c r="H90" s="1264"/>
      <c r="I90" s="1265"/>
      <c r="J90" s="1264"/>
      <c r="K90" s="1273"/>
      <c r="L90" s="1273"/>
      <c r="O90" s="1199">
        <f>O89*1.2</f>
        <v>124.8</v>
      </c>
    </row>
    <row r="91" spans="1:15" s="1199" customFormat="1" ht="24" customHeight="1">
      <c r="A91" s="1564"/>
      <c r="B91" s="1597" t="s">
        <v>1342</v>
      </c>
      <c r="C91" s="1533"/>
      <c r="D91" s="1534"/>
      <c r="E91" s="1566">
        <v>965</v>
      </c>
      <c r="F91" s="1567" t="s">
        <v>226</v>
      </c>
      <c r="G91" s="1516">
        <v>90</v>
      </c>
      <c r="H91" s="1264">
        <f>ROUND(E91*G91,)</f>
        <v>86850</v>
      </c>
      <c r="I91" s="1265">
        <v>75</v>
      </c>
      <c r="J91" s="1264">
        <f>ROUND(I91*E91,)</f>
        <v>72375</v>
      </c>
      <c r="K91" s="1273">
        <f>H91+J91</f>
        <v>159225</v>
      </c>
      <c r="L91" s="2082" t="s">
        <v>2667</v>
      </c>
      <c r="N91" s="1199">
        <v>359.45</v>
      </c>
      <c r="O91" s="1199">
        <f>ROUND(N91/4,)</f>
        <v>90</v>
      </c>
    </row>
    <row r="92" spans="1:15" s="1199" customFormat="1" ht="24" customHeight="1">
      <c r="A92" s="1564"/>
      <c r="B92" s="1597" t="s">
        <v>1755</v>
      </c>
      <c r="C92" s="1533"/>
      <c r="D92" s="1534"/>
      <c r="E92" s="1566">
        <v>120</v>
      </c>
      <c r="F92" s="1567" t="s">
        <v>226</v>
      </c>
      <c r="G92" s="1516">
        <v>496</v>
      </c>
      <c r="H92" s="1264">
        <f>ROUND(E92*G92,)</f>
        <v>59520</v>
      </c>
      <c r="I92" s="1265">
        <v>333</v>
      </c>
      <c r="J92" s="1264">
        <f>ROUND(I92*E92,)</f>
        <v>39960</v>
      </c>
      <c r="K92" s="1273">
        <f>H92+J92</f>
        <v>99480</v>
      </c>
      <c r="L92" s="2082" t="s">
        <v>2667</v>
      </c>
      <c r="N92" s="1199">
        <v>1983.8</v>
      </c>
      <c r="O92" s="1199">
        <f>ROUND(N92/4,)</f>
        <v>496</v>
      </c>
    </row>
    <row r="93" spans="1:15" s="1199" customFormat="1" ht="24" customHeight="1">
      <c r="A93" s="1564"/>
      <c r="B93" s="1597" t="s">
        <v>1719</v>
      </c>
      <c r="C93" s="1533"/>
      <c r="D93" s="1534"/>
      <c r="E93" s="1566">
        <v>1</v>
      </c>
      <c r="F93" s="1567" t="s">
        <v>1104</v>
      </c>
      <c r="G93" s="1516">
        <f>ROUND(SUM(H91:H92)*40%,)</f>
        <v>58548</v>
      </c>
      <c r="H93" s="1264">
        <f>ROUND(E93*G93,)</f>
        <v>58548</v>
      </c>
      <c r="I93" s="1595">
        <f>ROUND(G93*0.3,)</f>
        <v>17564</v>
      </c>
      <c r="J93" s="1264">
        <f>ROUND(I93*E93,)</f>
        <v>17564</v>
      </c>
      <c r="K93" s="1273">
        <f>H93+J93</f>
        <v>76112</v>
      </c>
      <c r="L93" s="1273"/>
    </row>
    <row r="94" spans="1:15" s="1199" customFormat="1" ht="24" customHeight="1">
      <c r="A94" s="1564"/>
      <c r="B94" s="1597" t="s">
        <v>1720</v>
      </c>
      <c r="C94" s="1533"/>
      <c r="D94" s="1534"/>
      <c r="E94" s="1566">
        <v>1</v>
      </c>
      <c r="F94" s="1567" t="s">
        <v>1104</v>
      </c>
      <c r="G94" s="1516">
        <f>ROUND(SUM(H91:H92)*30%,)</f>
        <v>43911</v>
      </c>
      <c r="H94" s="1264">
        <f>ROUND(E94*G94,)</f>
        <v>43911</v>
      </c>
      <c r="I94" s="1595">
        <f>ROUND(G94*0.3,)</f>
        <v>13173</v>
      </c>
      <c r="J94" s="1264">
        <f>ROUND(I94*E94,)</f>
        <v>13173</v>
      </c>
      <c r="K94" s="1273">
        <f>H94+J94</f>
        <v>57084</v>
      </c>
      <c r="L94" s="1273"/>
    </row>
    <row r="95" spans="1:15" s="1199" customFormat="1" ht="24" customHeight="1">
      <c r="A95" s="1564"/>
      <c r="B95" s="1597" t="s">
        <v>1756</v>
      </c>
      <c r="C95" s="1533"/>
      <c r="D95" s="1534"/>
      <c r="E95" s="1566">
        <v>1</v>
      </c>
      <c r="F95" s="1567" t="s">
        <v>1104</v>
      </c>
      <c r="G95" s="1516">
        <f>ROUND(SUM(H91:H92)*10%,)</f>
        <v>14637</v>
      </c>
      <c r="H95" s="1264">
        <f>ROUND(E95*G95,)</f>
        <v>14637</v>
      </c>
      <c r="I95" s="1595">
        <f>ROUND(G95*0.3,)</f>
        <v>4391</v>
      </c>
      <c r="J95" s="1264">
        <f>ROUND(I95*E95,)</f>
        <v>4391</v>
      </c>
      <c r="K95" s="1273">
        <f>H95+J95</f>
        <v>19028</v>
      </c>
      <c r="L95" s="1273"/>
    </row>
    <row r="96" spans="1:15" s="1199" customFormat="1" ht="24" customHeight="1">
      <c r="A96" s="1564" t="s">
        <v>1724</v>
      </c>
      <c r="B96" s="1565" t="s">
        <v>1762</v>
      </c>
      <c r="C96" s="1533"/>
      <c r="D96" s="1534"/>
      <c r="E96" s="1566"/>
      <c r="F96" s="1567"/>
      <c r="G96" s="1516"/>
      <c r="H96" s="1264"/>
      <c r="I96" s="1265"/>
      <c r="J96" s="1264"/>
      <c r="K96" s="1273"/>
      <c r="L96" s="1273"/>
    </row>
    <row r="97" spans="1:16" s="1199" customFormat="1" ht="24" customHeight="1">
      <c r="A97" s="1564"/>
      <c r="B97" s="1565" t="s">
        <v>1718</v>
      </c>
      <c r="C97" s="1533"/>
      <c r="D97" s="1534"/>
      <c r="E97" s="1566">
        <v>10</v>
      </c>
      <c r="F97" s="1567" t="s">
        <v>363</v>
      </c>
      <c r="G97" s="1593">
        <v>17798</v>
      </c>
      <c r="H97" s="1264">
        <f>ROUND(E97*G97,)</f>
        <v>177980</v>
      </c>
      <c r="I97" s="1595">
        <v>1200</v>
      </c>
      <c r="J97" s="1264">
        <f>ROUND(I97*E97,)</f>
        <v>12000</v>
      </c>
      <c r="K97" s="1273">
        <f>H97+J97</f>
        <v>189980</v>
      </c>
      <c r="L97" s="1273"/>
    </row>
    <row r="98" spans="1:16" s="1199" customFormat="1" ht="24" customHeight="1">
      <c r="A98" s="1564" t="s">
        <v>1763</v>
      </c>
      <c r="B98" s="1565" t="s">
        <v>1764</v>
      </c>
      <c r="C98" s="1533"/>
      <c r="D98" s="1534"/>
      <c r="E98" s="1566"/>
      <c r="F98" s="1567"/>
      <c r="G98" s="1593"/>
      <c r="H98" s="1264"/>
      <c r="I98" s="1595"/>
      <c r="J98" s="1264"/>
      <c r="K98" s="1273"/>
      <c r="L98" s="1273"/>
    </row>
    <row r="99" spans="1:16" s="1199" customFormat="1" ht="24" customHeight="1">
      <c r="A99" s="1564"/>
      <c r="B99" s="1565" t="s">
        <v>1718</v>
      </c>
      <c r="C99" s="1533"/>
      <c r="D99" s="1534"/>
      <c r="E99" s="1566">
        <v>8</v>
      </c>
      <c r="F99" s="1567" t="s">
        <v>363</v>
      </c>
      <c r="G99" s="1593">
        <v>13600</v>
      </c>
      <c r="H99" s="1264">
        <f>ROUND(E99*G99,)</f>
        <v>108800</v>
      </c>
      <c r="I99" s="1595">
        <v>1200</v>
      </c>
      <c r="J99" s="1264">
        <f>ROUND(I99*E99,)</f>
        <v>9600</v>
      </c>
      <c r="K99" s="1273">
        <f>H99+J99</f>
        <v>118400</v>
      </c>
      <c r="L99" s="1273"/>
    </row>
    <row r="100" spans="1:16" s="1199" customFormat="1" ht="24" customHeight="1">
      <c r="A100" s="1564" t="s">
        <v>1765</v>
      </c>
      <c r="B100" s="1565" t="s">
        <v>1766</v>
      </c>
      <c r="C100" s="1533"/>
      <c r="D100" s="1534"/>
      <c r="E100" s="1566"/>
      <c r="F100" s="1567"/>
      <c r="G100" s="1593"/>
      <c r="H100" s="1264"/>
      <c r="I100" s="1595"/>
      <c r="J100" s="1264"/>
      <c r="K100" s="1273"/>
      <c r="L100" s="1273"/>
    </row>
    <row r="101" spans="1:16" s="1199" customFormat="1" ht="24" customHeight="1">
      <c r="A101" s="1564"/>
      <c r="B101" s="1565" t="s">
        <v>1767</v>
      </c>
      <c r="C101" s="1533"/>
      <c r="D101" s="1534"/>
      <c r="E101" s="1566">
        <v>12</v>
      </c>
      <c r="F101" s="1567" t="s">
        <v>363</v>
      </c>
      <c r="G101" s="1593">
        <v>14680</v>
      </c>
      <c r="H101" s="1264">
        <f t="shared" ref="H101" si="14">ROUND(E101*G101,)</f>
        <v>176160</v>
      </c>
      <c r="I101" s="1595">
        <v>720</v>
      </c>
      <c r="J101" s="1264">
        <f t="shared" ref="J101" si="15">ROUND(I101*E101,)</f>
        <v>8640</v>
      </c>
      <c r="K101" s="1273">
        <f t="shared" ref="K101" si="16">H101+J101</f>
        <v>184800</v>
      </c>
      <c r="L101" s="1273"/>
    </row>
    <row r="102" spans="1:16" s="1199" customFormat="1" ht="24" customHeight="1">
      <c r="A102" s="1349"/>
      <c r="B102" s="1615"/>
      <c r="C102" s="1375"/>
      <c r="D102" s="1375"/>
      <c r="E102" s="1616"/>
      <c r="F102" s="1395"/>
      <c r="G102" s="1617"/>
      <c r="H102" s="1618"/>
      <c r="I102" s="1600"/>
      <c r="J102" s="1618"/>
      <c r="K102" s="1619"/>
      <c r="L102" s="1619"/>
    </row>
    <row r="103" spans="1:16" s="1199" customFormat="1" ht="24" customHeight="1">
      <c r="A103" s="1578"/>
      <c r="B103" s="2257" t="str">
        <f>"รวมราคารายการที่ "&amp;A70</f>
        <v>รวมราคารายการที่ 5.2</v>
      </c>
      <c r="C103" s="2258"/>
      <c r="D103" s="2259"/>
      <c r="E103" s="1579"/>
      <c r="F103" s="1579"/>
      <c r="G103" s="1580"/>
      <c r="H103" s="1581">
        <f>SUM(H71:H102)</f>
        <v>3291526</v>
      </c>
      <c r="I103" s="1582"/>
      <c r="J103" s="1581">
        <f>SUM(J71:J102)</f>
        <v>818039</v>
      </c>
      <c r="K103" s="1583">
        <f>SUM(K71:K102)</f>
        <v>4109565</v>
      </c>
      <c r="L103" s="1583"/>
    </row>
    <row r="104" spans="1:16" s="1199" customFormat="1" ht="24" customHeight="1">
      <c r="A104" s="1605">
        <v>5.3</v>
      </c>
      <c r="B104" s="1606" t="s">
        <v>1768</v>
      </c>
      <c r="C104" s="1607"/>
      <c r="D104" s="1608"/>
      <c r="E104" s="1609"/>
      <c r="F104" s="1610"/>
      <c r="G104" s="1611"/>
      <c r="H104" s="1612"/>
      <c r="I104" s="1613"/>
      <c r="J104" s="1612"/>
      <c r="K104" s="1614"/>
      <c r="L104" s="1614"/>
    </row>
    <row r="105" spans="1:16" s="1199" customFormat="1" ht="24" customHeight="1">
      <c r="A105" s="1564" t="s">
        <v>1769</v>
      </c>
      <c r="B105" s="1597" t="s">
        <v>1770</v>
      </c>
      <c r="C105" s="1533"/>
      <c r="D105" s="1534"/>
      <c r="E105" s="1566"/>
      <c r="F105" s="1567"/>
      <c r="G105" s="1516"/>
      <c r="H105" s="1264"/>
      <c r="I105" s="1265"/>
      <c r="J105" s="1264"/>
      <c r="K105" s="1273"/>
      <c r="L105" s="1273"/>
    </row>
    <row r="106" spans="1:16" s="1199" customFormat="1" ht="24" customHeight="1">
      <c r="A106" s="1564"/>
      <c r="B106" s="1597" t="s">
        <v>1771</v>
      </c>
      <c r="C106" s="1533"/>
      <c r="D106" s="1534"/>
      <c r="E106" s="1566">
        <f>2</f>
        <v>2</v>
      </c>
      <c r="F106" s="1567" t="s">
        <v>363</v>
      </c>
      <c r="G106" s="1516">
        <v>25000</v>
      </c>
      <c r="H106" s="1264">
        <f>ROUND(E106*G106,)</f>
        <v>50000</v>
      </c>
      <c r="I106" s="1265">
        <f>G106*0.1</f>
        <v>2500</v>
      </c>
      <c r="J106" s="1264">
        <f>ROUND(I106*E106,)</f>
        <v>5000</v>
      </c>
      <c r="K106" s="1273">
        <f>H106+J106</f>
        <v>55000</v>
      </c>
      <c r="L106" s="1273"/>
    </row>
    <row r="107" spans="1:16" s="1199" customFormat="1" ht="24" customHeight="1">
      <c r="A107" s="1564"/>
      <c r="B107" s="1597" t="s">
        <v>1772</v>
      </c>
      <c r="C107" s="1533"/>
      <c r="D107" s="1534"/>
      <c r="E107" s="1566">
        <f>2</f>
        <v>2</v>
      </c>
      <c r="F107" s="1567" t="s">
        <v>363</v>
      </c>
      <c r="G107" s="1516">
        <v>25000</v>
      </c>
      <c r="H107" s="1264">
        <f>ROUND(E107*G107,)</f>
        <v>50000</v>
      </c>
      <c r="I107" s="1265">
        <f>G107*0.1</f>
        <v>2500</v>
      </c>
      <c r="J107" s="1264">
        <f>ROUND(I107*E107,)</f>
        <v>5000</v>
      </c>
      <c r="K107" s="1273">
        <f>H107+J107</f>
        <v>55000</v>
      </c>
      <c r="L107" s="1273"/>
    </row>
    <row r="108" spans="1:16" s="1199" customFormat="1" ht="24" customHeight="1">
      <c r="A108" s="1572"/>
      <c r="B108" s="1597" t="s">
        <v>1773</v>
      </c>
      <c r="C108" s="1533"/>
      <c r="D108" s="1534"/>
      <c r="E108" s="1566">
        <f>2</f>
        <v>2</v>
      </c>
      <c r="F108" s="1567" t="s">
        <v>363</v>
      </c>
      <c r="G108" s="1516">
        <v>25000</v>
      </c>
      <c r="H108" s="1264">
        <f>ROUND(E108*G108,)</f>
        <v>50000</v>
      </c>
      <c r="I108" s="1265">
        <f>G108*0.1</f>
        <v>2500</v>
      </c>
      <c r="J108" s="1264">
        <f>ROUND(I108*E108,)</f>
        <v>5000</v>
      </c>
      <c r="K108" s="1273">
        <f>H108+J108</f>
        <v>55000</v>
      </c>
      <c r="L108" s="1405"/>
    </row>
    <row r="109" spans="1:16" s="1199" customFormat="1" ht="24" customHeight="1">
      <c r="A109" s="1572"/>
      <c r="B109" s="1597" t="s">
        <v>1774</v>
      </c>
      <c r="C109" s="1533"/>
      <c r="D109" s="1534"/>
      <c r="E109" s="1566">
        <f>2</f>
        <v>2</v>
      </c>
      <c r="F109" s="1567" t="s">
        <v>363</v>
      </c>
      <c r="G109" s="1516">
        <v>25000</v>
      </c>
      <c r="H109" s="1264">
        <f>ROUND(E109*G109,)</f>
        <v>50000</v>
      </c>
      <c r="I109" s="1265">
        <f>G109*0.1</f>
        <v>2500</v>
      </c>
      <c r="J109" s="1264">
        <f>ROUND(I109*E109,)</f>
        <v>5000</v>
      </c>
      <c r="K109" s="1273">
        <f>H109+J109</f>
        <v>55000</v>
      </c>
      <c r="L109" s="1405"/>
    </row>
    <row r="110" spans="1:16" s="1199" customFormat="1" ht="24" customHeight="1">
      <c r="A110" s="1572" t="s">
        <v>1775</v>
      </c>
      <c r="B110" s="1573" t="s">
        <v>1776</v>
      </c>
      <c r="C110" s="1574"/>
      <c r="D110" s="1575"/>
      <c r="E110" s="1598"/>
      <c r="F110" s="1577"/>
      <c r="G110" s="1351"/>
      <c r="H110" s="1281"/>
      <c r="I110" s="1282"/>
      <c r="J110" s="1281"/>
      <c r="K110" s="1405"/>
      <c r="L110" s="1405"/>
    </row>
    <row r="111" spans="1:16" s="1199" customFormat="1" ht="24" customHeight="1">
      <c r="A111" s="1564"/>
      <c r="B111" s="1565" t="s">
        <v>1759</v>
      </c>
      <c r="C111" s="1533"/>
      <c r="D111" s="1534"/>
      <c r="E111" s="1566">
        <v>65</v>
      </c>
      <c r="F111" s="1567" t="s">
        <v>226</v>
      </c>
      <c r="G111" s="1516">
        <f>ROUND(2456.4/6,)</f>
        <v>409</v>
      </c>
      <c r="H111" s="1264">
        <f>ROUND(E111*G111,)</f>
        <v>26585</v>
      </c>
      <c r="I111" s="1265">
        <v>150</v>
      </c>
      <c r="J111" s="1264">
        <f>ROUND(I111*E111,)</f>
        <v>9750</v>
      </c>
      <c r="K111" s="1273">
        <f>H111+J111</f>
        <v>36335</v>
      </c>
      <c r="L111" s="1273"/>
      <c r="P111" s="1199">
        <f>41*26</f>
        <v>1066</v>
      </c>
    </row>
    <row r="112" spans="1:16" s="1199" customFormat="1" ht="24" customHeight="1">
      <c r="A112" s="1564"/>
      <c r="B112" s="1565" t="s">
        <v>1719</v>
      </c>
      <c r="C112" s="1533"/>
      <c r="D112" s="1534"/>
      <c r="E112" s="1566">
        <v>1</v>
      </c>
      <c r="F112" s="1567" t="s">
        <v>1104</v>
      </c>
      <c r="G112" s="1516">
        <f>SUM(H111:H111)*40%</f>
        <v>10634</v>
      </c>
      <c r="H112" s="1264">
        <f>ROUND(E112*G112,)</f>
        <v>10634</v>
      </c>
      <c r="I112" s="1595">
        <f>ROUND(G112*0.3,)</f>
        <v>3190</v>
      </c>
      <c r="J112" s="1264">
        <f>ROUND(I112*E112,)</f>
        <v>3190</v>
      </c>
      <c r="K112" s="1273">
        <f>H112+J112</f>
        <v>13824</v>
      </c>
      <c r="L112" s="1273"/>
      <c r="P112" s="1199">
        <f>P111*1.25</f>
        <v>1332.5</v>
      </c>
    </row>
    <row r="113" spans="1:16" s="1199" customFormat="1" ht="24" customHeight="1">
      <c r="A113" s="1564"/>
      <c r="B113" s="1565" t="s">
        <v>1720</v>
      </c>
      <c r="C113" s="1533"/>
      <c r="D113" s="1534"/>
      <c r="E113" s="1566">
        <v>1</v>
      </c>
      <c r="F113" s="1567" t="s">
        <v>1104</v>
      </c>
      <c r="G113" s="1516">
        <f>ROUND(SUM(H111:H111)*20%,)</f>
        <v>5317</v>
      </c>
      <c r="H113" s="1264">
        <f>ROUND(E113*G113,)</f>
        <v>5317</v>
      </c>
      <c r="I113" s="1595">
        <f>ROUND(G113*0.3,)</f>
        <v>1595</v>
      </c>
      <c r="J113" s="1264">
        <f>ROUND(I113*E113,)</f>
        <v>1595</v>
      </c>
      <c r="K113" s="1273">
        <f>H113+J113</f>
        <v>6912</v>
      </c>
      <c r="L113" s="1273"/>
    </row>
    <row r="114" spans="1:16" s="1199" customFormat="1" ht="24" customHeight="1">
      <c r="A114" s="1564"/>
      <c r="B114" s="1565" t="s">
        <v>1756</v>
      </c>
      <c r="C114" s="1533"/>
      <c r="D114" s="1534"/>
      <c r="E114" s="1566">
        <v>1</v>
      </c>
      <c r="F114" s="1567" t="s">
        <v>1104</v>
      </c>
      <c r="G114" s="1516">
        <f>ROUND(SUM(H111:H111)*10%,)</f>
        <v>2659</v>
      </c>
      <c r="H114" s="1264">
        <f>ROUND(E114*G114,)</f>
        <v>2659</v>
      </c>
      <c r="I114" s="1595">
        <f>ROUND(G114*0.3,)</f>
        <v>798</v>
      </c>
      <c r="J114" s="1264">
        <f>ROUND(I114*E114,)</f>
        <v>798</v>
      </c>
      <c r="K114" s="1273">
        <f>H114+J114</f>
        <v>3457</v>
      </c>
      <c r="L114" s="1273"/>
      <c r="P114" s="1199">
        <f>3*19</f>
        <v>57</v>
      </c>
    </row>
    <row r="115" spans="1:16" s="1199" customFormat="1" ht="24" customHeight="1">
      <c r="A115" s="1572" t="s">
        <v>1777</v>
      </c>
      <c r="B115" s="1573" t="s">
        <v>1778</v>
      </c>
      <c r="C115" s="1574"/>
      <c r="D115" s="1575"/>
      <c r="E115" s="1598"/>
      <c r="F115" s="1577"/>
      <c r="G115" s="1351"/>
      <c r="H115" s="1281"/>
      <c r="I115" s="1282"/>
      <c r="J115" s="1281"/>
      <c r="K115" s="1405"/>
      <c r="L115" s="1273"/>
      <c r="P115" s="1199">
        <f>P114*1.25</f>
        <v>71.25</v>
      </c>
    </row>
    <row r="116" spans="1:16" s="1199" customFormat="1" ht="24" customHeight="1">
      <c r="A116" s="1564"/>
      <c r="B116" s="1565" t="s">
        <v>1342</v>
      </c>
      <c r="C116" s="1533"/>
      <c r="D116" s="1534"/>
      <c r="E116" s="1566">
        <v>69</v>
      </c>
      <c r="F116" s="1567" t="s">
        <v>226</v>
      </c>
      <c r="G116" s="1516">
        <v>385</v>
      </c>
      <c r="H116" s="1264">
        <f>ROUND(E116*G116,)</f>
        <v>26565</v>
      </c>
      <c r="I116" s="1265">
        <v>145</v>
      </c>
      <c r="J116" s="1264">
        <f>ROUND(I116*E116,)</f>
        <v>10005</v>
      </c>
      <c r="K116" s="1273">
        <f>H116+J116</f>
        <v>36570</v>
      </c>
      <c r="L116" s="2082" t="s">
        <v>2667</v>
      </c>
      <c r="N116" s="1199">
        <v>2308.9499999999998</v>
      </c>
      <c r="O116" s="1199">
        <f t="shared" ref="O116" si="17">ROUND(N116/6,)</f>
        <v>385</v>
      </c>
    </row>
    <row r="117" spans="1:16" s="1199" customFormat="1" ht="24" customHeight="1">
      <c r="A117" s="1564"/>
      <c r="B117" s="1565" t="s">
        <v>1759</v>
      </c>
      <c r="C117" s="1533"/>
      <c r="D117" s="1534"/>
      <c r="E117" s="1566">
        <v>99</v>
      </c>
      <c r="F117" s="1567" t="s">
        <v>226</v>
      </c>
      <c r="G117" s="1516">
        <v>561</v>
      </c>
      <c r="H117" s="1264">
        <f t="shared" ref="H117" si="18">ROUND(E117*G117,)</f>
        <v>55539</v>
      </c>
      <c r="I117" s="1265">
        <v>200</v>
      </c>
      <c r="J117" s="1264">
        <f t="shared" ref="J117" si="19">ROUND(I117*E117,)</f>
        <v>19800</v>
      </c>
      <c r="K117" s="1273">
        <f t="shared" ref="K117" si="20">H117+J117</f>
        <v>75339</v>
      </c>
      <c r="L117" s="2082" t="s">
        <v>2667</v>
      </c>
      <c r="N117" s="1199">
        <v>3364.2</v>
      </c>
      <c r="O117" s="1199">
        <f>ROUND(N117/6,)</f>
        <v>561</v>
      </c>
    </row>
    <row r="118" spans="1:16" s="1199" customFormat="1" ht="24" customHeight="1">
      <c r="A118" s="1564"/>
      <c r="B118" s="1565" t="s">
        <v>1754</v>
      </c>
      <c r="C118" s="1533"/>
      <c r="D118" s="1534"/>
      <c r="E118" s="1566">
        <v>1212</v>
      </c>
      <c r="F118" s="1567" t="s">
        <v>226</v>
      </c>
      <c r="G118" s="1516">
        <v>905</v>
      </c>
      <c r="H118" s="1264">
        <f>ROUND(E118*G118,)</f>
        <v>1096860</v>
      </c>
      <c r="I118" s="1265">
        <v>330</v>
      </c>
      <c r="J118" s="1264">
        <f>ROUND(I118*E118,)</f>
        <v>399960</v>
      </c>
      <c r="K118" s="1273">
        <f>H118+J118</f>
        <v>1496820</v>
      </c>
      <c r="L118" s="2082" t="s">
        <v>2667</v>
      </c>
      <c r="N118" s="1199">
        <v>5431.23</v>
      </c>
      <c r="O118" s="1199">
        <f t="shared" ref="O118" si="21">ROUND(N118/6,)</f>
        <v>905</v>
      </c>
    </row>
    <row r="119" spans="1:16" s="1199" customFormat="1" ht="24" customHeight="1">
      <c r="A119" s="1564"/>
      <c r="B119" s="1565" t="s">
        <v>1719</v>
      </c>
      <c r="C119" s="1533"/>
      <c r="D119" s="1534"/>
      <c r="E119" s="1566">
        <v>1</v>
      </c>
      <c r="F119" s="1567" t="s">
        <v>1104</v>
      </c>
      <c r="G119" s="1516">
        <f>ROUND(SUM(H116:H118)*40%,)</f>
        <v>471586</v>
      </c>
      <c r="H119" s="1264">
        <f>ROUND(E119*G119,)</f>
        <v>471586</v>
      </c>
      <c r="I119" s="1595">
        <f>ROUND(G119*0.3,)</f>
        <v>141476</v>
      </c>
      <c r="J119" s="1264">
        <f>ROUND(I119*E119,)</f>
        <v>141476</v>
      </c>
      <c r="K119" s="1273">
        <f>H119+J119</f>
        <v>613062</v>
      </c>
      <c r="L119" s="1273"/>
    </row>
    <row r="120" spans="1:16" s="1199" customFormat="1" ht="24" customHeight="1">
      <c r="A120" s="1564"/>
      <c r="B120" s="1565" t="s">
        <v>1720</v>
      </c>
      <c r="C120" s="1533"/>
      <c r="D120" s="1534"/>
      <c r="E120" s="1566">
        <v>1</v>
      </c>
      <c r="F120" s="1567" t="s">
        <v>1104</v>
      </c>
      <c r="G120" s="1516">
        <f>ROUND(SUM(H116:H118)*20%,)</f>
        <v>235793</v>
      </c>
      <c r="H120" s="1264">
        <f>ROUND(E120*G120,)</f>
        <v>235793</v>
      </c>
      <c r="I120" s="1595">
        <f>ROUND(G120*0.3,)</f>
        <v>70738</v>
      </c>
      <c r="J120" s="1264">
        <f>ROUND(I120*E120,)</f>
        <v>70738</v>
      </c>
      <c r="K120" s="1273">
        <f>H120+J120</f>
        <v>306531</v>
      </c>
      <c r="L120" s="1273"/>
    </row>
    <row r="121" spans="1:16" s="1199" customFormat="1" ht="24" customHeight="1">
      <c r="A121" s="1564"/>
      <c r="B121" s="1565" t="s">
        <v>1756</v>
      </c>
      <c r="C121" s="1533"/>
      <c r="D121" s="1534"/>
      <c r="E121" s="1566">
        <v>1</v>
      </c>
      <c r="F121" s="1567" t="s">
        <v>1104</v>
      </c>
      <c r="G121" s="1516">
        <f>ROUND(SUM(H116:H118)*10%,)</f>
        <v>117896</v>
      </c>
      <c r="H121" s="1264">
        <f>ROUND(E121*G121,)</f>
        <v>117896</v>
      </c>
      <c r="I121" s="1595">
        <f>ROUND(G121*0.3,)</f>
        <v>35369</v>
      </c>
      <c r="J121" s="1264">
        <f>ROUND(I121*E121,)</f>
        <v>35369</v>
      </c>
      <c r="K121" s="1273">
        <f>H121+J121</f>
        <v>153265</v>
      </c>
      <c r="L121" s="1273"/>
    </row>
    <row r="122" spans="1:16" s="1199" customFormat="1" ht="24" customHeight="1">
      <c r="A122" s="1572" t="s">
        <v>1779</v>
      </c>
      <c r="B122" s="1597" t="s">
        <v>1780</v>
      </c>
      <c r="C122" s="1533"/>
      <c r="D122" s="1534"/>
      <c r="E122" s="1566"/>
      <c r="F122" s="1567"/>
      <c r="G122" s="1516"/>
      <c r="H122" s="1264"/>
      <c r="I122" s="1265"/>
      <c r="J122" s="1264"/>
      <c r="K122" s="1273"/>
      <c r="L122" s="1273"/>
    </row>
    <row r="123" spans="1:16" s="1199" customFormat="1" ht="24" customHeight="1">
      <c r="A123" s="1564"/>
      <c r="B123" s="1597" t="s">
        <v>1342</v>
      </c>
      <c r="C123" s="1533"/>
      <c r="D123" s="1534"/>
      <c r="E123" s="1566">
        <v>19</v>
      </c>
      <c r="F123" s="1567" t="s">
        <v>363</v>
      </c>
      <c r="G123" s="1516">
        <f>ROUND(360*0.75,)</f>
        <v>270</v>
      </c>
      <c r="H123" s="1264">
        <f>ROUND(E123*G123,)</f>
        <v>5130</v>
      </c>
      <c r="I123" s="1265">
        <v>150</v>
      </c>
      <c r="J123" s="1264">
        <f>ROUND(I123*E123,)</f>
        <v>2850</v>
      </c>
      <c r="K123" s="1273">
        <f>H123+J123</f>
        <v>7980</v>
      </c>
      <c r="L123" s="1273"/>
    </row>
    <row r="124" spans="1:16" s="1199" customFormat="1" ht="24" customHeight="1">
      <c r="A124" s="1564"/>
      <c r="B124" s="1597" t="s">
        <v>1759</v>
      </c>
      <c r="C124" s="1533"/>
      <c r="D124" s="1534"/>
      <c r="E124" s="1566">
        <v>10</v>
      </c>
      <c r="F124" s="1567" t="s">
        <v>363</v>
      </c>
      <c r="G124" s="1516">
        <f>ROUND(500*0.75,)</f>
        <v>375</v>
      </c>
      <c r="H124" s="1264">
        <f>ROUND(E124*G124,)</f>
        <v>3750</v>
      </c>
      <c r="I124" s="1265">
        <v>200</v>
      </c>
      <c r="J124" s="1264">
        <f>ROUND(I124*E124,)</f>
        <v>2000</v>
      </c>
      <c r="K124" s="1273">
        <f>H124+J124</f>
        <v>5750</v>
      </c>
      <c r="L124" s="1273"/>
    </row>
    <row r="125" spans="1:16" s="1199" customFormat="1" ht="24" customHeight="1">
      <c r="A125" s="1564"/>
      <c r="B125" s="1597" t="s">
        <v>1755</v>
      </c>
      <c r="C125" s="1533"/>
      <c r="D125" s="1534"/>
      <c r="E125" s="1566">
        <v>26</v>
      </c>
      <c r="F125" s="1567" t="s">
        <v>363</v>
      </c>
      <c r="G125" s="1516">
        <f>ROUND(1850*0.75,)</f>
        <v>1388</v>
      </c>
      <c r="H125" s="1264">
        <f>ROUND(E125*G125,)</f>
        <v>36088</v>
      </c>
      <c r="I125" s="1265">
        <v>400</v>
      </c>
      <c r="J125" s="1264">
        <f>ROUND(I125*E125,)</f>
        <v>10400</v>
      </c>
      <c r="K125" s="1273">
        <f>H125+J125</f>
        <v>46488</v>
      </c>
      <c r="L125" s="1273"/>
    </row>
    <row r="126" spans="1:16" s="1199" customFormat="1" ht="24" customHeight="1">
      <c r="A126" s="1572" t="s">
        <v>1781</v>
      </c>
      <c r="B126" s="1597" t="s">
        <v>1782</v>
      </c>
      <c r="C126" s="1533"/>
      <c r="D126" s="1534"/>
      <c r="E126" s="1566"/>
      <c r="F126" s="1567"/>
      <c r="G126" s="1516"/>
      <c r="H126" s="1264"/>
      <c r="I126" s="1265"/>
      <c r="J126" s="1264"/>
      <c r="K126" s="1273"/>
      <c r="L126" s="1273"/>
    </row>
    <row r="127" spans="1:16" s="1199" customFormat="1" ht="24" customHeight="1">
      <c r="A127" s="1564"/>
      <c r="B127" s="1597" t="s">
        <v>1759</v>
      </c>
      <c r="C127" s="1533"/>
      <c r="D127" s="1534"/>
      <c r="E127" s="1566">
        <v>8</v>
      </c>
      <c r="F127" s="1567" t="s">
        <v>363</v>
      </c>
      <c r="G127" s="1516">
        <v>5541</v>
      </c>
      <c r="H127" s="1264">
        <f>ROUND(E127*G127,)</f>
        <v>44328</v>
      </c>
      <c r="I127" s="1265">
        <v>800</v>
      </c>
      <c r="J127" s="1264">
        <f>ROUND(I127*E127,)</f>
        <v>6400</v>
      </c>
      <c r="K127" s="1273">
        <f>H127+J127</f>
        <v>50728</v>
      </c>
      <c r="L127" s="1273"/>
    </row>
    <row r="128" spans="1:16" s="1199" customFormat="1" ht="24" customHeight="1">
      <c r="A128" s="1564"/>
      <c r="B128" s="1597" t="s">
        <v>1755</v>
      </c>
      <c r="C128" s="1533"/>
      <c r="D128" s="1534"/>
      <c r="E128" s="1566">
        <v>26</v>
      </c>
      <c r="F128" s="1567" t="s">
        <v>363</v>
      </c>
      <c r="G128" s="1516">
        <v>14319</v>
      </c>
      <c r="H128" s="1264">
        <f>ROUND(E128*G128,)</f>
        <v>372294</v>
      </c>
      <c r="I128" s="1265">
        <v>1600</v>
      </c>
      <c r="J128" s="1264">
        <f>ROUND(I128*E128,)</f>
        <v>41600</v>
      </c>
      <c r="K128" s="1273">
        <f>H128+J128</f>
        <v>413894</v>
      </c>
      <c r="L128" s="1273"/>
    </row>
    <row r="129" spans="1:16" s="1199" customFormat="1" ht="24" customHeight="1">
      <c r="A129" s="1572" t="s">
        <v>1783</v>
      </c>
      <c r="B129" s="1597" t="s">
        <v>1784</v>
      </c>
      <c r="C129" s="1533"/>
      <c r="D129" s="1534"/>
      <c r="E129" s="1566"/>
      <c r="F129" s="1567"/>
      <c r="G129" s="1516"/>
      <c r="H129" s="1264"/>
      <c r="I129" s="1265"/>
      <c r="J129" s="1264"/>
      <c r="K129" s="1273"/>
      <c r="L129" s="1382"/>
    </row>
    <row r="130" spans="1:16" s="1199" customFormat="1" ht="24" customHeight="1">
      <c r="A130" s="1564"/>
      <c r="B130" s="1597" t="s">
        <v>1717</v>
      </c>
      <c r="C130" s="1533"/>
      <c r="D130" s="1534"/>
      <c r="E130" s="1566">
        <v>8</v>
      </c>
      <c r="F130" s="1567" t="s">
        <v>363</v>
      </c>
      <c r="G130" s="1593">
        <v>9545</v>
      </c>
      <c r="H130" s="1264">
        <f>ROUND(E130*G130,)</f>
        <v>76360</v>
      </c>
      <c r="I130" s="1595">
        <v>800</v>
      </c>
      <c r="J130" s="1264">
        <f>ROUND(I130*E130,)</f>
        <v>6400</v>
      </c>
      <c r="K130" s="1273">
        <f>H130+J130</f>
        <v>82760</v>
      </c>
      <c r="L130" s="1382"/>
    </row>
    <row r="131" spans="1:16" s="1199" customFormat="1" ht="24" customHeight="1">
      <c r="A131" s="1572" t="s">
        <v>1785</v>
      </c>
      <c r="B131" s="1597" t="s">
        <v>1786</v>
      </c>
      <c r="C131" s="1533"/>
      <c r="D131" s="1534"/>
      <c r="E131" s="1566"/>
      <c r="F131" s="1567"/>
      <c r="G131" s="1593"/>
      <c r="H131" s="1264"/>
      <c r="I131" s="1595"/>
      <c r="J131" s="1264"/>
      <c r="K131" s="1273"/>
      <c r="L131" s="1382"/>
    </row>
    <row r="132" spans="1:16" s="1199" customFormat="1" ht="24" customHeight="1">
      <c r="A132" s="1564"/>
      <c r="B132" s="1597" t="s">
        <v>1717</v>
      </c>
      <c r="C132" s="1533"/>
      <c r="D132" s="1534"/>
      <c r="E132" s="1566">
        <v>8</v>
      </c>
      <c r="F132" s="1567" t="s">
        <v>363</v>
      </c>
      <c r="G132" s="1593">
        <v>7548</v>
      </c>
      <c r="H132" s="1264">
        <f>ROUND(E132*G132,)</f>
        <v>60384</v>
      </c>
      <c r="I132" s="1595">
        <v>800</v>
      </c>
      <c r="J132" s="1264">
        <f>ROUND(I132*E132,)</f>
        <v>6400</v>
      </c>
      <c r="K132" s="1273">
        <f>H132+J132</f>
        <v>66784</v>
      </c>
      <c r="L132" s="1382"/>
    </row>
    <row r="133" spans="1:16" s="1199" customFormat="1" ht="24" customHeight="1">
      <c r="A133" s="1572"/>
      <c r="B133" s="1565"/>
      <c r="C133" s="1533"/>
      <c r="D133" s="1534"/>
      <c r="E133" s="1566"/>
      <c r="F133" s="1567"/>
      <c r="G133" s="1593"/>
      <c r="H133" s="1264"/>
      <c r="I133" s="1595"/>
      <c r="J133" s="1264"/>
      <c r="K133" s="1273"/>
      <c r="L133" s="1382"/>
    </row>
    <row r="134" spans="1:16" s="1199" customFormat="1" ht="24" customHeight="1">
      <c r="A134" s="1572"/>
      <c r="B134" s="1565"/>
      <c r="C134" s="1533"/>
      <c r="D134" s="1534"/>
      <c r="E134" s="1566"/>
      <c r="F134" s="1567"/>
      <c r="G134" s="1593"/>
      <c r="H134" s="1264"/>
      <c r="I134" s="1595"/>
      <c r="J134" s="1264"/>
      <c r="K134" s="1273"/>
      <c r="L134" s="1382"/>
    </row>
    <row r="135" spans="1:16" s="1199" customFormat="1" ht="24" customHeight="1">
      <c r="A135" s="1572" t="s">
        <v>1787</v>
      </c>
      <c r="B135" s="1565" t="s">
        <v>1788</v>
      </c>
      <c r="C135" s="1533"/>
      <c r="D135" s="1534"/>
      <c r="E135" s="1566"/>
      <c r="F135" s="1567"/>
      <c r="G135" s="1593"/>
      <c r="H135" s="1264"/>
      <c r="I135" s="1595"/>
      <c r="J135" s="1264"/>
      <c r="K135" s="1273"/>
      <c r="L135" s="1382"/>
    </row>
    <row r="136" spans="1:16" s="1199" customFormat="1" ht="24" customHeight="1">
      <c r="A136" s="1564"/>
      <c r="B136" s="1565" t="s">
        <v>1717</v>
      </c>
      <c r="C136" s="1533"/>
      <c r="D136" s="1534"/>
      <c r="E136" s="1566">
        <v>4</v>
      </c>
      <c r="F136" s="1567" t="s">
        <v>363</v>
      </c>
      <c r="G136" s="1593">
        <v>5541</v>
      </c>
      <c r="H136" s="1264">
        <f>ROUND(E136*G136,)</f>
        <v>22164</v>
      </c>
      <c r="I136" s="1595">
        <v>800</v>
      </c>
      <c r="J136" s="1264">
        <f>ROUND(I136*E136,)</f>
        <v>3200</v>
      </c>
      <c r="K136" s="1273">
        <f>H136+J136</f>
        <v>25364</v>
      </c>
      <c r="L136" s="1382"/>
    </row>
    <row r="137" spans="1:16" s="1199" customFormat="1" ht="24" customHeight="1">
      <c r="A137" s="1564"/>
      <c r="B137" s="1597"/>
      <c r="C137" s="1533"/>
      <c r="D137" s="1534"/>
      <c r="E137" s="1566"/>
      <c r="F137" s="1567"/>
      <c r="G137" s="1516"/>
      <c r="H137" s="1264"/>
      <c r="I137" s="1265"/>
      <c r="J137" s="1264"/>
      <c r="K137" s="1273"/>
      <c r="L137" s="1273"/>
    </row>
    <row r="138" spans="1:16" s="1199" customFormat="1" ht="24" customHeight="1">
      <c r="A138" s="1578"/>
      <c r="B138" s="2257" t="str">
        <f>"รวมราคารายการที่ "&amp;A104</f>
        <v>รวมราคารายการที่ 5.3</v>
      </c>
      <c r="C138" s="2258"/>
      <c r="D138" s="2259"/>
      <c r="E138" s="1579"/>
      <c r="F138" s="1579"/>
      <c r="G138" s="1580"/>
      <c r="H138" s="1581">
        <f>SUM(H105:H136)</f>
        <v>2869932</v>
      </c>
      <c r="I138" s="1582"/>
      <c r="J138" s="1581">
        <f>SUM(J105:J136)</f>
        <v>791931</v>
      </c>
      <c r="K138" s="1583">
        <f>SUM(K105:K136)</f>
        <v>3661863</v>
      </c>
      <c r="L138" s="1583"/>
    </row>
    <row r="139" spans="1:16" s="1199" customFormat="1" ht="24" customHeight="1">
      <c r="A139" s="1620" t="s">
        <v>1789</v>
      </c>
      <c r="B139" s="1621" t="s">
        <v>1790</v>
      </c>
      <c r="C139" s="1622"/>
      <c r="D139" s="1623"/>
      <c r="E139" s="1624"/>
      <c r="F139" s="1625"/>
      <c r="G139" s="1357"/>
      <c r="H139" s="1298"/>
      <c r="I139" s="1299"/>
      <c r="J139" s="1298"/>
      <c r="K139" s="1382"/>
      <c r="L139" s="1382"/>
    </row>
    <row r="140" spans="1:16" s="1199" customFormat="1" ht="24" customHeight="1">
      <c r="A140" s="1564" t="s">
        <v>1791</v>
      </c>
      <c r="B140" s="1573" t="s">
        <v>1792</v>
      </c>
      <c r="C140" s="1533"/>
      <c r="D140" s="1534"/>
      <c r="E140" s="1566"/>
      <c r="F140" s="1567"/>
      <c r="G140" s="1593"/>
      <c r="H140" s="1264"/>
      <c r="I140" s="1595"/>
      <c r="J140" s="1264"/>
      <c r="K140" s="1265"/>
      <c r="L140" s="1596"/>
    </row>
    <row r="141" spans="1:16" s="1199" customFormat="1" ht="24" customHeight="1">
      <c r="A141" s="1564"/>
      <c r="B141" s="1565" t="s">
        <v>1716</v>
      </c>
      <c r="C141" s="1533"/>
      <c r="D141" s="1534"/>
      <c r="E141" s="1566">
        <v>150</v>
      </c>
      <c r="F141" s="1567" t="s">
        <v>226</v>
      </c>
      <c r="G141" s="1593">
        <v>836</v>
      </c>
      <c r="H141" s="1264">
        <f>ROUND(E141*G141,)</f>
        <v>125400</v>
      </c>
      <c r="I141" s="1595">
        <v>175</v>
      </c>
      <c r="J141" s="1264">
        <f>ROUND(E141*I141,)</f>
        <v>26250</v>
      </c>
      <c r="K141" s="1265">
        <f>H141+J141</f>
        <v>151650</v>
      </c>
      <c r="L141" s="1596"/>
      <c r="O141" s="1199">
        <v>54</v>
      </c>
      <c r="P141" s="1199">
        <v>34</v>
      </c>
    </row>
    <row r="142" spans="1:16" s="1199" customFormat="1" ht="24" customHeight="1">
      <c r="A142" s="1564"/>
      <c r="B142" s="1565" t="s">
        <v>1793</v>
      </c>
      <c r="C142" s="1533"/>
      <c r="D142" s="1534"/>
      <c r="E142" s="1566">
        <v>136</v>
      </c>
      <c r="F142" s="1567" t="s">
        <v>226</v>
      </c>
      <c r="G142" s="1593">
        <v>1772</v>
      </c>
      <c r="H142" s="1264">
        <f>ROUND(E142*G142,)</f>
        <v>240992</v>
      </c>
      <c r="I142" s="1595">
        <v>400</v>
      </c>
      <c r="J142" s="1264">
        <f>ROUND(E142*I142,)</f>
        <v>54400</v>
      </c>
      <c r="K142" s="1265">
        <f>H142+J142</f>
        <v>295392</v>
      </c>
      <c r="L142" s="1596"/>
      <c r="O142" s="1199">
        <v>15</v>
      </c>
      <c r="P142" s="1199">
        <v>16</v>
      </c>
    </row>
    <row r="143" spans="1:16" s="1199" customFormat="1" ht="24" customHeight="1">
      <c r="A143" s="1564"/>
      <c r="B143" s="1565" t="s">
        <v>1719</v>
      </c>
      <c r="C143" s="1533"/>
      <c r="D143" s="1534"/>
      <c r="E143" s="1566">
        <v>1</v>
      </c>
      <c r="F143" s="1567" t="s">
        <v>1104</v>
      </c>
      <c r="G143" s="1593">
        <f>SUM(H141:H142)*50%</f>
        <v>183196</v>
      </c>
      <c r="H143" s="1264">
        <f>ROUND(E143*G143,)</f>
        <v>183196</v>
      </c>
      <c r="I143" s="1595">
        <f>ROUND(G143*0.3,)</f>
        <v>54959</v>
      </c>
      <c r="J143" s="1264">
        <f>ROUND(E143*I143,)</f>
        <v>54959</v>
      </c>
      <c r="K143" s="1265">
        <f>H143+J143</f>
        <v>238155</v>
      </c>
      <c r="L143" s="1596"/>
      <c r="O143" s="1199">
        <v>23</v>
      </c>
      <c r="P143" s="1199">
        <v>6</v>
      </c>
    </row>
    <row r="144" spans="1:16" s="1199" customFormat="1" ht="24" customHeight="1">
      <c r="A144" s="1564"/>
      <c r="B144" s="1565" t="s">
        <v>1720</v>
      </c>
      <c r="C144" s="1533"/>
      <c r="D144" s="1534"/>
      <c r="E144" s="1566">
        <v>1</v>
      </c>
      <c r="F144" s="1567" t="s">
        <v>1104</v>
      </c>
      <c r="G144" s="1593">
        <f>ROUND(SUM(H141:H142)*20%,)</f>
        <v>73278</v>
      </c>
      <c r="H144" s="1264">
        <f>ROUND(E144*G144,)</f>
        <v>73278</v>
      </c>
      <c r="I144" s="1595">
        <f>ROUND(G144*0.3,)</f>
        <v>21983</v>
      </c>
      <c r="J144" s="1264">
        <f>ROUND(E144*I144,)</f>
        <v>21983</v>
      </c>
      <c r="K144" s="1265">
        <f>H144+J144</f>
        <v>95261</v>
      </c>
      <c r="L144" s="1596"/>
      <c r="O144" s="1199">
        <f>SUM(O141:O143)</f>
        <v>92</v>
      </c>
      <c r="P144" s="1199">
        <v>46</v>
      </c>
    </row>
    <row r="145" spans="1:16" s="1199" customFormat="1" ht="24" customHeight="1">
      <c r="A145" s="1564"/>
      <c r="B145" s="1565" t="s">
        <v>1721</v>
      </c>
      <c r="C145" s="1533"/>
      <c r="D145" s="1534"/>
      <c r="E145" s="1566">
        <v>1</v>
      </c>
      <c r="F145" s="1567" t="s">
        <v>1104</v>
      </c>
      <c r="G145" s="1593">
        <f>ROUND(SUM(H141:H142)*10%,)</f>
        <v>36639</v>
      </c>
      <c r="H145" s="1264">
        <f>ROUND(E145*G145,)</f>
        <v>36639</v>
      </c>
      <c r="I145" s="1595">
        <f>ROUND(G145*0.3,)</f>
        <v>10992</v>
      </c>
      <c r="J145" s="1264">
        <f>ROUND(E145*I145,)</f>
        <v>10992</v>
      </c>
      <c r="K145" s="1265">
        <f>H145+J145</f>
        <v>47631</v>
      </c>
      <c r="L145" s="1596"/>
      <c r="O145" s="1199">
        <f>O144*1.3</f>
        <v>119.60000000000001</v>
      </c>
      <c r="P145" s="1199">
        <f>SUM(P141:P144)</f>
        <v>102</v>
      </c>
    </row>
    <row r="146" spans="1:16" s="1199" customFormat="1" ht="24" customHeight="1">
      <c r="A146" s="1564" t="s">
        <v>1794</v>
      </c>
      <c r="B146" s="1565" t="s">
        <v>1725</v>
      </c>
      <c r="C146" s="1533"/>
      <c r="D146" s="1534"/>
      <c r="E146" s="1566"/>
      <c r="F146" s="1567"/>
      <c r="G146" s="1593"/>
      <c r="H146" s="1264"/>
      <c r="I146" s="1595"/>
      <c r="J146" s="1264"/>
      <c r="K146" s="1265"/>
      <c r="L146" s="1596"/>
      <c r="P146" s="1199">
        <f>P145*1.3</f>
        <v>132.6</v>
      </c>
    </row>
    <row r="147" spans="1:16" s="1199" customFormat="1" ht="24" customHeight="1">
      <c r="A147" s="1564"/>
      <c r="B147" s="1565" t="s">
        <v>1716</v>
      </c>
      <c r="C147" s="1533"/>
      <c r="D147" s="1534"/>
      <c r="E147" s="1566">
        <v>1</v>
      </c>
      <c r="F147" s="1567" t="s">
        <v>363</v>
      </c>
      <c r="G147" s="1587">
        <v>6146</v>
      </c>
      <c r="H147" s="1264">
        <f>ROUND(E147*G147,)</f>
        <v>6146</v>
      </c>
      <c r="I147" s="1589">
        <v>600</v>
      </c>
      <c r="J147" s="1264">
        <f>ROUND(E147*I147,)</f>
        <v>600</v>
      </c>
      <c r="K147" s="1265">
        <f>H147+J147</f>
        <v>6746</v>
      </c>
      <c r="L147" s="1596"/>
    </row>
    <row r="148" spans="1:16" s="1199" customFormat="1" ht="24" customHeight="1">
      <c r="A148" s="1564" t="s">
        <v>1795</v>
      </c>
      <c r="B148" s="1565" t="s">
        <v>1723</v>
      </c>
      <c r="C148" s="1533"/>
      <c r="D148" s="1534"/>
      <c r="E148" s="1566"/>
      <c r="F148" s="1567"/>
      <c r="G148" s="1593"/>
      <c r="H148" s="1264"/>
      <c r="I148" s="1595"/>
      <c r="J148" s="1264"/>
      <c r="K148" s="1265"/>
      <c r="L148" s="1596"/>
    </row>
    <row r="149" spans="1:16" s="1199" customFormat="1" ht="24" customHeight="1">
      <c r="A149" s="1564"/>
      <c r="B149" s="1565" t="s">
        <v>1716</v>
      </c>
      <c r="C149" s="1533"/>
      <c r="D149" s="1534"/>
      <c r="E149" s="1566">
        <v>1</v>
      </c>
      <c r="F149" s="1567" t="s">
        <v>363</v>
      </c>
      <c r="G149" s="1593">
        <v>1899</v>
      </c>
      <c r="H149" s="1264">
        <f>ROUND(E149*G149,)</f>
        <v>1899</v>
      </c>
      <c r="I149" s="1595">
        <v>600</v>
      </c>
      <c r="J149" s="1264">
        <f>ROUND(E149*I149,)</f>
        <v>600</v>
      </c>
      <c r="K149" s="1265">
        <f>H149+J149</f>
        <v>2499</v>
      </c>
      <c r="L149" s="1596"/>
    </row>
    <row r="150" spans="1:16" s="1199" customFormat="1" ht="24" customHeight="1">
      <c r="A150" s="1564" t="s">
        <v>1796</v>
      </c>
      <c r="B150" s="1565" t="s">
        <v>1738</v>
      </c>
      <c r="C150" s="1533"/>
      <c r="D150" s="1534"/>
      <c r="E150" s="1566"/>
      <c r="F150" s="1567"/>
      <c r="G150" s="1603"/>
      <c r="H150" s="1264"/>
      <c r="I150" s="1595"/>
      <c r="J150" s="1264"/>
      <c r="K150" s="1265"/>
      <c r="L150" s="1596"/>
    </row>
    <row r="151" spans="1:16" s="1199" customFormat="1" ht="24" customHeight="1">
      <c r="A151" s="1564"/>
      <c r="B151" s="1565" t="s">
        <v>1716</v>
      </c>
      <c r="C151" s="1533"/>
      <c r="D151" s="1534"/>
      <c r="E151" s="1566">
        <v>1</v>
      </c>
      <c r="F151" s="1567" t="s">
        <v>363</v>
      </c>
      <c r="G151" s="1603">
        <v>30893</v>
      </c>
      <c r="H151" s="1264">
        <f>ROUND(E151*G151,)</f>
        <v>30893</v>
      </c>
      <c r="I151" s="1595">
        <v>600</v>
      </c>
      <c r="J151" s="1264">
        <f>ROUND(I151*E151,)</f>
        <v>600</v>
      </c>
      <c r="K151" s="1265">
        <f>H151+J151</f>
        <v>31493</v>
      </c>
      <c r="L151" s="1596"/>
    </row>
    <row r="152" spans="1:16" s="1199" customFormat="1" ht="24" customHeight="1">
      <c r="A152" s="1564" t="s">
        <v>1797</v>
      </c>
      <c r="B152" s="1597" t="s">
        <v>1830</v>
      </c>
      <c r="C152" s="1533"/>
      <c r="D152" s="1534"/>
      <c r="E152" s="1566"/>
      <c r="F152" s="1567"/>
      <c r="G152" s="1593"/>
      <c r="H152" s="1264"/>
      <c r="I152" s="1595"/>
      <c r="J152" s="1264"/>
      <c r="K152" s="1273"/>
      <c r="L152" s="1273"/>
    </row>
    <row r="153" spans="1:16" s="1199" customFormat="1" ht="24" customHeight="1">
      <c r="A153" s="1564"/>
      <c r="B153" s="1597" t="s">
        <v>1718</v>
      </c>
      <c r="C153" s="1533"/>
      <c r="D153" s="1534"/>
      <c r="E153" s="1566">
        <v>1</v>
      </c>
      <c r="F153" s="1567" t="s">
        <v>363</v>
      </c>
      <c r="G153" s="1593">
        <v>30787</v>
      </c>
      <c r="H153" s="1264">
        <f t="shared" ref="H153" si="22">ROUND(E153*G153,)</f>
        <v>30787</v>
      </c>
      <c r="I153" s="1595">
        <v>1200</v>
      </c>
      <c r="J153" s="1264">
        <f t="shared" ref="J153" si="23">ROUND(E153*I153,)</f>
        <v>1200</v>
      </c>
      <c r="K153" s="1273">
        <f t="shared" ref="K153" si="24">H153+J153</f>
        <v>31987</v>
      </c>
      <c r="L153" s="1273"/>
    </row>
    <row r="154" spans="1:16" s="1199" customFormat="1" ht="24" customHeight="1">
      <c r="A154" s="1564" t="s">
        <v>1798</v>
      </c>
      <c r="B154" s="1597" t="s">
        <v>1730</v>
      </c>
      <c r="C154" s="1533"/>
      <c r="D154" s="1534"/>
      <c r="E154" s="1566"/>
      <c r="F154" s="1567"/>
      <c r="G154" s="1593"/>
      <c r="H154" s="1264"/>
      <c r="I154" s="1595"/>
      <c r="J154" s="1264"/>
      <c r="K154" s="1265"/>
      <c r="L154" s="1596"/>
    </row>
    <row r="155" spans="1:16" s="1199" customFormat="1" ht="24" customHeight="1">
      <c r="A155" s="1564"/>
      <c r="B155" s="1565" t="s">
        <v>1731</v>
      </c>
      <c r="C155" s="1533"/>
      <c r="D155" s="1534"/>
      <c r="E155" s="1566">
        <v>1</v>
      </c>
      <c r="F155" s="1567" t="s">
        <v>363</v>
      </c>
      <c r="G155" s="1593">
        <v>2400</v>
      </c>
      <c r="H155" s="1264">
        <f>ROUND(E155*G155,)</f>
        <v>2400</v>
      </c>
      <c r="I155" s="1595">
        <v>150</v>
      </c>
      <c r="J155" s="1264">
        <f>ROUND(I155*E155,)</f>
        <v>150</v>
      </c>
      <c r="K155" s="1265">
        <f>H155+J155</f>
        <v>2550</v>
      </c>
      <c r="L155" s="1596"/>
    </row>
    <row r="156" spans="1:16" s="1199" customFormat="1" ht="24" customHeight="1">
      <c r="A156" s="1564" t="s">
        <v>2576</v>
      </c>
      <c r="B156" s="1565" t="s">
        <v>1741</v>
      </c>
      <c r="C156" s="1533"/>
      <c r="D156" s="1534"/>
      <c r="E156" s="1566">
        <v>1</v>
      </c>
      <c r="F156" s="1567" t="s">
        <v>363</v>
      </c>
      <c r="G156" s="1593">
        <v>735</v>
      </c>
      <c r="H156" s="1264">
        <f>ROUND(E156*G156,)</f>
        <v>735</v>
      </c>
      <c r="I156" s="1595">
        <v>100</v>
      </c>
      <c r="J156" s="1264">
        <f>ROUND(I156*E156,)</f>
        <v>100</v>
      </c>
      <c r="K156" s="1265">
        <f>H156+J156</f>
        <v>835</v>
      </c>
      <c r="L156" s="1596"/>
    </row>
    <row r="157" spans="1:16" s="1199" customFormat="1" ht="24" customHeight="1">
      <c r="A157" s="1564"/>
      <c r="B157" s="1565"/>
      <c r="C157" s="1533"/>
      <c r="D157" s="1534"/>
      <c r="E157" s="1566"/>
      <c r="F157" s="1567"/>
      <c r="G157" s="1603"/>
      <c r="H157" s="1264"/>
      <c r="I157" s="1595"/>
      <c r="J157" s="1264"/>
      <c r="K157" s="1265"/>
      <c r="L157" s="1596"/>
    </row>
    <row r="158" spans="1:16" s="1199" customFormat="1" ht="24" customHeight="1">
      <c r="A158" s="1564"/>
      <c r="B158" s="1565"/>
      <c r="C158" s="1533"/>
      <c r="D158" s="1534"/>
      <c r="E158" s="1566"/>
      <c r="F158" s="1567"/>
      <c r="G158" s="1603"/>
      <c r="H158" s="1264"/>
      <c r="I158" s="1595"/>
      <c r="J158" s="1264"/>
      <c r="K158" s="1265"/>
      <c r="L158" s="1596"/>
    </row>
    <row r="159" spans="1:16" s="1199" customFormat="1" ht="24" customHeight="1">
      <c r="A159" s="1578"/>
      <c r="B159" s="2257" t="str">
        <f>"รวมราคารายการที่ "&amp;A139</f>
        <v>รวมราคารายการที่ 5.4</v>
      </c>
      <c r="C159" s="2258"/>
      <c r="D159" s="2259"/>
      <c r="E159" s="1579"/>
      <c r="F159" s="1579"/>
      <c r="G159" s="1580"/>
      <c r="H159" s="1581">
        <f>SUM(H140:H151)</f>
        <v>698443</v>
      </c>
      <c r="I159" s="1582"/>
      <c r="J159" s="1581">
        <f>SUM(J140:J151)</f>
        <v>170384</v>
      </c>
      <c r="K159" s="1583">
        <f>SUM(K140:K151)</f>
        <v>868827</v>
      </c>
      <c r="L159" s="1583"/>
    </row>
    <row r="160" spans="1:16" s="1199" customFormat="1" ht="24" customHeight="1">
      <c r="A160" s="1605" t="s">
        <v>1799</v>
      </c>
      <c r="B160" s="1606" t="s">
        <v>1800</v>
      </c>
      <c r="C160" s="1607"/>
      <c r="D160" s="1608"/>
      <c r="E160" s="1609"/>
      <c r="F160" s="1610"/>
      <c r="G160" s="1611"/>
      <c r="H160" s="1612"/>
      <c r="I160" s="1613"/>
      <c r="J160" s="1612"/>
      <c r="K160" s="1614"/>
      <c r="L160" s="1614"/>
    </row>
    <row r="161" spans="1:15" s="1199" customFormat="1" ht="24" customHeight="1">
      <c r="A161" s="1564" t="s">
        <v>1801</v>
      </c>
      <c r="B161" s="1565" t="s">
        <v>1802</v>
      </c>
      <c r="C161" s="1533"/>
      <c r="D161" s="1534"/>
      <c r="E161" s="1566"/>
      <c r="F161" s="1567"/>
      <c r="G161" s="1516"/>
      <c r="H161" s="1264"/>
      <c r="I161" s="1265"/>
      <c r="J161" s="1264"/>
      <c r="K161" s="1273"/>
      <c r="L161" s="1273"/>
    </row>
    <row r="162" spans="1:15" s="1199" customFormat="1" ht="24" customHeight="1">
      <c r="A162" s="1564"/>
      <c r="B162" s="1565" t="s">
        <v>1803</v>
      </c>
      <c r="C162" s="1533"/>
      <c r="D162" s="1534"/>
      <c r="E162" s="1566">
        <v>1</v>
      </c>
      <c r="F162" s="1567" t="s">
        <v>363</v>
      </c>
      <c r="G162" s="1516">
        <v>123000</v>
      </c>
      <c r="H162" s="1264">
        <f t="shared" ref="H162:H167" si="25">ROUND(E162*G162,)</f>
        <v>123000</v>
      </c>
      <c r="I162" s="1265">
        <f t="shared" ref="I162:I167" si="26">G162*0.1</f>
        <v>12300</v>
      </c>
      <c r="J162" s="1264">
        <f t="shared" ref="J162:J167" si="27">ROUND(E162*I162,)</f>
        <v>12300</v>
      </c>
      <c r="K162" s="1273">
        <f t="shared" ref="K162:K167" si="28">H162+J162</f>
        <v>135300</v>
      </c>
      <c r="L162" s="1273"/>
    </row>
    <row r="163" spans="1:15" s="1199" customFormat="1" ht="24" customHeight="1">
      <c r="A163" s="1564"/>
      <c r="B163" s="1565" t="s">
        <v>1804</v>
      </c>
      <c r="C163" s="1533"/>
      <c r="D163" s="1534"/>
      <c r="E163" s="1566">
        <v>1</v>
      </c>
      <c r="F163" s="1567" t="s">
        <v>363</v>
      </c>
      <c r="G163" s="1516">
        <v>71000</v>
      </c>
      <c r="H163" s="1264">
        <f t="shared" si="25"/>
        <v>71000</v>
      </c>
      <c r="I163" s="1265">
        <f t="shared" si="26"/>
        <v>7100</v>
      </c>
      <c r="J163" s="1264">
        <f t="shared" si="27"/>
        <v>7100</v>
      </c>
      <c r="K163" s="1273">
        <f t="shared" si="28"/>
        <v>78100</v>
      </c>
      <c r="L163" s="1273"/>
    </row>
    <row r="164" spans="1:15" s="1199" customFormat="1" ht="24" customHeight="1">
      <c r="A164" s="1564"/>
      <c r="B164" s="1565" t="s">
        <v>1805</v>
      </c>
      <c r="C164" s="1533"/>
      <c r="D164" s="1534"/>
      <c r="E164" s="1566">
        <v>1</v>
      </c>
      <c r="F164" s="1567" t="s">
        <v>363</v>
      </c>
      <c r="G164" s="1516">
        <v>71000</v>
      </c>
      <c r="H164" s="1264">
        <f t="shared" si="25"/>
        <v>71000</v>
      </c>
      <c r="I164" s="1265">
        <f t="shared" si="26"/>
        <v>7100</v>
      </c>
      <c r="J164" s="1264">
        <f t="shared" si="27"/>
        <v>7100</v>
      </c>
      <c r="K164" s="1273">
        <f t="shared" si="28"/>
        <v>78100</v>
      </c>
      <c r="L164" s="1273"/>
    </row>
    <row r="165" spans="1:15" s="1199" customFormat="1" ht="24" customHeight="1">
      <c r="A165" s="1564"/>
      <c r="B165" s="1565" t="s">
        <v>1806</v>
      </c>
      <c r="C165" s="1533"/>
      <c r="D165" s="1534"/>
      <c r="E165" s="1566">
        <v>1</v>
      </c>
      <c r="F165" s="1567" t="s">
        <v>363</v>
      </c>
      <c r="G165" s="1516">
        <v>123000</v>
      </c>
      <c r="H165" s="1264">
        <f t="shared" si="25"/>
        <v>123000</v>
      </c>
      <c r="I165" s="1265">
        <f t="shared" si="26"/>
        <v>12300</v>
      </c>
      <c r="J165" s="1264">
        <f t="shared" si="27"/>
        <v>12300</v>
      </c>
      <c r="K165" s="1273">
        <f t="shared" si="28"/>
        <v>135300</v>
      </c>
      <c r="L165" s="1273"/>
    </row>
    <row r="166" spans="1:15" s="1199" customFormat="1" ht="24" customHeight="1">
      <c r="A166" s="1564"/>
      <c r="B166" s="1565" t="s">
        <v>1807</v>
      </c>
      <c r="C166" s="1533"/>
      <c r="D166" s="1534"/>
      <c r="E166" s="1566">
        <v>1</v>
      </c>
      <c r="F166" s="1567" t="s">
        <v>363</v>
      </c>
      <c r="G166" s="1516">
        <v>71000</v>
      </c>
      <c r="H166" s="1264">
        <f t="shared" si="25"/>
        <v>71000</v>
      </c>
      <c r="I166" s="1265">
        <f t="shared" si="26"/>
        <v>7100</v>
      </c>
      <c r="J166" s="1264">
        <f t="shared" si="27"/>
        <v>7100</v>
      </c>
      <c r="K166" s="1273">
        <f t="shared" si="28"/>
        <v>78100</v>
      </c>
      <c r="L166" s="1273"/>
    </row>
    <row r="167" spans="1:15" s="1199" customFormat="1" ht="24" customHeight="1">
      <c r="A167" s="1564"/>
      <c r="B167" s="1565" t="s">
        <v>1808</v>
      </c>
      <c r="C167" s="1533"/>
      <c r="D167" s="1534"/>
      <c r="E167" s="1566">
        <v>1</v>
      </c>
      <c r="F167" s="1567" t="s">
        <v>363</v>
      </c>
      <c r="G167" s="1516">
        <v>71000</v>
      </c>
      <c r="H167" s="1264">
        <f t="shared" si="25"/>
        <v>71000</v>
      </c>
      <c r="I167" s="1265">
        <f t="shared" si="26"/>
        <v>7100</v>
      </c>
      <c r="J167" s="1264">
        <f t="shared" si="27"/>
        <v>7100</v>
      </c>
      <c r="K167" s="1273">
        <f t="shared" si="28"/>
        <v>78100</v>
      </c>
      <c r="L167" s="1273"/>
    </row>
    <row r="168" spans="1:15" s="1199" customFormat="1" ht="24" customHeight="1">
      <c r="A168" s="1564" t="s">
        <v>1809</v>
      </c>
      <c r="B168" s="1565" t="s">
        <v>1810</v>
      </c>
      <c r="C168" s="1533"/>
      <c r="D168" s="1534"/>
      <c r="E168" s="1566"/>
      <c r="F168" s="1567"/>
      <c r="G168" s="1516"/>
      <c r="H168" s="1264"/>
      <c r="I168" s="1265"/>
      <c r="J168" s="1264"/>
      <c r="K168" s="1273"/>
      <c r="L168" s="1273"/>
    </row>
    <row r="169" spans="1:15" s="1199" customFormat="1" ht="24" customHeight="1">
      <c r="A169" s="1564"/>
      <c r="B169" s="1565" t="s">
        <v>1811</v>
      </c>
      <c r="C169" s="1533"/>
      <c r="D169" s="1534"/>
      <c r="E169" s="1489">
        <v>160</v>
      </c>
      <c r="F169" s="1358" t="s">
        <v>226</v>
      </c>
      <c r="G169" s="1271">
        <v>30</v>
      </c>
      <c r="H169" s="1264">
        <f>ROUND(E169*G169,)</f>
        <v>4800</v>
      </c>
      <c r="I169" s="1272">
        <v>12</v>
      </c>
      <c r="J169" s="1264">
        <f>ROUND(E169*I169,)</f>
        <v>1920</v>
      </c>
      <c r="K169" s="1273">
        <f>H169+J169</f>
        <v>6720</v>
      </c>
      <c r="L169" s="1273"/>
    </row>
    <row r="170" spans="1:15" s="1199" customFormat="1" ht="24" customHeight="1">
      <c r="A170" s="1564"/>
      <c r="B170" s="1565" t="s">
        <v>1316</v>
      </c>
      <c r="C170" s="1533"/>
      <c r="D170" s="1534"/>
      <c r="E170" s="1489">
        <v>520</v>
      </c>
      <c r="F170" s="1358" t="s">
        <v>226</v>
      </c>
      <c r="G170" s="1271">
        <v>42</v>
      </c>
      <c r="H170" s="1264">
        <f>ROUND(E170*G170,)</f>
        <v>21840</v>
      </c>
      <c r="I170" s="1272">
        <v>14</v>
      </c>
      <c r="J170" s="1264">
        <f>ROUND(E170*I170,)</f>
        <v>7280</v>
      </c>
      <c r="K170" s="1273">
        <f>H170+J170</f>
        <v>29120</v>
      </c>
      <c r="L170" s="1273"/>
    </row>
    <row r="171" spans="1:15" s="1199" customFormat="1" ht="24" customHeight="1">
      <c r="A171" s="1564"/>
      <c r="B171" s="1565" t="s">
        <v>1317</v>
      </c>
      <c r="C171" s="1533"/>
      <c r="D171" s="1534"/>
      <c r="E171" s="1489">
        <v>360</v>
      </c>
      <c r="F171" s="1358" t="s">
        <v>226</v>
      </c>
      <c r="G171" s="1271">
        <v>43</v>
      </c>
      <c r="H171" s="1264">
        <f>ROUND(E171*G171,)</f>
        <v>15480</v>
      </c>
      <c r="I171" s="1272">
        <v>16</v>
      </c>
      <c r="J171" s="1264">
        <f>ROUND(E171*I171,)</f>
        <v>5760</v>
      </c>
      <c r="K171" s="1273">
        <f>H171+J171</f>
        <v>21240</v>
      </c>
      <c r="L171" s="1273"/>
    </row>
    <row r="172" spans="1:15" s="1199" customFormat="1" ht="24" customHeight="1">
      <c r="A172" s="1564"/>
      <c r="B172" s="1205" t="s">
        <v>1444</v>
      </c>
      <c r="C172" s="1202"/>
      <c r="D172" s="1202"/>
      <c r="E172" s="1489">
        <v>1</v>
      </c>
      <c r="F172" s="1358" t="s">
        <v>1104</v>
      </c>
      <c r="G172" s="1271">
        <f>SUM(H167:H170)*0.05</f>
        <v>4882</v>
      </c>
      <c r="H172" s="1264">
        <f>ROUND(E172*G172,)</f>
        <v>4882</v>
      </c>
      <c r="I172" s="1595">
        <f>ROUND(G172*0.3,)</f>
        <v>1465</v>
      </c>
      <c r="J172" s="1264">
        <f>ROUND(E172*I172,)</f>
        <v>1465</v>
      </c>
      <c r="K172" s="1273">
        <f>H172+J172</f>
        <v>6347</v>
      </c>
      <c r="L172" s="1273"/>
    </row>
    <row r="173" spans="1:15" s="1199" customFormat="1" ht="24" customHeight="1">
      <c r="A173" s="1564" t="s">
        <v>1812</v>
      </c>
      <c r="B173" s="1597" t="s">
        <v>1110</v>
      </c>
      <c r="C173" s="1533"/>
      <c r="D173" s="1534"/>
      <c r="E173" s="1566"/>
      <c r="F173" s="1567"/>
      <c r="G173" s="1516"/>
      <c r="H173" s="1264"/>
      <c r="I173" s="1265"/>
      <c r="J173" s="1264"/>
      <c r="K173" s="1273"/>
      <c r="L173" s="1273"/>
    </row>
    <row r="174" spans="1:15" s="1199" customFormat="1" ht="24" customHeight="1">
      <c r="A174" s="1564"/>
      <c r="B174" s="1205" t="s">
        <v>1448</v>
      </c>
      <c r="C174" s="1202"/>
      <c r="D174" s="1202"/>
      <c r="E174" s="1387">
        <v>45</v>
      </c>
      <c r="F174" s="1358" t="s">
        <v>226</v>
      </c>
      <c r="G174" s="1271">
        <v>75</v>
      </c>
      <c r="H174" s="1264">
        <f>ROUND(E174*G174,)</f>
        <v>3375</v>
      </c>
      <c r="I174" s="1272">
        <v>26</v>
      </c>
      <c r="J174" s="1264">
        <f>ROUND(E174*I174,)</f>
        <v>1170</v>
      </c>
      <c r="K174" s="1273">
        <f>H174+J174</f>
        <v>4545</v>
      </c>
      <c r="L174" s="2082" t="s">
        <v>2667</v>
      </c>
      <c r="M174" s="1214"/>
      <c r="N174" s="1214">
        <v>225</v>
      </c>
      <c r="O174" s="1199">
        <f t="shared" ref="O174:O176" si="29">ROUND(N174/3,)</f>
        <v>75</v>
      </c>
    </row>
    <row r="175" spans="1:15" s="1199" customFormat="1" ht="24" customHeight="1">
      <c r="A175" s="1564"/>
      <c r="B175" s="1205" t="s">
        <v>1337</v>
      </c>
      <c r="C175" s="1202"/>
      <c r="D175" s="1202"/>
      <c r="E175" s="1387">
        <v>150</v>
      </c>
      <c r="F175" s="1358" t="s">
        <v>226</v>
      </c>
      <c r="G175" s="1271">
        <v>101</v>
      </c>
      <c r="H175" s="1264">
        <f>ROUND(E175*G175,)</f>
        <v>15150</v>
      </c>
      <c r="I175" s="1272">
        <v>28</v>
      </c>
      <c r="J175" s="1264">
        <f>ROUND(E175*I175,)</f>
        <v>4200</v>
      </c>
      <c r="K175" s="1273">
        <f>H175+J175</f>
        <v>19350</v>
      </c>
      <c r="L175" s="2082" t="s">
        <v>2667</v>
      </c>
      <c r="M175" s="1214"/>
      <c r="N175" s="1214">
        <v>303.60000000000002</v>
      </c>
      <c r="O175" s="1199">
        <f t="shared" si="29"/>
        <v>101</v>
      </c>
    </row>
    <row r="176" spans="1:15" s="1199" customFormat="1" ht="24" customHeight="1">
      <c r="A176" s="1564"/>
      <c r="B176" s="1205" t="s">
        <v>1338</v>
      </c>
      <c r="C176" s="1202"/>
      <c r="D176" s="1202"/>
      <c r="E176" s="1387">
        <v>90</v>
      </c>
      <c r="F176" s="1358" t="s">
        <v>226</v>
      </c>
      <c r="G176" s="1271">
        <v>131</v>
      </c>
      <c r="H176" s="1264">
        <f>ROUND(E176*G176,)</f>
        <v>11790</v>
      </c>
      <c r="I176" s="1272">
        <v>32</v>
      </c>
      <c r="J176" s="1264">
        <f>ROUND(E176*I176,)</f>
        <v>2880</v>
      </c>
      <c r="K176" s="1273">
        <f>H176+J176</f>
        <v>14670</v>
      </c>
      <c r="L176" s="2082" t="s">
        <v>2667</v>
      </c>
      <c r="M176" s="1214"/>
      <c r="N176" s="1214">
        <v>391.8</v>
      </c>
      <c r="O176" s="1199">
        <f t="shared" si="29"/>
        <v>131</v>
      </c>
    </row>
    <row r="177" spans="1:12" s="1199" customFormat="1" ht="24" customHeight="1">
      <c r="A177" s="1564"/>
      <c r="B177" s="1205" t="s">
        <v>1108</v>
      </c>
      <c r="C177" s="1202"/>
      <c r="D177" s="1202"/>
      <c r="E177" s="1387">
        <v>1</v>
      </c>
      <c r="F177" s="1384" t="s">
        <v>1104</v>
      </c>
      <c r="G177" s="1271">
        <f>ROUND(SUM(H174:H175)*15%,)</f>
        <v>2779</v>
      </c>
      <c r="H177" s="1264">
        <f>ROUND(E177*G177,)</f>
        <v>2779</v>
      </c>
      <c r="I177" s="1595">
        <f>ROUND(G177*0.3,)</f>
        <v>834</v>
      </c>
      <c r="J177" s="1264">
        <f>ROUND(E177*I177,)</f>
        <v>834</v>
      </c>
      <c r="K177" s="1273">
        <f>H177+J177</f>
        <v>3613</v>
      </c>
      <c r="L177" s="1273"/>
    </row>
    <row r="178" spans="1:12" s="1199" customFormat="1" ht="24" customHeight="1">
      <c r="A178" s="1564"/>
      <c r="B178" s="1565"/>
      <c r="C178" s="1533"/>
      <c r="D178" s="1534"/>
      <c r="E178" s="1566"/>
      <c r="F178" s="1567"/>
      <c r="G178" s="1516"/>
      <c r="H178" s="1264"/>
      <c r="I178" s="1265"/>
      <c r="J178" s="1264"/>
      <c r="K178" s="1273"/>
      <c r="L178" s="1273"/>
    </row>
    <row r="179" spans="1:12" s="1199" customFormat="1" ht="24" customHeight="1">
      <c r="A179" s="1578"/>
      <c r="B179" s="2257" t="str">
        <f>"รวมราคารายการที่ "&amp;A160</f>
        <v>รวมราคารายการที่ 5.5</v>
      </c>
      <c r="C179" s="2258"/>
      <c r="D179" s="2259"/>
      <c r="E179" s="1579"/>
      <c r="F179" s="1579"/>
      <c r="G179" s="1580"/>
      <c r="H179" s="1581">
        <f>SUM(H161:H178)</f>
        <v>610096</v>
      </c>
      <c r="I179" s="1582"/>
      <c r="J179" s="1581">
        <f>SUM(J161:J178)</f>
        <v>78509</v>
      </c>
      <c r="K179" s="1583">
        <f>SUM(K161:K178)</f>
        <v>688605</v>
      </c>
      <c r="L179" s="1583"/>
    </row>
    <row r="180" spans="1:12" s="1199" customFormat="1" ht="24" customHeight="1">
      <c r="A180" s="1620" t="s">
        <v>1813</v>
      </c>
      <c r="B180" s="1621" t="s">
        <v>1814</v>
      </c>
      <c r="C180" s="1622"/>
      <c r="D180" s="1623"/>
      <c r="E180" s="1624"/>
      <c r="F180" s="1625"/>
      <c r="G180" s="1357"/>
      <c r="H180" s="1298"/>
      <c r="I180" s="1299"/>
      <c r="J180" s="1298"/>
      <c r="K180" s="1382"/>
      <c r="L180" s="1382"/>
    </row>
    <row r="181" spans="1:12" s="1199" customFormat="1" ht="24" customHeight="1">
      <c r="A181" s="1564" t="s">
        <v>1815</v>
      </c>
      <c r="B181" s="1565" t="s">
        <v>1816</v>
      </c>
      <c r="C181" s="1533"/>
      <c r="D181" s="1534"/>
      <c r="E181" s="1566"/>
      <c r="F181" s="1567"/>
      <c r="G181" s="1516"/>
      <c r="H181" s="1264"/>
      <c r="I181" s="1265"/>
      <c r="J181" s="1264"/>
      <c r="K181" s="1273"/>
      <c r="L181" s="1273"/>
    </row>
    <row r="182" spans="1:12" s="1199" customFormat="1" ht="24" customHeight="1">
      <c r="A182" s="1564"/>
      <c r="B182" s="1565" t="s">
        <v>1817</v>
      </c>
      <c r="C182" s="1533"/>
      <c r="D182" s="1534"/>
      <c r="E182" s="1566">
        <v>4</v>
      </c>
      <c r="F182" s="1567" t="s">
        <v>363</v>
      </c>
      <c r="G182" s="1516">
        <v>45000</v>
      </c>
      <c r="H182" s="1264">
        <f>ROUND(E182*G182,)</f>
        <v>180000</v>
      </c>
      <c r="I182" s="1265">
        <f>G182*0.05</f>
        <v>2250</v>
      </c>
      <c r="J182" s="1264">
        <f>ROUND(I182*E182,)</f>
        <v>9000</v>
      </c>
      <c r="K182" s="1273">
        <f>H182+J182</f>
        <v>189000</v>
      </c>
      <c r="L182" s="1273"/>
    </row>
    <row r="183" spans="1:12" s="1199" customFormat="1" ht="24" customHeight="1">
      <c r="A183" s="1564"/>
      <c r="B183" s="1565" t="s">
        <v>1818</v>
      </c>
      <c r="C183" s="1533"/>
      <c r="D183" s="1534"/>
      <c r="E183" s="1626">
        <v>4</v>
      </c>
      <c r="F183" s="1567" t="s">
        <v>363</v>
      </c>
      <c r="G183" s="1516">
        <v>7200</v>
      </c>
      <c r="H183" s="1264">
        <f>ROUND(E183*G183,)</f>
        <v>28800</v>
      </c>
      <c r="I183" s="1265">
        <f>G183*0.05</f>
        <v>360</v>
      </c>
      <c r="J183" s="1264">
        <f>ROUND(I183*E183,)</f>
        <v>1440</v>
      </c>
      <c r="K183" s="1273">
        <f>H183+J183</f>
        <v>30240</v>
      </c>
      <c r="L183" s="1273"/>
    </row>
    <row r="184" spans="1:12" s="1199" customFormat="1" ht="24" customHeight="1">
      <c r="A184" s="1578"/>
      <c r="B184" s="2257" t="str">
        <f>"รวมราคารายการที่ "&amp;A180</f>
        <v>รวมราคารายการที่ 5.6</v>
      </c>
      <c r="C184" s="2258"/>
      <c r="D184" s="2259"/>
      <c r="E184" s="1579"/>
      <c r="F184" s="1579"/>
      <c r="G184" s="1580"/>
      <c r="H184" s="1581">
        <f>SUM(H181:H183)</f>
        <v>208800</v>
      </c>
      <c r="I184" s="1582"/>
      <c r="J184" s="1581">
        <f>SUM(J181:J183)</f>
        <v>10440</v>
      </c>
      <c r="K184" s="1583">
        <f>SUM(K181:K183)</f>
        <v>219240</v>
      </c>
      <c r="L184" s="1583"/>
    </row>
    <row r="185" spans="1:12" s="1199" customFormat="1" ht="21.3">
      <c r="A185" s="1427"/>
      <c r="E185" s="1570"/>
    </row>
    <row r="186" spans="1:12" s="1199" customFormat="1" ht="21.3">
      <c r="A186" s="1427"/>
      <c r="E186" s="1570"/>
    </row>
    <row r="187" spans="1:12" s="1199" customFormat="1" ht="21.3">
      <c r="A187" s="1427"/>
      <c r="E187" s="1570"/>
    </row>
    <row r="188" spans="1:12" s="1199" customFormat="1" ht="21.3">
      <c r="A188" s="1427"/>
      <c r="E188" s="1570"/>
    </row>
    <row r="189" spans="1:12" s="1199" customFormat="1" ht="21.3">
      <c r="A189" s="1427"/>
      <c r="E189" s="1570"/>
    </row>
    <row r="190" spans="1:12" s="1199" customFormat="1" ht="21.3">
      <c r="A190" s="1427"/>
      <c r="E190" s="1570"/>
    </row>
    <row r="191" spans="1:12" s="1199" customFormat="1" ht="21.3">
      <c r="A191" s="1427"/>
      <c r="E191" s="1570"/>
    </row>
    <row r="192" spans="1:12" s="1199" customFormat="1" ht="21.3">
      <c r="A192" s="1427"/>
      <c r="E192" s="1570"/>
    </row>
    <row r="193" spans="1:5" s="1199" customFormat="1" ht="21.3">
      <c r="A193" s="1427"/>
      <c r="E193" s="1570"/>
    </row>
    <row r="194" spans="1:5" s="1199" customFormat="1" ht="21.3">
      <c r="A194" s="1427"/>
      <c r="E194" s="1570"/>
    </row>
    <row r="195" spans="1:5" s="1199" customFormat="1" ht="21.3">
      <c r="A195" s="1427"/>
      <c r="E195" s="1570"/>
    </row>
    <row r="196" spans="1:5" s="1199" customFormat="1" ht="21.3">
      <c r="A196" s="1427"/>
      <c r="E196" s="1570"/>
    </row>
    <row r="197" spans="1:5" s="1199" customFormat="1" ht="21.3">
      <c r="A197" s="1427"/>
      <c r="E197" s="1570"/>
    </row>
    <row r="198" spans="1:5" s="1199" customFormat="1" ht="21.3">
      <c r="A198" s="1427"/>
      <c r="E198" s="1570"/>
    </row>
    <row r="199" spans="1:5" s="1199" customFormat="1" ht="21.3">
      <c r="A199" s="1427"/>
      <c r="E199" s="1570"/>
    </row>
    <row r="200" spans="1:5" s="1199" customFormat="1" ht="21.3">
      <c r="A200" s="1427"/>
      <c r="E200" s="1570"/>
    </row>
    <row r="201" spans="1:5" s="1199" customFormat="1" ht="21.3">
      <c r="A201" s="1427"/>
      <c r="E201" s="1570"/>
    </row>
    <row r="202" spans="1:5" s="1199" customFormat="1" ht="21.3">
      <c r="A202" s="1427"/>
      <c r="E202" s="1570"/>
    </row>
    <row r="203" spans="1:5" s="1199" customFormat="1" ht="21.3">
      <c r="A203" s="1427"/>
      <c r="E203" s="1570"/>
    </row>
    <row r="204" spans="1:5" s="1199" customFormat="1" ht="21.3">
      <c r="A204" s="1427"/>
      <c r="E204" s="1570"/>
    </row>
    <row r="205" spans="1:5" s="1199" customFormat="1" ht="21.3">
      <c r="A205" s="1427"/>
      <c r="E205" s="1570"/>
    </row>
    <row r="206" spans="1:5" s="1199" customFormat="1" ht="21.3">
      <c r="A206" s="1427"/>
      <c r="E20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84:D184"/>
    <mergeCell ref="B34:D34"/>
    <mergeCell ref="B69:D69"/>
    <mergeCell ref="B103:D103"/>
    <mergeCell ref="B138:D138"/>
    <mergeCell ref="B159:D159"/>
    <mergeCell ref="B179:D179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&amp;Rงานระบบสุขาภิบาล(Main Equipment)-อาคารด้านทิศตะวันตก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U1635"/>
  <sheetViews>
    <sheetView showGridLines="0" view="pageBreakPreview" topLeftCell="A1372" zoomScale="70" zoomScaleNormal="100" zoomScaleSheetLayoutView="70" workbookViewId="0">
      <selection activeCell="G1254" sqref="G1254"/>
    </sheetView>
  </sheetViews>
  <sheetFormatPr defaultColWidth="9" defaultRowHeight="23.7"/>
  <cols>
    <col min="1" max="1" width="9.5859375" style="1051" customWidth="1"/>
    <col min="2" max="3" width="6.703125" style="45" customWidth="1"/>
    <col min="4" max="4" width="56.703125" style="45" customWidth="1"/>
    <col min="5" max="5" width="17" style="45" customWidth="1"/>
    <col min="6" max="6" width="12.703125" style="45" customWidth="1"/>
    <col min="7" max="7" width="16.703125" style="45" customWidth="1"/>
    <col min="8" max="8" width="22.703125" style="45" customWidth="1"/>
    <col min="9" max="9" width="16.703125" style="45" customWidth="1"/>
    <col min="10" max="10" width="22.703125" style="45" customWidth="1"/>
    <col min="11" max="11" width="24.703125" style="45" customWidth="1"/>
    <col min="12" max="12" width="15.703125" style="45" customWidth="1"/>
    <col min="13" max="14" width="7.703125" style="45" customWidth="1"/>
    <col min="15" max="15" width="17.29296875" style="45" bestFit="1" customWidth="1"/>
    <col min="16" max="16" width="18" style="45" customWidth="1"/>
    <col min="17" max="17" width="14" style="45" bestFit="1" customWidth="1"/>
    <col min="18" max="99" width="7.703125" style="45" customWidth="1"/>
    <col min="100" max="16384" width="9" style="45"/>
  </cols>
  <sheetData>
    <row r="1" spans="1:15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5" ht="25.15" customHeight="1">
      <c r="A2" s="11" t="s">
        <v>2</v>
      </c>
      <c r="B2" s="36"/>
      <c r="C2" s="37"/>
      <c r="D2" s="12" t="s">
        <v>860</v>
      </c>
      <c r="E2" s="37"/>
      <c r="F2" s="13"/>
      <c r="G2" s="13"/>
      <c r="H2" s="13"/>
      <c r="I2" s="13"/>
      <c r="J2" s="14"/>
      <c r="K2" s="13"/>
      <c r="L2" s="15"/>
    </row>
    <row r="3" spans="1:15" ht="25.15" customHeight="1">
      <c r="A3" s="16" t="s">
        <v>33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5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5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5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5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5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5" s="35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887" t="s">
        <v>14</v>
      </c>
      <c r="L9" s="2224" t="s">
        <v>15</v>
      </c>
    </row>
    <row r="10" spans="1:15" s="35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888" t="s">
        <v>18</v>
      </c>
      <c r="L10" s="2225"/>
    </row>
    <row r="11" spans="1:15" ht="24" customHeight="1">
      <c r="A11" s="919" t="s">
        <v>38</v>
      </c>
      <c r="B11" s="920" t="s">
        <v>39</v>
      </c>
      <c r="C11" s="921"/>
      <c r="D11" s="46"/>
      <c r="E11" s="47"/>
      <c r="F11" s="47"/>
      <c r="G11" s="922"/>
      <c r="H11" s="49"/>
      <c r="I11" s="50"/>
      <c r="J11" s="49"/>
      <c r="K11" s="51"/>
      <c r="L11" s="52"/>
    </row>
    <row r="12" spans="1:15" ht="24" customHeight="1">
      <c r="A12" s="57"/>
      <c r="B12" s="58"/>
      <c r="C12" s="53"/>
      <c r="D12" s="46"/>
      <c r="E12" s="47"/>
      <c r="F12" s="47"/>
      <c r="G12" s="922"/>
      <c r="H12" s="49"/>
      <c r="I12" s="50"/>
      <c r="J12" s="49"/>
      <c r="K12" s="51"/>
      <c r="L12" s="52"/>
    </row>
    <row r="13" spans="1:15" s="933" customFormat="1" ht="24" customHeight="1">
      <c r="A13" s="923">
        <f>A36</f>
        <v>1.1000000000000001</v>
      </c>
      <c r="B13" s="924" t="str">
        <f>B36</f>
        <v xml:space="preserve">งานโครงสร้าง คสล. ชั้นที่ 1 </v>
      </c>
      <c r="C13" s="925"/>
      <c r="D13" s="926"/>
      <c r="E13" s="927">
        <v>1</v>
      </c>
      <c r="F13" s="928" t="s">
        <v>19</v>
      </c>
      <c r="G13" s="929"/>
      <c r="H13" s="930">
        <f>H110</f>
        <v>7434460.3499999996</v>
      </c>
      <c r="I13" s="931"/>
      <c r="J13" s="930">
        <f>J110</f>
        <v>1271475.8999999999</v>
      </c>
      <c r="K13" s="930">
        <f>H13+J13</f>
        <v>8705936.25</v>
      </c>
      <c r="L13" s="932"/>
      <c r="O13" s="1110">
        <v>7943351.1499999994</v>
      </c>
    </row>
    <row r="14" spans="1:15" s="933" customFormat="1" ht="24" customHeight="1">
      <c r="A14" s="923">
        <f>+A111</f>
        <v>1.2</v>
      </c>
      <c r="B14" s="924" t="str">
        <f>B111</f>
        <v>งานโครงสร้าง คสล. ชั้นที่ 2</v>
      </c>
      <c r="C14" s="925"/>
      <c r="D14" s="926"/>
      <c r="E14" s="927">
        <v>1</v>
      </c>
      <c r="F14" s="928" t="s">
        <v>19</v>
      </c>
      <c r="G14" s="934"/>
      <c r="H14" s="930">
        <f>H235</f>
        <v>16368065.07</v>
      </c>
      <c r="I14" s="931"/>
      <c r="J14" s="930">
        <f>J235</f>
        <v>3117056.86</v>
      </c>
      <c r="K14" s="930">
        <f t="shared" ref="K14:K27" si="0">H14+J14</f>
        <v>19485121.93</v>
      </c>
      <c r="L14" s="932"/>
      <c r="O14" s="1110">
        <v>18265362.710000001</v>
      </c>
    </row>
    <row r="15" spans="1:15" s="933" customFormat="1" ht="24" customHeight="1">
      <c r="A15" s="923">
        <f>A236</f>
        <v>1.3</v>
      </c>
      <c r="B15" s="924" t="str">
        <f>B236</f>
        <v>งานโครงสร้าง คสล. ชั้นที่ 3</v>
      </c>
      <c r="C15" s="925"/>
      <c r="D15" s="926"/>
      <c r="E15" s="927">
        <v>1</v>
      </c>
      <c r="F15" s="928" t="s">
        <v>19</v>
      </c>
      <c r="G15" s="934"/>
      <c r="H15" s="930">
        <f>H360</f>
        <v>18148215.59</v>
      </c>
      <c r="I15" s="931"/>
      <c r="J15" s="930">
        <f>J360</f>
        <v>3432243.11</v>
      </c>
      <c r="K15" s="930">
        <f t="shared" si="0"/>
        <v>21580458.699999999</v>
      </c>
      <c r="L15" s="932"/>
      <c r="O15" s="1110">
        <v>20166683.199999999</v>
      </c>
    </row>
    <row r="16" spans="1:15" s="933" customFormat="1" ht="24" customHeight="1">
      <c r="A16" s="923">
        <f>A361</f>
        <v>1.4</v>
      </c>
      <c r="B16" s="924" t="str">
        <f>B361</f>
        <v>งานโครงสร้าง คสล. ชั้นที่ 4</v>
      </c>
      <c r="C16" s="925"/>
      <c r="D16" s="926"/>
      <c r="E16" s="927">
        <v>1</v>
      </c>
      <c r="F16" s="928" t="s">
        <v>19</v>
      </c>
      <c r="G16" s="934"/>
      <c r="H16" s="930">
        <f>H485</f>
        <v>16187002.859999999</v>
      </c>
      <c r="I16" s="931"/>
      <c r="J16" s="930">
        <f>J485</f>
        <v>3095622.33</v>
      </c>
      <c r="K16" s="930">
        <f t="shared" si="0"/>
        <v>19282625.189999998</v>
      </c>
      <c r="L16" s="932"/>
      <c r="O16" s="1110">
        <v>18060755.98</v>
      </c>
    </row>
    <row r="17" spans="1:15" s="933" customFormat="1" ht="24" customHeight="1">
      <c r="A17" s="923">
        <f>A486</f>
        <v>1.5</v>
      </c>
      <c r="B17" s="924" t="str">
        <f>B486</f>
        <v>งานโครงสร้าง คสล. ชั้นที่ 5</v>
      </c>
      <c r="C17" s="925"/>
      <c r="D17" s="926"/>
      <c r="E17" s="927">
        <v>1</v>
      </c>
      <c r="F17" s="928" t="s">
        <v>19</v>
      </c>
      <c r="G17" s="934"/>
      <c r="H17" s="930">
        <f>H610</f>
        <v>17943641.07</v>
      </c>
      <c r="I17" s="931"/>
      <c r="J17" s="930">
        <f>J610</f>
        <v>3455836.56</v>
      </c>
      <c r="K17" s="930">
        <f>H17+J17</f>
        <v>21399477.629999999</v>
      </c>
      <c r="L17" s="932"/>
      <c r="O17" s="1110">
        <v>20107175.780000001</v>
      </c>
    </row>
    <row r="18" spans="1:15" s="933" customFormat="1" ht="24" customHeight="1">
      <c r="A18" s="923">
        <f>A611</f>
        <v>1.6</v>
      </c>
      <c r="B18" s="924" t="str">
        <f>B611</f>
        <v>งานโครงสร้าง คสล. ชั้นที่ 6</v>
      </c>
      <c r="C18" s="925"/>
      <c r="D18" s="926"/>
      <c r="E18" s="927">
        <v>1</v>
      </c>
      <c r="F18" s="928" t="s">
        <v>19</v>
      </c>
      <c r="G18" s="934"/>
      <c r="H18" s="930">
        <f>H735</f>
        <v>15602250.460000001</v>
      </c>
      <c r="I18" s="931"/>
      <c r="J18" s="930">
        <f>J735</f>
        <v>3101611.39</v>
      </c>
      <c r="K18" s="930">
        <f t="shared" si="0"/>
        <v>18703861.850000001</v>
      </c>
      <c r="L18" s="932"/>
      <c r="O18" s="1110">
        <v>17661599.16</v>
      </c>
    </row>
    <row r="19" spans="1:15" s="933" customFormat="1" ht="24" customHeight="1">
      <c r="A19" s="923">
        <f>A736</f>
        <v>1.7</v>
      </c>
      <c r="B19" s="924" t="str">
        <f>B736</f>
        <v>งานโครงสร้าง คสล. ชั้นที่ 7</v>
      </c>
      <c r="C19" s="925"/>
      <c r="D19" s="926"/>
      <c r="E19" s="927">
        <v>1</v>
      </c>
      <c r="F19" s="928" t="s">
        <v>19</v>
      </c>
      <c r="G19" s="934"/>
      <c r="H19" s="930">
        <f>H860</f>
        <v>15674429.27</v>
      </c>
      <c r="I19" s="931"/>
      <c r="J19" s="930">
        <f>J860</f>
        <v>3115061.14</v>
      </c>
      <c r="K19" s="930">
        <f t="shared" si="0"/>
        <v>18789490.41</v>
      </c>
      <c r="L19" s="932"/>
      <c r="O19" s="1110">
        <v>17731237.010000002</v>
      </c>
    </row>
    <row r="20" spans="1:15" s="933" customFormat="1" ht="24" customHeight="1">
      <c r="A20" s="923">
        <f>A861</f>
        <v>1.8</v>
      </c>
      <c r="B20" s="924" t="str">
        <f>B861</f>
        <v>งานโครงสร้าง คสล. ชั้นที่ 8</v>
      </c>
      <c r="C20" s="925"/>
      <c r="D20" s="926"/>
      <c r="E20" s="927">
        <v>1</v>
      </c>
      <c r="F20" s="928" t="s">
        <v>19</v>
      </c>
      <c r="G20" s="934"/>
      <c r="H20" s="930">
        <f>H985</f>
        <v>15532294.16</v>
      </c>
      <c r="I20" s="931"/>
      <c r="J20" s="930">
        <f>J985</f>
        <v>3105210.35</v>
      </c>
      <c r="K20" s="930">
        <f t="shared" si="0"/>
        <v>18637504.510000002</v>
      </c>
      <c r="L20" s="932"/>
      <c r="O20" s="1110">
        <v>17595673.690000001</v>
      </c>
    </row>
    <row r="21" spans="1:15" s="933" customFormat="1" ht="24" customHeight="1">
      <c r="A21" s="923" t="str">
        <f>A986</f>
        <v>1.9</v>
      </c>
      <c r="B21" s="924" t="str">
        <f>B986</f>
        <v>งานโครงสร้าง คสล. ชั้นที่ 9</v>
      </c>
      <c r="C21" s="925"/>
      <c r="D21" s="926"/>
      <c r="E21" s="927">
        <v>1</v>
      </c>
      <c r="F21" s="928" t="s">
        <v>19</v>
      </c>
      <c r="G21" s="934"/>
      <c r="H21" s="930">
        <f>H1110</f>
        <v>15605913.140000001</v>
      </c>
      <c r="I21" s="931"/>
      <c r="J21" s="930">
        <f>J1110</f>
        <v>3118882.49</v>
      </c>
      <c r="K21" s="930">
        <f t="shared" si="0"/>
        <v>18724795.630000003</v>
      </c>
      <c r="L21" s="932"/>
      <c r="O21" s="1110">
        <v>17713849.25</v>
      </c>
    </row>
    <row r="22" spans="1:15" s="933" customFormat="1" ht="24" customHeight="1">
      <c r="A22" s="935" t="str">
        <f>A1111</f>
        <v>1.10</v>
      </c>
      <c r="B22" s="924" t="str">
        <f>B1111</f>
        <v>งานโครงสร้าง คสล. ชั้นที่ 10</v>
      </c>
      <c r="C22" s="925"/>
      <c r="D22" s="926"/>
      <c r="E22" s="927">
        <v>1</v>
      </c>
      <c r="F22" s="928" t="s">
        <v>19</v>
      </c>
      <c r="G22" s="934"/>
      <c r="H22" s="930">
        <f>H1235</f>
        <v>15675018.25</v>
      </c>
      <c r="I22" s="931"/>
      <c r="J22" s="930">
        <f>J1235</f>
        <v>3131637.95</v>
      </c>
      <c r="K22" s="930">
        <f t="shared" si="0"/>
        <v>18806656.199999999</v>
      </c>
      <c r="L22" s="932"/>
      <c r="O22" s="1110">
        <v>17791110.379999999</v>
      </c>
    </row>
    <row r="23" spans="1:15" s="933" customFormat="1" ht="24" customHeight="1">
      <c r="A23" s="935" t="str">
        <f>A1236</f>
        <v>1.11</v>
      </c>
      <c r="B23" s="924" t="str">
        <f>B1236</f>
        <v>งานโครงสร้าง คสล. ชั้นที่ 11</v>
      </c>
      <c r="C23" s="925"/>
      <c r="D23" s="926"/>
      <c r="E23" s="927">
        <v>1</v>
      </c>
      <c r="F23" s="928" t="s">
        <v>19</v>
      </c>
      <c r="G23" s="934"/>
      <c r="H23" s="930">
        <f>H1360</f>
        <v>16306554.51</v>
      </c>
      <c r="I23" s="931"/>
      <c r="J23" s="930">
        <f>J1360</f>
        <v>3268273.22</v>
      </c>
      <c r="K23" s="930">
        <f t="shared" si="0"/>
        <v>19574827.73</v>
      </c>
      <c r="L23" s="932"/>
      <c r="O23" s="1110">
        <v>18509602.699999999</v>
      </c>
    </row>
    <row r="24" spans="1:15" s="933" customFormat="1" ht="24" customHeight="1">
      <c r="A24" s="935" t="str">
        <f>A1361</f>
        <v>1.12</v>
      </c>
      <c r="B24" s="924" t="str">
        <f>B1361</f>
        <v>งานโครงสร้าง คสล. ชั้นหลังคา</v>
      </c>
      <c r="C24" s="925"/>
      <c r="D24" s="926"/>
      <c r="E24" s="927">
        <v>1</v>
      </c>
      <c r="F24" s="928" t="s">
        <v>19</v>
      </c>
      <c r="G24" s="934"/>
      <c r="H24" s="930">
        <f>H1485</f>
        <v>23227272.23</v>
      </c>
      <c r="I24" s="931"/>
      <c r="J24" s="930">
        <f>J1485</f>
        <v>4620226.3499999996</v>
      </c>
      <c r="K24" s="930">
        <f t="shared" si="0"/>
        <v>27847498.579999998</v>
      </c>
      <c r="L24" s="932"/>
      <c r="O24" s="1110">
        <v>28874708.710000001</v>
      </c>
    </row>
    <row r="25" spans="1:15" s="933" customFormat="1" ht="24" customHeight="1">
      <c r="A25" s="935" t="str">
        <f>A1486</f>
        <v>1.13</v>
      </c>
      <c r="B25" s="924" t="str">
        <f>B1486</f>
        <v>งานโครงสร้าง คสล. ชั้นคลุมหลังคา</v>
      </c>
      <c r="C25" s="925"/>
      <c r="D25" s="926"/>
      <c r="E25" s="927">
        <v>1</v>
      </c>
      <c r="F25" s="928" t="s">
        <v>19</v>
      </c>
      <c r="G25" s="934"/>
      <c r="H25" s="930">
        <f>H1535</f>
        <v>4536723.63</v>
      </c>
      <c r="I25" s="931"/>
      <c r="J25" s="930">
        <f>J1535</f>
        <v>781003.85</v>
      </c>
      <c r="K25" s="930">
        <f t="shared" si="0"/>
        <v>5317727.4799999995</v>
      </c>
      <c r="L25" s="932"/>
      <c r="O25" s="1110">
        <v>4095551.26</v>
      </c>
    </row>
    <row r="26" spans="1:15" s="933" customFormat="1" ht="24" customHeight="1">
      <c r="A26" s="935" t="str">
        <f>A1536</f>
        <v>1.14</v>
      </c>
      <c r="B26" s="924" t="str">
        <f>B1536</f>
        <v>งานโครงสร้างเหล็กรูปพรรณ (รวมค่าเชื่อมประกอบและการยกติดตั้ง)</v>
      </c>
      <c r="C26" s="925"/>
      <c r="D26" s="926"/>
      <c r="E26" s="927">
        <v>1</v>
      </c>
      <c r="F26" s="928" t="s">
        <v>19</v>
      </c>
      <c r="G26" s="934"/>
      <c r="H26" s="930">
        <f>H1560</f>
        <v>2291069.35</v>
      </c>
      <c r="I26" s="931"/>
      <c r="J26" s="930">
        <f>J1560</f>
        <v>966131.18</v>
      </c>
      <c r="K26" s="930">
        <f t="shared" si="0"/>
        <v>3257200.5300000003</v>
      </c>
      <c r="L26" s="932"/>
      <c r="O26" s="1110">
        <v>2979961.29</v>
      </c>
    </row>
    <row r="27" spans="1:15" s="933" customFormat="1" ht="24" customHeight="1">
      <c r="A27" s="935" t="str">
        <f>A1561</f>
        <v>1.15</v>
      </c>
      <c r="B27" s="924" t="str">
        <f>B1561</f>
        <v>งานเบ็ดเตล็ดและอื่นๆ</v>
      </c>
      <c r="C27" s="925"/>
      <c r="D27" s="926"/>
      <c r="E27" s="927">
        <v>1</v>
      </c>
      <c r="F27" s="928" t="s">
        <v>19</v>
      </c>
      <c r="G27" s="934"/>
      <c r="H27" s="930">
        <f>H1635</f>
        <v>4025700.87</v>
      </c>
      <c r="I27" s="931"/>
      <c r="J27" s="930">
        <f>J1635</f>
        <v>959851.74</v>
      </c>
      <c r="K27" s="930">
        <f t="shared" si="0"/>
        <v>4985552.6100000003</v>
      </c>
      <c r="L27" s="932"/>
      <c r="O27" s="1110">
        <v>1167586.06</v>
      </c>
    </row>
    <row r="28" spans="1:15" s="933" customFormat="1" ht="24" customHeight="1">
      <c r="A28" s="935"/>
      <c r="B28" s="936"/>
      <c r="C28" s="925"/>
      <c r="D28" s="926"/>
      <c r="E28" s="928"/>
      <c r="F28" s="928"/>
      <c r="G28" s="934"/>
      <c r="H28" s="930"/>
      <c r="I28" s="931"/>
      <c r="J28" s="930"/>
      <c r="K28" s="937"/>
      <c r="L28" s="932"/>
    </row>
    <row r="29" spans="1:15" s="933" customFormat="1" ht="24" customHeight="1">
      <c r="A29" s="935"/>
      <c r="B29" s="936"/>
      <c r="C29" s="925"/>
      <c r="D29" s="926"/>
      <c r="E29" s="928"/>
      <c r="F29" s="928"/>
      <c r="G29" s="934"/>
      <c r="H29" s="930"/>
      <c r="I29" s="931"/>
      <c r="J29" s="930"/>
      <c r="K29" s="937"/>
      <c r="L29" s="932"/>
    </row>
    <row r="30" spans="1:15" s="933" customFormat="1" ht="24" customHeight="1">
      <c r="A30" s="938"/>
      <c r="B30" s="936"/>
      <c r="C30" s="925"/>
      <c r="D30" s="926"/>
      <c r="E30" s="928"/>
      <c r="F30" s="928"/>
      <c r="G30" s="934"/>
      <c r="H30" s="930"/>
      <c r="I30" s="931"/>
      <c r="J30" s="930"/>
      <c r="K30" s="937"/>
      <c r="L30" s="932"/>
    </row>
    <row r="31" spans="1:15" s="933" customFormat="1" ht="24" customHeight="1">
      <c r="A31" s="927"/>
      <c r="B31" s="936"/>
      <c r="C31" s="925"/>
      <c r="D31" s="926"/>
      <c r="E31" s="928"/>
      <c r="F31" s="928"/>
      <c r="G31" s="934"/>
      <c r="H31" s="930"/>
      <c r="I31" s="931"/>
      <c r="J31" s="930"/>
      <c r="K31" s="937"/>
      <c r="L31" s="932"/>
    </row>
    <row r="32" spans="1:15" s="933" customFormat="1" ht="24" customHeight="1">
      <c r="A32" s="927"/>
      <c r="B32" s="936"/>
      <c r="C32" s="925"/>
      <c r="D32" s="926"/>
      <c r="E32" s="928"/>
      <c r="F32" s="928"/>
      <c r="G32" s="934"/>
      <c r="H32" s="930"/>
      <c r="I32" s="931"/>
      <c r="J32" s="930"/>
      <c r="K32" s="937"/>
      <c r="L32" s="932"/>
    </row>
    <row r="33" spans="1:21" s="933" customFormat="1" ht="24" customHeight="1">
      <c r="A33" s="927"/>
      <c r="B33" s="936"/>
      <c r="C33" s="925"/>
      <c r="D33" s="926"/>
      <c r="E33" s="928"/>
      <c r="F33" s="928"/>
      <c r="G33" s="934"/>
      <c r="H33" s="930"/>
      <c r="I33" s="931"/>
      <c r="J33" s="930"/>
      <c r="K33" s="937"/>
      <c r="L33" s="932"/>
      <c r="P33" s="939"/>
    </row>
    <row r="34" spans="1:21" s="933" customFormat="1" ht="24" customHeight="1">
      <c r="A34" s="940"/>
      <c r="B34" s="941"/>
      <c r="D34" s="942"/>
      <c r="E34" s="943"/>
      <c r="F34" s="943"/>
      <c r="G34" s="944"/>
      <c r="H34" s="945"/>
      <c r="I34" s="946"/>
      <c r="J34" s="945"/>
      <c r="K34" s="947"/>
      <c r="L34" s="948"/>
      <c r="P34" s="939"/>
    </row>
    <row r="35" spans="1:21" s="933" customFormat="1" ht="24" customHeight="1">
      <c r="A35" s="949"/>
      <c r="B35" s="2226" t="str">
        <f>"รวมราคา"&amp;B11</f>
        <v>รวมราคางานโครงสร้าง</v>
      </c>
      <c r="C35" s="2226"/>
      <c r="D35" s="2226"/>
      <c r="E35" s="950"/>
      <c r="F35" s="951"/>
      <c r="G35" s="952"/>
      <c r="H35" s="953">
        <f>SUM(H13:H34)</f>
        <v>204558610.80999997</v>
      </c>
      <c r="I35" s="953"/>
      <c r="J35" s="953">
        <f>SUM(J13:J34)</f>
        <v>40540124.420000002</v>
      </c>
      <c r="K35" s="953">
        <f>SUM(K13:K34)</f>
        <v>245098735.22999996</v>
      </c>
      <c r="L35" s="953"/>
      <c r="M35" s="954"/>
      <c r="N35" s="954"/>
      <c r="O35" s="955"/>
      <c r="P35" s="955"/>
      <c r="Q35" s="954"/>
      <c r="R35" s="954"/>
      <c r="S35" s="954"/>
      <c r="T35" s="954"/>
      <c r="U35" s="954"/>
    </row>
    <row r="36" spans="1:21" s="933" customFormat="1" ht="24" customHeight="1">
      <c r="A36" s="956">
        <v>1.1000000000000001</v>
      </c>
      <c r="B36" s="957" t="s">
        <v>861</v>
      </c>
      <c r="C36" s="958"/>
      <c r="D36" s="958"/>
      <c r="E36" s="959"/>
      <c r="F36" s="960"/>
      <c r="G36" s="961"/>
      <c r="H36" s="962"/>
      <c r="I36" s="963"/>
      <c r="J36" s="962"/>
      <c r="K36" s="964"/>
      <c r="L36" s="965"/>
      <c r="M36" s="954"/>
      <c r="N36" s="954"/>
      <c r="O36" s="954"/>
      <c r="P36" s="954"/>
      <c r="Q36" s="954"/>
      <c r="R36" s="954"/>
      <c r="S36" s="954"/>
      <c r="T36" s="954"/>
      <c r="U36" s="954"/>
    </row>
    <row r="37" spans="1:21" s="933" customFormat="1" ht="24" customHeight="1">
      <c r="A37" s="928"/>
      <c r="B37" s="966"/>
      <c r="C37" s="966"/>
      <c r="D37" s="966"/>
      <c r="E37" s="967"/>
      <c r="F37" s="968"/>
      <c r="G37" s="969"/>
      <c r="H37" s="930"/>
      <c r="I37" s="970"/>
      <c r="J37" s="930"/>
      <c r="K37" s="931"/>
      <c r="L37" s="971"/>
      <c r="M37" s="954"/>
      <c r="N37" s="954"/>
      <c r="O37" s="954"/>
      <c r="P37" s="954"/>
      <c r="Q37" s="954"/>
      <c r="R37" s="954"/>
      <c r="S37" s="954"/>
      <c r="T37" s="954"/>
      <c r="U37" s="954"/>
    </row>
    <row r="38" spans="1:21" s="933" customFormat="1" ht="24" customHeight="1">
      <c r="A38" s="956" t="s">
        <v>862</v>
      </c>
      <c r="B38" s="957" t="s">
        <v>863</v>
      </c>
      <c r="C38" s="972"/>
      <c r="D38" s="973"/>
      <c r="E38" s="967"/>
      <c r="F38" s="974"/>
      <c r="G38" s="969"/>
      <c r="H38" s="930"/>
      <c r="I38" s="970"/>
      <c r="J38" s="930"/>
      <c r="K38" s="931"/>
      <c r="L38" s="971"/>
      <c r="M38" s="954"/>
      <c r="N38" s="954"/>
      <c r="O38" s="954"/>
      <c r="P38" s="954"/>
      <c r="Q38" s="954"/>
      <c r="R38" s="954"/>
      <c r="S38" s="954"/>
      <c r="T38" s="954"/>
      <c r="U38" s="954"/>
    </row>
    <row r="39" spans="1:21" s="933" customFormat="1" ht="24" customHeight="1">
      <c r="A39" s="975"/>
      <c r="B39" s="976" t="s">
        <v>864</v>
      </c>
      <c r="C39" s="977"/>
      <c r="D39" s="977"/>
      <c r="E39" s="978">
        <v>325.7</v>
      </c>
      <c r="F39" s="974" t="s">
        <v>865</v>
      </c>
      <c r="G39" s="969">
        <v>2516</v>
      </c>
      <c r="H39" s="930">
        <f t="shared" ref="H39:H52" si="1">ROUND(E39*G39,2)</f>
        <v>819461.2</v>
      </c>
      <c r="I39" s="970">
        <v>485</v>
      </c>
      <c r="J39" s="930">
        <f t="shared" ref="J39:J52" si="2">ROUND(E39*I39,2)</f>
        <v>157964.5</v>
      </c>
      <c r="K39" s="931">
        <f t="shared" ref="K39:K53" si="3">H39+J39</f>
        <v>977425.7</v>
      </c>
      <c r="L39" s="971"/>
      <c r="M39" s="954"/>
      <c r="N39" s="954"/>
      <c r="O39" s="955"/>
      <c r="P39" s="954"/>
      <c r="Q39" s="954"/>
      <c r="R39" s="954"/>
      <c r="S39" s="954"/>
      <c r="T39" s="954"/>
      <c r="U39" s="954"/>
    </row>
    <row r="40" spans="1:21" s="933" customFormat="1" ht="24" customHeight="1">
      <c r="A40" s="975"/>
      <c r="B40" s="979" t="s">
        <v>866</v>
      </c>
      <c r="C40" s="976"/>
      <c r="D40" s="976"/>
      <c r="E40" s="978"/>
      <c r="F40" s="974"/>
      <c r="G40" s="969"/>
      <c r="H40" s="930">
        <f t="shared" si="1"/>
        <v>0</v>
      </c>
      <c r="I40" s="970"/>
      <c r="J40" s="930">
        <f t="shared" si="2"/>
        <v>0</v>
      </c>
      <c r="K40" s="931">
        <f t="shared" si="3"/>
        <v>0</v>
      </c>
      <c r="L40" s="971"/>
      <c r="M40" s="954"/>
      <c r="N40" s="954"/>
      <c r="O40" s="954"/>
      <c r="P40" s="954"/>
      <c r="Q40" s="954"/>
      <c r="R40" s="954"/>
      <c r="S40" s="954"/>
      <c r="T40" s="954"/>
      <c r="U40" s="954"/>
    </row>
    <row r="41" spans="1:21" s="933" customFormat="1" ht="24" customHeight="1">
      <c r="A41" s="975"/>
      <c r="B41" s="979"/>
      <c r="C41" s="976" t="s">
        <v>867</v>
      </c>
      <c r="D41" s="976"/>
      <c r="E41" s="978">
        <f>E42/2</f>
        <v>730.02</v>
      </c>
      <c r="F41" s="974" t="s">
        <v>34</v>
      </c>
      <c r="G41" s="969">
        <v>661.62</v>
      </c>
      <c r="H41" s="930">
        <f t="shared" si="1"/>
        <v>482995.83</v>
      </c>
      <c r="I41" s="970"/>
      <c r="J41" s="930">
        <f t="shared" si="2"/>
        <v>0</v>
      </c>
      <c r="K41" s="931">
        <f t="shared" si="3"/>
        <v>482995.83</v>
      </c>
      <c r="L41" s="971"/>
      <c r="M41" s="954"/>
      <c r="N41" s="954"/>
      <c r="O41" s="955">
        <f>E114+E239+E364+E489+E614+E739+E864+E989+E1114+E1239+E1364+E1489</f>
        <v>15305.119999999999</v>
      </c>
      <c r="P41" s="954"/>
      <c r="Q41" s="954"/>
      <c r="R41" s="954"/>
      <c r="S41" s="954"/>
      <c r="T41" s="954"/>
      <c r="U41" s="954"/>
    </row>
    <row r="42" spans="1:21" s="933" customFormat="1" ht="24" customHeight="1">
      <c r="A42" s="975"/>
      <c r="B42" s="979"/>
      <c r="C42" s="976" t="s">
        <v>868</v>
      </c>
      <c r="D42" s="976"/>
      <c r="E42" s="978">
        <v>1460.04</v>
      </c>
      <c r="F42" s="974" t="s">
        <v>34</v>
      </c>
      <c r="G42" s="969"/>
      <c r="H42" s="930">
        <f t="shared" si="1"/>
        <v>0</v>
      </c>
      <c r="I42" s="970">
        <v>154</v>
      </c>
      <c r="J42" s="930">
        <f t="shared" si="2"/>
        <v>224846.16</v>
      </c>
      <c r="K42" s="931">
        <f t="shared" si="3"/>
        <v>224846.16</v>
      </c>
      <c r="L42" s="971"/>
      <c r="M42" s="954"/>
      <c r="N42" s="954"/>
      <c r="O42" s="954"/>
      <c r="P42" s="954"/>
      <c r="Q42" s="954"/>
      <c r="R42" s="954"/>
      <c r="S42" s="954"/>
      <c r="T42" s="954"/>
      <c r="U42" s="954"/>
    </row>
    <row r="43" spans="1:21" s="933" customFormat="1" ht="24" customHeight="1">
      <c r="A43" s="975"/>
      <c r="B43" s="976" t="s">
        <v>869</v>
      </c>
      <c r="C43" s="976"/>
      <c r="D43" s="976"/>
      <c r="E43" s="978">
        <f>(E42*0.25)</f>
        <v>365.01</v>
      </c>
      <c r="F43" s="974" t="s">
        <v>870</v>
      </c>
      <c r="G43" s="969">
        <f>VLOOKUP(B43,$O$43:$P$53,2,FALSE)</f>
        <v>29.94</v>
      </c>
      <c r="H43" s="930">
        <f t="shared" si="1"/>
        <v>10928.4</v>
      </c>
      <c r="I43" s="970"/>
      <c r="J43" s="930">
        <f t="shared" si="2"/>
        <v>0</v>
      </c>
      <c r="K43" s="931">
        <f t="shared" si="3"/>
        <v>10928.4</v>
      </c>
      <c r="L43" s="980"/>
      <c r="M43" s="954"/>
      <c r="N43" s="954"/>
      <c r="O43" s="976" t="s">
        <v>869</v>
      </c>
      <c r="P43" s="969">
        <v>29.94</v>
      </c>
      <c r="Q43" s="954"/>
      <c r="R43" s="954"/>
      <c r="S43" s="954"/>
      <c r="T43" s="954"/>
      <c r="U43" s="954"/>
    </row>
    <row r="44" spans="1:21" s="933" customFormat="1" ht="24" customHeight="1">
      <c r="A44" s="975"/>
      <c r="B44" s="981" t="s">
        <v>871</v>
      </c>
      <c r="C44" s="981"/>
      <c r="D44" s="981"/>
      <c r="E44" s="978"/>
      <c r="F44" s="982"/>
      <c r="G44" s="983"/>
      <c r="H44" s="930">
        <f t="shared" si="1"/>
        <v>0</v>
      </c>
      <c r="I44" s="984"/>
      <c r="J44" s="930">
        <f t="shared" si="2"/>
        <v>0</v>
      </c>
      <c r="K44" s="931">
        <f t="shared" si="3"/>
        <v>0</v>
      </c>
      <c r="L44" s="971"/>
      <c r="M44" s="954"/>
      <c r="N44" s="954"/>
      <c r="O44" s="976" t="s">
        <v>872</v>
      </c>
      <c r="P44" s="983">
        <v>25.73</v>
      </c>
      <c r="Q44" s="955"/>
      <c r="R44" s="954"/>
      <c r="S44" s="954"/>
      <c r="T44" s="954"/>
      <c r="U44" s="954"/>
    </row>
    <row r="45" spans="1:21" s="933" customFormat="1" ht="24" customHeight="1">
      <c r="A45" s="975"/>
      <c r="B45" s="976" t="s">
        <v>872</v>
      </c>
      <c r="C45" s="976"/>
      <c r="D45" s="976"/>
      <c r="E45" s="978">
        <v>0</v>
      </c>
      <c r="F45" s="974" t="s">
        <v>870</v>
      </c>
      <c r="G45" s="969">
        <f>VLOOKUP(B45,$O$43:$P$53,2,FALSE)</f>
        <v>25.73</v>
      </c>
      <c r="H45" s="930">
        <f t="shared" si="1"/>
        <v>0</v>
      </c>
      <c r="I45" s="984">
        <v>4.0999999999999996</v>
      </c>
      <c r="J45" s="930">
        <f t="shared" si="2"/>
        <v>0</v>
      </c>
      <c r="K45" s="931">
        <f t="shared" si="3"/>
        <v>0</v>
      </c>
      <c r="L45" s="980"/>
      <c r="M45" s="954"/>
      <c r="N45" s="954"/>
      <c r="O45" s="976" t="s">
        <v>873</v>
      </c>
      <c r="P45" s="969">
        <v>24.97</v>
      </c>
      <c r="Q45" s="955"/>
      <c r="R45" s="954"/>
      <c r="S45" s="954"/>
      <c r="T45" s="954"/>
      <c r="U45" s="954"/>
    </row>
    <row r="46" spans="1:21" s="933" customFormat="1" ht="24" customHeight="1">
      <c r="A46" s="975"/>
      <c r="B46" s="976" t="s">
        <v>873</v>
      </c>
      <c r="C46" s="976"/>
      <c r="D46" s="976"/>
      <c r="E46" s="978">
        <v>348.98</v>
      </c>
      <c r="F46" s="974" t="s">
        <v>870</v>
      </c>
      <c r="G46" s="969">
        <f t="shared" ref="G46:G53" si="4">VLOOKUP(B46,$O$43:$P$53,2,FALSE)</f>
        <v>24.97</v>
      </c>
      <c r="H46" s="930">
        <f t="shared" si="1"/>
        <v>8714.0300000000007</v>
      </c>
      <c r="I46" s="970">
        <v>4.0999999999999996</v>
      </c>
      <c r="J46" s="930">
        <f t="shared" si="2"/>
        <v>1430.82</v>
      </c>
      <c r="K46" s="931">
        <f t="shared" si="3"/>
        <v>10144.85</v>
      </c>
      <c r="L46" s="971"/>
      <c r="M46" s="954"/>
      <c r="N46" s="954"/>
      <c r="O46" s="976" t="s">
        <v>1039</v>
      </c>
      <c r="P46" s="955">
        <v>23.5</v>
      </c>
      <c r="Q46" s="954"/>
      <c r="R46" s="954"/>
      <c r="S46" s="954"/>
      <c r="T46" s="954"/>
      <c r="U46" s="954"/>
    </row>
    <row r="47" spans="1:21" s="933" customFormat="1" ht="24" customHeight="1">
      <c r="A47" s="975"/>
      <c r="B47" s="976" t="s">
        <v>874</v>
      </c>
      <c r="C47" s="976"/>
      <c r="D47" s="976"/>
      <c r="E47" s="978">
        <v>23705.91</v>
      </c>
      <c r="F47" s="974" t="s">
        <v>870</v>
      </c>
      <c r="G47" s="969">
        <f t="shared" si="4"/>
        <v>24.47</v>
      </c>
      <c r="H47" s="930">
        <f t="shared" si="1"/>
        <v>580083.62</v>
      </c>
      <c r="I47" s="970">
        <v>3.3</v>
      </c>
      <c r="J47" s="930">
        <f t="shared" si="2"/>
        <v>78229.5</v>
      </c>
      <c r="K47" s="931">
        <f t="shared" si="3"/>
        <v>658313.12</v>
      </c>
      <c r="L47" s="971"/>
      <c r="M47" s="954"/>
      <c r="N47" s="954"/>
      <c r="O47" s="976" t="s">
        <v>874</v>
      </c>
      <c r="P47" s="969">
        <v>24.47</v>
      </c>
      <c r="Q47" s="954"/>
      <c r="R47" s="954"/>
      <c r="S47" s="954"/>
      <c r="T47" s="954"/>
      <c r="U47" s="954"/>
    </row>
    <row r="48" spans="1:21" s="933" customFormat="1" ht="24" customHeight="1">
      <c r="A48" s="975"/>
      <c r="B48" s="981" t="s">
        <v>875</v>
      </c>
      <c r="C48" s="981"/>
      <c r="D48" s="981"/>
      <c r="E48" s="978">
        <v>79.97</v>
      </c>
      <c r="F48" s="982" t="s">
        <v>870</v>
      </c>
      <c r="G48" s="969">
        <f t="shared" si="4"/>
        <v>24.27</v>
      </c>
      <c r="H48" s="930">
        <f t="shared" si="1"/>
        <v>1940.87</v>
      </c>
      <c r="I48" s="970">
        <v>3.3</v>
      </c>
      <c r="J48" s="930">
        <f t="shared" si="2"/>
        <v>263.89999999999998</v>
      </c>
      <c r="K48" s="931">
        <f t="shared" si="3"/>
        <v>2204.77</v>
      </c>
      <c r="L48" s="971"/>
      <c r="M48" s="954"/>
      <c r="N48" s="954"/>
      <c r="O48" s="981" t="s">
        <v>875</v>
      </c>
      <c r="P48" s="969">
        <v>24.27</v>
      </c>
      <c r="Q48" s="954"/>
      <c r="R48" s="954"/>
      <c r="S48" s="954"/>
      <c r="T48" s="954"/>
      <c r="U48" s="954"/>
    </row>
    <row r="49" spans="1:21" s="933" customFormat="1" ht="24" customHeight="1">
      <c r="A49" s="975"/>
      <c r="B49" s="976" t="s">
        <v>876</v>
      </c>
      <c r="C49" s="976"/>
      <c r="D49" s="976"/>
      <c r="E49" s="978">
        <v>0</v>
      </c>
      <c r="F49" s="974" t="s">
        <v>870</v>
      </c>
      <c r="G49" s="969">
        <f t="shared" si="4"/>
        <v>24.27</v>
      </c>
      <c r="H49" s="930">
        <f t="shared" si="1"/>
        <v>0</v>
      </c>
      <c r="I49" s="970">
        <v>2.9</v>
      </c>
      <c r="J49" s="930">
        <f t="shared" si="2"/>
        <v>0</v>
      </c>
      <c r="K49" s="931">
        <f t="shared" si="3"/>
        <v>0</v>
      </c>
      <c r="L49" s="971"/>
      <c r="M49" s="954"/>
      <c r="N49" s="954"/>
      <c r="O49" s="976" t="s">
        <v>876</v>
      </c>
      <c r="P49" s="969">
        <v>24.27</v>
      </c>
      <c r="Q49" s="954"/>
      <c r="R49" s="954"/>
      <c r="S49" s="954"/>
      <c r="T49" s="954"/>
      <c r="U49" s="954"/>
    </row>
    <row r="50" spans="1:21" s="933" customFormat="1" ht="24" customHeight="1">
      <c r="A50" s="975"/>
      <c r="B50" s="976" t="s">
        <v>877</v>
      </c>
      <c r="C50" s="976"/>
      <c r="D50" s="976"/>
      <c r="E50" s="978">
        <v>4172.4800000000005</v>
      </c>
      <c r="F50" s="974" t="s">
        <v>870</v>
      </c>
      <c r="G50" s="969">
        <f t="shared" si="4"/>
        <v>24.27</v>
      </c>
      <c r="H50" s="930">
        <f t="shared" si="1"/>
        <v>101266.09</v>
      </c>
      <c r="I50" s="970">
        <v>2.9</v>
      </c>
      <c r="J50" s="930">
        <f t="shared" si="2"/>
        <v>12100.19</v>
      </c>
      <c r="K50" s="931">
        <f t="shared" si="3"/>
        <v>113366.28</v>
      </c>
      <c r="L50" s="971"/>
      <c r="M50" s="954"/>
      <c r="N50" s="954"/>
      <c r="O50" s="976" t="s">
        <v>877</v>
      </c>
      <c r="P50" s="969">
        <v>24.27</v>
      </c>
      <c r="Q50" s="954"/>
      <c r="R50" s="954"/>
      <c r="S50" s="954"/>
      <c r="T50" s="954"/>
      <c r="U50" s="954"/>
    </row>
    <row r="51" spans="1:21" s="933" customFormat="1" ht="24" customHeight="1">
      <c r="A51" s="975"/>
      <c r="B51" s="976" t="s">
        <v>878</v>
      </c>
      <c r="C51" s="976"/>
      <c r="D51" s="976"/>
      <c r="E51" s="978">
        <v>125671.67999999999</v>
      </c>
      <c r="F51" s="974" t="s">
        <v>870</v>
      </c>
      <c r="G51" s="969">
        <f t="shared" si="4"/>
        <v>24.27</v>
      </c>
      <c r="H51" s="930">
        <f t="shared" si="1"/>
        <v>3050051.67</v>
      </c>
      <c r="I51" s="970">
        <v>2.9</v>
      </c>
      <c r="J51" s="930">
        <f t="shared" si="2"/>
        <v>364447.87</v>
      </c>
      <c r="K51" s="931">
        <f t="shared" si="3"/>
        <v>3414499.54</v>
      </c>
      <c r="L51" s="971"/>
      <c r="M51" s="954"/>
      <c r="N51" s="954"/>
      <c r="O51" s="976" t="s">
        <v>878</v>
      </c>
      <c r="P51" s="969">
        <v>24.27</v>
      </c>
      <c r="Q51" s="954"/>
      <c r="R51" s="954"/>
      <c r="S51" s="954"/>
      <c r="T51" s="954"/>
      <c r="U51" s="954"/>
    </row>
    <row r="52" spans="1:21" s="933" customFormat="1" ht="24" customHeight="1">
      <c r="A52" s="975"/>
      <c r="B52" s="976" t="s">
        <v>879</v>
      </c>
      <c r="C52" s="976"/>
      <c r="D52" s="976"/>
      <c r="E52" s="978"/>
      <c r="F52" s="974" t="s">
        <v>870</v>
      </c>
      <c r="G52" s="969">
        <f t="shared" si="4"/>
        <v>23.8</v>
      </c>
      <c r="H52" s="930">
        <f t="shared" si="1"/>
        <v>0</v>
      </c>
      <c r="I52" s="970">
        <v>2.9</v>
      </c>
      <c r="J52" s="930">
        <f t="shared" si="2"/>
        <v>0</v>
      </c>
      <c r="K52" s="931">
        <f t="shared" si="3"/>
        <v>0</v>
      </c>
      <c r="L52" s="971"/>
      <c r="M52" s="954"/>
      <c r="N52" s="954"/>
      <c r="O52" s="976" t="s">
        <v>879</v>
      </c>
      <c r="P52" s="969">
        <v>23.8</v>
      </c>
      <c r="Q52" s="954"/>
      <c r="R52" s="954"/>
      <c r="S52" s="954"/>
      <c r="T52" s="954"/>
      <c r="U52" s="954"/>
    </row>
    <row r="53" spans="1:21" s="933" customFormat="1" ht="24" customHeight="1">
      <c r="A53" s="975"/>
      <c r="B53" s="976" t="s">
        <v>880</v>
      </c>
      <c r="C53" s="976"/>
      <c r="D53" s="976"/>
      <c r="E53" s="978">
        <f>(SUM(E45:E52)/1000)*30</f>
        <v>4619.3706000000002</v>
      </c>
      <c r="F53" s="974" t="s">
        <v>870</v>
      </c>
      <c r="G53" s="969">
        <f t="shared" si="4"/>
        <v>29.92</v>
      </c>
      <c r="H53" s="930">
        <f t="shared" ref="H53" si="5">ROUND(E53*G53,2)</f>
        <v>138211.57</v>
      </c>
      <c r="I53" s="970"/>
      <c r="J53" s="930">
        <f t="shared" ref="J53" si="6">ROUND(E53*I53,2)</f>
        <v>0</v>
      </c>
      <c r="K53" s="931">
        <f t="shared" si="3"/>
        <v>138211.57</v>
      </c>
      <c r="L53" s="971"/>
      <c r="M53" s="954"/>
      <c r="N53" s="954"/>
      <c r="O53" s="976" t="s">
        <v>880</v>
      </c>
      <c r="P53" s="969">
        <v>29.92</v>
      </c>
      <c r="Q53" s="954"/>
      <c r="R53" s="954"/>
      <c r="S53" s="954"/>
      <c r="T53" s="954"/>
      <c r="U53" s="954"/>
    </row>
    <row r="54" spans="1:21" s="933" customFormat="1" ht="24" customHeight="1">
      <c r="A54" s="975"/>
      <c r="B54" s="976" t="s">
        <v>881</v>
      </c>
      <c r="C54" s="976"/>
      <c r="D54" s="976"/>
      <c r="E54" s="978"/>
      <c r="F54" s="974"/>
      <c r="G54" s="969"/>
      <c r="H54" s="930"/>
      <c r="I54" s="970"/>
      <c r="J54" s="930"/>
      <c r="K54" s="931"/>
      <c r="L54" s="971"/>
      <c r="M54" s="954"/>
      <c r="N54" s="954"/>
      <c r="O54" s="954"/>
      <c r="P54" s="954"/>
      <c r="Q54" s="954"/>
      <c r="R54" s="954"/>
      <c r="S54" s="954"/>
      <c r="T54" s="954"/>
      <c r="U54" s="954"/>
    </row>
    <row r="55" spans="1:21" s="933" customFormat="1" ht="24" customHeight="1">
      <c r="A55" s="975"/>
      <c r="B55" s="976"/>
      <c r="C55" s="976"/>
      <c r="D55" s="976"/>
      <c r="E55" s="985"/>
      <c r="F55" s="974"/>
      <c r="G55" s="969"/>
      <c r="H55" s="930"/>
      <c r="I55" s="970"/>
      <c r="J55" s="930"/>
      <c r="K55" s="931"/>
      <c r="L55" s="971"/>
      <c r="M55" s="954"/>
      <c r="N55" s="954"/>
      <c r="O55" s="954"/>
      <c r="P55" s="954"/>
      <c r="Q55" s="954"/>
      <c r="R55" s="954"/>
      <c r="S55" s="954"/>
      <c r="T55" s="954"/>
      <c r="U55" s="954"/>
    </row>
    <row r="56" spans="1:21" s="933" customFormat="1" ht="24" customHeight="1">
      <c r="A56" s="975"/>
      <c r="B56" s="976"/>
      <c r="C56" s="976"/>
      <c r="D56" s="976"/>
      <c r="E56" s="985"/>
      <c r="F56" s="974"/>
      <c r="G56" s="969"/>
      <c r="H56" s="930"/>
      <c r="I56" s="970"/>
      <c r="J56" s="930"/>
      <c r="K56" s="931"/>
      <c r="L56" s="971"/>
      <c r="M56" s="954"/>
      <c r="N56" s="954"/>
      <c r="O56" s="954"/>
      <c r="P56" s="954"/>
      <c r="Q56" s="954"/>
      <c r="R56" s="954"/>
      <c r="S56" s="954"/>
      <c r="T56" s="954"/>
      <c r="U56" s="954"/>
    </row>
    <row r="57" spans="1:21" s="933" customFormat="1" ht="24" customHeight="1">
      <c r="A57" s="986"/>
      <c r="B57" s="987"/>
      <c r="C57" s="987"/>
      <c r="D57" s="987"/>
      <c r="E57" s="988"/>
      <c r="F57" s="989"/>
      <c r="G57" s="983"/>
      <c r="H57" s="990"/>
      <c r="I57" s="984"/>
      <c r="J57" s="990"/>
      <c r="K57" s="991"/>
      <c r="L57" s="992"/>
      <c r="M57" s="954"/>
      <c r="N57" s="954"/>
      <c r="O57" s="954"/>
      <c r="P57" s="954"/>
      <c r="Q57" s="954"/>
      <c r="R57" s="954"/>
      <c r="S57" s="954"/>
      <c r="T57" s="954"/>
      <c r="U57" s="954"/>
    </row>
    <row r="58" spans="1:21" s="933" customFormat="1" ht="24" customHeight="1">
      <c r="A58" s="993"/>
      <c r="B58" s="987"/>
      <c r="C58" s="987"/>
      <c r="D58" s="987"/>
      <c r="E58" s="988"/>
      <c r="F58" s="989"/>
      <c r="G58" s="983"/>
      <c r="H58" s="990"/>
      <c r="I58" s="984"/>
      <c r="J58" s="990"/>
      <c r="K58" s="991"/>
      <c r="L58" s="992"/>
      <c r="M58" s="954"/>
      <c r="N58" s="954"/>
      <c r="O58" s="954"/>
      <c r="P58" s="954"/>
      <c r="Q58" s="954"/>
      <c r="R58" s="954"/>
      <c r="S58" s="954"/>
      <c r="T58" s="954"/>
      <c r="U58" s="954"/>
    </row>
    <row r="59" spans="1:21" s="933" customFormat="1" ht="24" customHeight="1">
      <c r="A59" s="993"/>
      <c r="B59" s="994"/>
      <c r="C59" s="994"/>
      <c r="D59" s="994"/>
      <c r="E59" s="995"/>
      <c r="F59" s="996"/>
      <c r="G59" s="983"/>
      <c r="H59" s="990"/>
      <c r="I59" s="984"/>
      <c r="J59" s="990"/>
      <c r="K59" s="991"/>
      <c r="L59" s="997"/>
      <c r="M59" s="954"/>
      <c r="N59" s="954"/>
      <c r="O59" s="954"/>
      <c r="P59" s="954"/>
      <c r="Q59" s="954"/>
      <c r="R59" s="954"/>
      <c r="S59" s="954"/>
      <c r="T59" s="954"/>
      <c r="U59" s="954"/>
    </row>
    <row r="60" spans="1:21" s="933" customFormat="1" ht="24" customHeight="1">
      <c r="A60" s="998"/>
      <c r="B60" s="999"/>
      <c r="C60" s="966"/>
      <c r="D60" s="966"/>
      <c r="E60" s="967"/>
      <c r="F60" s="968"/>
      <c r="G60" s="969"/>
      <c r="H60" s="930"/>
      <c r="I60" s="970"/>
      <c r="J60" s="930"/>
      <c r="K60" s="931"/>
      <c r="L60" s="1000"/>
      <c r="M60" s="954"/>
      <c r="N60" s="954"/>
      <c r="O60" s="954"/>
      <c r="P60" s="954"/>
      <c r="Q60" s="954"/>
      <c r="R60" s="954"/>
      <c r="S60" s="954"/>
      <c r="T60" s="954"/>
      <c r="U60" s="954"/>
    </row>
    <row r="61" spans="1:21" s="933" customFormat="1" ht="24" customHeight="1">
      <c r="A61" s="956" t="s">
        <v>882</v>
      </c>
      <c r="B61" s="957" t="s">
        <v>1027</v>
      </c>
      <c r="C61" s="1001"/>
      <c r="D61" s="1002"/>
      <c r="E61" s="1003"/>
      <c r="F61" s="960"/>
      <c r="G61" s="961"/>
      <c r="H61" s="962"/>
      <c r="I61" s="963"/>
      <c r="J61" s="962"/>
      <c r="K61" s="964"/>
      <c r="L61" s="1004"/>
      <c r="M61" s="954"/>
      <c r="N61" s="954"/>
      <c r="O61" s="954"/>
      <c r="P61" s="954"/>
      <c r="Q61" s="954"/>
      <c r="R61" s="954"/>
      <c r="S61" s="954"/>
      <c r="T61" s="954"/>
      <c r="U61" s="954"/>
    </row>
    <row r="62" spans="1:21" s="933" customFormat="1" ht="24" customHeight="1">
      <c r="A62" s="975"/>
      <c r="B62" s="976" t="s">
        <v>864</v>
      </c>
      <c r="C62" s="977"/>
      <c r="D62" s="977"/>
      <c r="E62" s="978">
        <v>162.87</v>
      </c>
      <c r="F62" s="974" t="s">
        <v>865</v>
      </c>
      <c r="G62" s="969">
        <v>2516</v>
      </c>
      <c r="H62" s="930">
        <f t="shared" ref="H62:H75" si="7">ROUND(E62*G62,2)</f>
        <v>409780.92</v>
      </c>
      <c r="I62" s="970">
        <v>485</v>
      </c>
      <c r="J62" s="930">
        <f t="shared" ref="J62:J75" si="8">ROUND(E62*I62,2)</f>
        <v>78991.95</v>
      </c>
      <c r="K62" s="931">
        <f t="shared" ref="K62:K76" si="9">H62+J62</f>
        <v>488772.87</v>
      </c>
      <c r="L62" s="971"/>
      <c r="M62" s="954"/>
      <c r="N62" s="954"/>
      <c r="O62" s="954"/>
      <c r="P62" s="954"/>
      <c r="Q62" s="954"/>
      <c r="R62" s="954"/>
      <c r="S62" s="954"/>
      <c r="T62" s="954"/>
      <c r="U62" s="954"/>
    </row>
    <row r="63" spans="1:21" s="933" customFormat="1" ht="24" customHeight="1">
      <c r="A63" s="975"/>
      <c r="B63" s="979" t="s">
        <v>866</v>
      </c>
      <c r="C63" s="976"/>
      <c r="D63" s="976"/>
      <c r="E63" s="978"/>
      <c r="F63" s="974"/>
      <c r="G63" s="969"/>
      <c r="H63" s="930">
        <f t="shared" si="7"/>
        <v>0</v>
      </c>
      <c r="I63" s="970"/>
      <c r="J63" s="930">
        <f t="shared" si="8"/>
        <v>0</v>
      </c>
      <c r="K63" s="931">
        <f t="shared" si="9"/>
        <v>0</v>
      </c>
      <c r="L63" s="971"/>
      <c r="M63" s="954"/>
      <c r="N63" s="954"/>
      <c r="O63" s="954"/>
      <c r="P63" s="954"/>
      <c r="Q63" s="954"/>
      <c r="R63" s="954"/>
      <c r="S63" s="954"/>
      <c r="T63" s="954"/>
      <c r="U63" s="954"/>
    </row>
    <row r="64" spans="1:21" s="933" customFormat="1" ht="24" customHeight="1">
      <c r="A64" s="975"/>
      <c r="B64" s="979"/>
      <c r="C64" s="976" t="s">
        <v>867</v>
      </c>
      <c r="D64" s="976"/>
      <c r="E64" s="978">
        <f>E65/2</f>
        <v>482.92500000000001</v>
      </c>
      <c r="F64" s="974" t="s">
        <v>34</v>
      </c>
      <c r="G64" s="969">
        <v>661.62</v>
      </c>
      <c r="H64" s="930">
        <f t="shared" si="7"/>
        <v>319512.84000000003</v>
      </c>
      <c r="I64" s="970"/>
      <c r="J64" s="930">
        <f t="shared" si="8"/>
        <v>0</v>
      </c>
      <c r="K64" s="931">
        <f t="shared" si="9"/>
        <v>319512.84000000003</v>
      </c>
      <c r="L64" s="971"/>
      <c r="M64" s="954"/>
      <c r="N64" s="954"/>
      <c r="O64" s="954"/>
      <c r="P64" s="954"/>
      <c r="Q64" s="954"/>
      <c r="R64" s="954"/>
      <c r="S64" s="954"/>
      <c r="T64" s="954"/>
      <c r="U64" s="954"/>
    </row>
    <row r="65" spans="1:21" s="933" customFormat="1" ht="24" customHeight="1">
      <c r="A65" s="975"/>
      <c r="B65" s="979"/>
      <c r="C65" s="976" t="s">
        <v>868</v>
      </c>
      <c r="D65" s="976"/>
      <c r="E65" s="978">
        <v>965.85</v>
      </c>
      <c r="F65" s="974" t="s">
        <v>34</v>
      </c>
      <c r="G65" s="969"/>
      <c r="H65" s="930">
        <f t="shared" si="7"/>
        <v>0</v>
      </c>
      <c r="I65" s="970">
        <v>154</v>
      </c>
      <c r="J65" s="930">
        <f t="shared" si="8"/>
        <v>148740.9</v>
      </c>
      <c r="K65" s="931">
        <f t="shared" si="9"/>
        <v>148740.9</v>
      </c>
      <c r="L65" s="971"/>
      <c r="M65" s="954"/>
      <c r="N65" s="954"/>
      <c r="O65" s="954"/>
      <c r="P65" s="954"/>
      <c r="Q65" s="954"/>
      <c r="R65" s="954"/>
      <c r="S65" s="954"/>
      <c r="T65" s="954"/>
      <c r="U65" s="954"/>
    </row>
    <row r="66" spans="1:21" s="933" customFormat="1" ht="24" customHeight="1">
      <c r="A66" s="975"/>
      <c r="B66" s="976" t="s">
        <v>869</v>
      </c>
      <c r="C66" s="976"/>
      <c r="D66" s="976"/>
      <c r="E66" s="978">
        <f>(E65*0.25)</f>
        <v>241.46250000000001</v>
      </c>
      <c r="F66" s="974" t="s">
        <v>870</v>
      </c>
      <c r="G66" s="969">
        <f t="shared" ref="G66" si="10">VLOOKUP(B66,$O$43:$P$53,2,FALSE)</f>
        <v>29.94</v>
      </c>
      <c r="H66" s="930">
        <f t="shared" si="7"/>
        <v>7229.39</v>
      </c>
      <c r="I66" s="970"/>
      <c r="J66" s="930">
        <f t="shared" si="8"/>
        <v>0</v>
      </c>
      <c r="K66" s="931">
        <f t="shared" si="9"/>
        <v>7229.39</v>
      </c>
      <c r="L66" s="971"/>
      <c r="M66" s="954"/>
      <c r="N66" s="954"/>
      <c r="O66" s="954"/>
      <c r="P66" s="954"/>
      <c r="Q66" s="954"/>
      <c r="R66" s="954"/>
      <c r="S66" s="954"/>
      <c r="T66" s="954"/>
      <c r="U66" s="954"/>
    </row>
    <row r="67" spans="1:21" s="933" customFormat="1" ht="24" customHeight="1">
      <c r="A67" s="975"/>
      <c r="B67" s="976" t="s">
        <v>871</v>
      </c>
      <c r="C67" s="976"/>
      <c r="D67" s="976"/>
      <c r="E67" s="978"/>
      <c r="F67" s="982"/>
      <c r="G67" s="983"/>
      <c r="H67" s="930">
        <f t="shared" si="7"/>
        <v>0</v>
      </c>
      <c r="I67" s="984"/>
      <c r="J67" s="930">
        <f t="shared" si="8"/>
        <v>0</v>
      </c>
      <c r="K67" s="931">
        <f t="shared" si="9"/>
        <v>0</v>
      </c>
      <c r="L67" s="971"/>
      <c r="M67" s="954"/>
      <c r="N67" s="954"/>
      <c r="O67" s="954"/>
      <c r="P67" s="954"/>
      <c r="Q67" s="954"/>
      <c r="R67" s="954"/>
      <c r="S67" s="954"/>
      <c r="T67" s="954"/>
      <c r="U67" s="954"/>
    </row>
    <row r="68" spans="1:21" s="933" customFormat="1" ht="24" customHeight="1">
      <c r="A68" s="975"/>
      <c r="B68" s="981" t="s">
        <v>872</v>
      </c>
      <c r="C68" s="981"/>
      <c r="D68" s="981"/>
      <c r="E68" s="978"/>
      <c r="F68" s="974" t="s">
        <v>870</v>
      </c>
      <c r="G68" s="969">
        <f t="shared" ref="G68:G76" si="11">VLOOKUP(B68,$O$43:$P$53,2,FALSE)</f>
        <v>25.73</v>
      </c>
      <c r="H68" s="930">
        <f t="shared" si="7"/>
        <v>0</v>
      </c>
      <c r="I68" s="984">
        <v>4.0999999999999996</v>
      </c>
      <c r="J68" s="930">
        <f t="shared" si="8"/>
        <v>0</v>
      </c>
      <c r="K68" s="931">
        <f t="shared" si="9"/>
        <v>0</v>
      </c>
      <c r="L68" s="971"/>
      <c r="M68" s="954"/>
      <c r="N68" s="954"/>
      <c r="O68" s="954"/>
      <c r="P68" s="954"/>
      <c r="Q68" s="954"/>
      <c r="R68" s="954"/>
      <c r="S68" s="954"/>
      <c r="T68" s="954"/>
      <c r="U68" s="954"/>
    </row>
    <row r="69" spans="1:21" s="933" customFormat="1" ht="24" customHeight="1">
      <c r="A69" s="975"/>
      <c r="B69" s="976" t="s">
        <v>873</v>
      </c>
      <c r="C69" s="976"/>
      <c r="D69" s="976"/>
      <c r="E69" s="978"/>
      <c r="F69" s="974" t="s">
        <v>870</v>
      </c>
      <c r="G69" s="969">
        <f t="shared" si="11"/>
        <v>24.97</v>
      </c>
      <c r="H69" s="930">
        <f t="shared" si="7"/>
        <v>0</v>
      </c>
      <c r="I69" s="970">
        <v>4.0999999999999996</v>
      </c>
      <c r="J69" s="930">
        <f t="shared" si="8"/>
        <v>0</v>
      </c>
      <c r="K69" s="931">
        <f t="shared" si="9"/>
        <v>0</v>
      </c>
      <c r="L69" s="971"/>
      <c r="M69" s="954"/>
      <c r="N69" s="954"/>
      <c r="O69" s="954"/>
      <c r="P69" s="954"/>
      <c r="Q69" s="954"/>
      <c r="R69" s="954"/>
      <c r="S69" s="954"/>
      <c r="T69" s="954"/>
      <c r="U69" s="954"/>
    </row>
    <row r="70" spans="1:21" s="933" customFormat="1" ht="24" customHeight="1">
      <c r="A70" s="975"/>
      <c r="B70" s="976" t="s">
        <v>874</v>
      </c>
      <c r="C70" s="976"/>
      <c r="D70" s="976"/>
      <c r="E70" s="978">
        <v>5263.55</v>
      </c>
      <c r="F70" s="974" t="s">
        <v>870</v>
      </c>
      <c r="G70" s="969">
        <f t="shared" si="11"/>
        <v>24.47</v>
      </c>
      <c r="H70" s="930">
        <f t="shared" si="7"/>
        <v>128799.07</v>
      </c>
      <c r="I70" s="970">
        <v>3.3</v>
      </c>
      <c r="J70" s="930">
        <f t="shared" si="8"/>
        <v>17369.72</v>
      </c>
      <c r="K70" s="931">
        <f t="shared" si="9"/>
        <v>146168.79</v>
      </c>
      <c r="L70" s="971"/>
      <c r="M70" s="954"/>
      <c r="N70" s="954"/>
      <c r="O70" s="954"/>
      <c r="P70" s="954"/>
      <c r="Q70" s="954"/>
      <c r="R70" s="954"/>
      <c r="S70" s="954"/>
      <c r="T70" s="954"/>
      <c r="U70" s="954"/>
    </row>
    <row r="71" spans="1:21" s="933" customFormat="1" ht="24" customHeight="1">
      <c r="A71" s="975"/>
      <c r="B71" s="976" t="s">
        <v>875</v>
      </c>
      <c r="C71" s="976"/>
      <c r="D71" s="976"/>
      <c r="E71" s="978">
        <v>15020.39</v>
      </c>
      <c r="F71" s="982" t="s">
        <v>870</v>
      </c>
      <c r="G71" s="969">
        <f t="shared" si="11"/>
        <v>24.27</v>
      </c>
      <c r="H71" s="930">
        <f t="shared" si="7"/>
        <v>364544.87</v>
      </c>
      <c r="I71" s="970">
        <v>3.3</v>
      </c>
      <c r="J71" s="930">
        <f t="shared" si="8"/>
        <v>49567.29</v>
      </c>
      <c r="K71" s="931">
        <f t="shared" si="9"/>
        <v>414112.16</v>
      </c>
      <c r="L71" s="971"/>
      <c r="M71" s="954"/>
      <c r="N71" s="954"/>
      <c r="O71" s="954"/>
      <c r="P71" s="954"/>
      <c r="Q71" s="954"/>
      <c r="R71" s="954"/>
      <c r="S71" s="954"/>
      <c r="T71" s="954"/>
      <c r="U71" s="954"/>
    </row>
    <row r="72" spans="1:21" s="933" customFormat="1" ht="24" customHeight="1">
      <c r="A72" s="975"/>
      <c r="B72" s="981" t="s">
        <v>876</v>
      </c>
      <c r="C72" s="981"/>
      <c r="D72" s="981"/>
      <c r="E72" s="978">
        <v>4407.43</v>
      </c>
      <c r="F72" s="974" t="s">
        <v>870</v>
      </c>
      <c r="G72" s="969">
        <f t="shared" si="11"/>
        <v>24.27</v>
      </c>
      <c r="H72" s="930">
        <f t="shared" si="7"/>
        <v>106968.33</v>
      </c>
      <c r="I72" s="970">
        <v>2.9</v>
      </c>
      <c r="J72" s="930">
        <f t="shared" si="8"/>
        <v>12781.55</v>
      </c>
      <c r="K72" s="931">
        <f t="shared" si="9"/>
        <v>119749.88</v>
      </c>
      <c r="L72" s="971"/>
      <c r="M72" s="954"/>
      <c r="N72" s="954"/>
      <c r="O72" s="954"/>
      <c r="P72" s="954"/>
      <c r="Q72" s="954"/>
      <c r="R72" s="954"/>
      <c r="S72" s="954"/>
      <c r="T72" s="954"/>
      <c r="U72" s="954"/>
    </row>
    <row r="73" spans="1:21" s="933" customFormat="1" ht="24" customHeight="1">
      <c r="A73" s="975"/>
      <c r="B73" s="976" t="s">
        <v>877</v>
      </c>
      <c r="C73" s="976"/>
      <c r="D73" s="976"/>
      <c r="E73" s="978">
        <v>27760.43</v>
      </c>
      <c r="F73" s="974" t="s">
        <v>870</v>
      </c>
      <c r="G73" s="969">
        <f t="shared" si="11"/>
        <v>24.27</v>
      </c>
      <c r="H73" s="930">
        <f t="shared" si="7"/>
        <v>673745.64</v>
      </c>
      <c r="I73" s="970">
        <v>2.9</v>
      </c>
      <c r="J73" s="930">
        <f t="shared" si="8"/>
        <v>80505.25</v>
      </c>
      <c r="K73" s="931">
        <f t="shared" si="9"/>
        <v>754250.89</v>
      </c>
      <c r="L73" s="971"/>
      <c r="M73" s="954"/>
      <c r="N73" s="954"/>
      <c r="O73" s="954"/>
      <c r="P73" s="954"/>
      <c r="Q73" s="954"/>
      <c r="R73" s="954"/>
      <c r="S73" s="954"/>
      <c r="T73" s="954"/>
      <c r="U73" s="954"/>
    </row>
    <row r="74" spans="1:21" s="933" customFormat="1" ht="24" customHeight="1">
      <c r="A74" s="975"/>
      <c r="B74" s="976" t="s">
        <v>878</v>
      </c>
      <c r="C74" s="976"/>
      <c r="D74" s="976"/>
      <c r="E74" s="978"/>
      <c r="F74" s="974" t="s">
        <v>870</v>
      </c>
      <c r="G74" s="969">
        <f t="shared" si="11"/>
        <v>24.27</v>
      </c>
      <c r="H74" s="930">
        <f t="shared" si="7"/>
        <v>0</v>
      </c>
      <c r="I74" s="970">
        <v>2.9</v>
      </c>
      <c r="J74" s="930">
        <f t="shared" si="8"/>
        <v>0</v>
      </c>
      <c r="K74" s="931">
        <f t="shared" si="9"/>
        <v>0</v>
      </c>
      <c r="L74" s="971"/>
      <c r="M74" s="954"/>
      <c r="N74" s="954"/>
      <c r="O74" s="954"/>
      <c r="P74" s="954"/>
      <c r="Q74" s="954"/>
      <c r="R74" s="954"/>
      <c r="S74" s="954"/>
      <c r="T74" s="954"/>
      <c r="U74" s="954"/>
    </row>
    <row r="75" spans="1:21" s="933" customFormat="1" ht="24" customHeight="1">
      <c r="A75" s="975"/>
      <c r="B75" s="976" t="s">
        <v>879</v>
      </c>
      <c r="C75" s="976"/>
      <c r="D75" s="976"/>
      <c r="E75" s="978"/>
      <c r="F75" s="974" t="s">
        <v>870</v>
      </c>
      <c r="G75" s="969">
        <f t="shared" si="11"/>
        <v>23.8</v>
      </c>
      <c r="H75" s="930">
        <f t="shared" si="7"/>
        <v>0</v>
      </c>
      <c r="I75" s="970">
        <v>2.9</v>
      </c>
      <c r="J75" s="930">
        <f t="shared" si="8"/>
        <v>0</v>
      </c>
      <c r="K75" s="931">
        <f t="shared" si="9"/>
        <v>0</v>
      </c>
      <c r="L75" s="971"/>
      <c r="M75" s="954"/>
      <c r="N75" s="954"/>
      <c r="O75" s="954"/>
      <c r="P75" s="954"/>
      <c r="Q75" s="954"/>
      <c r="R75" s="954"/>
      <c r="S75" s="954"/>
      <c r="T75" s="954"/>
      <c r="U75" s="954"/>
    </row>
    <row r="76" spans="1:21" s="933" customFormat="1" ht="24" customHeight="1">
      <c r="A76" s="975"/>
      <c r="B76" s="976" t="s">
        <v>880</v>
      </c>
      <c r="C76" s="976"/>
      <c r="D76" s="976"/>
      <c r="E76" s="978">
        <f>(SUM(E68:E75)/1000)*30</f>
        <v>1573.5540000000001</v>
      </c>
      <c r="F76" s="974" t="s">
        <v>870</v>
      </c>
      <c r="G76" s="969">
        <f t="shared" si="11"/>
        <v>29.92</v>
      </c>
      <c r="H76" s="930">
        <f>ROUND(E76*G76,2)</f>
        <v>47080.74</v>
      </c>
      <c r="I76" s="970"/>
      <c r="J76" s="930">
        <f t="shared" ref="J76" si="12">ROUND(E76*I76,2)</f>
        <v>0</v>
      </c>
      <c r="K76" s="931">
        <f t="shared" si="9"/>
        <v>47080.74</v>
      </c>
      <c r="L76" s="971"/>
      <c r="M76" s="954"/>
      <c r="N76" s="954"/>
      <c r="O76" s="954"/>
      <c r="P76" s="954"/>
      <c r="Q76" s="954"/>
      <c r="R76" s="954"/>
      <c r="S76" s="954"/>
      <c r="T76" s="954"/>
      <c r="U76" s="954"/>
    </row>
    <row r="77" spans="1:21" s="933" customFormat="1" ht="24" customHeight="1">
      <c r="A77" s="975"/>
      <c r="B77" s="976" t="s">
        <v>881</v>
      </c>
      <c r="C77" s="976"/>
      <c r="D77" s="976"/>
      <c r="E77" s="978"/>
      <c r="F77" s="974"/>
      <c r="G77" s="969"/>
      <c r="H77" s="930"/>
      <c r="I77" s="970"/>
      <c r="J77" s="930"/>
      <c r="K77" s="931"/>
      <c r="L77" s="971"/>
      <c r="M77" s="954"/>
      <c r="N77" s="954"/>
      <c r="O77" s="954"/>
      <c r="P77" s="954"/>
      <c r="Q77" s="954"/>
      <c r="R77" s="954"/>
      <c r="S77" s="954"/>
      <c r="T77" s="954"/>
      <c r="U77" s="954"/>
    </row>
    <row r="78" spans="1:21" s="933" customFormat="1" ht="24" customHeight="1">
      <c r="A78" s="975"/>
      <c r="B78" s="976"/>
      <c r="C78" s="976"/>
      <c r="D78" s="976"/>
      <c r="E78" s="985"/>
      <c r="F78" s="974"/>
      <c r="G78" s="969"/>
      <c r="H78" s="930"/>
      <c r="I78" s="970"/>
      <c r="J78" s="930"/>
      <c r="K78" s="931"/>
      <c r="L78" s="971"/>
      <c r="M78" s="954"/>
      <c r="N78" s="954"/>
      <c r="O78" s="954"/>
      <c r="P78" s="954"/>
      <c r="Q78" s="954"/>
      <c r="R78" s="954"/>
      <c r="S78" s="954"/>
      <c r="T78" s="954"/>
      <c r="U78" s="954"/>
    </row>
    <row r="79" spans="1:21" s="933" customFormat="1" ht="24" customHeight="1">
      <c r="A79" s="975"/>
      <c r="B79" s="976"/>
      <c r="C79" s="976"/>
      <c r="D79" s="976"/>
      <c r="E79" s="985"/>
      <c r="F79" s="974"/>
      <c r="G79" s="969"/>
      <c r="H79" s="930"/>
      <c r="I79" s="970"/>
      <c r="J79" s="930"/>
      <c r="K79" s="931"/>
      <c r="L79" s="971"/>
      <c r="M79" s="954"/>
      <c r="N79" s="954"/>
      <c r="O79" s="954"/>
      <c r="P79" s="954"/>
      <c r="Q79" s="954"/>
      <c r="R79" s="954"/>
      <c r="S79" s="954"/>
      <c r="T79" s="954"/>
      <c r="U79" s="954"/>
    </row>
    <row r="80" spans="1:21" s="933" customFormat="1" ht="24" customHeight="1">
      <c r="A80" s="986"/>
      <c r="B80" s="987"/>
      <c r="C80" s="987"/>
      <c r="D80" s="987"/>
      <c r="E80" s="988"/>
      <c r="F80" s="989"/>
      <c r="G80" s="983"/>
      <c r="H80" s="990"/>
      <c r="I80" s="984"/>
      <c r="J80" s="990"/>
      <c r="K80" s="991"/>
      <c r="L80" s="992"/>
      <c r="M80" s="954"/>
      <c r="N80" s="954"/>
      <c r="O80" s="954"/>
      <c r="P80" s="954"/>
      <c r="Q80" s="954"/>
      <c r="R80" s="954"/>
      <c r="S80" s="954"/>
      <c r="T80" s="954"/>
      <c r="U80" s="954"/>
    </row>
    <row r="81" spans="1:21" s="933" customFormat="1" ht="24" customHeight="1">
      <c r="A81" s="993"/>
      <c r="B81" s="987"/>
      <c r="C81" s="987"/>
      <c r="D81" s="987"/>
      <c r="E81" s="988"/>
      <c r="F81" s="989"/>
      <c r="G81" s="983"/>
      <c r="H81" s="990"/>
      <c r="I81" s="984"/>
      <c r="J81" s="990"/>
      <c r="K81" s="991"/>
      <c r="L81" s="992"/>
      <c r="M81" s="954"/>
      <c r="N81" s="954"/>
      <c r="O81" s="954"/>
      <c r="P81" s="954"/>
      <c r="Q81" s="954"/>
      <c r="R81" s="954"/>
      <c r="S81" s="954"/>
      <c r="T81" s="954"/>
      <c r="U81" s="954"/>
    </row>
    <row r="82" spans="1:21" s="933" customFormat="1" ht="24" customHeight="1">
      <c r="A82" s="993"/>
      <c r="B82" s="987"/>
      <c r="C82" s="987"/>
      <c r="D82" s="987"/>
      <c r="E82" s="988"/>
      <c r="F82" s="989"/>
      <c r="G82" s="983"/>
      <c r="H82" s="990"/>
      <c r="I82" s="984"/>
      <c r="J82" s="990"/>
      <c r="K82" s="991"/>
      <c r="L82" s="992"/>
      <c r="M82" s="954"/>
      <c r="N82" s="954"/>
      <c r="O82" s="954"/>
      <c r="P82" s="954"/>
      <c r="Q82" s="954"/>
      <c r="R82" s="954"/>
      <c r="S82" s="954"/>
      <c r="T82" s="954"/>
      <c r="U82" s="954"/>
    </row>
    <row r="83" spans="1:21" s="933" customFormat="1" ht="24" customHeight="1">
      <c r="A83" s="993"/>
      <c r="B83" s="987"/>
      <c r="C83" s="987"/>
      <c r="D83" s="987"/>
      <c r="E83" s="988"/>
      <c r="F83" s="989"/>
      <c r="G83" s="983"/>
      <c r="H83" s="990"/>
      <c r="I83" s="984"/>
      <c r="J83" s="990"/>
      <c r="K83" s="991"/>
      <c r="L83" s="992"/>
      <c r="M83" s="954"/>
      <c r="N83" s="954"/>
      <c r="O83" s="954"/>
      <c r="P83" s="954"/>
      <c r="Q83" s="954"/>
      <c r="R83" s="954"/>
      <c r="S83" s="954"/>
      <c r="T83" s="954"/>
      <c r="U83" s="954"/>
    </row>
    <row r="84" spans="1:21" s="933" customFormat="1" ht="24" customHeight="1">
      <c r="A84" s="993"/>
      <c r="B84" s="987"/>
      <c r="C84" s="987"/>
      <c r="D84" s="987"/>
      <c r="E84" s="988"/>
      <c r="F84" s="989"/>
      <c r="G84" s="983"/>
      <c r="H84" s="990"/>
      <c r="I84" s="984"/>
      <c r="J84" s="990"/>
      <c r="K84" s="991"/>
      <c r="L84" s="992"/>
      <c r="M84" s="954"/>
      <c r="N84" s="954"/>
      <c r="O84" s="954"/>
      <c r="P84" s="954"/>
      <c r="Q84" s="954"/>
      <c r="R84" s="954"/>
      <c r="S84" s="954"/>
      <c r="T84" s="954"/>
      <c r="U84" s="954"/>
    </row>
    <row r="85" spans="1:21" s="933" customFormat="1" ht="24" customHeight="1">
      <c r="A85" s="998"/>
      <c r="B85" s="976"/>
      <c r="C85" s="976"/>
      <c r="D85" s="976"/>
      <c r="E85" s="985"/>
      <c r="F85" s="974"/>
      <c r="G85" s="969"/>
      <c r="H85" s="930"/>
      <c r="I85" s="970"/>
      <c r="J85" s="930"/>
      <c r="K85" s="931"/>
      <c r="L85" s="971"/>
      <c r="M85" s="954"/>
      <c r="N85" s="954"/>
      <c r="O85" s="954"/>
      <c r="P85" s="954"/>
      <c r="Q85" s="954"/>
      <c r="R85" s="954"/>
      <c r="S85" s="954"/>
      <c r="T85" s="954"/>
      <c r="U85" s="954"/>
    </row>
    <row r="86" spans="1:21" s="933" customFormat="1" ht="24" customHeight="1">
      <c r="A86" s="956" t="s">
        <v>883</v>
      </c>
      <c r="B86" s="1005" t="s">
        <v>884</v>
      </c>
      <c r="C86" s="1006"/>
      <c r="D86" s="1006"/>
      <c r="E86" s="1007"/>
      <c r="F86" s="1008"/>
      <c r="G86" s="1009"/>
      <c r="H86" s="1010"/>
      <c r="I86" s="1011"/>
      <c r="J86" s="1010"/>
      <c r="K86" s="1012"/>
      <c r="L86" s="1013"/>
      <c r="M86" s="954"/>
      <c r="N86" s="954"/>
      <c r="O86" s="954"/>
      <c r="P86" s="954"/>
      <c r="Q86" s="954"/>
      <c r="R86" s="954"/>
      <c r="S86" s="954"/>
      <c r="T86" s="954"/>
      <c r="U86" s="954"/>
    </row>
    <row r="87" spans="1:21" s="933" customFormat="1" ht="24" customHeight="1">
      <c r="A87" s="993"/>
      <c r="B87" s="976" t="s">
        <v>864</v>
      </c>
      <c r="C87" s="977"/>
      <c r="D87" s="977"/>
      <c r="E87" s="978">
        <v>21.984150000000003</v>
      </c>
      <c r="F87" s="974" t="s">
        <v>865</v>
      </c>
      <c r="G87" s="969">
        <v>2516</v>
      </c>
      <c r="H87" s="930">
        <f t="shared" ref="H87:H100" si="13">ROUND(E87*G87,2)</f>
        <v>55312.12</v>
      </c>
      <c r="I87" s="970">
        <v>485</v>
      </c>
      <c r="J87" s="930">
        <f t="shared" ref="J87:J100" si="14">ROUND(E87*I87,2)</f>
        <v>10662.31</v>
      </c>
      <c r="K87" s="931">
        <f t="shared" ref="K87:K101" si="15">H87+J87</f>
        <v>65974.430000000008</v>
      </c>
      <c r="L87" s="971"/>
      <c r="M87" s="954"/>
      <c r="N87" s="954"/>
      <c r="O87" s="954"/>
      <c r="P87" s="954"/>
      <c r="Q87" s="954"/>
      <c r="R87" s="954"/>
      <c r="S87" s="954"/>
      <c r="T87" s="954"/>
      <c r="U87" s="954"/>
    </row>
    <row r="88" spans="1:21" s="933" customFormat="1" ht="24" customHeight="1">
      <c r="A88" s="993"/>
      <c r="B88" s="979" t="s">
        <v>866</v>
      </c>
      <c r="C88" s="976"/>
      <c r="D88" s="976"/>
      <c r="E88" s="978"/>
      <c r="F88" s="974"/>
      <c r="G88" s="969"/>
      <c r="H88" s="930">
        <f t="shared" si="13"/>
        <v>0</v>
      </c>
      <c r="I88" s="970"/>
      <c r="J88" s="930">
        <f t="shared" si="14"/>
        <v>0</v>
      </c>
      <c r="K88" s="931">
        <f t="shared" si="15"/>
        <v>0</v>
      </c>
      <c r="L88" s="971"/>
      <c r="M88" s="954"/>
      <c r="N88" s="954"/>
      <c r="O88" s="954"/>
      <c r="P88" s="954"/>
      <c r="Q88" s="954"/>
      <c r="R88" s="954"/>
      <c r="S88" s="954"/>
      <c r="T88" s="954"/>
      <c r="U88" s="954"/>
    </row>
    <row r="89" spans="1:21" s="933" customFormat="1" ht="24" customHeight="1">
      <c r="A89" s="993"/>
      <c r="B89" s="979"/>
      <c r="C89" s="976" t="s">
        <v>867</v>
      </c>
      <c r="D89" s="976"/>
      <c r="E89" s="978">
        <f>E90/2</f>
        <v>73.226500000000016</v>
      </c>
      <c r="F89" s="974" t="s">
        <v>34</v>
      </c>
      <c r="G89" s="969">
        <v>661.62</v>
      </c>
      <c r="H89" s="930">
        <f t="shared" si="13"/>
        <v>48448.12</v>
      </c>
      <c r="I89" s="970"/>
      <c r="J89" s="930">
        <f t="shared" si="14"/>
        <v>0</v>
      </c>
      <c r="K89" s="931">
        <f t="shared" si="15"/>
        <v>48448.12</v>
      </c>
      <c r="L89" s="971"/>
      <c r="M89" s="954"/>
      <c r="N89" s="954"/>
      <c r="O89" s="954"/>
      <c r="P89" s="954"/>
      <c r="Q89" s="954"/>
      <c r="R89" s="954"/>
      <c r="S89" s="954"/>
      <c r="T89" s="954"/>
      <c r="U89" s="954"/>
    </row>
    <row r="90" spans="1:21" s="933" customFormat="1" ht="24" customHeight="1">
      <c r="A90" s="993"/>
      <c r="B90" s="979"/>
      <c r="C90" s="976" t="s">
        <v>868</v>
      </c>
      <c r="D90" s="976"/>
      <c r="E90" s="978">
        <v>146.45300000000003</v>
      </c>
      <c r="F90" s="974" t="s">
        <v>34</v>
      </c>
      <c r="G90" s="969"/>
      <c r="H90" s="930">
        <f t="shared" si="13"/>
        <v>0</v>
      </c>
      <c r="I90" s="970">
        <v>154</v>
      </c>
      <c r="J90" s="930">
        <f t="shared" si="14"/>
        <v>22553.759999999998</v>
      </c>
      <c r="K90" s="931">
        <f t="shared" si="15"/>
        <v>22553.759999999998</v>
      </c>
      <c r="L90" s="971"/>
      <c r="M90" s="954"/>
      <c r="N90" s="954"/>
      <c r="O90" s="954"/>
      <c r="P90" s="954"/>
      <c r="Q90" s="954"/>
      <c r="R90" s="954"/>
      <c r="S90" s="954"/>
      <c r="T90" s="954"/>
      <c r="U90" s="954"/>
    </row>
    <row r="91" spans="1:21" s="933" customFormat="1" ht="24" customHeight="1">
      <c r="A91" s="993"/>
      <c r="B91" s="976" t="s">
        <v>869</v>
      </c>
      <c r="C91" s="976"/>
      <c r="D91" s="976"/>
      <c r="E91" s="978">
        <f>(E90*0.25)</f>
        <v>36.613250000000008</v>
      </c>
      <c r="F91" s="974" t="s">
        <v>870</v>
      </c>
      <c r="G91" s="969">
        <f t="shared" ref="G91" si="16">VLOOKUP(B91,$O$43:$P$53,2,FALSE)</f>
        <v>29.94</v>
      </c>
      <c r="H91" s="930">
        <f t="shared" si="13"/>
        <v>1096.2</v>
      </c>
      <c r="I91" s="970"/>
      <c r="J91" s="930">
        <f t="shared" si="14"/>
        <v>0</v>
      </c>
      <c r="K91" s="931">
        <f t="shared" si="15"/>
        <v>1096.2</v>
      </c>
      <c r="L91" s="971"/>
      <c r="M91" s="954"/>
      <c r="N91" s="954"/>
      <c r="O91" s="954"/>
      <c r="P91" s="954"/>
      <c r="Q91" s="954"/>
      <c r="R91" s="954"/>
      <c r="S91" s="954"/>
      <c r="T91" s="954"/>
      <c r="U91" s="954"/>
    </row>
    <row r="92" spans="1:21" s="933" customFormat="1" ht="24" customHeight="1">
      <c r="A92" s="993"/>
      <c r="B92" s="976" t="s">
        <v>871</v>
      </c>
      <c r="C92" s="976"/>
      <c r="D92" s="976"/>
      <c r="E92" s="978"/>
      <c r="F92" s="982"/>
      <c r="G92" s="983"/>
      <c r="H92" s="930">
        <f t="shared" si="13"/>
        <v>0</v>
      </c>
      <c r="I92" s="984"/>
      <c r="J92" s="930">
        <f t="shared" si="14"/>
        <v>0</v>
      </c>
      <c r="K92" s="931">
        <f t="shared" si="15"/>
        <v>0</v>
      </c>
      <c r="L92" s="971"/>
      <c r="M92" s="954"/>
      <c r="N92" s="954"/>
      <c r="O92" s="954"/>
      <c r="P92" s="954"/>
      <c r="Q92" s="954"/>
      <c r="R92" s="954"/>
      <c r="S92" s="954"/>
      <c r="T92" s="954"/>
      <c r="U92" s="954"/>
    </row>
    <row r="93" spans="1:21" s="933" customFormat="1" ht="24" customHeight="1">
      <c r="A93" s="993"/>
      <c r="B93" s="981" t="s">
        <v>872</v>
      </c>
      <c r="C93" s="981"/>
      <c r="D93" s="981"/>
      <c r="E93" s="978"/>
      <c r="F93" s="974" t="s">
        <v>870</v>
      </c>
      <c r="G93" s="969">
        <f t="shared" ref="G93:G101" si="17">VLOOKUP(B93,$O$43:$P$53,2,FALSE)</f>
        <v>25.73</v>
      </c>
      <c r="H93" s="930">
        <f t="shared" si="13"/>
        <v>0</v>
      </c>
      <c r="I93" s="984">
        <v>4.0999999999999996</v>
      </c>
      <c r="J93" s="930">
        <f t="shared" si="14"/>
        <v>0</v>
      </c>
      <c r="K93" s="931">
        <f t="shared" si="15"/>
        <v>0</v>
      </c>
      <c r="L93" s="971"/>
      <c r="M93" s="954"/>
      <c r="N93" s="954"/>
      <c r="O93" s="954"/>
      <c r="P93" s="954"/>
      <c r="Q93" s="954"/>
      <c r="R93" s="954"/>
      <c r="S93" s="954"/>
      <c r="T93" s="954"/>
      <c r="U93" s="954"/>
    </row>
    <row r="94" spans="1:21" s="933" customFormat="1" ht="24" customHeight="1">
      <c r="A94" s="993"/>
      <c r="B94" s="976" t="s">
        <v>873</v>
      </c>
      <c r="C94" s="976"/>
      <c r="D94" s="976"/>
      <c r="E94" s="978">
        <v>1116.5999999999999</v>
      </c>
      <c r="F94" s="974" t="s">
        <v>870</v>
      </c>
      <c r="G94" s="969">
        <f t="shared" si="17"/>
        <v>24.97</v>
      </c>
      <c r="H94" s="930">
        <f t="shared" si="13"/>
        <v>27881.5</v>
      </c>
      <c r="I94" s="970">
        <v>4.0999999999999996</v>
      </c>
      <c r="J94" s="930">
        <f t="shared" si="14"/>
        <v>4578.0600000000004</v>
      </c>
      <c r="K94" s="931">
        <f t="shared" si="15"/>
        <v>32459.56</v>
      </c>
      <c r="L94" s="971"/>
      <c r="M94" s="954"/>
      <c r="N94" s="954"/>
      <c r="O94" s="954"/>
      <c r="P94" s="954"/>
      <c r="Q94" s="954"/>
      <c r="R94" s="954"/>
      <c r="S94" s="954"/>
      <c r="T94" s="954"/>
      <c r="U94" s="954"/>
    </row>
    <row r="95" spans="1:21" s="933" customFormat="1" ht="24" customHeight="1">
      <c r="A95" s="993"/>
      <c r="B95" s="976" t="s">
        <v>874</v>
      </c>
      <c r="C95" s="976"/>
      <c r="D95" s="976"/>
      <c r="E95" s="978">
        <v>1368.15</v>
      </c>
      <c r="F95" s="974" t="s">
        <v>870</v>
      </c>
      <c r="G95" s="969">
        <f t="shared" si="17"/>
        <v>24.47</v>
      </c>
      <c r="H95" s="930">
        <f t="shared" si="13"/>
        <v>33478.629999999997</v>
      </c>
      <c r="I95" s="970">
        <v>3.3</v>
      </c>
      <c r="J95" s="930">
        <f t="shared" si="14"/>
        <v>4514.8999999999996</v>
      </c>
      <c r="K95" s="931">
        <f t="shared" si="15"/>
        <v>37993.53</v>
      </c>
      <c r="L95" s="971"/>
      <c r="M95" s="954"/>
      <c r="N95" s="954"/>
      <c r="O95" s="954"/>
      <c r="P95" s="954"/>
      <c r="Q95" s="954"/>
      <c r="R95" s="954"/>
      <c r="S95" s="954"/>
      <c r="T95" s="954"/>
      <c r="U95" s="954"/>
    </row>
    <row r="96" spans="1:21" s="933" customFormat="1" ht="24" customHeight="1">
      <c r="A96" s="993"/>
      <c r="B96" s="976" t="s">
        <v>875</v>
      </c>
      <c r="C96" s="976"/>
      <c r="D96" s="976"/>
      <c r="E96" s="978">
        <v>584.02</v>
      </c>
      <c r="F96" s="982" t="s">
        <v>870</v>
      </c>
      <c r="G96" s="969">
        <f t="shared" si="17"/>
        <v>24.27</v>
      </c>
      <c r="H96" s="930">
        <f t="shared" si="13"/>
        <v>14174.17</v>
      </c>
      <c r="I96" s="970">
        <v>3.3</v>
      </c>
      <c r="J96" s="930">
        <f t="shared" si="14"/>
        <v>1927.27</v>
      </c>
      <c r="K96" s="931">
        <f t="shared" si="15"/>
        <v>16101.44</v>
      </c>
      <c r="L96" s="971"/>
      <c r="M96" s="954"/>
      <c r="N96" s="954"/>
      <c r="O96" s="954"/>
      <c r="P96" s="954"/>
      <c r="Q96" s="954"/>
      <c r="R96" s="954"/>
      <c r="S96" s="954"/>
      <c r="T96" s="954"/>
      <c r="U96" s="954"/>
    </row>
    <row r="97" spans="1:21" s="933" customFormat="1" ht="24" customHeight="1">
      <c r="A97" s="993"/>
      <c r="B97" s="981" t="s">
        <v>876</v>
      </c>
      <c r="C97" s="981"/>
      <c r="D97" s="981"/>
      <c r="E97" s="978"/>
      <c r="F97" s="974" t="s">
        <v>870</v>
      </c>
      <c r="G97" s="969">
        <f t="shared" si="17"/>
        <v>24.27</v>
      </c>
      <c r="H97" s="930">
        <f t="shared" si="13"/>
        <v>0</v>
      </c>
      <c r="I97" s="970">
        <v>2.9</v>
      </c>
      <c r="J97" s="930">
        <f t="shared" si="14"/>
        <v>0</v>
      </c>
      <c r="K97" s="931">
        <f t="shared" si="15"/>
        <v>0</v>
      </c>
      <c r="L97" s="971"/>
      <c r="M97" s="954"/>
      <c r="N97" s="954"/>
      <c r="O97" s="954"/>
      <c r="P97" s="954"/>
      <c r="Q97" s="954"/>
      <c r="R97" s="954"/>
      <c r="S97" s="954"/>
      <c r="T97" s="954"/>
      <c r="U97" s="954"/>
    </row>
    <row r="98" spans="1:21" s="933" customFormat="1" ht="24" customHeight="1">
      <c r="A98" s="993"/>
      <c r="B98" s="976" t="s">
        <v>877</v>
      </c>
      <c r="C98" s="976"/>
      <c r="D98" s="976"/>
      <c r="E98" s="978"/>
      <c r="F98" s="974" t="s">
        <v>870</v>
      </c>
      <c r="G98" s="969">
        <f t="shared" si="17"/>
        <v>24.27</v>
      </c>
      <c r="H98" s="930">
        <f t="shared" si="13"/>
        <v>0</v>
      </c>
      <c r="I98" s="970">
        <v>2.9</v>
      </c>
      <c r="J98" s="930">
        <f t="shared" si="14"/>
        <v>0</v>
      </c>
      <c r="K98" s="931">
        <f t="shared" si="15"/>
        <v>0</v>
      </c>
      <c r="L98" s="971"/>
      <c r="M98" s="954"/>
      <c r="N98" s="954"/>
      <c r="O98" s="954"/>
      <c r="P98" s="954"/>
      <c r="Q98" s="954"/>
      <c r="R98" s="954"/>
      <c r="S98" s="954"/>
      <c r="T98" s="954"/>
      <c r="U98" s="954"/>
    </row>
    <row r="99" spans="1:21" s="933" customFormat="1" ht="24" customHeight="1">
      <c r="A99" s="993"/>
      <c r="B99" s="976" t="s">
        <v>878</v>
      </c>
      <c r="C99" s="976"/>
      <c r="D99" s="976"/>
      <c r="E99" s="978"/>
      <c r="F99" s="974" t="s">
        <v>870</v>
      </c>
      <c r="G99" s="969">
        <f t="shared" si="17"/>
        <v>24.27</v>
      </c>
      <c r="H99" s="930">
        <f t="shared" si="13"/>
        <v>0</v>
      </c>
      <c r="I99" s="970">
        <v>2.9</v>
      </c>
      <c r="J99" s="930">
        <f t="shared" si="14"/>
        <v>0</v>
      </c>
      <c r="K99" s="931">
        <f t="shared" si="15"/>
        <v>0</v>
      </c>
      <c r="L99" s="971"/>
      <c r="M99" s="954"/>
      <c r="N99" s="954"/>
      <c r="O99" s="954"/>
      <c r="P99" s="954"/>
      <c r="Q99" s="954"/>
      <c r="R99" s="954"/>
      <c r="S99" s="954"/>
      <c r="T99" s="954"/>
      <c r="U99" s="954"/>
    </row>
    <row r="100" spans="1:21" s="933" customFormat="1" ht="24" customHeight="1">
      <c r="A100" s="993"/>
      <c r="B100" s="976" t="s">
        <v>879</v>
      </c>
      <c r="C100" s="976"/>
      <c r="D100" s="976"/>
      <c r="E100" s="978"/>
      <c r="F100" s="974" t="s">
        <v>870</v>
      </c>
      <c r="G100" s="969">
        <f t="shared" si="17"/>
        <v>23.8</v>
      </c>
      <c r="H100" s="930">
        <f t="shared" si="13"/>
        <v>0</v>
      </c>
      <c r="I100" s="970">
        <v>2.9</v>
      </c>
      <c r="J100" s="930">
        <f t="shared" si="14"/>
        <v>0</v>
      </c>
      <c r="K100" s="931">
        <f t="shared" si="15"/>
        <v>0</v>
      </c>
      <c r="L100" s="971"/>
      <c r="M100" s="954"/>
      <c r="N100" s="954"/>
      <c r="O100" s="954"/>
      <c r="P100" s="954"/>
      <c r="Q100" s="954"/>
      <c r="R100" s="954"/>
      <c r="S100" s="954"/>
      <c r="T100" s="954"/>
      <c r="U100" s="954"/>
    </row>
    <row r="101" spans="1:21" s="933" customFormat="1" ht="24" customHeight="1">
      <c r="A101" s="993"/>
      <c r="B101" s="976" t="s">
        <v>880</v>
      </c>
      <c r="C101" s="976"/>
      <c r="D101" s="976"/>
      <c r="E101" s="978">
        <f>(SUM(E93:E100)/1000)*30</f>
        <v>92.063099999999991</v>
      </c>
      <c r="F101" s="974" t="s">
        <v>870</v>
      </c>
      <c r="G101" s="969">
        <f t="shared" si="17"/>
        <v>29.92</v>
      </c>
      <c r="H101" s="930">
        <f t="shared" ref="H101" si="18">ROUND(E101*G101,2)</f>
        <v>2754.53</v>
      </c>
      <c r="I101" s="970"/>
      <c r="J101" s="930">
        <f t="shared" ref="J101" si="19">ROUND(E101*I101,2)</f>
        <v>0</v>
      </c>
      <c r="K101" s="931">
        <f t="shared" si="15"/>
        <v>2754.53</v>
      </c>
      <c r="L101" s="971"/>
      <c r="M101" s="954"/>
      <c r="N101" s="954"/>
      <c r="O101" s="954"/>
      <c r="P101" s="954"/>
      <c r="Q101" s="954"/>
      <c r="R101" s="954"/>
      <c r="S101" s="954"/>
      <c r="T101" s="954"/>
      <c r="U101" s="954"/>
    </row>
    <row r="102" spans="1:21" s="933" customFormat="1" ht="24" customHeight="1">
      <c r="A102" s="993"/>
      <c r="B102" s="976" t="s">
        <v>881</v>
      </c>
      <c r="C102" s="976"/>
      <c r="D102" s="976"/>
      <c r="E102" s="978"/>
      <c r="F102" s="974"/>
      <c r="G102" s="969"/>
      <c r="H102" s="930"/>
      <c r="I102" s="970"/>
      <c r="J102" s="930"/>
      <c r="K102" s="931"/>
      <c r="L102" s="971"/>
      <c r="M102" s="954"/>
      <c r="N102" s="954"/>
      <c r="O102" s="954"/>
      <c r="P102" s="954"/>
      <c r="Q102" s="954"/>
      <c r="R102" s="954"/>
      <c r="S102" s="954"/>
      <c r="T102" s="954"/>
      <c r="U102" s="954"/>
    </row>
    <row r="103" spans="1:21" s="933" customFormat="1" ht="24" customHeight="1">
      <c r="A103" s="993"/>
      <c r="B103" s="987"/>
      <c r="C103" s="987"/>
      <c r="D103" s="987"/>
      <c r="E103" s="988"/>
      <c r="F103" s="989"/>
      <c r="G103" s="983"/>
      <c r="H103" s="990"/>
      <c r="I103" s="984"/>
      <c r="J103" s="990"/>
      <c r="K103" s="991"/>
      <c r="L103" s="992"/>
      <c r="M103" s="954"/>
      <c r="N103" s="954"/>
      <c r="O103" s="954"/>
      <c r="P103" s="954"/>
      <c r="Q103" s="954"/>
      <c r="R103" s="954"/>
      <c r="S103" s="954"/>
      <c r="T103" s="954"/>
      <c r="U103" s="954"/>
    </row>
    <row r="104" spans="1:21" s="933" customFormat="1" ht="24" customHeight="1">
      <c r="A104" s="993"/>
      <c r="B104" s="987"/>
      <c r="C104" s="987"/>
      <c r="D104" s="987"/>
      <c r="E104" s="988"/>
      <c r="F104" s="989"/>
      <c r="G104" s="983"/>
      <c r="H104" s="990"/>
      <c r="I104" s="984"/>
      <c r="J104" s="990"/>
      <c r="K104" s="991"/>
      <c r="L104" s="992"/>
      <c r="M104" s="954"/>
      <c r="N104" s="954"/>
      <c r="O104" s="954"/>
      <c r="P104" s="954"/>
      <c r="Q104" s="954"/>
      <c r="R104" s="954"/>
      <c r="S104" s="954"/>
      <c r="T104" s="954"/>
      <c r="U104" s="954"/>
    </row>
    <row r="105" spans="1:21" s="933" customFormat="1" ht="24" customHeight="1">
      <c r="A105" s="993"/>
      <c r="B105" s="987"/>
      <c r="C105" s="987"/>
      <c r="D105" s="987"/>
      <c r="E105" s="988"/>
      <c r="F105" s="989"/>
      <c r="G105" s="983"/>
      <c r="H105" s="990"/>
      <c r="I105" s="984"/>
      <c r="J105" s="990"/>
      <c r="K105" s="991"/>
      <c r="L105" s="992"/>
      <c r="M105" s="954"/>
      <c r="N105" s="954"/>
      <c r="O105" s="954"/>
      <c r="P105" s="954"/>
      <c r="Q105" s="954"/>
      <c r="R105" s="954"/>
      <c r="S105" s="954"/>
      <c r="T105" s="954"/>
      <c r="U105" s="954"/>
    </row>
    <row r="106" spans="1:21" s="933" customFormat="1" ht="24" customHeight="1">
      <c r="A106" s="993"/>
      <c r="B106" s="987"/>
      <c r="C106" s="987"/>
      <c r="D106" s="987"/>
      <c r="E106" s="988"/>
      <c r="F106" s="989"/>
      <c r="G106" s="983"/>
      <c r="H106" s="990"/>
      <c r="I106" s="984"/>
      <c r="J106" s="990"/>
      <c r="K106" s="991"/>
      <c r="L106" s="992"/>
      <c r="M106" s="954"/>
      <c r="N106" s="954"/>
      <c r="O106" s="954"/>
      <c r="P106" s="954"/>
      <c r="Q106" s="954"/>
      <c r="R106" s="954"/>
      <c r="S106" s="954"/>
      <c r="T106" s="954"/>
      <c r="U106" s="954"/>
    </row>
    <row r="107" spans="1:21" s="933" customFormat="1" ht="24" customHeight="1">
      <c r="A107" s="993"/>
      <c r="B107" s="987"/>
      <c r="C107" s="987"/>
      <c r="D107" s="987"/>
      <c r="E107" s="988"/>
      <c r="F107" s="989"/>
      <c r="G107" s="983"/>
      <c r="H107" s="990"/>
      <c r="I107" s="984"/>
      <c r="J107" s="990"/>
      <c r="K107" s="991"/>
      <c r="L107" s="992"/>
      <c r="M107" s="954"/>
      <c r="N107" s="954"/>
      <c r="O107" s="954"/>
      <c r="P107" s="954"/>
      <c r="Q107" s="954"/>
      <c r="R107" s="954"/>
      <c r="S107" s="954"/>
      <c r="T107" s="954"/>
      <c r="U107" s="954"/>
    </row>
    <row r="108" spans="1:21" s="933" customFormat="1" ht="24" customHeight="1">
      <c r="A108" s="993"/>
      <c r="B108" s="987"/>
      <c r="C108" s="987"/>
      <c r="D108" s="987"/>
      <c r="E108" s="988"/>
      <c r="F108" s="989"/>
      <c r="G108" s="983"/>
      <c r="H108" s="990"/>
      <c r="I108" s="984"/>
      <c r="J108" s="990"/>
      <c r="K108" s="991"/>
      <c r="L108" s="992"/>
      <c r="M108" s="954"/>
      <c r="N108" s="954"/>
      <c r="O108" s="954"/>
      <c r="P108" s="954"/>
      <c r="Q108" s="954"/>
      <c r="R108" s="954"/>
      <c r="S108" s="954"/>
      <c r="T108" s="954"/>
      <c r="U108" s="954"/>
    </row>
    <row r="109" spans="1:21" s="933" customFormat="1" ht="24" customHeight="1">
      <c r="A109" s="993"/>
      <c r="B109" s="987"/>
      <c r="C109" s="987"/>
      <c r="D109" s="987"/>
      <c r="E109" s="988"/>
      <c r="F109" s="989"/>
      <c r="G109" s="983"/>
      <c r="H109" s="990"/>
      <c r="I109" s="984"/>
      <c r="J109" s="990"/>
      <c r="K109" s="991"/>
      <c r="L109" s="992"/>
      <c r="M109" s="954"/>
      <c r="N109" s="954"/>
      <c r="O109" s="954"/>
      <c r="P109" s="954"/>
      <c r="Q109" s="954"/>
      <c r="R109" s="954"/>
      <c r="S109" s="954"/>
      <c r="T109" s="954"/>
      <c r="U109" s="954"/>
    </row>
    <row r="110" spans="1:21" s="933" customFormat="1" ht="24" customHeight="1">
      <c r="A110" s="1014"/>
      <c r="B110" s="2226" t="str">
        <f>"รวมราคารายการที่ "&amp;A36</f>
        <v>รวมราคารายการที่ 1.1</v>
      </c>
      <c r="C110" s="2226"/>
      <c r="D110" s="2226"/>
      <c r="E110" s="1015"/>
      <c r="F110" s="1016"/>
      <c r="G110" s="1017"/>
      <c r="H110" s="1018">
        <f>ROUND(SUBTOTAL(9,H39:H109),2)</f>
        <v>7434460.3499999996</v>
      </c>
      <c r="I110" s="1019"/>
      <c r="J110" s="1018">
        <f>ROUND(SUBTOTAL(9,J39:J109),2)</f>
        <v>1271475.8999999999</v>
      </c>
      <c r="K110" s="1018">
        <f>ROUND(SUBTOTAL(9,K39:K109),2)</f>
        <v>8705936.25</v>
      </c>
      <c r="L110" s="1018"/>
      <c r="M110" s="954"/>
      <c r="N110" s="954"/>
      <c r="O110" s="954"/>
      <c r="P110" s="954"/>
      <c r="Q110" s="954"/>
      <c r="R110" s="954"/>
      <c r="S110" s="954"/>
      <c r="T110" s="954"/>
      <c r="U110" s="954"/>
    </row>
    <row r="111" spans="1:21" s="933" customFormat="1" ht="24" customHeight="1">
      <c r="A111" s="956">
        <v>1.2</v>
      </c>
      <c r="B111" s="957" t="s">
        <v>885</v>
      </c>
      <c r="C111" s="958"/>
      <c r="D111" s="958"/>
      <c r="E111" s="959"/>
      <c r="F111" s="960"/>
      <c r="G111" s="961"/>
      <c r="H111" s="962"/>
      <c r="I111" s="963"/>
      <c r="J111" s="962"/>
      <c r="K111" s="964"/>
      <c r="L111" s="965"/>
      <c r="M111" s="954"/>
      <c r="N111" s="954"/>
      <c r="O111" s="954"/>
      <c r="P111" s="954"/>
      <c r="Q111" s="954"/>
      <c r="R111" s="954"/>
      <c r="S111" s="954"/>
      <c r="T111" s="954"/>
      <c r="U111" s="954"/>
    </row>
    <row r="112" spans="1:21" s="933" customFormat="1" ht="24" customHeight="1">
      <c r="A112" s="928"/>
      <c r="B112" s="966"/>
      <c r="C112" s="966"/>
      <c r="D112" s="966"/>
      <c r="E112" s="967"/>
      <c r="F112" s="968"/>
      <c r="G112" s="969"/>
      <c r="H112" s="930"/>
      <c r="I112" s="970"/>
      <c r="J112" s="930"/>
      <c r="K112" s="931"/>
      <c r="L112" s="971"/>
      <c r="M112" s="954"/>
      <c r="N112" s="954"/>
      <c r="O112" s="954"/>
      <c r="P112" s="954"/>
      <c r="Q112" s="954"/>
      <c r="R112" s="954"/>
      <c r="S112" s="954"/>
      <c r="T112" s="954"/>
      <c r="U112" s="954"/>
    </row>
    <row r="113" spans="1:21" s="933" customFormat="1" ht="24" customHeight="1">
      <c r="A113" s="956" t="s">
        <v>886</v>
      </c>
      <c r="B113" s="957" t="s">
        <v>887</v>
      </c>
      <c r="C113" s="972"/>
      <c r="D113" s="973"/>
      <c r="E113" s="967"/>
      <c r="F113" s="968"/>
      <c r="G113" s="969"/>
      <c r="H113" s="930"/>
      <c r="I113" s="970"/>
      <c r="J113" s="930"/>
      <c r="K113" s="931"/>
      <c r="L113" s="971"/>
      <c r="M113" s="954"/>
      <c r="N113" s="954"/>
      <c r="O113" s="954"/>
      <c r="P113" s="954"/>
      <c r="Q113" s="954"/>
      <c r="R113" s="954"/>
      <c r="S113" s="954"/>
      <c r="T113" s="954"/>
      <c r="U113" s="954"/>
    </row>
    <row r="114" spans="1:21" s="933" customFormat="1" ht="24" customHeight="1">
      <c r="A114" s="1020"/>
      <c r="B114" s="976" t="s">
        <v>864</v>
      </c>
      <c r="C114" s="977"/>
      <c r="D114" s="977"/>
      <c r="E114" s="978">
        <v>1156.32</v>
      </c>
      <c r="F114" s="974" t="s">
        <v>865</v>
      </c>
      <c r="G114" s="969">
        <v>2516</v>
      </c>
      <c r="H114" s="930">
        <f t="shared" ref="H114:H128" si="20">ROUND(E114*G114,2)</f>
        <v>2909301.12</v>
      </c>
      <c r="I114" s="970">
        <v>485</v>
      </c>
      <c r="J114" s="930">
        <f t="shared" ref="J114:J128" si="21">ROUND(E114*I114,2)</f>
        <v>560815.19999999995</v>
      </c>
      <c r="K114" s="931">
        <f t="shared" ref="K114:K129" si="22">H114+J114</f>
        <v>3470116.3200000003</v>
      </c>
      <c r="L114" s="971"/>
      <c r="M114" s="954"/>
      <c r="N114" s="954"/>
      <c r="O114" s="954"/>
      <c r="P114" s="954"/>
      <c r="Q114" s="954"/>
      <c r="R114" s="954"/>
      <c r="S114" s="954"/>
      <c r="T114" s="954"/>
      <c r="U114" s="954"/>
    </row>
    <row r="115" spans="1:21" s="933" customFormat="1" ht="24" customHeight="1">
      <c r="A115" s="1020"/>
      <c r="B115" s="979" t="s">
        <v>866</v>
      </c>
      <c r="C115" s="976"/>
      <c r="D115" s="976"/>
      <c r="E115" s="978"/>
      <c r="F115" s="974"/>
      <c r="G115" s="969"/>
      <c r="H115" s="930">
        <f t="shared" si="20"/>
        <v>0</v>
      </c>
      <c r="I115" s="970"/>
      <c r="J115" s="930">
        <f t="shared" si="21"/>
        <v>0</v>
      </c>
      <c r="K115" s="931">
        <f t="shared" si="22"/>
        <v>0</v>
      </c>
      <c r="L115" s="971"/>
      <c r="M115" s="954"/>
      <c r="N115" s="954"/>
      <c r="O115" s="954"/>
      <c r="P115" s="954"/>
      <c r="Q115" s="954"/>
      <c r="R115" s="954"/>
      <c r="S115" s="954"/>
      <c r="T115" s="954"/>
      <c r="U115" s="954"/>
    </row>
    <row r="116" spans="1:21" s="933" customFormat="1" ht="24" customHeight="1">
      <c r="A116" s="1020"/>
      <c r="B116" s="979"/>
      <c r="C116" s="976" t="s">
        <v>867</v>
      </c>
      <c r="D116" s="976"/>
      <c r="E116" s="978">
        <f>E117/2</f>
        <v>2607.89</v>
      </c>
      <c r="F116" s="974" t="s">
        <v>34</v>
      </c>
      <c r="G116" s="969">
        <v>661.62</v>
      </c>
      <c r="H116" s="930">
        <f t="shared" si="20"/>
        <v>1725432.18</v>
      </c>
      <c r="I116" s="970"/>
      <c r="J116" s="930">
        <f t="shared" si="21"/>
        <v>0</v>
      </c>
      <c r="K116" s="931">
        <f t="shared" si="22"/>
        <v>1725432.18</v>
      </c>
      <c r="L116" s="971"/>
      <c r="M116" s="954"/>
      <c r="N116" s="954"/>
      <c r="O116" s="954"/>
      <c r="P116" s="954"/>
      <c r="Q116" s="954"/>
      <c r="R116" s="954"/>
      <c r="S116" s="954"/>
      <c r="T116" s="954"/>
      <c r="U116" s="954"/>
    </row>
    <row r="117" spans="1:21" s="933" customFormat="1" ht="24" customHeight="1">
      <c r="A117" s="1020"/>
      <c r="B117" s="979"/>
      <c r="C117" s="976" t="s">
        <v>868</v>
      </c>
      <c r="D117" s="976"/>
      <c r="E117" s="978">
        <v>5215.78</v>
      </c>
      <c r="F117" s="974" t="s">
        <v>34</v>
      </c>
      <c r="G117" s="969"/>
      <c r="H117" s="930">
        <f t="shared" si="20"/>
        <v>0</v>
      </c>
      <c r="I117" s="970">
        <v>154</v>
      </c>
      <c r="J117" s="930">
        <f t="shared" si="21"/>
        <v>803230.12</v>
      </c>
      <c r="K117" s="931">
        <f t="shared" si="22"/>
        <v>803230.12</v>
      </c>
      <c r="L117" s="971"/>
      <c r="M117" s="954"/>
      <c r="N117" s="954"/>
      <c r="O117" s="954"/>
      <c r="P117" s="954"/>
      <c r="Q117" s="954"/>
      <c r="R117" s="954"/>
      <c r="S117" s="954"/>
      <c r="T117" s="954"/>
      <c r="U117" s="954"/>
    </row>
    <row r="118" spans="1:21" s="933" customFormat="1" ht="24" customHeight="1">
      <c r="A118" s="1020"/>
      <c r="B118" s="976" t="s">
        <v>869</v>
      </c>
      <c r="C118" s="976"/>
      <c r="D118" s="976"/>
      <c r="E118" s="978">
        <f>(E117*0.25)</f>
        <v>1303.9449999999999</v>
      </c>
      <c r="F118" s="974" t="s">
        <v>870</v>
      </c>
      <c r="G118" s="969">
        <f t="shared" ref="G118" si="23">VLOOKUP(B118,$O$43:$P$53,2,FALSE)</f>
        <v>29.94</v>
      </c>
      <c r="H118" s="930">
        <f t="shared" si="20"/>
        <v>39040.11</v>
      </c>
      <c r="I118" s="970"/>
      <c r="J118" s="930">
        <f t="shared" si="21"/>
        <v>0</v>
      </c>
      <c r="K118" s="931">
        <f t="shared" si="22"/>
        <v>39040.11</v>
      </c>
      <c r="L118" s="971"/>
      <c r="M118" s="954"/>
      <c r="N118" s="954"/>
      <c r="O118" s="954"/>
      <c r="P118" s="954"/>
      <c r="Q118" s="954"/>
      <c r="R118" s="954"/>
      <c r="S118" s="954"/>
      <c r="T118" s="954"/>
      <c r="U118" s="954"/>
    </row>
    <row r="119" spans="1:21" s="933" customFormat="1" ht="24" customHeight="1">
      <c r="A119" s="1020"/>
      <c r="B119" s="976" t="s">
        <v>871</v>
      </c>
      <c r="C119" s="976"/>
      <c r="D119" s="976"/>
      <c r="E119" s="978"/>
      <c r="F119" s="982"/>
      <c r="G119" s="983"/>
      <c r="H119" s="930">
        <f t="shared" si="20"/>
        <v>0</v>
      </c>
      <c r="I119" s="984"/>
      <c r="J119" s="930">
        <f t="shared" si="21"/>
        <v>0</v>
      </c>
      <c r="K119" s="931">
        <f t="shared" si="22"/>
        <v>0</v>
      </c>
      <c r="L119" s="971"/>
      <c r="M119" s="954"/>
      <c r="N119" s="954"/>
      <c r="O119" s="954"/>
      <c r="P119" s="954"/>
      <c r="Q119" s="954"/>
      <c r="R119" s="954"/>
      <c r="S119" s="954"/>
      <c r="T119" s="954"/>
      <c r="U119" s="954"/>
    </row>
    <row r="120" spans="1:21" s="933" customFormat="1" ht="24" customHeight="1">
      <c r="A120" s="1020"/>
      <c r="B120" s="981" t="s">
        <v>872</v>
      </c>
      <c r="C120" s="981"/>
      <c r="D120" s="981"/>
      <c r="E120" s="978"/>
      <c r="F120" s="974" t="s">
        <v>870</v>
      </c>
      <c r="G120" s="969">
        <f t="shared" ref="G120:G128" si="24">VLOOKUP(B120,$O$43:$P$53,2,FALSE)</f>
        <v>25.73</v>
      </c>
      <c r="H120" s="930">
        <f t="shared" si="20"/>
        <v>0</v>
      </c>
      <c r="I120" s="984">
        <v>4.0999999999999996</v>
      </c>
      <c r="J120" s="930">
        <f t="shared" si="21"/>
        <v>0</v>
      </c>
      <c r="K120" s="931">
        <f t="shared" si="22"/>
        <v>0</v>
      </c>
      <c r="L120" s="971"/>
      <c r="M120" s="954"/>
      <c r="N120" s="954"/>
      <c r="O120" s="954"/>
      <c r="P120" s="954"/>
      <c r="Q120" s="954"/>
      <c r="R120" s="954"/>
      <c r="S120" s="954"/>
      <c r="T120" s="954"/>
      <c r="U120" s="954"/>
    </row>
    <row r="121" spans="1:21" s="933" customFormat="1" ht="24" customHeight="1">
      <c r="A121" s="1020"/>
      <c r="B121" s="976" t="s">
        <v>873</v>
      </c>
      <c r="C121" s="976"/>
      <c r="D121" s="976"/>
      <c r="E121" s="978">
        <v>0</v>
      </c>
      <c r="F121" s="974" t="s">
        <v>870</v>
      </c>
      <c r="G121" s="969">
        <f t="shared" si="24"/>
        <v>24.97</v>
      </c>
      <c r="H121" s="930">
        <f t="shared" si="20"/>
        <v>0</v>
      </c>
      <c r="I121" s="970">
        <v>4.0999999999999996</v>
      </c>
      <c r="J121" s="930">
        <f t="shared" si="21"/>
        <v>0</v>
      </c>
      <c r="K121" s="931">
        <f t="shared" si="22"/>
        <v>0</v>
      </c>
      <c r="L121" s="971"/>
      <c r="M121" s="954"/>
      <c r="N121" s="954"/>
      <c r="O121" s="954"/>
      <c r="P121" s="954"/>
      <c r="Q121" s="954"/>
      <c r="R121" s="954"/>
      <c r="S121" s="954"/>
      <c r="T121" s="954"/>
      <c r="U121" s="954"/>
    </row>
    <row r="122" spans="1:21" s="933" customFormat="1" ht="24" customHeight="1">
      <c r="A122" s="1020"/>
      <c r="B122" s="976" t="s">
        <v>874</v>
      </c>
      <c r="C122" s="976"/>
      <c r="D122" s="976"/>
      <c r="E122" s="978">
        <v>32658.61</v>
      </c>
      <c r="F122" s="974" t="s">
        <v>870</v>
      </c>
      <c r="G122" s="969">
        <f t="shared" si="24"/>
        <v>24.47</v>
      </c>
      <c r="H122" s="930">
        <f t="shared" si="20"/>
        <v>799156.19</v>
      </c>
      <c r="I122" s="970">
        <v>3.3</v>
      </c>
      <c r="J122" s="930">
        <f t="shared" si="21"/>
        <v>107773.41</v>
      </c>
      <c r="K122" s="931">
        <f t="shared" si="22"/>
        <v>906929.6</v>
      </c>
      <c r="L122" s="971"/>
      <c r="M122" s="954"/>
      <c r="N122" s="954"/>
      <c r="O122" s="954"/>
      <c r="P122" s="954"/>
      <c r="Q122" s="954"/>
      <c r="R122" s="954"/>
      <c r="S122" s="954"/>
      <c r="T122" s="954"/>
      <c r="U122" s="954"/>
    </row>
    <row r="123" spans="1:21" s="933" customFormat="1" ht="24" customHeight="1">
      <c r="A123" s="1020"/>
      <c r="B123" s="976" t="s">
        <v>875</v>
      </c>
      <c r="C123" s="976"/>
      <c r="D123" s="976"/>
      <c r="E123" s="978">
        <v>10245</v>
      </c>
      <c r="F123" s="982" t="s">
        <v>870</v>
      </c>
      <c r="G123" s="969">
        <f t="shared" si="24"/>
        <v>24.27</v>
      </c>
      <c r="H123" s="930">
        <f t="shared" si="20"/>
        <v>248646.15</v>
      </c>
      <c r="I123" s="970">
        <v>3.3</v>
      </c>
      <c r="J123" s="930">
        <f t="shared" si="21"/>
        <v>33808.5</v>
      </c>
      <c r="K123" s="931">
        <f t="shared" si="22"/>
        <v>282454.65000000002</v>
      </c>
      <c r="L123" s="971"/>
      <c r="M123" s="954"/>
      <c r="N123" s="954"/>
      <c r="O123" s="954"/>
      <c r="P123" s="954"/>
      <c r="Q123" s="954"/>
      <c r="R123" s="954"/>
      <c r="S123" s="954"/>
      <c r="T123" s="954"/>
      <c r="U123" s="954"/>
    </row>
    <row r="124" spans="1:21" s="933" customFormat="1" ht="24" customHeight="1">
      <c r="A124" s="1020"/>
      <c r="B124" s="981" t="s">
        <v>876</v>
      </c>
      <c r="C124" s="981"/>
      <c r="D124" s="981"/>
      <c r="E124" s="978">
        <v>0</v>
      </c>
      <c r="F124" s="974" t="s">
        <v>870</v>
      </c>
      <c r="G124" s="969">
        <f t="shared" si="24"/>
        <v>24.27</v>
      </c>
      <c r="H124" s="930">
        <f t="shared" si="20"/>
        <v>0</v>
      </c>
      <c r="I124" s="970">
        <v>2.9</v>
      </c>
      <c r="J124" s="930">
        <f t="shared" si="21"/>
        <v>0</v>
      </c>
      <c r="K124" s="931">
        <f t="shared" si="22"/>
        <v>0</v>
      </c>
      <c r="L124" s="971"/>
      <c r="M124" s="954"/>
      <c r="N124" s="954"/>
      <c r="O124" s="954"/>
      <c r="P124" s="954"/>
      <c r="Q124" s="954"/>
      <c r="R124" s="954"/>
      <c r="S124" s="954"/>
      <c r="T124" s="954"/>
      <c r="U124" s="954"/>
    </row>
    <row r="125" spans="1:21" s="933" customFormat="1" ht="24" customHeight="1">
      <c r="A125" s="1020"/>
      <c r="B125" s="976" t="s">
        <v>877</v>
      </c>
      <c r="C125" s="976"/>
      <c r="D125" s="976"/>
      <c r="E125" s="978">
        <v>0</v>
      </c>
      <c r="F125" s="974" t="s">
        <v>870</v>
      </c>
      <c r="G125" s="969">
        <f t="shared" si="24"/>
        <v>24.27</v>
      </c>
      <c r="H125" s="930">
        <f t="shared" si="20"/>
        <v>0</v>
      </c>
      <c r="I125" s="970">
        <v>2.9</v>
      </c>
      <c r="J125" s="930">
        <f t="shared" si="21"/>
        <v>0</v>
      </c>
      <c r="K125" s="931">
        <f t="shared" si="22"/>
        <v>0</v>
      </c>
      <c r="L125" s="971"/>
      <c r="M125" s="954"/>
      <c r="N125" s="954"/>
      <c r="O125" s="954"/>
      <c r="P125" s="954"/>
      <c r="Q125" s="954"/>
      <c r="R125" s="954"/>
      <c r="S125" s="954"/>
      <c r="T125" s="954"/>
      <c r="U125" s="954"/>
    </row>
    <row r="126" spans="1:21" s="933" customFormat="1" ht="24" customHeight="1">
      <c r="A126" s="1020"/>
      <c r="B126" s="976" t="s">
        <v>878</v>
      </c>
      <c r="C126" s="976"/>
      <c r="D126" s="976"/>
      <c r="E126" s="978"/>
      <c r="F126" s="974" t="s">
        <v>870</v>
      </c>
      <c r="G126" s="969">
        <f t="shared" si="24"/>
        <v>24.27</v>
      </c>
      <c r="H126" s="930">
        <f t="shared" si="20"/>
        <v>0</v>
      </c>
      <c r="I126" s="970">
        <v>2.9</v>
      </c>
      <c r="J126" s="930">
        <f t="shared" si="21"/>
        <v>0</v>
      </c>
      <c r="K126" s="931">
        <f t="shared" si="22"/>
        <v>0</v>
      </c>
      <c r="L126" s="971"/>
      <c r="M126" s="954"/>
      <c r="N126" s="954"/>
      <c r="O126" s="954"/>
      <c r="P126" s="954"/>
      <c r="Q126" s="954"/>
      <c r="R126" s="954"/>
      <c r="S126" s="954"/>
      <c r="T126" s="954"/>
      <c r="U126" s="954"/>
    </row>
    <row r="127" spans="1:21" s="933" customFormat="1" ht="24" customHeight="1">
      <c r="A127" s="1020"/>
      <c r="B127" s="976" t="s">
        <v>879</v>
      </c>
      <c r="C127" s="976"/>
      <c r="D127" s="976"/>
      <c r="E127" s="978"/>
      <c r="F127" s="974" t="s">
        <v>870</v>
      </c>
      <c r="G127" s="969">
        <f t="shared" si="24"/>
        <v>23.8</v>
      </c>
      <c r="H127" s="930">
        <f t="shared" si="20"/>
        <v>0</v>
      </c>
      <c r="I127" s="970">
        <v>2.9</v>
      </c>
      <c r="J127" s="930">
        <f t="shared" si="21"/>
        <v>0</v>
      </c>
      <c r="K127" s="931">
        <f t="shared" si="22"/>
        <v>0</v>
      </c>
      <c r="L127" s="971"/>
      <c r="M127" s="954"/>
      <c r="N127" s="954"/>
      <c r="O127" s="954"/>
      <c r="P127" s="954"/>
      <c r="Q127" s="954"/>
      <c r="R127" s="954"/>
      <c r="S127" s="954"/>
      <c r="T127" s="954"/>
      <c r="U127" s="954"/>
    </row>
    <row r="128" spans="1:21" s="933" customFormat="1" ht="24" customHeight="1">
      <c r="A128" s="1020"/>
      <c r="B128" s="976" t="s">
        <v>880</v>
      </c>
      <c r="C128" s="976"/>
      <c r="D128" s="976"/>
      <c r="E128" s="978">
        <f>(SUM(E120:E127)/1000)*30</f>
        <v>1287.1083000000001</v>
      </c>
      <c r="F128" s="974" t="s">
        <v>870</v>
      </c>
      <c r="G128" s="969">
        <f t="shared" si="24"/>
        <v>29.92</v>
      </c>
      <c r="H128" s="930">
        <f t="shared" si="20"/>
        <v>38510.28</v>
      </c>
      <c r="I128" s="970"/>
      <c r="J128" s="930">
        <f t="shared" si="21"/>
        <v>0</v>
      </c>
      <c r="K128" s="931">
        <f t="shared" si="22"/>
        <v>38510.28</v>
      </c>
      <c r="L128" s="971"/>
      <c r="M128" s="954"/>
      <c r="N128" s="954"/>
      <c r="O128" s="954"/>
      <c r="P128" s="954"/>
      <c r="Q128" s="954"/>
      <c r="R128" s="954"/>
      <c r="S128" s="954"/>
      <c r="T128" s="954"/>
      <c r="U128" s="954"/>
    </row>
    <row r="129" spans="1:21" s="933" customFormat="1" ht="24" customHeight="1">
      <c r="A129" s="1020"/>
      <c r="B129" s="987" t="s">
        <v>888</v>
      </c>
      <c r="C129" s="987"/>
      <c r="D129" s="987"/>
      <c r="E129" s="978">
        <v>4674.4399999999996</v>
      </c>
      <c r="F129" s="989" t="s">
        <v>34</v>
      </c>
      <c r="G129" s="983">
        <v>340</v>
      </c>
      <c r="H129" s="930">
        <f t="shared" ref="H129" si="25">ROUND(E129*G129,2)</f>
        <v>1589309.6</v>
      </c>
      <c r="I129" s="984"/>
      <c r="J129" s="930">
        <f t="shared" ref="J129" si="26">ROUND(E129*I129,2)</f>
        <v>0</v>
      </c>
      <c r="K129" s="931">
        <f t="shared" si="22"/>
        <v>1589309.6</v>
      </c>
      <c r="L129" s="992"/>
      <c r="M129" s="954"/>
      <c r="N129" s="954"/>
      <c r="O129" s="954"/>
      <c r="P129" s="954"/>
      <c r="Q129" s="954"/>
      <c r="R129" s="954"/>
      <c r="S129" s="954"/>
      <c r="T129" s="954"/>
      <c r="U129" s="954"/>
    </row>
    <row r="130" spans="1:21" s="933" customFormat="1" ht="24" customHeight="1">
      <c r="A130" s="1020"/>
      <c r="B130" s="987" t="s">
        <v>881</v>
      </c>
      <c r="C130" s="987"/>
      <c r="D130" s="987"/>
      <c r="E130" s="978"/>
      <c r="F130" s="989"/>
      <c r="G130" s="983"/>
      <c r="H130" s="930"/>
      <c r="I130" s="984"/>
      <c r="J130" s="930"/>
      <c r="K130" s="931"/>
      <c r="L130" s="992"/>
      <c r="M130" s="954"/>
      <c r="N130" s="954"/>
      <c r="O130" s="954"/>
      <c r="P130" s="954"/>
      <c r="Q130" s="954"/>
      <c r="R130" s="954"/>
      <c r="S130" s="954"/>
      <c r="T130" s="954"/>
      <c r="U130" s="954"/>
    </row>
    <row r="131" spans="1:21" s="933" customFormat="1" ht="24" customHeight="1">
      <c r="A131" s="1020"/>
      <c r="B131" s="987"/>
      <c r="C131" s="987"/>
      <c r="D131" s="987"/>
      <c r="E131" s="978"/>
      <c r="F131" s="989"/>
      <c r="G131" s="983"/>
      <c r="H131" s="930">
        <f t="shared" ref="H131" si="27">E131*G131</f>
        <v>0</v>
      </c>
      <c r="I131" s="984"/>
      <c r="J131" s="930"/>
      <c r="K131" s="931"/>
      <c r="L131" s="992"/>
      <c r="M131" s="954"/>
      <c r="N131" s="954"/>
      <c r="O131" s="954"/>
      <c r="P131" s="954"/>
      <c r="Q131" s="954"/>
      <c r="R131" s="954"/>
      <c r="S131" s="954"/>
      <c r="T131" s="954"/>
      <c r="U131" s="954"/>
    </row>
    <row r="132" spans="1:21" s="933" customFormat="1" ht="24" customHeight="1">
      <c r="A132" s="1020"/>
      <c r="B132" s="987"/>
      <c r="C132" s="987"/>
      <c r="D132" s="987"/>
      <c r="E132" s="978"/>
      <c r="F132" s="989"/>
      <c r="G132" s="983"/>
      <c r="H132" s="930"/>
      <c r="I132" s="984"/>
      <c r="J132" s="930"/>
      <c r="K132" s="931"/>
      <c r="L132" s="992"/>
      <c r="M132" s="954"/>
      <c r="N132" s="954"/>
      <c r="O132" s="954"/>
      <c r="P132" s="954"/>
      <c r="Q132" s="954"/>
      <c r="R132" s="954"/>
      <c r="S132" s="954"/>
      <c r="T132" s="954"/>
      <c r="U132" s="954"/>
    </row>
    <row r="133" spans="1:21" s="933" customFormat="1" ht="24" customHeight="1">
      <c r="A133" s="1020"/>
      <c r="B133" s="987"/>
      <c r="C133" s="972"/>
      <c r="D133" s="973"/>
      <c r="E133" s="978"/>
      <c r="F133" s="968"/>
      <c r="G133" s="969"/>
      <c r="H133" s="930"/>
      <c r="I133" s="970"/>
      <c r="J133" s="930"/>
      <c r="K133" s="931"/>
      <c r="L133" s="971"/>
      <c r="M133" s="954"/>
      <c r="N133" s="954"/>
      <c r="O133" s="954"/>
      <c r="P133" s="954"/>
      <c r="Q133" s="954"/>
      <c r="R133" s="954"/>
      <c r="S133" s="954"/>
      <c r="T133" s="954"/>
      <c r="U133" s="954"/>
    </row>
    <row r="134" spans="1:21" s="933" customFormat="1" ht="24" customHeight="1">
      <c r="A134" s="1020"/>
      <c r="B134" s="1021"/>
      <c r="C134" s="972"/>
      <c r="D134" s="973"/>
      <c r="E134" s="967"/>
      <c r="F134" s="968"/>
      <c r="G134" s="969"/>
      <c r="H134" s="930"/>
      <c r="I134" s="970"/>
      <c r="J134" s="930"/>
      <c r="K134" s="931"/>
      <c r="L134" s="971"/>
      <c r="M134" s="954"/>
      <c r="N134" s="954"/>
      <c r="O134" s="954"/>
      <c r="P134" s="954"/>
      <c r="Q134" s="954"/>
      <c r="R134" s="954"/>
      <c r="S134" s="954"/>
      <c r="T134" s="954"/>
      <c r="U134" s="954"/>
    </row>
    <row r="135" spans="1:21" s="933" customFormat="1" ht="24" customHeight="1">
      <c r="A135" s="1020"/>
      <c r="B135" s="1021"/>
      <c r="C135" s="972"/>
      <c r="D135" s="973"/>
      <c r="E135" s="967"/>
      <c r="F135" s="968"/>
      <c r="G135" s="969"/>
      <c r="H135" s="930"/>
      <c r="I135" s="970"/>
      <c r="J135" s="930"/>
      <c r="K135" s="931"/>
      <c r="L135" s="971"/>
      <c r="M135" s="954"/>
      <c r="N135" s="954"/>
      <c r="O135" s="954"/>
      <c r="P135" s="954"/>
      <c r="Q135" s="954"/>
      <c r="R135" s="954"/>
      <c r="S135" s="954"/>
      <c r="T135" s="954"/>
      <c r="U135" s="954"/>
    </row>
    <row r="136" spans="1:21" s="933" customFormat="1" ht="24" customHeight="1">
      <c r="A136" s="956" t="s">
        <v>889</v>
      </c>
      <c r="B136" s="957" t="s">
        <v>890</v>
      </c>
      <c r="C136" s="972"/>
      <c r="D136" s="973"/>
      <c r="E136" s="1022"/>
      <c r="F136" s="1023"/>
      <c r="G136" s="969"/>
      <c r="H136" s="930"/>
      <c r="I136" s="970"/>
      <c r="J136" s="930"/>
      <c r="K136" s="931"/>
      <c r="L136" s="971"/>
      <c r="M136" s="954"/>
      <c r="N136" s="954"/>
      <c r="O136" s="954"/>
      <c r="P136" s="954"/>
      <c r="Q136" s="954"/>
      <c r="R136" s="954"/>
      <c r="S136" s="954"/>
      <c r="T136" s="954"/>
      <c r="U136" s="954"/>
    </row>
    <row r="137" spans="1:21" s="933" customFormat="1" ht="24" customHeight="1">
      <c r="A137" s="1020"/>
      <c r="B137" s="976" t="s">
        <v>864</v>
      </c>
      <c r="C137" s="977"/>
      <c r="D137" s="977"/>
      <c r="E137" s="978">
        <v>165.24</v>
      </c>
      <c r="F137" s="974" t="s">
        <v>865</v>
      </c>
      <c r="G137" s="969">
        <v>2516</v>
      </c>
      <c r="H137" s="930">
        <f t="shared" ref="H137:H150" si="28">ROUND(E137*G137,2)</f>
        <v>415743.84</v>
      </c>
      <c r="I137" s="970">
        <v>485</v>
      </c>
      <c r="J137" s="930">
        <f t="shared" ref="J137:J150" si="29">ROUND(E137*I137,2)</f>
        <v>80141.399999999994</v>
      </c>
      <c r="K137" s="931">
        <f t="shared" ref="K137:K151" si="30">H137+J137</f>
        <v>495885.24</v>
      </c>
      <c r="L137" s="971"/>
      <c r="M137" s="954"/>
      <c r="N137" s="954"/>
      <c r="O137" s="954"/>
      <c r="P137" s="954"/>
      <c r="Q137" s="954"/>
      <c r="R137" s="954"/>
      <c r="S137" s="954"/>
      <c r="T137" s="954"/>
      <c r="U137" s="954"/>
    </row>
    <row r="138" spans="1:21" s="933" customFormat="1" ht="24" customHeight="1">
      <c r="A138" s="1020"/>
      <c r="B138" s="979" t="s">
        <v>866</v>
      </c>
      <c r="C138" s="976"/>
      <c r="D138" s="976"/>
      <c r="E138" s="978"/>
      <c r="F138" s="974"/>
      <c r="G138" s="969"/>
      <c r="H138" s="930">
        <f t="shared" si="28"/>
        <v>0</v>
      </c>
      <c r="I138" s="970"/>
      <c r="J138" s="930">
        <f t="shared" si="29"/>
        <v>0</v>
      </c>
      <c r="K138" s="931">
        <f t="shared" si="30"/>
        <v>0</v>
      </c>
      <c r="L138" s="971"/>
      <c r="M138" s="954"/>
      <c r="N138" s="954"/>
      <c r="O138" s="954"/>
      <c r="P138" s="954"/>
      <c r="Q138" s="954"/>
      <c r="R138" s="954"/>
      <c r="S138" s="954"/>
      <c r="T138" s="954"/>
      <c r="U138" s="954"/>
    </row>
    <row r="139" spans="1:21" s="933" customFormat="1" ht="24" customHeight="1">
      <c r="A139" s="1020"/>
      <c r="B139" s="979"/>
      <c r="C139" s="976" t="s">
        <v>867</v>
      </c>
      <c r="D139" s="976"/>
      <c r="E139" s="978">
        <f>E140/2</f>
        <v>392.48500000000001</v>
      </c>
      <c r="F139" s="974" t="s">
        <v>34</v>
      </c>
      <c r="G139" s="969">
        <v>661.62</v>
      </c>
      <c r="H139" s="930">
        <f t="shared" si="28"/>
        <v>259675.93</v>
      </c>
      <c r="I139" s="970"/>
      <c r="J139" s="930">
        <f t="shared" si="29"/>
        <v>0</v>
      </c>
      <c r="K139" s="931">
        <f t="shared" si="30"/>
        <v>259675.93</v>
      </c>
      <c r="L139" s="971"/>
      <c r="M139" s="954"/>
      <c r="N139" s="954"/>
      <c r="O139" s="954"/>
      <c r="P139" s="954"/>
      <c r="Q139" s="954"/>
      <c r="R139" s="954"/>
      <c r="S139" s="954"/>
      <c r="T139" s="954"/>
      <c r="U139" s="954"/>
    </row>
    <row r="140" spans="1:21" s="933" customFormat="1" ht="24" customHeight="1">
      <c r="A140" s="1020"/>
      <c r="B140" s="979"/>
      <c r="C140" s="976" t="s">
        <v>868</v>
      </c>
      <c r="D140" s="976"/>
      <c r="E140" s="978">
        <v>784.97</v>
      </c>
      <c r="F140" s="974" t="s">
        <v>34</v>
      </c>
      <c r="G140" s="969"/>
      <c r="H140" s="930">
        <f t="shared" si="28"/>
        <v>0</v>
      </c>
      <c r="I140" s="970">
        <v>154</v>
      </c>
      <c r="J140" s="930">
        <f t="shared" si="29"/>
        <v>120885.38</v>
      </c>
      <c r="K140" s="931">
        <f t="shared" si="30"/>
        <v>120885.38</v>
      </c>
      <c r="L140" s="971"/>
      <c r="M140" s="954"/>
      <c r="N140" s="954"/>
      <c r="O140" s="954"/>
      <c r="P140" s="954"/>
      <c r="Q140" s="954"/>
      <c r="R140" s="954"/>
      <c r="S140" s="954"/>
      <c r="T140" s="954"/>
      <c r="U140" s="954"/>
    </row>
    <row r="141" spans="1:21" s="933" customFormat="1" ht="24" customHeight="1">
      <c r="A141" s="1020"/>
      <c r="B141" s="976" t="s">
        <v>869</v>
      </c>
      <c r="C141" s="976"/>
      <c r="D141" s="976"/>
      <c r="E141" s="978">
        <f>(E140*0.25)</f>
        <v>196.24250000000001</v>
      </c>
      <c r="F141" s="974" t="s">
        <v>870</v>
      </c>
      <c r="G141" s="969">
        <f t="shared" ref="G141" si="31">VLOOKUP(B141,$O$43:$P$53,2,FALSE)</f>
        <v>29.94</v>
      </c>
      <c r="H141" s="930">
        <f t="shared" si="28"/>
        <v>5875.5</v>
      </c>
      <c r="I141" s="970"/>
      <c r="J141" s="930">
        <f t="shared" si="29"/>
        <v>0</v>
      </c>
      <c r="K141" s="931">
        <f t="shared" si="30"/>
        <v>5875.5</v>
      </c>
      <c r="L141" s="971"/>
      <c r="M141" s="954"/>
      <c r="N141" s="954"/>
      <c r="O141" s="954"/>
      <c r="P141" s="954"/>
      <c r="Q141" s="954"/>
      <c r="R141" s="954"/>
      <c r="S141" s="954"/>
      <c r="T141" s="954"/>
      <c r="U141" s="954"/>
    </row>
    <row r="142" spans="1:21" s="933" customFormat="1" ht="24" customHeight="1">
      <c r="A142" s="1020"/>
      <c r="B142" s="976" t="s">
        <v>871</v>
      </c>
      <c r="C142" s="976"/>
      <c r="D142" s="976"/>
      <c r="E142" s="978"/>
      <c r="F142" s="982"/>
      <c r="G142" s="983"/>
      <c r="H142" s="930">
        <f t="shared" si="28"/>
        <v>0</v>
      </c>
      <c r="I142" s="984"/>
      <c r="J142" s="930">
        <f t="shared" si="29"/>
        <v>0</v>
      </c>
      <c r="K142" s="931">
        <f t="shared" si="30"/>
        <v>0</v>
      </c>
      <c r="L142" s="971"/>
      <c r="M142" s="954"/>
      <c r="N142" s="954"/>
      <c r="O142" s="954"/>
      <c r="P142" s="954"/>
      <c r="Q142" s="954"/>
      <c r="R142" s="954"/>
      <c r="S142" s="954"/>
      <c r="T142" s="954"/>
      <c r="U142" s="954"/>
    </row>
    <row r="143" spans="1:21" s="933" customFormat="1" ht="24" customHeight="1">
      <c r="A143" s="1020"/>
      <c r="B143" s="981" t="s">
        <v>872</v>
      </c>
      <c r="C143" s="981"/>
      <c r="D143" s="981"/>
      <c r="E143" s="978"/>
      <c r="F143" s="974" t="s">
        <v>870</v>
      </c>
      <c r="G143" s="969">
        <f t="shared" ref="G143:G151" si="32">VLOOKUP(B143,$O$43:$P$53,2,FALSE)</f>
        <v>25.73</v>
      </c>
      <c r="H143" s="930">
        <f t="shared" si="28"/>
        <v>0</v>
      </c>
      <c r="I143" s="984">
        <v>4.0999999999999996</v>
      </c>
      <c r="J143" s="930">
        <f t="shared" si="29"/>
        <v>0</v>
      </c>
      <c r="K143" s="931">
        <f t="shared" si="30"/>
        <v>0</v>
      </c>
      <c r="L143" s="971"/>
      <c r="M143" s="954"/>
      <c r="N143" s="954"/>
      <c r="O143" s="954"/>
      <c r="P143" s="954"/>
      <c r="Q143" s="954"/>
      <c r="R143" s="954"/>
      <c r="S143" s="954"/>
      <c r="T143" s="954"/>
      <c r="U143" s="954"/>
    </row>
    <row r="144" spans="1:21" s="933" customFormat="1" ht="24" customHeight="1">
      <c r="A144" s="1020"/>
      <c r="B144" s="976" t="s">
        <v>873</v>
      </c>
      <c r="C144" s="976"/>
      <c r="D144" s="976"/>
      <c r="E144" s="978">
        <v>1791.17</v>
      </c>
      <c r="F144" s="974" t="s">
        <v>870</v>
      </c>
      <c r="G144" s="969">
        <f t="shared" si="32"/>
        <v>24.97</v>
      </c>
      <c r="H144" s="930">
        <f t="shared" si="28"/>
        <v>44725.51</v>
      </c>
      <c r="I144" s="970">
        <v>4.0999999999999996</v>
      </c>
      <c r="J144" s="930">
        <f t="shared" si="29"/>
        <v>7343.8</v>
      </c>
      <c r="K144" s="931">
        <f t="shared" si="30"/>
        <v>52069.310000000005</v>
      </c>
      <c r="L144" s="971"/>
      <c r="M144" s="954"/>
      <c r="N144" s="954"/>
      <c r="O144" s="954"/>
      <c r="P144" s="954"/>
      <c r="Q144" s="954"/>
      <c r="R144" s="954"/>
      <c r="S144" s="954"/>
      <c r="T144" s="954"/>
      <c r="U144" s="954"/>
    </row>
    <row r="145" spans="1:21" s="933" customFormat="1" ht="24" customHeight="1">
      <c r="A145" s="1020"/>
      <c r="B145" s="976" t="s">
        <v>874</v>
      </c>
      <c r="C145" s="976"/>
      <c r="D145" s="976"/>
      <c r="E145" s="978">
        <v>21730.29</v>
      </c>
      <c r="F145" s="974" t="s">
        <v>870</v>
      </c>
      <c r="G145" s="969">
        <f t="shared" si="32"/>
        <v>24.47</v>
      </c>
      <c r="H145" s="930">
        <f t="shared" si="28"/>
        <v>531740.19999999995</v>
      </c>
      <c r="I145" s="970">
        <v>3.3</v>
      </c>
      <c r="J145" s="930">
        <f t="shared" si="29"/>
        <v>71709.960000000006</v>
      </c>
      <c r="K145" s="931">
        <f t="shared" si="30"/>
        <v>603450.15999999992</v>
      </c>
      <c r="L145" s="971"/>
      <c r="M145" s="954"/>
      <c r="N145" s="954"/>
      <c r="O145" s="954"/>
      <c r="P145" s="954"/>
      <c r="Q145" s="954"/>
      <c r="R145" s="954"/>
      <c r="S145" s="954"/>
      <c r="T145" s="954"/>
      <c r="U145" s="954"/>
    </row>
    <row r="146" spans="1:21" s="933" customFormat="1" ht="24" customHeight="1">
      <c r="A146" s="1020"/>
      <c r="B146" s="976" t="s">
        <v>875</v>
      </c>
      <c r="C146" s="976"/>
      <c r="D146" s="976"/>
      <c r="E146" s="978">
        <v>2274.61</v>
      </c>
      <c r="F146" s="982" t="s">
        <v>870</v>
      </c>
      <c r="G146" s="969">
        <f t="shared" si="32"/>
        <v>24.27</v>
      </c>
      <c r="H146" s="930">
        <f t="shared" si="28"/>
        <v>55204.78</v>
      </c>
      <c r="I146" s="970">
        <v>3.3</v>
      </c>
      <c r="J146" s="930">
        <f t="shared" si="29"/>
        <v>7506.21</v>
      </c>
      <c r="K146" s="931">
        <f t="shared" si="30"/>
        <v>62710.99</v>
      </c>
      <c r="L146" s="971"/>
      <c r="M146" s="954"/>
      <c r="N146" s="954"/>
      <c r="O146" s="954"/>
      <c r="P146" s="954"/>
      <c r="Q146" s="954"/>
      <c r="R146" s="954"/>
      <c r="S146" s="954"/>
      <c r="T146" s="954"/>
      <c r="U146" s="954"/>
    </row>
    <row r="147" spans="1:21" s="933" customFormat="1" ht="24" customHeight="1">
      <c r="A147" s="1020"/>
      <c r="B147" s="981" t="s">
        <v>876</v>
      </c>
      <c r="C147" s="981"/>
      <c r="D147" s="981"/>
      <c r="E147" s="978">
        <v>2493.4</v>
      </c>
      <c r="F147" s="974" t="s">
        <v>870</v>
      </c>
      <c r="G147" s="969">
        <f t="shared" si="32"/>
        <v>24.27</v>
      </c>
      <c r="H147" s="930">
        <f t="shared" si="28"/>
        <v>60514.82</v>
      </c>
      <c r="I147" s="970">
        <v>2.9</v>
      </c>
      <c r="J147" s="930">
        <f t="shared" si="29"/>
        <v>7230.86</v>
      </c>
      <c r="K147" s="931">
        <f t="shared" si="30"/>
        <v>67745.679999999993</v>
      </c>
      <c r="L147" s="971"/>
      <c r="M147" s="954"/>
      <c r="N147" s="954"/>
      <c r="O147" s="954"/>
      <c r="P147" s="954"/>
      <c r="Q147" s="954"/>
      <c r="R147" s="954"/>
      <c r="S147" s="954"/>
      <c r="T147" s="954"/>
      <c r="U147" s="954"/>
    </row>
    <row r="148" spans="1:21" s="933" customFormat="1" ht="24" customHeight="1">
      <c r="A148" s="1020"/>
      <c r="B148" s="976" t="s">
        <v>877</v>
      </c>
      <c r="C148" s="976"/>
      <c r="D148" s="976"/>
      <c r="E148" s="978">
        <v>4157.99</v>
      </c>
      <c r="F148" s="974" t="s">
        <v>870</v>
      </c>
      <c r="G148" s="969">
        <f t="shared" si="32"/>
        <v>24.27</v>
      </c>
      <c r="H148" s="930">
        <f t="shared" si="28"/>
        <v>100914.42</v>
      </c>
      <c r="I148" s="970">
        <v>2.9</v>
      </c>
      <c r="J148" s="930">
        <f t="shared" si="29"/>
        <v>12058.17</v>
      </c>
      <c r="K148" s="931">
        <f t="shared" si="30"/>
        <v>112972.59</v>
      </c>
      <c r="L148" s="971"/>
      <c r="M148" s="954"/>
      <c r="N148" s="954"/>
      <c r="O148" s="954"/>
      <c r="P148" s="954"/>
      <c r="Q148" s="954"/>
      <c r="R148" s="954"/>
      <c r="S148" s="954"/>
      <c r="T148" s="954"/>
      <c r="U148" s="954"/>
    </row>
    <row r="149" spans="1:21" s="933" customFormat="1" ht="24" customHeight="1">
      <c r="A149" s="1020"/>
      <c r="B149" s="976" t="s">
        <v>878</v>
      </c>
      <c r="C149" s="976"/>
      <c r="D149" s="976"/>
      <c r="E149" s="978">
        <v>9140.2199999999993</v>
      </c>
      <c r="F149" s="974" t="s">
        <v>870</v>
      </c>
      <c r="G149" s="969">
        <f t="shared" si="32"/>
        <v>24.27</v>
      </c>
      <c r="H149" s="930">
        <f t="shared" si="28"/>
        <v>221833.14</v>
      </c>
      <c r="I149" s="970">
        <v>2.9</v>
      </c>
      <c r="J149" s="930">
        <f t="shared" si="29"/>
        <v>26506.639999999999</v>
      </c>
      <c r="K149" s="931">
        <f t="shared" si="30"/>
        <v>248339.78000000003</v>
      </c>
      <c r="L149" s="971"/>
      <c r="M149" s="954"/>
      <c r="N149" s="954"/>
      <c r="O149" s="954"/>
      <c r="P149" s="954"/>
      <c r="Q149" s="954"/>
      <c r="R149" s="954"/>
      <c r="S149" s="954"/>
      <c r="T149" s="954"/>
      <c r="U149" s="954"/>
    </row>
    <row r="150" spans="1:21" s="933" customFormat="1" ht="24" customHeight="1">
      <c r="A150" s="1020"/>
      <c r="B150" s="976" t="s">
        <v>879</v>
      </c>
      <c r="C150" s="976"/>
      <c r="D150" s="976"/>
      <c r="E150" s="978"/>
      <c r="F150" s="974" t="s">
        <v>870</v>
      </c>
      <c r="G150" s="969">
        <f t="shared" si="32"/>
        <v>23.8</v>
      </c>
      <c r="H150" s="930">
        <f t="shared" si="28"/>
        <v>0</v>
      </c>
      <c r="I150" s="970">
        <v>2.9</v>
      </c>
      <c r="J150" s="930">
        <f t="shared" si="29"/>
        <v>0</v>
      </c>
      <c r="K150" s="931">
        <f t="shared" si="30"/>
        <v>0</v>
      </c>
      <c r="L150" s="971"/>
      <c r="M150" s="954"/>
      <c r="N150" s="954"/>
      <c r="O150" s="954"/>
      <c r="P150" s="954"/>
      <c r="Q150" s="954"/>
      <c r="R150" s="954"/>
      <c r="S150" s="954"/>
      <c r="T150" s="954"/>
      <c r="U150" s="954"/>
    </row>
    <row r="151" spans="1:21" s="933" customFormat="1" ht="24" customHeight="1">
      <c r="A151" s="1020"/>
      <c r="B151" s="976" t="s">
        <v>880</v>
      </c>
      <c r="C151" s="976"/>
      <c r="D151" s="976"/>
      <c r="E151" s="978">
        <f>(SUM(E143:E150)/1000)*30</f>
        <v>1247.6304</v>
      </c>
      <c r="F151" s="974" t="s">
        <v>870</v>
      </c>
      <c r="G151" s="969">
        <f t="shared" si="32"/>
        <v>29.92</v>
      </c>
      <c r="H151" s="930">
        <f t="shared" ref="H151" si="33">ROUND(E151*G151,2)</f>
        <v>37329.1</v>
      </c>
      <c r="I151" s="970"/>
      <c r="J151" s="930">
        <f t="shared" ref="J151" si="34">ROUND(E151*I151,2)</f>
        <v>0</v>
      </c>
      <c r="K151" s="931">
        <f t="shared" si="30"/>
        <v>37329.1</v>
      </c>
      <c r="L151" s="971"/>
      <c r="M151" s="954"/>
      <c r="N151" s="954"/>
      <c r="O151" s="954"/>
      <c r="P151" s="954"/>
      <c r="Q151" s="954"/>
      <c r="R151" s="954"/>
      <c r="S151" s="954"/>
      <c r="T151" s="954"/>
      <c r="U151" s="954"/>
    </row>
    <row r="152" spans="1:21" s="933" customFormat="1" ht="24" customHeight="1">
      <c r="A152" s="1020"/>
      <c r="B152" s="976" t="s">
        <v>881</v>
      </c>
      <c r="C152" s="976"/>
      <c r="D152" s="976"/>
      <c r="E152" s="978"/>
      <c r="F152" s="974"/>
      <c r="G152" s="969"/>
      <c r="H152" s="930"/>
      <c r="I152" s="970"/>
      <c r="J152" s="930"/>
      <c r="K152" s="931"/>
      <c r="L152" s="971"/>
      <c r="M152" s="954"/>
      <c r="N152" s="954"/>
      <c r="O152" s="954"/>
      <c r="P152" s="954"/>
      <c r="Q152" s="954"/>
      <c r="R152" s="954"/>
      <c r="S152" s="954"/>
      <c r="T152" s="954"/>
      <c r="U152" s="954"/>
    </row>
    <row r="153" spans="1:21" s="933" customFormat="1" ht="24" customHeight="1">
      <c r="A153" s="1020"/>
      <c r="B153" s="1021"/>
      <c r="C153" s="972"/>
      <c r="D153" s="973"/>
      <c r="E153" s="1022"/>
      <c r="F153" s="1023"/>
      <c r="G153" s="969"/>
      <c r="H153" s="930"/>
      <c r="I153" s="970"/>
      <c r="J153" s="930"/>
      <c r="K153" s="931"/>
      <c r="L153" s="971"/>
      <c r="M153" s="954"/>
      <c r="N153" s="954"/>
      <c r="O153" s="954"/>
      <c r="P153" s="954"/>
      <c r="Q153" s="954"/>
      <c r="R153" s="954"/>
      <c r="S153" s="954"/>
      <c r="T153" s="954"/>
      <c r="U153" s="954"/>
    </row>
    <row r="154" spans="1:21" s="933" customFormat="1" ht="24" customHeight="1">
      <c r="A154" s="1020"/>
      <c r="B154" s="1021"/>
      <c r="C154" s="972"/>
      <c r="D154" s="973"/>
      <c r="E154" s="1022"/>
      <c r="F154" s="1023"/>
      <c r="G154" s="969"/>
      <c r="H154" s="930"/>
      <c r="I154" s="970"/>
      <c r="J154" s="930"/>
      <c r="K154" s="931"/>
      <c r="L154" s="971"/>
      <c r="M154" s="954"/>
      <c r="N154" s="954"/>
      <c r="O154" s="954"/>
      <c r="P154" s="954"/>
      <c r="Q154" s="954"/>
      <c r="R154" s="954"/>
      <c r="S154" s="954"/>
      <c r="T154" s="954"/>
      <c r="U154" s="954"/>
    </row>
    <row r="155" spans="1:21" s="933" customFormat="1" ht="24" customHeight="1">
      <c r="A155" s="1020"/>
      <c r="B155" s="1021"/>
      <c r="C155" s="972"/>
      <c r="D155" s="973"/>
      <c r="E155" s="1022"/>
      <c r="F155" s="1023"/>
      <c r="G155" s="969"/>
      <c r="H155" s="930"/>
      <c r="I155" s="970"/>
      <c r="J155" s="930"/>
      <c r="K155" s="931"/>
      <c r="L155" s="971"/>
      <c r="M155" s="954"/>
      <c r="N155" s="954"/>
      <c r="O155" s="954"/>
      <c r="P155" s="954"/>
      <c r="Q155" s="954"/>
      <c r="R155" s="954"/>
      <c r="S155" s="954"/>
      <c r="T155" s="954"/>
      <c r="U155" s="954"/>
    </row>
    <row r="156" spans="1:21" s="933" customFormat="1" ht="24" customHeight="1">
      <c r="A156" s="1020"/>
      <c r="B156" s="1021"/>
      <c r="C156" s="972"/>
      <c r="D156" s="973"/>
      <c r="E156" s="1022"/>
      <c r="F156" s="1023"/>
      <c r="G156" s="969"/>
      <c r="H156" s="930"/>
      <c r="I156" s="970"/>
      <c r="J156" s="930"/>
      <c r="K156" s="931"/>
      <c r="L156" s="971"/>
      <c r="M156" s="954"/>
      <c r="N156" s="954"/>
      <c r="O156" s="954"/>
      <c r="P156" s="954"/>
      <c r="Q156" s="954"/>
      <c r="R156" s="954"/>
      <c r="S156" s="954"/>
      <c r="T156" s="954"/>
      <c r="U156" s="954"/>
    </row>
    <row r="157" spans="1:21" s="933" customFormat="1" ht="24" customHeight="1">
      <c r="A157" s="1020"/>
      <c r="B157" s="1021"/>
      <c r="C157" s="972"/>
      <c r="D157" s="973"/>
      <c r="E157" s="1022"/>
      <c r="F157" s="1023"/>
      <c r="G157" s="969"/>
      <c r="H157" s="930"/>
      <c r="I157" s="970"/>
      <c r="J157" s="930"/>
      <c r="K157" s="931"/>
      <c r="L157" s="971"/>
      <c r="M157" s="954"/>
      <c r="N157" s="954"/>
      <c r="O157" s="954"/>
      <c r="P157" s="954"/>
      <c r="Q157" s="954"/>
      <c r="R157" s="954"/>
      <c r="S157" s="954"/>
      <c r="T157" s="954"/>
      <c r="U157" s="954"/>
    </row>
    <row r="158" spans="1:21" s="933" customFormat="1" ht="24" customHeight="1">
      <c r="A158" s="1020"/>
      <c r="B158" s="1021"/>
      <c r="C158" s="972"/>
      <c r="D158" s="973"/>
      <c r="E158" s="1022"/>
      <c r="F158" s="1023"/>
      <c r="G158" s="969"/>
      <c r="H158" s="930"/>
      <c r="I158" s="970"/>
      <c r="J158" s="930"/>
      <c r="K158" s="931"/>
      <c r="L158" s="971"/>
      <c r="M158" s="954"/>
      <c r="N158" s="954"/>
      <c r="O158" s="954"/>
      <c r="P158" s="954"/>
      <c r="Q158" s="954"/>
      <c r="R158" s="954"/>
      <c r="S158" s="954"/>
      <c r="T158" s="954"/>
      <c r="U158" s="954"/>
    </row>
    <row r="159" spans="1:21" s="933" customFormat="1" ht="24" customHeight="1">
      <c r="A159" s="1020"/>
      <c r="B159" s="1021"/>
      <c r="C159" s="972"/>
      <c r="D159" s="973"/>
      <c r="E159" s="1022"/>
      <c r="F159" s="1023"/>
      <c r="G159" s="969"/>
      <c r="H159" s="930"/>
      <c r="I159" s="970"/>
      <c r="J159" s="930"/>
      <c r="K159" s="931"/>
      <c r="L159" s="971"/>
      <c r="M159" s="954"/>
      <c r="N159" s="954"/>
      <c r="O159" s="954"/>
      <c r="P159" s="954"/>
      <c r="Q159" s="954"/>
      <c r="R159" s="954"/>
      <c r="S159" s="954"/>
      <c r="T159" s="954"/>
      <c r="U159" s="954"/>
    </row>
    <row r="160" spans="1:21" s="933" customFormat="1" ht="24" customHeight="1">
      <c r="A160" s="1020"/>
      <c r="B160" s="1021"/>
      <c r="C160" s="972"/>
      <c r="D160" s="973"/>
      <c r="E160" s="1022"/>
      <c r="F160" s="1023"/>
      <c r="G160" s="969"/>
      <c r="H160" s="930"/>
      <c r="I160" s="970"/>
      <c r="J160" s="930"/>
      <c r="K160" s="931"/>
      <c r="L160" s="971"/>
      <c r="M160" s="954"/>
      <c r="N160" s="954"/>
      <c r="O160" s="954"/>
      <c r="P160" s="954"/>
      <c r="Q160" s="954"/>
      <c r="R160" s="954"/>
      <c r="S160" s="954"/>
      <c r="T160" s="954"/>
      <c r="U160" s="954"/>
    </row>
    <row r="161" spans="1:21" s="933" customFormat="1" ht="24" customHeight="1">
      <c r="A161" s="956" t="s">
        <v>891</v>
      </c>
      <c r="B161" s="957" t="s">
        <v>892</v>
      </c>
      <c r="C161" s="972"/>
      <c r="D161" s="973"/>
      <c r="E161" s="985"/>
      <c r="F161" s="974"/>
      <c r="G161" s="969"/>
      <c r="H161" s="930"/>
      <c r="I161" s="970"/>
      <c r="J161" s="930"/>
      <c r="K161" s="931"/>
      <c r="L161" s="971"/>
      <c r="M161" s="954"/>
      <c r="N161" s="954"/>
      <c r="O161" s="954"/>
      <c r="P161" s="954"/>
      <c r="Q161" s="954"/>
      <c r="R161" s="954"/>
      <c r="S161" s="954"/>
      <c r="T161" s="954"/>
      <c r="U161" s="954"/>
    </row>
    <row r="162" spans="1:21" s="933" customFormat="1" ht="24" customHeight="1">
      <c r="A162" s="1020"/>
      <c r="B162" s="976" t="s">
        <v>864</v>
      </c>
      <c r="C162" s="977"/>
      <c r="D162" s="977"/>
      <c r="E162" s="978">
        <v>342.67</v>
      </c>
      <c r="F162" s="974" t="s">
        <v>865</v>
      </c>
      <c r="G162" s="969">
        <v>2516</v>
      </c>
      <c r="H162" s="930">
        <f t="shared" ref="H162:H175" si="35">ROUND(E162*G162,2)</f>
        <v>862157.72</v>
      </c>
      <c r="I162" s="970">
        <v>485</v>
      </c>
      <c r="J162" s="930">
        <f t="shared" ref="J162:J175" si="36">ROUND(E162*I162,2)</f>
        <v>166194.95000000001</v>
      </c>
      <c r="K162" s="931">
        <f t="shared" ref="K162:K176" si="37">H162+J162</f>
        <v>1028352.6699999999</v>
      </c>
      <c r="L162" s="971"/>
      <c r="M162" s="954"/>
      <c r="N162" s="954"/>
      <c r="O162" s="954"/>
      <c r="P162" s="954"/>
      <c r="Q162" s="954"/>
      <c r="R162" s="954"/>
      <c r="S162" s="954"/>
      <c r="T162" s="954"/>
      <c r="U162" s="954"/>
    </row>
    <row r="163" spans="1:21" s="933" customFormat="1" ht="24" customHeight="1">
      <c r="A163" s="1020"/>
      <c r="B163" s="979" t="s">
        <v>866</v>
      </c>
      <c r="C163" s="976"/>
      <c r="D163" s="976"/>
      <c r="E163" s="978"/>
      <c r="F163" s="974"/>
      <c r="G163" s="969"/>
      <c r="H163" s="930">
        <f t="shared" si="35"/>
        <v>0</v>
      </c>
      <c r="I163" s="970"/>
      <c r="J163" s="930">
        <f t="shared" si="36"/>
        <v>0</v>
      </c>
      <c r="K163" s="931">
        <f t="shared" si="37"/>
        <v>0</v>
      </c>
      <c r="L163" s="971"/>
      <c r="M163" s="954"/>
      <c r="N163" s="954"/>
      <c r="O163" s="954"/>
      <c r="P163" s="954"/>
      <c r="Q163" s="954"/>
      <c r="R163" s="954"/>
      <c r="S163" s="954"/>
      <c r="T163" s="954"/>
      <c r="U163" s="954"/>
    </row>
    <row r="164" spans="1:21" s="933" customFormat="1" ht="24" customHeight="1">
      <c r="A164" s="1020"/>
      <c r="B164" s="979"/>
      <c r="C164" s="976" t="s">
        <v>867</v>
      </c>
      <c r="D164" s="976"/>
      <c r="E164" s="978">
        <f>E165/2</f>
        <v>768.05</v>
      </c>
      <c r="F164" s="974" t="s">
        <v>34</v>
      </c>
      <c r="G164" s="969">
        <v>661.62</v>
      </c>
      <c r="H164" s="930">
        <f t="shared" si="35"/>
        <v>508157.24</v>
      </c>
      <c r="I164" s="970"/>
      <c r="J164" s="930">
        <f t="shared" si="36"/>
        <v>0</v>
      </c>
      <c r="K164" s="931">
        <f t="shared" si="37"/>
        <v>508157.24</v>
      </c>
      <c r="L164" s="971"/>
      <c r="M164" s="954"/>
      <c r="N164" s="954"/>
      <c r="O164" s="954"/>
      <c r="P164" s="954"/>
      <c r="Q164" s="954"/>
      <c r="R164" s="954"/>
      <c r="S164" s="954"/>
      <c r="T164" s="954"/>
      <c r="U164" s="954"/>
    </row>
    <row r="165" spans="1:21" s="933" customFormat="1" ht="24" customHeight="1">
      <c r="A165" s="1020"/>
      <c r="B165" s="979"/>
      <c r="C165" s="976" t="s">
        <v>868</v>
      </c>
      <c r="D165" s="976"/>
      <c r="E165" s="978">
        <v>1536.1</v>
      </c>
      <c r="F165" s="974" t="s">
        <v>34</v>
      </c>
      <c r="G165" s="969"/>
      <c r="H165" s="930">
        <f t="shared" si="35"/>
        <v>0</v>
      </c>
      <c r="I165" s="970">
        <v>154</v>
      </c>
      <c r="J165" s="930">
        <f t="shared" si="36"/>
        <v>236559.4</v>
      </c>
      <c r="K165" s="931">
        <f t="shared" si="37"/>
        <v>236559.4</v>
      </c>
      <c r="L165" s="971"/>
      <c r="M165" s="954"/>
      <c r="N165" s="954"/>
      <c r="O165" s="954"/>
      <c r="P165" s="954"/>
      <c r="Q165" s="954"/>
      <c r="R165" s="954"/>
      <c r="S165" s="954"/>
      <c r="T165" s="954"/>
      <c r="U165" s="954"/>
    </row>
    <row r="166" spans="1:21" s="933" customFormat="1" ht="24" customHeight="1">
      <c r="A166" s="1020"/>
      <c r="B166" s="976" t="s">
        <v>869</v>
      </c>
      <c r="C166" s="976"/>
      <c r="D166" s="976"/>
      <c r="E166" s="978">
        <f>(E165*0.25)</f>
        <v>384.02499999999998</v>
      </c>
      <c r="F166" s="974" t="s">
        <v>870</v>
      </c>
      <c r="G166" s="969">
        <f t="shared" ref="G166" si="38">VLOOKUP(B166,$O$43:$P$53,2,FALSE)</f>
        <v>29.94</v>
      </c>
      <c r="H166" s="930">
        <f t="shared" si="35"/>
        <v>11497.71</v>
      </c>
      <c r="I166" s="970"/>
      <c r="J166" s="930">
        <f t="shared" si="36"/>
        <v>0</v>
      </c>
      <c r="K166" s="931">
        <f t="shared" si="37"/>
        <v>11497.71</v>
      </c>
      <c r="L166" s="971"/>
      <c r="M166" s="954"/>
      <c r="N166" s="954"/>
      <c r="O166" s="954"/>
      <c r="P166" s="954"/>
      <c r="Q166" s="954"/>
      <c r="R166" s="954"/>
      <c r="S166" s="954"/>
      <c r="T166" s="954"/>
      <c r="U166" s="954"/>
    </row>
    <row r="167" spans="1:21" s="933" customFormat="1" ht="24" customHeight="1">
      <c r="A167" s="1020"/>
      <c r="B167" s="976" t="s">
        <v>871</v>
      </c>
      <c r="C167" s="976"/>
      <c r="D167" s="976"/>
      <c r="E167" s="978"/>
      <c r="F167" s="982"/>
      <c r="G167" s="983"/>
      <c r="H167" s="930">
        <f t="shared" si="35"/>
        <v>0</v>
      </c>
      <c r="I167" s="984"/>
      <c r="J167" s="930">
        <f t="shared" si="36"/>
        <v>0</v>
      </c>
      <c r="K167" s="931">
        <f t="shared" si="37"/>
        <v>0</v>
      </c>
      <c r="L167" s="971"/>
      <c r="M167" s="954"/>
      <c r="N167" s="954"/>
      <c r="O167" s="954"/>
      <c r="P167" s="954"/>
      <c r="Q167" s="954"/>
      <c r="R167" s="954"/>
      <c r="S167" s="954"/>
      <c r="T167" s="954"/>
      <c r="U167" s="954"/>
    </row>
    <row r="168" spans="1:21" s="933" customFormat="1" ht="24" customHeight="1">
      <c r="A168" s="1020"/>
      <c r="B168" s="981" t="s">
        <v>872</v>
      </c>
      <c r="C168" s="981"/>
      <c r="D168" s="981"/>
      <c r="E168" s="978">
        <v>0</v>
      </c>
      <c r="F168" s="974" t="s">
        <v>870</v>
      </c>
      <c r="G168" s="969">
        <f t="shared" ref="G168:G176" si="39">VLOOKUP(B168,$O$43:$P$53,2,FALSE)</f>
        <v>25.73</v>
      </c>
      <c r="H168" s="930">
        <f t="shared" si="35"/>
        <v>0</v>
      </c>
      <c r="I168" s="984">
        <v>4.0999999999999996</v>
      </c>
      <c r="J168" s="930">
        <f t="shared" si="36"/>
        <v>0</v>
      </c>
      <c r="K168" s="931">
        <f t="shared" si="37"/>
        <v>0</v>
      </c>
      <c r="L168" s="971"/>
      <c r="M168" s="954"/>
      <c r="N168" s="954"/>
      <c r="O168" s="954"/>
      <c r="P168" s="954"/>
      <c r="Q168" s="954"/>
      <c r="R168" s="954"/>
      <c r="S168" s="954"/>
      <c r="T168" s="954"/>
      <c r="U168" s="954"/>
    </row>
    <row r="169" spans="1:21" s="933" customFormat="1" ht="24" customHeight="1">
      <c r="A169" s="1020"/>
      <c r="B169" s="976" t="s">
        <v>873</v>
      </c>
      <c r="C169" s="976"/>
      <c r="D169" s="976"/>
      <c r="E169" s="978">
        <v>371.94</v>
      </c>
      <c r="F169" s="974" t="s">
        <v>870</v>
      </c>
      <c r="G169" s="969">
        <f t="shared" si="39"/>
        <v>24.97</v>
      </c>
      <c r="H169" s="930">
        <f t="shared" si="35"/>
        <v>9287.34</v>
      </c>
      <c r="I169" s="970">
        <v>4.0999999999999996</v>
      </c>
      <c r="J169" s="930">
        <f t="shared" si="36"/>
        <v>1524.95</v>
      </c>
      <c r="K169" s="931">
        <f t="shared" si="37"/>
        <v>10812.29</v>
      </c>
      <c r="L169" s="971"/>
      <c r="M169" s="954"/>
      <c r="N169" s="954"/>
      <c r="O169" s="954"/>
      <c r="P169" s="954"/>
      <c r="Q169" s="954"/>
      <c r="R169" s="954"/>
      <c r="S169" s="954"/>
      <c r="T169" s="954"/>
      <c r="U169" s="954"/>
    </row>
    <row r="170" spans="1:21" s="933" customFormat="1" ht="24" customHeight="1">
      <c r="A170" s="1020"/>
      <c r="B170" s="976" t="s">
        <v>874</v>
      </c>
      <c r="C170" s="976"/>
      <c r="D170" s="976"/>
      <c r="E170" s="978">
        <v>24815.39</v>
      </c>
      <c r="F170" s="974" t="s">
        <v>870</v>
      </c>
      <c r="G170" s="969">
        <f t="shared" si="39"/>
        <v>24.47</v>
      </c>
      <c r="H170" s="930">
        <f t="shared" si="35"/>
        <v>607232.59</v>
      </c>
      <c r="I170" s="970">
        <v>3.3</v>
      </c>
      <c r="J170" s="930">
        <f t="shared" si="36"/>
        <v>81890.789999999994</v>
      </c>
      <c r="K170" s="931">
        <f t="shared" si="37"/>
        <v>689123.38</v>
      </c>
      <c r="L170" s="971"/>
      <c r="M170" s="954"/>
      <c r="N170" s="954"/>
      <c r="O170" s="954"/>
      <c r="P170" s="954"/>
      <c r="Q170" s="954"/>
      <c r="R170" s="954"/>
      <c r="S170" s="954"/>
      <c r="T170" s="954"/>
      <c r="U170" s="954"/>
    </row>
    <row r="171" spans="1:21" s="933" customFormat="1" ht="24" customHeight="1">
      <c r="A171" s="1020"/>
      <c r="B171" s="976" t="s">
        <v>875</v>
      </c>
      <c r="C171" s="976"/>
      <c r="D171" s="976"/>
      <c r="E171" s="978">
        <v>85.240000000000009</v>
      </c>
      <c r="F171" s="982" t="s">
        <v>870</v>
      </c>
      <c r="G171" s="969">
        <f t="shared" si="39"/>
        <v>24.27</v>
      </c>
      <c r="H171" s="930">
        <f t="shared" si="35"/>
        <v>2068.77</v>
      </c>
      <c r="I171" s="970">
        <v>3.3</v>
      </c>
      <c r="J171" s="930">
        <f t="shared" si="36"/>
        <v>281.29000000000002</v>
      </c>
      <c r="K171" s="931">
        <f t="shared" si="37"/>
        <v>2350.06</v>
      </c>
      <c r="L171" s="971"/>
      <c r="M171" s="954"/>
      <c r="N171" s="954"/>
      <c r="O171" s="954"/>
      <c r="P171" s="954"/>
      <c r="Q171" s="954"/>
      <c r="R171" s="954"/>
      <c r="S171" s="954"/>
      <c r="T171" s="954"/>
      <c r="U171" s="954"/>
    </row>
    <row r="172" spans="1:21" s="933" customFormat="1" ht="24" customHeight="1">
      <c r="A172" s="1020"/>
      <c r="B172" s="981" t="s">
        <v>876</v>
      </c>
      <c r="C172" s="981"/>
      <c r="D172" s="981"/>
      <c r="E172" s="978">
        <v>0</v>
      </c>
      <c r="F172" s="974" t="s">
        <v>870</v>
      </c>
      <c r="G172" s="969">
        <f t="shared" si="39"/>
        <v>24.27</v>
      </c>
      <c r="H172" s="930">
        <f t="shared" si="35"/>
        <v>0</v>
      </c>
      <c r="I172" s="970">
        <v>2.9</v>
      </c>
      <c r="J172" s="930">
        <f t="shared" si="36"/>
        <v>0</v>
      </c>
      <c r="K172" s="931">
        <f t="shared" si="37"/>
        <v>0</v>
      </c>
      <c r="L172" s="971"/>
      <c r="M172" s="954"/>
      <c r="N172" s="954"/>
      <c r="O172" s="954"/>
      <c r="P172" s="954"/>
      <c r="Q172" s="954"/>
      <c r="R172" s="954"/>
      <c r="S172" s="954"/>
      <c r="T172" s="954"/>
      <c r="U172" s="954"/>
    </row>
    <row r="173" spans="1:21" s="933" customFormat="1" ht="24" customHeight="1">
      <c r="A173" s="1020"/>
      <c r="B173" s="976" t="s">
        <v>877</v>
      </c>
      <c r="C173" s="976"/>
      <c r="D173" s="976"/>
      <c r="E173" s="978">
        <v>10471.93</v>
      </c>
      <c r="F173" s="974" t="s">
        <v>870</v>
      </c>
      <c r="G173" s="969">
        <f t="shared" si="39"/>
        <v>24.27</v>
      </c>
      <c r="H173" s="930">
        <f t="shared" si="35"/>
        <v>254153.74</v>
      </c>
      <c r="I173" s="970">
        <v>2.9</v>
      </c>
      <c r="J173" s="930">
        <f t="shared" si="36"/>
        <v>30368.6</v>
      </c>
      <c r="K173" s="931">
        <f t="shared" si="37"/>
        <v>284522.33999999997</v>
      </c>
      <c r="L173" s="971"/>
      <c r="M173" s="954"/>
      <c r="N173" s="954"/>
      <c r="O173" s="954"/>
      <c r="P173" s="954"/>
      <c r="Q173" s="954"/>
      <c r="R173" s="954"/>
      <c r="S173" s="954"/>
      <c r="T173" s="954"/>
      <c r="U173" s="954"/>
    </row>
    <row r="174" spans="1:21" s="933" customFormat="1" ht="24" customHeight="1">
      <c r="A174" s="1020"/>
      <c r="B174" s="976" t="s">
        <v>878</v>
      </c>
      <c r="C174" s="976"/>
      <c r="D174" s="976"/>
      <c r="E174" s="978">
        <v>104455.15</v>
      </c>
      <c r="F174" s="974" t="s">
        <v>870</v>
      </c>
      <c r="G174" s="969">
        <f t="shared" si="39"/>
        <v>24.27</v>
      </c>
      <c r="H174" s="930">
        <f t="shared" si="35"/>
        <v>2535126.4900000002</v>
      </c>
      <c r="I174" s="970">
        <v>2.9</v>
      </c>
      <c r="J174" s="930">
        <f t="shared" si="36"/>
        <v>302919.94</v>
      </c>
      <c r="K174" s="931">
        <f t="shared" si="37"/>
        <v>2838046.43</v>
      </c>
      <c r="L174" s="971"/>
      <c r="M174" s="954"/>
      <c r="N174" s="954"/>
      <c r="O174" s="954"/>
      <c r="P174" s="954"/>
      <c r="Q174" s="954"/>
      <c r="R174" s="954"/>
      <c r="S174" s="954"/>
      <c r="T174" s="954"/>
      <c r="U174" s="954"/>
    </row>
    <row r="175" spans="1:21" s="933" customFormat="1" ht="24" customHeight="1">
      <c r="A175" s="1020"/>
      <c r="B175" s="976" t="s">
        <v>879</v>
      </c>
      <c r="C175" s="976"/>
      <c r="D175" s="976"/>
      <c r="E175" s="978"/>
      <c r="F175" s="974" t="s">
        <v>870</v>
      </c>
      <c r="G175" s="969">
        <f t="shared" si="39"/>
        <v>23.8</v>
      </c>
      <c r="H175" s="930">
        <f t="shared" si="35"/>
        <v>0</v>
      </c>
      <c r="I175" s="970">
        <v>2.9</v>
      </c>
      <c r="J175" s="930">
        <f t="shared" si="36"/>
        <v>0</v>
      </c>
      <c r="K175" s="931">
        <f t="shared" si="37"/>
        <v>0</v>
      </c>
      <c r="L175" s="971"/>
      <c r="M175" s="954"/>
      <c r="N175" s="954"/>
      <c r="O175" s="954"/>
      <c r="P175" s="954"/>
      <c r="Q175" s="954"/>
      <c r="R175" s="954"/>
      <c r="S175" s="954"/>
      <c r="T175" s="954"/>
      <c r="U175" s="954"/>
    </row>
    <row r="176" spans="1:21" s="933" customFormat="1" ht="24" customHeight="1">
      <c r="A176" s="1020"/>
      <c r="B176" s="976" t="s">
        <v>880</v>
      </c>
      <c r="C176" s="976"/>
      <c r="D176" s="976"/>
      <c r="E176" s="978">
        <f>(SUM(E168:E175)/1000)*30</f>
        <v>4205.9894999999997</v>
      </c>
      <c r="F176" s="974" t="s">
        <v>870</v>
      </c>
      <c r="G176" s="969">
        <f t="shared" si="39"/>
        <v>29.92</v>
      </c>
      <c r="H176" s="930">
        <f t="shared" ref="H176" si="40">ROUND(E176*G176,2)</f>
        <v>125843.21</v>
      </c>
      <c r="I176" s="970"/>
      <c r="J176" s="930">
        <f t="shared" ref="J176" si="41">ROUND(E176*I176,2)</f>
        <v>0</v>
      </c>
      <c r="K176" s="931">
        <f t="shared" si="37"/>
        <v>125843.21</v>
      </c>
      <c r="L176" s="971"/>
      <c r="M176" s="954"/>
      <c r="N176" s="954"/>
      <c r="O176" s="954"/>
      <c r="P176" s="954"/>
      <c r="Q176" s="954"/>
      <c r="R176" s="954"/>
      <c r="S176" s="954"/>
      <c r="T176" s="954"/>
      <c r="U176" s="954"/>
    </row>
    <row r="177" spans="1:21" s="933" customFormat="1" ht="24" customHeight="1">
      <c r="A177" s="1020"/>
      <c r="B177" s="976" t="s">
        <v>881</v>
      </c>
      <c r="C177" s="976"/>
      <c r="D177" s="976"/>
      <c r="E177" s="978"/>
      <c r="F177" s="974"/>
      <c r="G177" s="969"/>
      <c r="H177" s="930"/>
      <c r="I177" s="970"/>
      <c r="J177" s="930"/>
      <c r="K177" s="931"/>
      <c r="L177" s="971"/>
      <c r="M177" s="954"/>
      <c r="N177" s="954"/>
      <c r="O177" s="954"/>
      <c r="P177" s="954"/>
      <c r="Q177" s="954"/>
      <c r="R177" s="954"/>
      <c r="S177" s="954"/>
      <c r="T177" s="954"/>
      <c r="U177" s="954"/>
    </row>
    <row r="178" spans="1:21" s="933" customFormat="1" ht="24" customHeight="1">
      <c r="A178" s="1020"/>
      <c r="B178" s="1021"/>
      <c r="C178" s="972"/>
      <c r="D178" s="973"/>
      <c r="E178" s="985"/>
      <c r="F178" s="974"/>
      <c r="G178" s="969"/>
      <c r="H178" s="930"/>
      <c r="I178" s="970"/>
      <c r="J178" s="930"/>
      <c r="K178" s="931"/>
      <c r="L178" s="971"/>
      <c r="M178" s="954"/>
      <c r="N178" s="954"/>
      <c r="O178" s="954"/>
      <c r="P178" s="954"/>
      <c r="Q178" s="954"/>
      <c r="R178" s="954"/>
      <c r="S178" s="954"/>
      <c r="T178" s="954"/>
      <c r="U178" s="954"/>
    </row>
    <row r="179" spans="1:21" s="933" customFormat="1" ht="24" customHeight="1">
      <c r="A179" s="1020"/>
      <c r="B179" s="1021"/>
      <c r="C179" s="972"/>
      <c r="D179" s="973"/>
      <c r="E179" s="985"/>
      <c r="F179" s="974"/>
      <c r="G179" s="969"/>
      <c r="H179" s="930"/>
      <c r="I179" s="970"/>
      <c r="J179" s="930"/>
      <c r="K179" s="931"/>
      <c r="L179" s="971"/>
      <c r="M179" s="954"/>
      <c r="N179" s="954"/>
      <c r="O179" s="954"/>
      <c r="P179" s="954"/>
      <c r="Q179" s="954"/>
      <c r="R179" s="954"/>
      <c r="S179" s="954"/>
      <c r="T179" s="954"/>
      <c r="U179" s="954"/>
    </row>
    <row r="180" spans="1:21" s="933" customFormat="1" ht="24" customHeight="1">
      <c r="A180" s="1020"/>
      <c r="B180" s="1021"/>
      <c r="C180" s="972"/>
      <c r="D180" s="973"/>
      <c r="E180" s="985"/>
      <c r="F180" s="974"/>
      <c r="G180" s="969"/>
      <c r="H180" s="930"/>
      <c r="I180" s="970"/>
      <c r="J180" s="930"/>
      <c r="K180" s="931"/>
      <c r="L180" s="971"/>
      <c r="M180" s="954"/>
      <c r="N180" s="954"/>
      <c r="O180" s="954"/>
      <c r="P180" s="954"/>
      <c r="Q180" s="954"/>
      <c r="R180" s="954"/>
      <c r="S180" s="954"/>
      <c r="T180" s="954"/>
      <c r="U180" s="954"/>
    </row>
    <row r="181" spans="1:21" s="933" customFormat="1" ht="24" customHeight="1">
      <c r="A181" s="1020"/>
      <c r="B181" s="1021"/>
      <c r="C181" s="972"/>
      <c r="D181" s="973"/>
      <c r="E181" s="985"/>
      <c r="F181" s="974"/>
      <c r="G181" s="969"/>
      <c r="H181" s="930"/>
      <c r="I181" s="970"/>
      <c r="J181" s="930"/>
      <c r="K181" s="931"/>
      <c r="L181" s="971"/>
      <c r="M181" s="954"/>
      <c r="N181" s="954"/>
      <c r="O181" s="954"/>
      <c r="P181" s="954"/>
      <c r="Q181" s="954"/>
      <c r="R181" s="954"/>
      <c r="S181" s="954"/>
      <c r="T181" s="954"/>
      <c r="U181" s="954"/>
    </row>
    <row r="182" spans="1:21" s="933" customFormat="1" ht="24" customHeight="1">
      <c r="A182" s="1020"/>
      <c r="B182" s="1021"/>
      <c r="C182" s="972"/>
      <c r="D182" s="973"/>
      <c r="E182" s="985"/>
      <c r="F182" s="974"/>
      <c r="G182" s="969"/>
      <c r="H182" s="930"/>
      <c r="I182" s="970"/>
      <c r="J182" s="930"/>
      <c r="K182" s="931"/>
      <c r="L182" s="971"/>
      <c r="M182" s="954"/>
      <c r="N182" s="954"/>
      <c r="O182" s="954"/>
      <c r="P182" s="954"/>
      <c r="Q182" s="954"/>
      <c r="R182" s="954"/>
      <c r="S182" s="954"/>
      <c r="T182" s="954"/>
      <c r="U182" s="954"/>
    </row>
    <row r="183" spans="1:21" s="933" customFormat="1" ht="24" customHeight="1">
      <c r="A183" s="1020"/>
      <c r="B183" s="1021"/>
      <c r="C183" s="972"/>
      <c r="D183" s="973"/>
      <c r="E183" s="985"/>
      <c r="F183" s="974"/>
      <c r="G183" s="969"/>
      <c r="H183" s="930"/>
      <c r="I183" s="970"/>
      <c r="J183" s="930"/>
      <c r="K183" s="931"/>
      <c r="L183" s="971"/>
      <c r="M183" s="954"/>
      <c r="N183" s="954"/>
      <c r="O183" s="954"/>
      <c r="P183" s="954"/>
      <c r="Q183" s="954"/>
      <c r="R183" s="954"/>
      <c r="S183" s="954"/>
      <c r="T183" s="954"/>
      <c r="U183" s="954"/>
    </row>
    <row r="184" spans="1:21" s="933" customFormat="1" ht="24" customHeight="1">
      <c r="A184" s="1020"/>
      <c r="B184" s="1021"/>
      <c r="C184" s="972"/>
      <c r="D184" s="973"/>
      <c r="E184" s="985"/>
      <c r="F184" s="974"/>
      <c r="G184" s="969"/>
      <c r="H184" s="930"/>
      <c r="I184" s="970"/>
      <c r="J184" s="930"/>
      <c r="K184" s="931"/>
      <c r="L184" s="971"/>
      <c r="M184" s="954"/>
      <c r="N184" s="954"/>
      <c r="O184" s="954"/>
      <c r="P184" s="954"/>
      <c r="Q184" s="954"/>
      <c r="R184" s="954"/>
      <c r="S184" s="954"/>
      <c r="T184" s="954"/>
      <c r="U184" s="954"/>
    </row>
    <row r="185" spans="1:21" s="933" customFormat="1" ht="24" customHeight="1">
      <c r="A185" s="1020"/>
      <c r="B185" s="1021"/>
      <c r="C185" s="972"/>
      <c r="D185" s="973"/>
      <c r="E185" s="985"/>
      <c r="F185" s="974"/>
      <c r="G185" s="969"/>
      <c r="H185" s="930"/>
      <c r="I185" s="970"/>
      <c r="J185" s="930"/>
      <c r="K185" s="931"/>
      <c r="L185" s="971"/>
      <c r="M185" s="954"/>
      <c r="N185" s="954"/>
      <c r="O185" s="954"/>
      <c r="P185" s="954"/>
      <c r="Q185" s="954"/>
      <c r="R185" s="954"/>
      <c r="S185" s="954"/>
      <c r="T185" s="954"/>
      <c r="U185" s="954"/>
    </row>
    <row r="186" spans="1:21" s="933" customFormat="1" ht="24" customHeight="1">
      <c r="A186" s="956" t="s">
        <v>893</v>
      </c>
      <c r="B186" s="957" t="s">
        <v>1028</v>
      </c>
      <c r="C186" s="972"/>
      <c r="D186" s="973"/>
      <c r="E186" s="985"/>
      <c r="F186" s="974"/>
      <c r="G186" s="969"/>
      <c r="H186" s="930"/>
      <c r="I186" s="970"/>
      <c r="J186" s="930"/>
      <c r="K186" s="931"/>
      <c r="L186" s="971"/>
      <c r="M186" s="954"/>
      <c r="N186" s="954"/>
      <c r="O186" s="954"/>
      <c r="P186" s="954"/>
      <c r="Q186" s="954"/>
      <c r="R186" s="954"/>
      <c r="S186" s="954"/>
      <c r="T186" s="954"/>
      <c r="U186" s="954"/>
    </row>
    <row r="187" spans="1:21" s="933" customFormat="1" ht="24" customHeight="1">
      <c r="A187" s="1020"/>
      <c r="B187" s="976" t="s">
        <v>864</v>
      </c>
      <c r="C187" s="977"/>
      <c r="D187" s="977"/>
      <c r="E187" s="978">
        <v>175.07</v>
      </c>
      <c r="F187" s="974" t="s">
        <v>865</v>
      </c>
      <c r="G187" s="969">
        <v>2516</v>
      </c>
      <c r="H187" s="930">
        <f t="shared" ref="H187:H200" si="42">ROUND(E187*G187,2)</f>
        <v>440476.12</v>
      </c>
      <c r="I187" s="970">
        <v>485</v>
      </c>
      <c r="J187" s="930">
        <f t="shared" ref="J187:J200" si="43">ROUND(E187*I187,2)</f>
        <v>84908.95</v>
      </c>
      <c r="K187" s="931">
        <f t="shared" ref="K187:K201" si="44">H187+J187</f>
        <v>525385.06999999995</v>
      </c>
      <c r="L187" s="971"/>
      <c r="M187" s="954"/>
      <c r="N187" s="954"/>
      <c r="O187" s="954"/>
      <c r="P187" s="954"/>
      <c r="Q187" s="954"/>
      <c r="R187" s="954"/>
      <c r="S187" s="954"/>
      <c r="T187" s="954"/>
      <c r="U187" s="954"/>
    </row>
    <row r="188" spans="1:21" s="933" customFormat="1" ht="24" customHeight="1">
      <c r="A188" s="1020"/>
      <c r="B188" s="979" t="s">
        <v>866</v>
      </c>
      <c r="C188" s="976"/>
      <c r="D188" s="976"/>
      <c r="E188" s="978"/>
      <c r="F188" s="974"/>
      <c r="G188" s="969"/>
      <c r="H188" s="930">
        <f t="shared" si="42"/>
        <v>0</v>
      </c>
      <c r="I188" s="970"/>
      <c r="J188" s="930">
        <f t="shared" si="43"/>
        <v>0</v>
      </c>
      <c r="K188" s="931">
        <f t="shared" si="44"/>
        <v>0</v>
      </c>
      <c r="L188" s="971"/>
      <c r="M188" s="954"/>
      <c r="N188" s="954"/>
      <c r="O188" s="954"/>
      <c r="P188" s="954"/>
      <c r="Q188" s="954"/>
      <c r="R188" s="954"/>
      <c r="S188" s="954"/>
      <c r="T188" s="954"/>
      <c r="U188" s="954"/>
    </row>
    <row r="189" spans="1:21" s="933" customFormat="1" ht="24" customHeight="1">
      <c r="A189" s="1020"/>
      <c r="B189" s="979"/>
      <c r="C189" s="976" t="s">
        <v>867</v>
      </c>
      <c r="D189" s="976"/>
      <c r="E189" s="978">
        <f>E190/2</f>
        <v>520.09</v>
      </c>
      <c r="F189" s="974" t="s">
        <v>34</v>
      </c>
      <c r="G189" s="969">
        <v>661.62</v>
      </c>
      <c r="H189" s="930">
        <f t="shared" si="42"/>
        <v>344101.95</v>
      </c>
      <c r="I189" s="970"/>
      <c r="J189" s="930">
        <f t="shared" si="43"/>
        <v>0</v>
      </c>
      <c r="K189" s="931">
        <f t="shared" si="44"/>
        <v>344101.95</v>
      </c>
      <c r="L189" s="971"/>
      <c r="M189" s="954"/>
      <c r="N189" s="954"/>
      <c r="O189" s="954"/>
      <c r="P189" s="954"/>
      <c r="Q189" s="954"/>
      <c r="R189" s="954"/>
      <c r="S189" s="954"/>
      <c r="T189" s="954"/>
      <c r="U189" s="954"/>
    </row>
    <row r="190" spans="1:21" s="933" customFormat="1" ht="24" customHeight="1">
      <c r="A190" s="1020"/>
      <c r="B190" s="979"/>
      <c r="C190" s="976" t="s">
        <v>868</v>
      </c>
      <c r="D190" s="976"/>
      <c r="E190" s="978">
        <v>1040.18</v>
      </c>
      <c r="F190" s="974" t="s">
        <v>34</v>
      </c>
      <c r="G190" s="969"/>
      <c r="H190" s="930">
        <f t="shared" si="42"/>
        <v>0</v>
      </c>
      <c r="I190" s="970">
        <v>154</v>
      </c>
      <c r="J190" s="930">
        <f t="shared" si="43"/>
        <v>160187.72</v>
      </c>
      <c r="K190" s="931">
        <f t="shared" si="44"/>
        <v>160187.72</v>
      </c>
      <c r="L190" s="971"/>
      <c r="M190" s="954"/>
      <c r="N190" s="954"/>
      <c r="O190" s="954"/>
      <c r="P190" s="954"/>
      <c r="Q190" s="954"/>
      <c r="R190" s="954"/>
      <c r="S190" s="954"/>
      <c r="T190" s="954"/>
      <c r="U190" s="954"/>
    </row>
    <row r="191" spans="1:21" s="933" customFormat="1" ht="24" customHeight="1">
      <c r="A191" s="1020"/>
      <c r="B191" s="976" t="s">
        <v>869</v>
      </c>
      <c r="C191" s="976"/>
      <c r="D191" s="976"/>
      <c r="E191" s="978">
        <f>(E190*0.25)</f>
        <v>260.04500000000002</v>
      </c>
      <c r="F191" s="974" t="s">
        <v>870</v>
      </c>
      <c r="G191" s="969">
        <f t="shared" ref="G191" si="45">VLOOKUP(B191,$O$43:$P$53,2,FALSE)</f>
        <v>29.94</v>
      </c>
      <c r="H191" s="930">
        <f t="shared" si="42"/>
        <v>7785.75</v>
      </c>
      <c r="I191" s="970"/>
      <c r="J191" s="930">
        <f t="shared" si="43"/>
        <v>0</v>
      </c>
      <c r="K191" s="931">
        <f t="shared" si="44"/>
        <v>7785.75</v>
      </c>
      <c r="L191" s="971"/>
      <c r="M191" s="954"/>
      <c r="N191" s="954"/>
      <c r="O191" s="954"/>
      <c r="P191" s="954"/>
      <c r="Q191" s="954"/>
      <c r="R191" s="954"/>
      <c r="S191" s="954"/>
      <c r="T191" s="954"/>
      <c r="U191" s="954"/>
    </row>
    <row r="192" spans="1:21" s="933" customFormat="1" ht="24" customHeight="1">
      <c r="A192" s="1020"/>
      <c r="B192" s="976" t="s">
        <v>871</v>
      </c>
      <c r="C192" s="976"/>
      <c r="D192" s="976"/>
      <c r="E192" s="978"/>
      <c r="F192" s="982"/>
      <c r="G192" s="983"/>
      <c r="H192" s="930">
        <f t="shared" si="42"/>
        <v>0</v>
      </c>
      <c r="I192" s="984"/>
      <c r="J192" s="930">
        <f t="shared" si="43"/>
        <v>0</v>
      </c>
      <c r="K192" s="931">
        <f t="shared" si="44"/>
        <v>0</v>
      </c>
      <c r="L192" s="971"/>
      <c r="M192" s="954"/>
      <c r="N192" s="954"/>
      <c r="O192" s="954"/>
      <c r="P192" s="954"/>
      <c r="Q192" s="954"/>
      <c r="R192" s="954"/>
      <c r="S192" s="954"/>
      <c r="T192" s="954"/>
      <c r="U192" s="954"/>
    </row>
    <row r="193" spans="1:21" s="933" customFormat="1" ht="24" customHeight="1">
      <c r="A193" s="1020"/>
      <c r="B193" s="981" t="s">
        <v>872</v>
      </c>
      <c r="C193" s="981"/>
      <c r="D193" s="981"/>
      <c r="E193" s="978"/>
      <c r="F193" s="974" t="s">
        <v>870</v>
      </c>
      <c r="G193" s="969">
        <f t="shared" ref="G193:G201" si="46">VLOOKUP(B193,$O$43:$P$53,2,FALSE)</f>
        <v>25.73</v>
      </c>
      <c r="H193" s="930">
        <f t="shared" si="42"/>
        <v>0</v>
      </c>
      <c r="I193" s="984">
        <v>4.0999999999999996</v>
      </c>
      <c r="J193" s="930">
        <f t="shared" si="43"/>
        <v>0</v>
      </c>
      <c r="K193" s="931">
        <f t="shared" si="44"/>
        <v>0</v>
      </c>
      <c r="L193" s="971"/>
      <c r="M193" s="954"/>
      <c r="N193" s="954"/>
      <c r="O193" s="954"/>
      <c r="P193" s="954"/>
      <c r="Q193" s="954"/>
      <c r="R193" s="954"/>
      <c r="S193" s="954"/>
      <c r="T193" s="954"/>
      <c r="U193" s="954"/>
    </row>
    <row r="194" spans="1:21" s="933" customFormat="1" ht="24" customHeight="1">
      <c r="A194" s="1020"/>
      <c r="B194" s="976" t="s">
        <v>873</v>
      </c>
      <c r="C194" s="976"/>
      <c r="D194" s="976"/>
      <c r="E194" s="978"/>
      <c r="F194" s="974" t="s">
        <v>870</v>
      </c>
      <c r="G194" s="969">
        <f t="shared" si="46"/>
        <v>24.97</v>
      </c>
      <c r="H194" s="930">
        <f t="shared" si="42"/>
        <v>0</v>
      </c>
      <c r="I194" s="970">
        <v>4.0999999999999996</v>
      </c>
      <c r="J194" s="930">
        <f t="shared" si="43"/>
        <v>0</v>
      </c>
      <c r="K194" s="931">
        <f t="shared" si="44"/>
        <v>0</v>
      </c>
      <c r="L194" s="971"/>
      <c r="M194" s="954"/>
      <c r="N194" s="954"/>
      <c r="O194" s="954"/>
      <c r="P194" s="954"/>
      <c r="Q194" s="954"/>
      <c r="R194" s="954"/>
      <c r="S194" s="954"/>
      <c r="T194" s="954"/>
      <c r="U194" s="954"/>
    </row>
    <row r="195" spans="1:21" s="933" customFormat="1" ht="24" customHeight="1">
      <c r="A195" s="1020"/>
      <c r="B195" s="976" t="s">
        <v>874</v>
      </c>
      <c r="C195" s="976"/>
      <c r="D195" s="976"/>
      <c r="E195" s="978">
        <v>5510.56</v>
      </c>
      <c r="F195" s="974" t="s">
        <v>870</v>
      </c>
      <c r="G195" s="969">
        <f t="shared" si="46"/>
        <v>24.47</v>
      </c>
      <c r="H195" s="930">
        <f t="shared" si="42"/>
        <v>134843.4</v>
      </c>
      <c r="I195" s="970">
        <v>3.3</v>
      </c>
      <c r="J195" s="930">
        <f t="shared" si="43"/>
        <v>18184.849999999999</v>
      </c>
      <c r="K195" s="931">
        <f t="shared" si="44"/>
        <v>153028.25</v>
      </c>
      <c r="L195" s="971"/>
      <c r="M195" s="954"/>
      <c r="N195" s="954"/>
      <c r="O195" s="954"/>
      <c r="P195" s="954"/>
      <c r="Q195" s="954"/>
      <c r="R195" s="954"/>
      <c r="S195" s="954"/>
      <c r="T195" s="954"/>
      <c r="U195" s="954"/>
    </row>
    <row r="196" spans="1:21" s="933" customFormat="1" ht="24" customHeight="1">
      <c r="A196" s="1020"/>
      <c r="B196" s="976" t="s">
        <v>875</v>
      </c>
      <c r="C196" s="976"/>
      <c r="D196" s="976"/>
      <c r="E196" s="978">
        <v>15634.71</v>
      </c>
      <c r="F196" s="982" t="s">
        <v>870</v>
      </c>
      <c r="G196" s="969">
        <f t="shared" si="46"/>
        <v>24.27</v>
      </c>
      <c r="H196" s="930">
        <f t="shared" si="42"/>
        <v>379454.41</v>
      </c>
      <c r="I196" s="970">
        <v>3.3</v>
      </c>
      <c r="J196" s="930">
        <f t="shared" si="43"/>
        <v>51594.54</v>
      </c>
      <c r="K196" s="931">
        <f t="shared" si="44"/>
        <v>431048.94999999995</v>
      </c>
      <c r="L196" s="971"/>
      <c r="M196" s="954"/>
      <c r="N196" s="954"/>
      <c r="O196" s="954"/>
      <c r="P196" s="954"/>
      <c r="Q196" s="954"/>
      <c r="R196" s="954"/>
      <c r="S196" s="954"/>
      <c r="T196" s="954"/>
      <c r="U196" s="954"/>
    </row>
    <row r="197" spans="1:21" s="933" customFormat="1" ht="24" customHeight="1">
      <c r="A197" s="1020"/>
      <c r="B197" s="981" t="s">
        <v>876</v>
      </c>
      <c r="C197" s="981"/>
      <c r="D197" s="981"/>
      <c r="E197" s="978">
        <v>4609.5</v>
      </c>
      <c r="F197" s="974" t="s">
        <v>870</v>
      </c>
      <c r="G197" s="969">
        <f t="shared" si="46"/>
        <v>24.27</v>
      </c>
      <c r="H197" s="930">
        <f t="shared" si="42"/>
        <v>111872.57</v>
      </c>
      <c r="I197" s="970">
        <v>2.9</v>
      </c>
      <c r="J197" s="930">
        <f t="shared" si="43"/>
        <v>13367.55</v>
      </c>
      <c r="K197" s="931">
        <f t="shared" si="44"/>
        <v>125240.12000000001</v>
      </c>
      <c r="L197" s="971"/>
      <c r="M197" s="954"/>
      <c r="N197" s="954"/>
      <c r="O197" s="954"/>
      <c r="P197" s="954"/>
      <c r="Q197" s="954"/>
      <c r="R197" s="954"/>
      <c r="S197" s="954"/>
      <c r="T197" s="954"/>
      <c r="U197" s="954"/>
    </row>
    <row r="198" spans="1:21" s="933" customFormat="1" ht="24" customHeight="1">
      <c r="A198" s="1020"/>
      <c r="B198" s="976" t="s">
        <v>877</v>
      </c>
      <c r="C198" s="976"/>
      <c r="D198" s="976"/>
      <c r="E198" s="978">
        <v>29586.77</v>
      </c>
      <c r="F198" s="974" t="s">
        <v>870</v>
      </c>
      <c r="G198" s="969">
        <f t="shared" si="46"/>
        <v>24.27</v>
      </c>
      <c r="H198" s="930">
        <f t="shared" si="42"/>
        <v>718070.91</v>
      </c>
      <c r="I198" s="970">
        <v>2.9</v>
      </c>
      <c r="J198" s="930">
        <f t="shared" si="43"/>
        <v>85801.63</v>
      </c>
      <c r="K198" s="931">
        <f t="shared" si="44"/>
        <v>803872.54</v>
      </c>
      <c r="L198" s="971"/>
      <c r="M198" s="954"/>
      <c r="N198" s="954"/>
      <c r="O198" s="954"/>
      <c r="P198" s="954"/>
      <c r="Q198" s="954"/>
      <c r="R198" s="954"/>
      <c r="S198" s="954"/>
      <c r="T198" s="954"/>
      <c r="U198" s="954"/>
    </row>
    <row r="199" spans="1:21" s="933" customFormat="1" ht="24" customHeight="1">
      <c r="A199" s="1020"/>
      <c r="B199" s="976" t="s">
        <v>878</v>
      </c>
      <c r="C199" s="976"/>
      <c r="D199" s="976"/>
      <c r="E199" s="978"/>
      <c r="F199" s="974" t="s">
        <v>870</v>
      </c>
      <c r="G199" s="969">
        <f t="shared" si="46"/>
        <v>24.27</v>
      </c>
      <c r="H199" s="930">
        <f t="shared" si="42"/>
        <v>0</v>
      </c>
      <c r="I199" s="970">
        <v>2.9</v>
      </c>
      <c r="J199" s="930">
        <f t="shared" si="43"/>
        <v>0</v>
      </c>
      <c r="K199" s="931">
        <f t="shared" si="44"/>
        <v>0</v>
      </c>
      <c r="L199" s="971"/>
      <c r="M199" s="954"/>
      <c r="N199" s="954"/>
      <c r="O199" s="954"/>
      <c r="P199" s="954"/>
      <c r="Q199" s="954"/>
      <c r="R199" s="954"/>
      <c r="S199" s="954"/>
      <c r="T199" s="954"/>
      <c r="U199" s="954"/>
    </row>
    <row r="200" spans="1:21" s="933" customFormat="1" ht="24" customHeight="1">
      <c r="A200" s="1020"/>
      <c r="B200" s="976" t="s">
        <v>879</v>
      </c>
      <c r="C200" s="976"/>
      <c r="D200" s="976"/>
      <c r="E200" s="978"/>
      <c r="F200" s="974" t="s">
        <v>870</v>
      </c>
      <c r="G200" s="969">
        <f t="shared" si="46"/>
        <v>23.8</v>
      </c>
      <c r="H200" s="930">
        <f t="shared" si="42"/>
        <v>0</v>
      </c>
      <c r="I200" s="970">
        <v>2.9</v>
      </c>
      <c r="J200" s="930">
        <f t="shared" si="43"/>
        <v>0</v>
      </c>
      <c r="K200" s="931">
        <f t="shared" si="44"/>
        <v>0</v>
      </c>
      <c r="L200" s="971"/>
      <c r="M200" s="954"/>
      <c r="N200" s="954"/>
      <c r="O200" s="954"/>
      <c r="P200" s="954"/>
      <c r="Q200" s="954"/>
      <c r="R200" s="954"/>
      <c r="S200" s="954"/>
      <c r="T200" s="954"/>
      <c r="U200" s="954"/>
    </row>
    <row r="201" spans="1:21" s="933" customFormat="1" ht="24" customHeight="1">
      <c r="A201" s="1020"/>
      <c r="B201" s="976" t="s">
        <v>880</v>
      </c>
      <c r="C201" s="976"/>
      <c r="D201" s="976"/>
      <c r="E201" s="978">
        <f>(SUM(E193:E200)/1000)*30</f>
        <v>1660.2462</v>
      </c>
      <c r="F201" s="974" t="s">
        <v>870</v>
      </c>
      <c r="G201" s="969">
        <f t="shared" si="46"/>
        <v>29.92</v>
      </c>
      <c r="H201" s="930">
        <f t="shared" ref="H201" si="47">ROUND(E201*G201,2)</f>
        <v>49674.57</v>
      </c>
      <c r="I201" s="970"/>
      <c r="J201" s="930">
        <f t="shared" ref="J201" si="48">ROUND(E201*I201,2)</f>
        <v>0</v>
      </c>
      <c r="K201" s="931">
        <f t="shared" si="44"/>
        <v>49674.57</v>
      </c>
      <c r="L201" s="971"/>
      <c r="M201" s="954"/>
      <c r="N201" s="954"/>
      <c r="O201" s="954"/>
      <c r="P201" s="954"/>
      <c r="Q201" s="954"/>
      <c r="R201" s="954"/>
      <c r="S201" s="954"/>
      <c r="T201" s="954"/>
      <c r="U201" s="954"/>
    </row>
    <row r="202" spans="1:21" s="933" customFormat="1" ht="24" customHeight="1">
      <c r="A202" s="1020"/>
      <c r="B202" s="976" t="s">
        <v>881</v>
      </c>
      <c r="C202" s="976"/>
      <c r="D202" s="976"/>
      <c r="E202" s="978"/>
      <c r="F202" s="974"/>
      <c r="G202" s="969"/>
      <c r="H202" s="930"/>
      <c r="I202" s="970"/>
      <c r="J202" s="930"/>
      <c r="K202" s="931"/>
      <c r="L202" s="971"/>
      <c r="M202" s="954"/>
      <c r="N202" s="954"/>
      <c r="O202" s="954"/>
      <c r="P202" s="954"/>
      <c r="Q202" s="954"/>
      <c r="R202" s="954"/>
      <c r="S202" s="954"/>
      <c r="T202" s="954"/>
      <c r="U202" s="954"/>
    </row>
    <row r="203" spans="1:21" s="933" customFormat="1" ht="24" customHeight="1">
      <c r="A203" s="1020"/>
      <c r="B203" s="1021"/>
      <c r="C203" s="972"/>
      <c r="D203" s="973"/>
      <c r="E203" s="985"/>
      <c r="F203" s="974"/>
      <c r="G203" s="969"/>
      <c r="H203" s="930"/>
      <c r="I203" s="970"/>
      <c r="J203" s="930"/>
      <c r="K203" s="931"/>
      <c r="L203" s="971"/>
      <c r="M203" s="954"/>
      <c r="N203" s="954"/>
      <c r="O203" s="954"/>
      <c r="P203" s="954"/>
      <c r="Q203" s="954"/>
      <c r="R203" s="954"/>
      <c r="S203" s="954"/>
      <c r="T203" s="954"/>
      <c r="U203" s="954"/>
    </row>
    <row r="204" spans="1:21" s="933" customFormat="1" ht="24" customHeight="1">
      <c r="A204" s="1020"/>
      <c r="B204" s="1021"/>
      <c r="C204" s="972"/>
      <c r="D204" s="973"/>
      <c r="E204" s="985"/>
      <c r="F204" s="974"/>
      <c r="G204" s="969"/>
      <c r="H204" s="930"/>
      <c r="I204" s="970"/>
      <c r="J204" s="930"/>
      <c r="K204" s="931"/>
      <c r="L204" s="971"/>
      <c r="M204" s="954"/>
      <c r="N204" s="954"/>
      <c r="O204" s="954"/>
      <c r="P204" s="954"/>
      <c r="Q204" s="954"/>
      <c r="R204" s="954"/>
      <c r="S204" s="954"/>
      <c r="T204" s="954"/>
      <c r="U204" s="954"/>
    </row>
    <row r="205" spans="1:21" s="933" customFormat="1" ht="24" customHeight="1">
      <c r="A205" s="1020"/>
      <c r="B205" s="1021"/>
      <c r="C205" s="972"/>
      <c r="D205" s="973"/>
      <c r="E205" s="985"/>
      <c r="F205" s="974"/>
      <c r="G205" s="969"/>
      <c r="H205" s="930"/>
      <c r="I205" s="970"/>
      <c r="J205" s="930"/>
      <c r="K205" s="931"/>
      <c r="L205" s="971"/>
      <c r="M205" s="954"/>
      <c r="N205" s="954"/>
      <c r="O205" s="954"/>
      <c r="P205" s="954"/>
      <c r="Q205" s="954"/>
      <c r="R205" s="954"/>
      <c r="S205" s="954"/>
      <c r="T205" s="954"/>
      <c r="U205" s="954"/>
    </row>
    <row r="206" spans="1:21" s="933" customFormat="1" ht="24" customHeight="1">
      <c r="A206" s="1020"/>
      <c r="B206" s="1021"/>
      <c r="C206" s="972"/>
      <c r="D206" s="973"/>
      <c r="E206" s="985"/>
      <c r="F206" s="974"/>
      <c r="G206" s="969"/>
      <c r="H206" s="930"/>
      <c r="I206" s="970"/>
      <c r="J206" s="930"/>
      <c r="K206" s="931"/>
      <c r="L206" s="971"/>
      <c r="M206" s="954"/>
      <c r="N206" s="954"/>
      <c r="O206" s="954"/>
      <c r="P206" s="954"/>
      <c r="Q206" s="954"/>
      <c r="R206" s="954"/>
      <c r="S206" s="954"/>
      <c r="T206" s="954"/>
      <c r="U206" s="954"/>
    </row>
    <row r="207" spans="1:21" s="933" customFormat="1" ht="24" customHeight="1">
      <c r="A207" s="1020"/>
      <c r="B207" s="1021"/>
      <c r="C207" s="972"/>
      <c r="D207" s="973"/>
      <c r="E207" s="985"/>
      <c r="F207" s="974"/>
      <c r="G207" s="969"/>
      <c r="H207" s="930"/>
      <c r="I207" s="970"/>
      <c r="J207" s="930"/>
      <c r="K207" s="931"/>
      <c r="L207" s="971"/>
      <c r="M207" s="954"/>
      <c r="N207" s="954"/>
      <c r="O207" s="954"/>
      <c r="P207" s="954"/>
      <c r="Q207" s="954"/>
      <c r="R207" s="954"/>
      <c r="S207" s="954"/>
      <c r="T207" s="954"/>
      <c r="U207" s="954"/>
    </row>
    <row r="208" spans="1:21" s="933" customFormat="1" ht="24" customHeight="1">
      <c r="A208" s="1020"/>
      <c r="B208" s="1021"/>
      <c r="C208" s="972"/>
      <c r="D208" s="973"/>
      <c r="E208" s="985"/>
      <c r="F208" s="974"/>
      <c r="G208" s="969"/>
      <c r="H208" s="930"/>
      <c r="I208" s="970"/>
      <c r="J208" s="930"/>
      <c r="K208" s="931"/>
      <c r="L208" s="971"/>
      <c r="M208" s="954"/>
      <c r="N208" s="954"/>
      <c r="O208" s="954"/>
      <c r="P208" s="954"/>
      <c r="Q208" s="954"/>
      <c r="R208" s="954"/>
      <c r="S208" s="954"/>
      <c r="T208" s="954"/>
      <c r="U208" s="954"/>
    </row>
    <row r="209" spans="1:21" s="933" customFormat="1" ht="24" customHeight="1">
      <c r="A209" s="1020"/>
      <c r="B209" s="1021"/>
      <c r="C209" s="972"/>
      <c r="D209" s="973"/>
      <c r="E209" s="985"/>
      <c r="F209" s="974"/>
      <c r="G209" s="969"/>
      <c r="H209" s="930"/>
      <c r="I209" s="970"/>
      <c r="J209" s="930"/>
      <c r="K209" s="931"/>
      <c r="L209" s="971"/>
      <c r="M209" s="954"/>
      <c r="N209" s="954"/>
      <c r="O209" s="954"/>
      <c r="P209" s="954"/>
      <c r="Q209" s="954"/>
      <c r="R209" s="954"/>
      <c r="S209" s="954"/>
      <c r="T209" s="954"/>
      <c r="U209" s="954"/>
    </row>
    <row r="210" spans="1:21" s="933" customFormat="1" ht="24" customHeight="1">
      <c r="A210" s="1020"/>
      <c r="B210" s="1021"/>
      <c r="C210" s="972"/>
      <c r="D210" s="973"/>
      <c r="E210" s="985"/>
      <c r="F210" s="974"/>
      <c r="G210" s="969"/>
      <c r="H210" s="930"/>
      <c r="I210" s="970"/>
      <c r="J210" s="930"/>
      <c r="K210" s="931"/>
      <c r="L210" s="971"/>
      <c r="M210" s="954"/>
      <c r="N210" s="954"/>
      <c r="O210" s="954"/>
      <c r="P210" s="954"/>
      <c r="Q210" s="954"/>
      <c r="R210" s="954"/>
      <c r="S210" s="954"/>
      <c r="T210" s="954"/>
      <c r="U210" s="954"/>
    </row>
    <row r="211" spans="1:21" s="933" customFormat="1" ht="24" customHeight="1">
      <c r="A211" s="956" t="s">
        <v>894</v>
      </c>
      <c r="B211" s="957" t="s">
        <v>895</v>
      </c>
      <c r="C211" s="972"/>
      <c r="D211" s="973"/>
      <c r="E211" s="985"/>
      <c r="F211" s="974"/>
      <c r="G211" s="969"/>
      <c r="H211" s="930"/>
      <c r="I211" s="970"/>
      <c r="J211" s="930"/>
      <c r="K211" s="931"/>
      <c r="L211" s="971"/>
      <c r="M211" s="954"/>
      <c r="N211" s="954"/>
      <c r="O211" s="954"/>
      <c r="P211" s="954"/>
      <c r="Q211" s="954"/>
      <c r="R211" s="954"/>
      <c r="S211" s="954"/>
      <c r="T211" s="954"/>
      <c r="U211" s="954"/>
    </row>
    <row r="212" spans="1:21" s="933" customFormat="1" ht="24" customHeight="1">
      <c r="A212" s="975"/>
      <c r="B212" s="976" t="s">
        <v>864</v>
      </c>
      <c r="C212" s="977"/>
      <c r="D212" s="977"/>
      <c r="E212" s="978">
        <v>21.984150000000003</v>
      </c>
      <c r="F212" s="974" t="s">
        <v>865</v>
      </c>
      <c r="G212" s="969">
        <v>2516</v>
      </c>
      <c r="H212" s="930">
        <f t="shared" ref="H212:H225" si="49">ROUND(E212*G212,2)</f>
        <v>55312.12</v>
      </c>
      <c r="I212" s="970">
        <v>485</v>
      </c>
      <c r="J212" s="930">
        <f t="shared" ref="J212:J225" si="50">ROUND(E212*I212,2)</f>
        <v>10662.31</v>
      </c>
      <c r="K212" s="931">
        <f t="shared" ref="K212:K226" si="51">H212+J212</f>
        <v>65974.430000000008</v>
      </c>
      <c r="L212" s="971"/>
      <c r="M212" s="954"/>
      <c r="N212" s="954"/>
      <c r="O212" s="954"/>
      <c r="P212" s="954"/>
      <c r="Q212" s="954"/>
      <c r="R212" s="954"/>
      <c r="S212" s="954"/>
      <c r="T212" s="954"/>
      <c r="U212" s="954"/>
    </row>
    <row r="213" spans="1:21" s="933" customFormat="1" ht="24" customHeight="1">
      <c r="A213" s="975"/>
      <c r="B213" s="979" t="s">
        <v>866</v>
      </c>
      <c r="C213" s="976"/>
      <c r="D213" s="976"/>
      <c r="E213" s="978"/>
      <c r="F213" s="974"/>
      <c r="G213" s="969"/>
      <c r="H213" s="930">
        <f t="shared" si="49"/>
        <v>0</v>
      </c>
      <c r="I213" s="970"/>
      <c r="J213" s="930">
        <f t="shared" si="50"/>
        <v>0</v>
      </c>
      <c r="K213" s="931">
        <f t="shared" si="51"/>
        <v>0</v>
      </c>
      <c r="L213" s="971"/>
      <c r="M213" s="954"/>
      <c r="N213" s="954"/>
      <c r="O213" s="954"/>
      <c r="P213" s="954"/>
      <c r="Q213" s="954"/>
      <c r="R213" s="954"/>
      <c r="S213" s="954"/>
      <c r="T213" s="954"/>
      <c r="U213" s="954"/>
    </row>
    <row r="214" spans="1:21" s="933" customFormat="1" ht="24" customHeight="1">
      <c r="A214" s="975"/>
      <c r="B214" s="979"/>
      <c r="C214" s="976" t="s">
        <v>867</v>
      </c>
      <c r="D214" s="976"/>
      <c r="E214" s="978">
        <f>E215/2</f>
        <v>73.226500000000016</v>
      </c>
      <c r="F214" s="974" t="s">
        <v>34</v>
      </c>
      <c r="G214" s="969">
        <v>661.62</v>
      </c>
      <c r="H214" s="930">
        <f t="shared" si="49"/>
        <v>48448.12</v>
      </c>
      <c r="I214" s="970"/>
      <c r="J214" s="930">
        <f t="shared" si="50"/>
        <v>0</v>
      </c>
      <c r="K214" s="931">
        <f t="shared" si="51"/>
        <v>48448.12</v>
      </c>
      <c r="L214" s="971"/>
      <c r="M214" s="954"/>
      <c r="N214" s="954"/>
      <c r="O214" s="954"/>
      <c r="P214" s="954"/>
      <c r="Q214" s="954"/>
      <c r="R214" s="954"/>
      <c r="S214" s="954"/>
      <c r="T214" s="954"/>
      <c r="U214" s="954"/>
    </row>
    <row r="215" spans="1:21" s="933" customFormat="1" ht="24" customHeight="1">
      <c r="A215" s="975"/>
      <c r="B215" s="979"/>
      <c r="C215" s="976" t="s">
        <v>868</v>
      </c>
      <c r="D215" s="976"/>
      <c r="E215" s="978">
        <v>146.45300000000003</v>
      </c>
      <c r="F215" s="974" t="s">
        <v>34</v>
      </c>
      <c r="G215" s="969"/>
      <c r="H215" s="930">
        <f t="shared" si="49"/>
        <v>0</v>
      </c>
      <c r="I215" s="970">
        <v>154</v>
      </c>
      <c r="J215" s="930">
        <f t="shared" si="50"/>
        <v>22553.759999999998</v>
      </c>
      <c r="K215" s="931">
        <f t="shared" si="51"/>
        <v>22553.759999999998</v>
      </c>
      <c r="L215" s="971"/>
      <c r="M215" s="954"/>
      <c r="N215" s="954"/>
      <c r="O215" s="954"/>
      <c r="P215" s="954"/>
      <c r="Q215" s="954"/>
      <c r="R215" s="954"/>
      <c r="S215" s="954"/>
      <c r="T215" s="954"/>
      <c r="U215" s="954"/>
    </row>
    <row r="216" spans="1:21" s="933" customFormat="1" ht="24" customHeight="1">
      <c r="A216" s="975"/>
      <c r="B216" s="976" t="s">
        <v>869</v>
      </c>
      <c r="C216" s="976"/>
      <c r="D216" s="976"/>
      <c r="E216" s="978">
        <f>(E215*0.25)</f>
        <v>36.613250000000008</v>
      </c>
      <c r="F216" s="974" t="s">
        <v>870</v>
      </c>
      <c r="G216" s="969">
        <f t="shared" ref="G216" si="52">VLOOKUP(B216,$O$43:$P$53,2,FALSE)</f>
        <v>29.94</v>
      </c>
      <c r="H216" s="930">
        <f t="shared" si="49"/>
        <v>1096.2</v>
      </c>
      <c r="I216" s="970"/>
      <c r="J216" s="930">
        <f t="shared" si="50"/>
        <v>0</v>
      </c>
      <c r="K216" s="931">
        <f t="shared" si="51"/>
        <v>1096.2</v>
      </c>
      <c r="L216" s="971"/>
      <c r="M216" s="954"/>
      <c r="N216" s="954"/>
      <c r="O216" s="954"/>
      <c r="P216" s="954"/>
      <c r="Q216" s="954"/>
      <c r="R216" s="954"/>
      <c r="S216" s="954"/>
      <c r="T216" s="954"/>
      <c r="U216" s="954"/>
    </row>
    <row r="217" spans="1:21" s="933" customFormat="1" ht="24" customHeight="1">
      <c r="A217" s="975"/>
      <c r="B217" s="976" t="s">
        <v>871</v>
      </c>
      <c r="C217" s="976"/>
      <c r="D217" s="976"/>
      <c r="E217" s="978"/>
      <c r="F217" s="982"/>
      <c r="G217" s="983"/>
      <c r="H217" s="930">
        <f t="shared" si="49"/>
        <v>0</v>
      </c>
      <c r="I217" s="984"/>
      <c r="J217" s="930">
        <f t="shared" si="50"/>
        <v>0</v>
      </c>
      <c r="K217" s="931">
        <f t="shared" si="51"/>
        <v>0</v>
      </c>
      <c r="L217" s="971"/>
      <c r="M217" s="954"/>
      <c r="N217" s="954"/>
      <c r="O217" s="954"/>
      <c r="P217" s="954"/>
      <c r="Q217" s="954"/>
      <c r="R217" s="954"/>
      <c r="S217" s="954"/>
      <c r="T217" s="954"/>
      <c r="U217" s="954"/>
    </row>
    <row r="218" spans="1:21" s="933" customFormat="1" ht="24" customHeight="1">
      <c r="A218" s="975"/>
      <c r="B218" s="981" t="s">
        <v>872</v>
      </c>
      <c r="C218" s="981"/>
      <c r="D218" s="981"/>
      <c r="E218" s="978"/>
      <c r="F218" s="974" t="s">
        <v>870</v>
      </c>
      <c r="G218" s="969">
        <f t="shared" ref="G218:G226" si="53">VLOOKUP(B218,$O$43:$P$53,2,FALSE)</f>
        <v>25.73</v>
      </c>
      <c r="H218" s="930">
        <f t="shared" si="49"/>
        <v>0</v>
      </c>
      <c r="I218" s="984">
        <v>4.0999999999999996</v>
      </c>
      <c r="J218" s="930">
        <f t="shared" si="50"/>
        <v>0</v>
      </c>
      <c r="K218" s="931">
        <f t="shared" si="51"/>
        <v>0</v>
      </c>
      <c r="L218" s="971"/>
      <c r="M218" s="954"/>
      <c r="N218" s="954"/>
      <c r="O218" s="954"/>
      <c r="P218" s="954"/>
      <c r="Q218" s="954"/>
      <c r="R218" s="954"/>
      <c r="S218" s="954"/>
      <c r="T218" s="954"/>
      <c r="U218" s="954"/>
    </row>
    <row r="219" spans="1:21" s="933" customFormat="1" ht="24" customHeight="1">
      <c r="A219" s="975"/>
      <c r="B219" s="976" t="s">
        <v>873</v>
      </c>
      <c r="C219" s="976"/>
      <c r="D219" s="976"/>
      <c r="E219" s="978">
        <v>1122.8800000000001</v>
      </c>
      <c r="F219" s="974" t="s">
        <v>870</v>
      </c>
      <c r="G219" s="969">
        <f t="shared" si="53"/>
        <v>24.97</v>
      </c>
      <c r="H219" s="930">
        <f t="shared" si="49"/>
        <v>28038.31</v>
      </c>
      <c r="I219" s="970">
        <v>4.0999999999999996</v>
      </c>
      <c r="J219" s="930">
        <f t="shared" si="50"/>
        <v>4603.8100000000004</v>
      </c>
      <c r="K219" s="931">
        <f t="shared" si="51"/>
        <v>32642.120000000003</v>
      </c>
      <c r="L219" s="971"/>
      <c r="M219" s="954"/>
      <c r="N219" s="954"/>
      <c r="O219" s="954"/>
      <c r="P219" s="954"/>
      <c r="Q219" s="954"/>
      <c r="R219" s="954"/>
      <c r="S219" s="954"/>
      <c r="T219" s="954"/>
      <c r="U219" s="954"/>
    </row>
    <row r="220" spans="1:21" s="933" customFormat="1" ht="24" customHeight="1">
      <c r="A220" s="975"/>
      <c r="B220" s="976" t="s">
        <v>874</v>
      </c>
      <c r="C220" s="976"/>
      <c r="D220" s="976"/>
      <c r="E220" s="978">
        <v>1368.15</v>
      </c>
      <c r="F220" s="974" t="s">
        <v>870</v>
      </c>
      <c r="G220" s="969">
        <f t="shared" si="53"/>
        <v>24.47</v>
      </c>
      <c r="H220" s="930">
        <f t="shared" si="49"/>
        <v>33478.629999999997</v>
      </c>
      <c r="I220" s="970">
        <v>3.3</v>
      </c>
      <c r="J220" s="930">
        <f t="shared" si="50"/>
        <v>4514.8999999999996</v>
      </c>
      <c r="K220" s="931">
        <f t="shared" si="51"/>
        <v>37993.53</v>
      </c>
      <c r="L220" s="971"/>
      <c r="M220" s="954"/>
      <c r="N220" s="954"/>
      <c r="O220" s="954"/>
      <c r="P220" s="954"/>
      <c r="Q220" s="954"/>
      <c r="R220" s="954"/>
      <c r="S220" s="954"/>
      <c r="T220" s="954"/>
      <c r="U220" s="954"/>
    </row>
    <row r="221" spans="1:21" s="933" customFormat="1" ht="24" customHeight="1">
      <c r="A221" s="975"/>
      <c r="B221" s="976" t="s">
        <v>875</v>
      </c>
      <c r="C221" s="976"/>
      <c r="D221" s="976"/>
      <c r="E221" s="978">
        <v>584.02</v>
      </c>
      <c r="F221" s="982" t="s">
        <v>870</v>
      </c>
      <c r="G221" s="969">
        <f t="shared" si="53"/>
        <v>24.27</v>
      </c>
      <c r="H221" s="930">
        <f t="shared" si="49"/>
        <v>14174.17</v>
      </c>
      <c r="I221" s="970">
        <v>3.3</v>
      </c>
      <c r="J221" s="930">
        <f t="shared" si="50"/>
        <v>1927.27</v>
      </c>
      <c r="K221" s="931">
        <f t="shared" si="51"/>
        <v>16101.44</v>
      </c>
      <c r="L221" s="971"/>
      <c r="M221" s="954"/>
      <c r="N221" s="954"/>
      <c r="O221" s="954"/>
      <c r="P221" s="954"/>
      <c r="Q221" s="954"/>
      <c r="R221" s="954"/>
      <c r="S221" s="954"/>
      <c r="T221" s="954"/>
      <c r="U221" s="954"/>
    </row>
    <row r="222" spans="1:21" s="933" customFormat="1" ht="24" customHeight="1">
      <c r="A222" s="975"/>
      <c r="B222" s="981" t="s">
        <v>876</v>
      </c>
      <c r="C222" s="981"/>
      <c r="D222" s="981"/>
      <c r="E222" s="978"/>
      <c r="F222" s="974" t="s">
        <v>870</v>
      </c>
      <c r="G222" s="969">
        <f t="shared" si="53"/>
        <v>24.27</v>
      </c>
      <c r="H222" s="930">
        <f t="shared" si="49"/>
        <v>0</v>
      </c>
      <c r="I222" s="970">
        <v>2.9</v>
      </c>
      <c r="J222" s="930">
        <f t="shared" si="50"/>
        <v>0</v>
      </c>
      <c r="K222" s="931">
        <f t="shared" si="51"/>
        <v>0</v>
      </c>
      <c r="L222" s="971"/>
      <c r="M222" s="954"/>
      <c r="N222" s="954"/>
      <c r="O222" s="954"/>
      <c r="P222" s="954"/>
      <c r="Q222" s="954"/>
      <c r="R222" s="954"/>
      <c r="S222" s="954"/>
      <c r="T222" s="954"/>
      <c r="U222" s="954"/>
    </row>
    <row r="223" spans="1:21" s="933" customFormat="1" ht="24" customHeight="1">
      <c r="A223" s="975"/>
      <c r="B223" s="976" t="s">
        <v>877</v>
      </c>
      <c r="C223" s="976"/>
      <c r="D223" s="976"/>
      <c r="E223" s="978"/>
      <c r="F223" s="974" t="s">
        <v>870</v>
      </c>
      <c r="G223" s="969">
        <f t="shared" si="53"/>
        <v>24.27</v>
      </c>
      <c r="H223" s="930">
        <f t="shared" si="49"/>
        <v>0</v>
      </c>
      <c r="I223" s="970">
        <v>2.9</v>
      </c>
      <c r="J223" s="930">
        <f t="shared" si="50"/>
        <v>0</v>
      </c>
      <c r="K223" s="931">
        <f t="shared" si="51"/>
        <v>0</v>
      </c>
      <c r="L223" s="971"/>
      <c r="M223" s="954"/>
      <c r="N223" s="954"/>
      <c r="O223" s="954"/>
      <c r="P223" s="954"/>
      <c r="Q223" s="954"/>
      <c r="R223" s="954"/>
      <c r="S223" s="954"/>
      <c r="T223" s="954"/>
      <c r="U223" s="954"/>
    </row>
    <row r="224" spans="1:21" s="933" customFormat="1" ht="24" customHeight="1">
      <c r="A224" s="975"/>
      <c r="B224" s="976" t="s">
        <v>878</v>
      </c>
      <c r="C224" s="976"/>
      <c r="D224" s="976"/>
      <c r="E224" s="978"/>
      <c r="F224" s="974" t="s">
        <v>870</v>
      </c>
      <c r="G224" s="969">
        <f t="shared" si="53"/>
        <v>24.27</v>
      </c>
      <c r="H224" s="930">
        <f t="shared" si="49"/>
        <v>0</v>
      </c>
      <c r="I224" s="970">
        <v>2.9</v>
      </c>
      <c r="J224" s="930">
        <f t="shared" si="50"/>
        <v>0</v>
      </c>
      <c r="K224" s="931">
        <f t="shared" si="51"/>
        <v>0</v>
      </c>
      <c r="L224" s="971"/>
      <c r="M224" s="954"/>
      <c r="N224" s="954"/>
      <c r="O224" s="954"/>
      <c r="P224" s="954"/>
      <c r="Q224" s="954"/>
      <c r="R224" s="954"/>
      <c r="S224" s="954"/>
      <c r="T224" s="954"/>
      <c r="U224" s="954"/>
    </row>
    <row r="225" spans="1:21" s="933" customFormat="1" ht="24" customHeight="1">
      <c r="A225" s="998"/>
      <c r="B225" s="976" t="s">
        <v>879</v>
      </c>
      <c r="C225" s="976"/>
      <c r="D225" s="976"/>
      <c r="E225" s="978"/>
      <c r="F225" s="974" t="s">
        <v>870</v>
      </c>
      <c r="G225" s="969">
        <f t="shared" si="53"/>
        <v>23.8</v>
      </c>
      <c r="H225" s="930">
        <f t="shared" si="49"/>
        <v>0</v>
      </c>
      <c r="I225" s="970">
        <v>2.9</v>
      </c>
      <c r="J225" s="930">
        <f t="shared" si="50"/>
        <v>0</v>
      </c>
      <c r="K225" s="931">
        <f t="shared" si="51"/>
        <v>0</v>
      </c>
      <c r="L225" s="971"/>
      <c r="M225" s="954"/>
      <c r="N225" s="954"/>
      <c r="O225" s="954"/>
      <c r="P225" s="954"/>
      <c r="Q225" s="954"/>
      <c r="R225" s="954"/>
      <c r="S225" s="954"/>
      <c r="T225" s="954"/>
      <c r="U225" s="954"/>
    </row>
    <row r="226" spans="1:21" s="933" customFormat="1" ht="24" customHeight="1">
      <c r="A226" s="993"/>
      <c r="B226" s="976" t="s">
        <v>880</v>
      </c>
      <c r="C226" s="976"/>
      <c r="D226" s="976"/>
      <c r="E226" s="978">
        <f>(SUM(E218:E225)/1000)*30</f>
        <v>92.251500000000007</v>
      </c>
      <c r="F226" s="974" t="s">
        <v>870</v>
      </c>
      <c r="G226" s="969">
        <f t="shared" si="53"/>
        <v>29.92</v>
      </c>
      <c r="H226" s="930">
        <f>ROUND(E226*G226,2)</f>
        <v>2760.16</v>
      </c>
      <c r="I226" s="970"/>
      <c r="J226" s="930">
        <f>ROUND(E226*I226,2)</f>
        <v>0</v>
      </c>
      <c r="K226" s="931">
        <f t="shared" si="51"/>
        <v>2760.16</v>
      </c>
      <c r="L226" s="971"/>
      <c r="M226" s="954"/>
      <c r="N226" s="954"/>
      <c r="O226" s="954"/>
      <c r="P226" s="954"/>
      <c r="Q226" s="954"/>
      <c r="R226" s="954"/>
      <c r="S226" s="954"/>
      <c r="T226" s="954"/>
      <c r="U226" s="954"/>
    </row>
    <row r="227" spans="1:21" s="933" customFormat="1" ht="24" customHeight="1">
      <c r="A227" s="998"/>
      <c r="B227" s="976" t="s">
        <v>881</v>
      </c>
      <c r="C227" s="976"/>
      <c r="D227" s="976"/>
      <c r="E227" s="978"/>
      <c r="F227" s="974"/>
      <c r="G227" s="969"/>
      <c r="H227" s="930"/>
      <c r="I227" s="970"/>
      <c r="J227" s="930"/>
      <c r="K227" s="931"/>
      <c r="L227" s="971"/>
      <c r="M227" s="954"/>
      <c r="N227" s="954"/>
      <c r="O227" s="954"/>
      <c r="P227" s="954"/>
      <c r="Q227" s="954"/>
      <c r="R227" s="954"/>
      <c r="S227" s="954"/>
      <c r="T227" s="954"/>
      <c r="U227" s="954"/>
    </row>
    <row r="228" spans="1:21" s="933" customFormat="1" ht="24" customHeight="1">
      <c r="A228" s="998"/>
      <c r="B228" s="976"/>
      <c r="C228" s="976"/>
      <c r="D228" s="1024"/>
      <c r="E228" s="988"/>
      <c r="F228" s="989"/>
      <c r="G228" s="983"/>
      <c r="H228" s="990"/>
      <c r="I228" s="984"/>
      <c r="J228" s="990"/>
      <c r="K228" s="991"/>
      <c r="L228" s="992"/>
      <c r="M228" s="954"/>
      <c r="N228" s="954"/>
      <c r="O228" s="954"/>
      <c r="P228" s="954"/>
      <c r="Q228" s="954"/>
      <c r="R228" s="954"/>
      <c r="S228" s="954"/>
      <c r="T228" s="954"/>
      <c r="U228" s="954"/>
    </row>
    <row r="229" spans="1:21" s="933" customFormat="1" ht="24" customHeight="1">
      <c r="A229" s="998"/>
      <c r="B229" s="976"/>
      <c r="C229" s="976"/>
      <c r="D229" s="1024"/>
      <c r="E229" s="988"/>
      <c r="F229" s="989"/>
      <c r="G229" s="983"/>
      <c r="H229" s="990"/>
      <c r="I229" s="984"/>
      <c r="J229" s="990"/>
      <c r="K229" s="991"/>
      <c r="L229" s="992"/>
      <c r="M229" s="954"/>
      <c r="N229" s="954"/>
      <c r="O229" s="954"/>
      <c r="P229" s="954"/>
      <c r="Q229" s="954"/>
      <c r="R229" s="954"/>
      <c r="S229" s="954"/>
      <c r="T229" s="954"/>
      <c r="U229" s="954"/>
    </row>
    <row r="230" spans="1:21" s="933" customFormat="1" ht="24" customHeight="1">
      <c r="A230" s="928"/>
      <c r="B230" s="1021"/>
      <c r="C230" s="972"/>
      <c r="D230" s="1025"/>
      <c r="E230" s="988"/>
      <c r="F230" s="989"/>
      <c r="G230" s="983"/>
      <c r="H230" s="990"/>
      <c r="I230" s="984"/>
      <c r="J230" s="990"/>
      <c r="K230" s="991"/>
      <c r="L230" s="992"/>
      <c r="M230" s="954"/>
      <c r="N230" s="954"/>
      <c r="O230" s="954"/>
      <c r="P230" s="954"/>
      <c r="Q230" s="954"/>
      <c r="R230" s="954"/>
      <c r="S230" s="954"/>
      <c r="T230" s="954"/>
      <c r="U230" s="954"/>
    </row>
    <row r="231" spans="1:21" s="933" customFormat="1" ht="24" customHeight="1">
      <c r="A231" s="998"/>
      <c r="B231" s="976"/>
      <c r="C231" s="976"/>
      <c r="D231" s="1024"/>
      <c r="E231" s="988"/>
      <c r="F231" s="989"/>
      <c r="G231" s="983"/>
      <c r="H231" s="990"/>
      <c r="I231" s="984"/>
      <c r="J231" s="990"/>
      <c r="K231" s="991"/>
      <c r="L231" s="992"/>
      <c r="M231" s="954"/>
      <c r="N231" s="954"/>
      <c r="O231" s="954"/>
      <c r="P231" s="954"/>
      <c r="Q231" s="954"/>
      <c r="R231" s="954"/>
      <c r="S231" s="954"/>
      <c r="T231" s="954"/>
      <c r="U231" s="954"/>
    </row>
    <row r="232" spans="1:21" s="933" customFormat="1" ht="24" customHeight="1">
      <c r="A232" s="993"/>
      <c r="B232" s="987"/>
      <c r="C232" s="987"/>
      <c r="D232" s="987"/>
      <c r="E232" s="988"/>
      <c r="F232" s="989"/>
      <c r="G232" s="983"/>
      <c r="H232" s="990"/>
      <c r="I232" s="984"/>
      <c r="J232" s="990"/>
      <c r="K232" s="991"/>
      <c r="L232" s="992"/>
      <c r="M232" s="954"/>
      <c r="N232" s="954"/>
      <c r="O232" s="954"/>
      <c r="P232" s="954"/>
      <c r="Q232" s="954"/>
      <c r="R232" s="954"/>
      <c r="S232" s="954"/>
      <c r="T232" s="954"/>
      <c r="U232" s="954"/>
    </row>
    <row r="233" spans="1:21" s="933" customFormat="1" ht="24" customHeight="1">
      <c r="A233" s="993"/>
      <c r="B233" s="987"/>
      <c r="C233" s="987"/>
      <c r="D233" s="987"/>
      <c r="E233" s="988"/>
      <c r="F233" s="989"/>
      <c r="G233" s="983"/>
      <c r="H233" s="990"/>
      <c r="I233" s="984"/>
      <c r="J233" s="990"/>
      <c r="K233" s="991"/>
      <c r="L233" s="992"/>
      <c r="M233" s="954"/>
      <c r="N233" s="954"/>
      <c r="O233" s="954"/>
      <c r="P233" s="954"/>
      <c r="Q233" s="954"/>
      <c r="R233" s="954"/>
      <c r="S233" s="954"/>
      <c r="T233" s="954"/>
      <c r="U233" s="954"/>
    </row>
    <row r="234" spans="1:21" s="933" customFormat="1" ht="24" customHeight="1">
      <c r="A234" s="993"/>
      <c r="B234" s="987"/>
      <c r="C234" s="987"/>
      <c r="D234" s="987"/>
      <c r="E234" s="988"/>
      <c r="F234" s="989"/>
      <c r="G234" s="983"/>
      <c r="H234" s="990"/>
      <c r="I234" s="984"/>
      <c r="J234" s="990"/>
      <c r="K234" s="991"/>
      <c r="L234" s="992"/>
      <c r="M234" s="954"/>
      <c r="N234" s="954"/>
      <c r="O234" s="954"/>
      <c r="P234" s="954"/>
      <c r="Q234" s="954"/>
      <c r="R234" s="954"/>
      <c r="S234" s="954"/>
      <c r="T234" s="954"/>
      <c r="U234" s="954"/>
    </row>
    <row r="235" spans="1:21" s="933" customFormat="1" ht="24" customHeight="1">
      <c r="A235" s="1014"/>
      <c r="B235" s="2226" t="str">
        <f>"รวมราคารายการที่ "&amp;A111</f>
        <v>รวมราคารายการที่ 1.2</v>
      </c>
      <c r="C235" s="2226"/>
      <c r="D235" s="2226"/>
      <c r="E235" s="1015"/>
      <c r="F235" s="1016"/>
      <c r="G235" s="1017"/>
      <c r="H235" s="1018">
        <f>ROUND(SUBTOTAL(9,H114:H234),2)</f>
        <v>16368065.07</v>
      </c>
      <c r="I235" s="1019"/>
      <c r="J235" s="1018">
        <f>ROUND(SUBTOTAL(9,J114:J234),2)</f>
        <v>3117056.86</v>
      </c>
      <c r="K235" s="1018">
        <f>ROUND(SUBTOTAL(9,K114:K234),2)</f>
        <v>19485121.93</v>
      </c>
      <c r="L235" s="1018"/>
      <c r="M235" s="954"/>
      <c r="N235" s="954"/>
      <c r="O235" s="954"/>
      <c r="P235" s="954"/>
      <c r="Q235" s="954"/>
      <c r="R235" s="954"/>
      <c r="S235" s="954"/>
      <c r="T235" s="954"/>
      <c r="U235" s="954"/>
    </row>
    <row r="236" spans="1:21" s="933" customFormat="1" ht="24" customHeight="1">
      <c r="A236" s="956">
        <v>1.3</v>
      </c>
      <c r="B236" s="957" t="s">
        <v>896</v>
      </c>
      <c r="C236" s="987"/>
      <c r="D236" s="987"/>
      <c r="E236" s="988"/>
      <c r="F236" s="989"/>
      <c r="G236" s="983"/>
      <c r="H236" s="990"/>
      <c r="I236" s="984"/>
      <c r="J236" s="990"/>
      <c r="K236" s="991"/>
      <c r="L236" s="992"/>
      <c r="M236" s="954"/>
      <c r="N236" s="954"/>
      <c r="O236" s="954"/>
      <c r="P236" s="954"/>
      <c r="Q236" s="954"/>
      <c r="R236" s="954"/>
      <c r="S236" s="954"/>
      <c r="T236" s="954"/>
      <c r="U236" s="954"/>
    </row>
    <row r="237" spans="1:21" s="933" customFormat="1" ht="24" customHeight="1">
      <c r="A237" s="928"/>
      <c r="B237" s="966"/>
      <c r="C237" s="976"/>
      <c r="D237" s="976"/>
      <c r="E237" s="985"/>
      <c r="F237" s="974"/>
      <c r="G237" s="969"/>
      <c r="H237" s="930"/>
      <c r="I237" s="970"/>
      <c r="J237" s="930"/>
      <c r="K237" s="931"/>
      <c r="L237" s="971"/>
      <c r="M237" s="954"/>
      <c r="N237" s="954"/>
      <c r="O237" s="954"/>
      <c r="P237" s="954"/>
      <c r="Q237" s="954"/>
      <c r="R237" s="954"/>
      <c r="S237" s="954"/>
      <c r="T237" s="954"/>
      <c r="U237" s="954"/>
    </row>
    <row r="238" spans="1:21" s="933" customFormat="1" ht="24" customHeight="1">
      <c r="A238" s="1026" t="s">
        <v>897</v>
      </c>
      <c r="B238" s="1027" t="s">
        <v>898</v>
      </c>
      <c r="C238" s="976"/>
      <c r="D238" s="976"/>
      <c r="E238" s="985"/>
      <c r="F238" s="974"/>
      <c r="G238" s="969"/>
      <c r="H238" s="930"/>
      <c r="I238" s="970"/>
      <c r="J238" s="930"/>
      <c r="K238" s="931"/>
      <c r="L238" s="971"/>
      <c r="M238" s="954"/>
      <c r="N238" s="954"/>
      <c r="O238" s="954"/>
      <c r="P238" s="954"/>
      <c r="Q238" s="954"/>
      <c r="R238" s="954"/>
      <c r="S238" s="954"/>
      <c r="T238" s="954"/>
      <c r="U238" s="954"/>
    </row>
    <row r="239" spans="1:21" s="933" customFormat="1" ht="24" customHeight="1">
      <c r="A239" s="928"/>
      <c r="B239" s="976" t="s">
        <v>864</v>
      </c>
      <c r="C239" s="977"/>
      <c r="D239" s="977"/>
      <c r="E239" s="978">
        <v>1415.25</v>
      </c>
      <c r="F239" s="974" t="s">
        <v>865</v>
      </c>
      <c r="G239" s="969">
        <v>2516</v>
      </c>
      <c r="H239" s="930">
        <f>ROUND(E239*G239,2)</f>
        <v>3560769</v>
      </c>
      <c r="I239" s="970">
        <v>485</v>
      </c>
      <c r="J239" s="930">
        <f>ROUND(E239*I239,2)</f>
        <v>686396.25</v>
      </c>
      <c r="K239" s="931">
        <f t="shared" ref="K239:K254" si="54">H239+J239</f>
        <v>4247165.25</v>
      </c>
      <c r="L239" s="971"/>
      <c r="M239" s="954"/>
      <c r="N239" s="954"/>
      <c r="O239" s="954"/>
      <c r="P239" s="954"/>
      <c r="Q239" s="954"/>
      <c r="R239" s="954"/>
      <c r="S239" s="954"/>
      <c r="T239" s="954"/>
      <c r="U239" s="954"/>
    </row>
    <row r="240" spans="1:21" s="933" customFormat="1" ht="24" customHeight="1">
      <c r="A240" s="928"/>
      <c r="B240" s="979" t="s">
        <v>866</v>
      </c>
      <c r="C240" s="976"/>
      <c r="D240" s="976"/>
      <c r="E240" s="978"/>
      <c r="F240" s="974"/>
      <c r="G240" s="969"/>
      <c r="H240" s="930"/>
      <c r="I240" s="970"/>
      <c r="J240" s="930"/>
      <c r="K240" s="931"/>
      <c r="L240" s="971"/>
      <c r="M240" s="954"/>
      <c r="N240" s="954"/>
      <c r="O240" s="954"/>
      <c r="P240" s="954"/>
      <c r="Q240" s="954"/>
      <c r="R240" s="954"/>
      <c r="S240" s="954"/>
      <c r="T240" s="954"/>
      <c r="U240" s="954"/>
    </row>
    <row r="241" spans="1:21" s="933" customFormat="1" ht="24" customHeight="1">
      <c r="A241" s="928"/>
      <c r="B241" s="979"/>
      <c r="C241" s="976" t="s">
        <v>867</v>
      </c>
      <c r="D241" s="976"/>
      <c r="E241" s="978">
        <f>E242/2</f>
        <v>3170.78</v>
      </c>
      <c r="F241" s="974" t="s">
        <v>34</v>
      </c>
      <c r="G241" s="969">
        <v>661.62</v>
      </c>
      <c r="H241" s="930">
        <f t="shared" ref="H241:H254" si="55">ROUND(E241*G241,2)</f>
        <v>2097851.46</v>
      </c>
      <c r="I241" s="970"/>
      <c r="J241" s="930">
        <f t="shared" ref="J241:J254" si="56">ROUND(E241*I241,2)</f>
        <v>0</v>
      </c>
      <c r="K241" s="931">
        <f t="shared" si="54"/>
        <v>2097851.46</v>
      </c>
      <c r="L241" s="971"/>
      <c r="M241" s="954"/>
      <c r="N241" s="954"/>
      <c r="O241" s="954"/>
      <c r="P241" s="954"/>
      <c r="Q241" s="954"/>
      <c r="R241" s="954"/>
      <c r="S241" s="954"/>
      <c r="T241" s="954"/>
      <c r="U241" s="954"/>
    </row>
    <row r="242" spans="1:21" s="933" customFormat="1" ht="24" customHeight="1">
      <c r="A242" s="928"/>
      <c r="B242" s="979"/>
      <c r="C242" s="976" t="s">
        <v>868</v>
      </c>
      <c r="D242" s="976"/>
      <c r="E242" s="978">
        <v>6341.56</v>
      </c>
      <c r="F242" s="974" t="s">
        <v>34</v>
      </c>
      <c r="G242" s="969"/>
      <c r="H242" s="930"/>
      <c r="I242" s="970">
        <v>154</v>
      </c>
      <c r="J242" s="930">
        <f t="shared" si="56"/>
        <v>976600.24</v>
      </c>
      <c r="K242" s="931">
        <f t="shared" si="54"/>
        <v>976600.24</v>
      </c>
      <c r="L242" s="971"/>
      <c r="M242" s="954"/>
      <c r="N242" s="954"/>
      <c r="O242" s="954"/>
      <c r="P242" s="954"/>
      <c r="Q242" s="954"/>
      <c r="R242" s="954"/>
      <c r="S242" s="954"/>
      <c r="T242" s="954"/>
      <c r="U242" s="954"/>
    </row>
    <row r="243" spans="1:21" s="933" customFormat="1" ht="24" customHeight="1">
      <c r="A243" s="928"/>
      <c r="B243" s="976" t="s">
        <v>869</v>
      </c>
      <c r="C243" s="976"/>
      <c r="D243" s="976"/>
      <c r="E243" s="978">
        <f>(E242*0.25)</f>
        <v>1585.39</v>
      </c>
      <c r="F243" s="974" t="s">
        <v>870</v>
      </c>
      <c r="G243" s="969">
        <f t="shared" ref="G243" si="57">VLOOKUP(B243,$O$43:$P$53,2,FALSE)</f>
        <v>29.94</v>
      </c>
      <c r="H243" s="930">
        <f t="shared" si="55"/>
        <v>47466.58</v>
      </c>
      <c r="I243" s="970"/>
      <c r="J243" s="930">
        <f t="shared" si="56"/>
        <v>0</v>
      </c>
      <c r="K243" s="931">
        <f t="shared" si="54"/>
        <v>47466.58</v>
      </c>
      <c r="L243" s="971"/>
      <c r="M243" s="954"/>
      <c r="N243" s="954"/>
      <c r="O243" s="954"/>
      <c r="P243" s="954"/>
      <c r="Q243" s="954"/>
      <c r="R243" s="954"/>
      <c r="S243" s="954"/>
      <c r="T243" s="954"/>
      <c r="U243" s="954"/>
    </row>
    <row r="244" spans="1:21" s="933" customFormat="1" ht="24" customHeight="1">
      <c r="A244" s="928"/>
      <c r="B244" s="976" t="s">
        <v>871</v>
      </c>
      <c r="C244" s="976"/>
      <c r="D244" s="976"/>
      <c r="E244" s="978"/>
      <c r="F244" s="982"/>
      <c r="G244" s="983"/>
      <c r="H244" s="930"/>
      <c r="I244" s="970"/>
      <c r="J244" s="930">
        <f t="shared" si="56"/>
        <v>0</v>
      </c>
      <c r="K244" s="931">
        <f t="shared" si="54"/>
        <v>0</v>
      </c>
      <c r="L244" s="971"/>
      <c r="M244" s="954"/>
      <c r="N244" s="954"/>
      <c r="O244" s="954"/>
      <c r="P244" s="954"/>
      <c r="Q244" s="954"/>
      <c r="R244" s="954"/>
      <c r="S244" s="954"/>
      <c r="T244" s="954"/>
      <c r="U244" s="954"/>
    </row>
    <row r="245" spans="1:21" s="933" customFormat="1" ht="24" customHeight="1">
      <c r="A245" s="928"/>
      <c r="B245" s="976" t="s">
        <v>872</v>
      </c>
      <c r="C245" s="976"/>
      <c r="D245" s="976"/>
      <c r="E245" s="978"/>
      <c r="F245" s="974" t="s">
        <v>870</v>
      </c>
      <c r="G245" s="969">
        <f t="shared" ref="G245:G253" si="58">VLOOKUP(B245,$O$43:$P$53,2,FALSE)</f>
        <v>25.73</v>
      </c>
      <c r="H245" s="930">
        <f t="shared" si="55"/>
        <v>0</v>
      </c>
      <c r="I245" s="984">
        <v>4.0999999999999996</v>
      </c>
      <c r="J245" s="930">
        <f t="shared" si="56"/>
        <v>0</v>
      </c>
      <c r="K245" s="931">
        <f t="shared" si="54"/>
        <v>0</v>
      </c>
      <c r="L245" s="971"/>
      <c r="M245" s="954"/>
      <c r="N245" s="954"/>
      <c r="O245" s="954"/>
      <c r="P245" s="954"/>
      <c r="Q245" s="954"/>
      <c r="R245" s="954"/>
      <c r="S245" s="954"/>
      <c r="T245" s="954"/>
      <c r="U245" s="954"/>
    </row>
    <row r="246" spans="1:21" s="933" customFormat="1" ht="24" customHeight="1">
      <c r="A246" s="928"/>
      <c r="B246" s="976" t="s">
        <v>873</v>
      </c>
      <c r="C246" s="976"/>
      <c r="D246" s="976"/>
      <c r="E246" s="978">
        <v>0</v>
      </c>
      <c r="F246" s="974" t="s">
        <v>870</v>
      </c>
      <c r="G246" s="969">
        <f t="shared" si="58"/>
        <v>24.97</v>
      </c>
      <c r="H246" s="930">
        <f t="shared" si="55"/>
        <v>0</v>
      </c>
      <c r="I246" s="970">
        <v>4.0999999999999996</v>
      </c>
      <c r="J246" s="930">
        <f t="shared" si="56"/>
        <v>0</v>
      </c>
      <c r="K246" s="931">
        <f t="shared" si="54"/>
        <v>0</v>
      </c>
      <c r="L246" s="971"/>
      <c r="M246" s="954"/>
      <c r="N246" s="954"/>
      <c r="O246" s="954"/>
      <c r="P246" s="954"/>
      <c r="Q246" s="954"/>
      <c r="R246" s="954"/>
      <c r="S246" s="954"/>
      <c r="T246" s="954"/>
      <c r="U246" s="954"/>
    </row>
    <row r="247" spans="1:21" s="933" customFormat="1" ht="24" customHeight="1">
      <c r="A247" s="928"/>
      <c r="B247" s="976" t="s">
        <v>874</v>
      </c>
      <c r="C247" s="976"/>
      <c r="D247" s="976"/>
      <c r="E247" s="978">
        <v>37850.32</v>
      </c>
      <c r="F247" s="974" t="s">
        <v>870</v>
      </c>
      <c r="G247" s="969">
        <f t="shared" si="58"/>
        <v>24.47</v>
      </c>
      <c r="H247" s="930">
        <f t="shared" si="55"/>
        <v>926197.33</v>
      </c>
      <c r="I247" s="970">
        <v>3.3</v>
      </c>
      <c r="J247" s="930">
        <f t="shared" si="56"/>
        <v>124906.06</v>
      </c>
      <c r="K247" s="931">
        <f t="shared" si="54"/>
        <v>1051103.3899999999</v>
      </c>
      <c r="L247" s="971"/>
      <c r="M247" s="954"/>
      <c r="N247" s="954"/>
      <c r="O247" s="954"/>
      <c r="P247" s="954"/>
      <c r="Q247" s="954"/>
      <c r="R247" s="954"/>
      <c r="S247" s="954"/>
      <c r="T247" s="954"/>
      <c r="U247" s="954"/>
    </row>
    <row r="248" spans="1:21" s="933" customFormat="1" ht="24" customHeight="1">
      <c r="A248" s="928"/>
      <c r="B248" s="976" t="s">
        <v>875</v>
      </c>
      <c r="C248" s="976"/>
      <c r="D248" s="976"/>
      <c r="E248" s="978">
        <v>31420.61</v>
      </c>
      <c r="F248" s="982" t="s">
        <v>870</v>
      </c>
      <c r="G248" s="969">
        <f t="shared" si="58"/>
        <v>24.27</v>
      </c>
      <c r="H248" s="930">
        <f t="shared" si="55"/>
        <v>762578.2</v>
      </c>
      <c r="I248" s="970">
        <v>3.3</v>
      </c>
      <c r="J248" s="930">
        <f t="shared" si="56"/>
        <v>103688.01</v>
      </c>
      <c r="K248" s="931">
        <f t="shared" si="54"/>
        <v>866266.21</v>
      </c>
      <c r="L248" s="971"/>
      <c r="M248" s="954"/>
      <c r="N248" s="954"/>
      <c r="O248" s="954"/>
      <c r="P248" s="954"/>
      <c r="Q248" s="954"/>
      <c r="R248" s="954"/>
      <c r="S248" s="954"/>
      <c r="T248" s="954"/>
      <c r="U248" s="954"/>
    </row>
    <row r="249" spans="1:21" s="933" customFormat="1" ht="24" customHeight="1">
      <c r="A249" s="928"/>
      <c r="B249" s="976" t="s">
        <v>876</v>
      </c>
      <c r="C249" s="976"/>
      <c r="D249" s="976"/>
      <c r="E249" s="978">
        <v>0</v>
      </c>
      <c r="F249" s="974" t="s">
        <v>870</v>
      </c>
      <c r="G249" s="969">
        <f t="shared" si="58"/>
        <v>24.27</v>
      </c>
      <c r="H249" s="930">
        <f t="shared" si="55"/>
        <v>0</v>
      </c>
      <c r="I249" s="970">
        <v>2.9</v>
      </c>
      <c r="J249" s="930">
        <f t="shared" si="56"/>
        <v>0</v>
      </c>
      <c r="K249" s="931">
        <f t="shared" si="54"/>
        <v>0</v>
      </c>
      <c r="L249" s="971"/>
      <c r="M249" s="954"/>
      <c r="N249" s="954"/>
      <c r="O249" s="954"/>
      <c r="P249" s="954"/>
      <c r="Q249" s="954"/>
      <c r="R249" s="954"/>
      <c r="S249" s="954"/>
      <c r="T249" s="954"/>
      <c r="U249" s="954"/>
    </row>
    <row r="250" spans="1:21" s="933" customFormat="1" ht="24" customHeight="1">
      <c r="A250" s="928"/>
      <c r="B250" s="976" t="s">
        <v>877</v>
      </c>
      <c r="C250" s="976"/>
      <c r="D250" s="976"/>
      <c r="E250" s="978">
        <v>0</v>
      </c>
      <c r="F250" s="974" t="s">
        <v>870</v>
      </c>
      <c r="G250" s="969">
        <f t="shared" si="58"/>
        <v>24.27</v>
      </c>
      <c r="H250" s="930">
        <f t="shared" si="55"/>
        <v>0</v>
      </c>
      <c r="I250" s="970">
        <v>2.9</v>
      </c>
      <c r="J250" s="930">
        <f t="shared" si="56"/>
        <v>0</v>
      </c>
      <c r="K250" s="931">
        <f t="shared" si="54"/>
        <v>0</v>
      </c>
      <c r="L250" s="971"/>
      <c r="M250" s="954"/>
      <c r="N250" s="954"/>
      <c r="O250" s="954"/>
      <c r="P250" s="954"/>
      <c r="Q250" s="954"/>
      <c r="R250" s="954"/>
      <c r="S250" s="954"/>
      <c r="T250" s="954"/>
      <c r="U250" s="954"/>
    </row>
    <row r="251" spans="1:21" s="933" customFormat="1" ht="24" customHeight="1">
      <c r="A251" s="928"/>
      <c r="B251" s="976" t="s">
        <v>878</v>
      </c>
      <c r="C251" s="976"/>
      <c r="D251" s="976"/>
      <c r="E251" s="978"/>
      <c r="F251" s="974" t="s">
        <v>870</v>
      </c>
      <c r="G251" s="969">
        <f t="shared" si="58"/>
        <v>24.27</v>
      </c>
      <c r="H251" s="930">
        <f t="shared" si="55"/>
        <v>0</v>
      </c>
      <c r="I251" s="970">
        <v>2.9</v>
      </c>
      <c r="J251" s="930">
        <f t="shared" si="56"/>
        <v>0</v>
      </c>
      <c r="K251" s="931">
        <f t="shared" si="54"/>
        <v>0</v>
      </c>
      <c r="L251" s="971"/>
      <c r="M251" s="954"/>
      <c r="N251" s="954"/>
      <c r="O251" s="954"/>
      <c r="P251" s="954"/>
      <c r="Q251" s="954"/>
      <c r="R251" s="954"/>
      <c r="S251" s="954"/>
      <c r="T251" s="954"/>
      <c r="U251" s="954"/>
    </row>
    <row r="252" spans="1:21" s="933" customFormat="1" ht="24" customHeight="1">
      <c r="A252" s="928"/>
      <c r="B252" s="976" t="s">
        <v>879</v>
      </c>
      <c r="C252" s="976"/>
      <c r="D252" s="976"/>
      <c r="E252" s="978"/>
      <c r="F252" s="974" t="s">
        <v>870</v>
      </c>
      <c r="G252" s="969">
        <f t="shared" si="58"/>
        <v>23.8</v>
      </c>
      <c r="H252" s="930">
        <f t="shared" si="55"/>
        <v>0</v>
      </c>
      <c r="I252" s="970">
        <v>2.9</v>
      </c>
      <c r="J252" s="930">
        <f t="shared" si="56"/>
        <v>0</v>
      </c>
      <c r="K252" s="931">
        <f t="shared" si="54"/>
        <v>0</v>
      </c>
      <c r="L252" s="971"/>
      <c r="M252" s="954"/>
      <c r="N252" s="954"/>
      <c r="O252" s="954"/>
      <c r="P252" s="954"/>
      <c r="Q252" s="954"/>
      <c r="R252" s="954"/>
      <c r="S252" s="954"/>
      <c r="T252" s="954"/>
      <c r="U252" s="954"/>
    </row>
    <row r="253" spans="1:21" s="933" customFormat="1" ht="24" customHeight="1">
      <c r="A253" s="928"/>
      <c r="B253" s="976" t="s">
        <v>880</v>
      </c>
      <c r="C253" s="976"/>
      <c r="D253" s="976"/>
      <c r="E253" s="978">
        <f>(SUM(E245:E252)/1000)*30</f>
        <v>2078.1279</v>
      </c>
      <c r="F253" s="974" t="s">
        <v>870</v>
      </c>
      <c r="G253" s="969">
        <f t="shared" si="58"/>
        <v>29.92</v>
      </c>
      <c r="H253" s="930">
        <f t="shared" si="55"/>
        <v>62177.59</v>
      </c>
      <c r="I253" s="970"/>
      <c r="J253" s="930">
        <f t="shared" si="56"/>
        <v>0</v>
      </c>
      <c r="K253" s="931">
        <f t="shared" si="54"/>
        <v>62177.59</v>
      </c>
      <c r="L253" s="971"/>
      <c r="M253" s="954"/>
      <c r="N253" s="954"/>
      <c r="O253" s="954"/>
      <c r="P253" s="954"/>
      <c r="Q253" s="954"/>
      <c r="R253" s="954"/>
      <c r="S253" s="954"/>
      <c r="T253" s="954"/>
      <c r="U253" s="954"/>
    </row>
    <row r="254" spans="1:21" s="933" customFormat="1" ht="24" customHeight="1">
      <c r="A254" s="928"/>
      <c r="B254" s="976" t="s">
        <v>888</v>
      </c>
      <c r="C254" s="976"/>
      <c r="D254" s="976"/>
      <c r="E254" s="978">
        <v>5800.21</v>
      </c>
      <c r="F254" s="974" t="s">
        <v>34</v>
      </c>
      <c r="G254" s="983">
        <v>340</v>
      </c>
      <c r="H254" s="930">
        <f t="shared" si="55"/>
        <v>1972071.4</v>
      </c>
      <c r="I254" s="970"/>
      <c r="J254" s="930">
        <f t="shared" si="56"/>
        <v>0</v>
      </c>
      <c r="K254" s="931">
        <f t="shared" si="54"/>
        <v>1972071.4</v>
      </c>
      <c r="L254" s="971"/>
      <c r="M254" s="954"/>
      <c r="N254" s="954"/>
      <c r="O254" s="954"/>
      <c r="P254" s="954"/>
      <c r="Q254" s="954"/>
      <c r="R254" s="954"/>
      <c r="S254" s="954"/>
      <c r="T254" s="954"/>
      <c r="U254" s="954"/>
    </row>
    <row r="255" spans="1:21" s="933" customFormat="1" ht="24" customHeight="1">
      <c r="A255" s="928"/>
      <c r="B255" s="976" t="s">
        <v>881</v>
      </c>
      <c r="C255" s="976"/>
      <c r="D255" s="976"/>
      <c r="E255" s="978"/>
      <c r="F255" s="974"/>
      <c r="G255" s="969"/>
      <c r="H255" s="930"/>
      <c r="I255" s="970"/>
      <c r="J255" s="930"/>
      <c r="K255" s="931"/>
      <c r="L255" s="971"/>
      <c r="M255" s="954"/>
      <c r="N255" s="954"/>
      <c r="O255" s="954"/>
      <c r="P255" s="954"/>
      <c r="Q255" s="954"/>
      <c r="R255" s="954"/>
      <c r="S255" s="954"/>
      <c r="T255" s="954"/>
      <c r="U255" s="954"/>
    </row>
    <row r="256" spans="1:21" s="933" customFormat="1" ht="24" customHeight="1">
      <c r="A256" s="928"/>
      <c r="B256" s="976"/>
      <c r="C256" s="976"/>
      <c r="D256" s="976"/>
      <c r="E256" s="978"/>
      <c r="F256" s="974"/>
      <c r="G256" s="969"/>
      <c r="H256" s="930"/>
      <c r="I256" s="970"/>
      <c r="J256" s="930"/>
      <c r="K256" s="931"/>
      <c r="L256" s="971"/>
      <c r="M256" s="954"/>
      <c r="N256" s="954"/>
      <c r="O256" s="954"/>
      <c r="P256" s="954"/>
      <c r="Q256" s="954"/>
      <c r="R256" s="954"/>
      <c r="S256" s="954"/>
      <c r="T256" s="954"/>
      <c r="U256" s="954"/>
    </row>
    <row r="257" spans="1:21" s="933" customFormat="1" ht="24" customHeight="1">
      <c r="A257" s="928"/>
      <c r="B257" s="976"/>
      <c r="C257" s="976"/>
      <c r="D257" s="976"/>
      <c r="E257" s="978"/>
      <c r="F257" s="974"/>
      <c r="G257" s="969"/>
      <c r="H257" s="930"/>
      <c r="I257" s="970"/>
      <c r="J257" s="930"/>
      <c r="K257" s="931"/>
      <c r="L257" s="971"/>
      <c r="M257" s="954"/>
      <c r="N257" s="954"/>
      <c r="O257" s="954"/>
      <c r="P257" s="954"/>
      <c r="Q257" s="954"/>
      <c r="R257" s="954"/>
      <c r="S257" s="954"/>
      <c r="T257" s="954"/>
      <c r="U257" s="954"/>
    </row>
    <row r="258" spans="1:21" s="933" customFormat="1" ht="24" customHeight="1">
      <c r="A258" s="928"/>
      <c r="B258" s="976"/>
      <c r="C258" s="976"/>
      <c r="D258" s="976"/>
      <c r="E258" s="978"/>
      <c r="F258" s="974"/>
      <c r="G258" s="969"/>
      <c r="H258" s="930"/>
      <c r="I258" s="970"/>
      <c r="J258" s="930"/>
      <c r="K258" s="931"/>
      <c r="L258" s="971"/>
      <c r="M258" s="954"/>
      <c r="N258" s="954"/>
      <c r="O258" s="954"/>
      <c r="P258" s="954"/>
      <c r="Q258" s="954"/>
      <c r="R258" s="954"/>
      <c r="S258" s="954"/>
      <c r="T258" s="954"/>
      <c r="U258" s="954"/>
    </row>
    <row r="259" spans="1:21" s="933" customFormat="1" ht="24" customHeight="1">
      <c r="A259" s="928"/>
      <c r="B259" s="976"/>
      <c r="C259" s="976"/>
      <c r="D259" s="976"/>
      <c r="E259" s="978"/>
      <c r="F259" s="974"/>
      <c r="G259" s="969"/>
      <c r="H259" s="930"/>
      <c r="I259" s="970"/>
      <c r="J259" s="930"/>
      <c r="K259" s="931"/>
      <c r="L259" s="971"/>
      <c r="M259" s="954"/>
      <c r="N259" s="954"/>
      <c r="O259" s="954"/>
      <c r="P259" s="954"/>
      <c r="Q259" s="954"/>
      <c r="R259" s="954"/>
      <c r="S259" s="954"/>
      <c r="T259" s="954"/>
      <c r="U259" s="954"/>
    </row>
    <row r="260" spans="1:21" s="933" customFormat="1" ht="24" customHeight="1">
      <c r="A260" s="928"/>
      <c r="B260" s="976"/>
      <c r="C260" s="976"/>
      <c r="D260" s="976"/>
      <c r="E260" s="978"/>
      <c r="F260" s="974"/>
      <c r="G260" s="969"/>
      <c r="H260" s="930"/>
      <c r="I260" s="970"/>
      <c r="J260" s="930"/>
      <c r="K260" s="931"/>
      <c r="L260" s="971"/>
      <c r="M260" s="954"/>
      <c r="N260" s="954"/>
      <c r="O260" s="954"/>
      <c r="P260" s="954"/>
      <c r="Q260" s="954"/>
      <c r="R260" s="954"/>
      <c r="S260" s="954"/>
      <c r="T260" s="954"/>
      <c r="U260" s="954"/>
    </row>
    <row r="261" spans="1:21" s="933" customFormat="1" ht="24" customHeight="1">
      <c r="A261" s="1026" t="s">
        <v>899</v>
      </c>
      <c r="B261" s="1027" t="s">
        <v>900</v>
      </c>
      <c r="C261" s="976"/>
      <c r="D261" s="976"/>
      <c r="E261" s="985"/>
      <c r="F261" s="974"/>
      <c r="G261" s="969"/>
      <c r="H261" s="930"/>
      <c r="I261" s="970"/>
      <c r="J261" s="930"/>
      <c r="K261" s="931"/>
      <c r="L261" s="971"/>
      <c r="M261" s="954"/>
      <c r="N261" s="954"/>
      <c r="O261" s="954"/>
      <c r="P261" s="954"/>
      <c r="Q261" s="954"/>
      <c r="R261" s="954"/>
      <c r="S261" s="954"/>
      <c r="T261" s="954"/>
      <c r="U261" s="954"/>
    </row>
    <row r="262" spans="1:21" s="933" customFormat="1" ht="24" customHeight="1">
      <c r="A262" s="1026"/>
      <c r="B262" s="976" t="s">
        <v>864</v>
      </c>
      <c r="C262" s="977"/>
      <c r="D262" s="977"/>
      <c r="E262" s="978">
        <v>240.1</v>
      </c>
      <c r="F262" s="974" t="s">
        <v>865</v>
      </c>
      <c r="G262" s="969">
        <v>2516</v>
      </c>
      <c r="H262" s="930">
        <f t="shared" ref="H262:H276" si="59">ROUND(E262*G262,2)</f>
        <v>604091.6</v>
      </c>
      <c r="I262" s="970">
        <v>485</v>
      </c>
      <c r="J262" s="930">
        <f t="shared" ref="J262:J276" si="60">ROUND(E262*I262,2)</f>
        <v>116448.5</v>
      </c>
      <c r="K262" s="931">
        <f t="shared" ref="K262:K276" si="61">H262+J262</f>
        <v>720540.1</v>
      </c>
      <c r="L262" s="971"/>
      <c r="M262" s="954"/>
      <c r="N262" s="954"/>
      <c r="O262" s="954"/>
      <c r="P262" s="954"/>
      <c r="Q262" s="954"/>
      <c r="R262" s="954"/>
      <c r="S262" s="954"/>
      <c r="T262" s="954"/>
      <c r="U262" s="954"/>
    </row>
    <row r="263" spans="1:21" s="933" customFormat="1" ht="24" customHeight="1">
      <c r="A263" s="1026"/>
      <c r="B263" s="979" t="s">
        <v>866</v>
      </c>
      <c r="C263" s="976"/>
      <c r="D263" s="976"/>
      <c r="E263" s="978"/>
      <c r="F263" s="974"/>
      <c r="G263" s="969"/>
      <c r="H263" s="930"/>
      <c r="I263" s="970"/>
      <c r="J263" s="930"/>
      <c r="K263" s="931"/>
      <c r="L263" s="971"/>
      <c r="M263" s="954"/>
      <c r="N263" s="954"/>
      <c r="O263" s="954"/>
      <c r="P263" s="954"/>
      <c r="Q263" s="954"/>
      <c r="R263" s="954"/>
      <c r="S263" s="954"/>
      <c r="T263" s="954"/>
      <c r="U263" s="954"/>
    </row>
    <row r="264" spans="1:21" s="933" customFormat="1" ht="24" customHeight="1">
      <c r="A264" s="1026"/>
      <c r="B264" s="979"/>
      <c r="C264" s="976" t="s">
        <v>867</v>
      </c>
      <c r="D264" s="976"/>
      <c r="E264" s="978">
        <f>E265/2</f>
        <v>439.45499999999998</v>
      </c>
      <c r="F264" s="974" t="s">
        <v>34</v>
      </c>
      <c r="G264" s="969">
        <v>661.62</v>
      </c>
      <c r="H264" s="930">
        <f t="shared" si="59"/>
        <v>290752.21999999997</v>
      </c>
      <c r="I264" s="970"/>
      <c r="J264" s="930">
        <f t="shared" si="60"/>
        <v>0</v>
      </c>
      <c r="K264" s="931">
        <f t="shared" si="61"/>
        <v>290752.21999999997</v>
      </c>
      <c r="L264" s="971"/>
      <c r="M264" s="954"/>
      <c r="N264" s="954"/>
      <c r="O264" s="954"/>
      <c r="P264" s="954"/>
      <c r="Q264" s="954"/>
      <c r="R264" s="954"/>
      <c r="S264" s="954"/>
      <c r="T264" s="954"/>
      <c r="U264" s="954"/>
    </row>
    <row r="265" spans="1:21" s="933" customFormat="1" ht="24" customHeight="1">
      <c r="A265" s="1026"/>
      <c r="B265" s="979"/>
      <c r="C265" s="976" t="s">
        <v>868</v>
      </c>
      <c r="D265" s="976"/>
      <c r="E265" s="978">
        <v>878.91</v>
      </c>
      <c r="F265" s="974" t="s">
        <v>34</v>
      </c>
      <c r="G265" s="969"/>
      <c r="H265" s="930">
        <f t="shared" si="59"/>
        <v>0</v>
      </c>
      <c r="I265" s="970">
        <v>154</v>
      </c>
      <c r="J265" s="930">
        <f t="shared" si="60"/>
        <v>135352.14000000001</v>
      </c>
      <c r="K265" s="931">
        <f t="shared" si="61"/>
        <v>135352.14000000001</v>
      </c>
      <c r="L265" s="971"/>
      <c r="M265" s="954"/>
      <c r="N265" s="954"/>
      <c r="O265" s="954"/>
      <c r="P265" s="954"/>
      <c r="Q265" s="954"/>
      <c r="R265" s="954"/>
      <c r="S265" s="954"/>
      <c r="T265" s="954"/>
      <c r="U265" s="954"/>
    </row>
    <row r="266" spans="1:21" s="933" customFormat="1" ht="24" customHeight="1">
      <c r="A266" s="1026"/>
      <c r="B266" s="976" t="s">
        <v>869</v>
      </c>
      <c r="C266" s="976"/>
      <c r="D266" s="976"/>
      <c r="E266" s="978">
        <f>(E265*0.25)</f>
        <v>219.72749999999999</v>
      </c>
      <c r="F266" s="974" t="s">
        <v>870</v>
      </c>
      <c r="G266" s="969">
        <f t="shared" ref="G266" si="62">VLOOKUP(B266,$O$43:$P$53,2,FALSE)</f>
        <v>29.94</v>
      </c>
      <c r="H266" s="930">
        <f t="shared" si="59"/>
        <v>6578.64</v>
      </c>
      <c r="I266" s="970"/>
      <c r="J266" s="930">
        <f t="shared" si="60"/>
        <v>0</v>
      </c>
      <c r="K266" s="931">
        <f t="shared" si="61"/>
        <v>6578.64</v>
      </c>
      <c r="L266" s="971"/>
      <c r="M266" s="954"/>
      <c r="N266" s="954"/>
      <c r="O266" s="954"/>
      <c r="P266" s="954"/>
      <c r="Q266" s="954"/>
      <c r="R266" s="954"/>
      <c r="S266" s="954"/>
      <c r="T266" s="954"/>
      <c r="U266" s="954"/>
    </row>
    <row r="267" spans="1:21" s="933" customFormat="1" ht="24" customHeight="1">
      <c r="A267" s="1026"/>
      <c r="B267" s="976" t="s">
        <v>871</v>
      </c>
      <c r="C267" s="976"/>
      <c r="D267" s="976"/>
      <c r="E267" s="978"/>
      <c r="F267" s="982"/>
      <c r="G267" s="983"/>
      <c r="H267" s="930"/>
      <c r="I267" s="970"/>
      <c r="J267" s="930"/>
      <c r="K267" s="931"/>
      <c r="L267" s="971"/>
      <c r="M267" s="954"/>
      <c r="N267" s="954"/>
      <c r="O267" s="954"/>
      <c r="P267" s="954"/>
      <c r="Q267" s="954"/>
      <c r="R267" s="954"/>
      <c r="S267" s="954"/>
      <c r="T267" s="954"/>
      <c r="U267" s="954"/>
    </row>
    <row r="268" spans="1:21" s="933" customFormat="1" ht="24" customHeight="1">
      <c r="A268" s="1026"/>
      <c r="B268" s="976" t="s">
        <v>872</v>
      </c>
      <c r="C268" s="976"/>
      <c r="D268" s="976"/>
      <c r="E268" s="978"/>
      <c r="F268" s="974" t="s">
        <v>870</v>
      </c>
      <c r="G268" s="969">
        <f t="shared" ref="G268:G276" si="63">VLOOKUP(B268,$O$43:$P$53,2,FALSE)</f>
        <v>25.73</v>
      </c>
      <c r="H268" s="930">
        <f t="shared" si="59"/>
        <v>0</v>
      </c>
      <c r="I268" s="984">
        <v>4.0999999999999996</v>
      </c>
      <c r="J268" s="930">
        <f t="shared" si="60"/>
        <v>0</v>
      </c>
      <c r="K268" s="931">
        <f t="shared" si="61"/>
        <v>0</v>
      </c>
      <c r="L268" s="971"/>
      <c r="M268" s="954"/>
      <c r="N268" s="954"/>
      <c r="O268" s="954"/>
      <c r="P268" s="954"/>
      <c r="Q268" s="954"/>
      <c r="R268" s="954"/>
      <c r="S268" s="954"/>
      <c r="T268" s="954"/>
      <c r="U268" s="954"/>
    </row>
    <row r="269" spans="1:21" s="933" customFormat="1" ht="24" customHeight="1">
      <c r="A269" s="1026"/>
      <c r="B269" s="976" t="s">
        <v>873</v>
      </c>
      <c r="C269" s="976"/>
      <c r="D269" s="976"/>
      <c r="E269" s="978">
        <v>1793.42</v>
      </c>
      <c r="F269" s="974" t="s">
        <v>870</v>
      </c>
      <c r="G269" s="969">
        <f t="shared" si="63"/>
        <v>24.97</v>
      </c>
      <c r="H269" s="930">
        <f t="shared" si="59"/>
        <v>44781.7</v>
      </c>
      <c r="I269" s="970">
        <v>4.0999999999999996</v>
      </c>
      <c r="J269" s="930">
        <f t="shared" si="60"/>
        <v>7353.02</v>
      </c>
      <c r="K269" s="931">
        <f t="shared" si="61"/>
        <v>52134.720000000001</v>
      </c>
      <c r="L269" s="971"/>
      <c r="M269" s="954"/>
      <c r="N269" s="954"/>
      <c r="O269" s="954"/>
      <c r="P269" s="954"/>
      <c r="Q269" s="954"/>
      <c r="R269" s="954"/>
      <c r="S269" s="954"/>
      <c r="T269" s="954"/>
      <c r="U269" s="954"/>
    </row>
    <row r="270" spans="1:21" s="933" customFormat="1" ht="24" customHeight="1">
      <c r="A270" s="1026"/>
      <c r="B270" s="976" t="s">
        <v>874</v>
      </c>
      <c r="C270" s="976"/>
      <c r="D270" s="976"/>
      <c r="E270" s="978">
        <v>38682.83</v>
      </c>
      <c r="F270" s="974" t="s">
        <v>870</v>
      </c>
      <c r="G270" s="969">
        <f t="shared" si="63"/>
        <v>24.47</v>
      </c>
      <c r="H270" s="930">
        <f t="shared" si="59"/>
        <v>946568.85</v>
      </c>
      <c r="I270" s="970">
        <v>3.3</v>
      </c>
      <c r="J270" s="930">
        <f t="shared" si="60"/>
        <v>127653.34</v>
      </c>
      <c r="K270" s="931">
        <f t="shared" si="61"/>
        <v>1074222.19</v>
      </c>
      <c r="L270" s="971"/>
      <c r="M270" s="954"/>
      <c r="N270" s="954"/>
      <c r="O270" s="954"/>
      <c r="P270" s="954"/>
      <c r="Q270" s="954"/>
      <c r="R270" s="954"/>
      <c r="S270" s="954"/>
      <c r="T270" s="954"/>
      <c r="U270" s="954"/>
    </row>
    <row r="271" spans="1:21" s="933" customFormat="1" ht="24" customHeight="1">
      <c r="A271" s="1026"/>
      <c r="B271" s="976" t="s">
        <v>875</v>
      </c>
      <c r="C271" s="976"/>
      <c r="D271" s="976"/>
      <c r="E271" s="978">
        <v>2612.4299999999998</v>
      </c>
      <c r="F271" s="982" t="s">
        <v>870</v>
      </c>
      <c r="G271" s="969">
        <f t="shared" si="63"/>
        <v>24.27</v>
      </c>
      <c r="H271" s="930">
        <f t="shared" si="59"/>
        <v>63403.68</v>
      </c>
      <c r="I271" s="970">
        <v>3.3</v>
      </c>
      <c r="J271" s="930">
        <f t="shared" si="60"/>
        <v>8621.02</v>
      </c>
      <c r="K271" s="931">
        <f t="shared" si="61"/>
        <v>72024.7</v>
      </c>
      <c r="L271" s="971"/>
      <c r="M271" s="954"/>
      <c r="N271" s="954"/>
      <c r="O271" s="954"/>
      <c r="P271" s="954"/>
      <c r="Q271" s="954"/>
      <c r="R271" s="954"/>
      <c r="S271" s="954"/>
      <c r="T271" s="954"/>
      <c r="U271" s="954"/>
    </row>
    <row r="272" spans="1:21" s="933" customFormat="1" ht="24" customHeight="1">
      <c r="A272" s="1026"/>
      <c r="B272" s="976" t="s">
        <v>876</v>
      </c>
      <c r="C272" s="976"/>
      <c r="D272" s="976"/>
      <c r="E272" s="978">
        <v>2494.2399999999998</v>
      </c>
      <c r="F272" s="974" t="s">
        <v>870</v>
      </c>
      <c r="G272" s="969">
        <f t="shared" si="63"/>
        <v>24.27</v>
      </c>
      <c r="H272" s="930">
        <f t="shared" si="59"/>
        <v>60535.199999999997</v>
      </c>
      <c r="I272" s="970">
        <v>2.9</v>
      </c>
      <c r="J272" s="930">
        <f t="shared" si="60"/>
        <v>7233.3</v>
      </c>
      <c r="K272" s="931">
        <f t="shared" si="61"/>
        <v>67768.5</v>
      </c>
      <c r="L272" s="971"/>
      <c r="M272" s="954"/>
      <c r="N272" s="954"/>
      <c r="O272" s="954"/>
      <c r="P272" s="954"/>
      <c r="Q272" s="954"/>
      <c r="R272" s="954"/>
      <c r="S272" s="954"/>
      <c r="T272" s="954"/>
      <c r="U272" s="954"/>
    </row>
    <row r="273" spans="1:21" s="933" customFormat="1" ht="24" customHeight="1">
      <c r="A273" s="1026"/>
      <c r="B273" s="976" t="s">
        <v>877</v>
      </c>
      <c r="C273" s="976"/>
      <c r="D273" s="976"/>
      <c r="E273" s="978">
        <v>6790.58</v>
      </c>
      <c r="F273" s="974" t="s">
        <v>870</v>
      </c>
      <c r="G273" s="969">
        <f t="shared" si="63"/>
        <v>24.27</v>
      </c>
      <c r="H273" s="930">
        <f t="shared" si="59"/>
        <v>164807.38</v>
      </c>
      <c r="I273" s="970">
        <v>2.9</v>
      </c>
      <c r="J273" s="930">
        <f t="shared" si="60"/>
        <v>19692.68</v>
      </c>
      <c r="K273" s="931">
        <f t="shared" si="61"/>
        <v>184500.06</v>
      </c>
      <c r="L273" s="971"/>
      <c r="M273" s="954"/>
      <c r="N273" s="954"/>
      <c r="O273" s="954"/>
      <c r="P273" s="954"/>
      <c r="Q273" s="954"/>
      <c r="R273" s="954"/>
      <c r="S273" s="954"/>
      <c r="T273" s="954"/>
      <c r="U273" s="954"/>
    </row>
    <row r="274" spans="1:21" s="933" customFormat="1" ht="24" customHeight="1">
      <c r="A274" s="1026"/>
      <c r="B274" s="976" t="s">
        <v>878</v>
      </c>
      <c r="C274" s="976"/>
      <c r="D274" s="976"/>
      <c r="E274" s="978">
        <v>9140.2199999999993</v>
      </c>
      <c r="F274" s="974" t="s">
        <v>870</v>
      </c>
      <c r="G274" s="969">
        <f t="shared" si="63"/>
        <v>24.27</v>
      </c>
      <c r="H274" s="930">
        <f t="shared" si="59"/>
        <v>221833.14</v>
      </c>
      <c r="I274" s="970">
        <v>2.9</v>
      </c>
      <c r="J274" s="930">
        <f t="shared" si="60"/>
        <v>26506.639999999999</v>
      </c>
      <c r="K274" s="931">
        <f t="shared" si="61"/>
        <v>248339.78000000003</v>
      </c>
      <c r="L274" s="971"/>
      <c r="M274" s="954"/>
      <c r="N274" s="954"/>
      <c r="O274" s="954"/>
      <c r="P274" s="954"/>
      <c r="Q274" s="954"/>
      <c r="R274" s="954"/>
      <c r="S274" s="954"/>
      <c r="T274" s="954"/>
      <c r="U274" s="954"/>
    </row>
    <row r="275" spans="1:21" s="933" customFormat="1" ht="24" customHeight="1">
      <c r="A275" s="1026"/>
      <c r="B275" s="976" t="s">
        <v>879</v>
      </c>
      <c r="C275" s="976"/>
      <c r="D275" s="976"/>
      <c r="E275" s="978"/>
      <c r="F275" s="974" t="s">
        <v>870</v>
      </c>
      <c r="G275" s="969">
        <f t="shared" si="63"/>
        <v>23.8</v>
      </c>
      <c r="H275" s="930">
        <f t="shared" si="59"/>
        <v>0</v>
      </c>
      <c r="I275" s="970">
        <v>2.9</v>
      </c>
      <c r="J275" s="930">
        <f t="shared" si="60"/>
        <v>0</v>
      </c>
      <c r="K275" s="931">
        <f t="shared" si="61"/>
        <v>0</v>
      </c>
      <c r="L275" s="971"/>
      <c r="M275" s="954"/>
      <c r="N275" s="954"/>
      <c r="O275" s="954"/>
      <c r="P275" s="954"/>
      <c r="Q275" s="954"/>
      <c r="R275" s="954"/>
      <c r="S275" s="954"/>
      <c r="T275" s="954"/>
      <c r="U275" s="954"/>
    </row>
    <row r="276" spans="1:21" s="933" customFormat="1" ht="24" customHeight="1">
      <c r="A276" s="1026"/>
      <c r="B276" s="976" t="s">
        <v>880</v>
      </c>
      <c r="C276" s="976"/>
      <c r="D276" s="976"/>
      <c r="E276" s="978">
        <f>(SUM(E268:E275)/1000)*30</f>
        <v>1845.4115999999999</v>
      </c>
      <c r="F276" s="974" t="s">
        <v>870</v>
      </c>
      <c r="G276" s="969">
        <f t="shared" si="63"/>
        <v>29.92</v>
      </c>
      <c r="H276" s="930">
        <f t="shared" si="59"/>
        <v>55214.720000000001</v>
      </c>
      <c r="I276" s="970"/>
      <c r="J276" s="930">
        <f t="shared" si="60"/>
        <v>0</v>
      </c>
      <c r="K276" s="931">
        <f t="shared" si="61"/>
        <v>55214.720000000001</v>
      </c>
      <c r="L276" s="971"/>
      <c r="M276" s="954"/>
      <c r="N276" s="954"/>
      <c r="O276" s="954"/>
      <c r="P276" s="954"/>
      <c r="Q276" s="954"/>
      <c r="R276" s="954"/>
      <c r="S276" s="954"/>
      <c r="T276" s="954"/>
      <c r="U276" s="954"/>
    </row>
    <row r="277" spans="1:21" s="933" customFormat="1" ht="24" customHeight="1">
      <c r="A277" s="1026"/>
      <c r="B277" s="976" t="s">
        <v>881</v>
      </c>
      <c r="C277" s="976"/>
      <c r="D277" s="976"/>
      <c r="E277" s="978"/>
      <c r="F277" s="974"/>
      <c r="G277" s="969"/>
      <c r="H277" s="930"/>
      <c r="I277" s="970"/>
      <c r="J277" s="930"/>
      <c r="K277" s="931"/>
      <c r="L277" s="971"/>
      <c r="M277" s="954"/>
      <c r="N277" s="954"/>
      <c r="O277" s="954"/>
      <c r="P277" s="954"/>
      <c r="Q277" s="954"/>
      <c r="R277" s="954"/>
      <c r="S277" s="954"/>
      <c r="T277" s="954"/>
      <c r="U277" s="954"/>
    </row>
    <row r="278" spans="1:21" s="933" customFormat="1" ht="24" customHeight="1">
      <c r="A278" s="1026"/>
      <c r="B278" s="1027"/>
      <c r="C278" s="976"/>
      <c r="D278" s="976"/>
      <c r="E278" s="985"/>
      <c r="F278" s="974"/>
      <c r="G278" s="969"/>
      <c r="H278" s="930"/>
      <c r="I278" s="970"/>
      <c r="J278" s="930"/>
      <c r="K278" s="931"/>
      <c r="L278" s="971"/>
      <c r="M278" s="954"/>
      <c r="N278" s="954"/>
      <c r="O278" s="954"/>
      <c r="P278" s="954"/>
      <c r="Q278" s="954"/>
      <c r="R278" s="954"/>
      <c r="S278" s="954"/>
      <c r="T278" s="954"/>
      <c r="U278" s="954"/>
    </row>
    <row r="279" spans="1:21" s="933" customFormat="1" ht="24" customHeight="1">
      <c r="A279" s="1026"/>
      <c r="B279" s="1027"/>
      <c r="C279" s="976"/>
      <c r="D279" s="976"/>
      <c r="E279" s="985"/>
      <c r="F279" s="974"/>
      <c r="G279" s="969"/>
      <c r="H279" s="930"/>
      <c r="I279" s="970"/>
      <c r="J279" s="930"/>
      <c r="K279" s="931"/>
      <c r="L279" s="971"/>
      <c r="M279" s="954"/>
      <c r="N279" s="954"/>
      <c r="O279" s="954"/>
      <c r="P279" s="954"/>
      <c r="Q279" s="954"/>
      <c r="R279" s="954"/>
      <c r="S279" s="954"/>
      <c r="T279" s="954"/>
      <c r="U279" s="954"/>
    </row>
    <row r="280" spans="1:21" s="933" customFormat="1" ht="24" customHeight="1">
      <c r="A280" s="1026"/>
      <c r="B280" s="1027"/>
      <c r="C280" s="976"/>
      <c r="D280" s="976"/>
      <c r="E280" s="985"/>
      <c r="F280" s="974"/>
      <c r="G280" s="969"/>
      <c r="H280" s="930"/>
      <c r="I280" s="970"/>
      <c r="J280" s="930"/>
      <c r="K280" s="931"/>
      <c r="L280" s="971"/>
      <c r="M280" s="954"/>
      <c r="N280" s="954"/>
      <c r="O280" s="954"/>
      <c r="P280" s="954"/>
      <c r="Q280" s="954"/>
      <c r="R280" s="954"/>
      <c r="S280" s="954"/>
      <c r="T280" s="954"/>
      <c r="U280" s="954"/>
    </row>
    <row r="281" spans="1:21" s="933" customFormat="1" ht="24" customHeight="1">
      <c r="A281" s="1026"/>
      <c r="B281" s="1027"/>
      <c r="C281" s="976"/>
      <c r="D281" s="976"/>
      <c r="E281" s="985"/>
      <c r="F281" s="974"/>
      <c r="G281" s="969"/>
      <c r="H281" s="930"/>
      <c r="I281" s="970"/>
      <c r="J281" s="930"/>
      <c r="K281" s="931"/>
      <c r="L281" s="971"/>
      <c r="M281" s="954"/>
      <c r="N281" s="954"/>
      <c r="O281" s="954"/>
      <c r="P281" s="954"/>
      <c r="Q281" s="954"/>
      <c r="R281" s="954"/>
      <c r="S281" s="954"/>
      <c r="T281" s="954"/>
      <c r="U281" s="954"/>
    </row>
    <row r="282" spans="1:21" s="933" customFormat="1" ht="24" customHeight="1">
      <c r="A282" s="1026"/>
      <c r="B282" s="1027"/>
      <c r="C282" s="976"/>
      <c r="D282" s="976"/>
      <c r="E282" s="985"/>
      <c r="F282" s="974"/>
      <c r="G282" s="969"/>
      <c r="H282" s="930"/>
      <c r="I282" s="970"/>
      <c r="J282" s="930"/>
      <c r="K282" s="931"/>
      <c r="L282" s="971"/>
      <c r="M282" s="954"/>
      <c r="N282" s="954"/>
      <c r="O282" s="954"/>
      <c r="P282" s="954"/>
      <c r="Q282" s="954"/>
      <c r="R282" s="954"/>
      <c r="S282" s="954"/>
      <c r="T282" s="954"/>
      <c r="U282" s="954"/>
    </row>
    <row r="283" spans="1:21" s="933" customFormat="1" ht="24" customHeight="1">
      <c r="A283" s="1026"/>
      <c r="B283" s="1027"/>
      <c r="C283" s="976"/>
      <c r="D283" s="976"/>
      <c r="E283" s="985"/>
      <c r="F283" s="974"/>
      <c r="G283" s="969"/>
      <c r="H283" s="930"/>
      <c r="I283" s="970"/>
      <c r="J283" s="930"/>
      <c r="K283" s="931"/>
      <c r="L283" s="971"/>
      <c r="M283" s="954"/>
      <c r="N283" s="954"/>
      <c r="O283" s="954"/>
      <c r="P283" s="954"/>
      <c r="Q283" s="954"/>
      <c r="R283" s="954"/>
      <c r="S283" s="954"/>
      <c r="T283" s="954"/>
      <c r="U283" s="954"/>
    </row>
    <row r="284" spans="1:21" s="933" customFormat="1" ht="24" customHeight="1">
      <c r="A284" s="1026"/>
      <c r="B284" s="1027"/>
      <c r="C284" s="976"/>
      <c r="D284" s="976"/>
      <c r="E284" s="985"/>
      <c r="F284" s="974"/>
      <c r="G284" s="969"/>
      <c r="H284" s="930"/>
      <c r="I284" s="970"/>
      <c r="J284" s="930"/>
      <c r="K284" s="931"/>
      <c r="L284" s="971"/>
      <c r="M284" s="954"/>
      <c r="N284" s="954"/>
      <c r="O284" s="954"/>
      <c r="P284" s="954"/>
      <c r="Q284" s="954"/>
      <c r="R284" s="954"/>
      <c r="S284" s="954"/>
      <c r="T284" s="954"/>
      <c r="U284" s="954"/>
    </row>
    <row r="285" spans="1:21" s="933" customFormat="1" ht="24" customHeight="1">
      <c r="A285" s="1026"/>
      <c r="B285" s="1027"/>
      <c r="C285" s="976"/>
      <c r="D285" s="976"/>
      <c r="E285" s="985"/>
      <c r="F285" s="974"/>
      <c r="G285" s="969"/>
      <c r="H285" s="930"/>
      <c r="I285" s="970"/>
      <c r="J285" s="930"/>
      <c r="K285" s="931"/>
      <c r="L285" s="971"/>
      <c r="M285" s="954"/>
      <c r="N285" s="954"/>
      <c r="O285" s="954"/>
      <c r="P285" s="954"/>
      <c r="Q285" s="954"/>
      <c r="R285" s="954"/>
      <c r="S285" s="954"/>
      <c r="T285" s="954"/>
      <c r="U285" s="954"/>
    </row>
    <row r="286" spans="1:21" s="933" customFormat="1" ht="24" customHeight="1">
      <c r="A286" s="1026" t="s">
        <v>901</v>
      </c>
      <c r="B286" s="1027" t="s">
        <v>902</v>
      </c>
      <c r="C286" s="976"/>
      <c r="D286" s="976"/>
      <c r="E286" s="985"/>
      <c r="F286" s="974"/>
      <c r="G286" s="969"/>
      <c r="H286" s="930"/>
      <c r="I286" s="970"/>
      <c r="J286" s="930"/>
      <c r="K286" s="931"/>
      <c r="L286" s="971"/>
      <c r="M286" s="954"/>
      <c r="N286" s="954"/>
      <c r="O286" s="954"/>
      <c r="P286" s="954"/>
      <c r="Q286" s="954"/>
      <c r="R286" s="954"/>
      <c r="S286" s="954"/>
      <c r="T286" s="954"/>
      <c r="U286" s="954"/>
    </row>
    <row r="287" spans="1:21" s="933" customFormat="1" ht="24" customHeight="1">
      <c r="A287" s="1026"/>
      <c r="B287" s="976" t="s">
        <v>864</v>
      </c>
      <c r="C287" s="977"/>
      <c r="D287" s="977"/>
      <c r="E287" s="978">
        <v>286.39999999999998</v>
      </c>
      <c r="F287" s="974" t="s">
        <v>865</v>
      </c>
      <c r="G287" s="969">
        <v>2516</v>
      </c>
      <c r="H287" s="930">
        <f t="shared" ref="H287:H301" si="64">ROUND(E287*G287,2)</f>
        <v>720582.4</v>
      </c>
      <c r="I287" s="970">
        <v>485</v>
      </c>
      <c r="J287" s="930">
        <f t="shared" ref="J287:J301" si="65">ROUND(E287*I287,2)</f>
        <v>138904</v>
      </c>
      <c r="K287" s="931">
        <f t="shared" ref="K287:K301" si="66">H287+J287</f>
        <v>859486.4</v>
      </c>
      <c r="L287" s="971"/>
      <c r="M287" s="954"/>
      <c r="N287" s="954"/>
      <c r="O287" s="954"/>
      <c r="P287" s="954"/>
      <c r="Q287" s="954"/>
      <c r="R287" s="954"/>
      <c r="S287" s="954"/>
      <c r="T287" s="954"/>
      <c r="U287" s="954"/>
    </row>
    <row r="288" spans="1:21" s="933" customFormat="1" ht="24" customHeight="1">
      <c r="A288" s="1026"/>
      <c r="B288" s="979" t="s">
        <v>866</v>
      </c>
      <c r="C288" s="976"/>
      <c r="D288" s="976"/>
      <c r="E288" s="978"/>
      <c r="F288" s="974"/>
      <c r="G288" s="969"/>
      <c r="H288" s="930"/>
      <c r="I288" s="970"/>
      <c r="J288" s="930"/>
      <c r="K288" s="931"/>
      <c r="L288" s="971"/>
      <c r="M288" s="954"/>
      <c r="N288" s="954"/>
      <c r="O288" s="954"/>
      <c r="P288" s="954"/>
      <c r="Q288" s="954"/>
      <c r="R288" s="954"/>
      <c r="S288" s="954"/>
      <c r="T288" s="954"/>
      <c r="U288" s="954"/>
    </row>
    <row r="289" spans="1:21" s="933" customFormat="1" ht="24" customHeight="1">
      <c r="A289" s="1026"/>
      <c r="B289" s="979"/>
      <c r="C289" s="976" t="s">
        <v>867</v>
      </c>
      <c r="D289" s="976"/>
      <c r="E289" s="978">
        <f>E290/2</f>
        <v>634.30999999999995</v>
      </c>
      <c r="F289" s="974" t="s">
        <v>34</v>
      </c>
      <c r="G289" s="969">
        <v>661.62</v>
      </c>
      <c r="H289" s="930">
        <f t="shared" si="64"/>
        <v>419672.18</v>
      </c>
      <c r="I289" s="970"/>
      <c r="J289" s="930">
        <f t="shared" si="65"/>
        <v>0</v>
      </c>
      <c r="K289" s="931">
        <f t="shared" si="66"/>
        <v>419672.18</v>
      </c>
      <c r="L289" s="971"/>
      <c r="M289" s="954"/>
      <c r="N289" s="954"/>
      <c r="O289" s="954"/>
      <c r="P289" s="954"/>
      <c r="Q289" s="954"/>
      <c r="R289" s="954"/>
      <c r="S289" s="954"/>
      <c r="T289" s="954"/>
      <c r="U289" s="954"/>
    </row>
    <row r="290" spans="1:21" s="933" customFormat="1" ht="24" customHeight="1">
      <c r="A290" s="1026"/>
      <c r="B290" s="979"/>
      <c r="C290" s="976" t="s">
        <v>868</v>
      </c>
      <c r="D290" s="976"/>
      <c r="E290" s="978">
        <v>1268.6199999999999</v>
      </c>
      <c r="F290" s="974" t="s">
        <v>34</v>
      </c>
      <c r="G290" s="969"/>
      <c r="H290" s="930">
        <f t="shared" si="64"/>
        <v>0</v>
      </c>
      <c r="I290" s="970">
        <v>154</v>
      </c>
      <c r="J290" s="930">
        <f t="shared" si="65"/>
        <v>195367.48</v>
      </c>
      <c r="K290" s="931">
        <f t="shared" si="66"/>
        <v>195367.48</v>
      </c>
      <c r="L290" s="971"/>
      <c r="M290" s="954"/>
      <c r="N290" s="954"/>
      <c r="O290" s="954"/>
      <c r="P290" s="954"/>
      <c r="Q290" s="954"/>
      <c r="R290" s="954"/>
      <c r="S290" s="954"/>
      <c r="T290" s="954"/>
      <c r="U290" s="954"/>
    </row>
    <row r="291" spans="1:21" s="933" customFormat="1" ht="24" customHeight="1">
      <c r="A291" s="1026"/>
      <c r="B291" s="976" t="s">
        <v>869</v>
      </c>
      <c r="C291" s="976"/>
      <c r="D291" s="976"/>
      <c r="E291" s="978">
        <f>(E290*0.25)</f>
        <v>317.15499999999997</v>
      </c>
      <c r="F291" s="974" t="s">
        <v>870</v>
      </c>
      <c r="G291" s="969">
        <f t="shared" ref="G291" si="67">VLOOKUP(B291,$O$43:$P$53,2,FALSE)</f>
        <v>29.94</v>
      </c>
      <c r="H291" s="930">
        <f t="shared" si="64"/>
        <v>9495.6200000000008</v>
      </c>
      <c r="I291" s="970"/>
      <c r="J291" s="930">
        <f t="shared" si="65"/>
        <v>0</v>
      </c>
      <c r="K291" s="931">
        <f t="shared" si="66"/>
        <v>9495.6200000000008</v>
      </c>
      <c r="L291" s="971"/>
      <c r="M291" s="954"/>
      <c r="N291" s="954"/>
      <c r="O291" s="954"/>
      <c r="P291" s="954"/>
      <c r="Q291" s="954"/>
      <c r="R291" s="954"/>
      <c r="S291" s="954"/>
      <c r="T291" s="954"/>
      <c r="U291" s="954"/>
    </row>
    <row r="292" spans="1:21" s="933" customFormat="1" ht="24" customHeight="1">
      <c r="A292" s="1026"/>
      <c r="B292" s="976" t="s">
        <v>871</v>
      </c>
      <c r="C292" s="976"/>
      <c r="D292" s="976"/>
      <c r="E292" s="978"/>
      <c r="F292" s="982"/>
      <c r="G292" s="983"/>
      <c r="H292" s="930">
        <f t="shared" si="64"/>
        <v>0</v>
      </c>
      <c r="I292" s="970"/>
      <c r="J292" s="930">
        <f t="shared" si="65"/>
        <v>0</v>
      </c>
      <c r="K292" s="931">
        <f t="shared" si="66"/>
        <v>0</v>
      </c>
      <c r="L292" s="971"/>
      <c r="M292" s="954"/>
      <c r="N292" s="954"/>
      <c r="O292" s="954"/>
      <c r="P292" s="954"/>
      <c r="Q292" s="954"/>
      <c r="R292" s="954"/>
      <c r="S292" s="954"/>
      <c r="T292" s="954"/>
      <c r="U292" s="954"/>
    </row>
    <row r="293" spans="1:21" s="933" customFormat="1" ht="24" customHeight="1">
      <c r="A293" s="1026"/>
      <c r="B293" s="976" t="s">
        <v>872</v>
      </c>
      <c r="C293" s="976"/>
      <c r="D293" s="976"/>
      <c r="E293" s="978">
        <v>0</v>
      </c>
      <c r="F293" s="974" t="s">
        <v>870</v>
      </c>
      <c r="G293" s="969">
        <f t="shared" ref="G293:G301" si="68">VLOOKUP(B293,$O$43:$P$53,2,FALSE)</f>
        <v>25.73</v>
      </c>
      <c r="H293" s="930">
        <f t="shared" si="64"/>
        <v>0</v>
      </c>
      <c r="I293" s="984">
        <v>4.0999999999999996</v>
      </c>
      <c r="J293" s="930">
        <f t="shared" si="65"/>
        <v>0</v>
      </c>
      <c r="K293" s="931">
        <f t="shared" si="66"/>
        <v>0</v>
      </c>
      <c r="L293" s="971"/>
      <c r="M293" s="954"/>
      <c r="N293" s="954"/>
      <c r="O293" s="954"/>
      <c r="P293" s="954"/>
      <c r="Q293" s="954"/>
      <c r="R293" s="954"/>
      <c r="S293" s="954"/>
      <c r="T293" s="954"/>
      <c r="U293" s="954"/>
    </row>
    <row r="294" spans="1:21" s="933" customFormat="1" ht="24" customHeight="1">
      <c r="A294" s="1026"/>
      <c r="B294" s="976" t="s">
        <v>873</v>
      </c>
      <c r="C294" s="976"/>
      <c r="D294" s="976"/>
      <c r="E294" s="978">
        <v>15.379999999999999</v>
      </c>
      <c r="F294" s="974" t="s">
        <v>870</v>
      </c>
      <c r="G294" s="969">
        <f t="shared" si="68"/>
        <v>24.97</v>
      </c>
      <c r="H294" s="930">
        <f t="shared" si="64"/>
        <v>384.04</v>
      </c>
      <c r="I294" s="970">
        <v>4.0999999999999996</v>
      </c>
      <c r="J294" s="930">
        <f t="shared" si="65"/>
        <v>63.06</v>
      </c>
      <c r="K294" s="931">
        <f t="shared" si="66"/>
        <v>447.1</v>
      </c>
      <c r="L294" s="971"/>
      <c r="M294" s="954"/>
      <c r="N294" s="954"/>
      <c r="O294" s="954"/>
      <c r="P294" s="954"/>
      <c r="Q294" s="954"/>
      <c r="R294" s="954"/>
      <c r="S294" s="954"/>
      <c r="T294" s="954"/>
      <c r="U294" s="954"/>
    </row>
    <row r="295" spans="1:21" s="933" customFormat="1" ht="24" customHeight="1">
      <c r="A295" s="928"/>
      <c r="B295" s="976" t="s">
        <v>874</v>
      </c>
      <c r="C295" s="976"/>
      <c r="D295" s="976"/>
      <c r="E295" s="978">
        <v>21561.829999999998</v>
      </c>
      <c r="F295" s="974" t="s">
        <v>870</v>
      </c>
      <c r="G295" s="969">
        <f t="shared" si="68"/>
        <v>24.47</v>
      </c>
      <c r="H295" s="930">
        <f t="shared" si="64"/>
        <v>527617.98</v>
      </c>
      <c r="I295" s="970">
        <v>3.3</v>
      </c>
      <c r="J295" s="930">
        <f t="shared" si="65"/>
        <v>71154.039999999994</v>
      </c>
      <c r="K295" s="931">
        <f t="shared" si="66"/>
        <v>598772.02</v>
      </c>
      <c r="L295" s="971"/>
      <c r="M295" s="954"/>
      <c r="N295" s="954"/>
      <c r="O295" s="954"/>
      <c r="P295" s="954"/>
      <c r="Q295" s="954"/>
      <c r="R295" s="954"/>
      <c r="S295" s="954"/>
      <c r="T295" s="954"/>
      <c r="U295" s="954"/>
    </row>
    <row r="296" spans="1:21" s="933" customFormat="1" ht="24" customHeight="1">
      <c r="A296" s="928"/>
      <c r="B296" s="976" t="s">
        <v>875</v>
      </c>
      <c r="C296" s="976"/>
      <c r="D296" s="976"/>
      <c r="E296" s="978">
        <v>50.51</v>
      </c>
      <c r="F296" s="982" t="s">
        <v>870</v>
      </c>
      <c r="G296" s="969">
        <f t="shared" si="68"/>
        <v>24.27</v>
      </c>
      <c r="H296" s="930">
        <f t="shared" si="64"/>
        <v>1225.8800000000001</v>
      </c>
      <c r="I296" s="970">
        <v>3.3</v>
      </c>
      <c r="J296" s="930">
        <f t="shared" si="65"/>
        <v>166.68</v>
      </c>
      <c r="K296" s="931">
        <f t="shared" si="66"/>
        <v>1392.5600000000002</v>
      </c>
      <c r="L296" s="971"/>
      <c r="M296" s="954"/>
      <c r="N296" s="954"/>
      <c r="O296" s="954"/>
      <c r="P296" s="954"/>
      <c r="Q296" s="954"/>
      <c r="R296" s="954"/>
      <c r="S296" s="954"/>
      <c r="T296" s="954"/>
      <c r="U296" s="954"/>
    </row>
    <row r="297" spans="1:21" s="933" customFormat="1" ht="24" customHeight="1">
      <c r="A297" s="928"/>
      <c r="B297" s="976" t="s">
        <v>876</v>
      </c>
      <c r="C297" s="976"/>
      <c r="D297" s="976"/>
      <c r="E297" s="978">
        <v>0</v>
      </c>
      <c r="F297" s="974" t="s">
        <v>870</v>
      </c>
      <c r="G297" s="969">
        <f t="shared" si="68"/>
        <v>24.27</v>
      </c>
      <c r="H297" s="930">
        <f t="shared" si="64"/>
        <v>0</v>
      </c>
      <c r="I297" s="970">
        <v>2.9</v>
      </c>
      <c r="J297" s="930">
        <f t="shared" si="65"/>
        <v>0</v>
      </c>
      <c r="K297" s="931">
        <f t="shared" si="66"/>
        <v>0</v>
      </c>
      <c r="L297" s="971"/>
      <c r="M297" s="954"/>
      <c r="N297" s="954"/>
      <c r="O297" s="954"/>
      <c r="P297" s="954"/>
      <c r="Q297" s="954"/>
      <c r="R297" s="954"/>
      <c r="S297" s="954"/>
      <c r="T297" s="954"/>
      <c r="U297" s="954"/>
    </row>
    <row r="298" spans="1:21" s="933" customFormat="1" ht="24" customHeight="1">
      <c r="A298" s="928"/>
      <c r="B298" s="976" t="s">
        <v>877</v>
      </c>
      <c r="C298" s="976"/>
      <c r="D298" s="976"/>
      <c r="E298" s="978">
        <v>5355.51</v>
      </c>
      <c r="F298" s="974" t="s">
        <v>870</v>
      </c>
      <c r="G298" s="969">
        <f t="shared" si="68"/>
        <v>24.27</v>
      </c>
      <c r="H298" s="930">
        <f t="shared" si="64"/>
        <v>129978.23</v>
      </c>
      <c r="I298" s="970">
        <v>2.9</v>
      </c>
      <c r="J298" s="930">
        <f t="shared" si="65"/>
        <v>15530.98</v>
      </c>
      <c r="K298" s="931">
        <f t="shared" si="66"/>
        <v>145509.21</v>
      </c>
      <c r="L298" s="971"/>
      <c r="M298" s="954"/>
      <c r="N298" s="954"/>
      <c r="O298" s="954"/>
      <c r="P298" s="954"/>
      <c r="Q298" s="954"/>
      <c r="R298" s="954"/>
      <c r="S298" s="954"/>
      <c r="T298" s="954"/>
      <c r="U298" s="954"/>
    </row>
    <row r="299" spans="1:21" s="933" customFormat="1" ht="24" customHeight="1">
      <c r="A299" s="928"/>
      <c r="B299" s="976" t="s">
        <v>878</v>
      </c>
      <c r="C299" s="976"/>
      <c r="D299" s="976"/>
      <c r="E299" s="978">
        <v>93382.26</v>
      </c>
      <c r="F299" s="974" t="s">
        <v>870</v>
      </c>
      <c r="G299" s="969">
        <f t="shared" si="68"/>
        <v>24.27</v>
      </c>
      <c r="H299" s="930">
        <f t="shared" si="64"/>
        <v>2266387.4500000002</v>
      </c>
      <c r="I299" s="970">
        <v>2.9</v>
      </c>
      <c r="J299" s="930">
        <f t="shared" si="65"/>
        <v>270808.55</v>
      </c>
      <c r="K299" s="931">
        <f t="shared" si="66"/>
        <v>2537196</v>
      </c>
      <c r="L299" s="971"/>
      <c r="M299" s="954"/>
      <c r="N299" s="954"/>
      <c r="O299" s="954"/>
      <c r="P299" s="954"/>
      <c r="Q299" s="954"/>
      <c r="R299" s="954"/>
      <c r="S299" s="954"/>
      <c r="T299" s="954"/>
      <c r="U299" s="954"/>
    </row>
    <row r="300" spans="1:21" s="933" customFormat="1" ht="24" customHeight="1">
      <c r="A300" s="928"/>
      <c r="B300" s="976" t="s">
        <v>879</v>
      </c>
      <c r="C300" s="976"/>
      <c r="D300" s="976"/>
      <c r="E300" s="978">
        <v>0</v>
      </c>
      <c r="F300" s="974" t="s">
        <v>870</v>
      </c>
      <c r="G300" s="969">
        <f t="shared" si="68"/>
        <v>23.8</v>
      </c>
      <c r="H300" s="930">
        <f t="shared" si="64"/>
        <v>0</v>
      </c>
      <c r="I300" s="970">
        <v>2.9</v>
      </c>
      <c r="J300" s="930">
        <f t="shared" si="65"/>
        <v>0</v>
      </c>
      <c r="K300" s="931">
        <f t="shared" si="66"/>
        <v>0</v>
      </c>
      <c r="L300" s="971"/>
      <c r="M300" s="954"/>
      <c r="N300" s="954"/>
      <c r="O300" s="954"/>
      <c r="P300" s="954"/>
      <c r="Q300" s="954"/>
      <c r="R300" s="954"/>
      <c r="S300" s="954"/>
      <c r="T300" s="954"/>
      <c r="U300" s="954"/>
    </row>
    <row r="301" spans="1:21" s="933" customFormat="1" ht="24" customHeight="1">
      <c r="A301" s="928"/>
      <c r="B301" s="976" t="s">
        <v>880</v>
      </c>
      <c r="C301" s="976"/>
      <c r="D301" s="976"/>
      <c r="E301" s="978">
        <f>(SUM(E293:E300)/1000)*30</f>
        <v>3610.9647</v>
      </c>
      <c r="F301" s="974" t="s">
        <v>870</v>
      </c>
      <c r="G301" s="969">
        <f t="shared" si="68"/>
        <v>29.92</v>
      </c>
      <c r="H301" s="930">
        <f t="shared" si="64"/>
        <v>108040.06</v>
      </c>
      <c r="I301" s="970"/>
      <c r="J301" s="930">
        <f t="shared" si="65"/>
        <v>0</v>
      </c>
      <c r="K301" s="931">
        <f t="shared" si="66"/>
        <v>108040.06</v>
      </c>
      <c r="L301" s="971"/>
      <c r="M301" s="954"/>
      <c r="N301" s="954"/>
      <c r="O301" s="954"/>
      <c r="P301" s="954"/>
      <c r="Q301" s="954"/>
      <c r="R301" s="954"/>
      <c r="S301" s="954"/>
      <c r="T301" s="954"/>
      <c r="U301" s="954"/>
    </row>
    <row r="302" spans="1:21" s="933" customFormat="1" ht="24" customHeight="1">
      <c r="A302" s="928"/>
      <c r="B302" s="976" t="s">
        <v>881</v>
      </c>
      <c r="C302" s="976"/>
      <c r="D302" s="976"/>
      <c r="E302" s="978"/>
      <c r="F302" s="974"/>
      <c r="G302" s="969"/>
      <c r="H302" s="930"/>
      <c r="I302" s="970"/>
      <c r="J302" s="930"/>
      <c r="K302" s="931"/>
      <c r="L302" s="971"/>
      <c r="M302" s="954"/>
      <c r="N302" s="954"/>
      <c r="O302" s="954"/>
      <c r="P302" s="954"/>
      <c r="Q302" s="954"/>
      <c r="R302" s="954"/>
      <c r="S302" s="954"/>
      <c r="T302" s="954"/>
      <c r="U302" s="954"/>
    </row>
    <row r="303" spans="1:21" s="933" customFormat="1" ht="24" customHeight="1">
      <c r="A303" s="928"/>
      <c r="B303" s="1021"/>
      <c r="C303" s="976"/>
      <c r="D303" s="976"/>
      <c r="E303" s="985"/>
      <c r="F303" s="974"/>
      <c r="G303" s="969"/>
      <c r="H303" s="930"/>
      <c r="I303" s="970"/>
      <c r="J303" s="930"/>
      <c r="K303" s="931"/>
      <c r="L303" s="971"/>
      <c r="M303" s="954"/>
      <c r="N303" s="954"/>
      <c r="O303" s="954"/>
      <c r="P303" s="954"/>
      <c r="Q303" s="954"/>
      <c r="R303" s="954"/>
      <c r="S303" s="954"/>
      <c r="T303" s="954"/>
      <c r="U303" s="954"/>
    </row>
    <row r="304" spans="1:21" s="933" customFormat="1" ht="24" customHeight="1">
      <c r="A304" s="928"/>
      <c r="B304" s="1021"/>
      <c r="C304" s="976"/>
      <c r="D304" s="976"/>
      <c r="E304" s="985"/>
      <c r="F304" s="974"/>
      <c r="G304" s="969"/>
      <c r="H304" s="930"/>
      <c r="I304" s="970"/>
      <c r="J304" s="930"/>
      <c r="K304" s="931"/>
      <c r="L304" s="971"/>
      <c r="M304" s="954"/>
      <c r="N304" s="954"/>
      <c r="O304" s="954"/>
      <c r="P304" s="954"/>
      <c r="Q304" s="954"/>
      <c r="R304" s="954"/>
      <c r="S304" s="954"/>
      <c r="T304" s="954"/>
      <c r="U304" s="954"/>
    </row>
    <row r="305" spans="1:21" s="933" customFormat="1" ht="24" customHeight="1">
      <c r="A305" s="928"/>
      <c r="B305" s="1021"/>
      <c r="C305" s="976"/>
      <c r="D305" s="976"/>
      <c r="E305" s="985"/>
      <c r="F305" s="974"/>
      <c r="G305" s="969"/>
      <c r="H305" s="930"/>
      <c r="I305" s="970"/>
      <c r="J305" s="930"/>
      <c r="K305" s="931"/>
      <c r="L305" s="971"/>
      <c r="M305" s="954"/>
      <c r="N305" s="954"/>
      <c r="O305" s="954"/>
      <c r="P305" s="954"/>
      <c r="Q305" s="954"/>
      <c r="R305" s="954"/>
      <c r="S305" s="954"/>
      <c r="T305" s="954"/>
      <c r="U305" s="954"/>
    </row>
    <row r="306" spans="1:21" s="933" customFormat="1" ht="24" customHeight="1">
      <c r="A306" s="928"/>
      <c r="B306" s="1021"/>
      <c r="C306" s="976"/>
      <c r="D306" s="976"/>
      <c r="E306" s="985"/>
      <c r="F306" s="974"/>
      <c r="G306" s="969"/>
      <c r="H306" s="930"/>
      <c r="I306" s="970"/>
      <c r="J306" s="930"/>
      <c r="K306" s="931"/>
      <c r="L306" s="971"/>
      <c r="M306" s="954"/>
      <c r="N306" s="954"/>
      <c r="O306" s="954"/>
      <c r="P306" s="954"/>
      <c r="Q306" s="954"/>
      <c r="R306" s="954"/>
      <c r="S306" s="954"/>
      <c r="T306" s="954"/>
      <c r="U306" s="954"/>
    </row>
    <row r="307" spans="1:21" s="933" customFormat="1" ht="24" customHeight="1">
      <c r="A307" s="928"/>
      <c r="B307" s="1021"/>
      <c r="C307" s="976"/>
      <c r="D307" s="976"/>
      <c r="E307" s="985"/>
      <c r="F307" s="974"/>
      <c r="G307" s="969"/>
      <c r="H307" s="930"/>
      <c r="I307" s="970"/>
      <c r="J307" s="930"/>
      <c r="K307" s="931"/>
      <c r="L307" s="971"/>
      <c r="M307" s="954"/>
      <c r="N307" s="954"/>
      <c r="O307" s="954"/>
      <c r="P307" s="954"/>
      <c r="Q307" s="954"/>
      <c r="R307" s="954"/>
      <c r="S307" s="954"/>
      <c r="T307" s="954"/>
      <c r="U307" s="954"/>
    </row>
    <row r="308" spans="1:21" s="933" customFormat="1" ht="24" customHeight="1">
      <c r="A308" s="928"/>
      <c r="B308" s="1021"/>
      <c r="C308" s="976"/>
      <c r="D308" s="976"/>
      <c r="E308" s="985"/>
      <c r="F308" s="974"/>
      <c r="G308" s="969"/>
      <c r="H308" s="930"/>
      <c r="I308" s="970"/>
      <c r="J308" s="930"/>
      <c r="K308" s="931"/>
      <c r="L308" s="971"/>
      <c r="M308" s="954"/>
      <c r="N308" s="954"/>
      <c r="O308" s="954"/>
      <c r="P308" s="954"/>
      <c r="Q308" s="954"/>
      <c r="R308" s="954"/>
      <c r="S308" s="954"/>
      <c r="T308" s="954"/>
      <c r="U308" s="954"/>
    </row>
    <row r="309" spans="1:21" s="933" customFormat="1" ht="24" customHeight="1">
      <c r="A309" s="928"/>
      <c r="B309" s="1021"/>
      <c r="C309" s="976"/>
      <c r="D309" s="976"/>
      <c r="E309" s="985"/>
      <c r="F309" s="974"/>
      <c r="G309" s="969"/>
      <c r="H309" s="930"/>
      <c r="I309" s="970"/>
      <c r="J309" s="930"/>
      <c r="K309" s="931"/>
      <c r="L309" s="971"/>
      <c r="M309" s="954"/>
      <c r="N309" s="954"/>
      <c r="O309" s="954"/>
      <c r="P309" s="954"/>
      <c r="Q309" s="954"/>
      <c r="R309" s="954"/>
      <c r="S309" s="954"/>
      <c r="T309" s="954"/>
      <c r="U309" s="954"/>
    </row>
    <row r="310" spans="1:21" s="933" customFormat="1" ht="24" customHeight="1">
      <c r="A310" s="928"/>
      <c r="B310" s="1021"/>
      <c r="C310" s="976"/>
      <c r="D310" s="976"/>
      <c r="E310" s="985"/>
      <c r="F310" s="974"/>
      <c r="G310" s="969"/>
      <c r="H310" s="930"/>
      <c r="I310" s="970"/>
      <c r="J310" s="930"/>
      <c r="K310" s="931"/>
      <c r="L310" s="971"/>
      <c r="M310" s="954"/>
      <c r="N310" s="954"/>
      <c r="O310" s="954"/>
      <c r="P310" s="954"/>
      <c r="Q310" s="954"/>
      <c r="R310" s="954"/>
      <c r="S310" s="954"/>
      <c r="T310" s="954"/>
      <c r="U310" s="954"/>
    </row>
    <row r="311" spans="1:21" s="933" customFormat="1" ht="24" customHeight="1">
      <c r="A311" s="1026" t="s">
        <v>903</v>
      </c>
      <c r="B311" s="1027" t="s">
        <v>1029</v>
      </c>
      <c r="C311" s="976"/>
      <c r="D311" s="976"/>
      <c r="E311" s="985"/>
      <c r="F311" s="974"/>
      <c r="G311" s="969"/>
      <c r="H311" s="930"/>
      <c r="I311" s="970"/>
      <c r="J311" s="930"/>
      <c r="K311" s="931"/>
      <c r="L311" s="971"/>
      <c r="M311" s="954"/>
      <c r="N311" s="954"/>
      <c r="O311" s="954"/>
      <c r="P311" s="954"/>
      <c r="Q311" s="954"/>
      <c r="R311" s="954"/>
      <c r="S311" s="954"/>
      <c r="T311" s="954"/>
      <c r="U311" s="954"/>
    </row>
    <row r="312" spans="1:21" s="933" customFormat="1" ht="24" customHeight="1">
      <c r="A312" s="928"/>
      <c r="B312" s="976" t="s">
        <v>864</v>
      </c>
      <c r="C312" s="977"/>
      <c r="D312" s="977"/>
      <c r="E312" s="978">
        <v>153.61000000000001</v>
      </c>
      <c r="F312" s="974" t="s">
        <v>865</v>
      </c>
      <c r="G312" s="969">
        <v>2516</v>
      </c>
      <c r="H312" s="930">
        <f t="shared" ref="H312:H326" si="69">ROUND(E312*G312,2)</f>
        <v>386482.76</v>
      </c>
      <c r="I312" s="970">
        <v>485</v>
      </c>
      <c r="J312" s="930">
        <f t="shared" ref="J312:J326" si="70">ROUND(E312*I312,2)</f>
        <v>74500.850000000006</v>
      </c>
      <c r="K312" s="931">
        <f t="shared" ref="K312:K326" si="71">H312+J312</f>
        <v>460983.61</v>
      </c>
      <c r="L312" s="971"/>
      <c r="M312" s="954"/>
      <c r="N312" s="954"/>
      <c r="O312" s="954"/>
      <c r="P312" s="954"/>
      <c r="Q312" s="954"/>
      <c r="R312" s="954"/>
      <c r="S312" s="954"/>
      <c r="T312" s="954"/>
      <c r="U312" s="954"/>
    </row>
    <row r="313" spans="1:21" s="933" customFormat="1" ht="24" customHeight="1">
      <c r="A313" s="928"/>
      <c r="B313" s="979" t="s">
        <v>866</v>
      </c>
      <c r="C313" s="976"/>
      <c r="D313" s="976"/>
      <c r="E313" s="978"/>
      <c r="F313" s="974"/>
      <c r="G313" s="969"/>
      <c r="H313" s="930"/>
      <c r="I313" s="970"/>
      <c r="J313" s="930"/>
      <c r="K313" s="931"/>
      <c r="L313" s="971"/>
      <c r="M313" s="954"/>
      <c r="N313" s="954"/>
      <c r="O313" s="954"/>
      <c r="P313" s="954"/>
      <c r="Q313" s="954"/>
      <c r="R313" s="954"/>
      <c r="S313" s="954"/>
      <c r="T313" s="954"/>
      <c r="U313" s="954"/>
    </row>
    <row r="314" spans="1:21" s="933" customFormat="1" ht="24" customHeight="1">
      <c r="A314" s="928"/>
      <c r="B314" s="979"/>
      <c r="C314" s="976" t="s">
        <v>867</v>
      </c>
      <c r="D314" s="976"/>
      <c r="E314" s="978">
        <f>E315/2</f>
        <v>455.58</v>
      </c>
      <c r="F314" s="974" t="s">
        <v>34</v>
      </c>
      <c r="G314" s="969">
        <v>661.62</v>
      </c>
      <c r="H314" s="930">
        <f t="shared" si="69"/>
        <v>301420.84000000003</v>
      </c>
      <c r="I314" s="970"/>
      <c r="J314" s="930">
        <f t="shared" si="70"/>
        <v>0</v>
      </c>
      <c r="K314" s="931">
        <f t="shared" si="71"/>
        <v>301420.84000000003</v>
      </c>
      <c r="L314" s="971"/>
      <c r="M314" s="954"/>
      <c r="N314" s="954"/>
      <c r="O314" s="954"/>
      <c r="P314" s="954"/>
      <c r="Q314" s="954"/>
      <c r="R314" s="954"/>
      <c r="S314" s="954"/>
      <c r="T314" s="954"/>
      <c r="U314" s="954"/>
    </row>
    <row r="315" spans="1:21" s="933" customFormat="1" ht="24" customHeight="1">
      <c r="A315" s="928"/>
      <c r="B315" s="979"/>
      <c r="C315" s="976" t="s">
        <v>868</v>
      </c>
      <c r="D315" s="976"/>
      <c r="E315" s="978">
        <v>911.16</v>
      </c>
      <c r="F315" s="974" t="s">
        <v>34</v>
      </c>
      <c r="G315" s="969"/>
      <c r="H315" s="930">
        <f t="shared" si="69"/>
        <v>0</v>
      </c>
      <c r="I315" s="970">
        <v>154</v>
      </c>
      <c r="J315" s="930">
        <f t="shared" si="70"/>
        <v>140318.64000000001</v>
      </c>
      <c r="K315" s="931">
        <f t="shared" si="71"/>
        <v>140318.64000000001</v>
      </c>
      <c r="L315" s="971"/>
      <c r="M315" s="954"/>
      <c r="N315" s="954"/>
      <c r="O315" s="954"/>
      <c r="P315" s="954"/>
      <c r="Q315" s="954"/>
      <c r="R315" s="954"/>
      <c r="S315" s="954"/>
      <c r="T315" s="954"/>
      <c r="U315" s="954"/>
    </row>
    <row r="316" spans="1:21" s="933" customFormat="1" ht="24" customHeight="1">
      <c r="A316" s="928"/>
      <c r="B316" s="976" t="s">
        <v>869</v>
      </c>
      <c r="C316" s="976"/>
      <c r="D316" s="976"/>
      <c r="E316" s="978">
        <f>(E315*0.25)</f>
        <v>227.79</v>
      </c>
      <c r="F316" s="974" t="s">
        <v>870</v>
      </c>
      <c r="G316" s="969">
        <f t="shared" ref="G316" si="72">VLOOKUP(B316,$O$43:$P$53,2,FALSE)</f>
        <v>29.94</v>
      </c>
      <c r="H316" s="930">
        <f t="shared" si="69"/>
        <v>6820.03</v>
      </c>
      <c r="I316" s="970"/>
      <c r="J316" s="930">
        <f t="shared" si="70"/>
        <v>0</v>
      </c>
      <c r="K316" s="931">
        <f t="shared" si="71"/>
        <v>6820.03</v>
      </c>
      <c r="L316" s="971"/>
      <c r="M316" s="954"/>
      <c r="N316" s="954"/>
      <c r="O316" s="954"/>
      <c r="P316" s="954"/>
      <c r="Q316" s="954"/>
      <c r="R316" s="954"/>
      <c r="S316" s="954"/>
      <c r="T316" s="954"/>
      <c r="U316" s="954"/>
    </row>
    <row r="317" spans="1:21" s="933" customFormat="1" ht="24" customHeight="1">
      <c r="A317" s="928"/>
      <c r="B317" s="976" t="s">
        <v>871</v>
      </c>
      <c r="C317" s="976"/>
      <c r="D317" s="976"/>
      <c r="E317" s="978"/>
      <c r="F317" s="982"/>
      <c r="G317" s="983"/>
      <c r="H317" s="930"/>
      <c r="I317" s="970"/>
      <c r="J317" s="930"/>
      <c r="K317" s="931"/>
      <c r="L317" s="971"/>
      <c r="M317" s="954"/>
      <c r="N317" s="954"/>
      <c r="O317" s="954"/>
      <c r="P317" s="954"/>
      <c r="Q317" s="954"/>
      <c r="R317" s="954"/>
      <c r="S317" s="954"/>
      <c r="T317" s="954"/>
      <c r="U317" s="954"/>
    </row>
    <row r="318" spans="1:21" s="933" customFormat="1" ht="24" customHeight="1">
      <c r="A318" s="928"/>
      <c r="B318" s="976" t="s">
        <v>872</v>
      </c>
      <c r="C318" s="976"/>
      <c r="D318" s="976"/>
      <c r="E318" s="978"/>
      <c r="F318" s="974" t="s">
        <v>870</v>
      </c>
      <c r="G318" s="969">
        <f t="shared" ref="G318:G326" si="73">VLOOKUP(B318,$O$43:$P$53,2,FALSE)</f>
        <v>25.73</v>
      </c>
      <c r="H318" s="930">
        <f t="shared" si="69"/>
        <v>0</v>
      </c>
      <c r="I318" s="984">
        <v>4.0999999999999996</v>
      </c>
      <c r="J318" s="930">
        <f t="shared" si="70"/>
        <v>0</v>
      </c>
      <c r="K318" s="931">
        <f t="shared" si="71"/>
        <v>0</v>
      </c>
      <c r="L318" s="971"/>
      <c r="M318" s="954"/>
      <c r="N318" s="954"/>
      <c r="O318" s="954"/>
      <c r="P318" s="954"/>
      <c r="Q318" s="954"/>
      <c r="R318" s="954"/>
      <c r="S318" s="954"/>
      <c r="T318" s="954"/>
      <c r="U318" s="954"/>
    </row>
    <row r="319" spans="1:21" s="933" customFormat="1" ht="24" customHeight="1">
      <c r="A319" s="928"/>
      <c r="B319" s="976" t="s">
        <v>873</v>
      </c>
      <c r="C319" s="976"/>
      <c r="D319" s="976"/>
      <c r="E319" s="978"/>
      <c r="F319" s="974" t="s">
        <v>870</v>
      </c>
      <c r="G319" s="969">
        <f t="shared" si="73"/>
        <v>24.97</v>
      </c>
      <c r="H319" s="930">
        <f t="shared" si="69"/>
        <v>0</v>
      </c>
      <c r="I319" s="970">
        <v>4.0999999999999996</v>
      </c>
      <c r="J319" s="930">
        <f t="shared" si="70"/>
        <v>0</v>
      </c>
      <c r="K319" s="931">
        <f t="shared" si="71"/>
        <v>0</v>
      </c>
      <c r="L319" s="971"/>
      <c r="M319" s="954"/>
      <c r="N319" s="954"/>
      <c r="O319" s="954"/>
      <c r="P319" s="954"/>
      <c r="Q319" s="954"/>
      <c r="R319" s="954"/>
      <c r="S319" s="954"/>
      <c r="T319" s="954"/>
      <c r="U319" s="954"/>
    </row>
    <row r="320" spans="1:21" s="933" customFormat="1" ht="24" customHeight="1">
      <c r="A320" s="928"/>
      <c r="B320" s="976" t="s">
        <v>874</v>
      </c>
      <c r="C320" s="976"/>
      <c r="D320" s="976"/>
      <c r="E320" s="978">
        <v>4854.3100000000004</v>
      </c>
      <c r="F320" s="974" t="s">
        <v>870</v>
      </c>
      <c r="G320" s="969">
        <f t="shared" si="73"/>
        <v>24.47</v>
      </c>
      <c r="H320" s="930">
        <f t="shared" si="69"/>
        <v>118784.97</v>
      </c>
      <c r="I320" s="970">
        <v>3.3</v>
      </c>
      <c r="J320" s="930">
        <f t="shared" si="70"/>
        <v>16019.22</v>
      </c>
      <c r="K320" s="931">
        <f t="shared" si="71"/>
        <v>134804.19</v>
      </c>
      <c r="L320" s="971"/>
      <c r="M320" s="954"/>
      <c r="N320" s="954"/>
      <c r="O320" s="954"/>
      <c r="P320" s="954"/>
      <c r="Q320" s="954"/>
      <c r="R320" s="954"/>
      <c r="S320" s="954"/>
      <c r="T320" s="954"/>
      <c r="U320" s="954"/>
    </row>
    <row r="321" spans="1:21" s="933" customFormat="1" ht="24" customHeight="1">
      <c r="A321" s="928"/>
      <c r="B321" s="976" t="s">
        <v>875</v>
      </c>
      <c r="C321" s="976"/>
      <c r="D321" s="976"/>
      <c r="E321" s="978">
        <v>13791.74</v>
      </c>
      <c r="F321" s="982" t="s">
        <v>870</v>
      </c>
      <c r="G321" s="969">
        <f t="shared" si="73"/>
        <v>24.27</v>
      </c>
      <c r="H321" s="930">
        <f t="shared" si="69"/>
        <v>334725.53000000003</v>
      </c>
      <c r="I321" s="970">
        <v>3.3</v>
      </c>
      <c r="J321" s="930">
        <f t="shared" si="70"/>
        <v>45512.74</v>
      </c>
      <c r="K321" s="931">
        <f t="shared" si="71"/>
        <v>380238.27</v>
      </c>
      <c r="L321" s="971"/>
      <c r="M321" s="954"/>
      <c r="N321" s="954"/>
      <c r="O321" s="954"/>
      <c r="P321" s="954"/>
      <c r="Q321" s="954"/>
      <c r="R321" s="954"/>
      <c r="S321" s="954"/>
      <c r="T321" s="954"/>
      <c r="U321" s="954"/>
    </row>
    <row r="322" spans="1:21" s="933" customFormat="1" ht="24" customHeight="1">
      <c r="A322" s="928"/>
      <c r="B322" s="976" t="s">
        <v>876</v>
      </c>
      <c r="C322" s="976"/>
      <c r="D322" s="976"/>
      <c r="E322" s="978">
        <v>4150.6400000000003</v>
      </c>
      <c r="F322" s="974" t="s">
        <v>870</v>
      </c>
      <c r="G322" s="969">
        <f t="shared" si="73"/>
        <v>24.27</v>
      </c>
      <c r="H322" s="930">
        <f t="shared" si="69"/>
        <v>100736.03</v>
      </c>
      <c r="I322" s="970">
        <v>2.9</v>
      </c>
      <c r="J322" s="930">
        <f t="shared" si="70"/>
        <v>12036.86</v>
      </c>
      <c r="K322" s="931">
        <f t="shared" si="71"/>
        <v>112772.89</v>
      </c>
      <c r="L322" s="971"/>
      <c r="M322" s="954"/>
      <c r="N322" s="954"/>
      <c r="O322" s="954"/>
      <c r="P322" s="954"/>
      <c r="Q322" s="954"/>
      <c r="R322" s="954"/>
      <c r="S322" s="954"/>
      <c r="T322" s="954"/>
      <c r="U322" s="954"/>
    </row>
    <row r="323" spans="1:21" s="933" customFormat="1" ht="24" customHeight="1">
      <c r="A323" s="928"/>
      <c r="B323" s="976" t="s">
        <v>877</v>
      </c>
      <c r="C323" s="976"/>
      <c r="D323" s="976"/>
      <c r="E323" s="978">
        <v>26299.35</v>
      </c>
      <c r="F323" s="974" t="s">
        <v>870</v>
      </c>
      <c r="G323" s="969">
        <f t="shared" si="73"/>
        <v>24.27</v>
      </c>
      <c r="H323" s="930">
        <f t="shared" si="69"/>
        <v>638285.22</v>
      </c>
      <c r="I323" s="970">
        <v>2.9</v>
      </c>
      <c r="J323" s="930">
        <f t="shared" si="70"/>
        <v>76268.12</v>
      </c>
      <c r="K323" s="931">
        <f t="shared" si="71"/>
        <v>714553.34</v>
      </c>
      <c r="L323" s="971"/>
      <c r="M323" s="954"/>
      <c r="N323" s="954"/>
      <c r="O323" s="954"/>
      <c r="P323" s="954"/>
      <c r="Q323" s="954"/>
      <c r="R323" s="954"/>
      <c r="S323" s="954"/>
      <c r="T323" s="954"/>
      <c r="U323" s="954"/>
    </row>
    <row r="324" spans="1:21" s="933" customFormat="1" ht="24" customHeight="1">
      <c r="A324" s="928"/>
      <c r="B324" s="976" t="s">
        <v>878</v>
      </c>
      <c r="C324" s="976"/>
      <c r="D324" s="976"/>
      <c r="E324" s="978"/>
      <c r="F324" s="974" t="s">
        <v>870</v>
      </c>
      <c r="G324" s="969">
        <f t="shared" si="73"/>
        <v>24.27</v>
      </c>
      <c r="H324" s="930">
        <f t="shared" si="69"/>
        <v>0</v>
      </c>
      <c r="I324" s="970">
        <v>2.9</v>
      </c>
      <c r="J324" s="930">
        <f t="shared" si="70"/>
        <v>0</v>
      </c>
      <c r="K324" s="931">
        <f t="shared" si="71"/>
        <v>0</v>
      </c>
      <c r="L324" s="971"/>
      <c r="M324" s="954"/>
      <c r="N324" s="954"/>
      <c r="O324" s="954"/>
      <c r="P324" s="954"/>
      <c r="Q324" s="954"/>
      <c r="R324" s="954"/>
      <c r="S324" s="954"/>
      <c r="T324" s="954"/>
      <c r="U324" s="954"/>
    </row>
    <row r="325" spans="1:21" s="933" customFormat="1" ht="24" customHeight="1">
      <c r="A325" s="928"/>
      <c r="B325" s="976" t="s">
        <v>879</v>
      </c>
      <c r="C325" s="976"/>
      <c r="D325" s="976"/>
      <c r="E325" s="978"/>
      <c r="F325" s="974" t="s">
        <v>870</v>
      </c>
      <c r="G325" s="969">
        <f t="shared" si="73"/>
        <v>23.8</v>
      </c>
      <c r="H325" s="930">
        <f t="shared" si="69"/>
        <v>0</v>
      </c>
      <c r="I325" s="970">
        <v>2.9</v>
      </c>
      <c r="J325" s="930">
        <f t="shared" si="70"/>
        <v>0</v>
      </c>
      <c r="K325" s="931">
        <f t="shared" si="71"/>
        <v>0</v>
      </c>
      <c r="L325" s="971"/>
      <c r="M325" s="954"/>
      <c r="N325" s="954"/>
      <c r="O325" s="954"/>
      <c r="P325" s="954"/>
      <c r="Q325" s="954"/>
      <c r="R325" s="954"/>
      <c r="S325" s="954"/>
      <c r="T325" s="954"/>
      <c r="U325" s="954"/>
    </row>
    <row r="326" spans="1:21" s="933" customFormat="1" ht="24" customHeight="1">
      <c r="A326" s="928"/>
      <c r="B326" s="976" t="s">
        <v>880</v>
      </c>
      <c r="C326" s="976"/>
      <c r="D326" s="976"/>
      <c r="E326" s="978">
        <f>(SUM(E318:E325)/1000)*30</f>
        <v>1472.8811999999998</v>
      </c>
      <c r="F326" s="974" t="s">
        <v>870</v>
      </c>
      <c r="G326" s="969">
        <f t="shared" si="73"/>
        <v>29.92</v>
      </c>
      <c r="H326" s="930">
        <f t="shared" si="69"/>
        <v>44068.61</v>
      </c>
      <c r="I326" s="970"/>
      <c r="J326" s="930">
        <f t="shared" si="70"/>
        <v>0</v>
      </c>
      <c r="K326" s="931">
        <f t="shared" si="71"/>
        <v>44068.61</v>
      </c>
      <c r="L326" s="971"/>
      <c r="M326" s="954"/>
      <c r="N326" s="954"/>
      <c r="O326" s="954"/>
      <c r="P326" s="954"/>
      <c r="Q326" s="954"/>
      <c r="R326" s="954"/>
      <c r="S326" s="954"/>
      <c r="T326" s="954"/>
      <c r="U326" s="954"/>
    </row>
    <row r="327" spans="1:21" s="933" customFormat="1" ht="24" customHeight="1">
      <c r="A327" s="928"/>
      <c r="B327" s="976" t="s">
        <v>881</v>
      </c>
      <c r="C327" s="976"/>
      <c r="D327" s="976"/>
      <c r="E327" s="978"/>
      <c r="F327" s="974"/>
      <c r="G327" s="969"/>
      <c r="H327" s="930"/>
      <c r="I327" s="970"/>
      <c r="J327" s="930"/>
      <c r="K327" s="931"/>
      <c r="L327" s="971"/>
      <c r="M327" s="954"/>
      <c r="N327" s="954"/>
      <c r="O327" s="954"/>
      <c r="P327" s="954"/>
      <c r="Q327" s="954"/>
      <c r="R327" s="954"/>
      <c r="S327" s="954"/>
      <c r="T327" s="954"/>
      <c r="U327" s="954"/>
    </row>
    <row r="328" spans="1:21" s="933" customFormat="1" ht="24" customHeight="1">
      <c r="A328" s="928"/>
      <c r="B328" s="1021"/>
      <c r="C328" s="976"/>
      <c r="D328" s="976"/>
      <c r="E328" s="985"/>
      <c r="F328" s="974"/>
      <c r="G328" s="969"/>
      <c r="H328" s="930"/>
      <c r="I328" s="970"/>
      <c r="J328" s="930"/>
      <c r="K328" s="931"/>
      <c r="L328" s="971"/>
      <c r="M328" s="954"/>
      <c r="N328" s="954"/>
      <c r="O328" s="954"/>
      <c r="P328" s="954"/>
      <c r="Q328" s="954"/>
      <c r="R328" s="954"/>
      <c r="S328" s="954"/>
      <c r="T328" s="954"/>
      <c r="U328" s="954"/>
    </row>
    <row r="329" spans="1:21" s="933" customFormat="1" ht="24" customHeight="1">
      <c r="A329" s="928"/>
      <c r="B329" s="1021"/>
      <c r="C329" s="976"/>
      <c r="D329" s="976"/>
      <c r="E329" s="985"/>
      <c r="F329" s="974"/>
      <c r="G329" s="969"/>
      <c r="H329" s="930"/>
      <c r="I329" s="970"/>
      <c r="J329" s="930"/>
      <c r="K329" s="931"/>
      <c r="L329" s="971"/>
      <c r="M329" s="954"/>
      <c r="N329" s="954"/>
      <c r="O329" s="954"/>
      <c r="P329" s="954"/>
      <c r="Q329" s="954"/>
      <c r="R329" s="954"/>
      <c r="S329" s="954"/>
      <c r="T329" s="954"/>
      <c r="U329" s="954"/>
    </row>
    <row r="330" spans="1:21" s="933" customFormat="1" ht="24" customHeight="1">
      <c r="A330" s="928"/>
      <c r="B330" s="1021"/>
      <c r="C330" s="976"/>
      <c r="D330" s="976"/>
      <c r="E330" s="985"/>
      <c r="F330" s="974"/>
      <c r="G330" s="969"/>
      <c r="H330" s="930"/>
      <c r="I330" s="970"/>
      <c r="J330" s="930"/>
      <c r="K330" s="931"/>
      <c r="L330" s="971"/>
      <c r="M330" s="954"/>
      <c r="N330" s="954"/>
      <c r="O330" s="954"/>
      <c r="P330" s="954"/>
      <c r="Q330" s="954"/>
      <c r="R330" s="954"/>
      <c r="S330" s="954"/>
      <c r="T330" s="954"/>
      <c r="U330" s="954"/>
    </row>
    <row r="331" spans="1:21" s="933" customFormat="1" ht="24" customHeight="1">
      <c r="A331" s="928"/>
      <c r="B331" s="1021"/>
      <c r="C331" s="976"/>
      <c r="D331" s="976"/>
      <c r="E331" s="985"/>
      <c r="F331" s="974"/>
      <c r="G331" s="969"/>
      <c r="H331" s="930"/>
      <c r="I331" s="970"/>
      <c r="J331" s="930"/>
      <c r="K331" s="931"/>
      <c r="L331" s="971"/>
      <c r="M331" s="954"/>
      <c r="N331" s="954"/>
      <c r="O331" s="954"/>
      <c r="P331" s="954"/>
      <c r="Q331" s="954"/>
      <c r="R331" s="954"/>
      <c r="S331" s="954"/>
      <c r="T331" s="954"/>
      <c r="U331" s="954"/>
    </row>
    <row r="332" spans="1:21" s="933" customFormat="1" ht="24" customHeight="1">
      <c r="A332" s="928"/>
      <c r="B332" s="1021"/>
      <c r="C332" s="976"/>
      <c r="D332" s="976"/>
      <c r="E332" s="985"/>
      <c r="F332" s="974"/>
      <c r="G332" s="969"/>
      <c r="H332" s="930"/>
      <c r="I332" s="970"/>
      <c r="J332" s="930"/>
      <c r="K332" s="931"/>
      <c r="L332" s="971"/>
      <c r="M332" s="954"/>
      <c r="N332" s="954"/>
      <c r="O332" s="954"/>
      <c r="P332" s="954"/>
      <c r="Q332" s="954"/>
      <c r="R332" s="954"/>
      <c r="S332" s="954"/>
      <c r="T332" s="954"/>
      <c r="U332" s="954"/>
    </row>
    <row r="333" spans="1:21" s="933" customFormat="1" ht="24" customHeight="1">
      <c r="A333" s="928"/>
      <c r="B333" s="1021"/>
      <c r="C333" s="976"/>
      <c r="D333" s="976"/>
      <c r="E333" s="985"/>
      <c r="F333" s="974"/>
      <c r="G333" s="969"/>
      <c r="H333" s="930"/>
      <c r="I333" s="970"/>
      <c r="J333" s="930"/>
      <c r="K333" s="931"/>
      <c r="L333" s="971"/>
      <c r="M333" s="954"/>
      <c r="N333" s="954"/>
      <c r="O333" s="954"/>
      <c r="P333" s="954"/>
      <c r="Q333" s="954"/>
      <c r="R333" s="954"/>
      <c r="S333" s="954"/>
      <c r="T333" s="954"/>
      <c r="U333" s="954"/>
    </row>
    <row r="334" spans="1:21" s="933" customFormat="1" ht="24" customHeight="1">
      <c r="A334" s="928"/>
      <c r="B334" s="1021"/>
      <c r="C334" s="976"/>
      <c r="D334" s="976"/>
      <c r="E334" s="985"/>
      <c r="F334" s="974"/>
      <c r="G334" s="969"/>
      <c r="H334" s="930"/>
      <c r="I334" s="970"/>
      <c r="J334" s="930"/>
      <c r="K334" s="931"/>
      <c r="L334" s="971"/>
      <c r="M334" s="954"/>
      <c r="N334" s="954"/>
      <c r="O334" s="954"/>
      <c r="P334" s="954"/>
      <c r="Q334" s="954"/>
      <c r="R334" s="954"/>
      <c r="S334" s="954"/>
      <c r="T334" s="954"/>
      <c r="U334" s="954"/>
    </row>
    <row r="335" spans="1:21" s="933" customFormat="1" ht="24" customHeight="1">
      <c r="A335" s="928"/>
      <c r="B335" s="1021"/>
      <c r="C335" s="976"/>
      <c r="D335" s="976"/>
      <c r="E335" s="985"/>
      <c r="F335" s="974"/>
      <c r="G335" s="969"/>
      <c r="H335" s="930"/>
      <c r="I335" s="970"/>
      <c r="J335" s="930"/>
      <c r="K335" s="931"/>
      <c r="L335" s="971"/>
      <c r="M335" s="954"/>
      <c r="N335" s="954"/>
      <c r="O335" s="954"/>
      <c r="P335" s="954"/>
      <c r="Q335" s="954"/>
      <c r="R335" s="954"/>
      <c r="S335" s="954"/>
      <c r="T335" s="954"/>
      <c r="U335" s="954"/>
    </row>
    <row r="336" spans="1:21" s="933" customFormat="1" ht="24" customHeight="1">
      <c r="A336" s="1026" t="s">
        <v>904</v>
      </c>
      <c r="B336" s="1027" t="s">
        <v>905</v>
      </c>
      <c r="C336" s="976"/>
      <c r="D336" s="976"/>
      <c r="E336" s="985"/>
      <c r="F336" s="974"/>
      <c r="G336" s="969"/>
      <c r="H336" s="930"/>
      <c r="I336" s="970"/>
      <c r="J336" s="930"/>
      <c r="K336" s="931"/>
      <c r="L336" s="971"/>
      <c r="M336" s="954"/>
      <c r="N336" s="954"/>
      <c r="O336" s="954"/>
      <c r="P336" s="954"/>
      <c r="Q336" s="954"/>
      <c r="R336" s="954"/>
      <c r="S336" s="954"/>
      <c r="T336" s="954"/>
      <c r="U336" s="954"/>
    </row>
    <row r="337" spans="1:21" s="933" customFormat="1" ht="24" customHeight="1">
      <c r="A337" s="928"/>
      <c r="B337" s="976" t="s">
        <v>864</v>
      </c>
      <c r="C337" s="977"/>
      <c r="D337" s="977"/>
      <c r="E337" s="978">
        <v>17.1828</v>
      </c>
      <c r="F337" s="974" t="s">
        <v>865</v>
      </c>
      <c r="G337" s="969">
        <v>2516</v>
      </c>
      <c r="H337" s="930">
        <f t="shared" ref="H337:H351" si="74">ROUND(E337*G337,2)</f>
        <v>43231.92</v>
      </c>
      <c r="I337" s="970">
        <v>485</v>
      </c>
      <c r="J337" s="930">
        <f t="shared" ref="J337:J351" si="75">ROUND(E337*I337,2)</f>
        <v>8333.66</v>
      </c>
      <c r="K337" s="931">
        <f t="shared" ref="K337:K351" si="76">H337+J337</f>
        <v>51565.58</v>
      </c>
      <c r="L337" s="971"/>
      <c r="M337" s="954"/>
      <c r="N337" s="954"/>
      <c r="O337" s="954"/>
      <c r="P337" s="954"/>
      <c r="Q337" s="954"/>
      <c r="R337" s="954"/>
      <c r="S337" s="954"/>
      <c r="T337" s="954"/>
      <c r="U337" s="954"/>
    </row>
    <row r="338" spans="1:21" s="933" customFormat="1" ht="24" customHeight="1">
      <c r="A338" s="928"/>
      <c r="B338" s="979" t="s">
        <v>866</v>
      </c>
      <c r="C338" s="976"/>
      <c r="D338" s="976"/>
      <c r="E338" s="978"/>
      <c r="F338" s="974"/>
      <c r="G338" s="969"/>
      <c r="H338" s="930"/>
      <c r="I338" s="970"/>
      <c r="J338" s="930"/>
      <c r="K338" s="931"/>
      <c r="L338" s="971"/>
      <c r="M338" s="954"/>
      <c r="N338" s="954"/>
      <c r="O338" s="954"/>
      <c r="P338" s="954"/>
      <c r="Q338" s="954"/>
      <c r="R338" s="954"/>
      <c r="S338" s="954"/>
      <c r="T338" s="954"/>
      <c r="U338" s="954"/>
    </row>
    <row r="339" spans="1:21" s="933" customFormat="1" ht="24" customHeight="1">
      <c r="A339" s="928"/>
      <c r="B339" s="979"/>
      <c r="C339" s="976" t="s">
        <v>867</v>
      </c>
      <c r="D339" s="976"/>
      <c r="E339" s="978">
        <f>E340/2</f>
        <v>58.164000000000001</v>
      </c>
      <c r="F339" s="974" t="s">
        <v>34</v>
      </c>
      <c r="G339" s="969">
        <v>661.62</v>
      </c>
      <c r="H339" s="930">
        <f t="shared" si="74"/>
        <v>38482.47</v>
      </c>
      <c r="I339" s="970"/>
      <c r="J339" s="930">
        <f t="shared" si="75"/>
        <v>0</v>
      </c>
      <c r="K339" s="931">
        <f t="shared" si="76"/>
        <v>38482.47</v>
      </c>
      <c r="L339" s="971"/>
      <c r="M339" s="954"/>
      <c r="N339" s="954"/>
      <c r="O339" s="954"/>
      <c r="P339" s="954"/>
      <c r="Q339" s="954"/>
      <c r="R339" s="954"/>
      <c r="S339" s="954"/>
      <c r="T339" s="954"/>
      <c r="U339" s="954"/>
    </row>
    <row r="340" spans="1:21" s="933" customFormat="1" ht="24" customHeight="1">
      <c r="A340" s="928"/>
      <c r="B340" s="979"/>
      <c r="C340" s="976" t="s">
        <v>868</v>
      </c>
      <c r="D340" s="976"/>
      <c r="E340" s="978">
        <v>116.328</v>
      </c>
      <c r="F340" s="974" t="s">
        <v>34</v>
      </c>
      <c r="G340" s="969"/>
      <c r="H340" s="930">
        <f t="shared" si="74"/>
        <v>0</v>
      </c>
      <c r="I340" s="970">
        <v>154</v>
      </c>
      <c r="J340" s="930">
        <f t="shared" si="75"/>
        <v>17914.509999999998</v>
      </c>
      <c r="K340" s="931">
        <f t="shared" si="76"/>
        <v>17914.509999999998</v>
      </c>
      <c r="L340" s="971"/>
      <c r="M340" s="954"/>
      <c r="N340" s="954"/>
      <c r="O340" s="954"/>
      <c r="P340" s="954"/>
      <c r="Q340" s="954"/>
      <c r="R340" s="954"/>
      <c r="S340" s="954"/>
      <c r="T340" s="954"/>
      <c r="U340" s="954"/>
    </row>
    <row r="341" spans="1:21" s="933" customFormat="1" ht="24" customHeight="1">
      <c r="A341" s="928"/>
      <c r="B341" s="976" t="s">
        <v>869</v>
      </c>
      <c r="C341" s="976"/>
      <c r="D341" s="976"/>
      <c r="E341" s="978">
        <f>(E340*0.25)</f>
        <v>29.082000000000001</v>
      </c>
      <c r="F341" s="974" t="s">
        <v>870</v>
      </c>
      <c r="G341" s="969">
        <f t="shared" ref="G341" si="77">VLOOKUP(B341,$O$43:$P$53,2,FALSE)</f>
        <v>29.94</v>
      </c>
      <c r="H341" s="930">
        <f t="shared" si="74"/>
        <v>870.72</v>
      </c>
      <c r="I341" s="970"/>
      <c r="J341" s="930">
        <f t="shared" si="75"/>
        <v>0</v>
      </c>
      <c r="K341" s="931">
        <f t="shared" si="76"/>
        <v>870.72</v>
      </c>
      <c r="L341" s="971"/>
      <c r="M341" s="954"/>
      <c r="N341" s="954"/>
      <c r="O341" s="954"/>
      <c r="P341" s="954"/>
      <c r="Q341" s="954"/>
      <c r="R341" s="954"/>
      <c r="S341" s="954"/>
      <c r="T341" s="954"/>
      <c r="U341" s="954"/>
    </row>
    <row r="342" spans="1:21" s="933" customFormat="1" ht="24" customHeight="1">
      <c r="A342" s="928"/>
      <c r="B342" s="976" t="s">
        <v>871</v>
      </c>
      <c r="C342" s="976"/>
      <c r="D342" s="976"/>
      <c r="E342" s="978"/>
      <c r="F342" s="982"/>
      <c r="G342" s="983"/>
      <c r="H342" s="930"/>
      <c r="I342" s="970"/>
      <c r="J342" s="930"/>
      <c r="K342" s="931"/>
      <c r="L342" s="971"/>
      <c r="M342" s="954"/>
      <c r="N342" s="954"/>
      <c r="O342" s="954"/>
      <c r="P342" s="954"/>
      <c r="Q342" s="954"/>
      <c r="R342" s="954"/>
      <c r="S342" s="954"/>
      <c r="T342" s="954"/>
      <c r="U342" s="954"/>
    </row>
    <row r="343" spans="1:21" s="933" customFormat="1" ht="24" customHeight="1">
      <c r="A343" s="928"/>
      <c r="B343" s="976" t="s">
        <v>872</v>
      </c>
      <c r="C343" s="976"/>
      <c r="D343" s="976"/>
      <c r="E343" s="978"/>
      <c r="F343" s="974" t="s">
        <v>870</v>
      </c>
      <c r="G343" s="969">
        <f t="shared" ref="G343:G351" si="78">VLOOKUP(B343,$O$43:$P$53,2,FALSE)</f>
        <v>25.73</v>
      </c>
      <c r="H343" s="930">
        <f t="shared" si="74"/>
        <v>0</v>
      </c>
      <c r="I343" s="984">
        <v>4.0999999999999996</v>
      </c>
      <c r="J343" s="930">
        <f t="shared" si="75"/>
        <v>0</v>
      </c>
      <c r="K343" s="931">
        <f t="shared" si="76"/>
        <v>0</v>
      </c>
      <c r="L343" s="971"/>
      <c r="M343" s="954"/>
      <c r="N343" s="954"/>
      <c r="O343" s="954"/>
      <c r="P343" s="954"/>
      <c r="Q343" s="954"/>
      <c r="R343" s="954"/>
      <c r="S343" s="954"/>
      <c r="T343" s="954"/>
      <c r="U343" s="954"/>
    </row>
    <row r="344" spans="1:21" s="933" customFormat="1" ht="24" customHeight="1">
      <c r="A344" s="928"/>
      <c r="B344" s="976" t="s">
        <v>873</v>
      </c>
      <c r="C344" s="976"/>
      <c r="D344" s="976"/>
      <c r="E344" s="978">
        <v>884.53</v>
      </c>
      <c r="F344" s="974" t="s">
        <v>870</v>
      </c>
      <c r="G344" s="969">
        <f t="shared" si="78"/>
        <v>24.97</v>
      </c>
      <c r="H344" s="930">
        <f t="shared" si="74"/>
        <v>22086.71</v>
      </c>
      <c r="I344" s="970">
        <v>4.0999999999999996</v>
      </c>
      <c r="J344" s="930">
        <f t="shared" si="75"/>
        <v>3626.57</v>
      </c>
      <c r="K344" s="931">
        <f t="shared" si="76"/>
        <v>25713.279999999999</v>
      </c>
      <c r="L344" s="971"/>
      <c r="M344" s="954"/>
      <c r="N344" s="954"/>
      <c r="O344" s="954"/>
      <c r="P344" s="954"/>
      <c r="Q344" s="954"/>
      <c r="R344" s="954"/>
      <c r="S344" s="954"/>
      <c r="T344" s="954"/>
      <c r="U344" s="954"/>
    </row>
    <row r="345" spans="1:21" s="933" customFormat="1" ht="24" customHeight="1">
      <c r="A345" s="928"/>
      <c r="B345" s="976" t="s">
        <v>874</v>
      </c>
      <c r="C345" s="976"/>
      <c r="D345" s="976"/>
      <c r="E345" s="978">
        <v>1011.72</v>
      </c>
      <c r="F345" s="974" t="s">
        <v>870</v>
      </c>
      <c r="G345" s="969">
        <f t="shared" si="78"/>
        <v>24.47</v>
      </c>
      <c r="H345" s="930">
        <f t="shared" si="74"/>
        <v>24756.79</v>
      </c>
      <c r="I345" s="970">
        <v>3.3</v>
      </c>
      <c r="J345" s="930">
        <f t="shared" si="75"/>
        <v>3338.68</v>
      </c>
      <c r="K345" s="931">
        <f t="shared" si="76"/>
        <v>28095.47</v>
      </c>
      <c r="L345" s="971"/>
      <c r="M345" s="954"/>
      <c r="N345" s="954"/>
      <c r="O345" s="954"/>
      <c r="P345" s="954"/>
      <c r="Q345" s="954"/>
      <c r="R345" s="954"/>
      <c r="S345" s="954"/>
      <c r="T345" s="954"/>
      <c r="U345" s="954"/>
    </row>
    <row r="346" spans="1:21" s="933" customFormat="1" ht="24" customHeight="1">
      <c r="A346" s="928"/>
      <c r="B346" s="976" t="s">
        <v>875</v>
      </c>
      <c r="C346" s="976"/>
      <c r="D346" s="976"/>
      <c r="E346" s="978">
        <v>584.02</v>
      </c>
      <c r="F346" s="982" t="s">
        <v>870</v>
      </c>
      <c r="G346" s="969">
        <f t="shared" si="78"/>
        <v>24.27</v>
      </c>
      <c r="H346" s="930">
        <f t="shared" si="74"/>
        <v>14174.17</v>
      </c>
      <c r="I346" s="970">
        <v>3.3</v>
      </c>
      <c r="J346" s="930">
        <f t="shared" si="75"/>
        <v>1927.27</v>
      </c>
      <c r="K346" s="931">
        <f t="shared" si="76"/>
        <v>16101.44</v>
      </c>
      <c r="L346" s="971"/>
      <c r="M346" s="954"/>
      <c r="N346" s="954"/>
      <c r="O346" s="954"/>
      <c r="P346" s="954"/>
      <c r="Q346" s="954"/>
      <c r="R346" s="954"/>
      <c r="S346" s="954"/>
      <c r="T346" s="954"/>
      <c r="U346" s="954"/>
    </row>
    <row r="347" spans="1:21" s="933" customFormat="1" ht="24" customHeight="1">
      <c r="A347" s="928"/>
      <c r="B347" s="976" t="s">
        <v>876</v>
      </c>
      <c r="C347" s="976"/>
      <c r="D347" s="976"/>
      <c r="E347" s="978"/>
      <c r="F347" s="974" t="s">
        <v>870</v>
      </c>
      <c r="G347" s="969">
        <f t="shared" si="78"/>
        <v>24.27</v>
      </c>
      <c r="H347" s="930">
        <f t="shared" si="74"/>
        <v>0</v>
      </c>
      <c r="I347" s="970">
        <v>2.9</v>
      </c>
      <c r="J347" s="930">
        <f t="shared" si="75"/>
        <v>0</v>
      </c>
      <c r="K347" s="931">
        <f t="shared" si="76"/>
        <v>0</v>
      </c>
      <c r="L347" s="971"/>
      <c r="M347" s="954"/>
      <c r="N347" s="954"/>
      <c r="O347" s="954"/>
      <c r="P347" s="954"/>
      <c r="Q347" s="954"/>
      <c r="R347" s="954"/>
      <c r="S347" s="954"/>
      <c r="T347" s="954"/>
      <c r="U347" s="954"/>
    </row>
    <row r="348" spans="1:21" s="933" customFormat="1" ht="24" customHeight="1">
      <c r="A348" s="928"/>
      <c r="B348" s="976" t="s">
        <v>877</v>
      </c>
      <c r="C348" s="976"/>
      <c r="D348" s="976"/>
      <c r="E348" s="978"/>
      <c r="F348" s="974" t="s">
        <v>870</v>
      </c>
      <c r="G348" s="969">
        <f t="shared" si="78"/>
        <v>24.27</v>
      </c>
      <c r="H348" s="930">
        <f t="shared" si="74"/>
        <v>0</v>
      </c>
      <c r="I348" s="970">
        <v>2.9</v>
      </c>
      <c r="J348" s="930">
        <f t="shared" si="75"/>
        <v>0</v>
      </c>
      <c r="K348" s="931">
        <f t="shared" si="76"/>
        <v>0</v>
      </c>
      <c r="L348" s="971"/>
      <c r="M348" s="954"/>
      <c r="N348" s="954"/>
      <c r="O348" s="954"/>
      <c r="P348" s="954"/>
      <c r="Q348" s="954"/>
      <c r="R348" s="954"/>
      <c r="S348" s="954"/>
      <c r="T348" s="954"/>
      <c r="U348" s="954"/>
    </row>
    <row r="349" spans="1:21" s="933" customFormat="1" ht="24" customHeight="1">
      <c r="A349" s="928"/>
      <c r="B349" s="976" t="s">
        <v>878</v>
      </c>
      <c r="C349" s="976"/>
      <c r="D349" s="976"/>
      <c r="E349" s="978"/>
      <c r="F349" s="974" t="s">
        <v>870</v>
      </c>
      <c r="G349" s="969">
        <f t="shared" si="78"/>
        <v>24.27</v>
      </c>
      <c r="H349" s="930">
        <f t="shared" si="74"/>
        <v>0</v>
      </c>
      <c r="I349" s="970">
        <v>2.9</v>
      </c>
      <c r="J349" s="930">
        <f t="shared" si="75"/>
        <v>0</v>
      </c>
      <c r="K349" s="931">
        <f t="shared" si="76"/>
        <v>0</v>
      </c>
      <c r="L349" s="971"/>
      <c r="M349" s="954"/>
      <c r="N349" s="954"/>
      <c r="O349" s="954"/>
      <c r="P349" s="954"/>
      <c r="Q349" s="954"/>
      <c r="R349" s="954"/>
      <c r="S349" s="954"/>
      <c r="T349" s="954"/>
      <c r="U349" s="954"/>
    </row>
    <row r="350" spans="1:21" s="933" customFormat="1" ht="24" customHeight="1">
      <c r="A350" s="928"/>
      <c r="B350" s="976" t="s">
        <v>879</v>
      </c>
      <c r="C350" s="976"/>
      <c r="D350" s="976"/>
      <c r="E350" s="978"/>
      <c r="F350" s="974" t="s">
        <v>870</v>
      </c>
      <c r="G350" s="969">
        <f t="shared" si="78"/>
        <v>23.8</v>
      </c>
      <c r="H350" s="930">
        <f t="shared" si="74"/>
        <v>0</v>
      </c>
      <c r="I350" s="970">
        <v>2.9</v>
      </c>
      <c r="J350" s="930">
        <f t="shared" si="75"/>
        <v>0</v>
      </c>
      <c r="K350" s="931">
        <f t="shared" si="76"/>
        <v>0</v>
      </c>
      <c r="L350" s="971"/>
      <c r="M350" s="954"/>
      <c r="N350" s="954"/>
      <c r="O350" s="954"/>
      <c r="P350" s="954"/>
      <c r="Q350" s="954"/>
      <c r="R350" s="954"/>
      <c r="S350" s="954"/>
      <c r="T350" s="954"/>
      <c r="U350" s="954"/>
    </row>
    <row r="351" spans="1:21" s="933" customFormat="1" ht="24" customHeight="1">
      <c r="A351" s="928"/>
      <c r="B351" s="976" t="s">
        <v>880</v>
      </c>
      <c r="C351" s="976"/>
      <c r="D351" s="976"/>
      <c r="E351" s="978">
        <f>(SUM(E343:E350)/1000)*30</f>
        <v>74.408100000000005</v>
      </c>
      <c r="F351" s="974" t="s">
        <v>870</v>
      </c>
      <c r="G351" s="969">
        <f t="shared" si="78"/>
        <v>29.92</v>
      </c>
      <c r="H351" s="930">
        <f t="shared" si="74"/>
        <v>2226.29</v>
      </c>
      <c r="I351" s="970"/>
      <c r="J351" s="930">
        <f t="shared" si="75"/>
        <v>0</v>
      </c>
      <c r="K351" s="931">
        <f t="shared" si="76"/>
        <v>2226.29</v>
      </c>
      <c r="L351" s="971"/>
      <c r="M351" s="954"/>
      <c r="N351" s="954"/>
      <c r="O351" s="954"/>
      <c r="P351" s="954"/>
      <c r="Q351" s="954"/>
      <c r="R351" s="954"/>
      <c r="S351" s="954"/>
      <c r="T351" s="954"/>
      <c r="U351" s="954"/>
    </row>
    <row r="352" spans="1:21" s="933" customFormat="1" ht="24" customHeight="1">
      <c r="A352" s="928"/>
      <c r="B352" s="976" t="s">
        <v>881</v>
      </c>
      <c r="C352" s="976"/>
      <c r="D352" s="976"/>
      <c r="E352" s="978"/>
      <c r="F352" s="974"/>
      <c r="G352" s="969"/>
      <c r="H352" s="930"/>
      <c r="I352" s="970"/>
      <c r="J352" s="930"/>
      <c r="K352" s="931"/>
      <c r="L352" s="971"/>
      <c r="M352" s="954"/>
      <c r="N352" s="954"/>
      <c r="O352" s="954"/>
      <c r="P352" s="954"/>
      <c r="Q352" s="954"/>
      <c r="R352" s="954"/>
      <c r="S352" s="954"/>
      <c r="T352" s="954"/>
      <c r="U352" s="954"/>
    </row>
    <row r="353" spans="1:21" s="933" customFormat="1" ht="24" customHeight="1">
      <c r="A353" s="928"/>
      <c r="B353" s="1021"/>
      <c r="C353" s="972"/>
      <c r="D353" s="976"/>
      <c r="E353" s="985"/>
      <c r="F353" s="974"/>
      <c r="G353" s="969"/>
      <c r="H353" s="930"/>
      <c r="I353" s="970"/>
      <c r="J353" s="930"/>
      <c r="K353" s="931"/>
      <c r="L353" s="971"/>
      <c r="M353" s="954"/>
      <c r="N353" s="954"/>
      <c r="O353" s="954"/>
      <c r="P353" s="954"/>
      <c r="Q353" s="954"/>
      <c r="R353" s="954"/>
      <c r="S353" s="954"/>
      <c r="T353" s="954"/>
      <c r="U353" s="954"/>
    </row>
    <row r="354" spans="1:21" s="933" customFormat="1" ht="24" customHeight="1">
      <c r="A354" s="928"/>
      <c r="B354" s="1021"/>
      <c r="C354" s="972"/>
      <c r="D354" s="976"/>
      <c r="E354" s="985"/>
      <c r="F354" s="974"/>
      <c r="G354" s="969"/>
      <c r="H354" s="930"/>
      <c r="I354" s="970"/>
      <c r="J354" s="930"/>
      <c r="K354" s="931"/>
      <c r="L354" s="971"/>
      <c r="M354" s="954"/>
      <c r="N354" s="954"/>
      <c r="O354" s="954"/>
      <c r="P354" s="954"/>
      <c r="Q354" s="954"/>
      <c r="R354" s="954"/>
      <c r="S354" s="954"/>
      <c r="T354" s="954"/>
      <c r="U354" s="954"/>
    </row>
    <row r="355" spans="1:21" s="933" customFormat="1" ht="24" customHeight="1">
      <c r="A355" s="928"/>
      <c r="B355" s="1021"/>
      <c r="C355" s="972"/>
      <c r="D355" s="976"/>
      <c r="E355" s="985"/>
      <c r="F355" s="974"/>
      <c r="G355" s="969"/>
      <c r="H355" s="930"/>
      <c r="I355" s="970"/>
      <c r="J355" s="930"/>
      <c r="K355" s="931"/>
      <c r="L355" s="971"/>
      <c r="M355" s="954"/>
      <c r="N355" s="954"/>
      <c r="O355" s="954"/>
      <c r="P355" s="954"/>
      <c r="Q355" s="954"/>
      <c r="R355" s="954"/>
      <c r="S355" s="954"/>
      <c r="T355" s="954"/>
      <c r="U355" s="954"/>
    </row>
    <row r="356" spans="1:21" s="933" customFormat="1" ht="24" customHeight="1">
      <c r="A356" s="928"/>
      <c r="B356" s="1021"/>
      <c r="C356" s="972"/>
      <c r="D356" s="976"/>
      <c r="E356" s="985"/>
      <c r="F356" s="974"/>
      <c r="G356" s="969"/>
      <c r="H356" s="930"/>
      <c r="I356" s="970"/>
      <c r="J356" s="930"/>
      <c r="K356" s="931"/>
      <c r="L356" s="971"/>
      <c r="M356" s="954"/>
      <c r="N356" s="954"/>
      <c r="O356" s="954"/>
      <c r="P356" s="954"/>
      <c r="Q356" s="954"/>
      <c r="R356" s="954"/>
      <c r="S356" s="954"/>
      <c r="T356" s="954"/>
      <c r="U356" s="954"/>
    </row>
    <row r="357" spans="1:21" s="933" customFormat="1" ht="24" customHeight="1">
      <c r="A357" s="998"/>
      <c r="B357" s="976"/>
      <c r="C357" s="976"/>
      <c r="D357" s="976"/>
      <c r="E357" s="985"/>
      <c r="F357" s="974"/>
      <c r="G357" s="969"/>
      <c r="H357" s="930"/>
      <c r="I357" s="970"/>
      <c r="J357" s="930"/>
      <c r="K357" s="931"/>
      <c r="L357" s="971"/>
      <c r="M357" s="954"/>
      <c r="N357" s="954"/>
      <c r="O357" s="954"/>
      <c r="P357" s="954"/>
      <c r="Q357" s="954"/>
      <c r="R357" s="954"/>
      <c r="S357" s="954"/>
      <c r="T357" s="954"/>
      <c r="U357" s="954"/>
    </row>
    <row r="358" spans="1:21" s="933" customFormat="1" ht="24" customHeight="1">
      <c r="A358" s="998"/>
      <c r="B358" s="976"/>
      <c r="C358" s="976"/>
      <c r="D358" s="976"/>
      <c r="E358" s="985"/>
      <c r="F358" s="974"/>
      <c r="G358" s="969"/>
      <c r="H358" s="930"/>
      <c r="I358" s="970"/>
      <c r="J358" s="930"/>
      <c r="K358" s="931"/>
      <c r="L358" s="971"/>
      <c r="M358" s="954"/>
      <c r="N358" s="954"/>
      <c r="O358" s="954"/>
      <c r="P358" s="954"/>
      <c r="Q358" s="954"/>
      <c r="R358" s="954"/>
      <c r="S358" s="954"/>
      <c r="T358" s="954"/>
      <c r="U358" s="954"/>
    </row>
    <row r="359" spans="1:21" s="933" customFormat="1" ht="24" customHeight="1">
      <c r="A359" s="993"/>
      <c r="B359" s="987"/>
      <c r="C359" s="987"/>
      <c r="D359" s="987"/>
      <c r="E359" s="988"/>
      <c r="F359" s="989"/>
      <c r="G359" s="983"/>
      <c r="H359" s="990"/>
      <c r="I359" s="984"/>
      <c r="J359" s="990"/>
      <c r="K359" s="991"/>
      <c r="L359" s="992"/>
      <c r="M359" s="954"/>
      <c r="N359" s="954"/>
      <c r="O359" s="954"/>
      <c r="P359" s="954"/>
      <c r="Q359" s="954"/>
      <c r="R359" s="954"/>
      <c r="S359" s="954"/>
      <c r="T359" s="954"/>
      <c r="U359" s="954"/>
    </row>
    <row r="360" spans="1:21" s="933" customFormat="1" ht="24" customHeight="1">
      <c r="A360" s="1014"/>
      <c r="B360" s="2226" t="str">
        <f>"รวมราคารายการที่ "&amp;A236</f>
        <v>รวมราคารายการที่ 1.3</v>
      </c>
      <c r="C360" s="2226"/>
      <c r="D360" s="2226"/>
      <c r="E360" s="1015"/>
      <c r="F360" s="1016"/>
      <c r="G360" s="1017"/>
      <c r="H360" s="1018">
        <f>ROUND(SUBTOTAL(9,H239:H359),2)</f>
        <v>18148215.59</v>
      </c>
      <c r="I360" s="1019"/>
      <c r="J360" s="1018">
        <f>ROUND(SUBTOTAL(9,J239:J359),2)</f>
        <v>3432243.11</v>
      </c>
      <c r="K360" s="1018">
        <f>ROUND(SUBTOTAL(9,K239:K359),2)</f>
        <v>21580458.699999999</v>
      </c>
      <c r="L360" s="1018"/>
      <c r="M360" s="954"/>
      <c r="N360" s="954"/>
      <c r="O360" s="954"/>
      <c r="P360" s="954"/>
      <c r="Q360" s="954"/>
      <c r="R360" s="954"/>
      <c r="S360" s="954"/>
      <c r="T360" s="954"/>
      <c r="U360" s="954"/>
    </row>
    <row r="361" spans="1:21" s="933" customFormat="1" ht="24" customHeight="1">
      <c r="A361" s="956">
        <v>1.4</v>
      </c>
      <c r="B361" s="957" t="s">
        <v>906</v>
      </c>
      <c r="C361" s="987"/>
      <c r="D361" s="987"/>
      <c r="E361" s="988"/>
      <c r="F361" s="989"/>
      <c r="G361" s="983"/>
      <c r="H361" s="990"/>
      <c r="I361" s="984"/>
      <c r="J361" s="990"/>
      <c r="K361" s="991"/>
      <c r="L361" s="992"/>
      <c r="M361" s="954"/>
      <c r="N361" s="954"/>
      <c r="O361" s="954"/>
      <c r="P361" s="954"/>
      <c r="Q361" s="954"/>
      <c r="R361" s="954"/>
      <c r="S361" s="954"/>
      <c r="T361" s="954"/>
      <c r="U361" s="954"/>
    </row>
    <row r="362" spans="1:21" s="933" customFormat="1" ht="24" customHeight="1">
      <c r="A362" s="1026"/>
      <c r="B362" s="1027"/>
      <c r="C362" s="976"/>
      <c r="D362" s="976"/>
      <c r="E362" s="985"/>
      <c r="F362" s="974"/>
      <c r="G362" s="969"/>
      <c r="H362" s="930"/>
      <c r="I362" s="970"/>
      <c r="J362" s="930"/>
      <c r="K362" s="931"/>
      <c r="L362" s="971"/>
      <c r="M362" s="954"/>
      <c r="N362" s="954"/>
      <c r="O362" s="954"/>
      <c r="P362" s="954"/>
      <c r="Q362" s="954"/>
      <c r="R362" s="954"/>
      <c r="S362" s="954"/>
      <c r="T362" s="954"/>
      <c r="U362" s="954"/>
    </row>
    <row r="363" spans="1:21" s="933" customFormat="1" ht="24" customHeight="1">
      <c r="A363" s="1026" t="s">
        <v>907</v>
      </c>
      <c r="B363" s="1027" t="s">
        <v>908</v>
      </c>
      <c r="C363" s="976"/>
      <c r="D363" s="976"/>
      <c r="E363" s="985"/>
      <c r="F363" s="974"/>
      <c r="G363" s="969"/>
      <c r="H363" s="930"/>
      <c r="I363" s="970"/>
      <c r="J363" s="930"/>
      <c r="K363" s="931"/>
      <c r="L363" s="971"/>
      <c r="M363" s="954"/>
      <c r="N363" s="954"/>
      <c r="O363" s="954"/>
      <c r="P363" s="954"/>
      <c r="Q363" s="954"/>
      <c r="R363" s="954"/>
      <c r="S363" s="954"/>
      <c r="T363" s="954"/>
      <c r="U363" s="954"/>
    </row>
    <row r="364" spans="1:21" s="933" customFormat="1" ht="24" customHeight="1">
      <c r="A364" s="1026"/>
      <c r="B364" s="976" t="s">
        <v>864</v>
      </c>
      <c r="C364" s="977"/>
      <c r="D364" s="977"/>
      <c r="E364" s="978">
        <v>1162.8800000000001</v>
      </c>
      <c r="F364" s="974" t="s">
        <v>865</v>
      </c>
      <c r="G364" s="969">
        <v>2516</v>
      </c>
      <c r="H364" s="930">
        <f t="shared" ref="H364:H379" si="79">ROUND(E364*G364,2)</f>
        <v>2925806.08</v>
      </c>
      <c r="I364" s="970">
        <v>485</v>
      </c>
      <c r="J364" s="930">
        <f t="shared" ref="J364:J379" si="80">ROUND(E364*I364,2)</f>
        <v>563996.80000000005</v>
      </c>
      <c r="K364" s="931">
        <f t="shared" ref="K364:K379" si="81">H364+J364</f>
        <v>3489802.88</v>
      </c>
      <c r="L364" s="971"/>
      <c r="M364" s="954"/>
      <c r="N364" s="954"/>
      <c r="O364" s="954"/>
      <c r="P364" s="954"/>
      <c r="Q364" s="954"/>
      <c r="R364" s="954"/>
      <c r="S364" s="954"/>
      <c r="T364" s="954"/>
      <c r="U364" s="954"/>
    </row>
    <row r="365" spans="1:21" s="933" customFormat="1" ht="24" customHeight="1">
      <c r="A365" s="1026"/>
      <c r="B365" s="979" t="s">
        <v>866</v>
      </c>
      <c r="C365" s="976"/>
      <c r="D365" s="976"/>
      <c r="E365" s="978"/>
      <c r="F365" s="974"/>
      <c r="G365" s="969"/>
      <c r="H365" s="930"/>
      <c r="I365" s="970"/>
      <c r="J365" s="930"/>
      <c r="K365" s="931"/>
      <c r="L365" s="971"/>
      <c r="M365" s="954"/>
      <c r="N365" s="954"/>
      <c r="O365" s="954"/>
      <c r="P365" s="954"/>
      <c r="Q365" s="954"/>
      <c r="R365" s="954"/>
      <c r="S365" s="954"/>
      <c r="T365" s="954"/>
      <c r="U365" s="954"/>
    </row>
    <row r="366" spans="1:21" s="933" customFormat="1" ht="24" customHeight="1">
      <c r="A366" s="1026"/>
      <c r="B366" s="979"/>
      <c r="C366" s="976" t="s">
        <v>867</v>
      </c>
      <c r="D366" s="976"/>
      <c r="E366" s="978">
        <f>E367/2</f>
        <v>2622.145</v>
      </c>
      <c r="F366" s="974" t="s">
        <v>34</v>
      </c>
      <c r="G366" s="969">
        <v>661.62</v>
      </c>
      <c r="H366" s="930">
        <f t="shared" si="79"/>
        <v>1734863.57</v>
      </c>
      <c r="I366" s="970"/>
      <c r="J366" s="930">
        <f t="shared" si="80"/>
        <v>0</v>
      </c>
      <c r="K366" s="931">
        <f t="shared" si="81"/>
        <v>1734863.57</v>
      </c>
      <c r="L366" s="971"/>
      <c r="M366" s="954"/>
      <c r="N366" s="954"/>
      <c r="O366" s="954"/>
      <c r="P366" s="954"/>
      <c r="Q366" s="954"/>
      <c r="R366" s="954"/>
      <c r="S366" s="954"/>
      <c r="T366" s="954"/>
      <c r="U366" s="954"/>
    </row>
    <row r="367" spans="1:21" s="933" customFormat="1" ht="24" customHeight="1">
      <c r="A367" s="1026"/>
      <c r="B367" s="979"/>
      <c r="C367" s="976" t="s">
        <v>868</v>
      </c>
      <c r="D367" s="976"/>
      <c r="E367" s="978">
        <v>5244.29</v>
      </c>
      <c r="F367" s="974" t="s">
        <v>34</v>
      </c>
      <c r="G367" s="969"/>
      <c r="H367" s="930">
        <f t="shared" si="79"/>
        <v>0</v>
      </c>
      <c r="I367" s="970">
        <v>154</v>
      </c>
      <c r="J367" s="930">
        <f t="shared" si="80"/>
        <v>807620.66</v>
      </c>
      <c r="K367" s="931">
        <f t="shared" si="81"/>
        <v>807620.66</v>
      </c>
      <c r="L367" s="971"/>
      <c r="M367" s="954"/>
      <c r="N367" s="954"/>
      <c r="O367" s="954"/>
      <c r="P367" s="954"/>
      <c r="Q367" s="954"/>
      <c r="R367" s="954"/>
      <c r="S367" s="954"/>
      <c r="T367" s="954"/>
      <c r="U367" s="954"/>
    </row>
    <row r="368" spans="1:21" s="933" customFormat="1" ht="24" customHeight="1">
      <c r="A368" s="1026"/>
      <c r="B368" s="976" t="s">
        <v>869</v>
      </c>
      <c r="C368" s="976"/>
      <c r="D368" s="976"/>
      <c r="E368" s="978">
        <f>(E367*0.25)</f>
        <v>1311.0725</v>
      </c>
      <c r="F368" s="974" t="s">
        <v>870</v>
      </c>
      <c r="G368" s="969">
        <f t="shared" ref="G368" si="82">VLOOKUP(B368,$O$43:$P$53,2,FALSE)</f>
        <v>29.94</v>
      </c>
      <c r="H368" s="930">
        <f t="shared" si="79"/>
        <v>39253.51</v>
      </c>
      <c r="I368" s="970"/>
      <c r="J368" s="930">
        <f t="shared" si="80"/>
        <v>0</v>
      </c>
      <c r="K368" s="931">
        <f t="shared" si="81"/>
        <v>39253.51</v>
      </c>
      <c r="L368" s="971"/>
      <c r="M368" s="954"/>
      <c r="N368" s="954"/>
      <c r="O368" s="954"/>
      <c r="P368" s="954"/>
      <c r="Q368" s="954"/>
      <c r="R368" s="954"/>
      <c r="S368" s="954"/>
      <c r="T368" s="954"/>
      <c r="U368" s="954"/>
    </row>
    <row r="369" spans="1:21" s="933" customFormat="1" ht="24" customHeight="1">
      <c r="A369" s="1026"/>
      <c r="B369" s="976" t="s">
        <v>871</v>
      </c>
      <c r="C369" s="976"/>
      <c r="D369" s="976"/>
      <c r="E369" s="978"/>
      <c r="F369" s="982"/>
      <c r="G369" s="983"/>
      <c r="H369" s="930"/>
      <c r="I369" s="970"/>
      <c r="J369" s="930"/>
      <c r="K369" s="931"/>
      <c r="L369" s="971"/>
      <c r="M369" s="954"/>
      <c r="N369" s="954"/>
      <c r="O369" s="954"/>
      <c r="P369" s="954"/>
      <c r="Q369" s="954"/>
      <c r="R369" s="954"/>
      <c r="S369" s="954"/>
      <c r="T369" s="954"/>
      <c r="U369" s="954"/>
    </row>
    <row r="370" spans="1:21" s="933" customFormat="1" ht="24" customHeight="1">
      <c r="A370" s="1026"/>
      <c r="B370" s="976" t="s">
        <v>872</v>
      </c>
      <c r="C370" s="976"/>
      <c r="D370" s="976"/>
      <c r="E370" s="978"/>
      <c r="F370" s="974" t="s">
        <v>870</v>
      </c>
      <c r="G370" s="969">
        <f t="shared" ref="G370:G378" si="83">VLOOKUP(B370,$O$43:$P$53,2,FALSE)</f>
        <v>25.73</v>
      </c>
      <c r="H370" s="930">
        <f t="shared" si="79"/>
        <v>0</v>
      </c>
      <c r="I370" s="984">
        <v>4.0999999999999996</v>
      </c>
      <c r="J370" s="930">
        <f t="shared" si="80"/>
        <v>0</v>
      </c>
      <c r="K370" s="931">
        <f t="shared" si="81"/>
        <v>0</v>
      </c>
      <c r="L370" s="971"/>
      <c r="M370" s="954"/>
      <c r="N370" s="954"/>
      <c r="O370" s="954"/>
      <c r="P370" s="954"/>
      <c r="Q370" s="954"/>
      <c r="R370" s="954"/>
      <c r="S370" s="954"/>
      <c r="T370" s="954"/>
      <c r="U370" s="954"/>
    </row>
    <row r="371" spans="1:21" s="933" customFormat="1" ht="24" customHeight="1">
      <c r="A371" s="1026"/>
      <c r="B371" s="976" t="s">
        <v>873</v>
      </c>
      <c r="C371" s="976"/>
      <c r="D371" s="976"/>
      <c r="E371" s="978">
        <v>0</v>
      </c>
      <c r="F371" s="974" t="s">
        <v>870</v>
      </c>
      <c r="G371" s="969">
        <f t="shared" si="83"/>
        <v>24.97</v>
      </c>
      <c r="H371" s="930">
        <f t="shared" si="79"/>
        <v>0</v>
      </c>
      <c r="I371" s="970">
        <v>4.0999999999999996</v>
      </c>
      <c r="J371" s="930">
        <f t="shared" si="80"/>
        <v>0</v>
      </c>
      <c r="K371" s="931">
        <f t="shared" si="81"/>
        <v>0</v>
      </c>
      <c r="L371" s="971"/>
      <c r="M371" s="954"/>
      <c r="N371" s="954"/>
      <c r="O371" s="954"/>
      <c r="P371" s="954"/>
      <c r="Q371" s="954"/>
      <c r="R371" s="954"/>
      <c r="S371" s="954"/>
      <c r="T371" s="954"/>
      <c r="U371" s="954"/>
    </row>
    <row r="372" spans="1:21" s="933" customFormat="1" ht="24" customHeight="1">
      <c r="A372" s="1026"/>
      <c r="B372" s="976" t="s">
        <v>874</v>
      </c>
      <c r="C372" s="976"/>
      <c r="D372" s="976"/>
      <c r="E372" s="978">
        <v>40738.080000000002</v>
      </c>
      <c r="F372" s="974" t="s">
        <v>870</v>
      </c>
      <c r="G372" s="969">
        <f t="shared" si="83"/>
        <v>24.47</v>
      </c>
      <c r="H372" s="930">
        <f t="shared" si="79"/>
        <v>996860.82</v>
      </c>
      <c r="I372" s="970">
        <v>3.3</v>
      </c>
      <c r="J372" s="930">
        <f t="shared" si="80"/>
        <v>134435.66</v>
      </c>
      <c r="K372" s="931">
        <f t="shared" si="81"/>
        <v>1131296.48</v>
      </c>
      <c r="L372" s="971"/>
      <c r="M372" s="954"/>
      <c r="N372" s="954"/>
      <c r="O372" s="954"/>
      <c r="P372" s="954"/>
      <c r="Q372" s="954"/>
      <c r="R372" s="954"/>
      <c r="S372" s="954"/>
      <c r="T372" s="954"/>
      <c r="U372" s="954"/>
    </row>
    <row r="373" spans="1:21" s="933" customFormat="1" ht="24" customHeight="1">
      <c r="A373" s="1026"/>
      <c r="B373" s="976" t="s">
        <v>875</v>
      </c>
      <c r="C373" s="976"/>
      <c r="D373" s="976"/>
      <c r="E373" s="978">
        <v>26435.14</v>
      </c>
      <c r="F373" s="982" t="s">
        <v>870</v>
      </c>
      <c r="G373" s="969">
        <f t="shared" si="83"/>
        <v>24.27</v>
      </c>
      <c r="H373" s="930">
        <f t="shared" si="79"/>
        <v>641580.85</v>
      </c>
      <c r="I373" s="970">
        <v>3.3</v>
      </c>
      <c r="J373" s="930">
        <f t="shared" si="80"/>
        <v>87235.96</v>
      </c>
      <c r="K373" s="931">
        <f t="shared" si="81"/>
        <v>728816.80999999994</v>
      </c>
      <c r="L373" s="971"/>
      <c r="M373" s="954"/>
      <c r="N373" s="954"/>
      <c r="O373" s="954"/>
      <c r="P373" s="954"/>
      <c r="Q373" s="954"/>
      <c r="R373" s="954"/>
      <c r="S373" s="954"/>
      <c r="T373" s="954"/>
      <c r="U373" s="954"/>
    </row>
    <row r="374" spans="1:21" s="933" customFormat="1" ht="24" customHeight="1">
      <c r="A374" s="1026"/>
      <c r="B374" s="976" t="s">
        <v>876</v>
      </c>
      <c r="C374" s="976"/>
      <c r="D374" s="976"/>
      <c r="E374" s="978">
        <v>609.58000000000004</v>
      </c>
      <c r="F374" s="974" t="s">
        <v>870</v>
      </c>
      <c r="G374" s="969">
        <f t="shared" si="83"/>
        <v>24.27</v>
      </c>
      <c r="H374" s="930">
        <f t="shared" si="79"/>
        <v>14794.51</v>
      </c>
      <c r="I374" s="970">
        <v>2.9</v>
      </c>
      <c r="J374" s="930">
        <f t="shared" si="80"/>
        <v>1767.78</v>
      </c>
      <c r="K374" s="931">
        <f t="shared" si="81"/>
        <v>16562.29</v>
      </c>
      <c r="L374" s="971"/>
      <c r="M374" s="954"/>
      <c r="N374" s="954"/>
      <c r="O374" s="954"/>
      <c r="P374" s="954"/>
      <c r="Q374" s="954"/>
      <c r="R374" s="954"/>
      <c r="S374" s="954"/>
      <c r="T374" s="954"/>
      <c r="U374" s="954"/>
    </row>
    <row r="375" spans="1:21" s="933" customFormat="1" ht="24" customHeight="1">
      <c r="A375" s="1026"/>
      <c r="B375" s="976" t="s">
        <v>877</v>
      </c>
      <c r="C375" s="976"/>
      <c r="D375" s="976"/>
      <c r="E375" s="978">
        <v>0</v>
      </c>
      <c r="F375" s="974" t="s">
        <v>870</v>
      </c>
      <c r="G375" s="969">
        <f t="shared" si="83"/>
        <v>24.27</v>
      </c>
      <c r="H375" s="930">
        <f t="shared" si="79"/>
        <v>0</v>
      </c>
      <c r="I375" s="970">
        <v>2.9</v>
      </c>
      <c r="J375" s="930">
        <f t="shared" si="80"/>
        <v>0</v>
      </c>
      <c r="K375" s="931">
        <f t="shared" si="81"/>
        <v>0</v>
      </c>
      <c r="L375" s="971"/>
      <c r="M375" s="954"/>
      <c r="N375" s="954"/>
      <c r="O375" s="954"/>
      <c r="P375" s="954"/>
      <c r="Q375" s="954"/>
      <c r="R375" s="954"/>
      <c r="S375" s="954"/>
      <c r="T375" s="954"/>
      <c r="U375" s="954"/>
    </row>
    <row r="376" spans="1:21" s="933" customFormat="1" ht="24" customHeight="1">
      <c r="A376" s="1026"/>
      <c r="B376" s="976" t="s">
        <v>878</v>
      </c>
      <c r="C376" s="976"/>
      <c r="D376" s="976"/>
      <c r="E376" s="978"/>
      <c r="F376" s="974" t="s">
        <v>870</v>
      </c>
      <c r="G376" s="969">
        <f t="shared" si="83"/>
        <v>24.27</v>
      </c>
      <c r="H376" s="930">
        <f t="shared" si="79"/>
        <v>0</v>
      </c>
      <c r="I376" s="970">
        <v>2.9</v>
      </c>
      <c r="J376" s="930">
        <f t="shared" si="80"/>
        <v>0</v>
      </c>
      <c r="K376" s="931">
        <f t="shared" si="81"/>
        <v>0</v>
      </c>
      <c r="L376" s="971"/>
      <c r="M376" s="954"/>
      <c r="N376" s="954"/>
      <c r="O376" s="954"/>
      <c r="P376" s="954"/>
      <c r="Q376" s="954"/>
      <c r="R376" s="954"/>
      <c r="S376" s="954"/>
      <c r="T376" s="954"/>
      <c r="U376" s="954"/>
    </row>
    <row r="377" spans="1:21" s="933" customFormat="1" ht="24" customHeight="1">
      <c r="A377" s="1026"/>
      <c r="B377" s="976" t="s">
        <v>879</v>
      </c>
      <c r="C377" s="976"/>
      <c r="D377" s="976"/>
      <c r="E377" s="978"/>
      <c r="F377" s="974" t="s">
        <v>870</v>
      </c>
      <c r="G377" s="969">
        <f t="shared" si="83"/>
        <v>23.8</v>
      </c>
      <c r="H377" s="930">
        <f t="shared" si="79"/>
        <v>0</v>
      </c>
      <c r="I377" s="970">
        <v>2.9</v>
      </c>
      <c r="J377" s="930">
        <f t="shared" si="80"/>
        <v>0</v>
      </c>
      <c r="K377" s="931">
        <f t="shared" si="81"/>
        <v>0</v>
      </c>
      <c r="L377" s="971"/>
      <c r="M377" s="954"/>
      <c r="N377" s="954"/>
      <c r="O377" s="954"/>
      <c r="P377" s="954"/>
      <c r="Q377" s="954"/>
      <c r="R377" s="954"/>
      <c r="S377" s="954"/>
      <c r="T377" s="954"/>
      <c r="U377" s="954"/>
    </row>
    <row r="378" spans="1:21" s="933" customFormat="1" ht="24" customHeight="1">
      <c r="A378" s="1026"/>
      <c r="B378" s="976" t="s">
        <v>880</v>
      </c>
      <c r="C378" s="976"/>
      <c r="D378" s="976"/>
      <c r="E378" s="978">
        <f>(SUM(E370:E377)/1000)*30</f>
        <v>2033.4840000000004</v>
      </c>
      <c r="F378" s="974" t="s">
        <v>870</v>
      </c>
      <c r="G378" s="969">
        <f t="shared" si="83"/>
        <v>29.92</v>
      </c>
      <c r="H378" s="930">
        <f t="shared" si="79"/>
        <v>60841.84</v>
      </c>
      <c r="I378" s="970"/>
      <c r="J378" s="930">
        <f t="shared" si="80"/>
        <v>0</v>
      </c>
      <c r="K378" s="931">
        <f t="shared" si="81"/>
        <v>60841.84</v>
      </c>
      <c r="L378" s="971"/>
      <c r="M378" s="954"/>
      <c r="N378" s="954"/>
      <c r="O378" s="954"/>
      <c r="P378" s="954"/>
      <c r="Q378" s="954"/>
      <c r="R378" s="954"/>
      <c r="S378" s="954"/>
      <c r="T378" s="954"/>
      <c r="U378" s="954"/>
    </row>
    <row r="379" spans="1:21" s="933" customFormat="1" ht="24" customHeight="1">
      <c r="A379" s="1026"/>
      <c r="B379" s="976" t="s">
        <v>888</v>
      </c>
      <c r="C379" s="976"/>
      <c r="D379" s="976"/>
      <c r="E379" s="978">
        <v>4702.95</v>
      </c>
      <c r="F379" s="974" t="s">
        <v>34</v>
      </c>
      <c r="G379" s="983">
        <v>340</v>
      </c>
      <c r="H379" s="930">
        <f t="shared" si="79"/>
        <v>1599003</v>
      </c>
      <c r="I379" s="970"/>
      <c r="J379" s="930">
        <f t="shared" si="80"/>
        <v>0</v>
      </c>
      <c r="K379" s="931">
        <f t="shared" si="81"/>
        <v>1599003</v>
      </c>
      <c r="L379" s="971"/>
      <c r="M379" s="954"/>
      <c r="N379" s="954"/>
      <c r="O379" s="954"/>
      <c r="P379" s="954"/>
      <c r="Q379" s="954"/>
      <c r="R379" s="954"/>
      <c r="S379" s="954"/>
      <c r="T379" s="954"/>
      <c r="U379" s="954"/>
    </row>
    <row r="380" spans="1:21" s="933" customFormat="1" ht="24" customHeight="1">
      <c r="A380" s="1026"/>
      <c r="B380" s="976" t="s">
        <v>881</v>
      </c>
      <c r="C380" s="976"/>
      <c r="D380" s="976"/>
      <c r="E380" s="978"/>
      <c r="F380" s="974"/>
      <c r="G380" s="969"/>
      <c r="H380" s="930"/>
      <c r="I380" s="970"/>
      <c r="J380" s="930"/>
      <c r="K380" s="931"/>
      <c r="L380" s="971"/>
      <c r="M380" s="954"/>
      <c r="N380" s="954"/>
      <c r="O380" s="954"/>
      <c r="P380" s="954"/>
      <c r="Q380" s="954"/>
      <c r="R380" s="954"/>
      <c r="S380" s="954"/>
      <c r="T380" s="954"/>
      <c r="U380" s="954"/>
    </row>
    <row r="381" spans="1:21" s="933" customFormat="1" ht="24" customHeight="1">
      <c r="A381" s="1026"/>
      <c r="B381" s="976"/>
      <c r="C381" s="976"/>
      <c r="D381" s="976"/>
      <c r="E381" s="978"/>
      <c r="F381" s="974"/>
      <c r="G381" s="969"/>
      <c r="H381" s="930"/>
      <c r="I381" s="970"/>
      <c r="J381" s="930"/>
      <c r="K381" s="931"/>
      <c r="L381" s="971"/>
      <c r="M381" s="954"/>
      <c r="N381" s="954"/>
      <c r="O381" s="954"/>
      <c r="P381" s="954"/>
      <c r="Q381" s="954"/>
      <c r="R381" s="954"/>
      <c r="S381" s="954"/>
      <c r="T381" s="954"/>
      <c r="U381" s="954"/>
    </row>
    <row r="382" spans="1:21" s="933" customFormat="1" ht="24" customHeight="1">
      <c r="A382" s="1026"/>
      <c r="B382" s="976"/>
      <c r="C382" s="976"/>
      <c r="D382" s="976"/>
      <c r="E382" s="978"/>
      <c r="F382" s="974"/>
      <c r="G382" s="969"/>
      <c r="H382" s="930"/>
      <c r="I382" s="970"/>
      <c r="J382" s="930"/>
      <c r="K382" s="931"/>
      <c r="L382" s="971"/>
      <c r="M382" s="954"/>
      <c r="N382" s="954"/>
      <c r="O382" s="954"/>
      <c r="P382" s="954"/>
      <c r="Q382" s="954"/>
      <c r="R382" s="954"/>
      <c r="S382" s="954"/>
      <c r="T382" s="954"/>
      <c r="U382" s="954"/>
    </row>
    <row r="383" spans="1:21" s="933" customFormat="1" ht="24" customHeight="1">
      <c r="A383" s="1026"/>
      <c r="B383" s="976"/>
      <c r="C383" s="976"/>
      <c r="D383" s="976"/>
      <c r="E383" s="978"/>
      <c r="F383" s="974"/>
      <c r="G383" s="969"/>
      <c r="H383" s="930"/>
      <c r="I383" s="970"/>
      <c r="J383" s="930"/>
      <c r="K383" s="931"/>
      <c r="L383" s="971"/>
      <c r="M383" s="954"/>
      <c r="N383" s="954"/>
      <c r="O383" s="954"/>
      <c r="P383" s="954"/>
      <c r="Q383" s="954"/>
      <c r="R383" s="954"/>
      <c r="S383" s="954"/>
      <c r="T383" s="954"/>
      <c r="U383" s="954"/>
    </row>
    <row r="384" spans="1:21" s="933" customFormat="1" ht="24" customHeight="1">
      <c r="A384" s="1026"/>
      <c r="B384" s="976"/>
      <c r="C384" s="976"/>
      <c r="D384" s="976"/>
      <c r="E384" s="985"/>
      <c r="F384" s="974"/>
      <c r="G384" s="969"/>
      <c r="H384" s="930"/>
      <c r="I384" s="970"/>
      <c r="J384" s="930"/>
      <c r="K384" s="931"/>
      <c r="L384" s="971"/>
      <c r="M384" s="954"/>
      <c r="N384" s="954"/>
      <c r="O384" s="954"/>
      <c r="P384" s="954"/>
      <c r="Q384" s="954"/>
      <c r="R384" s="954"/>
      <c r="S384" s="954"/>
      <c r="T384" s="954"/>
      <c r="U384" s="954"/>
    </row>
    <row r="385" spans="1:21" s="933" customFormat="1" ht="24" customHeight="1">
      <c r="A385" s="1026"/>
      <c r="B385" s="976"/>
      <c r="C385" s="976"/>
      <c r="D385" s="976"/>
      <c r="E385" s="985"/>
      <c r="F385" s="974"/>
      <c r="G385" s="969"/>
      <c r="H385" s="930"/>
      <c r="I385" s="970"/>
      <c r="J385" s="930"/>
      <c r="K385" s="931"/>
      <c r="L385" s="971"/>
      <c r="M385" s="954"/>
      <c r="N385" s="954"/>
      <c r="O385" s="954"/>
      <c r="P385" s="954"/>
      <c r="Q385" s="954"/>
      <c r="R385" s="954"/>
      <c r="S385" s="954"/>
      <c r="T385" s="954"/>
      <c r="U385" s="954"/>
    </row>
    <row r="386" spans="1:21" s="933" customFormat="1" ht="24" customHeight="1">
      <c r="A386" s="1026" t="s">
        <v>909</v>
      </c>
      <c r="B386" s="1027" t="s">
        <v>910</v>
      </c>
      <c r="C386" s="976"/>
      <c r="D386" s="976"/>
      <c r="E386" s="985"/>
      <c r="F386" s="974"/>
      <c r="G386" s="969"/>
      <c r="H386" s="930"/>
      <c r="I386" s="970"/>
      <c r="J386" s="930"/>
      <c r="K386" s="931"/>
      <c r="L386" s="971"/>
      <c r="M386" s="954"/>
      <c r="N386" s="954"/>
      <c r="O386" s="954"/>
      <c r="P386" s="954"/>
      <c r="Q386" s="954"/>
      <c r="R386" s="954"/>
      <c r="S386" s="954"/>
      <c r="T386" s="954"/>
      <c r="U386" s="954"/>
    </row>
    <row r="387" spans="1:21" s="933" customFormat="1" ht="24" customHeight="1">
      <c r="A387" s="1026"/>
      <c r="B387" s="976" t="s">
        <v>864</v>
      </c>
      <c r="C387" s="977"/>
      <c r="D387" s="977"/>
      <c r="E387" s="978">
        <v>259.02</v>
      </c>
      <c r="F387" s="974" t="s">
        <v>865</v>
      </c>
      <c r="G387" s="969">
        <v>2516</v>
      </c>
      <c r="H387" s="930">
        <f t="shared" ref="H387:H401" si="84">ROUND(E387*G387,2)</f>
        <v>651694.31999999995</v>
      </c>
      <c r="I387" s="970">
        <v>485</v>
      </c>
      <c r="J387" s="930">
        <f t="shared" ref="J387:J401" si="85">ROUND(E387*I387,2)</f>
        <v>125624.7</v>
      </c>
      <c r="K387" s="931">
        <f t="shared" ref="K387:K401" si="86">H387+J387</f>
        <v>777319.0199999999</v>
      </c>
      <c r="L387" s="971"/>
      <c r="M387" s="954"/>
      <c r="N387" s="954"/>
      <c r="O387" s="954"/>
      <c r="P387" s="954"/>
      <c r="Q387" s="954"/>
      <c r="R387" s="954"/>
      <c r="S387" s="954"/>
      <c r="T387" s="954"/>
      <c r="U387" s="954"/>
    </row>
    <row r="388" spans="1:21" s="933" customFormat="1" ht="24" customHeight="1">
      <c r="A388" s="1026"/>
      <c r="B388" s="979" t="s">
        <v>866</v>
      </c>
      <c r="C388" s="976"/>
      <c r="D388" s="976"/>
      <c r="E388" s="978"/>
      <c r="F388" s="974"/>
      <c r="G388" s="969"/>
      <c r="H388" s="930"/>
      <c r="I388" s="970"/>
      <c r="J388" s="930"/>
      <c r="K388" s="931"/>
      <c r="L388" s="971"/>
      <c r="M388" s="954"/>
      <c r="N388" s="954"/>
      <c r="O388" s="954"/>
      <c r="P388" s="954"/>
      <c r="Q388" s="954"/>
      <c r="R388" s="954"/>
      <c r="S388" s="954"/>
      <c r="T388" s="954"/>
      <c r="U388" s="954"/>
    </row>
    <row r="389" spans="1:21" s="933" customFormat="1" ht="24" customHeight="1">
      <c r="A389" s="1026"/>
      <c r="B389" s="979"/>
      <c r="C389" s="976" t="s">
        <v>867</v>
      </c>
      <c r="D389" s="976"/>
      <c r="E389" s="978">
        <f>E390/2</f>
        <v>500</v>
      </c>
      <c r="F389" s="974" t="s">
        <v>34</v>
      </c>
      <c r="G389" s="969">
        <v>661.62</v>
      </c>
      <c r="H389" s="930">
        <f t="shared" si="84"/>
        <v>330810</v>
      </c>
      <c r="I389" s="970"/>
      <c r="J389" s="930">
        <f t="shared" si="85"/>
        <v>0</v>
      </c>
      <c r="K389" s="931">
        <f t="shared" si="86"/>
        <v>330810</v>
      </c>
      <c r="L389" s="971"/>
      <c r="M389" s="954"/>
      <c r="N389" s="954"/>
      <c r="O389" s="954"/>
      <c r="P389" s="954"/>
      <c r="Q389" s="954"/>
      <c r="R389" s="954"/>
      <c r="S389" s="954"/>
      <c r="T389" s="954"/>
      <c r="U389" s="954"/>
    </row>
    <row r="390" spans="1:21" s="933" customFormat="1" ht="24" customHeight="1">
      <c r="A390" s="1026"/>
      <c r="B390" s="979"/>
      <c r="C390" s="976" t="s">
        <v>868</v>
      </c>
      <c r="D390" s="976"/>
      <c r="E390" s="978">
        <v>1000</v>
      </c>
      <c r="F390" s="974" t="s">
        <v>34</v>
      </c>
      <c r="G390" s="969"/>
      <c r="H390" s="930">
        <f t="shared" si="84"/>
        <v>0</v>
      </c>
      <c r="I390" s="970">
        <v>154</v>
      </c>
      <c r="J390" s="930">
        <f t="shared" si="85"/>
        <v>154000</v>
      </c>
      <c r="K390" s="931">
        <f t="shared" si="86"/>
        <v>154000</v>
      </c>
      <c r="L390" s="971"/>
      <c r="M390" s="954"/>
      <c r="N390" s="954"/>
      <c r="O390" s="954"/>
      <c r="P390" s="954"/>
      <c r="Q390" s="954"/>
      <c r="R390" s="954"/>
      <c r="S390" s="954"/>
      <c r="T390" s="954"/>
      <c r="U390" s="954"/>
    </row>
    <row r="391" spans="1:21" s="933" customFormat="1" ht="24" customHeight="1">
      <c r="A391" s="1026"/>
      <c r="B391" s="976" t="s">
        <v>869</v>
      </c>
      <c r="C391" s="976"/>
      <c r="D391" s="976"/>
      <c r="E391" s="978">
        <f>(E390*0.25)</f>
        <v>250</v>
      </c>
      <c r="F391" s="974" t="s">
        <v>870</v>
      </c>
      <c r="G391" s="969">
        <f t="shared" ref="G391" si="87">VLOOKUP(B391,$O$43:$P$53,2,FALSE)</f>
        <v>29.94</v>
      </c>
      <c r="H391" s="930">
        <f t="shared" si="84"/>
        <v>7485</v>
      </c>
      <c r="I391" s="970"/>
      <c r="J391" s="930">
        <f t="shared" si="85"/>
        <v>0</v>
      </c>
      <c r="K391" s="931">
        <f t="shared" si="86"/>
        <v>7485</v>
      </c>
      <c r="L391" s="971"/>
      <c r="M391" s="954"/>
      <c r="N391" s="954"/>
      <c r="O391" s="954"/>
      <c r="P391" s="954"/>
      <c r="Q391" s="954"/>
      <c r="R391" s="954"/>
      <c r="S391" s="954"/>
      <c r="T391" s="954"/>
      <c r="U391" s="954"/>
    </row>
    <row r="392" spans="1:21" s="933" customFormat="1" ht="24" customHeight="1">
      <c r="A392" s="1026"/>
      <c r="B392" s="976" t="s">
        <v>871</v>
      </c>
      <c r="C392" s="976"/>
      <c r="D392" s="976"/>
      <c r="E392" s="978"/>
      <c r="F392" s="982"/>
      <c r="G392" s="983"/>
      <c r="H392" s="930"/>
      <c r="I392" s="970"/>
      <c r="J392" s="930"/>
      <c r="K392" s="931"/>
      <c r="L392" s="971"/>
      <c r="M392" s="954"/>
      <c r="N392" s="954"/>
      <c r="O392" s="954"/>
      <c r="P392" s="954"/>
      <c r="Q392" s="954"/>
      <c r="R392" s="954"/>
      <c r="S392" s="954"/>
      <c r="T392" s="954"/>
      <c r="U392" s="954"/>
    </row>
    <row r="393" spans="1:21" s="933" customFormat="1" ht="24" customHeight="1">
      <c r="A393" s="1026"/>
      <c r="B393" s="976" t="s">
        <v>872</v>
      </c>
      <c r="C393" s="976"/>
      <c r="D393" s="976"/>
      <c r="E393" s="978"/>
      <c r="F393" s="974" t="s">
        <v>870</v>
      </c>
      <c r="G393" s="969">
        <f t="shared" ref="G393:G401" si="88">VLOOKUP(B393,$O$43:$P$53,2,FALSE)</f>
        <v>25.73</v>
      </c>
      <c r="H393" s="930">
        <f t="shared" si="84"/>
        <v>0</v>
      </c>
      <c r="I393" s="984">
        <v>4.0999999999999996</v>
      </c>
      <c r="J393" s="930">
        <f t="shared" si="85"/>
        <v>0</v>
      </c>
      <c r="K393" s="931">
        <f t="shared" si="86"/>
        <v>0</v>
      </c>
      <c r="L393" s="971"/>
      <c r="M393" s="954"/>
      <c r="N393" s="954"/>
      <c r="O393" s="954"/>
      <c r="P393" s="954"/>
      <c r="Q393" s="954"/>
      <c r="R393" s="954"/>
      <c r="S393" s="954"/>
      <c r="T393" s="954"/>
      <c r="U393" s="954"/>
    </row>
    <row r="394" spans="1:21" s="933" customFormat="1" ht="24" customHeight="1">
      <c r="A394" s="1026"/>
      <c r="B394" s="976" t="s">
        <v>873</v>
      </c>
      <c r="C394" s="976"/>
      <c r="D394" s="976"/>
      <c r="E394" s="978">
        <v>2865.34</v>
      </c>
      <c r="F394" s="974" t="s">
        <v>870</v>
      </c>
      <c r="G394" s="969">
        <f t="shared" si="88"/>
        <v>24.97</v>
      </c>
      <c r="H394" s="930">
        <f t="shared" si="84"/>
        <v>71547.539999999994</v>
      </c>
      <c r="I394" s="970">
        <v>4.0999999999999996</v>
      </c>
      <c r="J394" s="930">
        <f t="shared" si="85"/>
        <v>11747.89</v>
      </c>
      <c r="K394" s="931">
        <f t="shared" si="86"/>
        <v>83295.429999999993</v>
      </c>
      <c r="L394" s="971"/>
      <c r="M394" s="954"/>
      <c r="N394" s="954"/>
      <c r="O394" s="954"/>
      <c r="P394" s="954"/>
      <c r="Q394" s="954"/>
      <c r="R394" s="954"/>
      <c r="S394" s="954"/>
      <c r="T394" s="954"/>
      <c r="U394" s="954"/>
    </row>
    <row r="395" spans="1:21" s="933" customFormat="1" ht="24" customHeight="1">
      <c r="A395" s="1026"/>
      <c r="B395" s="976" t="s">
        <v>874</v>
      </c>
      <c r="C395" s="976"/>
      <c r="D395" s="976"/>
      <c r="E395" s="978">
        <v>38600.36</v>
      </c>
      <c r="F395" s="974" t="s">
        <v>870</v>
      </c>
      <c r="G395" s="969">
        <f t="shared" si="88"/>
        <v>24.47</v>
      </c>
      <c r="H395" s="930">
        <f t="shared" si="84"/>
        <v>944550.81</v>
      </c>
      <c r="I395" s="970">
        <v>3.3</v>
      </c>
      <c r="J395" s="930">
        <f t="shared" si="85"/>
        <v>127381.19</v>
      </c>
      <c r="K395" s="931">
        <f t="shared" si="86"/>
        <v>1071932</v>
      </c>
      <c r="L395" s="971"/>
      <c r="M395" s="954"/>
      <c r="N395" s="954"/>
      <c r="O395" s="954"/>
      <c r="P395" s="954"/>
      <c r="Q395" s="954"/>
      <c r="R395" s="954"/>
      <c r="S395" s="954"/>
      <c r="T395" s="954"/>
      <c r="U395" s="954"/>
    </row>
    <row r="396" spans="1:21" s="933" customFormat="1" ht="24" customHeight="1">
      <c r="A396" s="1026"/>
      <c r="B396" s="976" t="s">
        <v>875</v>
      </c>
      <c r="C396" s="976"/>
      <c r="D396" s="976"/>
      <c r="E396" s="978">
        <v>2215.37</v>
      </c>
      <c r="F396" s="982" t="s">
        <v>870</v>
      </c>
      <c r="G396" s="969">
        <f t="shared" si="88"/>
        <v>24.27</v>
      </c>
      <c r="H396" s="930">
        <f t="shared" si="84"/>
        <v>53767.03</v>
      </c>
      <c r="I396" s="970">
        <v>3.3</v>
      </c>
      <c r="J396" s="930">
        <f t="shared" si="85"/>
        <v>7310.72</v>
      </c>
      <c r="K396" s="931">
        <f t="shared" si="86"/>
        <v>61077.75</v>
      </c>
      <c r="L396" s="971"/>
      <c r="M396" s="954"/>
      <c r="N396" s="954"/>
      <c r="O396" s="954"/>
      <c r="P396" s="954"/>
      <c r="Q396" s="954"/>
      <c r="R396" s="954"/>
      <c r="S396" s="954"/>
      <c r="T396" s="954"/>
      <c r="U396" s="954"/>
    </row>
    <row r="397" spans="1:21" s="933" customFormat="1" ht="24" customHeight="1">
      <c r="A397" s="1026"/>
      <c r="B397" s="976" t="s">
        <v>876</v>
      </c>
      <c r="C397" s="976"/>
      <c r="D397" s="976"/>
      <c r="E397" s="978">
        <v>2493.4</v>
      </c>
      <c r="F397" s="974" t="s">
        <v>870</v>
      </c>
      <c r="G397" s="969">
        <f t="shared" si="88"/>
        <v>24.27</v>
      </c>
      <c r="H397" s="930">
        <f t="shared" si="84"/>
        <v>60514.82</v>
      </c>
      <c r="I397" s="970">
        <v>2.9</v>
      </c>
      <c r="J397" s="930">
        <f t="shared" si="85"/>
        <v>7230.86</v>
      </c>
      <c r="K397" s="931">
        <f t="shared" si="86"/>
        <v>67745.679999999993</v>
      </c>
      <c r="L397" s="971"/>
      <c r="M397" s="954"/>
      <c r="N397" s="954"/>
      <c r="O397" s="954"/>
      <c r="P397" s="954"/>
      <c r="Q397" s="954"/>
      <c r="R397" s="954"/>
      <c r="S397" s="954"/>
      <c r="T397" s="954"/>
      <c r="U397" s="954"/>
    </row>
    <row r="398" spans="1:21" s="933" customFormat="1" ht="24" customHeight="1">
      <c r="A398" s="1026"/>
      <c r="B398" s="976" t="s">
        <v>877</v>
      </c>
      <c r="C398" s="976"/>
      <c r="D398" s="976"/>
      <c r="E398" s="978">
        <v>10034.16</v>
      </c>
      <c r="F398" s="974" t="s">
        <v>870</v>
      </c>
      <c r="G398" s="969">
        <f t="shared" si="88"/>
        <v>24.27</v>
      </c>
      <c r="H398" s="930">
        <f t="shared" si="84"/>
        <v>243529.06</v>
      </c>
      <c r="I398" s="970">
        <v>2.9</v>
      </c>
      <c r="J398" s="930">
        <f t="shared" si="85"/>
        <v>29099.06</v>
      </c>
      <c r="K398" s="931">
        <f t="shared" si="86"/>
        <v>272628.12</v>
      </c>
      <c r="L398" s="971"/>
      <c r="M398" s="954"/>
      <c r="N398" s="954"/>
      <c r="O398" s="954"/>
      <c r="P398" s="954"/>
      <c r="Q398" s="954"/>
      <c r="R398" s="954"/>
      <c r="S398" s="954"/>
      <c r="T398" s="954"/>
      <c r="U398" s="954"/>
    </row>
    <row r="399" spans="1:21" s="933" customFormat="1" ht="24" customHeight="1">
      <c r="A399" s="1026"/>
      <c r="B399" s="976" t="s">
        <v>878</v>
      </c>
      <c r="C399" s="976"/>
      <c r="D399" s="976"/>
      <c r="E399" s="978">
        <v>9044.3700000000008</v>
      </c>
      <c r="F399" s="974" t="s">
        <v>870</v>
      </c>
      <c r="G399" s="969">
        <f t="shared" si="88"/>
        <v>24.27</v>
      </c>
      <c r="H399" s="930">
        <f t="shared" si="84"/>
        <v>219506.86</v>
      </c>
      <c r="I399" s="970">
        <v>2.9</v>
      </c>
      <c r="J399" s="930">
        <f t="shared" si="85"/>
        <v>26228.67</v>
      </c>
      <c r="K399" s="931">
        <f t="shared" si="86"/>
        <v>245735.52999999997</v>
      </c>
      <c r="L399" s="971"/>
      <c r="M399" s="954"/>
      <c r="N399" s="954"/>
      <c r="O399" s="954"/>
      <c r="P399" s="954"/>
      <c r="Q399" s="954"/>
      <c r="R399" s="954"/>
      <c r="S399" s="954"/>
      <c r="T399" s="954"/>
      <c r="U399" s="954"/>
    </row>
    <row r="400" spans="1:21" s="933" customFormat="1" ht="24" customHeight="1">
      <c r="A400" s="1026"/>
      <c r="B400" s="976" t="s">
        <v>879</v>
      </c>
      <c r="C400" s="976"/>
      <c r="D400" s="976"/>
      <c r="E400" s="978"/>
      <c r="F400" s="974" t="s">
        <v>870</v>
      </c>
      <c r="G400" s="969">
        <f t="shared" si="88"/>
        <v>23.8</v>
      </c>
      <c r="H400" s="930">
        <f t="shared" si="84"/>
        <v>0</v>
      </c>
      <c r="I400" s="970">
        <v>2.9</v>
      </c>
      <c r="J400" s="930">
        <f t="shared" si="85"/>
        <v>0</v>
      </c>
      <c r="K400" s="931">
        <f t="shared" si="86"/>
        <v>0</v>
      </c>
      <c r="L400" s="971"/>
      <c r="M400" s="954"/>
      <c r="N400" s="954"/>
      <c r="O400" s="954"/>
      <c r="P400" s="954"/>
      <c r="Q400" s="954"/>
      <c r="R400" s="954"/>
      <c r="S400" s="954"/>
      <c r="T400" s="954"/>
      <c r="U400" s="954"/>
    </row>
    <row r="401" spans="1:21" s="933" customFormat="1" ht="24" customHeight="1">
      <c r="A401" s="1026"/>
      <c r="B401" s="976" t="s">
        <v>880</v>
      </c>
      <c r="C401" s="976"/>
      <c r="D401" s="976"/>
      <c r="E401" s="978">
        <f>(SUM(E393:E400)/1000)*30</f>
        <v>1957.5900000000004</v>
      </c>
      <c r="F401" s="974" t="s">
        <v>870</v>
      </c>
      <c r="G401" s="969">
        <f t="shared" si="88"/>
        <v>29.92</v>
      </c>
      <c r="H401" s="930">
        <f t="shared" si="84"/>
        <v>58571.09</v>
      </c>
      <c r="I401" s="970"/>
      <c r="J401" s="930">
        <f t="shared" si="85"/>
        <v>0</v>
      </c>
      <c r="K401" s="931">
        <f t="shared" si="86"/>
        <v>58571.09</v>
      </c>
      <c r="L401" s="971"/>
      <c r="M401" s="954"/>
      <c r="N401" s="954"/>
      <c r="O401" s="954"/>
      <c r="P401" s="954"/>
      <c r="Q401" s="954"/>
      <c r="R401" s="954"/>
      <c r="S401" s="954"/>
      <c r="T401" s="954"/>
      <c r="U401" s="954"/>
    </row>
    <row r="402" spans="1:21" s="933" customFormat="1" ht="24" customHeight="1">
      <c r="A402" s="1026"/>
      <c r="B402" s="976" t="s">
        <v>881</v>
      </c>
      <c r="C402" s="976"/>
      <c r="D402" s="976"/>
      <c r="E402" s="978"/>
      <c r="F402" s="974"/>
      <c r="G402" s="969"/>
      <c r="H402" s="930"/>
      <c r="I402" s="970"/>
      <c r="J402" s="930"/>
      <c r="K402" s="931"/>
      <c r="L402" s="971"/>
      <c r="M402" s="954"/>
      <c r="N402" s="954"/>
      <c r="O402" s="954"/>
      <c r="P402" s="954"/>
      <c r="Q402" s="954"/>
      <c r="R402" s="954"/>
      <c r="S402" s="954"/>
      <c r="T402" s="954"/>
      <c r="U402" s="954"/>
    </row>
    <row r="403" spans="1:21" s="933" customFormat="1" ht="24" customHeight="1">
      <c r="A403" s="1026"/>
      <c r="B403" s="976"/>
      <c r="C403" s="972"/>
      <c r="D403" s="976"/>
      <c r="E403" s="985"/>
      <c r="F403" s="974"/>
      <c r="G403" s="969"/>
      <c r="H403" s="930"/>
      <c r="I403" s="970"/>
      <c r="J403" s="930"/>
      <c r="K403" s="931"/>
      <c r="L403" s="971"/>
      <c r="M403" s="954"/>
      <c r="N403" s="954"/>
      <c r="O403" s="954"/>
      <c r="P403" s="954"/>
      <c r="Q403" s="954"/>
      <c r="R403" s="954"/>
      <c r="S403" s="954"/>
      <c r="T403" s="954"/>
      <c r="U403" s="954"/>
    </row>
    <row r="404" spans="1:21" s="933" customFormat="1" ht="24" customHeight="1">
      <c r="A404" s="1026"/>
      <c r="B404" s="976"/>
      <c r="C404" s="976"/>
      <c r="D404" s="976"/>
      <c r="E404" s="985"/>
      <c r="F404" s="974"/>
      <c r="G404" s="969"/>
      <c r="H404" s="930"/>
      <c r="I404" s="970"/>
      <c r="J404" s="930"/>
      <c r="K404" s="931"/>
      <c r="L404" s="971"/>
      <c r="M404" s="954"/>
      <c r="N404" s="954"/>
      <c r="O404" s="954"/>
      <c r="P404" s="954"/>
      <c r="Q404" s="954"/>
      <c r="R404" s="954"/>
      <c r="S404" s="954"/>
      <c r="T404" s="954"/>
      <c r="U404" s="954"/>
    </row>
    <row r="405" spans="1:21" s="933" customFormat="1" ht="24" customHeight="1">
      <c r="A405" s="1026"/>
      <c r="B405" s="976"/>
      <c r="C405" s="976"/>
      <c r="D405" s="976"/>
      <c r="E405" s="985"/>
      <c r="F405" s="974"/>
      <c r="G405" s="969"/>
      <c r="H405" s="930"/>
      <c r="I405" s="970"/>
      <c r="J405" s="930"/>
      <c r="K405" s="931"/>
      <c r="L405" s="971"/>
      <c r="M405" s="954"/>
      <c r="N405" s="954"/>
      <c r="O405" s="954"/>
      <c r="P405" s="954"/>
      <c r="Q405" s="954"/>
      <c r="R405" s="954"/>
      <c r="S405" s="954"/>
      <c r="T405" s="954"/>
      <c r="U405" s="954"/>
    </row>
    <row r="406" spans="1:21" s="933" customFormat="1" ht="24" customHeight="1">
      <c r="A406" s="1026"/>
      <c r="B406" s="976"/>
      <c r="C406" s="976"/>
      <c r="D406" s="976"/>
      <c r="E406" s="985"/>
      <c r="F406" s="974"/>
      <c r="G406" s="969"/>
      <c r="H406" s="930"/>
      <c r="I406" s="970"/>
      <c r="J406" s="930"/>
      <c r="K406" s="931"/>
      <c r="L406" s="971"/>
      <c r="M406" s="954"/>
      <c r="N406" s="954"/>
      <c r="O406" s="954"/>
      <c r="P406" s="954"/>
      <c r="Q406" s="954"/>
      <c r="R406" s="954"/>
      <c r="S406" s="954"/>
      <c r="T406" s="954"/>
      <c r="U406" s="954"/>
    </row>
    <row r="407" spans="1:21" s="933" customFormat="1" ht="24" customHeight="1">
      <c r="A407" s="1026"/>
      <c r="B407" s="976"/>
      <c r="C407" s="976"/>
      <c r="D407" s="976"/>
      <c r="E407" s="985"/>
      <c r="F407" s="974"/>
      <c r="G407" s="969"/>
      <c r="H407" s="930"/>
      <c r="I407" s="970"/>
      <c r="J407" s="930"/>
      <c r="K407" s="931"/>
      <c r="L407" s="971"/>
      <c r="M407" s="954"/>
      <c r="N407" s="954"/>
      <c r="O407" s="954"/>
      <c r="P407" s="954"/>
      <c r="Q407" s="954"/>
      <c r="R407" s="954"/>
      <c r="S407" s="954"/>
      <c r="T407" s="954"/>
      <c r="U407" s="954"/>
    </row>
    <row r="408" spans="1:21" s="933" customFormat="1" ht="24" customHeight="1">
      <c r="A408" s="1026"/>
      <c r="B408" s="976"/>
      <c r="C408" s="976"/>
      <c r="D408" s="976"/>
      <c r="E408" s="985"/>
      <c r="F408" s="974"/>
      <c r="G408" s="969"/>
      <c r="H408" s="930"/>
      <c r="I408" s="970"/>
      <c r="J408" s="930"/>
      <c r="K408" s="931"/>
      <c r="L408" s="971"/>
      <c r="M408" s="954"/>
      <c r="N408" s="954"/>
      <c r="O408" s="954"/>
      <c r="P408" s="954"/>
      <c r="Q408" s="954"/>
      <c r="R408" s="954"/>
      <c r="S408" s="954"/>
      <c r="T408" s="954"/>
      <c r="U408" s="954"/>
    </row>
    <row r="409" spans="1:21" s="933" customFormat="1" ht="24" customHeight="1">
      <c r="A409" s="1026"/>
      <c r="B409" s="1027"/>
      <c r="C409" s="976"/>
      <c r="D409" s="976"/>
      <c r="E409" s="985"/>
      <c r="F409" s="974"/>
      <c r="G409" s="969"/>
      <c r="H409" s="930"/>
      <c r="I409" s="970"/>
      <c r="J409" s="930"/>
      <c r="K409" s="931"/>
      <c r="L409" s="971"/>
      <c r="M409" s="954"/>
      <c r="N409" s="954"/>
      <c r="O409" s="954"/>
      <c r="P409" s="954"/>
      <c r="Q409" s="954"/>
      <c r="R409" s="954"/>
      <c r="S409" s="954"/>
      <c r="T409" s="954"/>
      <c r="U409" s="954"/>
    </row>
    <row r="410" spans="1:21" s="933" customFormat="1" ht="24" customHeight="1">
      <c r="A410" s="1026"/>
      <c r="B410" s="1027"/>
      <c r="C410" s="976"/>
      <c r="D410" s="976"/>
      <c r="E410" s="985"/>
      <c r="F410" s="974"/>
      <c r="G410" s="969"/>
      <c r="H410" s="930"/>
      <c r="I410" s="970"/>
      <c r="J410" s="930"/>
      <c r="K410" s="931"/>
      <c r="L410" s="971"/>
      <c r="M410" s="954"/>
      <c r="N410" s="954"/>
      <c r="O410" s="954"/>
      <c r="P410" s="954"/>
      <c r="Q410" s="954"/>
      <c r="R410" s="954"/>
      <c r="S410" s="954"/>
      <c r="T410" s="954"/>
      <c r="U410" s="954"/>
    </row>
    <row r="411" spans="1:21" s="933" customFormat="1" ht="24" customHeight="1">
      <c r="A411" s="1026" t="s">
        <v>911</v>
      </c>
      <c r="B411" s="1027" t="s">
        <v>912</v>
      </c>
      <c r="C411" s="976"/>
      <c r="D411" s="976"/>
      <c r="E411" s="985"/>
      <c r="F411" s="974"/>
      <c r="G411" s="969"/>
      <c r="H411" s="930"/>
      <c r="I411" s="970"/>
      <c r="J411" s="930"/>
      <c r="K411" s="931"/>
      <c r="L411" s="971"/>
      <c r="M411" s="954"/>
      <c r="N411" s="954"/>
      <c r="O411" s="954"/>
      <c r="P411" s="954"/>
      <c r="Q411" s="954"/>
      <c r="R411" s="954"/>
      <c r="S411" s="954"/>
      <c r="T411" s="954"/>
      <c r="U411" s="954"/>
    </row>
    <row r="412" spans="1:21" s="933" customFormat="1" ht="24" customHeight="1">
      <c r="A412" s="1026"/>
      <c r="B412" s="976" t="s">
        <v>864</v>
      </c>
      <c r="C412" s="977"/>
      <c r="D412" s="977"/>
      <c r="E412" s="978">
        <v>291.29000000000002</v>
      </c>
      <c r="F412" s="974" t="s">
        <v>865</v>
      </c>
      <c r="G412" s="969">
        <v>2516</v>
      </c>
      <c r="H412" s="930">
        <f t="shared" ref="H412:H426" si="89">ROUND(E412*G412,2)</f>
        <v>732885.64</v>
      </c>
      <c r="I412" s="970">
        <v>485</v>
      </c>
      <c r="J412" s="930">
        <f t="shared" ref="J412:J426" si="90">ROUND(E412*I412,2)</f>
        <v>141275.65</v>
      </c>
      <c r="K412" s="931">
        <f t="shared" ref="K412:K426" si="91">H412+J412</f>
        <v>874161.29</v>
      </c>
      <c r="L412" s="971"/>
      <c r="M412" s="954"/>
      <c r="N412" s="954"/>
      <c r="O412" s="954"/>
      <c r="P412" s="954"/>
      <c r="Q412" s="954"/>
      <c r="R412" s="954"/>
      <c r="S412" s="954"/>
      <c r="T412" s="954"/>
      <c r="U412" s="954"/>
    </row>
    <row r="413" spans="1:21" s="933" customFormat="1" ht="24" customHeight="1">
      <c r="A413" s="1026"/>
      <c r="B413" s="979" t="s">
        <v>866</v>
      </c>
      <c r="C413" s="976"/>
      <c r="D413" s="976"/>
      <c r="E413" s="978"/>
      <c r="F413" s="974"/>
      <c r="G413" s="969"/>
      <c r="H413" s="930"/>
      <c r="I413" s="970"/>
      <c r="J413" s="930"/>
      <c r="K413" s="931"/>
      <c r="L413" s="971"/>
      <c r="M413" s="954"/>
      <c r="N413" s="954"/>
      <c r="O413" s="954"/>
      <c r="P413" s="954"/>
      <c r="Q413" s="954"/>
      <c r="R413" s="954"/>
      <c r="S413" s="954"/>
      <c r="T413" s="954"/>
      <c r="U413" s="954"/>
    </row>
    <row r="414" spans="1:21" s="933" customFormat="1" ht="24" customHeight="1">
      <c r="A414" s="1026"/>
      <c r="B414" s="979"/>
      <c r="C414" s="976" t="s">
        <v>867</v>
      </c>
      <c r="D414" s="976"/>
      <c r="E414" s="978">
        <f>E415/2</f>
        <v>628.05499999999995</v>
      </c>
      <c r="F414" s="974" t="s">
        <v>34</v>
      </c>
      <c r="G414" s="969">
        <v>661.62</v>
      </c>
      <c r="H414" s="930">
        <f t="shared" si="89"/>
        <v>415533.75</v>
      </c>
      <c r="I414" s="970"/>
      <c r="J414" s="930">
        <f t="shared" si="90"/>
        <v>0</v>
      </c>
      <c r="K414" s="931">
        <f t="shared" si="91"/>
        <v>415533.75</v>
      </c>
      <c r="L414" s="971"/>
      <c r="M414" s="954"/>
      <c r="N414" s="954"/>
      <c r="O414" s="954"/>
      <c r="P414" s="954"/>
      <c r="Q414" s="954"/>
      <c r="R414" s="954"/>
      <c r="S414" s="954"/>
      <c r="T414" s="954"/>
      <c r="U414" s="954"/>
    </row>
    <row r="415" spans="1:21" s="933" customFormat="1" ht="24" customHeight="1">
      <c r="A415" s="1026"/>
      <c r="B415" s="979"/>
      <c r="C415" s="976" t="s">
        <v>868</v>
      </c>
      <c r="D415" s="976"/>
      <c r="E415" s="978">
        <v>1256.1099999999999</v>
      </c>
      <c r="F415" s="974" t="s">
        <v>34</v>
      </c>
      <c r="G415" s="969"/>
      <c r="H415" s="930">
        <f t="shared" si="89"/>
        <v>0</v>
      </c>
      <c r="I415" s="970">
        <v>154</v>
      </c>
      <c r="J415" s="930">
        <f t="shared" si="90"/>
        <v>193440.94</v>
      </c>
      <c r="K415" s="931">
        <f t="shared" si="91"/>
        <v>193440.94</v>
      </c>
      <c r="L415" s="971"/>
      <c r="M415" s="954"/>
      <c r="N415" s="954"/>
      <c r="O415" s="954"/>
      <c r="P415" s="954"/>
      <c r="Q415" s="954"/>
      <c r="R415" s="954"/>
      <c r="S415" s="954"/>
      <c r="T415" s="954"/>
      <c r="U415" s="954"/>
    </row>
    <row r="416" spans="1:21" s="933" customFormat="1" ht="24" customHeight="1">
      <c r="A416" s="1026"/>
      <c r="B416" s="976" t="s">
        <v>869</v>
      </c>
      <c r="C416" s="976"/>
      <c r="D416" s="976"/>
      <c r="E416" s="978">
        <f>(E415*0.25)</f>
        <v>314.02749999999997</v>
      </c>
      <c r="F416" s="974" t="s">
        <v>870</v>
      </c>
      <c r="G416" s="969">
        <f t="shared" ref="G416" si="92">VLOOKUP(B416,$O$43:$P$53,2,FALSE)</f>
        <v>29.94</v>
      </c>
      <c r="H416" s="930">
        <f t="shared" si="89"/>
        <v>9401.98</v>
      </c>
      <c r="I416" s="970"/>
      <c r="J416" s="930">
        <f t="shared" si="90"/>
        <v>0</v>
      </c>
      <c r="K416" s="931">
        <f t="shared" si="91"/>
        <v>9401.98</v>
      </c>
      <c r="L416" s="971"/>
      <c r="M416" s="954"/>
      <c r="N416" s="954"/>
      <c r="O416" s="954"/>
      <c r="P416" s="954"/>
      <c r="Q416" s="954"/>
      <c r="R416" s="954"/>
      <c r="S416" s="954"/>
      <c r="T416" s="954"/>
      <c r="U416" s="954"/>
    </row>
    <row r="417" spans="1:21" s="933" customFormat="1" ht="24" customHeight="1">
      <c r="A417" s="1026"/>
      <c r="B417" s="976" t="s">
        <v>871</v>
      </c>
      <c r="C417" s="976"/>
      <c r="D417" s="976"/>
      <c r="E417" s="978"/>
      <c r="F417" s="982"/>
      <c r="G417" s="983"/>
      <c r="H417" s="930"/>
      <c r="I417" s="970"/>
      <c r="J417" s="930"/>
      <c r="K417" s="931"/>
      <c r="L417" s="971"/>
      <c r="M417" s="954"/>
      <c r="N417" s="954"/>
      <c r="O417" s="954"/>
      <c r="P417" s="954"/>
      <c r="Q417" s="954"/>
      <c r="R417" s="954"/>
      <c r="S417" s="954"/>
      <c r="T417" s="954"/>
      <c r="U417" s="954"/>
    </row>
    <row r="418" spans="1:21" s="933" customFormat="1" ht="24" customHeight="1">
      <c r="A418" s="1026"/>
      <c r="B418" s="976" t="s">
        <v>872</v>
      </c>
      <c r="C418" s="976"/>
      <c r="D418" s="976"/>
      <c r="E418" s="978">
        <v>0</v>
      </c>
      <c r="F418" s="974" t="s">
        <v>870</v>
      </c>
      <c r="G418" s="969">
        <f t="shared" ref="G418:G426" si="93">VLOOKUP(B418,$O$43:$P$53,2,FALSE)</f>
        <v>25.73</v>
      </c>
      <c r="H418" s="930">
        <f t="shared" si="89"/>
        <v>0</v>
      </c>
      <c r="I418" s="984">
        <v>4.0999999999999996</v>
      </c>
      <c r="J418" s="930">
        <f t="shared" si="90"/>
        <v>0</v>
      </c>
      <c r="K418" s="931">
        <f t="shared" si="91"/>
        <v>0</v>
      </c>
      <c r="L418" s="971"/>
      <c r="M418" s="954"/>
      <c r="N418" s="954"/>
      <c r="O418" s="954"/>
      <c r="P418" s="954"/>
      <c r="Q418" s="954"/>
      <c r="R418" s="954"/>
      <c r="S418" s="954"/>
      <c r="T418" s="954"/>
      <c r="U418" s="954"/>
    </row>
    <row r="419" spans="1:21" s="933" customFormat="1" ht="24" customHeight="1">
      <c r="A419" s="1026"/>
      <c r="B419" s="976" t="s">
        <v>873</v>
      </c>
      <c r="C419" s="976"/>
      <c r="D419" s="976"/>
      <c r="E419" s="978">
        <v>7690.55</v>
      </c>
      <c r="F419" s="974" t="s">
        <v>870</v>
      </c>
      <c r="G419" s="969">
        <f t="shared" si="93"/>
        <v>24.97</v>
      </c>
      <c r="H419" s="930">
        <f t="shared" si="89"/>
        <v>192033.03</v>
      </c>
      <c r="I419" s="970">
        <v>4.0999999999999996</v>
      </c>
      <c r="J419" s="930">
        <f t="shared" si="90"/>
        <v>31531.26</v>
      </c>
      <c r="K419" s="931">
        <f t="shared" si="91"/>
        <v>223564.29</v>
      </c>
      <c r="L419" s="971"/>
      <c r="M419" s="954"/>
      <c r="N419" s="954"/>
      <c r="O419" s="954"/>
      <c r="P419" s="954"/>
      <c r="Q419" s="954"/>
      <c r="R419" s="954"/>
      <c r="S419" s="954"/>
      <c r="T419" s="954"/>
      <c r="U419" s="954"/>
    </row>
    <row r="420" spans="1:21" s="933" customFormat="1" ht="24" customHeight="1">
      <c r="A420" s="1026"/>
      <c r="B420" s="976" t="s">
        <v>874</v>
      </c>
      <c r="C420" s="976"/>
      <c r="D420" s="976"/>
      <c r="E420" s="978">
        <v>9293.8000000000011</v>
      </c>
      <c r="F420" s="974" t="s">
        <v>870</v>
      </c>
      <c r="G420" s="969">
        <f t="shared" si="93"/>
        <v>24.47</v>
      </c>
      <c r="H420" s="930">
        <f t="shared" si="89"/>
        <v>227419.29</v>
      </c>
      <c r="I420" s="970">
        <v>3.3</v>
      </c>
      <c r="J420" s="930">
        <f t="shared" si="90"/>
        <v>30669.54</v>
      </c>
      <c r="K420" s="931">
        <f t="shared" si="91"/>
        <v>258088.83000000002</v>
      </c>
      <c r="L420" s="971"/>
      <c r="M420" s="954"/>
      <c r="N420" s="954"/>
      <c r="O420" s="954"/>
      <c r="P420" s="954"/>
      <c r="Q420" s="954"/>
      <c r="R420" s="954"/>
      <c r="S420" s="954"/>
      <c r="T420" s="954"/>
      <c r="U420" s="954"/>
    </row>
    <row r="421" spans="1:21" s="933" customFormat="1" ht="24" customHeight="1">
      <c r="A421" s="1026"/>
      <c r="B421" s="976" t="s">
        <v>875</v>
      </c>
      <c r="C421" s="976"/>
      <c r="D421" s="976"/>
      <c r="E421" s="978">
        <v>50.51</v>
      </c>
      <c r="F421" s="982" t="s">
        <v>870</v>
      </c>
      <c r="G421" s="969">
        <f t="shared" si="93"/>
        <v>24.27</v>
      </c>
      <c r="H421" s="930">
        <f t="shared" si="89"/>
        <v>1225.8800000000001</v>
      </c>
      <c r="I421" s="970">
        <v>3.3</v>
      </c>
      <c r="J421" s="930">
        <f t="shared" si="90"/>
        <v>166.68</v>
      </c>
      <c r="K421" s="931">
        <f t="shared" si="91"/>
        <v>1392.5600000000002</v>
      </c>
      <c r="L421" s="971"/>
      <c r="M421" s="954"/>
      <c r="N421" s="954"/>
      <c r="O421" s="954"/>
      <c r="P421" s="954"/>
      <c r="Q421" s="954"/>
      <c r="R421" s="954"/>
      <c r="S421" s="954"/>
      <c r="T421" s="954"/>
      <c r="U421" s="954"/>
    </row>
    <row r="422" spans="1:21" s="933" customFormat="1" ht="24" customHeight="1">
      <c r="A422" s="1026"/>
      <c r="B422" s="976" t="s">
        <v>876</v>
      </c>
      <c r="C422" s="976"/>
      <c r="D422" s="976"/>
      <c r="E422" s="978">
        <v>0</v>
      </c>
      <c r="F422" s="974" t="s">
        <v>870</v>
      </c>
      <c r="G422" s="969">
        <f t="shared" si="93"/>
        <v>24.27</v>
      </c>
      <c r="H422" s="930">
        <f t="shared" si="89"/>
        <v>0</v>
      </c>
      <c r="I422" s="970">
        <v>2.9</v>
      </c>
      <c r="J422" s="930">
        <f t="shared" si="90"/>
        <v>0</v>
      </c>
      <c r="K422" s="931">
        <f t="shared" si="91"/>
        <v>0</v>
      </c>
      <c r="L422" s="971"/>
      <c r="M422" s="954"/>
      <c r="N422" s="954"/>
      <c r="O422" s="954"/>
      <c r="P422" s="954"/>
      <c r="Q422" s="954"/>
      <c r="R422" s="954"/>
      <c r="S422" s="954"/>
      <c r="T422" s="954"/>
      <c r="U422" s="954"/>
    </row>
    <row r="423" spans="1:21" s="933" customFormat="1" ht="24" customHeight="1">
      <c r="A423" s="1026"/>
      <c r="B423" s="976" t="s">
        <v>877</v>
      </c>
      <c r="C423" s="976"/>
      <c r="D423" s="976"/>
      <c r="E423" s="978">
        <v>77947.03</v>
      </c>
      <c r="F423" s="974" t="s">
        <v>870</v>
      </c>
      <c r="G423" s="969">
        <f t="shared" si="93"/>
        <v>24.27</v>
      </c>
      <c r="H423" s="930">
        <f t="shared" si="89"/>
        <v>1891774.42</v>
      </c>
      <c r="I423" s="970">
        <v>2.9</v>
      </c>
      <c r="J423" s="930">
        <f t="shared" si="90"/>
        <v>226046.39</v>
      </c>
      <c r="K423" s="931">
        <f t="shared" si="91"/>
        <v>2117820.81</v>
      </c>
      <c r="L423" s="971"/>
      <c r="M423" s="954"/>
      <c r="N423" s="954"/>
      <c r="O423" s="954"/>
      <c r="P423" s="954"/>
      <c r="Q423" s="954"/>
      <c r="R423" s="954"/>
      <c r="S423" s="954"/>
      <c r="T423" s="954"/>
      <c r="U423" s="954"/>
    </row>
    <row r="424" spans="1:21" s="933" customFormat="1" ht="24" customHeight="1">
      <c r="A424" s="1026"/>
      <c r="B424" s="976" t="s">
        <v>878</v>
      </c>
      <c r="C424" s="976"/>
      <c r="D424" s="976"/>
      <c r="E424" s="978">
        <v>3359.3700000000003</v>
      </c>
      <c r="F424" s="974" t="s">
        <v>870</v>
      </c>
      <c r="G424" s="969">
        <f t="shared" si="93"/>
        <v>24.27</v>
      </c>
      <c r="H424" s="930">
        <f t="shared" si="89"/>
        <v>81531.91</v>
      </c>
      <c r="I424" s="970">
        <v>2.9</v>
      </c>
      <c r="J424" s="930">
        <f t="shared" si="90"/>
        <v>9742.17</v>
      </c>
      <c r="K424" s="931">
        <f t="shared" si="91"/>
        <v>91274.08</v>
      </c>
      <c r="L424" s="971"/>
      <c r="M424" s="954"/>
      <c r="N424" s="954"/>
      <c r="O424" s="954"/>
      <c r="P424" s="954"/>
      <c r="Q424" s="954"/>
      <c r="R424" s="954"/>
      <c r="S424" s="954"/>
      <c r="T424" s="954"/>
      <c r="U424" s="954"/>
    </row>
    <row r="425" spans="1:21" s="933" customFormat="1" ht="24" customHeight="1">
      <c r="A425" s="1026"/>
      <c r="B425" s="976" t="s">
        <v>879</v>
      </c>
      <c r="C425" s="976"/>
      <c r="D425" s="976"/>
      <c r="E425" s="978">
        <v>0</v>
      </c>
      <c r="F425" s="974" t="s">
        <v>870</v>
      </c>
      <c r="G425" s="969">
        <f t="shared" si="93"/>
        <v>23.8</v>
      </c>
      <c r="H425" s="930">
        <f t="shared" si="89"/>
        <v>0</v>
      </c>
      <c r="I425" s="970">
        <v>2.9</v>
      </c>
      <c r="J425" s="930">
        <f t="shared" si="90"/>
        <v>0</v>
      </c>
      <c r="K425" s="931">
        <f t="shared" si="91"/>
        <v>0</v>
      </c>
      <c r="L425" s="971"/>
      <c r="M425" s="954"/>
      <c r="N425" s="954"/>
      <c r="O425" s="954"/>
      <c r="P425" s="954"/>
      <c r="Q425" s="954"/>
      <c r="R425" s="954"/>
      <c r="S425" s="954"/>
      <c r="T425" s="954"/>
      <c r="U425" s="954"/>
    </row>
    <row r="426" spans="1:21" s="933" customFormat="1" ht="24" customHeight="1">
      <c r="A426" s="1026"/>
      <c r="B426" s="976" t="s">
        <v>880</v>
      </c>
      <c r="C426" s="976"/>
      <c r="D426" s="976"/>
      <c r="E426" s="978">
        <f>(SUM(E418:E425)/1000)*30</f>
        <v>2950.2377999999999</v>
      </c>
      <c r="F426" s="974" t="s">
        <v>870</v>
      </c>
      <c r="G426" s="969">
        <f t="shared" si="93"/>
        <v>29.92</v>
      </c>
      <c r="H426" s="930">
        <f t="shared" si="89"/>
        <v>88271.11</v>
      </c>
      <c r="I426" s="970"/>
      <c r="J426" s="930">
        <f t="shared" si="90"/>
        <v>0</v>
      </c>
      <c r="K426" s="931">
        <f t="shared" si="91"/>
        <v>88271.11</v>
      </c>
      <c r="L426" s="971"/>
      <c r="M426" s="954"/>
      <c r="N426" s="954"/>
      <c r="O426" s="954"/>
      <c r="P426" s="954"/>
      <c r="Q426" s="954"/>
      <c r="R426" s="954"/>
      <c r="S426" s="954"/>
      <c r="T426" s="954"/>
      <c r="U426" s="954"/>
    </row>
    <row r="427" spans="1:21" s="933" customFormat="1" ht="24" customHeight="1">
      <c r="A427" s="1026"/>
      <c r="B427" s="976" t="s">
        <v>881</v>
      </c>
      <c r="C427" s="976"/>
      <c r="D427" s="976"/>
      <c r="E427" s="978"/>
      <c r="F427" s="974"/>
      <c r="G427" s="969"/>
      <c r="H427" s="930"/>
      <c r="I427" s="970"/>
      <c r="J427" s="930"/>
      <c r="K427" s="931"/>
      <c r="L427" s="971"/>
      <c r="M427" s="954"/>
      <c r="N427" s="954"/>
      <c r="O427" s="954"/>
      <c r="P427" s="954"/>
      <c r="Q427" s="954"/>
      <c r="R427" s="954"/>
      <c r="S427" s="954"/>
      <c r="T427" s="954"/>
      <c r="U427" s="954"/>
    </row>
    <row r="428" spans="1:21" s="933" customFormat="1" ht="24" customHeight="1">
      <c r="A428" s="1026"/>
      <c r="B428" s="976"/>
      <c r="C428" s="972"/>
      <c r="D428" s="976"/>
      <c r="E428" s="985"/>
      <c r="F428" s="974"/>
      <c r="G428" s="969"/>
      <c r="H428" s="930"/>
      <c r="I428" s="970"/>
      <c r="J428" s="930"/>
      <c r="K428" s="931"/>
      <c r="L428" s="971"/>
      <c r="M428" s="954"/>
      <c r="N428" s="954"/>
      <c r="O428" s="954"/>
      <c r="P428" s="954"/>
      <c r="Q428" s="954"/>
      <c r="R428" s="954"/>
      <c r="S428" s="954"/>
      <c r="T428" s="954"/>
      <c r="U428" s="954"/>
    </row>
    <row r="429" spans="1:21" s="933" customFormat="1" ht="24" customHeight="1">
      <c r="A429" s="1026"/>
      <c r="B429" s="976"/>
      <c r="C429" s="976"/>
      <c r="D429" s="976"/>
      <c r="E429" s="985"/>
      <c r="F429" s="974"/>
      <c r="G429" s="969"/>
      <c r="H429" s="930"/>
      <c r="I429" s="970"/>
      <c r="J429" s="930"/>
      <c r="K429" s="931"/>
      <c r="L429" s="971"/>
      <c r="M429" s="954"/>
      <c r="N429" s="954"/>
      <c r="O429" s="954"/>
      <c r="P429" s="954"/>
      <c r="Q429" s="954"/>
      <c r="R429" s="954"/>
      <c r="S429" s="954"/>
      <c r="T429" s="954"/>
      <c r="U429" s="954"/>
    </row>
    <row r="430" spans="1:21" s="933" customFormat="1" ht="24" customHeight="1">
      <c r="A430" s="1026"/>
      <c r="B430" s="976"/>
      <c r="C430" s="976"/>
      <c r="D430" s="976"/>
      <c r="E430" s="985"/>
      <c r="F430" s="974"/>
      <c r="G430" s="969"/>
      <c r="H430" s="930"/>
      <c r="I430" s="970"/>
      <c r="J430" s="930"/>
      <c r="K430" s="931"/>
      <c r="L430" s="971"/>
      <c r="M430" s="954"/>
      <c r="N430" s="954"/>
      <c r="O430" s="954"/>
      <c r="P430" s="954"/>
      <c r="Q430" s="954"/>
      <c r="R430" s="954"/>
      <c r="S430" s="954"/>
      <c r="T430" s="954"/>
      <c r="U430" s="954"/>
    </row>
    <row r="431" spans="1:21" s="933" customFormat="1" ht="24" customHeight="1">
      <c r="A431" s="1026"/>
      <c r="B431" s="976"/>
      <c r="C431" s="976"/>
      <c r="D431" s="976"/>
      <c r="E431" s="985"/>
      <c r="F431" s="974"/>
      <c r="G431" s="969"/>
      <c r="H431" s="930"/>
      <c r="I431" s="970"/>
      <c r="J431" s="930"/>
      <c r="K431" s="931"/>
      <c r="L431" s="971"/>
      <c r="M431" s="954"/>
      <c r="N431" s="954"/>
      <c r="O431" s="954"/>
      <c r="P431" s="954"/>
      <c r="Q431" s="954"/>
      <c r="R431" s="954"/>
      <c r="S431" s="954"/>
      <c r="T431" s="954"/>
      <c r="U431" s="954"/>
    </row>
    <row r="432" spans="1:21" s="933" customFormat="1" ht="24" customHeight="1">
      <c r="A432" s="1026"/>
      <c r="B432" s="976"/>
      <c r="C432" s="976"/>
      <c r="D432" s="976"/>
      <c r="E432" s="985"/>
      <c r="F432" s="974"/>
      <c r="G432" s="969"/>
      <c r="H432" s="930"/>
      <c r="I432" s="970"/>
      <c r="J432" s="930"/>
      <c r="K432" s="931"/>
      <c r="L432" s="971"/>
      <c r="M432" s="954"/>
      <c r="N432" s="954"/>
      <c r="O432" s="954"/>
      <c r="P432" s="954"/>
      <c r="Q432" s="954"/>
      <c r="R432" s="954"/>
      <c r="S432" s="954"/>
      <c r="T432" s="954"/>
      <c r="U432" s="954"/>
    </row>
    <row r="433" spans="1:21" s="933" customFormat="1" ht="24" customHeight="1">
      <c r="A433" s="1026"/>
      <c r="B433" s="1027"/>
      <c r="C433" s="976"/>
      <c r="D433" s="976"/>
      <c r="E433" s="985"/>
      <c r="F433" s="974"/>
      <c r="G433" s="969"/>
      <c r="H433" s="930"/>
      <c r="I433" s="970"/>
      <c r="J433" s="930"/>
      <c r="K433" s="931"/>
      <c r="L433" s="971"/>
      <c r="M433" s="954"/>
      <c r="N433" s="954"/>
      <c r="O433" s="954"/>
      <c r="P433" s="954"/>
      <c r="Q433" s="954"/>
      <c r="R433" s="954"/>
      <c r="S433" s="954"/>
      <c r="T433" s="954"/>
      <c r="U433" s="954"/>
    </row>
    <row r="434" spans="1:21" s="933" customFormat="1" ht="24" customHeight="1">
      <c r="A434" s="1026"/>
      <c r="B434" s="1027"/>
      <c r="C434" s="976"/>
      <c r="D434" s="976"/>
      <c r="E434" s="985"/>
      <c r="F434" s="974"/>
      <c r="G434" s="969"/>
      <c r="H434" s="930"/>
      <c r="I434" s="970"/>
      <c r="J434" s="930"/>
      <c r="K434" s="931"/>
      <c r="L434" s="971"/>
      <c r="M434" s="954"/>
      <c r="N434" s="954"/>
      <c r="O434" s="954"/>
      <c r="P434" s="954"/>
      <c r="Q434" s="954"/>
      <c r="R434" s="954"/>
      <c r="S434" s="954"/>
      <c r="T434" s="954"/>
      <c r="U434" s="954"/>
    </row>
    <row r="435" spans="1:21" s="933" customFormat="1" ht="24" customHeight="1">
      <c r="A435" s="1026"/>
      <c r="B435" s="1027"/>
      <c r="C435" s="976"/>
      <c r="D435" s="976"/>
      <c r="E435" s="985"/>
      <c r="F435" s="974"/>
      <c r="G435" s="969"/>
      <c r="H435" s="930"/>
      <c r="I435" s="970"/>
      <c r="J435" s="930"/>
      <c r="K435" s="931"/>
      <c r="L435" s="971"/>
      <c r="M435" s="954"/>
      <c r="N435" s="954"/>
      <c r="O435" s="954"/>
      <c r="P435" s="954"/>
      <c r="Q435" s="954"/>
      <c r="R435" s="954"/>
      <c r="S435" s="954"/>
      <c r="T435" s="954"/>
      <c r="U435" s="954"/>
    </row>
    <row r="436" spans="1:21" s="933" customFormat="1" ht="24" customHeight="1">
      <c r="A436" s="1026" t="s">
        <v>913</v>
      </c>
      <c r="B436" s="1027" t="s">
        <v>1030</v>
      </c>
      <c r="C436" s="976"/>
      <c r="D436" s="976"/>
      <c r="E436" s="985"/>
      <c r="F436" s="974"/>
      <c r="G436" s="969"/>
      <c r="H436" s="930"/>
      <c r="I436" s="970"/>
      <c r="J436" s="930"/>
      <c r="K436" s="931"/>
      <c r="L436" s="971"/>
      <c r="M436" s="954"/>
      <c r="N436" s="954"/>
      <c r="O436" s="954"/>
      <c r="P436" s="954"/>
      <c r="Q436" s="954"/>
      <c r="R436" s="954"/>
      <c r="S436" s="954"/>
      <c r="T436" s="954"/>
      <c r="U436" s="954"/>
    </row>
    <row r="437" spans="1:21" s="933" customFormat="1" ht="24" customHeight="1">
      <c r="A437" s="1026"/>
      <c r="B437" s="976" t="s">
        <v>864</v>
      </c>
      <c r="C437" s="977"/>
      <c r="D437" s="977"/>
      <c r="E437" s="978">
        <v>154.25</v>
      </c>
      <c r="F437" s="974" t="s">
        <v>865</v>
      </c>
      <c r="G437" s="969">
        <v>2516</v>
      </c>
      <c r="H437" s="930">
        <f t="shared" ref="H437:H451" si="94">ROUND(E437*G437,2)</f>
        <v>388093</v>
      </c>
      <c r="I437" s="970">
        <v>485</v>
      </c>
      <c r="J437" s="930">
        <f t="shared" ref="J437:J451" si="95">ROUND(E437*I437,2)</f>
        <v>74811.25</v>
      </c>
      <c r="K437" s="931">
        <f t="shared" ref="K437:K451" si="96">H437+J437</f>
        <v>462904.25</v>
      </c>
      <c r="L437" s="971"/>
      <c r="M437" s="954"/>
      <c r="N437" s="954"/>
      <c r="O437" s="954"/>
      <c r="P437" s="954"/>
      <c r="Q437" s="954"/>
      <c r="R437" s="954"/>
      <c r="S437" s="954"/>
      <c r="T437" s="954"/>
      <c r="U437" s="954"/>
    </row>
    <row r="438" spans="1:21" s="933" customFormat="1" ht="24" customHeight="1">
      <c r="A438" s="1026"/>
      <c r="B438" s="979" t="s">
        <v>866</v>
      </c>
      <c r="C438" s="976"/>
      <c r="D438" s="976"/>
      <c r="E438" s="978"/>
      <c r="F438" s="974"/>
      <c r="G438" s="969"/>
      <c r="H438" s="930"/>
      <c r="I438" s="970"/>
      <c r="J438" s="930"/>
      <c r="K438" s="931"/>
      <c r="L438" s="971"/>
      <c r="M438" s="954"/>
      <c r="N438" s="954"/>
      <c r="O438" s="954"/>
      <c r="P438" s="954"/>
      <c r="Q438" s="954"/>
      <c r="R438" s="954"/>
      <c r="S438" s="954"/>
      <c r="T438" s="954"/>
      <c r="U438" s="954"/>
    </row>
    <row r="439" spans="1:21" s="933" customFormat="1" ht="24" customHeight="1">
      <c r="A439" s="1026"/>
      <c r="B439" s="979"/>
      <c r="C439" s="976" t="s">
        <v>867</v>
      </c>
      <c r="D439" s="976"/>
      <c r="E439" s="978">
        <f>E440/2</f>
        <v>457.70499999999998</v>
      </c>
      <c r="F439" s="974" t="s">
        <v>34</v>
      </c>
      <c r="G439" s="969">
        <v>661.62</v>
      </c>
      <c r="H439" s="930">
        <f t="shared" si="94"/>
        <v>302826.78000000003</v>
      </c>
      <c r="I439" s="970"/>
      <c r="J439" s="930">
        <f t="shared" si="95"/>
        <v>0</v>
      </c>
      <c r="K439" s="931">
        <f t="shared" si="96"/>
        <v>302826.78000000003</v>
      </c>
      <c r="L439" s="971"/>
      <c r="M439" s="954"/>
      <c r="N439" s="954"/>
      <c r="O439" s="954"/>
      <c r="P439" s="954"/>
      <c r="Q439" s="954"/>
      <c r="R439" s="954"/>
      <c r="S439" s="954"/>
      <c r="T439" s="954"/>
      <c r="U439" s="954"/>
    </row>
    <row r="440" spans="1:21" s="933" customFormat="1" ht="24" customHeight="1">
      <c r="A440" s="1026"/>
      <c r="B440" s="979"/>
      <c r="C440" s="976" t="s">
        <v>868</v>
      </c>
      <c r="D440" s="976"/>
      <c r="E440" s="978">
        <v>915.41</v>
      </c>
      <c r="F440" s="974" t="s">
        <v>34</v>
      </c>
      <c r="G440" s="969"/>
      <c r="H440" s="930">
        <f t="shared" si="94"/>
        <v>0</v>
      </c>
      <c r="I440" s="970">
        <v>154</v>
      </c>
      <c r="J440" s="930">
        <f t="shared" si="95"/>
        <v>140973.14000000001</v>
      </c>
      <c r="K440" s="931">
        <f t="shared" si="96"/>
        <v>140973.14000000001</v>
      </c>
      <c r="L440" s="971"/>
      <c r="M440" s="954"/>
      <c r="N440" s="954"/>
      <c r="O440" s="954"/>
      <c r="P440" s="954"/>
      <c r="Q440" s="954"/>
      <c r="R440" s="954"/>
      <c r="S440" s="954"/>
      <c r="T440" s="954"/>
      <c r="U440" s="954"/>
    </row>
    <row r="441" spans="1:21" s="933" customFormat="1" ht="24" customHeight="1">
      <c r="A441" s="1026"/>
      <c r="B441" s="976" t="s">
        <v>869</v>
      </c>
      <c r="C441" s="976"/>
      <c r="D441" s="976"/>
      <c r="E441" s="978">
        <f>(E440*0.25)</f>
        <v>228.85249999999999</v>
      </c>
      <c r="F441" s="974" t="s">
        <v>870</v>
      </c>
      <c r="G441" s="969">
        <f t="shared" ref="G441" si="97">VLOOKUP(B441,$O$43:$P$53,2,FALSE)</f>
        <v>29.94</v>
      </c>
      <c r="H441" s="930">
        <f t="shared" si="94"/>
        <v>6851.84</v>
      </c>
      <c r="I441" s="970"/>
      <c r="J441" s="930">
        <f t="shared" si="95"/>
        <v>0</v>
      </c>
      <c r="K441" s="931">
        <f t="shared" si="96"/>
        <v>6851.84</v>
      </c>
      <c r="L441" s="971"/>
      <c r="M441" s="954"/>
      <c r="N441" s="954"/>
      <c r="O441" s="954"/>
      <c r="P441" s="954"/>
      <c r="Q441" s="954"/>
      <c r="R441" s="954"/>
      <c r="S441" s="954"/>
      <c r="T441" s="954"/>
      <c r="U441" s="954"/>
    </row>
    <row r="442" spans="1:21" s="933" customFormat="1" ht="24" customHeight="1">
      <c r="A442" s="1026"/>
      <c r="B442" s="976" t="s">
        <v>871</v>
      </c>
      <c r="C442" s="976"/>
      <c r="D442" s="976"/>
      <c r="E442" s="978"/>
      <c r="F442" s="982"/>
      <c r="G442" s="983"/>
      <c r="H442" s="930"/>
      <c r="I442" s="970"/>
      <c r="J442" s="930"/>
      <c r="K442" s="931"/>
      <c r="L442" s="971"/>
      <c r="M442" s="954"/>
      <c r="N442" s="954"/>
      <c r="O442" s="954"/>
      <c r="P442" s="954"/>
      <c r="Q442" s="954"/>
      <c r="R442" s="954"/>
      <c r="S442" s="954"/>
      <c r="T442" s="954"/>
      <c r="U442" s="954"/>
    </row>
    <row r="443" spans="1:21" s="933" customFormat="1" ht="24" customHeight="1">
      <c r="A443" s="1026"/>
      <c r="B443" s="976" t="s">
        <v>872</v>
      </c>
      <c r="C443" s="976"/>
      <c r="D443" s="976"/>
      <c r="E443" s="978"/>
      <c r="F443" s="974" t="s">
        <v>870</v>
      </c>
      <c r="G443" s="969">
        <f t="shared" ref="G443:G451" si="98">VLOOKUP(B443,$O$43:$P$53,2,FALSE)</f>
        <v>25.73</v>
      </c>
      <c r="H443" s="930">
        <f t="shared" si="94"/>
        <v>0</v>
      </c>
      <c r="I443" s="984">
        <v>4.0999999999999996</v>
      </c>
      <c r="J443" s="930">
        <f t="shared" si="95"/>
        <v>0</v>
      </c>
      <c r="K443" s="931">
        <f t="shared" si="96"/>
        <v>0</v>
      </c>
      <c r="L443" s="971"/>
      <c r="M443" s="954"/>
      <c r="N443" s="954"/>
      <c r="O443" s="954"/>
      <c r="P443" s="954"/>
      <c r="Q443" s="954"/>
      <c r="R443" s="954"/>
      <c r="S443" s="954"/>
      <c r="T443" s="954"/>
      <c r="U443" s="954"/>
    </row>
    <row r="444" spans="1:21" s="933" customFormat="1" ht="24" customHeight="1">
      <c r="A444" s="1026"/>
      <c r="B444" s="976" t="s">
        <v>873</v>
      </c>
      <c r="C444" s="976"/>
      <c r="D444" s="976"/>
      <c r="E444" s="978"/>
      <c r="F444" s="974" t="s">
        <v>870</v>
      </c>
      <c r="G444" s="969">
        <f t="shared" si="98"/>
        <v>24.97</v>
      </c>
      <c r="H444" s="930">
        <f t="shared" si="94"/>
        <v>0</v>
      </c>
      <c r="I444" s="970">
        <v>4.0999999999999996</v>
      </c>
      <c r="J444" s="930">
        <f t="shared" si="95"/>
        <v>0</v>
      </c>
      <c r="K444" s="931">
        <f t="shared" si="96"/>
        <v>0</v>
      </c>
      <c r="L444" s="971"/>
      <c r="M444" s="954"/>
      <c r="N444" s="954"/>
      <c r="O444" s="954"/>
      <c r="P444" s="954"/>
      <c r="Q444" s="954"/>
      <c r="R444" s="954"/>
      <c r="S444" s="954"/>
      <c r="T444" s="954"/>
      <c r="U444" s="954"/>
    </row>
    <row r="445" spans="1:21" s="933" customFormat="1" ht="24" customHeight="1">
      <c r="A445" s="1026"/>
      <c r="B445" s="976" t="s">
        <v>874</v>
      </c>
      <c r="C445" s="976"/>
      <c r="D445" s="976"/>
      <c r="E445" s="978">
        <v>4854.3100000000004</v>
      </c>
      <c r="F445" s="974" t="s">
        <v>870</v>
      </c>
      <c r="G445" s="969">
        <f t="shared" si="98"/>
        <v>24.47</v>
      </c>
      <c r="H445" s="930">
        <f t="shared" si="94"/>
        <v>118784.97</v>
      </c>
      <c r="I445" s="970">
        <v>3.3</v>
      </c>
      <c r="J445" s="930">
        <f t="shared" si="95"/>
        <v>16019.22</v>
      </c>
      <c r="K445" s="931">
        <f t="shared" si="96"/>
        <v>134804.19</v>
      </c>
      <c r="L445" s="971"/>
      <c r="M445" s="954"/>
      <c r="N445" s="954"/>
      <c r="O445" s="954"/>
      <c r="P445" s="954"/>
      <c r="Q445" s="954"/>
      <c r="R445" s="954"/>
      <c r="S445" s="954"/>
      <c r="T445" s="954"/>
      <c r="U445" s="954"/>
    </row>
    <row r="446" spans="1:21" s="933" customFormat="1" ht="24" customHeight="1">
      <c r="A446" s="1026"/>
      <c r="B446" s="976" t="s">
        <v>875</v>
      </c>
      <c r="C446" s="976"/>
      <c r="D446" s="976"/>
      <c r="E446" s="978">
        <v>13791.74</v>
      </c>
      <c r="F446" s="982" t="s">
        <v>870</v>
      </c>
      <c r="G446" s="969">
        <f t="shared" si="98"/>
        <v>24.27</v>
      </c>
      <c r="H446" s="930">
        <f t="shared" si="94"/>
        <v>334725.53000000003</v>
      </c>
      <c r="I446" s="970">
        <v>3.3</v>
      </c>
      <c r="J446" s="930">
        <f t="shared" si="95"/>
        <v>45512.74</v>
      </c>
      <c r="K446" s="931">
        <f t="shared" si="96"/>
        <v>380238.27</v>
      </c>
      <c r="L446" s="971"/>
      <c r="M446" s="954"/>
      <c r="N446" s="954"/>
      <c r="O446" s="954"/>
      <c r="P446" s="954"/>
      <c r="Q446" s="954"/>
      <c r="R446" s="954"/>
      <c r="S446" s="954"/>
      <c r="T446" s="954"/>
      <c r="U446" s="954"/>
    </row>
    <row r="447" spans="1:21" s="933" customFormat="1" ht="24" customHeight="1">
      <c r="A447" s="1026"/>
      <c r="B447" s="976" t="s">
        <v>876</v>
      </c>
      <c r="C447" s="976"/>
      <c r="D447" s="976"/>
      <c r="E447" s="978">
        <v>14299.08</v>
      </c>
      <c r="F447" s="974" t="s">
        <v>870</v>
      </c>
      <c r="G447" s="969">
        <f t="shared" si="98"/>
        <v>24.27</v>
      </c>
      <c r="H447" s="930">
        <f t="shared" si="94"/>
        <v>347038.67</v>
      </c>
      <c r="I447" s="970">
        <v>2.9</v>
      </c>
      <c r="J447" s="930">
        <f t="shared" si="95"/>
        <v>41467.33</v>
      </c>
      <c r="K447" s="931">
        <f t="shared" si="96"/>
        <v>388506</v>
      </c>
      <c r="L447" s="971"/>
      <c r="M447" s="954"/>
      <c r="N447" s="954"/>
      <c r="O447" s="954"/>
      <c r="P447" s="954"/>
      <c r="Q447" s="954"/>
      <c r="R447" s="954"/>
      <c r="S447" s="954"/>
      <c r="T447" s="954"/>
      <c r="U447" s="954"/>
    </row>
    <row r="448" spans="1:21" s="933" customFormat="1" ht="24" customHeight="1">
      <c r="A448" s="1026"/>
      <c r="B448" s="976" t="s">
        <v>877</v>
      </c>
      <c r="C448" s="976"/>
      <c r="D448" s="976"/>
      <c r="E448" s="978">
        <v>8670.82</v>
      </c>
      <c r="F448" s="974" t="s">
        <v>870</v>
      </c>
      <c r="G448" s="969">
        <f t="shared" si="98"/>
        <v>24.27</v>
      </c>
      <c r="H448" s="930">
        <f t="shared" si="94"/>
        <v>210440.8</v>
      </c>
      <c r="I448" s="970">
        <v>2.9</v>
      </c>
      <c r="J448" s="930">
        <f t="shared" si="95"/>
        <v>25145.38</v>
      </c>
      <c r="K448" s="931">
        <f t="shared" si="96"/>
        <v>235586.18</v>
      </c>
      <c r="L448" s="971"/>
      <c r="M448" s="954"/>
      <c r="N448" s="954"/>
      <c r="O448" s="954"/>
      <c r="P448" s="954"/>
      <c r="Q448" s="954"/>
      <c r="R448" s="954"/>
      <c r="S448" s="954"/>
      <c r="T448" s="954"/>
      <c r="U448" s="954"/>
    </row>
    <row r="449" spans="1:21" s="933" customFormat="1" ht="24" customHeight="1">
      <c r="A449" s="1026"/>
      <c r="B449" s="976" t="s">
        <v>878</v>
      </c>
      <c r="C449" s="976"/>
      <c r="D449" s="976"/>
      <c r="E449" s="978"/>
      <c r="F449" s="974" t="s">
        <v>870</v>
      </c>
      <c r="G449" s="969">
        <f t="shared" si="98"/>
        <v>24.27</v>
      </c>
      <c r="H449" s="930">
        <f t="shared" si="94"/>
        <v>0</v>
      </c>
      <c r="I449" s="970">
        <v>2.9</v>
      </c>
      <c r="J449" s="930">
        <f t="shared" si="95"/>
        <v>0</v>
      </c>
      <c r="K449" s="931">
        <f t="shared" si="96"/>
        <v>0</v>
      </c>
      <c r="L449" s="971"/>
      <c r="M449" s="954"/>
      <c r="N449" s="954"/>
      <c r="O449" s="954"/>
      <c r="P449" s="954"/>
      <c r="Q449" s="954"/>
      <c r="R449" s="954"/>
      <c r="S449" s="954"/>
      <c r="T449" s="954"/>
      <c r="U449" s="954"/>
    </row>
    <row r="450" spans="1:21" s="933" customFormat="1" ht="24" customHeight="1">
      <c r="A450" s="1026"/>
      <c r="B450" s="976" t="s">
        <v>879</v>
      </c>
      <c r="C450" s="976"/>
      <c r="D450" s="976"/>
      <c r="E450" s="978"/>
      <c r="F450" s="974" t="s">
        <v>870</v>
      </c>
      <c r="G450" s="969">
        <f t="shared" si="98"/>
        <v>23.8</v>
      </c>
      <c r="H450" s="930">
        <f t="shared" si="94"/>
        <v>0</v>
      </c>
      <c r="I450" s="970">
        <v>2.9</v>
      </c>
      <c r="J450" s="930">
        <f t="shared" si="95"/>
        <v>0</v>
      </c>
      <c r="K450" s="931">
        <f t="shared" si="96"/>
        <v>0</v>
      </c>
      <c r="L450" s="971"/>
      <c r="M450" s="954"/>
      <c r="N450" s="954"/>
      <c r="O450" s="954"/>
      <c r="P450" s="954"/>
      <c r="Q450" s="954"/>
      <c r="R450" s="954"/>
      <c r="S450" s="954"/>
      <c r="T450" s="954"/>
      <c r="U450" s="954"/>
    </row>
    <row r="451" spans="1:21" s="933" customFormat="1" ht="24" customHeight="1">
      <c r="A451" s="1026"/>
      <c r="B451" s="976" t="s">
        <v>880</v>
      </c>
      <c r="C451" s="976"/>
      <c r="D451" s="976"/>
      <c r="E451" s="978">
        <f>(SUM(E443:E450)/1000)*30</f>
        <v>1248.4784999999999</v>
      </c>
      <c r="F451" s="974" t="s">
        <v>870</v>
      </c>
      <c r="G451" s="969">
        <f t="shared" si="98"/>
        <v>29.92</v>
      </c>
      <c r="H451" s="930">
        <f t="shared" si="94"/>
        <v>37354.480000000003</v>
      </c>
      <c r="I451" s="970"/>
      <c r="J451" s="930">
        <f t="shared" si="95"/>
        <v>0</v>
      </c>
      <c r="K451" s="931">
        <f t="shared" si="96"/>
        <v>37354.480000000003</v>
      </c>
      <c r="L451" s="971"/>
      <c r="M451" s="954"/>
      <c r="N451" s="954"/>
      <c r="O451" s="954"/>
      <c r="P451" s="954"/>
      <c r="Q451" s="954"/>
      <c r="R451" s="954"/>
      <c r="S451" s="954"/>
      <c r="T451" s="954"/>
      <c r="U451" s="954"/>
    </row>
    <row r="452" spans="1:21" s="933" customFormat="1" ht="24" customHeight="1">
      <c r="A452" s="1026"/>
      <c r="B452" s="976" t="s">
        <v>881</v>
      </c>
      <c r="C452" s="976"/>
      <c r="D452" s="976"/>
      <c r="E452" s="978"/>
      <c r="F452" s="974"/>
      <c r="G452" s="969"/>
      <c r="H452" s="930"/>
      <c r="I452" s="970"/>
      <c r="J452" s="930"/>
      <c r="K452" s="931"/>
      <c r="L452" s="971"/>
      <c r="M452" s="954"/>
      <c r="N452" s="954"/>
      <c r="O452" s="954"/>
      <c r="P452" s="954"/>
      <c r="Q452" s="954"/>
      <c r="R452" s="954"/>
      <c r="S452" s="954"/>
      <c r="T452" s="954"/>
      <c r="U452" s="954"/>
    </row>
    <row r="453" spans="1:21" s="933" customFormat="1" ht="24" customHeight="1">
      <c r="A453" s="1026"/>
      <c r="B453" s="976"/>
      <c r="C453" s="972"/>
      <c r="D453" s="976"/>
      <c r="E453" s="985"/>
      <c r="F453" s="974"/>
      <c r="G453" s="969"/>
      <c r="H453" s="930"/>
      <c r="I453" s="970"/>
      <c r="J453" s="930"/>
      <c r="K453" s="931"/>
      <c r="L453" s="971"/>
      <c r="M453" s="954"/>
      <c r="N453" s="954"/>
      <c r="O453" s="954"/>
      <c r="P453" s="954"/>
      <c r="Q453" s="954"/>
      <c r="R453" s="954"/>
      <c r="S453" s="954"/>
      <c r="T453" s="954"/>
      <c r="U453" s="954"/>
    </row>
    <row r="454" spans="1:21" s="933" customFormat="1" ht="24" customHeight="1">
      <c r="A454" s="1026"/>
      <c r="B454" s="1027"/>
      <c r="C454" s="976"/>
      <c r="D454" s="976"/>
      <c r="E454" s="985"/>
      <c r="F454" s="974"/>
      <c r="G454" s="969"/>
      <c r="H454" s="930"/>
      <c r="I454" s="970"/>
      <c r="J454" s="930"/>
      <c r="K454" s="931"/>
      <c r="L454" s="971"/>
      <c r="M454" s="954"/>
      <c r="N454" s="954"/>
      <c r="O454" s="954"/>
      <c r="P454" s="954"/>
      <c r="Q454" s="954"/>
      <c r="R454" s="954"/>
      <c r="S454" s="954"/>
      <c r="T454" s="954"/>
      <c r="U454" s="954"/>
    </row>
    <row r="455" spans="1:21" s="933" customFormat="1" ht="24" customHeight="1">
      <c r="A455" s="1026"/>
      <c r="B455" s="1027"/>
      <c r="C455" s="976"/>
      <c r="D455" s="976"/>
      <c r="E455" s="985"/>
      <c r="F455" s="974"/>
      <c r="G455" s="969"/>
      <c r="H455" s="930"/>
      <c r="I455" s="970"/>
      <c r="J455" s="930"/>
      <c r="K455" s="931"/>
      <c r="L455" s="971"/>
      <c r="M455" s="954"/>
      <c r="N455" s="954"/>
      <c r="O455" s="954"/>
      <c r="P455" s="954"/>
      <c r="Q455" s="954"/>
      <c r="R455" s="954"/>
      <c r="S455" s="954"/>
      <c r="T455" s="954"/>
      <c r="U455" s="954"/>
    </row>
    <row r="456" spans="1:21" s="933" customFormat="1" ht="24" customHeight="1">
      <c r="A456" s="1026"/>
      <c r="B456" s="1027"/>
      <c r="C456" s="976"/>
      <c r="D456" s="976"/>
      <c r="E456" s="985"/>
      <c r="F456" s="974"/>
      <c r="G456" s="969"/>
      <c r="H456" s="930"/>
      <c r="I456" s="970"/>
      <c r="J456" s="930"/>
      <c r="K456" s="931"/>
      <c r="L456" s="971"/>
      <c r="M456" s="954"/>
      <c r="N456" s="954"/>
      <c r="O456" s="954"/>
      <c r="P456" s="954"/>
      <c r="Q456" s="954"/>
      <c r="R456" s="954"/>
      <c r="S456" s="954"/>
      <c r="T456" s="954"/>
      <c r="U456" s="954"/>
    </row>
    <row r="457" spans="1:21" s="933" customFormat="1" ht="24" customHeight="1">
      <c r="A457" s="1026"/>
      <c r="B457" s="1027"/>
      <c r="C457" s="976"/>
      <c r="D457" s="976"/>
      <c r="E457" s="985"/>
      <c r="F457" s="974"/>
      <c r="G457" s="969"/>
      <c r="H457" s="930"/>
      <c r="I457" s="970"/>
      <c r="J457" s="930"/>
      <c r="K457" s="931"/>
      <c r="L457" s="971"/>
      <c r="M457" s="954"/>
      <c r="N457" s="954"/>
      <c r="O457" s="954"/>
      <c r="P457" s="954"/>
      <c r="Q457" s="954"/>
      <c r="R457" s="954"/>
      <c r="S457" s="954"/>
      <c r="T457" s="954"/>
      <c r="U457" s="954"/>
    </row>
    <row r="458" spans="1:21" s="933" customFormat="1" ht="24" customHeight="1">
      <c r="A458" s="1026"/>
      <c r="B458" s="1027"/>
      <c r="C458" s="976"/>
      <c r="D458" s="976"/>
      <c r="E458" s="985"/>
      <c r="F458" s="974"/>
      <c r="G458" s="969"/>
      <c r="H458" s="930"/>
      <c r="I458" s="970"/>
      <c r="J458" s="930"/>
      <c r="K458" s="931"/>
      <c r="L458" s="971"/>
      <c r="M458" s="954"/>
      <c r="N458" s="954"/>
      <c r="O458" s="954"/>
      <c r="P458" s="954"/>
      <c r="Q458" s="954"/>
      <c r="R458" s="954"/>
      <c r="S458" s="954"/>
      <c r="T458" s="954"/>
      <c r="U458" s="954"/>
    </row>
    <row r="459" spans="1:21" s="933" customFormat="1" ht="24" customHeight="1">
      <c r="A459" s="1026"/>
      <c r="B459" s="1027"/>
      <c r="C459" s="976"/>
      <c r="D459" s="976"/>
      <c r="E459" s="985"/>
      <c r="F459" s="974"/>
      <c r="G459" s="969"/>
      <c r="H459" s="930"/>
      <c r="I459" s="970"/>
      <c r="J459" s="930"/>
      <c r="K459" s="931"/>
      <c r="L459" s="971"/>
      <c r="M459" s="954"/>
      <c r="N459" s="954"/>
      <c r="O459" s="954"/>
      <c r="P459" s="954"/>
      <c r="Q459" s="954"/>
      <c r="R459" s="954"/>
      <c r="S459" s="954"/>
      <c r="T459" s="954"/>
      <c r="U459" s="954"/>
    </row>
    <row r="460" spans="1:21" s="933" customFormat="1" ht="24" customHeight="1">
      <c r="A460" s="1026"/>
      <c r="B460" s="1027"/>
      <c r="C460" s="976"/>
      <c r="D460" s="976"/>
      <c r="E460" s="985"/>
      <c r="F460" s="974"/>
      <c r="G460" s="969"/>
      <c r="H460" s="930"/>
      <c r="I460" s="970"/>
      <c r="J460" s="930"/>
      <c r="K460" s="931"/>
      <c r="L460" s="971"/>
      <c r="M460" s="954"/>
      <c r="N460" s="954"/>
      <c r="O460" s="954"/>
      <c r="P460" s="954"/>
      <c r="Q460" s="954"/>
      <c r="R460" s="954"/>
      <c r="S460" s="954"/>
      <c r="T460" s="954"/>
      <c r="U460" s="954"/>
    </row>
    <row r="461" spans="1:21" s="933" customFormat="1" ht="24" customHeight="1">
      <c r="A461" s="1026" t="s">
        <v>914</v>
      </c>
      <c r="B461" s="1027" t="s">
        <v>915</v>
      </c>
      <c r="C461" s="976"/>
      <c r="D461" s="976"/>
      <c r="E461" s="985"/>
      <c r="F461" s="974"/>
      <c r="G461" s="969"/>
      <c r="H461" s="930"/>
      <c r="I461" s="970"/>
      <c r="J461" s="930"/>
      <c r="K461" s="931"/>
      <c r="L461" s="971"/>
      <c r="M461" s="954"/>
      <c r="N461" s="954"/>
      <c r="O461" s="954"/>
      <c r="P461" s="954"/>
      <c r="Q461" s="954"/>
      <c r="R461" s="954"/>
      <c r="S461" s="954"/>
      <c r="T461" s="954"/>
      <c r="U461" s="954"/>
    </row>
    <row r="462" spans="1:21" s="933" customFormat="1" ht="24" customHeight="1">
      <c r="A462" s="1026"/>
      <c r="B462" s="976" t="s">
        <v>864</v>
      </c>
      <c r="C462" s="977"/>
      <c r="D462" s="977"/>
      <c r="E462" s="978">
        <v>17.1828</v>
      </c>
      <c r="F462" s="974" t="s">
        <v>865</v>
      </c>
      <c r="G462" s="969">
        <v>2516</v>
      </c>
      <c r="H462" s="930">
        <f t="shared" ref="H462:H476" si="99">ROUND(E462*G462,2)</f>
        <v>43231.92</v>
      </c>
      <c r="I462" s="970">
        <v>485</v>
      </c>
      <c r="J462" s="930">
        <f t="shared" ref="J462:J476" si="100">ROUND(E462*I462,2)</f>
        <v>8333.66</v>
      </c>
      <c r="K462" s="931">
        <f t="shared" ref="K462:K476" si="101">H462+J462</f>
        <v>51565.58</v>
      </c>
      <c r="L462" s="971"/>
      <c r="M462" s="954"/>
      <c r="N462" s="954"/>
      <c r="O462" s="954"/>
      <c r="P462" s="954"/>
      <c r="Q462" s="954"/>
      <c r="R462" s="954"/>
      <c r="S462" s="954"/>
      <c r="T462" s="954"/>
      <c r="U462" s="954"/>
    </row>
    <row r="463" spans="1:21" s="933" customFormat="1" ht="24" customHeight="1">
      <c r="A463" s="1026"/>
      <c r="B463" s="979" t="s">
        <v>866</v>
      </c>
      <c r="C463" s="976"/>
      <c r="D463" s="976"/>
      <c r="E463" s="978"/>
      <c r="F463" s="974"/>
      <c r="G463" s="969"/>
      <c r="H463" s="930"/>
      <c r="I463" s="970"/>
      <c r="J463" s="930"/>
      <c r="K463" s="931"/>
      <c r="L463" s="971"/>
      <c r="M463" s="954"/>
      <c r="N463" s="954"/>
      <c r="O463" s="954"/>
      <c r="P463" s="954"/>
      <c r="Q463" s="954"/>
      <c r="R463" s="954"/>
      <c r="S463" s="954"/>
      <c r="T463" s="954"/>
      <c r="U463" s="954"/>
    </row>
    <row r="464" spans="1:21" s="933" customFormat="1" ht="24" customHeight="1">
      <c r="A464" s="1026"/>
      <c r="B464" s="979"/>
      <c r="C464" s="976" t="s">
        <v>867</v>
      </c>
      <c r="D464" s="976"/>
      <c r="E464" s="978">
        <f>E465/2</f>
        <v>58.164000000000001</v>
      </c>
      <c r="F464" s="974" t="s">
        <v>34</v>
      </c>
      <c r="G464" s="969">
        <v>661.62</v>
      </c>
      <c r="H464" s="930">
        <f t="shared" si="99"/>
        <v>38482.47</v>
      </c>
      <c r="I464" s="970"/>
      <c r="J464" s="930">
        <f t="shared" si="100"/>
        <v>0</v>
      </c>
      <c r="K464" s="931">
        <f t="shared" si="101"/>
        <v>38482.47</v>
      </c>
      <c r="L464" s="971"/>
      <c r="M464" s="954"/>
      <c r="N464" s="954"/>
      <c r="O464" s="954"/>
      <c r="P464" s="954"/>
      <c r="Q464" s="954"/>
      <c r="R464" s="954"/>
      <c r="S464" s="954"/>
      <c r="T464" s="954"/>
      <c r="U464" s="954"/>
    </row>
    <row r="465" spans="1:21" s="933" customFormat="1" ht="24" customHeight="1">
      <c r="A465" s="1026"/>
      <c r="B465" s="979"/>
      <c r="C465" s="976" t="s">
        <v>868</v>
      </c>
      <c r="D465" s="976"/>
      <c r="E465" s="978">
        <v>116.328</v>
      </c>
      <c r="F465" s="974" t="s">
        <v>34</v>
      </c>
      <c r="G465" s="969"/>
      <c r="H465" s="930">
        <f t="shared" si="99"/>
        <v>0</v>
      </c>
      <c r="I465" s="970">
        <v>154</v>
      </c>
      <c r="J465" s="930">
        <f t="shared" si="100"/>
        <v>17914.509999999998</v>
      </c>
      <c r="K465" s="931">
        <f t="shared" si="101"/>
        <v>17914.509999999998</v>
      </c>
      <c r="L465" s="971"/>
      <c r="M465" s="954"/>
      <c r="N465" s="954"/>
      <c r="O465" s="954"/>
      <c r="P465" s="954"/>
      <c r="Q465" s="954"/>
      <c r="R465" s="954"/>
      <c r="S465" s="954"/>
      <c r="T465" s="954"/>
      <c r="U465" s="954"/>
    </row>
    <row r="466" spans="1:21" s="933" customFormat="1" ht="24" customHeight="1">
      <c r="A466" s="1026"/>
      <c r="B466" s="976" t="s">
        <v>869</v>
      </c>
      <c r="C466" s="976"/>
      <c r="D466" s="976"/>
      <c r="E466" s="978">
        <f>(E465*0.25)</f>
        <v>29.082000000000001</v>
      </c>
      <c r="F466" s="974" t="s">
        <v>870</v>
      </c>
      <c r="G466" s="969">
        <f t="shared" ref="G466" si="102">VLOOKUP(B466,$O$43:$P$53,2,FALSE)</f>
        <v>29.94</v>
      </c>
      <c r="H466" s="930">
        <f t="shared" si="99"/>
        <v>870.72</v>
      </c>
      <c r="I466" s="970"/>
      <c r="J466" s="930">
        <f t="shared" si="100"/>
        <v>0</v>
      </c>
      <c r="K466" s="931">
        <f t="shared" si="101"/>
        <v>870.72</v>
      </c>
      <c r="L466" s="971"/>
      <c r="M466" s="954"/>
      <c r="N466" s="954"/>
      <c r="O466" s="954"/>
      <c r="P466" s="954"/>
      <c r="Q466" s="954"/>
      <c r="R466" s="954"/>
      <c r="S466" s="954"/>
      <c r="T466" s="954"/>
      <c r="U466" s="954"/>
    </row>
    <row r="467" spans="1:21" s="933" customFormat="1" ht="24" customHeight="1">
      <c r="A467" s="1026"/>
      <c r="B467" s="976" t="s">
        <v>871</v>
      </c>
      <c r="C467" s="976"/>
      <c r="D467" s="976"/>
      <c r="E467" s="978"/>
      <c r="F467" s="982"/>
      <c r="G467" s="983"/>
      <c r="H467" s="930"/>
      <c r="I467" s="970"/>
      <c r="J467" s="930"/>
      <c r="K467" s="931"/>
      <c r="L467" s="971"/>
      <c r="M467" s="954"/>
      <c r="N467" s="954"/>
      <c r="O467" s="954"/>
      <c r="P467" s="954"/>
      <c r="Q467" s="954"/>
      <c r="R467" s="954"/>
      <c r="S467" s="954"/>
      <c r="T467" s="954"/>
      <c r="U467" s="954"/>
    </row>
    <row r="468" spans="1:21" s="933" customFormat="1" ht="24" customHeight="1">
      <c r="A468" s="1026"/>
      <c r="B468" s="976" t="s">
        <v>872</v>
      </c>
      <c r="C468" s="976"/>
      <c r="D468" s="976"/>
      <c r="E468" s="978"/>
      <c r="F468" s="974" t="s">
        <v>870</v>
      </c>
      <c r="G468" s="969">
        <f t="shared" ref="G468:G476" si="103">VLOOKUP(B468,$O$43:$P$53,2,FALSE)</f>
        <v>25.73</v>
      </c>
      <c r="H468" s="930">
        <f t="shared" si="99"/>
        <v>0</v>
      </c>
      <c r="I468" s="984">
        <v>4.0999999999999996</v>
      </c>
      <c r="J468" s="930">
        <f t="shared" si="100"/>
        <v>0</v>
      </c>
      <c r="K468" s="931">
        <f t="shared" si="101"/>
        <v>0</v>
      </c>
      <c r="L468" s="971"/>
      <c r="M468" s="954"/>
      <c r="N468" s="954"/>
      <c r="O468" s="954"/>
      <c r="P468" s="954"/>
      <c r="Q468" s="954"/>
      <c r="R468" s="954"/>
      <c r="S468" s="954"/>
      <c r="T468" s="954"/>
      <c r="U468" s="954"/>
    </row>
    <row r="469" spans="1:21" s="933" customFormat="1" ht="24" customHeight="1">
      <c r="A469" s="1026"/>
      <c r="B469" s="976" t="s">
        <v>873</v>
      </c>
      <c r="C469" s="976"/>
      <c r="D469" s="976"/>
      <c r="E469" s="978">
        <v>884.53</v>
      </c>
      <c r="F469" s="974" t="s">
        <v>870</v>
      </c>
      <c r="G469" s="969">
        <f t="shared" si="103"/>
        <v>24.97</v>
      </c>
      <c r="H469" s="930">
        <f t="shared" si="99"/>
        <v>22086.71</v>
      </c>
      <c r="I469" s="970">
        <v>4.0999999999999996</v>
      </c>
      <c r="J469" s="930">
        <f t="shared" si="100"/>
        <v>3626.57</v>
      </c>
      <c r="K469" s="931">
        <f t="shared" si="101"/>
        <v>25713.279999999999</v>
      </c>
      <c r="L469" s="971"/>
      <c r="M469" s="954"/>
      <c r="N469" s="954"/>
      <c r="O469" s="954"/>
      <c r="P469" s="954"/>
      <c r="Q469" s="954"/>
      <c r="R469" s="954"/>
      <c r="S469" s="954"/>
      <c r="T469" s="954"/>
      <c r="U469" s="954"/>
    </row>
    <row r="470" spans="1:21" s="933" customFormat="1" ht="24" customHeight="1">
      <c r="A470" s="1026"/>
      <c r="B470" s="976" t="s">
        <v>874</v>
      </c>
      <c r="C470" s="976"/>
      <c r="D470" s="976"/>
      <c r="E470" s="978">
        <v>1011.72</v>
      </c>
      <c r="F470" s="974" t="s">
        <v>870</v>
      </c>
      <c r="G470" s="969">
        <f t="shared" si="103"/>
        <v>24.47</v>
      </c>
      <c r="H470" s="930">
        <f t="shared" si="99"/>
        <v>24756.79</v>
      </c>
      <c r="I470" s="970">
        <v>3.3</v>
      </c>
      <c r="J470" s="930">
        <f t="shared" si="100"/>
        <v>3338.68</v>
      </c>
      <c r="K470" s="931">
        <f t="shared" si="101"/>
        <v>28095.47</v>
      </c>
      <c r="L470" s="971"/>
      <c r="M470" s="954"/>
      <c r="N470" s="954"/>
      <c r="O470" s="954"/>
      <c r="P470" s="954"/>
      <c r="Q470" s="954"/>
      <c r="R470" s="954"/>
      <c r="S470" s="954"/>
      <c r="T470" s="954"/>
      <c r="U470" s="954"/>
    </row>
    <row r="471" spans="1:21" s="933" customFormat="1" ht="24" customHeight="1">
      <c r="A471" s="1026"/>
      <c r="B471" s="976" t="s">
        <v>875</v>
      </c>
      <c r="C471" s="976"/>
      <c r="D471" s="976"/>
      <c r="E471" s="978">
        <v>584.02</v>
      </c>
      <c r="F471" s="982" t="s">
        <v>870</v>
      </c>
      <c r="G471" s="969">
        <f t="shared" si="103"/>
        <v>24.27</v>
      </c>
      <c r="H471" s="930">
        <f t="shared" si="99"/>
        <v>14174.17</v>
      </c>
      <c r="I471" s="970">
        <v>3.3</v>
      </c>
      <c r="J471" s="930">
        <f t="shared" si="100"/>
        <v>1927.27</v>
      </c>
      <c r="K471" s="931">
        <f t="shared" si="101"/>
        <v>16101.44</v>
      </c>
      <c r="L471" s="971"/>
      <c r="M471" s="954"/>
      <c r="N471" s="954"/>
      <c r="O471" s="954"/>
      <c r="P471" s="954"/>
      <c r="Q471" s="954"/>
      <c r="R471" s="954"/>
      <c r="S471" s="954"/>
      <c r="T471" s="954"/>
      <c r="U471" s="954"/>
    </row>
    <row r="472" spans="1:21" s="933" customFormat="1" ht="24" customHeight="1">
      <c r="A472" s="1026"/>
      <c r="B472" s="976" t="s">
        <v>876</v>
      </c>
      <c r="C472" s="976"/>
      <c r="D472" s="976"/>
      <c r="E472" s="978"/>
      <c r="F472" s="974" t="s">
        <v>870</v>
      </c>
      <c r="G472" s="969">
        <f t="shared" si="103"/>
        <v>24.27</v>
      </c>
      <c r="H472" s="930">
        <f t="shared" si="99"/>
        <v>0</v>
      </c>
      <c r="I472" s="970">
        <v>2.9</v>
      </c>
      <c r="J472" s="930">
        <f t="shared" si="100"/>
        <v>0</v>
      </c>
      <c r="K472" s="931">
        <f t="shared" si="101"/>
        <v>0</v>
      </c>
      <c r="L472" s="971"/>
      <c r="M472" s="954"/>
      <c r="N472" s="954"/>
      <c r="O472" s="954"/>
      <c r="P472" s="954"/>
      <c r="Q472" s="954"/>
      <c r="R472" s="954"/>
      <c r="S472" s="954"/>
      <c r="T472" s="954"/>
      <c r="U472" s="954"/>
    </row>
    <row r="473" spans="1:21" s="933" customFormat="1" ht="24" customHeight="1">
      <c r="A473" s="1026"/>
      <c r="B473" s="976" t="s">
        <v>877</v>
      </c>
      <c r="C473" s="976"/>
      <c r="D473" s="976"/>
      <c r="E473" s="978"/>
      <c r="F473" s="974" t="s">
        <v>870</v>
      </c>
      <c r="G473" s="969">
        <f t="shared" si="103"/>
        <v>24.27</v>
      </c>
      <c r="H473" s="930">
        <f t="shared" si="99"/>
        <v>0</v>
      </c>
      <c r="I473" s="970">
        <v>2.9</v>
      </c>
      <c r="J473" s="930">
        <f t="shared" si="100"/>
        <v>0</v>
      </c>
      <c r="K473" s="931">
        <f t="shared" si="101"/>
        <v>0</v>
      </c>
      <c r="L473" s="971"/>
      <c r="M473" s="954"/>
      <c r="N473" s="954"/>
      <c r="O473" s="954"/>
      <c r="P473" s="954"/>
      <c r="Q473" s="954"/>
      <c r="R473" s="954"/>
      <c r="S473" s="954"/>
      <c r="T473" s="954"/>
      <c r="U473" s="954"/>
    </row>
    <row r="474" spans="1:21" s="933" customFormat="1" ht="24" customHeight="1">
      <c r="A474" s="1026"/>
      <c r="B474" s="976" t="s">
        <v>878</v>
      </c>
      <c r="C474" s="976"/>
      <c r="D474" s="976"/>
      <c r="E474" s="978"/>
      <c r="F474" s="974" t="s">
        <v>870</v>
      </c>
      <c r="G474" s="969">
        <f t="shared" si="103"/>
        <v>24.27</v>
      </c>
      <c r="H474" s="930">
        <f t="shared" si="99"/>
        <v>0</v>
      </c>
      <c r="I474" s="970">
        <v>2.9</v>
      </c>
      <c r="J474" s="930">
        <f t="shared" si="100"/>
        <v>0</v>
      </c>
      <c r="K474" s="931">
        <f t="shared" si="101"/>
        <v>0</v>
      </c>
      <c r="L474" s="971"/>
      <c r="M474" s="954"/>
      <c r="N474" s="954"/>
      <c r="O474" s="954"/>
      <c r="P474" s="954"/>
      <c r="Q474" s="954"/>
      <c r="R474" s="954"/>
      <c r="S474" s="954"/>
      <c r="T474" s="954"/>
      <c r="U474" s="954"/>
    </row>
    <row r="475" spans="1:21" s="933" customFormat="1" ht="24" customHeight="1">
      <c r="A475" s="1026"/>
      <c r="B475" s="976" t="s">
        <v>879</v>
      </c>
      <c r="C475" s="976"/>
      <c r="D475" s="976"/>
      <c r="E475" s="978"/>
      <c r="F475" s="974" t="s">
        <v>870</v>
      </c>
      <c r="G475" s="969">
        <f t="shared" si="103"/>
        <v>23.8</v>
      </c>
      <c r="H475" s="930">
        <f t="shared" si="99"/>
        <v>0</v>
      </c>
      <c r="I475" s="970">
        <v>2.9</v>
      </c>
      <c r="J475" s="930">
        <f t="shared" si="100"/>
        <v>0</v>
      </c>
      <c r="K475" s="931">
        <f t="shared" si="101"/>
        <v>0</v>
      </c>
      <c r="L475" s="971"/>
      <c r="M475" s="954"/>
      <c r="N475" s="954"/>
      <c r="O475" s="954"/>
      <c r="P475" s="954"/>
      <c r="Q475" s="954"/>
      <c r="R475" s="954"/>
      <c r="S475" s="954"/>
      <c r="T475" s="954"/>
      <c r="U475" s="954"/>
    </row>
    <row r="476" spans="1:21" s="933" customFormat="1" ht="24" customHeight="1">
      <c r="A476" s="1026"/>
      <c r="B476" s="976" t="s">
        <v>880</v>
      </c>
      <c r="C476" s="976"/>
      <c r="D476" s="976"/>
      <c r="E476" s="978">
        <f>(SUM(E468:E475)/1000)*30</f>
        <v>74.408100000000005</v>
      </c>
      <c r="F476" s="974" t="s">
        <v>870</v>
      </c>
      <c r="G476" s="969">
        <f t="shared" si="103"/>
        <v>29.92</v>
      </c>
      <c r="H476" s="930">
        <f t="shared" si="99"/>
        <v>2226.29</v>
      </c>
      <c r="I476" s="970"/>
      <c r="J476" s="930">
        <f t="shared" si="100"/>
        <v>0</v>
      </c>
      <c r="K476" s="931">
        <f t="shared" si="101"/>
        <v>2226.29</v>
      </c>
      <c r="L476" s="971"/>
      <c r="M476" s="954"/>
      <c r="N476" s="954"/>
      <c r="O476" s="954"/>
      <c r="P476" s="954"/>
      <c r="Q476" s="954"/>
      <c r="R476" s="954"/>
      <c r="S476" s="954"/>
      <c r="T476" s="954"/>
      <c r="U476" s="954"/>
    </row>
    <row r="477" spans="1:21" s="933" customFormat="1" ht="24" customHeight="1">
      <c r="A477" s="1026"/>
      <c r="B477" s="976" t="s">
        <v>881</v>
      </c>
      <c r="C477" s="976"/>
      <c r="D477" s="976"/>
      <c r="E477" s="978"/>
      <c r="F477" s="974"/>
      <c r="G477" s="969"/>
      <c r="H477" s="930"/>
      <c r="I477" s="970"/>
      <c r="J477" s="930"/>
      <c r="K477" s="931"/>
      <c r="L477" s="971"/>
      <c r="M477" s="954"/>
      <c r="N477" s="954"/>
      <c r="O477" s="954"/>
      <c r="P477" s="954"/>
      <c r="Q477" s="954"/>
      <c r="R477" s="954"/>
      <c r="S477" s="954"/>
      <c r="T477" s="954"/>
      <c r="U477" s="954"/>
    </row>
    <row r="478" spans="1:21" s="933" customFormat="1" ht="24" customHeight="1">
      <c r="A478" s="1026"/>
      <c r="B478" s="976"/>
      <c r="C478" s="972"/>
      <c r="D478" s="976"/>
      <c r="E478" s="985"/>
      <c r="F478" s="974"/>
      <c r="G478" s="969"/>
      <c r="H478" s="930"/>
      <c r="I478" s="970"/>
      <c r="J478" s="930"/>
      <c r="K478" s="931"/>
      <c r="L478" s="971"/>
      <c r="M478" s="954"/>
      <c r="N478" s="954"/>
      <c r="O478" s="954"/>
      <c r="P478" s="954"/>
      <c r="Q478" s="954"/>
      <c r="R478" s="954"/>
      <c r="S478" s="954"/>
      <c r="T478" s="954"/>
      <c r="U478" s="954"/>
    </row>
    <row r="479" spans="1:21" s="933" customFormat="1" ht="24" customHeight="1">
      <c r="A479" s="1026"/>
      <c r="B479" s="976"/>
      <c r="C479" s="976"/>
      <c r="D479" s="976"/>
      <c r="E479" s="985"/>
      <c r="F479" s="974"/>
      <c r="G479" s="969"/>
      <c r="H479" s="930"/>
      <c r="I479" s="970"/>
      <c r="J479" s="930"/>
      <c r="K479" s="931"/>
      <c r="L479" s="971"/>
      <c r="M479" s="954"/>
      <c r="N479" s="954"/>
      <c r="O479" s="954"/>
      <c r="P479" s="954"/>
      <c r="Q479" s="954"/>
      <c r="R479" s="954"/>
      <c r="S479" s="954"/>
      <c r="T479" s="954"/>
      <c r="U479" s="954"/>
    </row>
    <row r="480" spans="1:21" s="933" customFormat="1" ht="24" customHeight="1">
      <c r="A480" s="1026"/>
      <c r="B480" s="976"/>
      <c r="C480" s="976"/>
      <c r="D480" s="976"/>
      <c r="E480" s="985"/>
      <c r="F480" s="974"/>
      <c r="G480" s="969"/>
      <c r="H480" s="930"/>
      <c r="I480" s="970"/>
      <c r="J480" s="930"/>
      <c r="K480" s="931"/>
      <c r="L480" s="971"/>
      <c r="M480" s="954"/>
      <c r="N480" s="954"/>
      <c r="O480" s="954"/>
      <c r="P480" s="954"/>
      <c r="Q480" s="954"/>
      <c r="R480" s="954"/>
      <c r="S480" s="954"/>
      <c r="T480" s="954"/>
      <c r="U480" s="954"/>
    </row>
    <row r="481" spans="1:21" s="933" customFormat="1" ht="24" customHeight="1">
      <c r="A481" s="1026"/>
      <c r="B481" s="976"/>
      <c r="C481" s="976"/>
      <c r="D481" s="976"/>
      <c r="E481" s="985"/>
      <c r="F481" s="974"/>
      <c r="G481" s="969"/>
      <c r="H481" s="930"/>
      <c r="I481" s="970"/>
      <c r="J481" s="930"/>
      <c r="K481" s="931"/>
      <c r="L481" s="971"/>
      <c r="M481" s="954"/>
      <c r="N481" s="954"/>
      <c r="O481" s="954"/>
      <c r="P481" s="954"/>
      <c r="Q481" s="954"/>
      <c r="R481" s="954"/>
      <c r="S481" s="954"/>
      <c r="T481" s="954"/>
      <c r="U481" s="954"/>
    </row>
    <row r="482" spans="1:21" s="933" customFormat="1" ht="24" customHeight="1">
      <c r="A482" s="1026"/>
      <c r="B482" s="1027"/>
      <c r="C482" s="976"/>
      <c r="D482" s="976"/>
      <c r="E482" s="985"/>
      <c r="F482" s="974"/>
      <c r="G482" s="969"/>
      <c r="H482" s="930"/>
      <c r="I482" s="970"/>
      <c r="J482" s="930"/>
      <c r="K482" s="931"/>
      <c r="L482" s="971"/>
      <c r="M482" s="954"/>
      <c r="N482" s="954"/>
      <c r="O482" s="954"/>
      <c r="P482" s="954"/>
      <c r="Q482" s="954"/>
      <c r="R482" s="954"/>
      <c r="S482" s="954"/>
      <c r="T482" s="954"/>
      <c r="U482" s="954"/>
    </row>
    <row r="483" spans="1:21" s="933" customFormat="1" ht="24" customHeight="1">
      <c r="A483" s="1026"/>
      <c r="B483" s="1027"/>
      <c r="C483" s="976"/>
      <c r="D483" s="976"/>
      <c r="E483" s="985"/>
      <c r="F483" s="974"/>
      <c r="G483" s="969"/>
      <c r="H483" s="930"/>
      <c r="I483" s="970"/>
      <c r="J483" s="930"/>
      <c r="K483" s="931"/>
      <c r="L483" s="971"/>
      <c r="M483" s="954"/>
      <c r="N483" s="954"/>
      <c r="O483" s="954"/>
      <c r="P483" s="954"/>
      <c r="Q483" s="954"/>
      <c r="R483" s="954"/>
      <c r="S483" s="954"/>
      <c r="T483" s="954"/>
      <c r="U483" s="954"/>
    </row>
    <row r="484" spans="1:21" s="933" customFormat="1" ht="24" customHeight="1">
      <c r="A484" s="956"/>
      <c r="B484" s="957"/>
      <c r="C484" s="987"/>
      <c r="D484" s="987"/>
      <c r="E484" s="988"/>
      <c r="F484" s="989"/>
      <c r="G484" s="983"/>
      <c r="H484" s="990"/>
      <c r="I484" s="984"/>
      <c r="J484" s="990"/>
      <c r="K484" s="991"/>
      <c r="L484" s="992"/>
      <c r="M484" s="954"/>
      <c r="N484" s="954"/>
      <c r="O484" s="954"/>
      <c r="P484" s="954"/>
      <c r="Q484" s="954"/>
      <c r="R484" s="954"/>
      <c r="S484" s="954"/>
      <c r="T484" s="954"/>
      <c r="U484" s="954"/>
    </row>
    <row r="485" spans="1:21" s="933" customFormat="1" ht="24" customHeight="1">
      <c r="A485" s="1014"/>
      <c r="B485" s="2226" t="str">
        <f>"รวมราคารายการที่ "&amp;A361</f>
        <v>รวมราคารายการที่ 1.4</v>
      </c>
      <c r="C485" s="2226"/>
      <c r="D485" s="2226"/>
      <c r="E485" s="1028"/>
      <c r="F485" s="1018"/>
      <c r="G485" s="1018"/>
      <c r="H485" s="1018">
        <f>ROUND(SUBTOTAL(9,H364:H484),2)</f>
        <v>16187002.859999999</v>
      </c>
      <c r="I485" s="1019"/>
      <c r="J485" s="1018">
        <f>ROUND(SUBTOTAL(9,J364:J484),2)</f>
        <v>3095622.33</v>
      </c>
      <c r="K485" s="1018">
        <f>ROUND(SUBTOTAL(9,K364:K484),2)</f>
        <v>19282625.190000001</v>
      </c>
      <c r="L485" s="1018"/>
      <c r="M485" s="954"/>
      <c r="N485" s="954"/>
      <c r="O485" s="954"/>
      <c r="P485" s="954"/>
      <c r="Q485" s="954"/>
      <c r="R485" s="954"/>
      <c r="S485" s="954"/>
      <c r="T485" s="954"/>
      <c r="U485" s="954"/>
    </row>
    <row r="486" spans="1:21" s="933" customFormat="1" ht="24" customHeight="1">
      <c r="A486" s="956">
        <v>1.5</v>
      </c>
      <c r="B486" s="957" t="s">
        <v>916</v>
      </c>
      <c r="C486" s="987"/>
      <c r="D486" s="987"/>
      <c r="E486" s="988"/>
      <c r="F486" s="989"/>
      <c r="G486" s="983"/>
      <c r="H486" s="990"/>
      <c r="I486" s="984"/>
      <c r="J486" s="990"/>
      <c r="K486" s="991"/>
      <c r="L486" s="992"/>
      <c r="M486" s="954"/>
      <c r="N486" s="954"/>
      <c r="O486" s="954"/>
      <c r="P486" s="954"/>
      <c r="Q486" s="954"/>
      <c r="R486" s="954"/>
      <c r="S486" s="954"/>
      <c r="T486" s="954"/>
      <c r="U486" s="954"/>
    </row>
    <row r="487" spans="1:21" s="933" customFormat="1" ht="24" customHeight="1">
      <c r="A487" s="1026"/>
      <c r="B487" s="1027"/>
      <c r="C487" s="976"/>
      <c r="D487" s="976"/>
      <c r="E487" s="985"/>
      <c r="F487" s="974"/>
      <c r="G487" s="969"/>
      <c r="H487" s="930"/>
      <c r="I487" s="970"/>
      <c r="J487" s="930"/>
      <c r="K487" s="931"/>
      <c r="L487" s="971"/>
      <c r="M487" s="954"/>
      <c r="N487" s="954"/>
      <c r="O487" s="954"/>
      <c r="P487" s="954"/>
      <c r="Q487" s="954"/>
      <c r="R487" s="954"/>
      <c r="S487" s="954"/>
      <c r="T487" s="954"/>
      <c r="U487" s="954"/>
    </row>
    <row r="488" spans="1:21" s="933" customFormat="1" ht="24" customHeight="1">
      <c r="A488" s="1026" t="s">
        <v>917</v>
      </c>
      <c r="B488" s="1027" t="s">
        <v>918</v>
      </c>
      <c r="C488" s="976"/>
      <c r="D488" s="976"/>
      <c r="E488" s="985"/>
      <c r="F488" s="974"/>
      <c r="G488" s="969"/>
      <c r="H488" s="930"/>
      <c r="I488" s="970"/>
      <c r="J488" s="930"/>
      <c r="K488" s="931"/>
      <c r="L488" s="971"/>
      <c r="M488" s="954"/>
      <c r="N488" s="954"/>
      <c r="O488" s="954"/>
      <c r="P488" s="954"/>
      <c r="Q488" s="954"/>
      <c r="R488" s="954"/>
      <c r="S488" s="954"/>
      <c r="T488" s="954"/>
      <c r="U488" s="954"/>
    </row>
    <row r="489" spans="1:21" s="933" customFormat="1" ht="24" customHeight="1">
      <c r="A489" s="1026"/>
      <c r="B489" s="976" t="s">
        <v>864</v>
      </c>
      <c r="C489" s="977"/>
      <c r="D489" s="977"/>
      <c r="E489" s="978">
        <v>1356.91</v>
      </c>
      <c r="F489" s="974" t="s">
        <v>865</v>
      </c>
      <c r="G489" s="969">
        <v>2516</v>
      </c>
      <c r="H489" s="930">
        <f t="shared" ref="H489:H504" si="104">ROUND(E489*G489,2)</f>
        <v>3413985.56</v>
      </c>
      <c r="I489" s="970">
        <v>485</v>
      </c>
      <c r="J489" s="930">
        <f t="shared" ref="J489:J504" si="105">ROUND(E489*I489,2)</f>
        <v>658101.35</v>
      </c>
      <c r="K489" s="931">
        <f t="shared" ref="K489:K504" si="106">H489+J489</f>
        <v>4072086.91</v>
      </c>
      <c r="L489" s="971"/>
      <c r="M489" s="954"/>
      <c r="N489" s="954"/>
      <c r="O489" s="954"/>
      <c r="P489" s="954"/>
      <c r="Q489" s="954"/>
      <c r="R489" s="954"/>
      <c r="S489" s="954"/>
      <c r="T489" s="954"/>
      <c r="U489" s="954"/>
    </row>
    <row r="490" spans="1:21" s="933" customFormat="1" ht="24" customHeight="1">
      <c r="A490" s="1026"/>
      <c r="B490" s="979" t="s">
        <v>866</v>
      </c>
      <c r="C490" s="976"/>
      <c r="D490" s="976"/>
      <c r="E490" s="978"/>
      <c r="F490" s="974"/>
      <c r="G490" s="969"/>
      <c r="H490" s="930"/>
      <c r="I490" s="970"/>
      <c r="J490" s="930"/>
      <c r="K490" s="931"/>
      <c r="L490" s="971"/>
      <c r="M490" s="954"/>
      <c r="N490" s="954"/>
      <c r="O490" s="954"/>
      <c r="P490" s="954"/>
      <c r="Q490" s="954"/>
      <c r="R490" s="954"/>
      <c r="S490" s="954"/>
      <c r="T490" s="954"/>
      <c r="U490" s="954"/>
    </row>
    <row r="491" spans="1:21" s="933" customFormat="1" ht="24" customHeight="1">
      <c r="A491" s="1026"/>
      <c r="B491" s="979"/>
      <c r="C491" s="976" t="s">
        <v>867</v>
      </c>
      <c r="D491" s="976"/>
      <c r="E491" s="978">
        <f>E492/2</f>
        <v>3043.9450000000002</v>
      </c>
      <c r="F491" s="974" t="s">
        <v>34</v>
      </c>
      <c r="G491" s="969">
        <v>661.62</v>
      </c>
      <c r="H491" s="930">
        <f t="shared" si="104"/>
        <v>2013934.89</v>
      </c>
      <c r="I491" s="970"/>
      <c r="J491" s="930">
        <f t="shared" si="105"/>
        <v>0</v>
      </c>
      <c r="K491" s="931">
        <f t="shared" si="106"/>
        <v>2013934.89</v>
      </c>
      <c r="L491" s="971"/>
      <c r="M491" s="954"/>
      <c r="N491" s="954"/>
      <c r="O491" s="954"/>
      <c r="P491" s="954"/>
      <c r="Q491" s="954"/>
      <c r="R491" s="954"/>
      <c r="S491" s="954"/>
      <c r="T491" s="954"/>
      <c r="U491" s="954"/>
    </row>
    <row r="492" spans="1:21" s="933" customFormat="1" ht="24" customHeight="1">
      <c r="A492" s="1026"/>
      <c r="B492" s="979"/>
      <c r="C492" s="976" t="s">
        <v>868</v>
      </c>
      <c r="D492" s="976"/>
      <c r="E492" s="978">
        <v>6087.89</v>
      </c>
      <c r="F492" s="974" t="s">
        <v>34</v>
      </c>
      <c r="G492" s="969"/>
      <c r="H492" s="930">
        <f t="shared" si="104"/>
        <v>0</v>
      </c>
      <c r="I492" s="970">
        <v>154</v>
      </c>
      <c r="J492" s="930">
        <f t="shared" si="105"/>
        <v>937535.06</v>
      </c>
      <c r="K492" s="931">
        <f t="shared" si="106"/>
        <v>937535.06</v>
      </c>
      <c r="L492" s="971"/>
      <c r="M492" s="954"/>
      <c r="N492" s="954"/>
      <c r="O492" s="954"/>
      <c r="P492" s="954"/>
      <c r="Q492" s="954"/>
      <c r="R492" s="954"/>
      <c r="S492" s="954"/>
      <c r="T492" s="954"/>
      <c r="U492" s="954"/>
    </row>
    <row r="493" spans="1:21" s="933" customFormat="1" ht="24" customHeight="1">
      <c r="A493" s="1026"/>
      <c r="B493" s="976" t="s">
        <v>869</v>
      </c>
      <c r="C493" s="976"/>
      <c r="D493" s="976"/>
      <c r="E493" s="978">
        <f>(E492*0.25)</f>
        <v>1521.9725000000001</v>
      </c>
      <c r="F493" s="974" t="s">
        <v>870</v>
      </c>
      <c r="G493" s="969">
        <f t="shared" ref="G493" si="107">VLOOKUP(B493,$O$43:$P$53,2,FALSE)</f>
        <v>29.94</v>
      </c>
      <c r="H493" s="930">
        <f t="shared" si="104"/>
        <v>45567.86</v>
      </c>
      <c r="I493" s="970"/>
      <c r="J493" s="930">
        <f t="shared" si="105"/>
        <v>0</v>
      </c>
      <c r="K493" s="931">
        <f t="shared" si="106"/>
        <v>45567.86</v>
      </c>
      <c r="L493" s="971"/>
      <c r="M493" s="954"/>
      <c r="N493" s="954"/>
      <c r="O493" s="954"/>
      <c r="P493" s="954"/>
      <c r="Q493" s="954"/>
      <c r="R493" s="954"/>
      <c r="S493" s="954"/>
      <c r="T493" s="954"/>
      <c r="U493" s="954"/>
    </row>
    <row r="494" spans="1:21" s="933" customFormat="1" ht="24" customHeight="1">
      <c r="A494" s="1026"/>
      <c r="B494" s="976" t="s">
        <v>871</v>
      </c>
      <c r="C494" s="976"/>
      <c r="D494" s="976"/>
      <c r="E494" s="978"/>
      <c r="F494" s="982"/>
      <c r="G494" s="983"/>
      <c r="H494" s="930"/>
      <c r="I494" s="970"/>
      <c r="J494" s="930"/>
      <c r="K494" s="931"/>
      <c r="L494" s="971"/>
      <c r="M494" s="954"/>
      <c r="N494" s="954"/>
      <c r="O494" s="954"/>
      <c r="P494" s="954"/>
      <c r="Q494" s="954"/>
      <c r="R494" s="954"/>
      <c r="S494" s="954"/>
      <c r="T494" s="954"/>
      <c r="U494" s="954"/>
    </row>
    <row r="495" spans="1:21" s="933" customFormat="1" ht="24" customHeight="1">
      <c r="A495" s="1026"/>
      <c r="B495" s="976" t="s">
        <v>872</v>
      </c>
      <c r="C495" s="976"/>
      <c r="D495" s="976"/>
      <c r="E495" s="978"/>
      <c r="F495" s="974" t="s">
        <v>870</v>
      </c>
      <c r="G495" s="969">
        <f t="shared" ref="G495:G503" si="108">VLOOKUP(B495,$O$43:$P$53,2,FALSE)</f>
        <v>25.73</v>
      </c>
      <c r="H495" s="930">
        <f t="shared" si="104"/>
        <v>0</v>
      </c>
      <c r="I495" s="984">
        <v>4.0999999999999996</v>
      </c>
      <c r="J495" s="930">
        <f t="shared" si="105"/>
        <v>0</v>
      </c>
      <c r="K495" s="931">
        <f t="shared" si="106"/>
        <v>0</v>
      </c>
      <c r="L495" s="971"/>
      <c r="M495" s="954"/>
      <c r="N495" s="954"/>
      <c r="O495" s="954"/>
      <c r="P495" s="954"/>
      <c r="Q495" s="954"/>
      <c r="R495" s="954"/>
      <c r="S495" s="954"/>
      <c r="T495" s="954"/>
      <c r="U495" s="954"/>
    </row>
    <row r="496" spans="1:21" s="933" customFormat="1" ht="24" customHeight="1">
      <c r="A496" s="1026"/>
      <c r="B496" s="976" t="s">
        <v>873</v>
      </c>
      <c r="C496" s="976"/>
      <c r="D496" s="976"/>
      <c r="E496" s="978">
        <v>0</v>
      </c>
      <c r="F496" s="974" t="s">
        <v>870</v>
      </c>
      <c r="G496" s="969">
        <f t="shared" si="108"/>
        <v>24.97</v>
      </c>
      <c r="H496" s="930">
        <f t="shared" si="104"/>
        <v>0</v>
      </c>
      <c r="I496" s="970">
        <v>4.0999999999999996</v>
      </c>
      <c r="J496" s="930">
        <f t="shared" si="105"/>
        <v>0</v>
      </c>
      <c r="K496" s="931">
        <f t="shared" si="106"/>
        <v>0</v>
      </c>
      <c r="L496" s="971"/>
      <c r="M496" s="954"/>
      <c r="N496" s="954"/>
      <c r="O496" s="954"/>
      <c r="P496" s="954"/>
      <c r="Q496" s="954"/>
      <c r="R496" s="954"/>
      <c r="S496" s="954"/>
      <c r="T496" s="954"/>
      <c r="U496" s="954"/>
    </row>
    <row r="497" spans="1:21" s="933" customFormat="1" ht="24" customHeight="1">
      <c r="A497" s="1026"/>
      <c r="B497" s="976" t="s">
        <v>874</v>
      </c>
      <c r="C497" s="976"/>
      <c r="D497" s="976"/>
      <c r="E497" s="978">
        <v>36704.519999999997</v>
      </c>
      <c r="F497" s="974" t="s">
        <v>870</v>
      </c>
      <c r="G497" s="969">
        <f t="shared" si="108"/>
        <v>24.47</v>
      </c>
      <c r="H497" s="930">
        <f t="shared" si="104"/>
        <v>898159.6</v>
      </c>
      <c r="I497" s="970">
        <v>3.3</v>
      </c>
      <c r="J497" s="930">
        <f t="shared" si="105"/>
        <v>121124.92</v>
      </c>
      <c r="K497" s="931">
        <f t="shared" si="106"/>
        <v>1019284.52</v>
      </c>
      <c r="L497" s="971"/>
      <c r="M497" s="954"/>
      <c r="N497" s="954"/>
      <c r="O497" s="954"/>
      <c r="P497" s="954"/>
      <c r="Q497" s="954"/>
      <c r="R497" s="954"/>
      <c r="S497" s="954"/>
      <c r="T497" s="954"/>
      <c r="U497" s="954"/>
    </row>
    <row r="498" spans="1:21" s="933" customFormat="1" ht="24" customHeight="1">
      <c r="A498" s="1026"/>
      <c r="B498" s="976" t="s">
        <v>875</v>
      </c>
      <c r="C498" s="976"/>
      <c r="D498" s="976"/>
      <c r="E498" s="978">
        <v>29189.9</v>
      </c>
      <c r="F498" s="982" t="s">
        <v>870</v>
      </c>
      <c r="G498" s="969">
        <f t="shared" si="108"/>
        <v>24.27</v>
      </c>
      <c r="H498" s="930">
        <f t="shared" si="104"/>
        <v>708438.87</v>
      </c>
      <c r="I498" s="970">
        <v>3.3</v>
      </c>
      <c r="J498" s="930">
        <f t="shared" si="105"/>
        <v>96326.67</v>
      </c>
      <c r="K498" s="931">
        <f t="shared" si="106"/>
        <v>804765.54</v>
      </c>
      <c r="L498" s="971"/>
      <c r="M498" s="954"/>
      <c r="N498" s="954"/>
      <c r="O498" s="954"/>
      <c r="P498" s="954"/>
      <c r="Q498" s="954"/>
      <c r="R498" s="954"/>
      <c r="S498" s="954"/>
      <c r="T498" s="954"/>
      <c r="U498" s="954"/>
    </row>
    <row r="499" spans="1:21" s="933" customFormat="1" ht="24" customHeight="1">
      <c r="A499" s="1026"/>
      <c r="B499" s="976" t="s">
        <v>876</v>
      </c>
      <c r="C499" s="976"/>
      <c r="D499" s="976"/>
      <c r="E499" s="978">
        <v>609.58000000000004</v>
      </c>
      <c r="F499" s="974" t="s">
        <v>870</v>
      </c>
      <c r="G499" s="969">
        <f t="shared" si="108"/>
        <v>24.27</v>
      </c>
      <c r="H499" s="930">
        <f t="shared" si="104"/>
        <v>14794.51</v>
      </c>
      <c r="I499" s="970">
        <v>2.9</v>
      </c>
      <c r="J499" s="930">
        <f t="shared" si="105"/>
        <v>1767.78</v>
      </c>
      <c r="K499" s="931">
        <f t="shared" si="106"/>
        <v>16562.29</v>
      </c>
      <c r="L499" s="971"/>
      <c r="M499" s="954"/>
      <c r="N499" s="954"/>
      <c r="O499" s="954"/>
      <c r="P499" s="954"/>
      <c r="Q499" s="954"/>
      <c r="R499" s="954"/>
      <c r="S499" s="954"/>
      <c r="T499" s="954"/>
      <c r="U499" s="954"/>
    </row>
    <row r="500" spans="1:21" s="933" customFormat="1" ht="24" customHeight="1">
      <c r="A500" s="1026"/>
      <c r="B500" s="976" t="s">
        <v>877</v>
      </c>
      <c r="C500" s="976"/>
      <c r="D500" s="976"/>
      <c r="E500" s="978">
        <v>0</v>
      </c>
      <c r="F500" s="974" t="s">
        <v>870</v>
      </c>
      <c r="G500" s="969">
        <f t="shared" si="108"/>
        <v>24.27</v>
      </c>
      <c r="H500" s="930">
        <f t="shared" si="104"/>
        <v>0</v>
      </c>
      <c r="I500" s="970">
        <v>2.9</v>
      </c>
      <c r="J500" s="930">
        <f t="shared" si="105"/>
        <v>0</v>
      </c>
      <c r="K500" s="931">
        <f t="shared" si="106"/>
        <v>0</v>
      </c>
      <c r="L500" s="971"/>
      <c r="M500" s="954"/>
      <c r="N500" s="954"/>
      <c r="O500" s="954"/>
      <c r="P500" s="954"/>
      <c r="Q500" s="954"/>
      <c r="R500" s="954"/>
      <c r="S500" s="954"/>
      <c r="T500" s="954"/>
      <c r="U500" s="954"/>
    </row>
    <row r="501" spans="1:21" s="933" customFormat="1" ht="24" customHeight="1">
      <c r="A501" s="1026"/>
      <c r="B501" s="976" t="s">
        <v>878</v>
      </c>
      <c r="C501" s="976"/>
      <c r="D501" s="976"/>
      <c r="E501" s="978"/>
      <c r="F501" s="974" t="s">
        <v>870</v>
      </c>
      <c r="G501" s="969">
        <f t="shared" si="108"/>
        <v>24.27</v>
      </c>
      <c r="H501" s="930">
        <f t="shared" si="104"/>
        <v>0</v>
      </c>
      <c r="I501" s="970">
        <v>2.9</v>
      </c>
      <c r="J501" s="930">
        <f t="shared" si="105"/>
        <v>0</v>
      </c>
      <c r="K501" s="931">
        <f t="shared" si="106"/>
        <v>0</v>
      </c>
      <c r="L501" s="971"/>
      <c r="M501" s="954"/>
      <c r="N501" s="954"/>
      <c r="O501" s="954"/>
      <c r="P501" s="954"/>
      <c r="Q501" s="954"/>
      <c r="R501" s="954"/>
      <c r="S501" s="954"/>
      <c r="T501" s="954"/>
      <c r="U501" s="954"/>
    </row>
    <row r="502" spans="1:21" s="933" customFormat="1" ht="24" customHeight="1">
      <c r="A502" s="1026"/>
      <c r="B502" s="976" t="s">
        <v>879</v>
      </c>
      <c r="C502" s="976"/>
      <c r="D502" s="976"/>
      <c r="E502" s="978"/>
      <c r="F502" s="974" t="s">
        <v>870</v>
      </c>
      <c r="G502" s="969">
        <f t="shared" si="108"/>
        <v>23.8</v>
      </c>
      <c r="H502" s="930">
        <f t="shared" si="104"/>
        <v>0</v>
      </c>
      <c r="I502" s="970">
        <v>2.9</v>
      </c>
      <c r="J502" s="930">
        <f t="shared" si="105"/>
        <v>0</v>
      </c>
      <c r="K502" s="931">
        <f t="shared" si="106"/>
        <v>0</v>
      </c>
      <c r="L502" s="971"/>
      <c r="M502" s="954"/>
      <c r="N502" s="954"/>
      <c r="O502" s="954"/>
      <c r="P502" s="954"/>
      <c r="Q502" s="954"/>
      <c r="R502" s="954"/>
      <c r="S502" s="954"/>
      <c r="T502" s="954"/>
      <c r="U502" s="954"/>
    </row>
    <row r="503" spans="1:21" s="933" customFormat="1" ht="24" customHeight="1">
      <c r="A503" s="1026"/>
      <c r="B503" s="976" t="s">
        <v>880</v>
      </c>
      <c r="C503" s="976"/>
      <c r="D503" s="976"/>
      <c r="E503" s="978">
        <f>(SUM(E495:E502)/1000)*30</f>
        <v>1995.1200000000001</v>
      </c>
      <c r="F503" s="974" t="s">
        <v>870</v>
      </c>
      <c r="G503" s="969">
        <f t="shared" si="108"/>
        <v>29.92</v>
      </c>
      <c r="H503" s="930">
        <f t="shared" si="104"/>
        <v>59693.99</v>
      </c>
      <c r="I503" s="970"/>
      <c r="J503" s="930">
        <f t="shared" si="105"/>
        <v>0</v>
      </c>
      <c r="K503" s="931">
        <f t="shared" si="106"/>
        <v>59693.99</v>
      </c>
      <c r="L503" s="971"/>
      <c r="M503" s="954"/>
      <c r="N503" s="954"/>
      <c r="O503" s="954"/>
      <c r="P503" s="954"/>
      <c r="Q503" s="954"/>
      <c r="R503" s="954"/>
      <c r="S503" s="954"/>
      <c r="T503" s="954"/>
      <c r="U503" s="954"/>
    </row>
    <row r="504" spans="1:21" s="933" customFormat="1" ht="24" customHeight="1">
      <c r="A504" s="1026"/>
      <c r="B504" s="976" t="s">
        <v>888</v>
      </c>
      <c r="C504" s="976"/>
      <c r="D504" s="976"/>
      <c r="E504" s="978">
        <v>5546.54</v>
      </c>
      <c r="F504" s="974" t="s">
        <v>34</v>
      </c>
      <c r="G504" s="983">
        <v>340</v>
      </c>
      <c r="H504" s="930">
        <f t="shared" si="104"/>
        <v>1885823.6</v>
      </c>
      <c r="I504" s="970"/>
      <c r="J504" s="930">
        <f t="shared" si="105"/>
        <v>0</v>
      </c>
      <c r="K504" s="931">
        <f t="shared" si="106"/>
        <v>1885823.6</v>
      </c>
      <c r="L504" s="971"/>
      <c r="M504" s="954"/>
      <c r="N504" s="954"/>
      <c r="O504" s="954"/>
      <c r="P504" s="954"/>
      <c r="Q504" s="954"/>
      <c r="R504" s="954"/>
      <c r="S504" s="954"/>
      <c r="T504" s="954"/>
      <c r="U504" s="954"/>
    </row>
    <row r="505" spans="1:21" s="933" customFormat="1" ht="24" customHeight="1">
      <c r="A505" s="1026"/>
      <c r="B505" s="976" t="s">
        <v>881</v>
      </c>
      <c r="C505" s="976"/>
      <c r="D505" s="976"/>
      <c r="E505" s="978"/>
      <c r="F505" s="974"/>
      <c r="G505" s="969"/>
      <c r="H505" s="930"/>
      <c r="I505" s="970"/>
      <c r="J505" s="930"/>
      <c r="K505" s="931"/>
      <c r="L505" s="971"/>
      <c r="M505" s="954"/>
      <c r="N505" s="954"/>
      <c r="O505" s="954"/>
      <c r="P505" s="954"/>
      <c r="Q505" s="954"/>
      <c r="R505" s="954"/>
      <c r="S505" s="954"/>
      <c r="T505" s="954"/>
      <c r="U505" s="954"/>
    </row>
    <row r="506" spans="1:21" s="933" customFormat="1" ht="24" customHeight="1">
      <c r="A506" s="1026"/>
      <c r="B506" s="976"/>
      <c r="C506" s="976"/>
      <c r="D506" s="976"/>
      <c r="E506" s="978"/>
      <c r="F506" s="974"/>
      <c r="G506" s="969"/>
      <c r="H506" s="930"/>
      <c r="I506" s="970"/>
      <c r="J506" s="930"/>
      <c r="K506" s="931"/>
      <c r="L506" s="971"/>
      <c r="M506" s="954"/>
      <c r="N506" s="954"/>
      <c r="O506" s="954"/>
      <c r="P506" s="954"/>
      <c r="Q506" s="954"/>
      <c r="R506" s="954"/>
      <c r="S506" s="954"/>
      <c r="T506" s="954"/>
      <c r="U506" s="954"/>
    </row>
    <row r="507" spans="1:21" s="933" customFormat="1" ht="24" customHeight="1">
      <c r="A507" s="1026"/>
      <c r="B507" s="976"/>
      <c r="C507" s="976"/>
      <c r="D507" s="976"/>
      <c r="E507" s="978"/>
      <c r="F507" s="974"/>
      <c r="G507" s="969"/>
      <c r="H507" s="930"/>
      <c r="I507" s="970"/>
      <c r="J507" s="930"/>
      <c r="K507" s="931"/>
      <c r="L507" s="971"/>
      <c r="M507" s="954"/>
      <c r="N507" s="954"/>
      <c r="O507" s="954"/>
      <c r="P507" s="954"/>
      <c r="Q507" s="954"/>
      <c r="R507" s="954"/>
      <c r="S507" s="954"/>
      <c r="T507" s="954"/>
      <c r="U507" s="954"/>
    </row>
    <row r="508" spans="1:21" s="933" customFormat="1" ht="24" customHeight="1">
      <c r="A508" s="1026"/>
      <c r="B508" s="976"/>
      <c r="C508" s="976"/>
      <c r="D508" s="976"/>
      <c r="E508" s="985"/>
      <c r="F508" s="974"/>
      <c r="G508" s="969"/>
      <c r="H508" s="930"/>
      <c r="I508" s="970"/>
      <c r="J508" s="930"/>
      <c r="K508" s="931"/>
      <c r="L508" s="971"/>
      <c r="M508" s="954"/>
      <c r="N508" s="954"/>
      <c r="O508" s="954"/>
      <c r="P508" s="954"/>
      <c r="Q508" s="954"/>
      <c r="R508" s="954"/>
      <c r="S508" s="954"/>
      <c r="T508" s="954"/>
      <c r="U508" s="954"/>
    </row>
    <row r="509" spans="1:21" s="933" customFormat="1" ht="24" customHeight="1">
      <c r="A509" s="1026"/>
      <c r="B509" s="976"/>
      <c r="C509" s="976"/>
      <c r="D509" s="976"/>
      <c r="E509" s="985"/>
      <c r="F509" s="974"/>
      <c r="G509" s="969"/>
      <c r="H509" s="930"/>
      <c r="I509" s="970"/>
      <c r="J509" s="930"/>
      <c r="K509" s="931"/>
      <c r="L509" s="971"/>
      <c r="M509" s="954"/>
      <c r="N509" s="954"/>
      <c r="O509" s="954"/>
      <c r="P509" s="954"/>
      <c r="Q509" s="954"/>
      <c r="R509" s="954"/>
      <c r="S509" s="954"/>
      <c r="T509" s="954"/>
      <c r="U509" s="954"/>
    </row>
    <row r="510" spans="1:21" s="933" customFormat="1" ht="24" customHeight="1">
      <c r="A510" s="1026"/>
      <c r="B510" s="1027"/>
      <c r="C510" s="976"/>
      <c r="D510" s="976"/>
      <c r="E510" s="985"/>
      <c r="F510" s="974"/>
      <c r="G510" s="969"/>
      <c r="H510" s="930"/>
      <c r="I510" s="970"/>
      <c r="J510" s="930"/>
      <c r="K510" s="931"/>
      <c r="L510" s="971"/>
      <c r="M510" s="954"/>
      <c r="N510" s="954"/>
      <c r="O510" s="954"/>
      <c r="P510" s="954"/>
      <c r="Q510" s="954"/>
      <c r="R510" s="954"/>
      <c r="S510" s="954"/>
      <c r="T510" s="954"/>
      <c r="U510" s="954"/>
    </row>
    <row r="511" spans="1:21" s="933" customFormat="1" ht="24" customHeight="1">
      <c r="A511" s="1026" t="s">
        <v>919</v>
      </c>
      <c r="B511" s="1027" t="s">
        <v>920</v>
      </c>
      <c r="C511" s="976"/>
      <c r="D511" s="976"/>
      <c r="E511" s="985"/>
      <c r="F511" s="974"/>
      <c r="G511" s="969"/>
      <c r="H511" s="930"/>
      <c r="I511" s="970"/>
      <c r="J511" s="930"/>
      <c r="K511" s="931"/>
      <c r="L511" s="971"/>
      <c r="M511" s="954"/>
      <c r="N511" s="954"/>
      <c r="O511" s="954"/>
      <c r="P511" s="954"/>
      <c r="Q511" s="954"/>
      <c r="R511" s="954"/>
      <c r="S511" s="954"/>
      <c r="T511" s="954"/>
      <c r="U511" s="954"/>
    </row>
    <row r="512" spans="1:21" s="933" customFormat="1" ht="24" customHeight="1">
      <c r="A512" s="1026"/>
      <c r="B512" s="976" t="s">
        <v>864</v>
      </c>
      <c r="C512" s="977"/>
      <c r="D512" s="977"/>
      <c r="E512" s="978">
        <v>370.54</v>
      </c>
      <c r="F512" s="974" t="s">
        <v>865</v>
      </c>
      <c r="G512" s="969">
        <v>2516</v>
      </c>
      <c r="H512" s="930">
        <f t="shared" ref="H512:H526" si="109">ROUND(E512*G512,2)</f>
        <v>932278.64</v>
      </c>
      <c r="I512" s="970">
        <v>485</v>
      </c>
      <c r="J512" s="930">
        <f t="shared" ref="J512:J526" si="110">ROUND(E512*I512,2)</f>
        <v>179711.9</v>
      </c>
      <c r="K512" s="931">
        <f t="shared" ref="K512:K526" si="111">H512+J512</f>
        <v>1111990.54</v>
      </c>
      <c r="L512" s="971"/>
      <c r="M512" s="954"/>
      <c r="N512" s="954"/>
      <c r="O512" s="954"/>
      <c r="P512" s="954"/>
      <c r="Q512" s="954"/>
      <c r="R512" s="954"/>
      <c r="S512" s="954"/>
      <c r="T512" s="954"/>
      <c r="U512" s="954"/>
    </row>
    <row r="513" spans="1:21" s="933" customFormat="1" ht="24" customHeight="1">
      <c r="A513" s="1026"/>
      <c r="B513" s="979" t="s">
        <v>866</v>
      </c>
      <c r="C513" s="976"/>
      <c r="D513" s="976"/>
      <c r="E513" s="978"/>
      <c r="F513" s="974"/>
      <c r="G513" s="969"/>
      <c r="H513" s="930"/>
      <c r="I513" s="970"/>
      <c r="J513" s="930"/>
      <c r="K513" s="931"/>
      <c r="L513" s="971"/>
      <c r="M513" s="954"/>
      <c r="N513" s="954"/>
      <c r="O513" s="954"/>
      <c r="P513" s="954"/>
      <c r="Q513" s="954"/>
      <c r="R513" s="954"/>
      <c r="S513" s="954"/>
      <c r="T513" s="954"/>
      <c r="U513" s="954"/>
    </row>
    <row r="514" spans="1:21" s="933" customFormat="1" ht="24" customHeight="1">
      <c r="A514" s="1026"/>
      <c r="B514" s="979"/>
      <c r="C514" s="976" t="s">
        <v>867</v>
      </c>
      <c r="D514" s="976"/>
      <c r="E514" s="978">
        <f>E515/2</f>
        <v>600.26499999999999</v>
      </c>
      <c r="F514" s="974" t="s">
        <v>34</v>
      </c>
      <c r="G514" s="969">
        <v>661.62</v>
      </c>
      <c r="H514" s="930">
        <f t="shared" si="109"/>
        <v>397147.33</v>
      </c>
      <c r="I514" s="970"/>
      <c r="J514" s="930">
        <f t="shared" si="110"/>
        <v>0</v>
      </c>
      <c r="K514" s="931">
        <f t="shared" si="111"/>
        <v>397147.33</v>
      </c>
      <c r="L514" s="971"/>
      <c r="M514" s="954"/>
      <c r="N514" s="954"/>
      <c r="O514" s="954"/>
      <c r="P514" s="954"/>
      <c r="Q514" s="954"/>
      <c r="R514" s="954"/>
      <c r="S514" s="954"/>
      <c r="T514" s="954"/>
      <c r="U514" s="954"/>
    </row>
    <row r="515" spans="1:21" s="933" customFormat="1" ht="24" customHeight="1">
      <c r="A515" s="1026"/>
      <c r="B515" s="979"/>
      <c r="C515" s="976" t="s">
        <v>868</v>
      </c>
      <c r="D515" s="976"/>
      <c r="E515" s="978">
        <v>1200.53</v>
      </c>
      <c r="F515" s="974" t="s">
        <v>34</v>
      </c>
      <c r="G515" s="969"/>
      <c r="H515" s="930">
        <f t="shared" si="109"/>
        <v>0</v>
      </c>
      <c r="I515" s="970">
        <v>154</v>
      </c>
      <c r="J515" s="930">
        <f t="shared" si="110"/>
        <v>184881.62</v>
      </c>
      <c r="K515" s="931">
        <f t="shared" si="111"/>
        <v>184881.62</v>
      </c>
      <c r="L515" s="971"/>
      <c r="M515" s="954"/>
      <c r="N515" s="954"/>
      <c r="O515" s="954"/>
      <c r="P515" s="954"/>
      <c r="Q515" s="954"/>
      <c r="R515" s="954"/>
      <c r="S515" s="954"/>
      <c r="T515" s="954"/>
      <c r="U515" s="954"/>
    </row>
    <row r="516" spans="1:21" s="933" customFormat="1" ht="24" customHeight="1">
      <c r="A516" s="1026"/>
      <c r="B516" s="976" t="s">
        <v>869</v>
      </c>
      <c r="C516" s="976"/>
      <c r="D516" s="976"/>
      <c r="E516" s="978">
        <f>(E515*0.25)</f>
        <v>300.13249999999999</v>
      </c>
      <c r="F516" s="974" t="s">
        <v>870</v>
      </c>
      <c r="G516" s="969">
        <f t="shared" ref="G516" si="112">VLOOKUP(B516,$O$43:$P$53,2,FALSE)</f>
        <v>29.94</v>
      </c>
      <c r="H516" s="930">
        <f t="shared" si="109"/>
        <v>8985.9699999999993</v>
      </c>
      <c r="I516" s="970"/>
      <c r="J516" s="930">
        <f t="shared" si="110"/>
        <v>0</v>
      </c>
      <c r="K516" s="931">
        <f t="shared" si="111"/>
        <v>8985.9699999999993</v>
      </c>
      <c r="L516" s="971"/>
      <c r="M516" s="954"/>
      <c r="N516" s="954"/>
      <c r="O516" s="954"/>
      <c r="P516" s="954"/>
      <c r="Q516" s="954"/>
      <c r="R516" s="954"/>
      <c r="S516" s="954"/>
      <c r="T516" s="954"/>
      <c r="U516" s="954"/>
    </row>
    <row r="517" spans="1:21" s="933" customFormat="1" ht="24" customHeight="1">
      <c r="A517" s="1026"/>
      <c r="B517" s="976" t="s">
        <v>871</v>
      </c>
      <c r="C517" s="976"/>
      <c r="D517" s="976"/>
      <c r="E517" s="978"/>
      <c r="F517" s="982"/>
      <c r="G517" s="983"/>
      <c r="H517" s="930"/>
      <c r="I517" s="970"/>
      <c r="J517" s="930"/>
      <c r="K517" s="931"/>
      <c r="L517" s="971"/>
      <c r="M517" s="954"/>
      <c r="N517" s="954"/>
      <c r="O517" s="954"/>
      <c r="P517" s="954"/>
      <c r="Q517" s="954"/>
      <c r="R517" s="954"/>
      <c r="S517" s="954"/>
      <c r="T517" s="954"/>
      <c r="U517" s="954"/>
    </row>
    <row r="518" spans="1:21" s="933" customFormat="1" ht="24" customHeight="1">
      <c r="A518" s="1026"/>
      <c r="B518" s="976" t="s">
        <v>872</v>
      </c>
      <c r="C518" s="976"/>
      <c r="D518" s="976"/>
      <c r="E518" s="978"/>
      <c r="F518" s="974" t="s">
        <v>870</v>
      </c>
      <c r="G518" s="969">
        <f t="shared" ref="G518:G526" si="113">VLOOKUP(B518,$O$43:$P$53,2,FALSE)</f>
        <v>25.73</v>
      </c>
      <c r="H518" s="930">
        <f t="shared" si="109"/>
        <v>0</v>
      </c>
      <c r="I518" s="984">
        <v>4.0999999999999996</v>
      </c>
      <c r="J518" s="930">
        <f t="shared" si="110"/>
        <v>0</v>
      </c>
      <c r="K518" s="931">
        <f t="shared" si="111"/>
        <v>0</v>
      </c>
      <c r="L518" s="971"/>
      <c r="M518" s="954"/>
      <c r="N518" s="954"/>
      <c r="O518" s="954"/>
      <c r="P518" s="954"/>
      <c r="Q518" s="954"/>
      <c r="R518" s="954"/>
      <c r="S518" s="954"/>
      <c r="T518" s="954"/>
      <c r="U518" s="954"/>
    </row>
    <row r="519" spans="1:21" s="933" customFormat="1" ht="24" customHeight="1">
      <c r="A519" s="1026"/>
      <c r="B519" s="976" t="s">
        <v>873</v>
      </c>
      <c r="C519" s="976"/>
      <c r="D519" s="976"/>
      <c r="E519" s="978">
        <v>1775.48</v>
      </c>
      <c r="F519" s="974" t="s">
        <v>870</v>
      </c>
      <c r="G519" s="969">
        <f t="shared" si="113"/>
        <v>24.97</v>
      </c>
      <c r="H519" s="930">
        <f t="shared" si="109"/>
        <v>44333.74</v>
      </c>
      <c r="I519" s="970">
        <v>4.0999999999999996</v>
      </c>
      <c r="J519" s="930">
        <f t="shared" si="110"/>
        <v>7279.47</v>
      </c>
      <c r="K519" s="931">
        <f t="shared" si="111"/>
        <v>51613.21</v>
      </c>
      <c r="L519" s="971"/>
      <c r="M519" s="954"/>
      <c r="N519" s="954"/>
      <c r="O519" s="954"/>
      <c r="P519" s="954"/>
      <c r="Q519" s="954"/>
      <c r="R519" s="954"/>
      <c r="S519" s="954"/>
      <c r="T519" s="954"/>
      <c r="U519" s="954"/>
    </row>
    <row r="520" spans="1:21" s="933" customFormat="1" ht="24" customHeight="1">
      <c r="A520" s="1026"/>
      <c r="B520" s="976" t="s">
        <v>874</v>
      </c>
      <c r="C520" s="976"/>
      <c r="D520" s="976"/>
      <c r="E520" s="978">
        <v>26388.46</v>
      </c>
      <c r="F520" s="974" t="s">
        <v>870</v>
      </c>
      <c r="G520" s="969">
        <f t="shared" si="113"/>
        <v>24.47</v>
      </c>
      <c r="H520" s="930">
        <f t="shared" si="109"/>
        <v>645725.62</v>
      </c>
      <c r="I520" s="970">
        <v>3.3</v>
      </c>
      <c r="J520" s="930">
        <f t="shared" si="110"/>
        <v>87081.919999999998</v>
      </c>
      <c r="K520" s="931">
        <f t="shared" si="111"/>
        <v>732807.54</v>
      </c>
      <c r="L520" s="971"/>
      <c r="M520" s="954"/>
      <c r="N520" s="954"/>
      <c r="O520" s="954"/>
      <c r="P520" s="954"/>
      <c r="Q520" s="954"/>
      <c r="R520" s="954"/>
      <c r="S520" s="954"/>
      <c r="T520" s="954"/>
      <c r="U520" s="954"/>
    </row>
    <row r="521" spans="1:21" s="933" customFormat="1" ht="24" customHeight="1">
      <c r="A521" s="1026"/>
      <c r="B521" s="976" t="s">
        <v>875</v>
      </c>
      <c r="C521" s="976"/>
      <c r="D521" s="976"/>
      <c r="E521" s="978">
        <v>11726.92</v>
      </c>
      <c r="F521" s="982" t="s">
        <v>870</v>
      </c>
      <c r="G521" s="969">
        <f t="shared" si="113"/>
        <v>24.27</v>
      </c>
      <c r="H521" s="930">
        <f t="shared" si="109"/>
        <v>284612.34999999998</v>
      </c>
      <c r="I521" s="970">
        <v>3.3</v>
      </c>
      <c r="J521" s="930">
        <f t="shared" si="110"/>
        <v>38698.839999999997</v>
      </c>
      <c r="K521" s="931">
        <f t="shared" si="111"/>
        <v>323311.18999999994</v>
      </c>
      <c r="L521" s="971"/>
      <c r="M521" s="954"/>
      <c r="N521" s="954"/>
      <c r="O521" s="954"/>
      <c r="P521" s="954"/>
      <c r="Q521" s="954"/>
      <c r="R521" s="954"/>
      <c r="S521" s="954"/>
      <c r="T521" s="954"/>
      <c r="U521" s="954"/>
    </row>
    <row r="522" spans="1:21" s="933" customFormat="1" ht="24" customHeight="1">
      <c r="A522" s="1026"/>
      <c r="B522" s="976" t="s">
        <v>876</v>
      </c>
      <c r="C522" s="976"/>
      <c r="D522" s="976"/>
      <c r="E522" s="978">
        <v>2493.4</v>
      </c>
      <c r="F522" s="974" t="s">
        <v>870</v>
      </c>
      <c r="G522" s="969">
        <f t="shared" si="113"/>
        <v>24.27</v>
      </c>
      <c r="H522" s="930">
        <f t="shared" si="109"/>
        <v>60514.82</v>
      </c>
      <c r="I522" s="970">
        <v>2.9</v>
      </c>
      <c r="J522" s="930">
        <f t="shared" si="110"/>
        <v>7230.86</v>
      </c>
      <c r="K522" s="931">
        <f t="shared" si="111"/>
        <v>67745.679999999993</v>
      </c>
      <c r="L522" s="971"/>
      <c r="M522" s="954"/>
      <c r="N522" s="954"/>
      <c r="O522" s="954"/>
      <c r="P522" s="954"/>
      <c r="Q522" s="954"/>
      <c r="R522" s="954"/>
      <c r="S522" s="954"/>
      <c r="T522" s="954"/>
      <c r="U522" s="954"/>
    </row>
    <row r="523" spans="1:21" s="933" customFormat="1" ht="24" customHeight="1">
      <c r="A523" s="1026"/>
      <c r="B523" s="976" t="s">
        <v>877</v>
      </c>
      <c r="C523" s="976"/>
      <c r="D523" s="976"/>
      <c r="E523" s="978">
        <v>10528.27</v>
      </c>
      <c r="F523" s="974" t="s">
        <v>870</v>
      </c>
      <c r="G523" s="969">
        <f t="shared" si="113"/>
        <v>24.27</v>
      </c>
      <c r="H523" s="930">
        <f t="shared" si="109"/>
        <v>255521.11</v>
      </c>
      <c r="I523" s="970">
        <v>2.9</v>
      </c>
      <c r="J523" s="930">
        <f t="shared" si="110"/>
        <v>30531.98</v>
      </c>
      <c r="K523" s="931">
        <f t="shared" si="111"/>
        <v>286053.08999999997</v>
      </c>
      <c r="L523" s="971"/>
      <c r="M523" s="954"/>
      <c r="N523" s="954"/>
      <c r="O523" s="954"/>
      <c r="P523" s="954"/>
      <c r="Q523" s="954"/>
      <c r="R523" s="954"/>
      <c r="S523" s="954"/>
      <c r="T523" s="954"/>
      <c r="U523" s="954"/>
    </row>
    <row r="524" spans="1:21" s="933" customFormat="1" ht="24" customHeight="1">
      <c r="A524" s="1026"/>
      <c r="B524" s="976" t="s">
        <v>878</v>
      </c>
      <c r="C524" s="976"/>
      <c r="D524" s="976"/>
      <c r="E524" s="978">
        <v>9044.3700000000008</v>
      </c>
      <c r="F524" s="974" t="s">
        <v>870</v>
      </c>
      <c r="G524" s="969">
        <f t="shared" si="113"/>
        <v>24.27</v>
      </c>
      <c r="H524" s="930">
        <f t="shared" si="109"/>
        <v>219506.86</v>
      </c>
      <c r="I524" s="970">
        <v>2.9</v>
      </c>
      <c r="J524" s="930">
        <f t="shared" si="110"/>
        <v>26228.67</v>
      </c>
      <c r="K524" s="931">
        <f t="shared" si="111"/>
        <v>245735.52999999997</v>
      </c>
      <c r="L524" s="971"/>
      <c r="M524" s="954"/>
      <c r="N524" s="954"/>
      <c r="O524" s="954"/>
      <c r="P524" s="954"/>
      <c r="Q524" s="954"/>
      <c r="R524" s="954"/>
      <c r="S524" s="954"/>
      <c r="T524" s="954"/>
      <c r="U524" s="954"/>
    </row>
    <row r="525" spans="1:21" s="933" customFormat="1" ht="24" customHeight="1">
      <c r="A525" s="1026"/>
      <c r="B525" s="976" t="s">
        <v>879</v>
      </c>
      <c r="C525" s="976"/>
      <c r="D525" s="976"/>
      <c r="E525" s="978">
        <v>23847.759999999998</v>
      </c>
      <c r="F525" s="974" t="s">
        <v>870</v>
      </c>
      <c r="G525" s="969">
        <f t="shared" si="113"/>
        <v>23.8</v>
      </c>
      <c r="H525" s="930">
        <f t="shared" si="109"/>
        <v>567576.68999999994</v>
      </c>
      <c r="I525" s="970">
        <v>2.9</v>
      </c>
      <c r="J525" s="930">
        <f t="shared" si="110"/>
        <v>69158.5</v>
      </c>
      <c r="K525" s="931">
        <f t="shared" si="111"/>
        <v>636735.18999999994</v>
      </c>
      <c r="L525" s="971"/>
      <c r="M525" s="954"/>
      <c r="N525" s="954"/>
      <c r="O525" s="954"/>
      <c r="P525" s="954"/>
      <c r="Q525" s="954"/>
      <c r="R525" s="954"/>
      <c r="S525" s="954"/>
      <c r="T525" s="954"/>
      <c r="U525" s="954"/>
    </row>
    <row r="526" spans="1:21" s="933" customFormat="1" ht="24" customHeight="1">
      <c r="A526" s="1026"/>
      <c r="B526" s="976" t="s">
        <v>880</v>
      </c>
      <c r="C526" s="976"/>
      <c r="D526" s="976"/>
      <c r="E526" s="978">
        <f>(SUM(E518:E525)/1000)*30</f>
        <v>2574.1397999999999</v>
      </c>
      <c r="F526" s="974" t="s">
        <v>870</v>
      </c>
      <c r="G526" s="969">
        <f t="shared" si="113"/>
        <v>29.92</v>
      </c>
      <c r="H526" s="930">
        <f t="shared" si="109"/>
        <v>77018.259999999995</v>
      </c>
      <c r="I526" s="970"/>
      <c r="J526" s="930">
        <f t="shared" si="110"/>
        <v>0</v>
      </c>
      <c r="K526" s="931">
        <f t="shared" si="111"/>
        <v>77018.259999999995</v>
      </c>
      <c r="L526" s="971"/>
      <c r="M526" s="954"/>
      <c r="N526" s="954"/>
      <c r="O526" s="954"/>
      <c r="P526" s="954"/>
      <c r="Q526" s="954"/>
      <c r="R526" s="954"/>
      <c r="S526" s="954"/>
      <c r="T526" s="954"/>
      <c r="U526" s="954"/>
    </row>
    <row r="527" spans="1:21" s="933" customFormat="1" ht="24" customHeight="1">
      <c r="A527" s="1026"/>
      <c r="B527" s="976" t="s">
        <v>881</v>
      </c>
      <c r="C527" s="976"/>
      <c r="D527" s="976"/>
      <c r="E527" s="978"/>
      <c r="F527" s="974"/>
      <c r="G527" s="969"/>
      <c r="H527" s="930"/>
      <c r="I527" s="970"/>
      <c r="J527" s="930"/>
      <c r="K527" s="931"/>
      <c r="L527" s="971"/>
      <c r="M527" s="954"/>
      <c r="N527" s="954"/>
      <c r="O527" s="954"/>
      <c r="P527" s="954"/>
      <c r="Q527" s="954"/>
      <c r="R527" s="954"/>
      <c r="S527" s="954"/>
      <c r="T527" s="954"/>
      <c r="U527" s="954"/>
    </row>
    <row r="528" spans="1:21" s="933" customFormat="1" ht="24" customHeight="1">
      <c r="A528" s="1026"/>
      <c r="B528" s="976"/>
      <c r="C528" s="972"/>
      <c r="D528" s="976"/>
      <c r="E528" s="985"/>
      <c r="F528" s="974"/>
      <c r="G528" s="969"/>
      <c r="H528" s="930"/>
      <c r="I528" s="970"/>
      <c r="J528" s="930"/>
      <c r="K528" s="931"/>
      <c r="L528" s="971"/>
      <c r="M528" s="954"/>
      <c r="N528" s="954"/>
      <c r="O528" s="954"/>
      <c r="P528" s="954"/>
      <c r="Q528" s="954"/>
      <c r="R528" s="954"/>
      <c r="S528" s="954"/>
      <c r="T528" s="954"/>
      <c r="U528" s="954"/>
    </row>
    <row r="529" spans="1:21" s="933" customFormat="1" ht="24" customHeight="1">
      <c r="A529" s="1026"/>
      <c r="B529" s="976"/>
      <c r="C529" s="976"/>
      <c r="D529" s="976"/>
      <c r="E529" s="985"/>
      <c r="F529" s="974"/>
      <c r="G529" s="969"/>
      <c r="H529" s="930"/>
      <c r="I529" s="970"/>
      <c r="J529" s="930"/>
      <c r="K529" s="931"/>
      <c r="L529" s="971"/>
      <c r="M529" s="954"/>
      <c r="N529" s="954"/>
      <c r="O529" s="954"/>
      <c r="P529" s="954"/>
      <c r="Q529" s="954"/>
      <c r="R529" s="954"/>
      <c r="S529" s="954"/>
      <c r="T529" s="954"/>
      <c r="U529" s="954"/>
    </row>
    <row r="530" spans="1:21" s="933" customFormat="1" ht="24" customHeight="1">
      <c r="A530" s="1026"/>
      <c r="B530" s="976"/>
      <c r="C530" s="976"/>
      <c r="D530" s="976"/>
      <c r="E530" s="985"/>
      <c r="F530" s="974"/>
      <c r="G530" s="969"/>
      <c r="H530" s="930"/>
      <c r="I530" s="970"/>
      <c r="J530" s="930"/>
      <c r="K530" s="931"/>
      <c r="L530" s="971"/>
      <c r="M530" s="954"/>
      <c r="N530" s="954"/>
      <c r="O530" s="954"/>
      <c r="P530" s="954"/>
      <c r="Q530" s="954"/>
      <c r="R530" s="954"/>
      <c r="S530" s="954"/>
      <c r="T530" s="954"/>
      <c r="U530" s="954"/>
    </row>
    <row r="531" spans="1:21" s="933" customFormat="1" ht="24" customHeight="1">
      <c r="A531" s="1026"/>
      <c r="B531" s="1027"/>
      <c r="C531" s="976"/>
      <c r="D531" s="976"/>
      <c r="E531" s="985"/>
      <c r="F531" s="974"/>
      <c r="G531" s="969"/>
      <c r="H531" s="930"/>
      <c r="I531" s="970"/>
      <c r="J531" s="930"/>
      <c r="K531" s="931"/>
      <c r="L531" s="971"/>
      <c r="M531" s="954"/>
      <c r="N531" s="954"/>
      <c r="O531" s="954"/>
      <c r="P531" s="954"/>
      <c r="Q531" s="954"/>
      <c r="R531" s="954"/>
      <c r="S531" s="954"/>
      <c r="T531" s="954"/>
      <c r="U531" s="954"/>
    </row>
    <row r="532" spans="1:21" s="933" customFormat="1" ht="24" customHeight="1">
      <c r="A532" s="1026"/>
      <c r="B532" s="1027"/>
      <c r="C532" s="976"/>
      <c r="D532" s="976"/>
      <c r="E532" s="985"/>
      <c r="F532" s="974"/>
      <c r="G532" s="969"/>
      <c r="H532" s="930"/>
      <c r="I532" s="970"/>
      <c r="J532" s="930"/>
      <c r="K532" s="931"/>
      <c r="L532" s="971"/>
      <c r="M532" s="954"/>
      <c r="N532" s="954"/>
      <c r="O532" s="954"/>
      <c r="P532" s="954"/>
      <c r="Q532" s="954"/>
      <c r="R532" s="954"/>
      <c r="S532" s="954"/>
      <c r="T532" s="954"/>
      <c r="U532" s="954"/>
    </row>
    <row r="533" spans="1:21" s="933" customFormat="1" ht="24" customHeight="1">
      <c r="A533" s="1026"/>
      <c r="B533" s="1027"/>
      <c r="C533" s="976"/>
      <c r="D533" s="976"/>
      <c r="E533" s="985"/>
      <c r="F533" s="974"/>
      <c r="G533" s="969"/>
      <c r="H533" s="930"/>
      <c r="I533" s="970"/>
      <c r="J533" s="930"/>
      <c r="K533" s="931"/>
      <c r="L533" s="971"/>
      <c r="M533" s="954"/>
      <c r="N533" s="954"/>
      <c r="O533" s="954"/>
      <c r="P533" s="954"/>
      <c r="Q533" s="954"/>
      <c r="R533" s="954"/>
      <c r="S533" s="954"/>
      <c r="T533" s="954"/>
      <c r="U533" s="954"/>
    </row>
    <row r="534" spans="1:21" s="933" customFormat="1" ht="24" customHeight="1">
      <c r="A534" s="1026"/>
      <c r="B534" s="1027"/>
      <c r="C534" s="976"/>
      <c r="D534" s="976"/>
      <c r="E534" s="985"/>
      <c r="F534" s="974"/>
      <c r="G534" s="969"/>
      <c r="H534" s="930"/>
      <c r="I534" s="970"/>
      <c r="J534" s="930"/>
      <c r="K534" s="931"/>
      <c r="L534" s="971"/>
      <c r="M534" s="954"/>
      <c r="N534" s="954"/>
      <c r="O534" s="954"/>
      <c r="P534" s="954"/>
      <c r="Q534" s="954"/>
      <c r="R534" s="954"/>
      <c r="S534" s="954"/>
      <c r="T534" s="954"/>
      <c r="U534" s="954"/>
    </row>
    <row r="535" spans="1:21" s="933" customFormat="1" ht="24" customHeight="1">
      <c r="A535" s="1026"/>
      <c r="B535" s="1027"/>
      <c r="C535" s="976"/>
      <c r="D535" s="976"/>
      <c r="E535" s="985"/>
      <c r="F535" s="974"/>
      <c r="G535" s="969"/>
      <c r="H535" s="930"/>
      <c r="I535" s="970"/>
      <c r="J535" s="930"/>
      <c r="K535" s="931"/>
      <c r="L535" s="971"/>
      <c r="M535" s="954"/>
      <c r="N535" s="954"/>
      <c r="O535" s="954"/>
      <c r="P535" s="954"/>
      <c r="Q535" s="954"/>
      <c r="R535" s="954"/>
      <c r="S535" s="954"/>
      <c r="T535" s="954"/>
      <c r="U535" s="954"/>
    </row>
    <row r="536" spans="1:21" s="933" customFormat="1" ht="24" customHeight="1">
      <c r="A536" s="1026" t="s">
        <v>921</v>
      </c>
      <c r="B536" s="1027" t="s">
        <v>922</v>
      </c>
      <c r="C536" s="976"/>
      <c r="D536" s="976"/>
      <c r="E536" s="985"/>
      <c r="F536" s="974"/>
      <c r="G536" s="969"/>
      <c r="H536" s="930"/>
      <c r="I536" s="970"/>
      <c r="J536" s="930"/>
      <c r="K536" s="931"/>
      <c r="L536" s="971"/>
      <c r="M536" s="954"/>
      <c r="N536" s="954"/>
      <c r="O536" s="954"/>
      <c r="P536" s="954"/>
      <c r="Q536" s="954"/>
      <c r="R536" s="954"/>
      <c r="S536" s="954"/>
      <c r="T536" s="954"/>
      <c r="U536" s="954"/>
    </row>
    <row r="537" spans="1:21" s="933" customFormat="1" ht="24" customHeight="1">
      <c r="A537" s="1026"/>
      <c r="B537" s="976" t="s">
        <v>864</v>
      </c>
      <c r="C537" s="977"/>
      <c r="D537" s="977"/>
      <c r="E537" s="978">
        <v>301.01</v>
      </c>
      <c r="F537" s="974" t="s">
        <v>865</v>
      </c>
      <c r="G537" s="969">
        <v>2516</v>
      </c>
      <c r="H537" s="930">
        <f t="shared" ref="H537:H551" si="114">ROUND(E537*G537,2)</f>
        <v>757341.16</v>
      </c>
      <c r="I537" s="970">
        <v>485</v>
      </c>
      <c r="J537" s="930">
        <f t="shared" ref="J537:J551" si="115">ROUND(E537*I537,2)</f>
        <v>145989.85</v>
      </c>
      <c r="K537" s="931">
        <f t="shared" ref="K537:K551" si="116">H537+J537</f>
        <v>903331.01</v>
      </c>
      <c r="L537" s="971"/>
      <c r="M537" s="954"/>
      <c r="N537" s="954"/>
      <c r="O537" s="954"/>
      <c r="P537" s="954"/>
      <c r="Q537" s="954"/>
      <c r="R537" s="954"/>
      <c r="S537" s="954"/>
      <c r="T537" s="954"/>
      <c r="U537" s="954"/>
    </row>
    <row r="538" spans="1:21" s="933" customFormat="1" ht="24" customHeight="1">
      <c r="A538" s="1026"/>
      <c r="B538" s="979" t="s">
        <v>866</v>
      </c>
      <c r="C538" s="976"/>
      <c r="D538" s="976"/>
      <c r="E538" s="978"/>
      <c r="F538" s="974"/>
      <c r="G538" s="969"/>
      <c r="H538" s="930"/>
      <c r="I538" s="970"/>
      <c r="J538" s="930"/>
      <c r="K538" s="931"/>
      <c r="L538" s="971"/>
      <c r="M538" s="954"/>
      <c r="N538" s="954"/>
      <c r="O538" s="954"/>
      <c r="P538" s="954"/>
      <c r="Q538" s="954"/>
      <c r="R538" s="954"/>
      <c r="S538" s="954"/>
      <c r="T538" s="954"/>
      <c r="U538" s="954"/>
    </row>
    <row r="539" spans="1:21" s="933" customFormat="1" ht="24" customHeight="1">
      <c r="A539" s="1026"/>
      <c r="B539" s="979"/>
      <c r="C539" s="976" t="s">
        <v>867</v>
      </c>
      <c r="D539" s="976"/>
      <c r="E539" s="978">
        <f>E540/2</f>
        <v>672.65</v>
      </c>
      <c r="F539" s="974" t="s">
        <v>34</v>
      </c>
      <c r="G539" s="969">
        <v>661.62</v>
      </c>
      <c r="H539" s="930">
        <f t="shared" si="114"/>
        <v>445038.69</v>
      </c>
      <c r="I539" s="970"/>
      <c r="J539" s="930">
        <f t="shared" si="115"/>
        <v>0</v>
      </c>
      <c r="K539" s="931">
        <f t="shared" si="116"/>
        <v>445038.69</v>
      </c>
      <c r="L539" s="971"/>
      <c r="M539" s="954"/>
      <c r="N539" s="954"/>
      <c r="O539" s="954"/>
      <c r="P539" s="954"/>
      <c r="Q539" s="954"/>
      <c r="R539" s="954"/>
      <c r="S539" s="954"/>
      <c r="T539" s="954"/>
      <c r="U539" s="954"/>
    </row>
    <row r="540" spans="1:21" s="933" customFormat="1" ht="24" customHeight="1">
      <c r="A540" s="1026"/>
      <c r="B540" s="979"/>
      <c r="C540" s="976" t="s">
        <v>868</v>
      </c>
      <c r="D540" s="976"/>
      <c r="E540" s="978">
        <v>1345.3</v>
      </c>
      <c r="F540" s="974" t="s">
        <v>34</v>
      </c>
      <c r="G540" s="969"/>
      <c r="H540" s="930">
        <f t="shared" si="114"/>
        <v>0</v>
      </c>
      <c r="I540" s="970">
        <v>154</v>
      </c>
      <c r="J540" s="930">
        <f t="shared" si="115"/>
        <v>207176.2</v>
      </c>
      <c r="K540" s="931">
        <f t="shared" si="116"/>
        <v>207176.2</v>
      </c>
      <c r="L540" s="971"/>
      <c r="M540" s="954"/>
      <c r="N540" s="954"/>
      <c r="O540" s="954"/>
      <c r="P540" s="954"/>
      <c r="Q540" s="954"/>
      <c r="R540" s="954"/>
      <c r="S540" s="954"/>
      <c r="T540" s="954"/>
      <c r="U540" s="954"/>
    </row>
    <row r="541" spans="1:21" s="933" customFormat="1" ht="24" customHeight="1">
      <c r="A541" s="1026"/>
      <c r="B541" s="976" t="s">
        <v>869</v>
      </c>
      <c r="C541" s="976"/>
      <c r="D541" s="976"/>
      <c r="E541" s="978">
        <f>(E540*0.25)</f>
        <v>336.32499999999999</v>
      </c>
      <c r="F541" s="974" t="s">
        <v>870</v>
      </c>
      <c r="G541" s="969">
        <f t="shared" ref="G541" si="117">VLOOKUP(B541,$O$43:$P$53,2,FALSE)</f>
        <v>29.94</v>
      </c>
      <c r="H541" s="930">
        <f t="shared" si="114"/>
        <v>10069.57</v>
      </c>
      <c r="I541" s="970"/>
      <c r="J541" s="930">
        <f t="shared" si="115"/>
        <v>0</v>
      </c>
      <c r="K541" s="931">
        <f t="shared" si="116"/>
        <v>10069.57</v>
      </c>
      <c r="L541" s="971"/>
      <c r="M541" s="954"/>
      <c r="N541" s="954"/>
      <c r="O541" s="954"/>
      <c r="P541" s="954"/>
      <c r="Q541" s="954"/>
      <c r="R541" s="954"/>
      <c r="S541" s="954"/>
      <c r="T541" s="954"/>
      <c r="U541" s="954"/>
    </row>
    <row r="542" spans="1:21" s="933" customFormat="1" ht="24" customHeight="1">
      <c r="A542" s="1026"/>
      <c r="B542" s="976" t="s">
        <v>871</v>
      </c>
      <c r="C542" s="976"/>
      <c r="D542" s="976"/>
      <c r="E542" s="978"/>
      <c r="F542" s="982"/>
      <c r="G542" s="983"/>
      <c r="H542" s="930"/>
      <c r="I542" s="970"/>
      <c r="J542" s="930"/>
      <c r="K542" s="931"/>
      <c r="L542" s="971"/>
      <c r="M542" s="954"/>
      <c r="N542" s="954"/>
      <c r="O542" s="954"/>
      <c r="P542" s="954"/>
      <c r="Q542" s="954"/>
      <c r="R542" s="954"/>
      <c r="S542" s="954"/>
      <c r="T542" s="954"/>
      <c r="U542" s="954"/>
    </row>
    <row r="543" spans="1:21" s="933" customFormat="1" ht="24" customHeight="1">
      <c r="A543" s="1026"/>
      <c r="B543" s="976" t="s">
        <v>872</v>
      </c>
      <c r="C543" s="976"/>
      <c r="D543" s="976"/>
      <c r="E543" s="978">
        <v>0</v>
      </c>
      <c r="F543" s="974" t="s">
        <v>870</v>
      </c>
      <c r="G543" s="969">
        <f t="shared" ref="G543:G551" si="118">VLOOKUP(B543,$O$43:$P$53,2,FALSE)</f>
        <v>25.73</v>
      </c>
      <c r="H543" s="930">
        <f t="shared" si="114"/>
        <v>0</v>
      </c>
      <c r="I543" s="984">
        <v>4.0999999999999996</v>
      </c>
      <c r="J543" s="930">
        <f t="shared" si="115"/>
        <v>0</v>
      </c>
      <c r="K543" s="931">
        <f t="shared" si="116"/>
        <v>0</v>
      </c>
      <c r="L543" s="971"/>
      <c r="M543" s="954"/>
      <c r="N543" s="954"/>
      <c r="O543" s="954"/>
      <c r="P543" s="954"/>
      <c r="Q543" s="954"/>
      <c r="R543" s="954"/>
      <c r="S543" s="954"/>
      <c r="T543" s="954"/>
      <c r="U543" s="954"/>
    </row>
    <row r="544" spans="1:21" s="933" customFormat="1" ht="24" customHeight="1">
      <c r="A544" s="1026"/>
      <c r="B544" s="976" t="s">
        <v>873</v>
      </c>
      <c r="C544" s="976"/>
      <c r="D544" s="976"/>
      <c r="E544" s="978">
        <v>8655.7900000000009</v>
      </c>
      <c r="F544" s="974" t="s">
        <v>870</v>
      </c>
      <c r="G544" s="969">
        <f t="shared" si="118"/>
        <v>24.97</v>
      </c>
      <c r="H544" s="930">
        <f t="shared" si="114"/>
        <v>216135.08</v>
      </c>
      <c r="I544" s="970">
        <v>4.0999999999999996</v>
      </c>
      <c r="J544" s="930">
        <f t="shared" si="115"/>
        <v>35488.74</v>
      </c>
      <c r="K544" s="931">
        <f t="shared" si="116"/>
        <v>251623.81999999998</v>
      </c>
      <c r="L544" s="971"/>
      <c r="M544" s="954"/>
      <c r="N544" s="954"/>
      <c r="O544" s="954"/>
      <c r="P544" s="954"/>
      <c r="Q544" s="954"/>
      <c r="R544" s="954"/>
      <c r="S544" s="954"/>
      <c r="T544" s="954"/>
      <c r="U544" s="954"/>
    </row>
    <row r="545" spans="1:21" s="933" customFormat="1" ht="24" customHeight="1">
      <c r="A545" s="1026"/>
      <c r="B545" s="976" t="s">
        <v>874</v>
      </c>
      <c r="C545" s="976"/>
      <c r="D545" s="976"/>
      <c r="E545" s="978">
        <v>8421.0300000000007</v>
      </c>
      <c r="F545" s="974" t="s">
        <v>870</v>
      </c>
      <c r="G545" s="969">
        <f t="shared" si="118"/>
        <v>24.47</v>
      </c>
      <c r="H545" s="930">
        <f t="shared" si="114"/>
        <v>206062.6</v>
      </c>
      <c r="I545" s="970">
        <v>3.3</v>
      </c>
      <c r="J545" s="930">
        <f t="shared" si="115"/>
        <v>27789.4</v>
      </c>
      <c r="K545" s="931">
        <f t="shared" si="116"/>
        <v>233852</v>
      </c>
      <c r="L545" s="971"/>
      <c r="M545" s="954"/>
      <c r="N545" s="954"/>
      <c r="O545" s="954"/>
      <c r="P545" s="954"/>
      <c r="Q545" s="954"/>
      <c r="R545" s="954"/>
      <c r="S545" s="954"/>
      <c r="T545" s="954"/>
      <c r="U545" s="954"/>
    </row>
    <row r="546" spans="1:21" s="933" customFormat="1" ht="24" customHeight="1">
      <c r="A546" s="1026"/>
      <c r="B546" s="976" t="s">
        <v>875</v>
      </c>
      <c r="C546" s="976"/>
      <c r="D546" s="976"/>
      <c r="E546" s="978">
        <v>50.51</v>
      </c>
      <c r="F546" s="982" t="s">
        <v>870</v>
      </c>
      <c r="G546" s="969">
        <f t="shared" si="118"/>
        <v>24.27</v>
      </c>
      <c r="H546" s="930">
        <f t="shared" si="114"/>
        <v>1225.8800000000001</v>
      </c>
      <c r="I546" s="970">
        <v>3.3</v>
      </c>
      <c r="J546" s="930">
        <f t="shared" si="115"/>
        <v>166.68</v>
      </c>
      <c r="K546" s="931">
        <f t="shared" si="116"/>
        <v>1392.5600000000002</v>
      </c>
      <c r="L546" s="971"/>
      <c r="M546" s="954"/>
      <c r="N546" s="954"/>
      <c r="O546" s="954"/>
      <c r="P546" s="954"/>
      <c r="Q546" s="954"/>
      <c r="R546" s="954"/>
      <c r="S546" s="954"/>
      <c r="T546" s="954"/>
      <c r="U546" s="954"/>
    </row>
    <row r="547" spans="1:21" s="933" customFormat="1" ht="24" customHeight="1">
      <c r="A547" s="928"/>
      <c r="B547" s="976" t="s">
        <v>876</v>
      </c>
      <c r="C547" s="976"/>
      <c r="D547" s="976"/>
      <c r="E547" s="978">
        <v>0</v>
      </c>
      <c r="F547" s="974" t="s">
        <v>870</v>
      </c>
      <c r="G547" s="969">
        <f t="shared" si="118"/>
        <v>24.27</v>
      </c>
      <c r="H547" s="930">
        <f t="shared" si="114"/>
        <v>0</v>
      </c>
      <c r="I547" s="970">
        <v>2.9</v>
      </c>
      <c r="J547" s="930">
        <f t="shared" si="115"/>
        <v>0</v>
      </c>
      <c r="K547" s="931">
        <f t="shared" si="116"/>
        <v>0</v>
      </c>
      <c r="L547" s="971"/>
      <c r="M547" s="954"/>
      <c r="N547" s="954"/>
      <c r="O547" s="954"/>
      <c r="P547" s="954"/>
      <c r="Q547" s="954"/>
      <c r="R547" s="954"/>
      <c r="S547" s="954"/>
      <c r="T547" s="954"/>
      <c r="U547" s="954"/>
    </row>
    <row r="548" spans="1:21" s="933" customFormat="1" ht="24" customHeight="1">
      <c r="A548" s="928"/>
      <c r="B548" s="976" t="s">
        <v>877</v>
      </c>
      <c r="C548" s="976"/>
      <c r="D548" s="976"/>
      <c r="E548" s="978">
        <v>74297</v>
      </c>
      <c r="F548" s="974" t="s">
        <v>870</v>
      </c>
      <c r="G548" s="969">
        <f t="shared" si="118"/>
        <v>24.27</v>
      </c>
      <c r="H548" s="930">
        <f t="shared" si="114"/>
        <v>1803188.19</v>
      </c>
      <c r="I548" s="970">
        <v>2.9</v>
      </c>
      <c r="J548" s="930">
        <f t="shared" si="115"/>
        <v>215461.3</v>
      </c>
      <c r="K548" s="931">
        <f t="shared" si="116"/>
        <v>2018649.49</v>
      </c>
      <c r="L548" s="971"/>
      <c r="M548" s="954"/>
      <c r="N548" s="954"/>
      <c r="O548" s="954"/>
      <c r="P548" s="954"/>
      <c r="Q548" s="954"/>
      <c r="R548" s="954"/>
      <c r="S548" s="954"/>
      <c r="T548" s="954"/>
      <c r="U548" s="954"/>
    </row>
    <row r="549" spans="1:21" s="933" customFormat="1" ht="24" customHeight="1">
      <c r="A549" s="928"/>
      <c r="B549" s="976" t="s">
        <v>878</v>
      </c>
      <c r="C549" s="976"/>
      <c r="D549" s="976"/>
      <c r="E549" s="978">
        <v>0</v>
      </c>
      <c r="F549" s="974" t="s">
        <v>870</v>
      </c>
      <c r="G549" s="969">
        <f t="shared" si="118"/>
        <v>24.27</v>
      </c>
      <c r="H549" s="930">
        <f t="shared" si="114"/>
        <v>0</v>
      </c>
      <c r="I549" s="970">
        <v>2.9</v>
      </c>
      <c r="J549" s="930">
        <f t="shared" si="115"/>
        <v>0</v>
      </c>
      <c r="K549" s="931">
        <f t="shared" si="116"/>
        <v>0</v>
      </c>
      <c r="L549" s="971"/>
      <c r="M549" s="954"/>
      <c r="N549" s="954"/>
      <c r="O549" s="954"/>
      <c r="P549" s="954"/>
      <c r="Q549" s="954"/>
      <c r="R549" s="954"/>
      <c r="S549" s="954"/>
      <c r="T549" s="954"/>
      <c r="U549" s="954"/>
    </row>
    <row r="550" spans="1:21" s="933" customFormat="1" ht="24" customHeight="1">
      <c r="A550" s="928"/>
      <c r="B550" s="976" t="s">
        <v>879</v>
      </c>
      <c r="C550" s="976"/>
      <c r="D550" s="976"/>
      <c r="E550" s="978">
        <v>0</v>
      </c>
      <c r="F550" s="974" t="s">
        <v>870</v>
      </c>
      <c r="G550" s="969">
        <f t="shared" si="118"/>
        <v>23.8</v>
      </c>
      <c r="H550" s="930">
        <f t="shared" si="114"/>
        <v>0</v>
      </c>
      <c r="I550" s="970">
        <v>2.9</v>
      </c>
      <c r="J550" s="930">
        <f t="shared" si="115"/>
        <v>0</v>
      </c>
      <c r="K550" s="931">
        <f t="shared" si="116"/>
        <v>0</v>
      </c>
      <c r="L550" s="971"/>
      <c r="M550" s="954"/>
      <c r="N550" s="954"/>
      <c r="O550" s="954"/>
      <c r="P550" s="954"/>
      <c r="Q550" s="954"/>
      <c r="R550" s="954"/>
      <c r="S550" s="954"/>
      <c r="T550" s="954"/>
      <c r="U550" s="954"/>
    </row>
    <row r="551" spans="1:21" s="933" customFormat="1" ht="24" customHeight="1">
      <c r="A551" s="928"/>
      <c r="B551" s="976" t="s">
        <v>880</v>
      </c>
      <c r="C551" s="976"/>
      <c r="D551" s="976"/>
      <c r="E551" s="978">
        <f>(SUM(E543:E550)/1000)*30</f>
        <v>2742.7298999999998</v>
      </c>
      <c r="F551" s="974" t="s">
        <v>870</v>
      </c>
      <c r="G551" s="969">
        <f t="shared" si="118"/>
        <v>29.92</v>
      </c>
      <c r="H551" s="930">
        <f t="shared" si="114"/>
        <v>82062.48</v>
      </c>
      <c r="I551" s="970"/>
      <c r="J551" s="930">
        <f t="shared" si="115"/>
        <v>0</v>
      </c>
      <c r="K551" s="931">
        <f t="shared" si="116"/>
        <v>82062.48</v>
      </c>
      <c r="L551" s="971"/>
      <c r="M551" s="954"/>
      <c r="N551" s="954"/>
      <c r="O551" s="954"/>
      <c r="P551" s="954"/>
      <c r="Q551" s="954"/>
      <c r="R551" s="954"/>
      <c r="S551" s="954"/>
      <c r="T551" s="954"/>
      <c r="U551" s="954"/>
    </row>
    <row r="552" spans="1:21" s="933" customFormat="1" ht="24" customHeight="1">
      <c r="A552" s="928"/>
      <c r="B552" s="976" t="s">
        <v>881</v>
      </c>
      <c r="C552" s="976"/>
      <c r="D552" s="976"/>
      <c r="E552" s="978"/>
      <c r="F552" s="974"/>
      <c r="G552" s="969"/>
      <c r="H552" s="930"/>
      <c r="I552" s="970"/>
      <c r="J552" s="930"/>
      <c r="K552" s="931"/>
      <c r="L552" s="971"/>
      <c r="M552" s="954"/>
      <c r="N552" s="954"/>
      <c r="O552" s="954"/>
      <c r="P552" s="954"/>
      <c r="Q552" s="954"/>
      <c r="R552" s="954"/>
      <c r="S552" s="954"/>
      <c r="T552" s="954"/>
      <c r="U552" s="954"/>
    </row>
    <row r="553" spans="1:21" s="933" customFormat="1" ht="24" customHeight="1">
      <c r="A553" s="928"/>
      <c r="B553" s="1021"/>
      <c r="C553" s="972"/>
      <c r="D553" s="976"/>
      <c r="E553" s="985"/>
      <c r="F553" s="974"/>
      <c r="G553" s="969"/>
      <c r="H553" s="930"/>
      <c r="I553" s="970"/>
      <c r="J553" s="930"/>
      <c r="K553" s="931"/>
      <c r="L553" s="971"/>
      <c r="M553" s="954"/>
      <c r="N553" s="954"/>
      <c r="O553" s="954"/>
      <c r="P553" s="954"/>
      <c r="Q553" s="954"/>
      <c r="R553" s="954"/>
      <c r="S553" s="954"/>
      <c r="T553" s="954"/>
      <c r="U553" s="954"/>
    </row>
    <row r="554" spans="1:21" s="933" customFormat="1" ht="24" customHeight="1">
      <c r="A554" s="928"/>
      <c r="B554" s="1021"/>
      <c r="C554" s="976"/>
      <c r="D554" s="976"/>
      <c r="E554" s="985"/>
      <c r="F554" s="974"/>
      <c r="G554" s="969"/>
      <c r="H554" s="930"/>
      <c r="I554" s="970"/>
      <c r="J554" s="930"/>
      <c r="K554" s="931"/>
      <c r="L554" s="971"/>
      <c r="M554" s="954"/>
      <c r="N554" s="954"/>
      <c r="O554" s="954"/>
      <c r="P554" s="954"/>
      <c r="Q554" s="954"/>
      <c r="R554" s="954"/>
      <c r="S554" s="954"/>
      <c r="T554" s="954"/>
      <c r="U554" s="954"/>
    </row>
    <row r="555" spans="1:21" s="933" customFormat="1" ht="24" customHeight="1">
      <c r="A555" s="928"/>
      <c r="B555" s="1021"/>
      <c r="C555" s="976"/>
      <c r="D555" s="976"/>
      <c r="E555" s="985"/>
      <c r="F555" s="974"/>
      <c r="G555" s="969"/>
      <c r="H555" s="930"/>
      <c r="I555" s="970"/>
      <c r="J555" s="930"/>
      <c r="K555" s="931"/>
      <c r="L555" s="971"/>
      <c r="M555" s="954"/>
      <c r="N555" s="954"/>
      <c r="O555" s="954"/>
      <c r="P555" s="954"/>
      <c r="Q555" s="954"/>
      <c r="R555" s="954"/>
      <c r="S555" s="954"/>
      <c r="T555" s="954"/>
      <c r="U555" s="954"/>
    </row>
    <row r="556" spans="1:21" s="933" customFormat="1" ht="24" customHeight="1">
      <c r="A556" s="928"/>
      <c r="B556" s="1021"/>
      <c r="C556" s="976"/>
      <c r="D556" s="976"/>
      <c r="E556" s="985"/>
      <c r="F556" s="974"/>
      <c r="G556" s="969"/>
      <c r="H556" s="930"/>
      <c r="I556" s="970"/>
      <c r="J556" s="930"/>
      <c r="K556" s="931"/>
      <c r="L556" s="971"/>
      <c r="M556" s="954"/>
      <c r="N556" s="954"/>
      <c r="O556" s="954"/>
      <c r="P556" s="954"/>
      <c r="Q556" s="954"/>
      <c r="R556" s="954"/>
      <c r="S556" s="954"/>
      <c r="T556" s="954"/>
      <c r="U556" s="954"/>
    </row>
    <row r="557" spans="1:21" s="933" customFormat="1" ht="24" customHeight="1">
      <c r="A557" s="928"/>
      <c r="B557" s="1021"/>
      <c r="C557" s="976"/>
      <c r="D557" s="976"/>
      <c r="E557" s="985"/>
      <c r="F557" s="974"/>
      <c r="G557" s="969"/>
      <c r="H557" s="930"/>
      <c r="I557" s="970"/>
      <c r="J557" s="930"/>
      <c r="K557" s="931"/>
      <c r="L557" s="971"/>
      <c r="M557" s="954"/>
      <c r="N557" s="954"/>
      <c r="O557" s="954"/>
      <c r="P557" s="954"/>
      <c r="Q557" s="954"/>
      <c r="R557" s="954"/>
      <c r="S557" s="954"/>
      <c r="T557" s="954"/>
      <c r="U557" s="954"/>
    </row>
    <row r="558" spans="1:21" s="933" customFormat="1" ht="24" customHeight="1">
      <c r="A558" s="928"/>
      <c r="B558" s="1021"/>
      <c r="C558" s="976"/>
      <c r="D558" s="976"/>
      <c r="E558" s="985"/>
      <c r="F558" s="974"/>
      <c r="G558" s="969"/>
      <c r="H558" s="930"/>
      <c r="I558" s="970"/>
      <c r="J558" s="930"/>
      <c r="K558" s="931"/>
      <c r="L558" s="971"/>
      <c r="M558" s="954"/>
      <c r="N558" s="954"/>
      <c r="O558" s="954"/>
      <c r="P558" s="954"/>
      <c r="Q558" s="954"/>
      <c r="R558" s="954"/>
      <c r="S558" s="954"/>
      <c r="T558" s="954"/>
      <c r="U558" s="954"/>
    </row>
    <row r="559" spans="1:21" s="933" customFormat="1" ht="24" customHeight="1">
      <c r="A559" s="928"/>
      <c r="B559" s="1021"/>
      <c r="C559" s="976"/>
      <c r="D559" s="976"/>
      <c r="E559" s="985"/>
      <c r="F559" s="974"/>
      <c r="G559" s="969"/>
      <c r="H559" s="930"/>
      <c r="I559" s="970"/>
      <c r="J559" s="930"/>
      <c r="K559" s="931"/>
      <c r="L559" s="971"/>
      <c r="M559" s="954"/>
      <c r="N559" s="954"/>
      <c r="O559" s="954"/>
      <c r="P559" s="954"/>
      <c r="Q559" s="954"/>
      <c r="R559" s="954"/>
      <c r="S559" s="954"/>
      <c r="T559" s="954"/>
      <c r="U559" s="954"/>
    </row>
    <row r="560" spans="1:21" s="933" customFormat="1" ht="24" customHeight="1">
      <c r="A560" s="928"/>
      <c r="B560" s="1021"/>
      <c r="C560" s="976"/>
      <c r="D560" s="976"/>
      <c r="E560" s="985"/>
      <c r="F560" s="974"/>
      <c r="G560" s="969"/>
      <c r="H560" s="930"/>
      <c r="I560" s="970"/>
      <c r="J560" s="930"/>
      <c r="K560" s="931"/>
      <c r="L560" s="971"/>
      <c r="M560" s="954"/>
      <c r="N560" s="954"/>
      <c r="O560" s="954"/>
      <c r="P560" s="954"/>
      <c r="Q560" s="954"/>
      <c r="R560" s="954"/>
      <c r="S560" s="954"/>
      <c r="T560" s="954"/>
      <c r="U560" s="954"/>
    </row>
    <row r="561" spans="1:21" s="933" customFormat="1" ht="24" customHeight="1">
      <c r="A561" s="1026" t="s">
        <v>923</v>
      </c>
      <c r="B561" s="1027" t="s">
        <v>1031</v>
      </c>
      <c r="C561" s="976"/>
      <c r="D561" s="976"/>
      <c r="E561" s="985"/>
      <c r="F561" s="974"/>
      <c r="G561" s="969"/>
      <c r="H561" s="930"/>
      <c r="I561" s="970"/>
      <c r="J561" s="930"/>
      <c r="K561" s="931"/>
      <c r="L561" s="971"/>
      <c r="M561" s="954"/>
      <c r="N561" s="954"/>
      <c r="O561" s="954"/>
      <c r="P561" s="954"/>
      <c r="Q561" s="954"/>
      <c r="R561" s="954"/>
      <c r="S561" s="954"/>
      <c r="T561" s="954"/>
      <c r="U561" s="954"/>
    </row>
    <row r="562" spans="1:21" s="933" customFormat="1" ht="24" customHeight="1">
      <c r="A562" s="928"/>
      <c r="B562" s="976" t="s">
        <v>864</v>
      </c>
      <c r="C562" s="977"/>
      <c r="D562" s="977"/>
      <c r="E562" s="978">
        <v>153.61000000000001</v>
      </c>
      <c r="F562" s="974" t="s">
        <v>865</v>
      </c>
      <c r="G562" s="969">
        <v>2516</v>
      </c>
      <c r="H562" s="930">
        <f t="shared" ref="H562:H576" si="119">ROUND(E562*G562,2)</f>
        <v>386482.76</v>
      </c>
      <c r="I562" s="970">
        <v>485</v>
      </c>
      <c r="J562" s="930">
        <f t="shared" ref="J562:J576" si="120">ROUND(E562*I562,2)</f>
        <v>74500.850000000006</v>
      </c>
      <c r="K562" s="931">
        <f t="shared" ref="K562:K576" si="121">H562+J562</f>
        <v>460983.61</v>
      </c>
      <c r="L562" s="971"/>
      <c r="M562" s="954"/>
      <c r="N562" s="954"/>
      <c r="O562" s="954"/>
      <c r="P562" s="954"/>
      <c r="Q562" s="954"/>
      <c r="R562" s="954"/>
      <c r="S562" s="954"/>
      <c r="T562" s="954"/>
      <c r="U562" s="954"/>
    </row>
    <row r="563" spans="1:21" s="933" customFormat="1" ht="24" customHeight="1">
      <c r="A563" s="928"/>
      <c r="B563" s="979" t="s">
        <v>866</v>
      </c>
      <c r="C563" s="976"/>
      <c r="D563" s="976"/>
      <c r="E563" s="978"/>
      <c r="F563" s="974"/>
      <c r="G563" s="969"/>
      <c r="H563" s="930">
        <f t="shared" si="119"/>
        <v>0</v>
      </c>
      <c r="I563" s="970"/>
      <c r="J563" s="930">
        <f t="shared" si="120"/>
        <v>0</v>
      </c>
      <c r="K563" s="931">
        <f t="shared" si="121"/>
        <v>0</v>
      </c>
      <c r="L563" s="971"/>
      <c r="M563" s="954"/>
      <c r="N563" s="954"/>
      <c r="O563" s="954"/>
      <c r="P563" s="954"/>
      <c r="Q563" s="954"/>
      <c r="R563" s="954"/>
      <c r="S563" s="954"/>
      <c r="T563" s="954"/>
      <c r="U563" s="954"/>
    </row>
    <row r="564" spans="1:21" s="933" customFormat="1" ht="24" customHeight="1">
      <c r="A564" s="928"/>
      <c r="B564" s="979"/>
      <c r="C564" s="976" t="s">
        <v>867</v>
      </c>
      <c r="D564" s="976"/>
      <c r="E564" s="978">
        <f>E565/2</f>
        <v>455.58</v>
      </c>
      <c r="F564" s="974" t="s">
        <v>34</v>
      </c>
      <c r="G564" s="969">
        <v>661.62</v>
      </c>
      <c r="H564" s="930">
        <f t="shared" si="119"/>
        <v>301420.84000000003</v>
      </c>
      <c r="I564" s="970"/>
      <c r="J564" s="930">
        <f t="shared" si="120"/>
        <v>0</v>
      </c>
      <c r="K564" s="931">
        <f t="shared" si="121"/>
        <v>301420.84000000003</v>
      </c>
      <c r="L564" s="971"/>
      <c r="M564" s="954"/>
      <c r="N564" s="954"/>
      <c r="O564" s="954"/>
      <c r="P564" s="954"/>
      <c r="Q564" s="954"/>
      <c r="R564" s="954"/>
      <c r="S564" s="954"/>
      <c r="T564" s="954"/>
      <c r="U564" s="954"/>
    </row>
    <row r="565" spans="1:21" s="933" customFormat="1" ht="24" customHeight="1">
      <c r="A565" s="928"/>
      <c r="B565" s="979"/>
      <c r="C565" s="976" t="s">
        <v>868</v>
      </c>
      <c r="D565" s="976"/>
      <c r="E565" s="978">
        <v>911.16</v>
      </c>
      <c r="F565" s="974" t="s">
        <v>34</v>
      </c>
      <c r="G565" s="969"/>
      <c r="H565" s="930">
        <f t="shared" si="119"/>
        <v>0</v>
      </c>
      <c r="I565" s="970">
        <v>154</v>
      </c>
      <c r="J565" s="930">
        <f t="shared" si="120"/>
        <v>140318.64000000001</v>
      </c>
      <c r="K565" s="931">
        <f t="shared" si="121"/>
        <v>140318.64000000001</v>
      </c>
      <c r="L565" s="971"/>
      <c r="M565" s="954"/>
      <c r="N565" s="954"/>
      <c r="O565" s="954"/>
      <c r="P565" s="954"/>
      <c r="Q565" s="954"/>
      <c r="R565" s="954"/>
      <c r="S565" s="954"/>
      <c r="T565" s="954"/>
      <c r="U565" s="954"/>
    </row>
    <row r="566" spans="1:21" s="933" customFormat="1" ht="24" customHeight="1">
      <c r="A566" s="928"/>
      <c r="B566" s="976" t="s">
        <v>869</v>
      </c>
      <c r="C566" s="976"/>
      <c r="D566" s="976"/>
      <c r="E566" s="978">
        <f>(E565*0.25)</f>
        <v>227.79</v>
      </c>
      <c r="F566" s="974" t="s">
        <v>870</v>
      </c>
      <c r="G566" s="969">
        <f t="shared" ref="G566" si="122">VLOOKUP(B566,$O$43:$P$53,2,FALSE)</f>
        <v>29.94</v>
      </c>
      <c r="H566" s="930">
        <f t="shared" si="119"/>
        <v>6820.03</v>
      </c>
      <c r="I566" s="970"/>
      <c r="J566" s="930">
        <f t="shared" si="120"/>
        <v>0</v>
      </c>
      <c r="K566" s="931">
        <f t="shared" si="121"/>
        <v>6820.03</v>
      </c>
      <c r="L566" s="971"/>
      <c r="M566" s="954"/>
      <c r="N566" s="954"/>
      <c r="O566" s="954"/>
      <c r="P566" s="954"/>
      <c r="Q566" s="954"/>
      <c r="R566" s="954"/>
      <c r="S566" s="954"/>
      <c r="T566" s="954"/>
      <c r="U566" s="954"/>
    </row>
    <row r="567" spans="1:21" s="933" customFormat="1" ht="24" customHeight="1">
      <c r="A567" s="928"/>
      <c r="B567" s="976" t="s">
        <v>871</v>
      </c>
      <c r="C567" s="976"/>
      <c r="D567" s="976"/>
      <c r="E567" s="978"/>
      <c r="F567" s="982"/>
      <c r="G567" s="983"/>
      <c r="H567" s="930">
        <f t="shared" si="119"/>
        <v>0</v>
      </c>
      <c r="I567" s="970"/>
      <c r="J567" s="930">
        <f t="shared" si="120"/>
        <v>0</v>
      </c>
      <c r="K567" s="931">
        <f t="shared" si="121"/>
        <v>0</v>
      </c>
      <c r="L567" s="971"/>
      <c r="M567" s="954"/>
      <c r="N567" s="954"/>
      <c r="O567" s="954"/>
      <c r="P567" s="954"/>
      <c r="Q567" s="954"/>
      <c r="R567" s="954"/>
      <c r="S567" s="954"/>
      <c r="T567" s="954"/>
      <c r="U567" s="954"/>
    </row>
    <row r="568" spans="1:21" s="933" customFormat="1" ht="24" customHeight="1">
      <c r="A568" s="928"/>
      <c r="B568" s="976" t="s">
        <v>872</v>
      </c>
      <c r="C568" s="976"/>
      <c r="D568" s="976"/>
      <c r="E568" s="978"/>
      <c r="F568" s="974" t="s">
        <v>870</v>
      </c>
      <c r="G568" s="969">
        <f t="shared" ref="G568:G576" si="123">VLOOKUP(B568,$O$43:$P$53,2,FALSE)</f>
        <v>25.73</v>
      </c>
      <c r="H568" s="930">
        <f t="shared" si="119"/>
        <v>0</v>
      </c>
      <c r="I568" s="984">
        <v>4.0999999999999996</v>
      </c>
      <c r="J568" s="930">
        <f t="shared" si="120"/>
        <v>0</v>
      </c>
      <c r="K568" s="931">
        <f t="shared" si="121"/>
        <v>0</v>
      </c>
      <c r="L568" s="971"/>
      <c r="M568" s="954"/>
      <c r="N568" s="954"/>
      <c r="O568" s="954"/>
      <c r="P568" s="954"/>
      <c r="Q568" s="954"/>
      <c r="R568" s="954"/>
      <c r="S568" s="954"/>
      <c r="T568" s="954"/>
      <c r="U568" s="954"/>
    </row>
    <row r="569" spans="1:21" s="933" customFormat="1" ht="24" customHeight="1">
      <c r="A569" s="928"/>
      <c r="B569" s="976" t="s">
        <v>873</v>
      </c>
      <c r="C569" s="976"/>
      <c r="D569" s="976"/>
      <c r="E569" s="978"/>
      <c r="F569" s="974" t="s">
        <v>870</v>
      </c>
      <c r="G569" s="969">
        <f t="shared" si="123"/>
        <v>24.97</v>
      </c>
      <c r="H569" s="930">
        <f t="shared" si="119"/>
        <v>0</v>
      </c>
      <c r="I569" s="970">
        <v>4.0999999999999996</v>
      </c>
      <c r="J569" s="930">
        <f t="shared" si="120"/>
        <v>0</v>
      </c>
      <c r="K569" s="931">
        <f t="shared" si="121"/>
        <v>0</v>
      </c>
      <c r="L569" s="971"/>
      <c r="M569" s="954"/>
      <c r="N569" s="954"/>
      <c r="O569" s="954"/>
      <c r="P569" s="954"/>
      <c r="Q569" s="954"/>
      <c r="R569" s="954"/>
      <c r="S569" s="954"/>
      <c r="T569" s="954"/>
      <c r="U569" s="954"/>
    </row>
    <row r="570" spans="1:21" s="933" customFormat="1" ht="24" customHeight="1">
      <c r="A570" s="928"/>
      <c r="B570" s="976" t="s">
        <v>874</v>
      </c>
      <c r="C570" s="976"/>
      <c r="D570" s="976"/>
      <c r="E570" s="978">
        <v>4854.3100000000004</v>
      </c>
      <c r="F570" s="974" t="s">
        <v>870</v>
      </c>
      <c r="G570" s="969">
        <f t="shared" si="123"/>
        <v>24.47</v>
      </c>
      <c r="H570" s="930">
        <f t="shared" si="119"/>
        <v>118784.97</v>
      </c>
      <c r="I570" s="970">
        <v>3.3</v>
      </c>
      <c r="J570" s="930">
        <f t="shared" si="120"/>
        <v>16019.22</v>
      </c>
      <c r="K570" s="931">
        <f t="shared" si="121"/>
        <v>134804.19</v>
      </c>
      <c r="L570" s="971"/>
      <c r="M570" s="954"/>
      <c r="N570" s="954"/>
      <c r="O570" s="954"/>
      <c r="P570" s="954"/>
      <c r="Q570" s="954"/>
      <c r="R570" s="954"/>
      <c r="S570" s="954"/>
      <c r="T570" s="954"/>
      <c r="U570" s="954"/>
    </row>
    <row r="571" spans="1:21" s="933" customFormat="1" ht="24" customHeight="1">
      <c r="A571" s="928"/>
      <c r="B571" s="976" t="s">
        <v>875</v>
      </c>
      <c r="C571" s="976"/>
      <c r="D571" s="976"/>
      <c r="E571" s="978">
        <v>13791.74</v>
      </c>
      <c r="F571" s="982" t="s">
        <v>870</v>
      </c>
      <c r="G571" s="969">
        <f t="shared" si="123"/>
        <v>24.27</v>
      </c>
      <c r="H571" s="930">
        <f t="shared" si="119"/>
        <v>334725.53000000003</v>
      </c>
      <c r="I571" s="970">
        <v>3.3</v>
      </c>
      <c r="J571" s="930">
        <f t="shared" si="120"/>
        <v>45512.74</v>
      </c>
      <c r="K571" s="931">
        <f t="shared" si="121"/>
        <v>380238.27</v>
      </c>
      <c r="L571" s="971"/>
      <c r="M571" s="954"/>
      <c r="N571" s="954"/>
      <c r="O571" s="954"/>
      <c r="P571" s="954"/>
      <c r="Q571" s="954"/>
      <c r="R571" s="954"/>
      <c r="S571" s="954"/>
      <c r="T571" s="954"/>
      <c r="U571" s="954"/>
    </row>
    <row r="572" spans="1:21" s="933" customFormat="1" ht="24" customHeight="1">
      <c r="A572" s="928"/>
      <c r="B572" s="976" t="s">
        <v>876</v>
      </c>
      <c r="C572" s="976"/>
      <c r="D572" s="976"/>
      <c r="E572" s="978">
        <v>14299.08</v>
      </c>
      <c r="F572" s="974" t="s">
        <v>870</v>
      </c>
      <c r="G572" s="969">
        <f t="shared" si="123"/>
        <v>24.27</v>
      </c>
      <c r="H572" s="930">
        <f t="shared" si="119"/>
        <v>347038.67</v>
      </c>
      <c r="I572" s="970">
        <v>2.9</v>
      </c>
      <c r="J572" s="930">
        <f t="shared" si="120"/>
        <v>41467.33</v>
      </c>
      <c r="K572" s="931">
        <f t="shared" si="121"/>
        <v>388506</v>
      </c>
      <c r="L572" s="971"/>
      <c r="M572" s="954"/>
      <c r="N572" s="954"/>
      <c r="O572" s="954"/>
      <c r="P572" s="954"/>
      <c r="Q572" s="954"/>
      <c r="R572" s="954"/>
      <c r="S572" s="954"/>
      <c r="T572" s="954"/>
      <c r="U572" s="954"/>
    </row>
    <row r="573" spans="1:21" s="933" customFormat="1" ht="24" customHeight="1">
      <c r="A573" s="928"/>
      <c r="B573" s="976" t="s">
        <v>877</v>
      </c>
      <c r="C573" s="976"/>
      <c r="D573" s="976"/>
      <c r="E573" s="978">
        <v>8670.82</v>
      </c>
      <c r="F573" s="974" t="s">
        <v>870</v>
      </c>
      <c r="G573" s="969">
        <f t="shared" si="123"/>
        <v>24.27</v>
      </c>
      <c r="H573" s="930">
        <f t="shared" si="119"/>
        <v>210440.8</v>
      </c>
      <c r="I573" s="970">
        <v>2.9</v>
      </c>
      <c r="J573" s="930">
        <f t="shared" si="120"/>
        <v>25145.38</v>
      </c>
      <c r="K573" s="931">
        <f t="shared" si="121"/>
        <v>235586.18</v>
      </c>
      <c r="L573" s="971"/>
      <c r="M573" s="954"/>
      <c r="N573" s="954"/>
      <c r="O573" s="954"/>
      <c r="P573" s="954"/>
      <c r="Q573" s="954"/>
      <c r="R573" s="954"/>
      <c r="S573" s="954"/>
      <c r="T573" s="954"/>
      <c r="U573" s="954"/>
    </row>
    <row r="574" spans="1:21" s="933" customFormat="1" ht="24" customHeight="1">
      <c r="A574" s="928"/>
      <c r="B574" s="976" t="s">
        <v>878</v>
      </c>
      <c r="C574" s="976"/>
      <c r="D574" s="976"/>
      <c r="E574" s="978"/>
      <c r="F574" s="974" t="s">
        <v>870</v>
      </c>
      <c r="G574" s="969">
        <f t="shared" si="123"/>
        <v>24.27</v>
      </c>
      <c r="H574" s="930">
        <f t="shared" si="119"/>
        <v>0</v>
      </c>
      <c r="I574" s="970">
        <v>2.9</v>
      </c>
      <c r="J574" s="930">
        <f t="shared" si="120"/>
        <v>0</v>
      </c>
      <c r="K574" s="931">
        <f t="shared" si="121"/>
        <v>0</v>
      </c>
      <c r="L574" s="971"/>
      <c r="M574" s="954"/>
      <c r="N574" s="954"/>
      <c r="O574" s="954"/>
      <c r="P574" s="954"/>
      <c r="Q574" s="954"/>
      <c r="R574" s="954"/>
      <c r="S574" s="954"/>
      <c r="T574" s="954"/>
      <c r="U574" s="954"/>
    </row>
    <row r="575" spans="1:21" s="933" customFormat="1" ht="24" customHeight="1">
      <c r="A575" s="928"/>
      <c r="B575" s="976" t="s">
        <v>879</v>
      </c>
      <c r="C575" s="976"/>
      <c r="D575" s="976"/>
      <c r="E575" s="978"/>
      <c r="F575" s="974" t="s">
        <v>870</v>
      </c>
      <c r="G575" s="969">
        <f t="shared" si="123"/>
        <v>23.8</v>
      </c>
      <c r="H575" s="930">
        <f t="shared" si="119"/>
        <v>0</v>
      </c>
      <c r="I575" s="970">
        <v>2.9</v>
      </c>
      <c r="J575" s="930">
        <f t="shared" si="120"/>
        <v>0</v>
      </c>
      <c r="K575" s="931">
        <f t="shared" si="121"/>
        <v>0</v>
      </c>
      <c r="L575" s="971"/>
      <c r="M575" s="954"/>
      <c r="N575" s="954"/>
      <c r="O575" s="954"/>
      <c r="P575" s="954"/>
      <c r="Q575" s="954"/>
      <c r="R575" s="954"/>
      <c r="S575" s="954"/>
      <c r="T575" s="954"/>
      <c r="U575" s="954"/>
    </row>
    <row r="576" spans="1:21" s="933" customFormat="1" ht="24" customHeight="1">
      <c r="A576" s="928"/>
      <c r="B576" s="976" t="s">
        <v>880</v>
      </c>
      <c r="C576" s="976"/>
      <c r="D576" s="976"/>
      <c r="E576" s="978">
        <f>(SUM(E568:E575)/1000)*30</f>
        <v>1248.4784999999999</v>
      </c>
      <c r="F576" s="974" t="s">
        <v>870</v>
      </c>
      <c r="G576" s="969">
        <f t="shared" si="123"/>
        <v>29.92</v>
      </c>
      <c r="H576" s="930">
        <f t="shared" si="119"/>
        <v>37354.480000000003</v>
      </c>
      <c r="I576" s="970"/>
      <c r="J576" s="930">
        <f t="shared" si="120"/>
        <v>0</v>
      </c>
      <c r="K576" s="931">
        <f t="shared" si="121"/>
        <v>37354.480000000003</v>
      </c>
      <c r="L576" s="971"/>
      <c r="M576" s="954"/>
      <c r="N576" s="954"/>
      <c r="O576" s="954"/>
      <c r="P576" s="954"/>
      <c r="Q576" s="954"/>
      <c r="R576" s="954"/>
      <c r="S576" s="954"/>
      <c r="T576" s="954"/>
      <c r="U576" s="954"/>
    </row>
    <row r="577" spans="1:21" s="933" customFormat="1" ht="24" customHeight="1">
      <c r="A577" s="928"/>
      <c r="B577" s="976" t="s">
        <v>881</v>
      </c>
      <c r="C577" s="976"/>
      <c r="D577" s="976"/>
      <c r="E577" s="978"/>
      <c r="F577" s="974"/>
      <c r="G577" s="969"/>
      <c r="H577" s="930"/>
      <c r="I577" s="970"/>
      <c r="J577" s="930"/>
      <c r="K577" s="931"/>
      <c r="L577" s="971"/>
      <c r="M577" s="954"/>
      <c r="N577" s="954"/>
      <c r="O577" s="954"/>
      <c r="P577" s="954"/>
      <c r="Q577" s="954"/>
      <c r="R577" s="954"/>
      <c r="S577" s="954"/>
      <c r="T577" s="954"/>
      <c r="U577" s="954"/>
    </row>
    <row r="578" spans="1:21" s="933" customFormat="1" ht="24" customHeight="1">
      <c r="A578" s="928"/>
      <c r="B578" s="1021"/>
      <c r="C578" s="972"/>
      <c r="D578" s="976"/>
      <c r="E578" s="985"/>
      <c r="F578" s="974"/>
      <c r="G578" s="969"/>
      <c r="H578" s="930"/>
      <c r="I578" s="970"/>
      <c r="J578" s="930"/>
      <c r="K578" s="931"/>
      <c r="L578" s="971"/>
      <c r="M578" s="954"/>
      <c r="N578" s="954"/>
      <c r="O578" s="954"/>
      <c r="P578" s="954"/>
      <c r="Q578" s="954"/>
      <c r="R578" s="954"/>
      <c r="S578" s="954"/>
      <c r="T578" s="954"/>
      <c r="U578" s="954"/>
    </row>
    <row r="579" spans="1:21" s="933" customFormat="1" ht="24" customHeight="1">
      <c r="A579" s="928"/>
      <c r="B579" s="1021"/>
      <c r="C579" s="976"/>
      <c r="D579" s="976"/>
      <c r="E579" s="985"/>
      <c r="F579" s="974"/>
      <c r="G579" s="969"/>
      <c r="H579" s="930"/>
      <c r="I579" s="970"/>
      <c r="J579" s="930"/>
      <c r="K579" s="931"/>
      <c r="L579" s="971"/>
      <c r="M579" s="954"/>
      <c r="N579" s="954"/>
      <c r="O579" s="954"/>
      <c r="P579" s="954"/>
      <c r="Q579" s="954"/>
      <c r="R579" s="954"/>
      <c r="S579" s="954"/>
      <c r="T579" s="954"/>
      <c r="U579" s="954"/>
    </row>
    <row r="580" spans="1:21" s="933" customFormat="1" ht="24" customHeight="1">
      <c r="A580" s="928"/>
      <c r="B580" s="1021"/>
      <c r="C580" s="976"/>
      <c r="D580" s="976"/>
      <c r="E580" s="985"/>
      <c r="F580" s="974"/>
      <c r="G580" s="969"/>
      <c r="H580" s="930"/>
      <c r="I580" s="970"/>
      <c r="J580" s="930"/>
      <c r="K580" s="931"/>
      <c r="L580" s="971"/>
      <c r="M580" s="954"/>
      <c r="N580" s="954"/>
      <c r="O580" s="954"/>
      <c r="P580" s="954"/>
      <c r="Q580" s="954"/>
      <c r="R580" s="954"/>
      <c r="S580" s="954"/>
      <c r="T580" s="954"/>
      <c r="U580" s="954"/>
    </row>
    <row r="581" spans="1:21" s="933" customFormat="1" ht="24" customHeight="1">
      <c r="A581" s="928"/>
      <c r="B581" s="1021"/>
      <c r="C581" s="976"/>
      <c r="D581" s="976"/>
      <c r="E581" s="985"/>
      <c r="F581" s="974"/>
      <c r="G581" s="969"/>
      <c r="H581" s="930"/>
      <c r="I581" s="970"/>
      <c r="J581" s="930"/>
      <c r="K581" s="931"/>
      <c r="L581" s="971"/>
      <c r="M581" s="954"/>
      <c r="N581" s="954"/>
      <c r="O581" s="954"/>
      <c r="P581" s="954"/>
      <c r="Q581" s="954"/>
      <c r="R581" s="954"/>
      <c r="S581" s="954"/>
      <c r="T581" s="954"/>
      <c r="U581" s="954"/>
    </row>
    <row r="582" spans="1:21" s="933" customFormat="1" ht="24" customHeight="1">
      <c r="A582" s="928"/>
      <c r="B582" s="1021"/>
      <c r="C582" s="976"/>
      <c r="D582" s="976"/>
      <c r="E582" s="985"/>
      <c r="F582" s="974"/>
      <c r="G582" s="969"/>
      <c r="H582" s="930"/>
      <c r="I582" s="970"/>
      <c r="J582" s="930"/>
      <c r="K582" s="931"/>
      <c r="L582" s="971"/>
      <c r="M582" s="954"/>
      <c r="N582" s="954"/>
      <c r="O582" s="954"/>
      <c r="P582" s="954"/>
      <c r="Q582" s="954"/>
      <c r="R582" s="954"/>
      <c r="S582" s="954"/>
      <c r="T582" s="954"/>
      <c r="U582" s="954"/>
    </row>
    <row r="583" spans="1:21" s="933" customFormat="1" ht="24" customHeight="1">
      <c r="A583" s="928"/>
      <c r="B583" s="1021"/>
      <c r="C583" s="976"/>
      <c r="D583" s="976"/>
      <c r="E583" s="985"/>
      <c r="F583" s="974"/>
      <c r="G583" s="969"/>
      <c r="H583" s="930"/>
      <c r="I583" s="970"/>
      <c r="J583" s="930"/>
      <c r="K583" s="931"/>
      <c r="L583" s="971"/>
      <c r="M583" s="954"/>
      <c r="N583" s="954"/>
      <c r="O583" s="954"/>
      <c r="P583" s="954"/>
      <c r="Q583" s="954"/>
      <c r="R583" s="954"/>
      <c r="S583" s="954"/>
      <c r="T583" s="954"/>
      <c r="U583" s="954"/>
    </row>
    <row r="584" spans="1:21" s="933" customFormat="1" ht="24" customHeight="1">
      <c r="A584" s="928"/>
      <c r="B584" s="1021"/>
      <c r="C584" s="976"/>
      <c r="D584" s="976"/>
      <c r="E584" s="985"/>
      <c r="F584" s="974"/>
      <c r="G584" s="969"/>
      <c r="H584" s="930"/>
      <c r="I584" s="970"/>
      <c r="J584" s="930"/>
      <c r="K584" s="931"/>
      <c r="L584" s="971"/>
      <c r="M584" s="954"/>
      <c r="N584" s="954"/>
      <c r="O584" s="954"/>
      <c r="P584" s="954"/>
      <c r="Q584" s="954"/>
      <c r="R584" s="954"/>
      <c r="S584" s="954"/>
      <c r="T584" s="954"/>
      <c r="U584" s="954"/>
    </row>
    <row r="585" spans="1:21" s="933" customFormat="1" ht="24" customHeight="1">
      <c r="A585" s="928"/>
      <c r="B585" s="1021"/>
      <c r="C585" s="976"/>
      <c r="D585" s="976"/>
      <c r="E585" s="985"/>
      <c r="F585" s="974"/>
      <c r="G585" s="969"/>
      <c r="H585" s="930"/>
      <c r="I585" s="970"/>
      <c r="J585" s="930"/>
      <c r="K585" s="931"/>
      <c r="L585" s="971"/>
      <c r="M585" s="954"/>
      <c r="N585" s="954"/>
      <c r="O585" s="954"/>
      <c r="P585" s="954"/>
      <c r="Q585" s="954"/>
      <c r="R585" s="954"/>
      <c r="S585" s="954"/>
      <c r="T585" s="954"/>
      <c r="U585" s="954"/>
    </row>
    <row r="586" spans="1:21" s="933" customFormat="1" ht="24" customHeight="1">
      <c r="A586" s="1026" t="s">
        <v>924</v>
      </c>
      <c r="B586" s="1027" t="s">
        <v>925</v>
      </c>
      <c r="C586" s="976"/>
      <c r="D586" s="976"/>
      <c r="E586" s="985"/>
      <c r="F586" s="974"/>
      <c r="G586" s="969"/>
      <c r="H586" s="930"/>
      <c r="I586" s="970"/>
      <c r="J586" s="930"/>
      <c r="K586" s="931"/>
      <c r="L586" s="971"/>
      <c r="M586" s="954"/>
      <c r="N586" s="954"/>
      <c r="O586" s="954"/>
      <c r="P586" s="954"/>
      <c r="Q586" s="954"/>
      <c r="R586" s="954"/>
      <c r="S586" s="954"/>
      <c r="T586" s="954"/>
      <c r="U586" s="954"/>
    </row>
    <row r="587" spans="1:21" s="933" customFormat="1" ht="24" customHeight="1">
      <c r="A587" s="928"/>
      <c r="B587" s="976" t="s">
        <v>864</v>
      </c>
      <c r="C587" s="977"/>
      <c r="D587" s="977"/>
      <c r="E587" s="978">
        <v>17.1828</v>
      </c>
      <c r="F587" s="974" t="s">
        <v>865</v>
      </c>
      <c r="G587" s="969">
        <v>2516</v>
      </c>
      <c r="H587" s="930">
        <f t="shared" ref="H587:H601" si="124">ROUND(E587*G587,2)</f>
        <v>43231.92</v>
      </c>
      <c r="I587" s="970">
        <v>485</v>
      </c>
      <c r="J587" s="930">
        <f t="shared" ref="J587:J601" si="125">ROUND(E587*I587,2)</f>
        <v>8333.66</v>
      </c>
      <c r="K587" s="931">
        <f t="shared" ref="K587:K601" si="126">H587+J587</f>
        <v>51565.58</v>
      </c>
      <c r="L587" s="971"/>
      <c r="M587" s="954"/>
      <c r="N587" s="954"/>
      <c r="O587" s="954"/>
      <c r="P587" s="954"/>
      <c r="Q587" s="954"/>
      <c r="R587" s="954"/>
      <c r="S587" s="954"/>
      <c r="T587" s="954"/>
      <c r="U587" s="954"/>
    </row>
    <row r="588" spans="1:21" s="933" customFormat="1" ht="24" customHeight="1">
      <c r="A588" s="928"/>
      <c r="B588" s="979" t="s">
        <v>866</v>
      </c>
      <c r="C588" s="976"/>
      <c r="D588" s="976"/>
      <c r="E588" s="978"/>
      <c r="F588" s="974"/>
      <c r="G588" s="969"/>
      <c r="H588" s="930"/>
      <c r="I588" s="970"/>
      <c r="J588" s="930"/>
      <c r="K588" s="931"/>
      <c r="L588" s="971"/>
      <c r="M588" s="954"/>
      <c r="N588" s="954"/>
      <c r="O588" s="954"/>
      <c r="P588" s="954"/>
      <c r="Q588" s="954"/>
      <c r="R588" s="954"/>
      <c r="S588" s="954"/>
      <c r="T588" s="954"/>
      <c r="U588" s="954"/>
    </row>
    <row r="589" spans="1:21" s="933" customFormat="1" ht="24" customHeight="1">
      <c r="A589" s="928"/>
      <c r="B589" s="979"/>
      <c r="C589" s="976" t="s">
        <v>867</v>
      </c>
      <c r="D589" s="976"/>
      <c r="E589" s="978">
        <f>E590/2</f>
        <v>58.164000000000001</v>
      </c>
      <c r="F589" s="974" t="s">
        <v>34</v>
      </c>
      <c r="G589" s="969">
        <v>661.62</v>
      </c>
      <c r="H589" s="930">
        <f t="shared" si="124"/>
        <v>38482.47</v>
      </c>
      <c r="I589" s="970"/>
      <c r="J589" s="930">
        <f t="shared" si="125"/>
        <v>0</v>
      </c>
      <c r="K589" s="931">
        <f t="shared" si="126"/>
        <v>38482.47</v>
      </c>
      <c r="L589" s="971"/>
      <c r="M589" s="954"/>
      <c r="N589" s="954"/>
      <c r="O589" s="954"/>
      <c r="P589" s="954"/>
      <c r="Q589" s="954"/>
      <c r="R589" s="954"/>
      <c r="S589" s="954"/>
      <c r="T589" s="954"/>
      <c r="U589" s="954"/>
    </row>
    <row r="590" spans="1:21" s="933" customFormat="1" ht="24" customHeight="1">
      <c r="A590" s="928"/>
      <c r="B590" s="979"/>
      <c r="C590" s="976" t="s">
        <v>868</v>
      </c>
      <c r="D590" s="976"/>
      <c r="E590" s="978">
        <v>116.328</v>
      </c>
      <c r="F590" s="974" t="s">
        <v>34</v>
      </c>
      <c r="G590" s="969"/>
      <c r="H590" s="930">
        <f t="shared" si="124"/>
        <v>0</v>
      </c>
      <c r="I590" s="970">
        <v>154</v>
      </c>
      <c r="J590" s="930">
        <f t="shared" si="125"/>
        <v>17914.509999999998</v>
      </c>
      <c r="K590" s="931">
        <f t="shared" si="126"/>
        <v>17914.509999999998</v>
      </c>
      <c r="L590" s="971"/>
      <c r="M590" s="954"/>
      <c r="N590" s="954"/>
      <c r="O590" s="954"/>
      <c r="P590" s="954"/>
      <c r="Q590" s="954"/>
      <c r="R590" s="954"/>
      <c r="S590" s="954"/>
      <c r="T590" s="954"/>
      <c r="U590" s="954"/>
    </row>
    <row r="591" spans="1:21" s="933" customFormat="1" ht="24" customHeight="1">
      <c r="A591" s="928"/>
      <c r="B591" s="976" t="s">
        <v>869</v>
      </c>
      <c r="C591" s="976"/>
      <c r="D591" s="976"/>
      <c r="E591" s="978">
        <f>(E590*0.25)</f>
        <v>29.082000000000001</v>
      </c>
      <c r="F591" s="974" t="s">
        <v>870</v>
      </c>
      <c r="G591" s="969">
        <f t="shared" ref="G591" si="127">VLOOKUP(B591,$O$43:$P$53,2,FALSE)</f>
        <v>29.94</v>
      </c>
      <c r="H591" s="930">
        <f t="shared" si="124"/>
        <v>870.72</v>
      </c>
      <c r="I591" s="970"/>
      <c r="J591" s="930">
        <f t="shared" si="125"/>
        <v>0</v>
      </c>
      <c r="K591" s="931">
        <f t="shared" si="126"/>
        <v>870.72</v>
      </c>
      <c r="L591" s="971"/>
      <c r="M591" s="954"/>
      <c r="N591" s="954"/>
      <c r="O591" s="954"/>
      <c r="P591" s="954"/>
      <c r="Q591" s="954"/>
      <c r="R591" s="954"/>
      <c r="S591" s="954"/>
      <c r="T591" s="954"/>
      <c r="U591" s="954"/>
    </row>
    <row r="592" spans="1:21" s="933" customFormat="1" ht="24" customHeight="1">
      <c r="A592" s="928"/>
      <c r="B592" s="976" t="s">
        <v>871</v>
      </c>
      <c r="C592" s="976"/>
      <c r="D592" s="976"/>
      <c r="E592" s="978"/>
      <c r="F592" s="982"/>
      <c r="G592" s="983"/>
      <c r="H592" s="930"/>
      <c r="I592" s="970"/>
      <c r="J592" s="930"/>
      <c r="K592" s="931"/>
      <c r="L592" s="971"/>
      <c r="M592" s="954"/>
      <c r="N592" s="954"/>
      <c r="O592" s="954"/>
      <c r="P592" s="954"/>
      <c r="Q592" s="954"/>
      <c r="R592" s="954"/>
      <c r="S592" s="954"/>
      <c r="T592" s="954"/>
      <c r="U592" s="954"/>
    </row>
    <row r="593" spans="1:21" s="933" customFormat="1" ht="24" customHeight="1">
      <c r="A593" s="928"/>
      <c r="B593" s="976" t="s">
        <v>872</v>
      </c>
      <c r="C593" s="976"/>
      <c r="D593" s="976"/>
      <c r="E593" s="978"/>
      <c r="F593" s="974" t="s">
        <v>870</v>
      </c>
      <c r="G593" s="969">
        <f t="shared" ref="G593:G601" si="128">VLOOKUP(B593,$O$43:$P$53,2,FALSE)</f>
        <v>25.73</v>
      </c>
      <c r="H593" s="930">
        <f t="shared" si="124"/>
        <v>0</v>
      </c>
      <c r="I593" s="984">
        <v>4.0999999999999996</v>
      </c>
      <c r="J593" s="930">
        <f t="shared" si="125"/>
        <v>0</v>
      </c>
      <c r="K593" s="931">
        <f t="shared" si="126"/>
        <v>0</v>
      </c>
      <c r="L593" s="971"/>
      <c r="M593" s="954"/>
      <c r="N593" s="954"/>
      <c r="O593" s="954"/>
      <c r="P593" s="954"/>
      <c r="Q593" s="954"/>
      <c r="R593" s="954"/>
      <c r="S593" s="954"/>
      <c r="T593" s="954"/>
      <c r="U593" s="954"/>
    </row>
    <row r="594" spans="1:21" s="933" customFormat="1" ht="24" customHeight="1">
      <c r="A594" s="928"/>
      <c r="B594" s="976" t="s">
        <v>873</v>
      </c>
      <c r="C594" s="976"/>
      <c r="D594" s="976"/>
      <c r="E594" s="978">
        <v>884.53</v>
      </c>
      <c r="F594" s="974" t="s">
        <v>870</v>
      </c>
      <c r="G594" s="969">
        <f t="shared" si="128"/>
        <v>24.97</v>
      </c>
      <c r="H594" s="930">
        <f t="shared" si="124"/>
        <v>22086.71</v>
      </c>
      <c r="I594" s="970">
        <v>4.0999999999999996</v>
      </c>
      <c r="J594" s="930">
        <f t="shared" si="125"/>
        <v>3626.57</v>
      </c>
      <c r="K594" s="931">
        <f t="shared" si="126"/>
        <v>25713.279999999999</v>
      </c>
      <c r="L594" s="971"/>
      <c r="M594" s="954"/>
      <c r="N594" s="954"/>
      <c r="O594" s="954"/>
      <c r="P594" s="954"/>
      <c r="Q594" s="954"/>
      <c r="R594" s="954"/>
      <c r="S594" s="954"/>
      <c r="T594" s="954"/>
      <c r="U594" s="954"/>
    </row>
    <row r="595" spans="1:21" s="933" customFormat="1" ht="24" customHeight="1">
      <c r="A595" s="928"/>
      <c r="B595" s="976" t="s">
        <v>874</v>
      </c>
      <c r="C595" s="976"/>
      <c r="D595" s="976"/>
      <c r="E595" s="978">
        <v>1011.72</v>
      </c>
      <c r="F595" s="974" t="s">
        <v>870</v>
      </c>
      <c r="G595" s="969">
        <f t="shared" si="128"/>
        <v>24.47</v>
      </c>
      <c r="H595" s="930">
        <f t="shared" si="124"/>
        <v>24756.79</v>
      </c>
      <c r="I595" s="970">
        <v>3.3</v>
      </c>
      <c r="J595" s="930">
        <f t="shared" si="125"/>
        <v>3338.68</v>
      </c>
      <c r="K595" s="931">
        <f t="shared" si="126"/>
        <v>28095.47</v>
      </c>
      <c r="L595" s="971"/>
      <c r="M595" s="954"/>
      <c r="N595" s="954"/>
      <c r="O595" s="954"/>
      <c r="P595" s="954"/>
      <c r="Q595" s="954"/>
      <c r="R595" s="954"/>
      <c r="S595" s="954"/>
      <c r="T595" s="954"/>
      <c r="U595" s="954"/>
    </row>
    <row r="596" spans="1:21" s="933" customFormat="1" ht="24" customHeight="1">
      <c r="A596" s="928"/>
      <c r="B596" s="976" t="s">
        <v>875</v>
      </c>
      <c r="C596" s="976"/>
      <c r="D596" s="976"/>
      <c r="E596" s="978">
        <v>584.02</v>
      </c>
      <c r="F596" s="982" t="s">
        <v>870</v>
      </c>
      <c r="G596" s="969">
        <f t="shared" si="128"/>
        <v>24.27</v>
      </c>
      <c r="H596" s="930">
        <f t="shared" si="124"/>
        <v>14174.17</v>
      </c>
      <c r="I596" s="970">
        <v>3.3</v>
      </c>
      <c r="J596" s="930">
        <f t="shared" si="125"/>
        <v>1927.27</v>
      </c>
      <c r="K596" s="931">
        <f t="shared" si="126"/>
        <v>16101.44</v>
      </c>
      <c r="L596" s="971"/>
      <c r="M596" s="954"/>
      <c r="N596" s="954"/>
      <c r="O596" s="954"/>
      <c r="P596" s="954"/>
      <c r="Q596" s="954"/>
      <c r="R596" s="954"/>
      <c r="S596" s="954"/>
      <c r="T596" s="954"/>
      <c r="U596" s="954"/>
    </row>
    <row r="597" spans="1:21" s="933" customFormat="1" ht="24" customHeight="1">
      <c r="A597" s="928"/>
      <c r="B597" s="976" t="s">
        <v>876</v>
      </c>
      <c r="C597" s="976"/>
      <c r="D597" s="976"/>
      <c r="E597" s="978"/>
      <c r="F597" s="974" t="s">
        <v>870</v>
      </c>
      <c r="G597" s="969">
        <f t="shared" si="128"/>
        <v>24.27</v>
      </c>
      <c r="H597" s="930">
        <f t="shared" si="124"/>
        <v>0</v>
      </c>
      <c r="I597" s="970">
        <v>2.9</v>
      </c>
      <c r="J597" s="930">
        <f t="shared" si="125"/>
        <v>0</v>
      </c>
      <c r="K597" s="931">
        <f t="shared" si="126"/>
        <v>0</v>
      </c>
      <c r="L597" s="971"/>
      <c r="M597" s="954"/>
      <c r="N597" s="954"/>
      <c r="O597" s="954"/>
      <c r="P597" s="954"/>
      <c r="Q597" s="954"/>
      <c r="R597" s="954"/>
      <c r="S597" s="954"/>
      <c r="T597" s="954"/>
      <c r="U597" s="954"/>
    </row>
    <row r="598" spans="1:21" s="933" customFormat="1" ht="24" customHeight="1">
      <c r="A598" s="928"/>
      <c r="B598" s="976" t="s">
        <v>877</v>
      </c>
      <c r="C598" s="976"/>
      <c r="D598" s="976"/>
      <c r="E598" s="978"/>
      <c r="F598" s="974" t="s">
        <v>870</v>
      </c>
      <c r="G598" s="969">
        <f t="shared" si="128"/>
        <v>24.27</v>
      </c>
      <c r="H598" s="930">
        <f t="shared" si="124"/>
        <v>0</v>
      </c>
      <c r="I598" s="970">
        <v>2.9</v>
      </c>
      <c r="J598" s="930">
        <f t="shared" si="125"/>
        <v>0</v>
      </c>
      <c r="K598" s="931">
        <f t="shared" si="126"/>
        <v>0</v>
      </c>
      <c r="L598" s="971"/>
      <c r="M598" s="954"/>
      <c r="N598" s="954"/>
      <c r="O598" s="954"/>
      <c r="P598" s="954"/>
      <c r="Q598" s="954"/>
      <c r="R598" s="954"/>
      <c r="S598" s="954"/>
      <c r="T598" s="954"/>
      <c r="U598" s="954"/>
    </row>
    <row r="599" spans="1:21" s="933" customFormat="1" ht="24" customHeight="1">
      <c r="A599" s="928"/>
      <c r="B599" s="976" t="s">
        <v>878</v>
      </c>
      <c r="C599" s="976"/>
      <c r="D599" s="976"/>
      <c r="E599" s="978"/>
      <c r="F599" s="974" t="s">
        <v>870</v>
      </c>
      <c r="G599" s="969">
        <f t="shared" si="128"/>
        <v>24.27</v>
      </c>
      <c r="H599" s="930">
        <f t="shared" si="124"/>
        <v>0</v>
      </c>
      <c r="I599" s="970">
        <v>2.9</v>
      </c>
      <c r="J599" s="930">
        <f t="shared" si="125"/>
        <v>0</v>
      </c>
      <c r="K599" s="931">
        <f t="shared" si="126"/>
        <v>0</v>
      </c>
      <c r="L599" s="971"/>
      <c r="M599" s="954"/>
      <c r="N599" s="954"/>
      <c r="O599" s="954"/>
      <c r="P599" s="954"/>
      <c r="Q599" s="954"/>
      <c r="R599" s="954"/>
      <c r="S599" s="954"/>
      <c r="T599" s="954"/>
      <c r="U599" s="954"/>
    </row>
    <row r="600" spans="1:21" s="933" customFormat="1" ht="24" customHeight="1">
      <c r="A600" s="928"/>
      <c r="B600" s="976" t="s">
        <v>879</v>
      </c>
      <c r="C600" s="976"/>
      <c r="D600" s="976"/>
      <c r="E600" s="978"/>
      <c r="F600" s="974" t="s">
        <v>870</v>
      </c>
      <c r="G600" s="969">
        <f t="shared" si="128"/>
        <v>23.8</v>
      </c>
      <c r="H600" s="930">
        <f t="shared" si="124"/>
        <v>0</v>
      </c>
      <c r="I600" s="970">
        <v>2.9</v>
      </c>
      <c r="J600" s="930">
        <f t="shared" si="125"/>
        <v>0</v>
      </c>
      <c r="K600" s="931">
        <f t="shared" si="126"/>
        <v>0</v>
      </c>
      <c r="L600" s="971"/>
      <c r="M600" s="954"/>
      <c r="N600" s="954"/>
      <c r="O600" s="954"/>
      <c r="P600" s="954"/>
      <c r="Q600" s="954"/>
      <c r="R600" s="954"/>
      <c r="S600" s="954"/>
      <c r="T600" s="954"/>
      <c r="U600" s="954"/>
    </row>
    <row r="601" spans="1:21" s="933" customFormat="1" ht="24" customHeight="1">
      <c r="A601" s="928"/>
      <c r="B601" s="976" t="s">
        <v>880</v>
      </c>
      <c r="C601" s="976"/>
      <c r="D601" s="976"/>
      <c r="E601" s="978">
        <f>(SUM(E593:E600)/1000)*30</f>
        <v>74.408100000000005</v>
      </c>
      <c r="F601" s="974" t="s">
        <v>870</v>
      </c>
      <c r="G601" s="969">
        <f t="shared" si="128"/>
        <v>29.92</v>
      </c>
      <c r="H601" s="930">
        <f t="shared" si="124"/>
        <v>2226.29</v>
      </c>
      <c r="I601" s="970"/>
      <c r="J601" s="930">
        <f t="shared" si="125"/>
        <v>0</v>
      </c>
      <c r="K601" s="931">
        <f t="shared" si="126"/>
        <v>2226.29</v>
      </c>
      <c r="L601" s="971"/>
      <c r="M601" s="954"/>
      <c r="N601" s="954"/>
      <c r="O601" s="954"/>
      <c r="P601" s="954"/>
      <c r="Q601" s="954"/>
      <c r="R601" s="954"/>
      <c r="S601" s="954"/>
      <c r="T601" s="954"/>
      <c r="U601" s="954"/>
    </row>
    <row r="602" spans="1:21" s="933" customFormat="1" ht="24" customHeight="1">
      <c r="A602" s="928"/>
      <c r="B602" s="976" t="s">
        <v>881</v>
      </c>
      <c r="C602" s="976"/>
      <c r="D602" s="976"/>
      <c r="E602" s="978"/>
      <c r="F602" s="974"/>
      <c r="G602" s="969"/>
      <c r="H602" s="930"/>
      <c r="I602" s="970"/>
      <c r="J602" s="930"/>
      <c r="K602" s="931"/>
      <c r="L602" s="971"/>
      <c r="M602" s="954"/>
      <c r="N602" s="954"/>
      <c r="O602" s="954"/>
      <c r="P602" s="954"/>
      <c r="Q602" s="954"/>
      <c r="R602" s="954"/>
      <c r="S602" s="954"/>
      <c r="T602" s="954"/>
      <c r="U602" s="954"/>
    </row>
    <row r="603" spans="1:21" s="933" customFormat="1" ht="24" customHeight="1">
      <c r="A603" s="928"/>
      <c r="B603" s="1021"/>
      <c r="C603" s="972"/>
      <c r="D603" s="976"/>
      <c r="E603" s="985"/>
      <c r="F603" s="974"/>
      <c r="G603" s="969"/>
      <c r="H603" s="930"/>
      <c r="I603" s="970"/>
      <c r="J603" s="930"/>
      <c r="K603" s="931"/>
      <c r="L603" s="971"/>
      <c r="M603" s="954"/>
      <c r="N603" s="954"/>
      <c r="O603" s="954"/>
      <c r="P603" s="954"/>
      <c r="Q603" s="954"/>
      <c r="R603" s="954"/>
      <c r="S603" s="954"/>
      <c r="T603" s="954"/>
      <c r="U603" s="954"/>
    </row>
    <row r="604" spans="1:21" s="933" customFormat="1" ht="24" customHeight="1">
      <c r="A604" s="928"/>
      <c r="B604" s="1021"/>
      <c r="C604" s="972"/>
      <c r="D604" s="976"/>
      <c r="E604" s="985"/>
      <c r="F604" s="974"/>
      <c r="G604" s="969"/>
      <c r="H604" s="930"/>
      <c r="I604" s="970"/>
      <c r="J604" s="930"/>
      <c r="K604" s="931"/>
      <c r="L604" s="971"/>
      <c r="M604" s="954"/>
      <c r="N604" s="954"/>
      <c r="O604" s="954"/>
      <c r="P604" s="954"/>
      <c r="Q604" s="954"/>
      <c r="R604" s="954"/>
      <c r="S604" s="954"/>
      <c r="T604" s="954"/>
      <c r="U604" s="954"/>
    </row>
    <row r="605" spans="1:21" s="933" customFormat="1" ht="24" customHeight="1">
      <c r="A605" s="928"/>
      <c r="B605" s="1021"/>
      <c r="C605" s="976"/>
      <c r="D605" s="976"/>
      <c r="E605" s="985"/>
      <c r="F605" s="974"/>
      <c r="G605" s="969"/>
      <c r="H605" s="930"/>
      <c r="I605" s="970"/>
      <c r="J605" s="930"/>
      <c r="K605" s="931"/>
      <c r="L605" s="971"/>
      <c r="M605" s="954"/>
      <c r="N605" s="954"/>
      <c r="O605" s="954"/>
      <c r="P605" s="954"/>
      <c r="Q605" s="954"/>
      <c r="R605" s="954"/>
      <c r="S605" s="954"/>
      <c r="T605" s="954"/>
      <c r="U605" s="954"/>
    </row>
    <row r="606" spans="1:21" s="933" customFormat="1" ht="24" customHeight="1">
      <c r="A606" s="928"/>
      <c r="B606" s="1021"/>
      <c r="C606" s="976"/>
      <c r="D606" s="976"/>
      <c r="E606" s="985"/>
      <c r="F606" s="974"/>
      <c r="G606" s="969"/>
      <c r="H606" s="930"/>
      <c r="I606" s="970"/>
      <c r="J606" s="930"/>
      <c r="K606" s="931"/>
      <c r="L606" s="971"/>
      <c r="M606" s="954"/>
      <c r="N606" s="954"/>
      <c r="O606" s="954"/>
      <c r="P606" s="954"/>
      <c r="Q606" s="954"/>
      <c r="R606" s="954"/>
      <c r="S606" s="954"/>
      <c r="T606" s="954"/>
      <c r="U606" s="954"/>
    </row>
    <row r="607" spans="1:21" s="933" customFormat="1" ht="24" customHeight="1">
      <c r="A607" s="928"/>
      <c r="B607" s="1021"/>
      <c r="C607" s="976"/>
      <c r="D607" s="976"/>
      <c r="E607" s="985"/>
      <c r="F607" s="974"/>
      <c r="G607" s="969"/>
      <c r="H607" s="930"/>
      <c r="I607" s="970"/>
      <c r="J607" s="930"/>
      <c r="K607" s="931"/>
      <c r="L607" s="971"/>
      <c r="M607" s="954"/>
      <c r="N607" s="954"/>
      <c r="O607" s="954"/>
      <c r="P607" s="954"/>
      <c r="Q607" s="954"/>
      <c r="R607" s="954"/>
      <c r="S607" s="954"/>
      <c r="T607" s="954"/>
      <c r="U607" s="954"/>
    </row>
    <row r="608" spans="1:21" s="933" customFormat="1" ht="24" customHeight="1">
      <c r="A608" s="928"/>
      <c r="B608" s="1021"/>
      <c r="C608" s="976"/>
      <c r="D608" s="976"/>
      <c r="E608" s="985"/>
      <c r="F608" s="974"/>
      <c r="G608" s="969"/>
      <c r="H608" s="930"/>
      <c r="I608" s="970"/>
      <c r="J608" s="930"/>
      <c r="K608" s="931"/>
      <c r="L608" s="971"/>
      <c r="M608" s="954"/>
      <c r="N608" s="954"/>
      <c r="O608" s="954"/>
      <c r="P608" s="954"/>
      <c r="Q608" s="954"/>
      <c r="R608" s="954"/>
      <c r="S608" s="954"/>
      <c r="T608" s="954"/>
      <c r="U608" s="954"/>
    </row>
    <row r="609" spans="1:21" s="933" customFormat="1" ht="24" customHeight="1">
      <c r="A609" s="993"/>
      <c r="B609" s="987"/>
      <c r="C609" s="987"/>
      <c r="D609" s="987"/>
      <c r="E609" s="988"/>
      <c r="F609" s="989"/>
      <c r="G609" s="983"/>
      <c r="H609" s="990"/>
      <c r="I609" s="984"/>
      <c r="J609" s="990"/>
      <c r="K609" s="991"/>
      <c r="L609" s="992"/>
      <c r="M609" s="954"/>
      <c r="N609" s="954"/>
      <c r="O609" s="954"/>
      <c r="P609" s="954"/>
      <c r="Q609" s="954"/>
      <c r="R609" s="954"/>
      <c r="S609" s="954"/>
      <c r="T609" s="954"/>
      <c r="U609" s="954"/>
    </row>
    <row r="610" spans="1:21" s="933" customFormat="1" ht="24" customHeight="1">
      <c r="A610" s="1014"/>
      <c r="B610" s="2226" t="str">
        <f>"รวมราคารายการที่ "&amp;A486</f>
        <v>รวมราคารายการที่ 1.5</v>
      </c>
      <c r="C610" s="2226"/>
      <c r="D610" s="2226"/>
      <c r="E610" s="1015"/>
      <c r="F610" s="1016"/>
      <c r="G610" s="1017"/>
      <c r="H610" s="1018">
        <f>ROUND(SUBTOTAL(9,H489:H609),2)</f>
        <v>17943641.07</v>
      </c>
      <c r="I610" s="1019"/>
      <c r="J610" s="1018">
        <f>ROUND(SUBTOTAL(9,J489:J609),2)</f>
        <v>3455836.56</v>
      </c>
      <c r="K610" s="1018">
        <f>ROUND(SUBTOTAL(9,K489:K609),2)</f>
        <v>21399477.629999999</v>
      </c>
      <c r="L610" s="1018"/>
      <c r="M610" s="954"/>
      <c r="N610" s="954"/>
      <c r="O610" s="954"/>
      <c r="P610" s="954"/>
      <c r="Q610" s="954"/>
      <c r="R610" s="954"/>
      <c r="S610" s="954"/>
      <c r="T610" s="954"/>
      <c r="U610" s="954"/>
    </row>
    <row r="611" spans="1:21" s="933" customFormat="1" ht="24" customHeight="1">
      <c r="A611" s="956">
        <v>1.6</v>
      </c>
      <c r="B611" s="957" t="s">
        <v>926</v>
      </c>
      <c r="C611" s="987"/>
      <c r="D611" s="987"/>
      <c r="E611" s="988"/>
      <c r="F611" s="989"/>
      <c r="G611" s="983"/>
      <c r="H611" s="990"/>
      <c r="I611" s="984"/>
      <c r="J611" s="990"/>
      <c r="K611" s="991"/>
      <c r="L611" s="992"/>
      <c r="M611" s="954"/>
      <c r="N611" s="954"/>
      <c r="O611" s="954"/>
      <c r="P611" s="954"/>
      <c r="Q611" s="954"/>
      <c r="R611" s="954"/>
      <c r="S611" s="954"/>
      <c r="T611" s="954"/>
      <c r="U611" s="954"/>
    </row>
    <row r="612" spans="1:21" s="933" customFormat="1" ht="24" customHeight="1">
      <c r="A612" s="928"/>
      <c r="B612" s="966"/>
      <c r="C612" s="976"/>
      <c r="D612" s="976"/>
      <c r="E612" s="985"/>
      <c r="F612" s="974"/>
      <c r="G612" s="969"/>
      <c r="H612" s="930"/>
      <c r="I612" s="970"/>
      <c r="J612" s="930"/>
      <c r="K612" s="931"/>
      <c r="L612" s="971"/>
      <c r="M612" s="954"/>
      <c r="N612" s="954"/>
      <c r="O612" s="954"/>
      <c r="P612" s="954"/>
      <c r="Q612" s="954"/>
      <c r="R612" s="954"/>
      <c r="S612" s="954"/>
      <c r="T612" s="954"/>
      <c r="U612" s="954"/>
    </row>
    <row r="613" spans="1:21" s="933" customFormat="1" ht="24" customHeight="1">
      <c r="A613" s="1026" t="s">
        <v>927</v>
      </c>
      <c r="B613" s="1027" t="s">
        <v>928</v>
      </c>
      <c r="C613" s="976"/>
      <c r="D613" s="976"/>
      <c r="E613" s="978"/>
      <c r="F613" s="974"/>
      <c r="G613" s="969"/>
      <c r="H613" s="930"/>
      <c r="I613" s="970"/>
      <c r="J613" s="930"/>
      <c r="K613" s="931"/>
      <c r="L613" s="971"/>
      <c r="M613" s="954"/>
      <c r="N613" s="954"/>
      <c r="O613" s="954"/>
      <c r="P613" s="954"/>
      <c r="Q613" s="954"/>
      <c r="R613" s="954"/>
      <c r="S613" s="954"/>
      <c r="T613" s="954"/>
      <c r="U613" s="954"/>
    </row>
    <row r="614" spans="1:21" s="933" customFormat="1" ht="24" customHeight="1">
      <c r="A614" s="928"/>
      <c r="B614" s="976" t="s">
        <v>864</v>
      </c>
      <c r="C614" s="977"/>
      <c r="D614" s="977"/>
      <c r="E614" s="978">
        <v>1365.66</v>
      </c>
      <c r="F614" s="974" t="s">
        <v>865</v>
      </c>
      <c r="G614" s="969">
        <v>2516</v>
      </c>
      <c r="H614" s="930">
        <f t="shared" ref="H614:H629" si="129">ROUND(E614*G614,2)</f>
        <v>3436000.56</v>
      </c>
      <c r="I614" s="970">
        <v>485</v>
      </c>
      <c r="J614" s="930">
        <f t="shared" ref="J614:J629" si="130">ROUND(E614*I614,2)</f>
        <v>662345.1</v>
      </c>
      <c r="K614" s="931">
        <f t="shared" ref="K614:K629" si="131">H614+J614</f>
        <v>4098345.66</v>
      </c>
      <c r="L614" s="971"/>
      <c r="M614" s="954"/>
      <c r="N614" s="954"/>
      <c r="O614" s="954"/>
      <c r="P614" s="954"/>
      <c r="Q614" s="954"/>
      <c r="R614" s="954"/>
      <c r="S614" s="954"/>
      <c r="T614" s="954"/>
      <c r="U614" s="954"/>
    </row>
    <row r="615" spans="1:21" s="933" customFormat="1" ht="24" customHeight="1">
      <c r="A615" s="928"/>
      <c r="B615" s="979" t="s">
        <v>866</v>
      </c>
      <c r="C615" s="976"/>
      <c r="D615" s="976"/>
      <c r="E615" s="978"/>
      <c r="F615" s="974"/>
      <c r="G615" s="969"/>
      <c r="H615" s="930">
        <f t="shared" si="129"/>
        <v>0</v>
      </c>
      <c r="I615" s="970"/>
      <c r="J615" s="930">
        <f t="shared" si="130"/>
        <v>0</v>
      </c>
      <c r="K615" s="931">
        <f t="shared" si="131"/>
        <v>0</v>
      </c>
      <c r="L615" s="971"/>
      <c r="M615" s="954"/>
      <c r="N615" s="954"/>
      <c r="O615" s="954"/>
      <c r="P615" s="954"/>
      <c r="Q615" s="954"/>
      <c r="R615" s="954"/>
      <c r="S615" s="954"/>
      <c r="T615" s="954"/>
      <c r="U615" s="954"/>
    </row>
    <row r="616" spans="1:21" s="933" customFormat="1" ht="24" customHeight="1">
      <c r="A616" s="928"/>
      <c r="B616" s="979"/>
      <c r="C616" s="976" t="s">
        <v>867</v>
      </c>
      <c r="D616" s="976"/>
      <c r="E616" s="978">
        <f>E617/2</f>
        <v>3062.9749999999999</v>
      </c>
      <c r="F616" s="974" t="s">
        <v>34</v>
      </c>
      <c r="G616" s="969">
        <v>661.62</v>
      </c>
      <c r="H616" s="930">
        <f t="shared" si="129"/>
        <v>2026525.52</v>
      </c>
      <c r="I616" s="970"/>
      <c r="J616" s="930">
        <f t="shared" si="130"/>
        <v>0</v>
      </c>
      <c r="K616" s="931">
        <f t="shared" si="131"/>
        <v>2026525.52</v>
      </c>
      <c r="L616" s="971"/>
      <c r="M616" s="954"/>
      <c r="N616" s="954"/>
      <c r="O616" s="954"/>
      <c r="P616" s="954"/>
      <c r="Q616" s="954"/>
      <c r="R616" s="954"/>
      <c r="S616" s="954"/>
      <c r="T616" s="954"/>
      <c r="U616" s="954"/>
    </row>
    <row r="617" spans="1:21" s="933" customFormat="1" ht="24" customHeight="1">
      <c r="A617" s="928"/>
      <c r="B617" s="979"/>
      <c r="C617" s="976" t="s">
        <v>868</v>
      </c>
      <c r="D617" s="976"/>
      <c r="E617" s="978">
        <v>6125.95</v>
      </c>
      <c r="F617" s="974" t="s">
        <v>34</v>
      </c>
      <c r="G617" s="969"/>
      <c r="H617" s="930">
        <f t="shared" si="129"/>
        <v>0</v>
      </c>
      <c r="I617" s="970">
        <v>154</v>
      </c>
      <c r="J617" s="930">
        <f t="shared" si="130"/>
        <v>943396.3</v>
      </c>
      <c r="K617" s="931">
        <f t="shared" si="131"/>
        <v>943396.3</v>
      </c>
      <c r="L617" s="971"/>
      <c r="M617" s="954"/>
      <c r="N617" s="954"/>
      <c r="O617" s="954"/>
      <c r="P617" s="954"/>
      <c r="Q617" s="954"/>
      <c r="R617" s="954"/>
      <c r="S617" s="954"/>
      <c r="T617" s="954"/>
      <c r="U617" s="954"/>
    </row>
    <row r="618" spans="1:21" s="933" customFormat="1" ht="24" customHeight="1">
      <c r="A618" s="928"/>
      <c r="B618" s="976" t="s">
        <v>869</v>
      </c>
      <c r="C618" s="976"/>
      <c r="D618" s="976"/>
      <c r="E618" s="978">
        <f>(E617*0.25)</f>
        <v>1531.4875</v>
      </c>
      <c r="F618" s="974" t="s">
        <v>870</v>
      </c>
      <c r="G618" s="969">
        <f t="shared" ref="G618" si="132">VLOOKUP(B618,$O$43:$P$53,2,FALSE)</f>
        <v>29.94</v>
      </c>
      <c r="H618" s="930">
        <f t="shared" si="129"/>
        <v>45852.74</v>
      </c>
      <c r="I618" s="970"/>
      <c r="J618" s="930">
        <f t="shared" si="130"/>
        <v>0</v>
      </c>
      <c r="K618" s="931">
        <f t="shared" si="131"/>
        <v>45852.74</v>
      </c>
      <c r="L618" s="971"/>
      <c r="M618" s="954"/>
      <c r="N618" s="954"/>
      <c r="O618" s="954"/>
      <c r="P618" s="954"/>
      <c r="Q618" s="954"/>
      <c r="R618" s="954"/>
      <c r="S618" s="954"/>
      <c r="T618" s="954"/>
      <c r="U618" s="954"/>
    </row>
    <row r="619" spans="1:21" s="933" customFormat="1" ht="24" customHeight="1">
      <c r="A619" s="928"/>
      <c r="B619" s="976" t="s">
        <v>871</v>
      </c>
      <c r="C619" s="976"/>
      <c r="D619" s="976"/>
      <c r="E619" s="978"/>
      <c r="F619" s="982"/>
      <c r="G619" s="983"/>
      <c r="H619" s="930">
        <f t="shared" si="129"/>
        <v>0</v>
      </c>
      <c r="I619" s="970"/>
      <c r="J619" s="930">
        <f t="shared" si="130"/>
        <v>0</v>
      </c>
      <c r="K619" s="931">
        <f t="shared" si="131"/>
        <v>0</v>
      </c>
      <c r="L619" s="971"/>
      <c r="M619" s="954"/>
      <c r="N619" s="954"/>
      <c r="O619" s="954"/>
      <c r="P619" s="954"/>
      <c r="Q619" s="954"/>
      <c r="R619" s="954"/>
      <c r="S619" s="954"/>
      <c r="T619" s="954"/>
      <c r="U619" s="954"/>
    </row>
    <row r="620" spans="1:21" s="933" customFormat="1" ht="24" customHeight="1">
      <c r="A620" s="928"/>
      <c r="B620" s="976" t="s">
        <v>872</v>
      </c>
      <c r="C620" s="976"/>
      <c r="D620" s="976"/>
      <c r="E620" s="978"/>
      <c r="F620" s="974" t="s">
        <v>870</v>
      </c>
      <c r="G620" s="969">
        <f t="shared" ref="G620:G628" si="133">VLOOKUP(B620,$O$43:$P$53,2,FALSE)</f>
        <v>25.73</v>
      </c>
      <c r="H620" s="930">
        <f t="shared" si="129"/>
        <v>0</v>
      </c>
      <c r="I620" s="984">
        <v>4.0999999999999996</v>
      </c>
      <c r="J620" s="930">
        <f t="shared" si="130"/>
        <v>0</v>
      </c>
      <c r="K620" s="931">
        <f t="shared" si="131"/>
        <v>0</v>
      </c>
      <c r="L620" s="971"/>
      <c r="M620" s="954"/>
      <c r="N620" s="954"/>
      <c r="O620" s="954"/>
      <c r="P620" s="954"/>
      <c r="Q620" s="954"/>
      <c r="R620" s="954"/>
      <c r="S620" s="954"/>
      <c r="T620" s="954"/>
      <c r="U620" s="954"/>
    </row>
    <row r="621" spans="1:21" s="933" customFormat="1" ht="24" customHeight="1">
      <c r="A621" s="928"/>
      <c r="B621" s="976" t="s">
        <v>873</v>
      </c>
      <c r="C621" s="976"/>
      <c r="D621" s="976"/>
      <c r="E621" s="978">
        <v>0</v>
      </c>
      <c r="F621" s="974" t="s">
        <v>870</v>
      </c>
      <c r="G621" s="969">
        <f t="shared" si="133"/>
        <v>24.97</v>
      </c>
      <c r="H621" s="930">
        <f t="shared" si="129"/>
        <v>0</v>
      </c>
      <c r="I621" s="970">
        <v>4.0999999999999996</v>
      </c>
      <c r="J621" s="930">
        <f t="shared" si="130"/>
        <v>0</v>
      </c>
      <c r="K621" s="931">
        <f t="shared" si="131"/>
        <v>0</v>
      </c>
      <c r="L621" s="971"/>
      <c r="M621" s="954"/>
      <c r="N621" s="954"/>
      <c r="O621" s="954"/>
      <c r="P621" s="954"/>
      <c r="Q621" s="954"/>
      <c r="R621" s="954"/>
      <c r="S621" s="954"/>
      <c r="T621" s="954"/>
      <c r="U621" s="954"/>
    </row>
    <row r="622" spans="1:21" s="933" customFormat="1" ht="24" customHeight="1">
      <c r="A622" s="928"/>
      <c r="B622" s="976" t="s">
        <v>874</v>
      </c>
      <c r="C622" s="976"/>
      <c r="D622" s="976"/>
      <c r="E622" s="978">
        <v>36873.94</v>
      </c>
      <c r="F622" s="974" t="s">
        <v>870</v>
      </c>
      <c r="G622" s="969">
        <f t="shared" si="133"/>
        <v>24.47</v>
      </c>
      <c r="H622" s="930">
        <f t="shared" si="129"/>
        <v>902305.31</v>
      </c>
      <c r="I622" s="970">
        <v>3.3</v>
      </c>
      <c r="J622" s="930">
        <f t="shared" si="130"/>
        <v>121684</v>
      </c>
      <c r="K622" s="931">
        <f t="shared" si="131"/>
        <v>1023989.31</v>
      </c>
      <c r="L622" s="971"/>
      <c r="M622" s="954"/>
      <c r="N622" s="954"/>
      <c r="O622" s="954"/>
      <c r="P622" s="954"/>
      <c r="Q622" s="954"/>
      <c r="R622" s="954"/>
      <c r="S622" s="954"/>
      <c r="T622" s="954"/>
      <c r="U622" s="954"/>
    </row>
    <row r="623" spans="1:21" s="933" customFormat="1" ht="24" customHeight="1">
      <c r="A623" s="928"/>
      <c r="B623" s="976" t="s">
        <v>875</v>
      </c>
      <c r="C623" s="976"/>
      <c r="D623" s="976"/>
      <c r="E623" s="978">
        <v>29262.85</v>
      </c>
      <c r="F623" s="982" t="s">
        <v>870</v>
      </c>
      <c r="G623" s="969">
        <f t="shared" si="133"/>
        <v>24.27</v>
      </c>
      <c r="H623" s="930">
        <f t="shared" si="129"/>
        <v>710209.37</v>
      </c>
      <c r="I623" s="970">
        <v>3.3</v>
      </c>
      <c r="J623" s="930">
        <f t="shared" si="130"/>
        <v>96567.41</v>
      </c>
      <c r="K623" s="931">
        <f t="shared" si="131"/>
        <v>806776.78</v>
      </c>
      <c r="L623" s="971"/>
      <c r="M623" s="954"/>
      <c r="N623" s="954"/>
      <c r="O623" s="954"/>
      <c r="P623" s="954"/>
      <c r="Q623" s="954"/>
      <c r="R623" s="954"/>
      <c r="S623" s="954"/>
      <c r="T623" s="954"/>
      <c r="U623" s="954"/>
    </row>
    <row r="624" spans="1:21" s="933" customFormat="1" ht="24" customHeight="1">
      <c r="A624" s="928"/>
      <c r="B624" s="976" t="s">
        <v>876</v>
      </c>
      <c r="C624" s="976"/>
      <c r="D624" s="976"/>
      <c r="E624" s="978">
        <v>609.58000000000004</v>
      </c>
      <c r="F624" s="974" t="s">
        <v>870</v>
      </c>
      <c r="G624" s="969">
        <f t="shared" si="133"/>
        <v>24.27</v>
      </c>
      <c r="H624" s="930">
        <f t="shared" si="129"/>
        <v>14794.51</v>
      </c>
      <c r="I624" s="970">
        <v>2.9</v>
      </c>
      <c r="J624" s="930">
        <f t="shared" si="130"/>
        <v>1767.78</v>
      </c>
      <c r="K624" s="931">
        <f t="shared" si="131"/>
        <v>16562.29</v>
      </c>
      <c r="L624" s="971"/>
      <c r="M624" s="954"/>
      <c r="N624" s="954"/>
      <c r="O624" s="954"/>
      <c r="P624" s="954"/>
      <c r="Q624" s="954"/>
      <c r="R624" s="954"/>
      <c r="S624" s="954"/>
      <c r="T624" s="954"/>
      <c r="U624" s="954"/>
    </row>
    <row r="625" spans="1:21" s="933" customFormat="1" ht="24" customHeight="1">
      <c r="A625" s="928"/>
      <c r="B625" s="976" t="s">
        <v>877</v>
      </c>
      <c r="C625" s="976"/>
      <c r="D625" s="976"/>
      <c r="E625" s="978"/>
      <c r="F625" s="974" t="s">
        <v>870</v>
      </c>
      <c r="G625" s="969">
        <f t="shared" si="133"/>
        <v>24.27</v>
      </c>
      <c r="H625" s="930">
        <f t="shared" si="129"/>
        <v>0</v>
      </c>
      <c r="I625" s="970">
        <v>2.9</v>
      </c>
      <c r="J625" s="930">
        <f t="shared" si="130"/>
        <v>0</v>
      </c>
      <c r="K625" s="931">
        <f t="shared" si="131"/>
        <v>0</v>
      </c>
      <c r="L625" s="971"/>
      <c r="M625" s="954"/>
      <c r="N625" s="954"/>
      <c r="O625" s="954"/>
      <c r="P625" s="954"/>
      <c r="Q625" s="954"/>
      <c r="R625" s="954"/>
      <c r="S625" s="954"/>
      <c r="T625" s="954"/>
      <c r="U625" s="954"/>
    </row>
    <row r="626" spans="1:21" s="933" customFormat="1" ht="24" customHeight="1">
      <c r="A626" s="928"/>
      <c r="B626" s="976" t="s">
        <v>878</v>
      </c>
      <c r="C626" s="976"/>
      <c r="D626" s="976"/>
      <c r="E626" s="978"/>
      <c r="F626" s="974" t="s">
        <v>870</v>
      </c>
      <c r="G626" s="969">
        <f t="shared" si="133"/>
        <v>24.27</v>
      </c>
      <c r="H626" s="930">
        <f t="shared" si="129"/>
        <v>0</v>
      </c>
      <c r="I626" s="970">
        <v>2.9</v>
      </c>
      <c r="J626" s="930">
        <f t="shared" si="130"/>
        <v>0</v>
      </c>
      <c r="K626" s="931">
        <f t="shared" si="131"/>
        <v>0</v>
      </c>
      <c r="L626" s="971"/>
      <c r="M626" s="954"/>
      <c r="N626" s="954"/>
      <c r="O626" s="954"/>
      <c r="P626" s="954"/>
      <c r="Q626" s="954"/>
      <c r="R626" s="954"/>
      <c r="S626" s="954"/>
      <c r="T626" s="954"/>
      <c r="U626" s="954"/>
    </row>
    <row r="627" spans="1:21" s="933" customFormat="1" ht="24" customHeight="1">
      <c r="A627" s="928"/>
      <c r="B627" s="976" t="s">
        <v>879</v>
      </c>
      <c r="C627" s="976"/>
      <c r="D627" s="976"/>
      <c r="E627" s="978"/>
      <c r="F627" s="974" t="s">
        <v>870</v>
      </c>
      <c r="G627" s="969">
        <f t="shared" si="133"/>
        <v>23.8</v>
      </c>
      <c r="H627" s="930">
        <f t="shared" si="129"/>
        <v>0</v>
      </c>
      <c r="I627" s="970">
        <v>2.9</v>
      </c>
      <c r="J627" s="930">
        <f t="shared" si="130"/>
        <v>0</v>
      </c>
      <c r="K627" s="931">
        <f t="shared" si="131"/>
        <v>0</v>
      </c>
      <c r="L627" s="971"/>
      <c r="M627" s="954"/>
      <c r="N627" s="954"/>
      <c r="O627" s="954"/>
      <c r="P627" s="954"/>
      <c r="Q627" s="954"/>
      <c r="R627" s="954"/>
      <c r="S627" s="954"/>
      <c r="T627" s="954"/>
      <c r="U627" s="954"/>
    </row>
    <row r="628" spans="1:21" s="933" customFormat="1" ht="24" customHeight="1">
      <c r="A628" s="928"/>
      <c r="B628" s="976" t="s">
        <v>880</v>
      </c>
      <c r="C628" s="976"/>
      <c r="D628" s="976"/>
      <c r="E628" s="978">
        <f>(SUM(E620:E627)/1000)*30</f>
        <v>2002.3911000000003</v>
      </c>
      <c r="F628" s="974" t="s">
        <v>870</v>
      </c>
      <c r="G628" s="969">
        <f t="shared" si="133"/>
        <v>29.92</v>
      </c>
      <c r="H628" s="930">
        <f t="shared" si="129"/>
        <v>59911.54</v>
      </c>
      <c r="I628" s="970"/>
      <c r="J628" s="930">
        <f t="shared" si="130"/>
        <v>0</v>
      </c>
      <c r="K628" s="931">
        <f t="shared" si="131"/>
        <v>59911.54</v>
      </c>
      <c r="L628" s="971"/>
      <c r="M628" s="954"/>
      <c r="N628" s="954"/>
      <c r="O628" s="954"/>
      <c r="P628" s="954"/>
      <c r="Q628" s="954"/>
      <c r="R628" s="954"/>
      <c r="S628" s="954"/>
      <c r="T628" s="954"/>
      <c r="U628" s="954"/>
    </row>
    <row r="629" spans="1:21" s="933" customFormat="1" ht="24" customHeight="1">
      <c r="A629" s="928"/>
      <c r="B629" s="976" t="s">
        <v>888</v>
      </c>
      <c r="C629" s="976"/>
      <c r="D629" s="976"/>
      <c r="E629" s="978">
        <v>5584.6</v>
      </c>
      <c r="F629" s="974" t="s">
        <v>34</v>
      </c>
      <c r="G629" s="983">
        <v>340</v>
      </c>
      <c r="H629" s="930">
        <f t="shared" si="129"/>
        <v>1898764</v>
      </c>
      <c r="I629" s="970"/>
      <c r="J629" s="930">
        <f t="shared" si="130"/>
        <v>0</v>
      </c>
      <c r="K629" s="931">
        <f t="shared" si="131"/>
        <v>1898764</v>
      </c>
      <c r="L629" s="971"/>
      <c r="M629" s="954"/>
      <c r="N629" s="954"/>
      <c r="O629" s="954"/>
      <c r="P629" s="954"/>
      <c r="Q629" s="954"/>
      <c r="R629" s="954"/>
      <c r="S629" s="954"/>
      <c r="T629" s="954"/>
      <c r="U629" s="954"/>
    </row>
    <row r="630" spans="1:21" s="933" customFormat="1" ht="24" customHeight="1">
      <c r="A630" s="928"/>
      <c r="B630" s="976" t="s">
        <v>881</v>
      </c>
      <c r="C630" s="976"/>
      <c r="D630" s="976"/>
      <c r="E630" s="978"/>
      <c r="F630" s="974"/>
      <c r="G630" s="969"/>
      <c r="H630" s="930"/>
      <c r="I630" s="970"/>
      <c r="J630" s="930"/>
      <c r="K630" s="931"/>
      <c r="L630" s="971"/>
      <c r="M630" s="954"/>
      <c r="N630" s="954"/>
      <c r="O630" s="954"/>
      <c r="P630" s="954"/>
      <c r="Q630" s="954"/>
      <c r="R630" s="954"/>
      <c r="S630" s="954"/>
      <c r="T630" s="954"/>
      <c r="U630" s="954"/>
    </row>
    <row r="631" spans="1:21" s="933" customFormat="1" ht="24" customHeight="1">
      <c r="A631" s="928"/>
      <c r="B631" s="976"/>
      <c r="C631" s="976"/>
      <c r="D631" s="976"/>
      <c r="E631" s="978"/>
      <c r="F631" s="974"/>
      <c r="G631" s="969"/>
      <c r="H631" s="930"/>
      <c r="I631" s="970"/>
      <c r="J631" s="930"/>
      <c r="K631" s="931"/>
      <c r="L631" s="971"/>
      <c r="M631" s="954"/>
      <c r="N631" s="954"/>
      <c r="O631" s="954"/>
      <c r="P631" s="954"/>
      <c r="Q631" s="954"/>
      <c r="R631" s="954"/>
      <c r="S631" s="954"/>
      <c r="T631" s="954"/>
      <c r="U631" s="954"/>
    </row>
    <row r="632" spans="1:21" s="933" customFormat="1" ht="24" customHeight="1">
      <c r="A632" s="928"/>
      <c r="B632" s="976"/>
      <c r="C632" s="976"/>
      <c r="D632" s="976"/>
      <c r="E632" s="978"/>
      <c r="F632" s="974"/>
      <c r="G632" s="969"/>
      <c r="H632" s="930"/>
      <c r="I632" s="970"/>
      <c r="J632" s="930"/>
      <c r="K632" s="931"/>
      <c r="L632" s="971"/>
      <c r="M632" s="954"/>
      <c r="N632" s="954"/>
      <c r="O632" s="954"/>
      <c r="P632" s="954"/>
      <c r="Q632" s="954"/>
      <c r="R632" s="954"/>
      <c r="S632" s="954"/>
      <c r="T632" s="954"/>
      <c r="U632" s="954"/>
    </row>
    <row r="633" spans="1:21" s="933" customFormat="1" ht="24" customHeight="1">
      <c r="A633" s="928"/>
      <c r="B633" s="976"/>
      <c r="C633" s="972"/>
      <c r="D633" s="973"/>
      <c r="E633" s="978"/>
      <c r="F633" s="968"/>
      <c r="G633" s="969"/>
      <c r="H633" s="930"/>
      <c r="I633" s="970"/>
      <c r="J633" s="930"/>
      <c r="K633" s="931"/>
      <c r="L633" s="971"/>
      <c r="M633" s="954"/>
      <c r="N633" s="954"/>
      <c r="O633" s="954"/>
      <c r="P633" s="954"/>
      <c r="Q633" s="954"/>
      <c r="R633" s="954"/>
      <c r="S633" s="954"/>
      <c r="T633" s="954"/>
      <c r="U633" s="954"/>
    </row>
    <row r="634" spans="1:21" s="933" customFormat="1" ht="24" customHeight="1">
      <c r="A634" s="928"/>
      <c r="B634" s="1021"/>
      <c r="C634" s="976"/>
      <c r="D634" s="976"/>
      <c r="E634" s="985"/>
      <c r="F634" s="974"/>
      <c r="G634" s="969"/>
      <c r="H634" s="930"/>
      <c r="I634" s="970"/>
      <c r="J634" s="930"/>
      <c r="K634" s="931"/>
      <c r="L634" s="971"/>
      <c r="M634" s="954"/>
      <c r="N634" s="954"/>
      <c r="O634" s="954"/>
      <c r="P634" s="954"/>
      <c r="Q634" s="954"/>
      <c r="R634" s="954"/>
      <c r="S634" s="954"/>
      <c r="T634" s="954"/>
      <c r="U634" s="954"/>
    </row>
    <row r="635" spans="1:21" s="933" customFormat="1" ht="24" customHeight="1">
      <c r="A635" s="928"/>
      <c r="B635" s="1021"/>
      <c r="C635" s="976"/>
      <c r="D635" s="976"/>
      <c r="E635" s="985"/>
      <c r="F635" s="974"/>
      <c r="G635" s="969"/>
      <c r="H635" s="930"/>
      <c r="I635" s="970"/>
      <c r="J635" s="930"/>
      <c r="K635" s="931"/>
      <c r="L635" s="971"/>
      <c r="M635" s="954"/>
      <c r="N635" s="954"/>
      <c r="O635" s="954"/>
      <c r="P635" s="954"/>
      <c r="Q635" s="954"/>
      <c r="R635" s="954"/>
      <c r="S635" s="954"/>
      <c r="T635" s="954"/>
      <c r="U635" s="954"/>
    </row>
    <row r="636" spans="1:21" s="933" customFormat="1" ht="24" customHeight="1">
      <c r="A636" s="1026" t="s">
        <v>929</v>
      </c>
      <c r="B636" s="1027" t="s">
        <v>930</v>
      </c>
      <c r="C636" s="976"/>
      <c r="D636" s="976"/>
      <c r="E636" s="985"/>
      <c r="F636" s="974"/>
      <c r="G636" s="969"/>
      <c r="H636" s="930"/>
      <c r="I636" s="970"/>
      <c r="J636" s="930"/>
      <c r="K636" s="931"/>
      <c r="L636" s="971"/>
      <c r="M636" s="954"/>
      <c r="N636" s="954"/>
      <c r="O636" s="954"/>
      <c r="P636" s="954"/>
      <c r="Q636" s="954"/>
      <c r="R636" s="954"/>
      <c r="S636" s="954"/>
      <c r="T636" s="954"/>
      <c r="U636" s="954"/>
    </row>
    <row r="637" spans="1:21" s="933" customFormat="1" ht="24" customHeight="1">
      <c r="A637" s="928"/>
      <c r="B637" s="976" t="s">
        <v>864</v>
      </c>
      <c r="C637" s="977"/>
      <c r="D637" s="977"/>
      <c r="E637" s="978">
        <v>168.68</v>
      </c>
      <c r="F637" s="974" t="s">
        <v>865</v>
      </c>
      <c r="G637" s="969">
        <v>2516</v>
      </c>
      <c r="H637" s="930">
        <f t="shared" ref="H637:H651" si="134">ROUND(E637*G637,2)</f>
        <v>424398.88</v>
      </c>
      <c r="I637" s="970">
        <v>485</v>
      </c>
      <c r="J637" s="930">
        <f t="shared" ref="J637:J651" si="135">ROUND(E637*I637,2)</f>
        <v>81809.8</v>
      </c>
      <c r="K637" s="931">
        <f t="shared" ref="K637:K651" si="136">H637+J637</f>
        <v>506208.68</v>
      </c>
      <c r="L637" s="971"/>
      <c r="M637" s="954"/>
      <c r="N637" s="954"/>
      <c r="O637" s="954"/>
      <c r="P637" s="954"/>
      <c r="Q637" s="954"/>
      <c r="R637" s="954"/>
      <c r="S637" s="954"/>
      <c r="T637" s="954"/>
      <c r="U637" s="954"/>
    </row>
    <row r="638" spans="1:21" s="933" customFormat="1" ht="24" customHeight="1">
      <c r="A638" s="928"/>
      <c r="B638" s="979" t="s">
        <v>866</v>
      </c>
      <c r="C638" s="976"/>
      <c r="D638" s="976"/>
      <c r="E638" s="978"/>
      <c r="F638" s="974"/>
      <c r="G638" s="969"/>
      <c r="H638" s="930">
        <f t="shared" si="134"/>
        <v>0</v>
      </c>
      <c r="I638" s="970"/>
      <c r="J638" s="930">
        <f t="shared" si="135"/>
        <v>0</v>
      </c>
      <c r="K638" s="931">
        <f t="shared" si="136"/>
        <v>0</v>
      </c>
      <c r="L638" s="971"/>
      <c r="M638" s="954"/>
      <c r="N638" s="954"/>
      <c r="O638" s="954"/>
      <c r="P638" s="954"/>
      <c r="Q638" s="954"/>
      <c r="R638" s="954"/>
      <c r="S638" s="954"/>
      <c r="T638" s="954"/>
      <c r="U638" s="954"/>
    </row>
    <row r="639" spans="1:21" s="933" customFormat="1" ht="24" customHeight="1">
      <c r="A639" s="928"/>
      <c r="B639" s="979"/>
      <c r="C639" s="976" t="s">
        <v>867</v>
      </c>
      <c r="D639" s="976"/>
      <c r="E639" s="978">
        <f>E640/2</f>
        <v>392.54</v>
      </c>
      <c r="F639" s="974" t="s">
        <v>34</v>
      </c>
      <c r="G639" s="969">
        <v>661.62</v>
      </c>
      <c r="H639" s="930">
        <f t="shared" si="134"/>
        <v>259712.31</v>
      </c>
      <c r="I639" s="970"/>
      <c r="J639" s="930">
        <f t="shared" si="135"/>
        <v>0</v>
      </c>
      <c r="K639" s="931">
        <f t="shared" si="136"/>
        <v>259712.31</v>
      </c>
      <c r="L639" s="971"/>
      <c r="M639" s="954"/>
      <c r="N639" s="954"/>
      <c r="O639" s="954"/>
      <c r="P639" s="954"/>
      <c r="Q639" s="954"/>
      <c r="R639" s="954"/>
      <c r="S639" s="954"/>
      <c r="T639" s="954"/>
      <c r="U639" s="954"/>
    </row>
    <row r="640" spans="1:21" s="933" customFormat="1" ht="24" customHeight="1">
      <c r="A640" s="928"/>
      <c r="B640" s="979"/>
      <c r="C640" s="976" t="s">
        <v>868</v>
      </c>
      <c r="D640" s="976"/>
      <c r="E640" s="978">
        <v>785.08</v>
      </c>
      <c r="F640" s="974" t="s">
        <v>34</v>
      </c>
      <c r="G640" s="969"/>
      <c r="H640" s="930">
        <f t="shared" si="134"/>
        <v>0</v>
      </c>
      <c r="I640" s="970">
        <v>154</v>
      </c>
      <c r="J640" s="930">
        <f t="shared" si="135"/>
        <v>120902.32</v>
      </c>
      <c r="K640" s="931">
        <f t="shared" si="136"/>
        <v>120902.32</v>
      </c>
      <c r="L640" s="971"/>
      <c r="M640" s="954"/>
      <c r="N640" s="954"/>
      <c r="O640" s="954"/>
      <c r="P640" s="954"/>
      <c r="Q640" s="954"/>
      <c r="R640" s="954"/>
      <c r="S640" s="954"/>
      <c r="T640" s="954"/>
      <c r="U640" s="954"/>
    </row>
    <row r="641" spans="1:21" s="933" customFormat="1" ht="24" customHeight="1">
      <c r="A641" s="928"/>
      <c r="B641" s="976" t="s">
        <v>869</v>
      </c>
      <c r="C641" s="976"/>
      <c r="D641" s="976"/>
      <c r="E641" s="978">
        <f>(E640*0.25)</f>
        <v>196.27</v>
      </c>
      <c r="F641" s="974" t="s">
        <v>870</v>
      </c>
      <c r="G641" s="969">
        <f t="shared" ref="G641" si="137">VLOOKUP(B641,$O$43:$P$53,2,FALSE)</f>
        <v>29.94</v>
      </c>
      <c r="H641" s="930">
        <f t="shared" si="134"/>
        <v>5876.32</v>
      </c>
      <c r="I641" s="970"/>
      <c r="J641" s="930">
        <f t="shared" si="135"/>
        <v>0</v>
      </c>
      <c r="K641" s="931">
        <f t="shared" si="136"/>
        <v>5876.32</v>
      </c>
      <c r="L641" s="971"/>
      <c r="M641" s="954"/>
      <c r="N641" s="954"/>
      <c r="O641" s="954"/>
      <c r="P641" s="954"/>
      <c r="Q641" s="954"/>
      <c r="R641" s="954"/>
      <c r="S641" s="954"/>
      <c r="T641" s="954"/>
      <c r="U641" s="954"/>
    </row>
    <row r="642" spans="1:21" s="933" customFormat="1" ht="24" customHeight="1">
      <c r="A642" s="928"/>
      <c r="B642" s="976" t="s">
        <v>871</v>
      </c>
      <c r="C642" s="976"/>
      <c r="D642" s="976"/>
      <c r="E642" s="978"/>
      <c r="F642" s="982"/>
      <c r="G642" s="983"/>
      <c r="H642" s="930">
        <f t="shared" si="134"/>
        <v>0</v>
      </c>
      <c r="I642" s="970"/>
      <c r="J642" s="930">
        <f t="shared" si="135"/>
        <v>0</v>
      </c>
      <c r="K642" s="931">
        <f t="shared" si="136"/>
        <v>0</v>
      </c>
      <c r="L642" s="971"/>
      <c r="M642" s="954"/>
      <c r="N642" s="954"/>
      <c r="O642" s="954"/>
      <c r="P642" s="954"/>
      <c r="Q642" s="954"/>
      <c r="R642" s="954"/>
      <c r="S642" s="954"/>
      <c r="T642" s="954"/>
      <c r="U642" s="954"/>
    </row>
    <row r="643" spans="1:21" s="933" customFormat="1" ht="24" customHeight="1">
      <c r="A643" s="928"/>
      <c r="B643" s="976" t="s">
        <v>872</v>
      </c>
      <c r="C643" s="976"/>
      <c r="D643" s="976"/>
      <c r="E643" s="978"/>
      <c r="F643" s="974" t="s">
        <v>870</v>
      </c>
      <c r="G643" s="969">
        <f t="shared" ref="G643:G651" si="138">VLOOKUP(B643,$O$43:$P$53,2,FALSE)</f>
        <v>25.73</v>
      </c>
      <c r="H643" s="930">
        <f t="shared" si="134"/>
        <v>0</v>
      </c>
      <c r="I643" s="984">
        <v>4.0999999999999996</v>
      </c>
      <c r="J643" s="930">
        <f t="shared" si="135"/>
        <v>0</v>
      </c>
      <c r="K643" s="931">
        <f t="shared" si="136"/>
        <v>0</v>
      </c>
      <c r="L643" s="971"/>
      <c r="M643" s="954"/>
      <c r="N643" s="954"/>
      <c r="O643" s="954"/>
      <c r="P643" s="954"/>
      <c r="Q643" s="954"/>
      <c r="R643" s="954"/>
      <c r="S643" s="954"/>
      <c r="T643" s="954"/>
      <c r="U643" s="954"/>
    </row>
    <row r="644" spans="1:21" s="933" customFormat="1" ht="24" customHeight="1">
      <c r="A644" s="928"/>
      <c r="B644" s="976" t="s">
        <v>873</v>
      </c>
      <c r="C644" s="976"/>
      <c r="D644" s="976"/>
      <c r="E644" s="978">
        <v>1775.48</v>
      </c>
      <c r="F644" s="974" t="s">
        <v>870</v>
      </c>
      <c r="G644" s="969">
        <f t="shared" si="138"/>
        <v>24.97</v>
      </c>
      <c r="H644" s="930">
        <f t="shared" si="134"/>
        <v>44333.74</v>
      </c>
      <c r="I644" s="970">
        <v>4.0999999999999996</v>
      </c>
      <c r="J644" s="930">
        <f t="shared" si="135"/>
        <v>7279.47</v>
      </c>
      <c r="K644" s="931">
        <f t="shared" si="136"/>
        <v>51613.21</v>
      </c>
      <c r="L644" s="971"/>
      <c r="M644" s="954"/>
      <c r="N644" s="954"/>
      <c r="O644" s="954"/>
      <c r="P644" s="954"/>
      <c r="Q644" s="954"/>
      <c r="R644" s="954"/>
      <c r="S644" s="954"/>
      <c r="T644" s="954"/>
      <c r="U644" s="954"/>
    </row>
    <row r="645" spans="1:21" s="933" customFormat="1" ht="24" customHeight="1">
      <c r="A645" s="928"/>
      <c r="B645" s="976" t="s">
        <v>874</v>
      </c>
      <c r="C645" s="976"/>
      <c r="D645" s="976"/>
      <c r="E645" s="978">
        <v>23105.32</v>
      </c>
      <c r="F645" s="974" t="s">
        <v>870</v>
      </c>
      <c r="G645" s="969">
        <f t="shared" si="138"/>
        <v>24.47</v>
      </c>
      <c r="H645" s="930">
        <f t="shared" si="134"/>
        <v>565387.18000000005</v>
      </c>
      <c r="I645" s="970">
        <v>3.3</v>
      </c>
      <c r="J645" s="930">
        <f t="shared" si="135"/>
        <v>76247.56</v>
      </c>
      <c r="K645" s="931">
        <f t="shared" si="136"/>
        <v>641634.74</v>
      </c>
      <c r="L645" s="971"/>
      <c r="M645" s="954"/>
      <c r="N645" s="954"/>
      <c r="O645" s="954"/>
      <c r="P645" s="954"/>
      <c r="Q645" s="954"/>
      <c r="R645" s="954"/>
      <c r="S645" s="954"/>
      <c r="T645" s="954"/>
      <c r="U645" s="954"/>
    </row>
    <row r="646" spans="1:21" s="933" customFormat="1" ht="24" customHeight="1">
      <c r="A646" s="928"/>
      <c r="B646" s="976" t="s">
        <v>875</v>
      </c>
      <c r="C646" s="976"/>
      <c r="D646" s="976"/>
      <c r="E646" s="978">
        <v>2215.37</v>
      </c>
      <c r="F646" s="982" t="s">
        <v>870</v>
      </c>
      <c r="G646" s="969">
        <f t="shared" si="138"/>
        <v>24.27</v>
      </c>
      <c r="H646" s="930">
        <f t="shared" si="134"/>
        <v>53767.03</v>
      </c>
      <c r="I646" s="970">
        <v>3.3</v>
      </c>
      <c r="J646" s="930">
        <f t="shared" si="135"/>
        <v>7310.72</v>
      </c>
      <c r="K646" s="931">
        <f t="shared" si="136"/>
        <v>61077.75</v>
      </c>
      <c r="L646" s="971"/>
      <c r="M646" s="954"/>
      <c r="N646" s="954"/>
      <c r="O646" s="954"/>
      <c r="P646" s="954"/>
      <c r="Q646" s="954"/>
      <c r="R646" s="954"/>
      <c r="S646" s="954"/>
      <c r="T646" s="954"/>
      <c r="U646" s="954"/>
    </row>
    <row r="647" spans="1:21" s="933" customFormat="1" ht="24" customHeight="1">
      <c r="A647" s="928"/>
      <c r="B647" s="976" t="s">
        <v>876</v>
      </c>
      <c r="C647" s="976"/>
      <c r="D647" s="976"/>
      <c r="E647" s="978">
        <v>2493.4</v>
      </c>
      <c r="F647" s="974" t="s">
        <v>870</v>
      </c>
      <c r="G647" s="969">
        <f t="shared" si="138"/>
        <v>24.27</v>
      </c>
      <c r="H647" s="930">
        <f t="shared" si="134"/>
        <v>60514.82</v>
      </c>
      <c r="I647" s="970">
        <v>2.9</v>
      </c>
      <c r="J647" s="930">
        <f t="shared" si="135"/>
        <v>7230.86</v>
      </c>
      <c r="K647" s="931">
        <f t="shared" si="136"/>
        <v>67745.679999999993</v>
      </c>
      <c r="L647" s="971"/>
      <c r="M647" s="954"/>
      <c r="N647" s="954"/>
      <c r="O647" s="954"/>
      <c r="P647" s="954"/>
      <c r="Q647" s="954"/>
      <c r="R647" s="954"/>
      <c r="S647" s="954"/>
      <c r="T647" s="954"/>
      <c r="U647" s="954"/>
    </row>
    <row r="648" spans="1:21" s="933" customFormat="1" ht="24" customHeight="1">
      <c r="A648" s="928"/>
      <c r="B648" s="976" t="s">
        <v>877</v>
      </c>
      <c r="C648" s="976"/>
      <c r="D648" s="976"/>
      <c r="E648" s="978">
        <v>4142.05</v>
      </c>
      <c r="F648" s="974" t="s">
        <v>870</v>
      </c>
      <c r="G648" s="969">
        <f t="shared" si="138"/>
        <v>24.27</v>
      </c>
      <c r="H648" s="930">
        <f t="shared" si="134"/>
        <v>100527.55</v>
      </c>
      <c r="I648" s="970">
        <v>2.9</v>
      </c>
      <c r="J648" s="930">
        <f t="shared" si="135"/>
        <v>12011.95</v>
      </c>
      <c r="K648" s="931">
        <f t="shared" si="136"/>
        <v>112539.5</v>
      </c>
      <c r="L648" s="971"/>
      <c r="M648" s="954"/>
      <c r="N648" s="954"/>
      <c r="O648" s="954"/>
      <c r="P648" s="954"/>
      <c r="Q648" s="954"/>
      <c r="R648" s="954"/>
      <c r="S648" s="954"/>
      <c r="T648" s="954"/>
      <c r="U648" s="954"/>
    </row>
    <row r="649" spans="1:21" s="933" customFormat="1" ht="24" customHeight="1">
      <c r="A649" s="928"/>
      <c r="B649" s="976" t="s">
        <v>878</v>
      </c>
      <c r="C649" s="976"/>
      <c r="D649" s="976"/>
      <c r="E649" s="978">
        <v>9044.3700000000008</v>
      </c>
      <c r="F649" s="974" t="s">
        <v>870</v>
      </c>
      <c r="G649" s="969">
        <f t="shared" si="138"/>
        <v>24.27</v>
      </c>
      <c r="H649" s="930">
        <f t="shared" si="134"/>
        <v>219506.86</v>
      </c>
      <c r="I649" s="970">
        <v>2.9</v>
      </c>
      <c r="J649" s="930">
        <f t="shared" si="135"/>
        <v>26228.67</v>
      </c>
      <c r="K649" s="931">
        <f t="shared" si="136"/>
        <v>245735.52999999997</v>
      </c>
      <c r="L649" s="971"/>
      <c r="M649" s="954"/>
      <c r="N649" s="954"/>
      <c r="O649" s="954"/>
      <c r="P649" s="954"/>
      <c r="Q649" s="954"/>
      <c r="R649" s="954"/>
      <c r="S649" s="954"/>
      <c r="T649" s="954"/>
      <c r="U649" s="954"/>
    </row>
    <row r="650" spans="1:21" s="933" customFormat="1" ht="24" customHeight="1">
      <c r="A650" s="928"/>
      <c r="B650" s="976" t="s">
        <v>879</v>
      </c>
      <c r="C650" s="976"/>
      <c r="D650" s="976"/>
      <c r="E650" s="978"/>
      <c r="F650" s="974" t="s">
        <v>870</v>
      </c>
      <c r="G650" s="969">
        <f t="shared" si="138"/>
        <v>23.8</v>
      </c>
      <c r="H650" s="930">
        <f t="shared" si="134"/>
        <v>0</v>
      </c>
      <c r="I650" s="970">
        <v>2.9</v>
      </c>
      <c r="J650" s="930">
        <f t="shared" si="135"/>
        <v>0</v>
      </c>
      <c r="K650" s="931">
        <f t="shared" si="136"/>
        <v>0</v>
      </c>
      <c r="L650" s="971"/>
      <c r="M650" s="954"/>
      <c r="N650" s="954"/>
      <c r="O650" s="954"/>
      <c r="P650" s="954"/>
      <c r="Q650" s="954"/>
      <c r="R650" s="954"/>
      <c r="S650" s="954"/>
      <c r="T650" s="954"/>
      <c r="U650" s="954"/>
    </row>
    <row r="651" spans="1:21" s="933" customFormat="1" ht="24" customHeight="1">
      <c r="A651" s="928"/>
      <c r="B651" s="976" t="s">
        <v>880</v>
      </c>
      <c r="C651" s="976"/>
      <c r="D651" s="976"/>
      <c r="E651" s="978">
        <f>(SUM(E643:E650)/1000)*30</f>
        <v>1283.2797000000003</v>
      </c>
      <c r="F651" s="974" t="s">
        <v>870</v>
      </c>
      <c r="G651" s="969">
        <f t="shared" si="138"/>
        <v>29.92</v>
      </c>
      <c r="H651" s="930">
        <f t="shared" si="134"/>
        <v>38395.730000000003</v>
      </c>
      <c r="I651" s="970"/>
      <c r="J651" s="930">
        <f t="shared" si="135"/>
        <v>0</v>
      </c>
      <c r="K651" s="931">
        <f t="shared" si="136"/>
        <v>38395.730000000003</v>
      </c>
      <c r="L651" s="971"/>
      <c r="M651" s="954"/>
      <c r="N651" s="954"/>
      <c r="O651" s="954"/>
      <c r="P651" s="954"/>
      <c r="Q651" s="954"/>
      <c r="R651" s="954"/>
      <c r="S651" s="954"/>
      <c r="T651" s="954"/>
      <c r="U651" s="954"/>
    </row>
    <row r="652" spans="1:21" s="933" customFormat="1" ht="24" customHeight="1">
      <c r="A652" s="928"/>
      <c r="B652" s="976" t="s">
        <v>881</v>
      </c>
      <c r="C652" s="976"/>
      <c r="D652" s="976"/>
      <c r="E652" s="978"/>
      <c r="F652" s="974"/>
      <c r="G652" s="969"/>
      <c r="H652" s="930"/>
      <c r="I652" s="970"/>
      <c r="J652" s="930"/>
      <c r="K652" s="931"/>
      <c r="L652" s="971"/>
      <c r="M652" s="954"/>
      <c r="N652" s="954"/>
      <c r="O652" s="954"/>
      <c r="P652" s="954"/>
      <c r="Q652" s="954"/>
      <c r="R652" s="954"/>
      <c r="S652" s="954"/>
      <c r="T652" s="954"/>
      <c r="U652" s="954"/>
    </row>
    <row r="653" spans="1:21" s="933" customFormat="1" ht="24" customHeight="1">
      <c r="A653" s="928"/>
      <c r="B653" s="1021"/>
      <c r="C653" s="976"/>
      <c r="D653" s="976"/>
      <c r="E653" s="985"/>
      <c r="F653" s="974"/>
      <c r="G653" s="969"/>
      <c r="H653" s="930"/>
      <c r="I653" s="970"/>
      <c r="J653" s="930"/>
      <c r="K653" s="931"/>
      <c r="L653" s="971"/>
      <c r="M653" s="954"/>
      <c r="N653" s="954"/>
      <c r="O653" s="954"/>
      <c r="P653" s="954"/>
      <c r="Q653" s="954"/>
      <c r="R653" s="954"/>
      <c r="S653" s="954"/>
      <c r="T653" s="954"/>
      <c r="U653" s="954"/>
    </row>
    <row r="654" spans="1:21" s="933" customFormat="1" ht="24" customHeight="1">
      <c r="A654" s="928"/>
      <c r="B654" s="1021"/>
      <c r="C654" s="976"/>
      <c r="D654" s="976"/>
      <c r="E654" s="985"/>
      <c r="F654" s="974"/>
      <c r="G654" s="969"/>
      <c r="H654" s="930"/>
      <c r="I654" s="970"/>
      <c r="J654" s="930"/>
      <c r="K654" s="931"/>
      <c r="L654" s="971"/>
      <c r="M654" s="954"/>
      <c r="N654" s="954"/>
      <c r="O654" s="954"/>
      <c r="P654" s="954"/>
      <c r="Q654" s="954"/>
      <c r="R654" s="954"/>
      <c r="S654" s="954"/>
      <c r="T654" s="954"/>
      <c r="U654" s="954"/>
    </row>
    <row r="655" spans="1:21" s="933" customFormat="1" ht="24" customHeight="1">
      <c r="A655" s="928"/>
      <c r="B655" s="1021"/>
      <c r="C655" s="976"/>
      <c r="D655" s="976"/>
      <c r="E655" s="985"/>
      <c r="F655" s="974"/>
      <c r="G655" s="969"/>
      <c r="H655" s="930"/>
      <c r="I655" s="970"/>
      <c r="J655" s="930"/>
      <c r="K655" s="931"/>
      <c r="L655" s="971"/>
      <c r="M655" s="954"/>
      <c r="N655" s="954"/>
      <c r="O655" s="954"/>
      <c r="P655" s="954"/>
      <c r="Q655" s="954"/>
      <c r="R655" s="954"/>
      <c r="S655" s="954"/>
      <c r="T655" s="954"/>
      <c r="U655" s="954"/>
    </row>
    <row r="656" spans="1:21" s="933" customFormat="1" ht="24" customHeight="1">
      <c r="A656" s="928"/>
      <c r="B656" s="1021"/>
      <c r="C656" s="976"/>
      <c r="D656" s="976"/>
      <c r="E656" s="985"/>
      <c r="F656" s="974"/>
      <c r="G656" s="969"/>
      <c r="H656" s="930"/>
      <c r="I656" s="970"/>
      <c r="J656" s="930"/>
      <c r="K656" s="931"/>
      <c r="L656" s="971"/>
      <c r="M656" s="954"/>
      <c r="N656" s="954"/>
      <c r="O656" s="954"/>
      <c r="P656" s="954"/>
      <c r="Q656" s="954"/>
      <c r="R656" s="954"/>
      <c r="S656" s="954"/>
      <c r="T656" s="954"/>
      <c r="U656" s="954"/>
    </row>
    <row r="657" spans="1:21" s="933" customFormat="1" ht="24" customHeight="1">
      <c r="A657" s="928"/>
      <c r="B657" s="1021"/>
      <c r="C657" s="976"/>
      <c r="D657" s="976"/>
      <c r="E657" s="985"/>
      <c r="F657" s="974"/>
      <c r="G657" s="969"/>
      <c r="H657" s="930"/>
      <c r="I657" s="970"/>
      <c r="J657" s="930"/>
      <c r="K657" s="931"/>
      <c r="L657" s="971"/>
      <c r="M657" s="954"/>
      <c r="N657" s="954"/>
      <c r="O657" s="954"/>
      <c r="P657" s="954"/>
      <c r="Q657" s="954"/>
      <c r="R657" s="954"/>
      <c r="S657" s="954"/>
      <c r="T657" s="954"/>
      <c r="U657" s="954"/>
    </row>
    <row r="658" spans="1:21" s="933" customFormat="1" ht="24" customHeight="1">
      <c r="A658" s="928"/>
      <c r="B658" s="1021"/>
      <c r="C658" s="976"/>
      <c r="D658" s="976"/>
      <c r="E658" s="985"/>
      <c r="F658" s="974"/>
      <c r="G658" s="969"/>
      <c r="H658" s="930"/>
      <c r="I658" s="970"/>
      <c r="J658" s="930"/>
      <c r="K658" s="931"/>
      <c r="L658" s="971"/>
      <c r="M658" s="954"/>
      <c r="N658" s="954"/>
      <c r="O658" s="954"/>
      <c r="P658" s="954"/>
      <c r="Q658" s="954"/>
      <c r="R658" s="954"/>
      <c r="S658" s="954"/>
      <c r="T658" s="954"/>
      <c r="U658" s="954"/>
    </row>
    <row r="659" spans="1:21" s="933" customFormat="1" ht="24" customHeight="1">
      <c r="A659" s="928"/>
      <c r="B659" s="1021"/>
      <c r="C659" s="976"/>
      <c r="D659" s="976"/>
      <c r="E659" s="985"/>
      <c r="F659" s="974"/>
      <c r="G659" s="969"/>
      <c r="H659" s="930"/>
      <c r="I659" s="970"/>
      <c r="J659" s="930"/>
      <c r="K659" s="931"/>
      <c r="L659" s="971"/>
      <c r="M659" s="954"/>
      <c r="N659" s="954"/>
      <c r="O659" s="954"/>
      <c r="P659" s="954"/>
      <c r="Q659" s="954"/>
      <c r="R659" s="954"/>
      <c r="S659" s="954"/>
      <c r="T659" s="954"/>
      <c r="U659" s="954"/>
    </row>
    <row r="660" spans="1:21" s="933" customFormat="1" ht="24" customHeight="1">
      <c r="A660" s="928"/>
      <c r="B660" s="1021"/>
      <c r="C660" s="976"/>
      <c r="D660" s="976"/>
      <c r="E660" s="985"/>
      <c r="F660" s="974"/>
      <c r="G660" s="969"/>
      <c r="H660" s="930"/>
      <c r="I660" s="970"/>
      <c r="J660" s="930"/>
      <c r="K660" s="931"/>
      <c r="L660" s="971"/>
      <c r="M660" s="954"/>
      <c r="N660" s="954"/>
      <c r="O660" s="954"/>
      <c r="P660" s="954"/>
      <c r="Q660" s="954"/>
      <c r="R660" s="954"/>
      <c r="S660" s="954"/>
      <c r="T660" s="954"/>
      <c r="U660" s="954"/>
    </row>
    <row r="661" spans="1:21" s="933" customFormat="1" ht="24" customHeight="1">
      <c r="A661" s="1026" t="s">
        <v>931</v>
      </c>
      <c r="B661" s="1027" t="s">
        <v>932</v>
      </c>
      <c r="C661" s="976"/>
      <c r="D661" s="976"/>
      <c r="E661" s="985"/>
      <c r="F661" s="974"/>
      <c r="G661" s="969"/>
      <c r="H661" s="930"/>
      <c r="I661" s="970"/>
      <c r="J661" s="930"/>
      <c r="K661" s="931"/>
      <c r="L661" s="971"/>
      <c r="M661" s="954"/>
      <c r="N661" s="954"/>
      <c r="O661" s="954"/>
      <c r="P661" s="954"/>
      <c r="Q661" s="954"/>
      <c r="R661" s="954"/>
      <c r="S661" s="954"/>
      <c r="T661" s="954"/>
      <c r="U661" s="954"/>
    </row>
    <row r="662" spans="1:21" s="933" customFormat="1" ht="24" customHeight="1">
      <c r="A662" s="928"/>
      <c r="B662" s="976" t="s">
        <v>864</v>
      </c>
      <c r="C662" s="977"/>
      <c r="D662" s="977"/>
      <c r="E662" s="978">
        <v>303.92</v>
      </c>
      <c r="F662" s="974" t="s">
        <v>865</v>
      </c>
      <c r="G662" s="969">
        <v>2516</v>
      </c>
      <c r="H662" s="930">
        <f t="shared" ref="H662:H676" si="139">ROUND(E662*G662,2)</f>
        <v>764662.72</v>
      </c>
      <c r="I662" s="970">
        <v>485</v>
      </c>
      <c r="J662" s="930">
        <f t="shared" ref="J662:J676" si="140">ROUND(E662*I662,2)</f>
        <v>147401.20000000001</v>
      </c>
      <c r="K662" s="931">
        <f t="shared" ref="K662:K676" si="141">H662+J662</f>
        <v>912063.91999999993</v>
      </c>
      <c r="L662" s="971"/>
      <c r="M662" s="954"/>
      <c r="N662" s="954"/>
      <c r="O662" s="954"/>
      <c r="P662" s="954"/>
      <c r="Q662" s="954"/>
      <c r="R662" s="954"/>
      <c r="S662" s="954"/>
      <c r="T662" s="954"/>
      <c r="U662" s="954"/>
    </row>
    <row r="663" spans="1:21" s="933" customFormat="1" ht="24" customHeight="1">
      <c r="A663" s="928"/>
      <c r="B663" s="979" t="s">
        <v>866</v>
      </c>
      <c r="C663" s="976"/>
      <c r="D663" s="976"/>
      <c r="E663" s="978"/>
      <c r="F663" s="974"/>
      <c r="G663" s="969"/>
      <c r="H663" s="930">
        <f t="shared" si="139"/>
        <v>0</v>
      </c>
      <c r="I663" s="970"/>
      <c r="J663" s="930">
        <f t="shared" si="140"/>
        <v>0</v>
      </c>
      <c r="K663" s="931">
        <f t="shared" si="141"/>
        <v>0</v>
      </c>
      <c r="L663" s="971"/>
      <c r="M663" s="954"/>
      <c r="N663" s="954"/>
      <c r="O663" s="954"/>
      <c r="P663" s="954"/>
      <c r="Q663" s="954"/>
      <c r="R663" s="954"/>
      <c r="S663" s="954"/>
      <c r="T663" s="954"/>
      <c r="U663" s="954"/>
    </row>
    <row r="664" spans="1:21" s="933" customFormat="1" ht="24" customHeight="1">
      <c r="A664" s="928"/>
      <c r="B664" s="979"/>
      <c r="C664" s="976" t="s">
        <v>867</v>
      </c>
      <c r="D664" s="976"/>
      <c r="E664" s="978">
        <f>E665/2</f>
        <v>685.56500000000005</v>
      </c>
      <c r="F664" s="974" t="s">
        <v>34</v>
      </c>
      <c r="G664" s="969">
        <v>661.62</v>
      </c>
      <c r="H664" s="930">
        <f t="shared" si="139"/>
        <v>453583.52</v>
      </c>
      <c r="I664" s="970"/>
      <c r="J664" s="930">
        <f t="shared" si="140"/>
        <v>0</v>
      </c>
      <c r="K664" s="931">
        <f t="shared" si="141"/>
        <v>453583.52</v>
      </c>
      <c r="L664" s="971"/>
      <c r="M664" s="954"/>
      <c r="N664" s="954"/>
      <c r="O664" s="954"/>
      <c r="P664" s="954"/>
      <c r="Q664" s="954"/>
      <c r="R664" s="954"/>
      <c r="S664" s="954"/>
      <c r="T664" s="954"/>
      <c r="U664" s="954"/>
    </row>
    <row r="665" spans="1:21" s="933" customFormat="1" ht="24" customHeight="1">
      <c r="A665" s="928"/>
      <c r="B665" s="979"/>
      <c r="C665" s="976" t="s">
        <v>868</v>
      </c>
      <c r="D665" s="976"/>
      <c r="E665" s="978">
        <v>1371.13</v>
      </c>
      <c r="F665" s="974" t="s">
        <v>34</v>
      </c>
      <c r="G665" s="969"/>
      <c r="H665" s="930">
        <f t="shared" si="139"/>
        <v>0</v>
      </c>
      <c r="I665" s="970">
        <v>154</v>
      </c>
      <c r="J665" s="930">
        <f t="shared" si="140"/>
        <v>211154.02</v>
      </c>
      <c r="K665" s="931">
        <f t="shared" si="141"/>
        <v>211154.02</v>
      </c>
      <c r="L665" s="971"/>
      <c r="M665" s="954"/>
      <c r="N665" s="954"/>
      <c r="O665" s="954"/>
      <c r="P665" s="954"/>
      <c r="Q665" s="954"/>
      <c r="R665" s="954"/>
      <c r="S665" s="954"/>
      <c r="T665" s="954"/>
      <c r="U665" s="954"/>
    </row>
    <row r="666" spans="1:21" s="933" customFormat="1" ht="24" customHeight="1">
      <c r="A666" s="928"/>
      <c r="B666" s="976" t="s">
        <v>869</v>
      </c>
      <c r="C666" s="976"/>
      <c r="D666" s="976"/>
      <c r="E666" s="978">
        <f>(E665*0.25)</f>
        <v>342.78250000000003</v>
      </c>
      <c r="F666" s="974" t="s">
        <v>870</v>
      </c>
      <c r="G666" s="969">
        <f t="shared" ref="G666" si="142">VLOOKUP(B666,$O$43:$P$53,2,FALSE)</f>
        <v>29.94</v>
      </c>
      <c r="H666" s="930">
        <f t="shared" si="139"/>
        <v>10262.91</v>
      </c>
      <c r="I666" s="970"/>
      <c r="J666" s="930">
        <f t="shared" si="140"/>
        <v>0</v>
      </c>
      <c r="K666" s="931">
        <f t="shared" si="141"/>
        <v>10262.91</v>
      </c>
      <c r="L666" s="971"/>
      <c r="M666" s="954"/>
      <c r="N666" s="954"/>
      <c r="O666" s="954"/>
      <c r="P666" s="954"/>
      <c r="Q666" s="954"/>
      <c r="R666" s="954"/>
      <c r="S666" s="954"/>
      <c r="T666" s="954"/>
      <c r="U666" s="954"/>
    </row>
    <row r="667" spans="1:21" s="933" customFormat="1" ht="24" customHeight="1">
      <c r="A667" s="928"/>
      <c r="B667" s="976" t="s">
        <v>871</v>
      </c>
      <c r="C667" s="976"/>
      <c r="D667" s="976"/>
      <c r="E667" s="978"/>
      <c r="F667" s="982"/>
      <c r="G667" s="983"/>
      <c r="H667" s="930">
        <f t="shared" si="139"/>
        <v>0</v>
      </c>
      <c r="I667" s="970"/>
      <c r="J667" s="930">
        <f t="shared" si="140"/>
        <v>0</v>
      </c>
      <c r="K667" s="931">
        <f t="shared" si="141"/>
        <v>0</v>
      </c>
      <c r="L667" s="971"/>
      <c r="M667" s="954"/>
      <c r="N667" s="954"/>
      <c r="O667" s="954"/>
      <c r="P667" s="954"/>
      <c r="Q667" s="954"/>
      <c r="R667" s="954"/>
      <c r="S667" s="954"/>
      <c r="T667" s="954"/>
      <c r="U667" s="954"/>
    </row>
    <row r="668" spans="1:21" s="933" customFormat="1" ht="24" customHeight="1">
      <c r="A668" s="928"/>
      <c r="B668" s="976" t="s">
        <v>872</v>
      </c>
      <c r="C668" s="976"/>
      <c r="D668" s="976"/>
      <c r="E668" s="978">
        <v>0</v>
      </c>
      <c r="F668" s="974" t="s">
        <v>870</v>
      </c>
      <c r="G668" s="969">
        <f t="shared" ref="G668:G676" si="143">VLOOKUP(B668,$O$43:$P$53,2,FALSE)</f>
        <v>25.73</v>
      </c>
      <c r="H668" s="930">
        <f t="shared" si="139"/>
        <v>0</v>
      </c>
      <c r="I668" s="984">
        <v>4.0999999999999996</v>
      </c>
      <c r="J668" s="930">
        <f t="shared" si="140"/>
        <v>0</v>
      </c>
      <c r="K668" s="931">
        <f t="shared" si="141"/>
        <v>0</v>
      </c>
      <c r="L668" s="971"/>
      <c r="M668" s="954"/>
      <c r="N668" s="954"/>
      <c r="O668" s="954"/>
      <c r="P668" s="954"/>
      <c r="Q668" s="954"/>
      <c r="R668" s="954"/>
      <c r="S668" s="954"/>
      <c r="T668" s="954"/>
      <c r="U668" s="954"/>
    </row>
    <row r="669" spans="1:21" s="933" customFormat="1" ht="24" customHeight="1">
      <c r="A669" s="928"/>
      <c r="B669" s="976" t="s">
        <v>873</v>
      </c>
      <c r="C669" s="976"/>
      <c r="D669" s="976"/>
      <c r="E669" s="978">
        <v>8655.7900000000009</v>
      </c>
      <c r="F669" s="974" t="s">
        <v>870</v>
      </c>
      <c r="G669" s="969">
        <f t="shared" si="143"/>
        <v>24.97</v>
      </c>
      <c r="H669" s="930">
        <f t="shared" si="139"/>
        <v>216135.08</v>
      </c>
      <c r="I669" s="970">
        <v>4.0999999999999996</v>
      </c>
      <c r="J669" s="930">
        <f t="shared" si="140"/>
        <v>35488.74</v>
      </c>
      <c r="K669" s="931">
        <f t="shared" si="141"/>
        <v>251623.81999999998</v>
      </c>
      <c r="L669" s="971"/>
      <c r="M669" s="954"/>
      <c r="N669" s="954"/>
      <c r="O669" s="954"/>
      <c r="P669" s="954"/>
      <c r="Q669" s="954"/>
      <c r="R669" s="954"/>
      <c r="S669" s="954"/>
      <c r="T669" s="954"/>
      <c r="U669" s="954"/>
    </row>
    <row r="670" spans="1:21" s="933" customFormat="1" ht="24" customHeight="1">
      <c r="A670" s="928"/>
      <c r="B670" s="976" t="s">
        <v>874</v>
      </c>
      <c r="C670" s="976"/>
      <c r="D670" s="976"/>
      <c r="E670" s="978">
        <v>9024.06</v>
      </c>
      <c r="F670" s="974" t="s">
        <v>870</v>
      </c>
      <c r="G670" s="969">
        <f t="shared" si="143"/>
        <v>24.47</v>
      </c>
      <c r="H670" s="930">
        <f t="shared" si="139"/>
        <v>220818.75</v>
      </c>
      <c r="I670" s="970">
        <v>3.3</v>
      </c>
      <c r="J670" s="930">
        <f t="shared" si="140"/>
        <v>29779.4</v>
      </c>
      <c r="K670" s="931">
        <f t="shared" si="141"/>
        <v>250598.15</v>
      </c>
      <c r="L670" s="971"/>
      <c r="M670" s="954"/>
      <c r="N670" s="954"/>
      <c r="O670" s="954"/>
      <c r="P670" s="954"/>
      <c r="Q670" s="954"/>
      <c r="R670" s="954"/>
      <c r="S670" s="954"/>
      <c r="T670" s="954"/>
      <c r="U670" s="954"/>
    </row>
    <row r="671" spans="1:21" s="933" customFormat="1" ht="24" customHeight="1">
      <c r="A671" s="928"/>
      <c r="B671" s="976" t="s">
        <v>875</v>
      </c>
      <c r="C671" s="976"/>
      <c r="D671" s="976"/>
      <c r="E671" s="978">
        <v>50.51</v>
      </c>
      <c r="F671" s="982" t="s">
        <v>870</v>
      </c>
      <c r="G671" s="969">
        <f t="shared" si="143"/>
        <v>24.27</v>
      </c>
      <c r="H671" s="930">
        <f t="shared" si="139"/>
        <v>1225.8800000000001</v>
      </c>
      <c r="I671" s="970">
        <v>3.3</v>
      </c>
      <c r="J671" s="930">
        <f t="shared" si="140"/>
        <v>166.68</v>
      </c>
      <c r="K671" s="931">
        <f t="shared" si="141"/>
        <v>1392.5600000000002</v>
      </c>
      <c r="L671" s="971"/>
      <c r="M671" s="954"/>
      <c r="N671" s="954"/>
      <c r="O671" s="954"/>
      <c r="P671" s="954"/>
      <c r="Q671" s="954"/>
      <c r="R671" s="954"/>
      <c r="S671" s="954"/>
      <c r="T671" s="954"/>
      <c r="U671" s="954"/>
    </row>
    <row r="672" spans="1:21" s="933" customFormat="1" ht="24" customHeight="1">
      <c r="A672" s="928"/>
      <c r="B672" s="976" t="s">
        <v>876</v>
      </c>
      <c r="C672" s="976"/>
      <c r="D672" s="976"/>
      <c r="E672" s="978">
        <v>0</v>
      </c>
      <c r="F672" s="974" t="s">
        <v>870</v>
      </c>
      <c r="G672" s="969">
        <f t="shared" si="143"/>
        <v>24.27</v>
      </c>
      <c r="H672" s="930">
        <f t="shared" si="139"/>
        <v>0</v>
      </c>
      <c r="I672" s="970">
        <v>2.9</v>
      </c>
      <c r="J672" s="930">
        <f t="shared" si="140"/>
        <v>0</v>
      </c>
      <c r="K672" s="931">
        <f t="shared" si="141"/>
        <v>0</v>
      </c>
      <c r="L672" s="971"/>
      <c r="M672" s="954"/>
      <c r="N672" s="954"/>
      <c r="O672" s="954"/>
      <c r="P672" s="954"/>
      <c r="Q672" s="954"/>
      <c r="R672" s="954"/>
      <c r="S672" s="954"/>
      <c r="T672" s="954"/>
      <c r="U672" s="954"/>
    </row>
    <row r="673" spans="1:21" s="933" customFormat="1" ht="24" customHeight="1">
      <c r="A673" s="928"/>
      <c r="B673" s="976" t="s">
        <v>877</v>
      </c>
      <c r="C673" s="976"/>
      <c r="D673" s="976"/>
      <c r="E673" s="978">
        <v>46127.47</v>
      </c>
      <c r="F673" s="974" t="s">
        <v>870</v>
      </c>
      <c r="G673" s="969">
        <f t="shared" si="143"/>
        <v>24.27</v>
      </c>
      <c r="H673" s="930">
        <f t="shared" si="139"/>
        <v>1119513.7</v>
      </c>
      <c r="I673" s="970">
        <v>2.9</v>
      </c>
      <c r="J673" s="930">
        <f t="shared" si="140"/>
        <v>133769.66</v>
      </c>
      <c r="K673" s="931">
        <f t="shared" si="141"/>
        <v>1253283.3599999999</v>
      </c>
      <c r="L673" s="971"/>
      <c r="M673" s="954"/>
      <c r="N673" s="954"/>
      <c r="O673" s="954"/>
      <c r="P673" s="954"/>
      <c r="Q673" s="954"/>
      <c r="R673" s="954"/>
      <c r="S673" s="954"/>
      <c r="T673" s="954"/>
      <c r="U673" s="954"/>
    </row>
    <row r="674" spans="1:21" s="933" customFormat="1" ht="24" customHeight="1">
      <c r="A674" s="928"/>
      <c r="B674" s="976" t="s">
        <v>878</v>
      </c>
      <c r="C674" s="976"/>
      <c r="D674" s="976"/>
      <c r="E674" s="978">
        <v>0</v>
      </c>
      <c r="F674" s="974" t="s">
        <v>870</v>
      </c>
      <c r="G674" s="969">
        <f t="shared" si="143"/>
        <v>24.27</v>
      </c>
      <c r="H674" s="930">
        <f t="shared" si="139"/>
        <v>0</v>
      </c>
      <c r="I674" s="970">
        <v>2.9</v>
      </c>
      <c r="J674" s="930">
        <f t="shared" si="140"/>
        <v>0</v>
      </c>
      <c r="K674" s="931">
        <f t="shared" si="141"/>
        <v>0</v>
      </c>
      <c r="L674" s="971"/>
      <c r="M674" s="954"/>
      <c r="N674" s="954"/>
      <c r="O674" s="954"/>
      <c r="P674" s="954"/>
      <c r="Q674" s="954"/>
      <c r="R674" s="954"/>
      <c r="S674" s="954"/>
      <c r="T674" s="954"/>
      <c r="U674" s="954"/>
    </row>
    <row r="675" spans="1:21" s="933" customFormat="1" ht="24" customHeight="1">
      <c r="A675" s="928"/>
      <c r="B675" s="976" t="s">
        <v>879</v>
      </c>
      <c r="C675" s="976"/>
      <c r="D675" s="976"/>
      <c r="E675" s="978">
        <v>0</v>
      </c>
      <c r="F675" s="974" t="s">
        <v>870</v>
      </c>
      <c r="G675" s="969">
        <f t="shared" si="143"/>
        <v>23.8</v>
      </c>
      <c r="H675" s="930">
        <f t="shared" si="139"/>
        <v>0</v>
      </c>
      <c r="I675" s="970">
        <v>2.9</v>
      </c>
      <c r="J675" s="930">
        <f t="shared" si="140"/>
        <v>0</v>
      </c>
      <c r="K675" s="931">
        <f t="shared" si="141"/>
        <v>0</v>
      </c>
      <c r="L675" s="971"/>
      <c r="M675" s="954"/>
      <c r="N675" s="954"/>
      <c r="O675" s="954"/>
      <c r="P675" s="954"/>
      <c r="Q675" s="954"/>
      <c r="R675" s="954"/>
      <c r="S675" s="954"/>
      <c r="T675" s="954"/>
      <c r="U675" s="954"/>
    </row>
    <row r="676" spans="1:21" s="933" customFormat="1" ht="24" customHeight="1">
      <c r="A676" s="928"/>
      <c r="B676" s="976" t="s">
        <v>880</v>
      </c>
      <c r="C676" s="976"/>
      <c r="D676" s="976"/>
      <c r="E676" s="978">
        <f>(SUM(E668:E675)/1000)*30</f>
        <v>1915.7348999999999</v>
      </c>
      <c r="F676" s="974" t="s">
        <v>870</v>
      </c>
      <c r="G676" s="969">
        <f t="shared" si="143"/>
        <v>29.92</v>
      </c>
      <c r="H676" s="930">
        <f t="shared" si="139"/>
        <v>57318.79</v>
      </c>
      <c r="I676" s="970"/>
      <c r="J676" s="930">
        <f t="shared" si="140"/>
        <v>0</v>
      </c>
      <c r="K676" s="931">
        <f t="shared" si="141"/>
        <v>57318.79</v>
      </c>
      <c r="L676" s="971"/>
      <c r="M676" s="954"/>
      <c r="N676" s="954"/>
      <c r="O676" s="954"/>
      <c r="P676" s="954"/>
      <c r="Q676" s="954"/>
      <c r="R676" s="954"/>
      <c r="S676" s="954"/>
      <c r="T676" s="954"/>
      <c r="U676" s="954"/>
    </row>
    <row r="677" spans="1:21" s="933" customFormat="1" ht="24" customHeight="1">
      <c r="A677" s="928"/>
      <c r="B677" s="976" t="s">
        <v>881</v>
      </c>
      <c r="C677" s="976"/>
      <c r="D677" s="976"/>
      <c r="E677" s="978"/>
      <c r="F677" s="974"/>
      <c r="G677" s="969"/>
      <c r="H677" s="930"/>
      <c r="I677" s="970"/>
      <c r="J677" s="930"/>
      <c r="K677" s="931"/>
      <c r="L677" s="971"/>
      <c r="M677" s="954"/>
      <c r="N677" s="954"/>
      <c r="O677" s="954"/>
      <c r="P677" s="954"/>
      <c r="Q677" s="954"/>
      <c r="R677" s="954"/>
      <c r="S677" s="954"/>
      <c r="T677" s="954"/>
      <c r="U677" s="954"/>
    </row>
    <row r="678" spans="1:21" s="933" customFormat="1" ht="24" customHeight="1">
      <c r="A678" s="928"/>
      <c r="B678" s="1021"/>
      <c r="C678" s="976"/>
      <c r="D678" s="976"/>
      <c r="E678" s="978"/>
      <c r="F678" s="974"/>
      <c r="G678" s="969"/>
      <c r="H678" s="930"/>
      <c r="I678" s="970"/>
      <c r="J678" s="930"/>
      <c r="K678" s="931"/>
      <c r="L678" s="971"/>
      <c r="M678" s="954"/>
      <c r="N678" s="954"/>
      <c r="O678" s="954"/>
      <c r="P678" s="954"/>
      <c r="Q678" s="954"/>
      <c r="R678" s="954"/>
      <c r="S678" s="954"/>
      <c r="T678" s="954"/>
      <c r="U678" s="954"/>
    </row>
    <row r="679" spans="1:21" s="933" customFormat="1" ht="24" customHeight="1">
      <c r="A679" s="928"/>
      <c r="B679" s="1021"/>
      <c r="C679" s="976"/>
      <c r="D679" s="976"/>
      <c r="E679" s="978"/>
      <c r="F679" s="974"/>
      <c r="G679" s="969"/>
      <c r="H679" s="930"/>
      <c r="I679" s="970"/>
      <c r="J679" s="930"/>
      <c r="K679" s="931"/>
      <c r="L679" s="971"/>
      <c r="M679" s="954"/>
      <c r="N679" s="954"/>
      <c r="O679" s="954"/>
      <c r="P679" s="954"/>
      <c r="Q679" s="954"/>
      <c r="R679" s="954"/>
      <c r="S679" s="954"/>
      <c r="T679" s="954"/>
      <c r="U679" s="954"/>
    </row>
    <row r="680" spans="1:21" s="933" customFormat="1" ht="24" customHeight="1">
      <c r="A680" s="928"/>
      <c r="B680" s="1021"/>
      <c r="C680" s="976"/>
      <c r="D680" s="976"/>
      <c r="E680" s="978"/>
      <c r="F680" s="974"/>
      <c r="G680" s="969"/>
      <c r="H680" s="930"/>
      <c r="I680" s="970"/>
      <c r="J680" s="930"/>
      <c r="K680" s="931"/>
      <c r="L680" s="971"/>
      <c r="M680" s="954"/>
      <c r="N680" s="954"/>
      <c r="O680" s="954"/>
      <c r="P680" s="954"/>
      <c r="Q680" s="954"/>
      <c r="R680" s="954"/>
      <c r="S680" s="954"/>
      <c r="T680" s="954"/>
      <c r="U680" s="954"/>
    </row>
    <row r="681" spans="1:21" s="933" customFormat="1" ht="24" customHeight="1">
      <c r="A681" s="928"/>
      <c r="B681" s="1021"/>
      <c r="C681" s="976"/>
      <c r="D681" s="976"/>
      <c r="E681" s="978"/>
      <c r="F681" s="974"/>
      <c r="G681" s="969"/>
      <c r="H681" s="930"/>
      <c r="I681" s="970"/>
      <c r="J681" s="930"/>
      <c r="K681" s="931"/>
      <c r="L681" s="971"/>
      <c r="M681" s="954"/>
      <c r="N681" s="954"/>
      <c r="O681" s="954"/>
      <c r="P681" s="954"/>
      <c r="Q681" s="954"/>
      <c r="R681" s="954"/>
      <c r="S681" s="954"/>
      <c r="T681" s="954"/>
      <c r="U681" s="954"/>
    </row>
    <row r="682" spans="1:21" s="933" customFormat="1" ht="24" customHeight="1">
      <c r="A682" s="928"/>
      <c r="B682" s="1021"/>
      <c r="C682" s="976"/>
      <c r="D682" s="976"/>
      <c r="E682" s="978"/>
      <c r="F682" s="974"/>
      <c r="G682" s="969"/>
      <c r="H682" s="930"/>
      <c r="I682" s="970"/>
      <c r="J682" s="930"/>
      <c r="K682" s="931"/>
      <c r="L682" s="971"/>
      <c r="M682" s="954"/>
      <c r="N682" s="954"/>
      <c r="O682" s="954"/>
      <c r="P682" s="954"/>
      <c r="Q682" s="954"/>
      <c r="R682" s="954"/>
      <c r="S682" s="954"/>
      <c r="T682" s="954"/>
      <c r="U682" s="954"/>
    </row>
    <row r="683" spans="1:21" s="933" customFormat="1" ht="24" customHeight="1">
      <c r="A683" s="928"/>
      <c r="B683" s="1021"/>
      <c r="C683" s="976"/>
      <c r="D683" s="976"/>
      <c r="E683" s="978"/>
      <c r="F683" s="974"/>
      <c r="G683" s="969"/>
      <c r="H683" s="930"/>
      <c r="I683" s="970"/>
      <c r="J683" s="930"/>
      <c r="K683" s="931"/>
      <c r="L683" s="971"/>
      <c r="M683" s="954"/>
      <c r="N683" s="954"/>
      <c r="O683" s="954"/>
      <c r="P683" s="954"/>
      <c r="Q683" s="954"/>
      <c r="R683" s="954"/>
      <c r="S683" s="954"/>
      <c r="T683" s="954"/>
      <c r="U683" s="954"/>
    </row>
    <row r="684" spans="1:21" s="933" customFormat="1" ht="24" customHeight="1">
      <c r="A684" s="928"/>
      <c r="B684" s="1021"/>
      <c r="C684" s="976"/>
      <c r="D684" s="976"/>
      <c r="E684" s="978"/>
      <c r="F684" s="974"/>
      <c r="G684" s="969"/>
      <c r="H684" s="930"/>
      <c r="I684" s="970"/>
      <c r="J684" s="930"/>
      <c r="K684" s="931"/>
      <c r="L684" s="971"/>
      <c r="M684" s="954"/>
      <c r="N684" s="954"/>
      <c r="O684" s="954"/>
      <c r="P684" s="954"/>
      <c r="Q684" s="954"/>
      <c r="R684" s="954"/>
      <c r="S684" s="954"/>
      <c r="T684" s="954"/>
      <c r="U684" s="954"/>
    </row>
    <row r="685" spans="1:21" s="933" customFormat="1" ht="24" customHeight="1">
      <c r="A685" s="928"/>
      <c r="B685" s="1021"/>
      <c r="C685" s="976"/>
      <c r="D685" s="976"/>
      <c r="E685" s="978"/>
      <c r="F685" s="974"/>
      <c r="G685" s="969"/>
      <c r="H685" s="930"/>
      <c r="I685" s="970"/>
      <c r="J685" s="930"/>
      <c r="K685" s="931"/>
      <c r="L685" s="971"/>
      <c r="M685" s="954"/>
      <c r="N685" s="954"/>
      <c r="O685" s="954"/>
      <c r="P685" s="954"/>
      <c r="Q685" s="954"/>
      <c r="R685" s="954"/>
      <c r="S685" s="954"/>
      <c r="T685" s="954"/>
      <c r="U685" s="954"/>
    </row>
    <row r="686" spans="1:21" s="933" customFormat="1" ht="24" customHeight="1">
      <c r="A686" s="1026" t="s">
        <v>933</v>
      </c>
      <c r="B686" s="1029" t="s">
        <v>1032</v>
      </c>
      <c r="C686" s="976"/>
      <c r="D686" s="976"/>
      <c r="E686" s="978"/>
      <c r="F686" s="974"/>
      <c r="G686" s="969"/>
      <c r="H686" s="930"/>
      <c r="I686" s="970"/>
      <c r="J686" s="930"/>
      <c r="K686" s="931"/>
      <c r="L686" s="971"/>
      <c r="M686" s="954"/>
      <c r="N686" s="954"/>
      <c r="O686" s="954"/>
      <c r="P686" s="954"/>
      <c r="Q686" s="954"/>
      <c r="R686" s="954"/>
      <c r="S686" s="954"/>
      <c r="T686" s="954"/>
      <c r="U686" s="954"/>
    </row>
    <row r="687" spans="1:21" s="933" customFormat="1" ht="24" customHeight="1">
      <c r="A687" s="1026"/>
      <c r="B687" s="976" t="s">
        <v>864</v>
      </c>
      <c r="C687" s="977"/>
      <c r="D687" s="977"/>
      <c r="E687" s="978">
        <v>154.25</v>
      </c>
      <c r="F687" s="974" t="s">
        <v>865</v>
      </c>
      <c r="G687" s="969">
        <v>2516</v>
      </c>
      <c r="H687" s="930">
        <f t="shared" ref="H687:H701" si="144">ROUND(E687*G687,2)</f>
        <v>388093</v>
      </c>
      <c r="I687" s="970">
        <v>485</v>
      </c>
      <c r="J687" s="930">
        <f t="shared" ref="J687:J701" si="145">ROUND(E687*I687,2)</f>
        <v>74811.25</v>
      </c>
      <c r="K687" s="931">
        <f t="shared" ref="K687:K701" si="146">H687+J687</f>
        <v>462904.25</v>
      </c>
      <c r="L687" s="971"/>
      <c r="M687" s="954"/>
      <c r="N687" s="954"/>
      <c r="O687" s="954"/>
      <c r="P687" s="954"/>
      <c r="Q687" s="954"/>
      <c r="R687" s="954"/>
      <c r="S687" s="954"/>
      <c r="T687" s="954"/>
      <c r="U687" s="954"/>
    </row>
    <row r="688" spans="1:21" s="933" customFormat="1" ht="24" customHeight="1">
      <c r="A688" s="1026"/>
      <c r="B688" s="979" t="s">
        <v>866</v>
      </c>
      <c r="C688" s="976"/>
      <c r="D688" s="976"/>
      <c r="E688" s="978"/>
      <c r="F688" s="974"/>
      <c r="G688" s="969"/>
      <c r="H688" s="930"/>
      <c r="I688" s="970"/>
      <c r="J688" s="930"/>
      <c r="K688" s="931"/>
      <c r="L688" s="971"/>
      <c r="M688" s="954"/>
      <c r="N688" s="954"/>
      <c r="O688" s="954"/>
      <c r="P688" s="954"/>
      <c r="Q688" s="954"/>
      <c r="R688" s="954"/>
      <c r="S688" s="954"/>
      <c r="T688" s="954"/>
      <c r="U688" s="954"/>
    </row>
    <row r="689" spans="1:21" s="933" customFormat="1" ht="24" customHeight="1">
      <c r="A689" s="1026"/>
      <c r="B689" s="979"/>
      <c r="C689" s="976" t="s">
        <v>867</v>
      </c>
      <c r="D689" s="976"/>
      <c r="E689" s="978">
        <f>E690/2</f>
        <v>457.70499999999998</v>
      </c>
      <c r="F689" s="974" t="s">
        <v>34</v>
      </c>
      <c r="G689" s="969">
        <v>661.62</v>
      </c>
      <c r="H689" s="930">
        <f t="shared" si="144"/>
        <v>302826.78000000003</v>
      </c>
      <c r="I689" s="970"/>
      <c r="J689" s="930">
        <f t="shared" si="145"/>
        <v>0</v>
      </c>
      <c r="K689" s="931">
        <f t="shared" si="146"/>
        <v>302826.78000000003</v>
      </c>
      <c r="L689" s="971"/>
      <c r="M689" s="954"/>
      <c r="N689" s="954"/>
      <c r="O689" s="954"/>
      <c r="P689" s="954"/>
      <c r="Q689" s="954"/>
      <c r="R689" s="954"/>
      <c r="S689" s="954"/>
      <c r="T689" s="954"/>
      <c r="U689" s="954"/>
    </row>
    <row r="690" spans="1:21" s="933" customFormat="1" ht="24" customHeight="1">
      <c r="A690" s="1026"/>
      <c r="B690" s="979"/>
      <c r="C690" s="976" t="s">
        <v>868</v>
      </c>
      <c r="D690" s="976"/>
      <c r="E690" s="978">
        <v>915.41</v>
      </c>
      <c r="F690" s="974" t="s">
        <v>34</v>
      </c>
      <c r="G690" s="969"/>
      <c r="H690" s="930">
        <f t="shared" si="144"/>
        <v>0</v>
      </c>
      <c r="I690" s="970">
        <v>154</v>
      </c>
      <c r="J690" s="930">
        <f t="shared" si="145"/>
        <v>140973.14000000001</v>
      </c>
      <c r="K690" s="931">
        <f t="shared" si="146"/>
        <v>140973.14000000001</v>
      </c>
      <c r="L690" s="971"/>
      <c r="M690" s="954"/>
      <c r="N690" s="954"/>
      <c r="O690" s="954"/>
      <c r="P690" s="954"/>
      <c r="Q690" s="954"/>
      <c r="R690" s="954"/>
      <c r="S690" s="954"/>
      <c r="T690" s="954"/>
      <c r="U690" s="954"/>
    </row>
    <row r="691" spans="1:21" s="933" customFormat="1" ht="24" customHeight="1">
      <c r="A691" s="1026"/>
      <c r="B691" s="976" t="s">
        <v>869</v>
      </c>
      <c r="C691" s="976"/>
      <c r="D691" s="976"/>
      <c r="E691" s="978">
        <f>(E690*0.25)</f>
        <v>228.85249999999999</v>
      </c>
      <c r="F691" s="974" t="s">
        <v>870</v>
      </c>
      <c r="G691" s="969">
        <f t="shared" ref="G691" si="147">VLOOKUP(B691,$O$43:$P$53,2,FALSE)</f>
        <v>29.94</v>
      </c>
      <c r="H691" s="930">
        <f t="shared" si="144"/>
        <v>6851.84</v>
      </c>
      <c r="I691" s="970"/>
      <c r="J691" s="930">
        <f t="shared" si="145"/>
        <v>0</v>
      </c>
      <c r="K691" s="931">
        <f t="shared" si="146"/>
        <v>6851.84</v>
      </c>
      <c r="L691" s="971"/>
      <c r="M691" s="954"/>
      <c r="N691" s="954"/>
      <c r="O691" s="954"/>
      <c r="P691" s="954"/>
      <c r="Q691" s="954"/>
      <c r="R691" s="954"/>
      <c r="S691" s="954"/>
      <c r="T691" s="954"/>
      <c r="U691" s="954"/>
    </row>
    <row r="692" spans="1:21" s="933" customFormat="1" ht="24" customHeight="1">
      <c r="A692" s="1026"/>
      <c r="B692" s="976" t="s">
        <v>871</v>
      </c>
      <c r="C692" s="976"/>
      <c r="D692" s="976"/>
      <c r="E692" s="978"/>
      <c r="F692" s="982"/>
      <c r="G692" s="983"/>
      <c r="H692" s="930"/>
      <c r="I692" s="970"/>
      <c r="J692" s="930"/>
      <c r="K692" s="931"/>
      <c r="L692" s="971"/>
      <c r="M692" s="954"/>
      <c r="N692" s="954"/>
      <c r="O692" s="954"/>
      <c r="P692" s="954"/>
      <c r="Q692" s="954"/>
      <c r="R692" s="954"/>
      <c r="S692" s="954"/>
      <c r="T692" s="954"/>
      <c r="U692" s="954"/>
    </row>
    <row r="693" spans="1:21" s="933" customFormat="1" ht="24" customHeight="1">
      <c r="A693" s="1026"/>
      <c r="B693" s="976" t="s">
        <v>872</v>
      </c>
      <c r="C693" s="976"/>
      <c r="D693" s="976"/>
      <c r="E693" s="978"/>
      <c r="F693" s="974" t="s">
        <v>870</v>
      </c>
      <c r="G693" s="969">
        <f t="shared" ref="G693:G701" si="148">VLOOKUP(B693,$O$43:$P$53,2,FALSE)</f>
        <v>25.73</v>
      </c>
      <c r="H693" s="930">
        <f t="shared" si="144"/>
        <v>0</v>
      </c>
      <c r="I693" s="984">
        <v>4.0999999999999996</v>
      </c>
      <c r="J693" s="930">
        <f t="shared" si="145"/>
        <v>0</v>
      </c>
      <c r="K693" s="931">
        <f t="shared" si="146"/>
        <v>0</v>
      </c>
      <c r="L693" s="971"/>
      <c r="M693" s="954"/>
      <c r="N693" s="954"/>
      <c r="O693" s="954"/>
      <c r="P693" s="954"/>
      <c r="Q693" s="954"/>
      <c r="R693" s="954"/>
      <c r="S693" s="954"/>
      <c r="T693" s="954"/>
      <c r="U693" s="954"/>
    </row>
    <row r="694" spans="1:21" s="933" customFormat="1" ht="24" customHeight="1">
      <c r="A694" s="1026"/>
      <c r="B694" s="976" t="s">
        <v>873</v>
      </c>
      <c r="C694" s="976"/>
      <c r="D694" s="976"/>
      <c r="E694" s="978"/>
      <c r="F694" s="974" t="s">
        <v>870</v>
      </c>
      <c r="G694" s="969">
        <f t="shared" si="148"/>
        <v>24.97</v>
      </c>
      <c r="H694" s="930">
        <f t="shared" si="144"/>
        <v>0</v>
      </c>
      <c r="I694" s="970">
        <v>4.0999999999999996</v>
      </c>
      <c r="J694" s="930">
        <f t="shared" si="145"/>
        <v>0</v>
      </c>
      <c r="K694" s="931">
        <f t="shared" si="146"/>
        <v>0</v>
      </c>
      <c r="L694" s="971"/>
      <c r="M694" s="954"/>
      <c r="N694" s="954"/>
      <c r="O694" s="954"/>
      <c r="P694" s="954"/>
      <c r="Q694" s="954"/>
      <c r="R694" s="954"/>
      <c r="S694" s="954"/>
      <c r="T694" s="954"/>
      <c r="U694" s="954"/>
    </row>
    <row r="695" spans="1:21" s="933" customFormat="1" ht="24" customHeight="1">
      <c r="A695" s="1026"/>
      <c r="B695" s="976" t="s">
        <v>874</v>
      </c>
      <c r="C695" s="976"/>
      <c r="D695" s="976"/>
      <c r="E695" s="978">
        <v>4854.3100000000004</v>
      </c>
      <c r="F695" s="974" t="s">
        <v>870</v>
      </c>
      <c r="G695" s="969">
        <f t="shared" si="148"/>
        <v>24.47</v>
      </c>
      <c r="H695" s="930">
        <f t="shared" si="144"/>
        <v>118784.97</v>
      </c>
      <c r="I695" s="970">
        <v>3.3</v>
      </c>
      <c r="J695" s="930">
        <f t="shared" si="145"/>
        <v>16019.22</v>
      </c>
      <c r="K695" s="931">
        <f t="shared" si="146"/>
        <v>134804.19</v>
      </c>
      <c r="L695" s="971"/>
      <c r="M695" s="954"/>
      <c r="N695" s="954"/>
      <c r="O695" s="954"/>
      <c r="P695" s="954"/>
      <c r="Q695" s="954"/>
      <c r="R695" s="954"/>
      <c r="S695" s="954"/>
      <c r="T695" s="954"/>
      <c r="U695" s="954"/>
    </row>
    <row r="696" spans="1:21" s="933" customFormat="1" ht="24" customHeight="1">
      <c r="A696" s="1026"/>
      <c r="B696" s="976" t="s">
        <v>875</v>
      </c>
      <c r="C696" s="976"/>
      <c r="D696" s="976"/>
      <c r="E696" s="978">
        <v>13791.74</v>
      </c>
      <c r="F696" s="982" t="s">
        <v>870</v>
      </c>
      <c r="G696" s="969">
        <f t="shared" si="148"/>
        <v>24.27</v>
      </c>
      <c r="H696" s="930">
        <f t="shared" si="144"/>
        <v>334725.53000000003</v>
      </c>
      <c r="I696" s="970">
        <v>3.3</v>
      </c>
      <c r="J696" s="930">
        <f t="shared" si="145"/>
        <v>45512.74</v>
      </c>
      <c r="K696" s="931">
        <f t="shared" si="146"/>
        <v>380238.27</v>
      </c>
      <c r="L696" s="971"/>
      <c r="M696" s="954"/>
      <c r="N696" s="954"/>
      <c r="O696" s="954"/>
      <c r="P696" s="954"/>
      <c r="Q696" s="954"/>
      <c r="R696" s="954"/>
      <c r="S696" s="954"/>
      <c r="T696" s="954"/>
      <c r="U696" s="954"/>
    </row>
    <row r="697" spans="1:21" s="933" customFormat="1" ht="24" customHeight="1">
      <c r="A697" s="1026"/>
      <c r="B697" s="976" t="s">
        <v>876</v>
      </c>
      <c r="C697" s="976"/>
      <c r="D697" s="976"/>
      <c r="E697" s="978">
        <v>14299.08</v>
      </c>
      <c r="F697" s="974" t="s">
        <v>870</v>
      </c>
      <c r="G697" s="969">
        <f t="shared" si="148"/>
        <v>24.27</v>
      </c>
      <c r="H697" s="930">
        <f t="shared" si="144"/>
        <v>347038.67</v>
      </c>
      <c r="I697" s="970">
        <v>2.9</v>
      </c>
      <c r="J697" s="930">
        <f t="shared" si="145"/>
        <v>41467.33</v>
      </c>
      <c r="K697" s="931">
        <f t="shared" si="146"/>
        <v>388506</v>
      </c>
      <c r="L697" s="971"/>
      <c r="M697" s="954"/>
      <c r="N697" s="954"/>
      <c r="O697" s="954"/>
      <c r="P697" s="954"/>
      <c r="Q697" s="954"/>
      <c r="R697" s="954"/>
      <c r="S697" s="954"/>
      <c r="T697" s="954"/>
      <c r="U697" s="954"/>
    </row>
    <row r="698" spans="1:21" s="933" customFormat="1" ht="24" customHeight="1">
      <c r="A698" s="1026"/>
      <c r="B698" s="976" t="s">
        <v>877</v>
      </c>
      <c r="C698" s="976"/>
      <c r="D698" s="976"/>
      <c r="E698" s="978">
        <v>8670.82</v>
      </c>
      <c r="F698" s="974" t="s">
        <v>870</v>
      </c>
      <c r="G698" s="969">
        <f t="shared" si="148"/>
        <v>24.27</v>
      </c>
      <c r="H698" s="930">
        <f t="shared" si="144"/>
        <v>210440.8</v>
      </c>
      <c r="I698" s="970">
        <v>2.9</v>
      </c>
      <c r="J698" s="930">
        <f t="shared" si="145"/>
        <v>25145.38</v>
      </c>
      <c r="K698" s="931">
        <f t="shared" si="146"/>
        <v>235586.18</v>
      </c>
      <c r="L698" s="971"/>
      <c r="M698" s="954"/>
      <c r="N698" s="954"/>
      <c r="O698" s="954"/>
      <c r="P698" s="954"/>
      <c r="Q698" s="954"/>
      <c r="R698" s="954"/>
      <c r="S698" s="954"/>
      <c r="T698" s="954"/>
      <c r="U698" s="954"/>
    </row>
    <row r="699" spans="1:21" s="933" customFormat="1" ht="24" customHeight="1">
      <c r="A699" s="1026"/>
      <c r="B699" s="976" t="s">
        <v>878</v>
      </c>
      <c r="C699" s="976"/>
      <c r="D699" s="976"/>
      <c r="E699" s="978"/>
      <c r="F699" s="974" t="s">
        <v>870</v>
      </c>
      <c r="G699" s="969">
        <f t="shared" si="148"/>
        <v>24.27</v>
      </c>
      <c r="H699" s="930">
        <f t="shared" si="144"/>
        <v>0</v>
      </c>
      <c r="I699" s="970">
        <v>2.9</v>
      </c>
      <c r="J699" s="930">
        <f t="shared" si="145"/>
        <v>0</v>
      </c>
      <c r="K699" s="931">
        <f t="shared" si="146"/>
        <v>0</v>
      </c>
      <c r="L699" s="971"/>
      <c r="M699" s="954"/>
      <c r="N699" s="954"/>
      <c r="O699" s="954"/>
      <c r="P699" s="954"/>
      <c r="Q699" s="954"/>
      <c r="R699" s="954"/>
      <c r="S699" s="954"/>
      <c r="T699" s="954"/>
      <c r="U699" s="954"/>
    </row>
    <row r="700" spans="1:21" s="933" customFormat="1" ht="24" customHeight="1">
      <c r="A700" s="1026"/>
      <c r="B700" s="976" t="s">
        <v>879</v>
      </c>
      <c r="C700" s="976"/>
      <c r="D700" s="976"/>
      <c r="E700" s="978"/>
      <c r="F700" s="974" t="s">
        <v>870</v>
      </c>
      <c r="G700" s="969">
        <f t="shared" si="148"/>
        <v>23.8</v>
      </c>
      <c r="H700" s="930">
        <f t="shared" si="144"/>
        <v>0</v>
      </c>
      <c r="I700" s="970">
        <v>2.9</v>
      </c>
      <c r="J700" s="930">
        <f t="shared" si="145"/>
        <v>0</v>
      </c>
      <c r="K700" s="931">
        <f t="shared" si="146"/>
        <v>0</v>
      </c>
      <c r="L700" s="971"/>
      <c r="M700" s="954"/>
      <c r="N700" s="954"/>
      <c r="O700" s="954"/>
      <c r="P700" s="954"/>
      <c r="Q700" s="954"/>
      <c r="R700" s="954"/>
      <c r="S700" s="954"/>
      <c r="T700" s="954"/>
      <c r="U700" s="954"/>
    </row>
    <row r="701" spans="1:21" s="933" customFormat="1" ht="24" customHeight="1">
      <c r="A701" s="1026"/>
      <c r="B701" s="976" t="s">
        <v>880</v>
      </c>
      <c r="C701" s="976"/>
      <c r="D701" s="976"/>
      <c r="E701" s="978">
        <f>(SUM(E693:E700)/1000)*30</f>
        <v>1248.4784999999999</v>
      </c>
      <c r="F701" s="974" t="s">
        <v>870</v>
      </c>
      <c r="G701" s="969">
        <f t="shared" si="148"/>
        <v>29.92</v>
      </c>
      <c r="H701" s="930">
        <f t="shared" si="144"/>
        <v>37354.480000000003</v>
      </c>
      <c r="I701" s="970"/>
      <c r="J701" s="930">
        <f t="shared" si="145"/>
        <v>0</v>
      </c>
      <c r="K701" s="931">
        <f t="shared" si="146"/>
        <v>37354.480000000003</v>
      </c>
      <c r="L701" s="971"/>
      <c r="M701" s="954"/>
      <c r="N701" s="954"/>
      <c r="O701" s="954"/>
      <c r="P701" s="954"/>
      <c r="Q701" s="954"/>
      <c r="R701" s="954"/>
      <c r="S701" s="954"/>
      <c r="T701" s="954"/>
      <c r="U701" s="954"/>
    </row>
    <row r="702" spans="1:21" s="933" customFormat="1" ht="24" customHeight="1">
      <c r="A702" s="1026"/>
      <c r="B702" s="976" t="s">
        <v>881</v>
      </c>
      <c r="C702" s="976"/>
      <c r="D702" s="976"/>
      <c r="E702" s="978"/>
      <c r="F702" s="974"/>
      <c r="G702" s="969"/>
      <c r="H702" s="930"/>
      <c r="I702" s="970"/>
      <c r="J702" s="930"/>
      <c r="K702" s="931"/>
      <c r="L702" s="971"/>
      <c r="M702" s="954"/>
      <c r="N702" s="954"/>
      <c r="O702" s="954"/>
      <c r="P702" s="954"/>
      <c r="Q702" s="954"/>
      <c r="R702" s="954"/>
      <c r="S702" s="954"/>
      <c r="T702" s="954"/>
      <c r="U702" s="954"/>
    </row>
    <row r="703" spans="1:21" s="933" customFormat="1" ht="24" customHeight="1">
      <c r="A703" s="1026"/>
      <c r="B703" s="976"/>
      <c r="C703" s="976"/>
      <c r="D703" s="976"/>
      <c r="E703" s="978"/>
      <c r="F703" s="974"/>
      <c r="G703" s="969"/>
      <c r="H703" s="930"/>
      <c r="I703" s="970"/>
      <c r="J703" s="930"/>
      <c r="K703" s="931"/>
      <c r="L703" s="971"/>
      <c r="M703" s="954"/>
      <c r="N703" s="954"/>
      <c r="O703" s="954"/>
      <c r="P703" s="954"/>
      <c r="Q703" s="954"/>
      <c r="R703" s="954"/>
      <c r="S703" s="954"/>
      <c r="T703" s="954"/>
      <c r="U703" s="954"/>
    </row>
    <row r="704" spans="1:21" s="933" customFormat="1" ht="24" customHeight="1">
      <c r="A704" s="1026"/>
      <c r="B704" s="976"/>
      <c r="C704" s="976"/>
      <c r="D704" s="976"/>
      <c r="E704" s="978"/>
      <c r="F704" s="974"/>
      <c r="G704" s="969"/>
      <c r="H704" s="930"/>
      <c r="I704" s="970"/>
      <c r="J704" s="930"/>
      <c r="K704" s="931"/>
      <c r="L704" s="971"/>
      <c r="M704" s="954"/>
      <c r="N704" s="954"/>
      <c r="O704" s="954"/>
      <c r="P704" s="954"/>
      <c r="Q704" s="954"/>
      <c r="R704" s="954"/>
      <c r="S704" s="954"/>
      <c r="T704" s="954"/>
      <c r="U704" s="954"/>
    </row>
    <row r="705" spans="1:21" s="933" customFormat="1" ht="24" customHeight="1">
      <c r="A705" s="1026"/>
      <c r="B705" s="976"/>
      <c r="C705" s="976"/>
      <c r="D705" s="976"/>
      <c r="E705" s="978"/>
      <c r="F705" s="974"/>
      <c r="G705" s="969"/>
      <c r="H705" s="930"/>
      <c r="I705" s="970"/>
      <c r="J705" s="930"/>
      <c r="K705" s="931"/>
      <c r="L705" s="971"/>
      <c r="M705" s="954"/>
      <c r="N705" s="954"/>
      <c r="O705" s="954"/>
      <c r="P705" s="954"/>
      <c r="Q705" s="954"/>
      <c r="R705" s="954"/>
      <c r="S705" s="954"/>
      <c r="T705" s="954"/>
      <c r="U705" s="954"/>
    </row>
    <row r="706" spans="1:21" s="933" customFormat="1" ht="24" customHeight="1">
      <c r="A706" s="1026"/>
      <c r="B706" s="976"/>
      <c r="C706" s="976"/>
      <c r="D706" s="976"/>
      <c r="E706" s="978"/>
      <c r="F706" s="974"/>
      <c r="G706" s="969"/>
      <c r="H706" s="930"/>
      <c r="I706" s="970"/>
      <c r="J706" s="930"/>
      <c r="K706" s="931"/>
      <c r="L706" s="971"/>
      <c r="M706" s="954"/>
      <c r="N706" s="954"/>
      <c r="O706" s="954"/>
      <c r="P706" s="954"/>
      <c r="Q706" s="954"/>
      <c r="R706" s="954"/>
      <c r="S706" s="954"/>
      <c r="T706" s="954"/>
      <c r="U706" s="954"/>
    </row>
    <row r="707" spans="1:21" s="933" customFormat="1" ht="24" customHeight="1">
      <c r="A707" s="1026"/>
      <c r="B707" s="976"/>
      <c r="C707" s="976"/>
      <c r="D707" s="976"/>
      <c r="E707" s="978"/>
      <c r="F707" s="974"/>
      <c r="G707" s="969"/>
      <c r="H707" s="930"/>
      <c r="I707" s="970"/>
      <c r="J707" s="930"/>
      <c r="K707" s="931"/>
      <c r="L707" s="971"/>
      <c r="M707" s="954"/>
      <c r="N707" s="954"/>
      <c r="O707" s="954"/>
      <c r="P707" s="954"/>
      <c r="Q707" s="954"/>
      <c r="R707" s="954"/>
      <c r="S707" s="954"/>
      <c r="T707" s="954"/>
      <c r="U707" s="954"/>
    </row>
    <row r="708" spans="1:21" s="933" customFormat="1" ht="24" customHeight="1">
      <c r="A708" s="1026"/>
      <c r="B708" s="976"/>
      <c r="C708" s="976"/>
      <c r="D708" s="976"/>
      <c r="E708" s="978"/>
      <c r="F708" s="974"/>
      <c r="G708" s="969"/>
      <c r="H708" s="930"/>
      <c r="I708" s="970"/>
      <c r="J708" s="930"/>
      <c r="K708" s="931"/>
      <c r="L708" s="971"/>
      <c r="M708" s="954"/>
      <c r="N708" s="954"/>
      <c r="O708" s="954"/>
      <c r="P708" s="954"/>
      <c r="Q708" s="954"/>
      <c r="R708" s="954"/>
      <c r="S708" s="954"/>
      <c r="T708" s="954"/>
      <c r="U708" s="954"/>
    </row>
    <row r="709" spans="1:21" s="933" customFormat="1" ht="24" customHeight="1">
      <c r="A709" s="1026"/>
      <c r="B709" s="976"/>
      <c r="C709" s="976"/>
      <c r="D709" s="976"/>
      <c r="E709" s="978"/>
      <c r="F709" s="974"/>
      <c r="G709" s="969"/>
      <c r="H709" s="930"/>
      <c r="I709" s="970"/>
      <c r="J709" s="930"/>
      <c r="K709" s="931"/>
      <c r="L709" s="971"/>
      <c r="M709" s="954"/>
      <c r="N709" s="954"/>
      <c r="O709" s="954"/>
      <c r="P709" s="954"/>
      <c r="Q709" s="954"/>
      <c r="R709" s="954"/>
      <c r="S709" s="954"/>
      <c r="T709" s="954"/>
      <c r="U709" s="954"/>
    </row>
    <row r="710" spans="1:21" s="933" customFormat="1" ht="24" customHeight="1">
      <c r="A710" s="1026"/>
      <c r="B710" s="976"/>
      <c r="C710" s="976"/>
      <c r="D710" s="976"/>
      <c r="E710" s="978"/>
      <c r="F710" s="974"/>
      <c r="G710" s="969"/>
      <c r="H710" s="930"/>
      <c r="I710" s="970"/>
      <c r="J710" s="930"/>
      <c r="K710" s="931"/>
      <c r="L710" s="971"/>
      <c r="M710" s="954"/>
      <c r="N710" s="954"/>
      <c r="O710" s="954"/>
      <c r="P710" s="954"/>
      <c r="Q710" s="954"/>
      <c r="R710" s="954"/>
      <c r="S710" s="954"/>
      <c r="T710" s="954"/>
      <c r="U710" s="954"/>
    </row>
    <row r="711" spans="1:21" s="933" customFormat="1" ht="24" customHeight="1">
      <c r="A711" s="1026" t="s">
        <v>934</v>
      </c>
      <c r="B711" s="1029" t="s">
        <v>935</v>
      </c>
      <c r="C711" s="976"/>
      <c r="D711" s="976"/>
      <c r="E711" s="978"/>
      <c r="F711" s="974"/>
      <c r="G711" s="969"/>
      <c r="H711" s="930"/>
      <c r="I711" s="970"/>
      <c r="J711" s="930"/>
      <c r="K711" s="931"/>
      <c r="L711" s="971"/>
      <c r="M711" s="954"/>
      <c r="N711" s="954"/>
      <c r="O711" s="954"/>
      <c r="P711" s="954"/>
      <c r="Q711" s="954"/>
      <c r="R711" s="954"/>
      <c r="S711" s="954"/>
      <c r="T711" s="954"/>
      <c r="U711" s="954"/>
    </row>
    <row r="712" spans="1:21" s="933" customFormat="1" ht="24" customHeight="1">
      <c r="A712" s="1026"/>
      <c r="B712" s="976" t="s">
        <v>864</v>
      </c>
      <c r="C712" s="977"/>
      <c r="D712" s="977"/>
      <c r="E712" s="978">
        <v>17.1828</v>
      </c>
      <c r="F712" s="974" t="s">
        <v>865</v>
      </c>
      <c r="G712" s="969">
        <v>2516</v>
      </c>
      <c r="H712" s="930">
        <f t="shared" ref="H712:H726" si="149">ROUND(E712*G712,2)</f>
        <v>43231.92</v>
      </c>
      <c r="I712" s="970">
        <v>485</v>
      </c>
      <c r="J712" s="930">
        <f t="shared" ref="J712:J726" si="150">ROUND(E712*I712,2)</f>
        <v>8333.66</v>
      </c>
      <c r="K712" s="931">
        <f t="shared" ref="K712:K726" si="151">H712+J712</f>
        <v>51565.58</v>
      </c>
      <c r="L712" s="971"/>
      <c r="M712" s="954"/>
      <c r="N712" s="954"/>
      <c r="O712" s="954"/>
      <c r="P712" s="954"/>
      <c r="Q712" s="954"/>
      <c r="R712" s="954"/>
      <c r="S712" s="954"/>
      <c r="T712" s="954"/>
      <c r="U712" s="954"/>
    </row>
    <row r="713" spans="1:21" s="933" customFormat="1" ht="24" customHeight="1">
      <c r="A713" s="1026"/>
      <c r="B713" s="979" t="s">
        <v>866</v>
      </c>
      <c r="C713" s="976"/>
      <c r="D713" s="976"/>
      <c r="E713" s="978"/>
      <c r="F713" s="974"/>
      <c r="G713" s="969"/>
      <c r="H713" s="930"/>
      <c r="I713" s="970"/>
      <c r="J713" s="930"/>
      <c r="K713" s="931"/>
      <c r="L713" s="971"/>
      <c r="M713" s="954"/>
      <c r="N713" s="954"/>
      <c r="O713" s="954"/>
      <c r="P713" s="954"/>
      <c r="Q713" s="954"/>
      <c r="R713" s="954"/>
      <c r="S713" s="954"/>
      <c r="T713" s="954"/>
      <c r="U713" s="954"/>
    </row>
    <row r="714" spans="1:21" s="933" customFormat="1" ht="24" customHeight="1">
      <c r="A714" s="1026"/>
      <c r="B714" s="979"/>
      <c r="C714" s="976" t="s">
        <v>867</v>
      </c>
      <c r="D714" s="976"/>
      <c r="E714" s="978">
        <f>E715/2</f>
        <v>58.164000000000001</v>
      </c>
      <c r="F714" s="974" t="s">
        <v>34</v>
      </c>
      <c r="G714" s="969">
        <v>661.62</v>
      </c>
      <c r="H714" s="930">
        <f t="shared" si="149"/>
        <v>38482.47</v>
      </c>
      <c r="I714" s="970"/>
      <c r="J714" s="930">
        <f t="shared" si="150"/>
        <v>0</v>
      </c>
      <c r="K714" s="931">
        <f t="shared" si="151"/>
        <v>38482.47</v>
      </c>
      <c r="L714" s="971"/>
      <c r="M714" s="954"/>
      <c r="N714" s="954"/>
      <c r="O714" s="954"/>
      <c r="P714" s="954"/>
      <c r="Q714" s="954"/>
      <c r="R714" s="954"/>
      <c r="S714" s="954"/>
      <c r="T714" s="954"/>
      <c r="U714" s="954"/>
    </row>
    <row r="715" spans="1:21" s="933" customFormat="1" ht="24" customHeight="1">
      <c r="A715" s="1026"/>
      <c r="B715" s="979"/>
      <c r="C715" s="976" t="s">
        <v>868</v>
      </c>
      <c r="D715" s="976"/>
      <c r="E715" s="978">
        <v>116.328</v>
      </c>
      <c r="F715" s="974" t="s">
        <v>34</v>
      </c>
      <c r="G715" s="969"/>
      <c r="H715" s="930">
        <f t="shared" si="149"/>
        <v>0</v>
      </c>
      <c r="I715" s="970">
        <v>154</v>
      </c>
      <c r="J715" s="930">
        <f t="shared" si="150"/>
        <v>17914.509999999998</v>
      </c>
      <c r="K715" s="931">
        <f t="shared" si="151"/>
        <v>17914.509999999998</v>
      </c>
      <c r="L715" s="971"/>
      <c r="M715" s="954"/>
      <c r="N715" s="954"/>
      <c r="O715" s="954"/>
      <c r="P715" s="954"/>
      <c r="Q715" s="954"/>
      <c r="R715" s="954"/>
      <c r="S715" s="954"/>
      <c r="T715" s="954"/>
      <c r="U715" s="954"/>
    </row>
    <row r="716" spans="1:21" s="933" customFormat="1" ht="24" customHeight="1">
      <c r="A716" s="1026"/>
      <c r="B716" s="976" t="s">
        <v>869</v>
      </c>
      <c r="C716" s="976"/>
      <c r="D716" s="976"/>
      <c r="E716" s="978">
        <f>(E715*0.25)</f>
        <v>29.082000000000001</v>
      </c>
      <c r="F716" s="974" t="s">
        <v>870</v>
      </c>
      <c r="G716" s="969">
        <f t="shared" ref="G716" si="152">VLOOKUP(B716,$O$43:$P$53,2,FALSE)</f>
        <v>29.94</v>
      </c>
      <c r="H716" s="930">
        <f t="shared" si="149"/>
        <v>870.72</v>
      </c>
      <c r="I716" s="970"/>
      <c r="J716" s="930">
        <f t="shared" si="150"/>
        <v>0</v>
      </c>
      <c r="K716" s="931">
        <f t="shared" si="151"/>
        <v>870.72</v>
      </c>
      <c r="L716" s="971"/>
      <c r="M716" s="954"/>
      <c r="N716" s="954"/>
      <c r="O716" s="954"/>
      <c r="P716" s="954"/>
      <c r="Q716" s="954"/>
      <c r="R716" s="954"/>
      <c r="S716" s="954"/>
      <c r="T716" s="954"/>
      <c r="U716" s="954"/>
    </row>
    <row r="717" spans="1:21" s="933" customFormat="1" ht="24" customHeight="1">
      <c r="A717" s="1026"/>
      <c r="B717" s="976" t="s">
        <v>871</v>
      </c>
      <c r="C717" s="976"/>
      <c r="D717" s="976"/>
      <c r="E717" s="978"/>
      <c r="F717" s="982"/>
      <c r="G717" s="983"/>
      <c r="H717" s="930"/>
      <c r="I717" s="970"/>
      <c r="J717" s="930"/>
      <c r="K717" s="931"/>
      <c r="L717" s="971"/>
      <c r="M717" s="954"/>
      <c r="N717" s="954"/>
      <c r="O717" s="954"/>
      <c r="P717" s="954"/>
      <c r="Q717" s="954"/>
      <c r="R717" s="954"/>
      <c r="S717" s="954"/>
      <c r="T717" s="954"/>
      <c r="U717" s="954"/>
    </row>
    <row r="718" spans="1:21" s="933" customFormat="1" ht="24" customHeight="1">
      <c r="A718" s="1026"/>
      <c r="B718" s="976" t="s">
        <v>872</v>
      </c>
      <c r="C718" s="976"/>
      <c r="D718" s="976"/>
      <c r="E718" s="978"/>
      <c r="F718" s="974" t="s">
        <v>870</v>
      </c>
      <c r="G718" s="969">
        <f t="shared" ref="G718:G726" si="153">VLOOKUP(B718,$O$43:$P$53,2,FALSE)</f>
        <v>25.73</v>
      </c>
      <c r="H718" s="930">
        <f t="shared" si="149"/>
        <v>0</v>
      </c>
      <c r="I718" s="984">
        <v>4.0999999999999996</v>
      </c>
      <c r="J718" s="930">
        <f t="shared" si="150"/>
        <v>0</v>
      </c>
      <c r="K718" s="931">
        <f t="shared" si="151"/>
        <v>0</v>
      </c>
      <c r="L718" s="971"/>
      <c r="M718" s="954"/>
      <c r="N718" s="954"/>
      <c r="O718" s="954"/>
      <c r="P718" s="954"/>
      <c r="Q718" s="954"/>
      <c r="R718" s="954"/>
      <c r="S718" s="954"/>
      <c r="T718" s="954"/>
      <c r="U718" s="954"/>
    </row>
    <row r="719" spans="1:21" s="933" customFormat="1" ht="24" customHeight="1">
      <c r="A719" s="1026"/>
      <c r="B719" s="976" t="s">
        <v>873</v>
      </c>
      <c r="C719" s="976"/>
      <c r="D719" s="976"/>
      <c r="E719" s="978">
        <v>884.53</v>
      </c>
      <c r="F719" s="974" t="s">
        <v>870</v>
      </c>
      <c r="G719" s="969">
        <f t="shared" si="153"/>
        <v>24.97</v>
      </c>
      <c r="H719" s="930">
        <f t="shared" si="149"/>
        <v>22086.71</v>
      </c>
      <c r="I719" s="970">
        <v>4.0999999999999996</v>
      </c>
      <c r="J719" s="930">
        <f t="shared" si="150"/>
        <v>3626.57</v>
      </c>
      <c r="K719" s="931">
        <f t="shared" si="151"/>
        <v>25713.279999999999</v>
      </c>
      <c r="L719" s="971"/>
      <c r="M719" s="954"/>
      <c r="N719" s="954"/>
      <c r="O719" s="954"/>
      <c r="P719" s="954"/>
      <c r="Q719" s="954"/>
      <c r="R719" s="954"/>
      <c r="S719" s="954"/>
      <c r="T719" s="954"/>
      <c r="U719" s="954"/>
    </row>
    <row r="720" spans="1:21" s="933" customFormat="1" ht="24" customHeight="1">
      <c r="A720" s="1026"/>
      <c r="B720" s="976" t="s">
        <v>874</v>
      </c>
      <c r="C720" s="976"/>
      <c r="D720" s="976"/>
      <c r="E720" s="978">
        <v>1011.72</v>
      </c>
      <c r="F720" s="974" t="s">
        <v>870</v>
      </c>
      <c r="G720" s="969">
        <f t="shared" si="153"/>
        <v>24.47</v>
      </c>
      <c r="H720" s="930">
        <f t="shared" si="149"/>
        <v>24756.79</v>
      </c>
      <c r="I720" s="970">
        <v>3.3</v>
      </c>
      <c r="J720" s="930">
        <f t="shared" si="150"/>
        <v>3338.68</v>
      </c>
      <c r="K720" s="931">
        <f t="shared" si="151"/>
        <v>28095.47</v>
      </c>
      <c r="L720" s="971"/>
      <c r="M720" s="954"/>
      <c r="N720" s="954"/>
      <c r="O720" s="954"/>
      <c r="P720" s="954"/>
      <c r="Q720" s="954"/>
      <c r="R720" s="954"/>
      <c r="S720" s="954"/>
      <c r="T720" s="954"/>
      <c r="U720" s="954"/>
    </row>
    <row r="721" spans="1:21" s="933" customFormat="1" ht="24" customHeight="1">
      <c r="A721" s="1026"/>
      <c r="B721" s="976" t="s">
        <v>875</v>
      </c>
      <c r="C721" s="976"/>
      <c r="D721" s="976"/>
      <c r="E721" s="978">
        <v>584.02</v>
      </c>
      <c r="F721" s="982" t="s">
        <v>870</v>
      </c>
      <c r="G721" s="969">
        <f t="shared" si="153"/>
        <v>24.27</v>
      </c>
      <c r="H721" s="930">
        <f t="shared" si="149"/>
        <v>14174.17</v>
      </c>
      <c r="I721" s="970">
        <v>3.3</v>
      </c>
      <c r="J721" s="930">
        <f t="shared" si="150"/>
        <v>1927.27</v>
      </c>
      <c r="K721" s="931">
        <f t="shared" si="151"/>
        <v>16101.44</v>
      </c>
      <c r="L721" s="971"/>
      <c r="M721" s="954"/>
      <c r="N721" s="954"/>
      <c r="O721" s="954"/>
      <c r="P721" s="954"/>
      <c r="Q721" s="954"/>
      <c r="R721" s="954"/>
      <c r="S721" s="954"/>
      <c r="T721" s="954"/>
      <c r="U721" s="954"/>
    </row>
    <row r="722" spans="1:21" s="933" customFormat="1" ht="24" customHeight="1">
      <c r="A722" s="1026"/>
      <c r="B722" s="976" t="s">
        <v>876</v>
      </c>
      <c r="C722" s="976"/>
      <c r="D722" s="976"/>
      <c r="E722" s="978"/>
      <c r="F722" s="974" t="s">
        <v>870</v>
      </c>
      <c r="G722" s="969">
        <f t="shared" si="153"/>
        <v>24.27</v>
      </c>
      <c r="H722" s="930">
        <f t="shared" si="149"/>
        <v>0</v>
      </c>
      <c r="I722" s="970">
        <v>2.9</v>
      </c>
      <c r="J722" s="930">
        <f t="shared" si="150"/>
        <v>0</v>
      </c>
      <c r="K722" s="931">
        <f t="shared" si="151"/>
        <v>0</v>
      </c>
      <c r="L722" s="971"/>
      <c r="M722" s="954"/>
      <c r="N722" s="954"/>
      <c r="O722" s="954"/>
      <c r="P722" s="954"/>
      <c r="Q722" s="954"/>
      <c r="R722" s="954"/>
      <c r="S722" s="954"/>
      <c r="T722" s="954"/>
      <c r="U722" s="954"/>
    </row>
    <row r="723" spans="1:21" s="933" customFormat="1" ht="24" customHeight="1">
      <c r="A723" s="1026"/>
      <c r="B723" s="976" t="s">
        <v>877</v>
      </c>
      <c r="C723" s="976"/>
      <c r="D723" s="976"/>
      <c r="E723" s="978"/>
      <c r="F723" s="974" t="s">
        <v>870</v>
      </c>
      <c r="G723" s="969">
        <f t="shared" si="153"/>
        <v>24.27</v>
      </c>
      <c r="H723" s="930">
        <f t="shared" si="149"/>
        <v>0</v>
      </c>
      <c r="I723" s="970">
        <v>2.9</v>
      </c>
      <c r="J723" s="930">
        <f t="shared" si="150"/>
        <v>0</v>
      </c>
      <c r="K723" s="931">
        <f t="shared" si="151"/>
        <v>0</v>
      </c>
      <c r="L723" s="971"/>
      <c r="M723" s="954"/>
      <c r="N723" s="954"/>
      <c r="O723" s="954"/>
      <c r="P723" s="954"/>
      <c r="Q723" s="954"/>
      <c r="R723" s="954"/>
      <c r="S723" s="954"/>
      <c r="T723" s="954"/>
      <c r="U723" s="954"/>
    </row>
    <row r="724" spans="1:21" s="933" customFormat="1" ht="24" customHeight="1">
      <c r="A724" s="1026"/>
      <c r="B724" s="976" t="s">
        <v>878</v>
      </c>
      <c r="C724" s="976"/>
      <c r="D724" s="976"/>
      <c r="E724" s="978"/>
      <c r="F724" s="974" t="s">
        <v>870</v>
      </c>
      <c r="G724" s="969">
        <f t="shared" si="153"/>
        <v>24.27</v>
      </c>
      <c r="H724" s="930">
        <f t="shared" si="149"/>
        <v>0</v>
      </c>
      <c r="I724" s="970">
        <v>2.9</v>
      </c>
      <c r="J724" s="930">
        <f t="shared" si="150"/>
        <v>0</v>
      </c>
      <c r="K724" s="931">
        <f t="shared" si="151"/>
        <v>0</v>
      </c>
      <c r="L724" s="971"/>
      <c r="M724" s="954"/>
      <c r="N724" s="954"/>
      <c r="O724" s="954"/>
      <c r="P724" s="954"/>
      <c r="Q724" s="954"/>
      <c r="R724" s="954"/>
      <c r="S724" s="954"/>
      <c r="T724" s="954"/>
      <c r="U724" s="954"/>
    </row>
    <row r="725" spans="1:21" s="933" customFormat="1" ht="24" customHeight="1">
      <c r="A725" s="1026"/>
      <c r="B725" s="976" t="s">
        <v>879</v>
      </c>
      <c r="C725" s="976"/>
      <c r="D725" s="976"/>
      <c r="E725" s="978"/>
      <c r="F725" s="974" t="s">
        <v>870</v>
      </c>
      <c r="G725" s="969">
        <f t="shared" si="153"/>
        <v>23.8</v>
      </c>
      <c r="H725" s="930">
        <f t="shared" si="149"/>
        <v>0</v>
      </c>
      <c r="I725" s="970">
        <v>2.9</v>
      </c>
      <c r="J725" s="930">
        <f t="shared" si="150"/>
        <v>0</v>
      </c>
      <c r="K725" s="931">
        <f t="shared" si="151"/>
        <v>0</v>
      </c>
      <c r="L725" s="971"/>
      <c r="M725" s="954"/>
      <c r="N725" s="954"/>
      <c r="O725" s="954"/>
      <c r="P725" s="954"/>
      <c r="Q725" s="954"/>
      <c r="R725" s="954"/>
      <c r="S725" s="954"/>
      <c r="T725" s="954"/>
      <c r="U725" s="954"/>
    </row>
    <row r="726" spans="1:21" s="933" customFormat="1" ht="24" customHeight="1">
      <c r="A726" s="1026"/>
      <c r="B726" s="976" t="s">
        <v>880</v>
      </c>
      <c r="C726" s="976"/>
      <c r="D726" s="976"/>
      <c r="E726" s="978">
        <f>(SUM(E718:E725)/1000)*30</f>
        <v>74.408100000000005</v>
      </c>
      <c r="F726" s="974" t="s">
        <v>870</v>
      </c>
      <c r="G726" s="969">
        <f t="shared" si="153"/>
        <v>29.92</v>
      </c>
      <c r="H726" s="930">
        <f t="shared" si="149"/>
        <v>2226.29</v>
      </c>
      <c r="I726" s="970"/>
      <c r="J726" s="930">
        <f t="shared" si="150"/>
        <v>0</v>
      </c>
      <c r="K726" s="931">
        <f t="shared" si="151"/>
        <v>2226.29</v>
      </c>
      <c r="L726" s="971"/>
      <c r="M726" s="954"/>
      <c r="N726" s="954"/>
      <c r="O726" s="954"/>
      <c r="P726" s="954"/>
      <c r="Q726" s="954"/>
      <c r="R726" s="954"/>
      <c r="S726" s="954"/>
      <c r="T726" s="954"/>
      <c r="U726" s="954"/>
    </row>
    <row r="727" spans="1:21" s="933" customFormat="1" ht="24" customHeight="1">
      <c r="A727" s="1026"/>
      <c r="B727" s="976" t="s">
        <v>881</v>
      </c>
      <c r="C727" s="976"/>
      <c r="D727" s="976"/>
      <c r="E727" s="978"/>
      <c r="F727" s="974"/>
      <c r="G727" s="969"/>
      <c r="H727" s="930"/>
      <c r="I727" s="970"/>
      <c r="J727" s="930"/>
      <c r="K727" s="931"/>
      <c r="L727" s="971"/>
      <c r="M727" s="954"/>
      <c r="N727" s="954"/>
      <c r="O727" s="954"/>
      <c r="P727" s="954"/>
      <c r="Q727" s="954"/>
      <c r="R727" s="954"/>
      <c r="S727" s="954"/>
      <c r="T727" s="954"/>
      <c r="U727" s="954"/>
    </row>
    <row r="728" spans="1:21" s="933" customFormat="1" ht="24" customHeight="1">
      <c r="A728" s="1026"/>
      <c r="B728" s="976"/>
      <c r="C728" s="976"/>
      <c r="D728" s="976"/>
      <c r="E728" s="978"/>
      <c r="F728" s="974"/>
      <c r="G728" s="969"/>
      <c r="H728" s="930"/>
      <c r="I728" s="970"/>
      <c r="J728" s="930"/>
      <c r="K728" s="931"/>
      <c r="L728" s="971"/>
      <c r="M728" s="954"/>
      <c r="N728" s="954"/>
      <c r="O728" s="954"/>
      <c r="P728" s="954"/>
      <c r="Q728" s="954"/>
      <c r="R728" s="954"/>
      <c r="S728" s="954"/>
      <c r="T728" s="954"/>
      <c r="U728" s="954"/>
    </row>
    <row r="729" spans="1:21" s="933" customFormat="1" ht="24" customHeight="1">
      <c r="A729" s="1026"/>
      <c r="B729" s="976"/>
      <c r="C729" s="976"/>
      <c r="D729" s="976"/>
      <c r="E729" s="978"/>
      <c r="F729" s="974"/>
      <c r="G729" s="969"/>
      <c r="H729" s="930"/>
      <c r="I729" s="970"/>
      <c r="J729" s="930"/>
      <c r="K729" s="931"/>
      <c r="L729" s="971"/>
      <c r="M729" s="954"/>
      <c r="N729" s="954"/>
      <c r="O729" s="954"/>
      <c r="P729" s="954"/>
      <c r="Q729" s="954"/>
      <c r="R729" s="954"/>
      <c r="S729" s="954"/>
      <c r="T729" s="954"/>
      <c r="U729" s="954"/>
    </row>
    <row r="730" spans="1:21" s="933" customFormat="1" ht="24" customHeight="1">
      <c r="A730" s="1026"/>
      <c r="B730" s="976"/>
      <c r="C730" s="976"/>
      <c r="D730" s="976"/>
      <c r="E730" s="978"/>
      <c r="F730" s="974"/>
      <c r="G730" s="969"/>
      <c r="H730" s="930"/>
      <c r="I730" s="970"/>
      <c r="J730" s="930"/>
      <c r="K730" s="931"/>
      <c r="L730" s="971"/>
      <c r="M730" s="954"/>
      <c r="N730" s="954"/>
      <c r="O730" s="954"/>
      <c r="P730" s="954"/>
      <c r="Q730" s="954"/>
      <c r="R730" s="954"/>
      <c r="S730" s="954"/>
      <c r="T730" s="954"/>
      <c r="U730" s="954"/>
    </row>
    <row r="731" spans="1:21" s="933" customFormat="1" ht="24" customHeight="1">
      <c r="A731" s="1026"/>
      <c r="B731" s="976"/>
      <c r="C731" s="976"/>
      <c r="D731" s="976"/>
      <c r="E731" s="978"/>
      <c r="F731" s="974"/>
      <c r="G731" s="969"/>
      <c r="H731" s="930"/>
      <c r="I731" s="970"/>
      <c r="J731" s="930"/>
      <c r="K731" s="931"/>
      <c r="L731" s="971"/>
      <c r="M731" s="954"/>
      <c r="N731" s="954"/>
      <c r="O731" s="954"/>
      <c r="P731" s="954"/>
      <c r="Q731" s="954"/>
      <c r="R731" s="954"/>
      <c r="S731" s="954"/>
      <c r="T731" s="954"/>
      <c r="U731" s="954"/>
    </row>
    <row r="732" spans="1:21" s="933" customFormat="1" ht="24" customHeight="1">
      <c r="A732" s="1026"/>
      <c r="B732" s="976"/>
      <c r="C732" s="976"/>
      <c r="D732" s="976"/>
      <c r="E732" s="978"/>
      <c r="F732" s="974"/>
      <c r="G732" s="969"/>
      <c r="H732" s="930"/>
      <c r="I732" s="970"/>
      <c r="J732" s="930"/>
      <c r="K732" s="931"/>
      <c r="L732" s="971"/>
      <c r="M732" s="954"/>
      <c r="N732" s="954"/>
      <c r="O732" s="954"/>
      <c r="P732" s="954"/>
      <c r="Q732" s="954"/>
      <c r="R732" s="954"/>
      <c r="S732" s="954"/>
      <c r="T732" s="954"/>
      <c r="U732" s="954"/>
    </row>
    <row r="733" spans="1:21" s="933" customFormat="1" ht="24" customHeight="1">
      <c r="A733" s="1026"/>
      <c r="B733" s="976"/>
      <c r="C733" s="976"/>
      <c r="D733" s="976"/>
      <c r="E733" s="978"/>
      <c r="F733" s="974"/>
      <c r="G733" s="969"/>
      <c r="H733" s="930"/>
      <c r="I733" s="970"/>
      <c r="J733" s="930"/>
      <c r="K733" s="931"/>
      <c r="L733" s="971"/>
      <c r="M733" s="954"/>
      <c r="N733" s="954"/>
      <c r="O733" s="954"/>
      <c r="P733" s="954"/>
      <c r="Q733" s="954"/>
      <c r="R733" s="954"/>
      <c r="S733" s="954"/>
      <c r="T733" s="954"/>
      <c r="U733" s="954"/>
    </row>
    <row r="734" spans="1:21" s="933" customFormat="1" ht="24" customHeight="1">
      <c r="A734" s="956"/>
      <c r="B734" s="987"/>
      <c r="C734" s="987"/>
      <c r="D734" s="987"/>
      <c r="E734" s="978"/>
      <c r="F734" s="989"/>
      <c r="G734" s="983"/>
      <c r="H734" s="990"/>
      <c r="I734" s="984"/>
      <c r="J734" s="990"/>
      <c r="K734" s="991"/>
      <c r="L734" s="992"/>
      <c r="M734" s="954"/>
      <c r="N734" s="954"/>
      <c r="O734" s="954"/>
      <c r="P734" s="954"/>
      <c r="Q734" s="954"/>
      <c r="R734" s="954"/>
      <c r="S734" s="954"/>
      <c r="T734" s="954"/>
      <c r="U734" s="954"/>
    </row>
    <row r="735" spans="1:21" s="933" customFormat="1" ht="24" customHeight="1">
      <c r="A735" s="1014"/>
      <c r="B735" s="2226" t="str">
        <f>"รวมราคารายการที่ "&amp;A611</f>
        <v>รวมราคารายการที่ 1.6</v>
      </c>
      <c r="C735" s="2226"/>
      <c r="D735" s="2226"/>
      <c r="E735" s="1015"/>
      <c r="F735" s="1016"/>
      <c r="G735" s="1017"/>
      <c r="H735" s="1018">
        <f>ROUND(SUBTOTAL(9,H614:H734),2)</f>
        <v>15602250.460000001</v>
      </c>
      <c r="I735" s="1019"/>
      <c r="J735" s="1018">
        <f>ROUND(SUBTOTAL(9,J614:J734),2)</f>
        <v>3101611.39</v>
      </c>
      <c r="K735" s="1018">
        <f>ROUND(SUBTOTAL(9,K614:K734),2)</f>
        <v>18703861.850000001</v>
      </c>
      <c r="L735" s="1018"/>
      <c r="M735" s="954"/>
      <c r="N735" s="954"/>
      <c r="O735" s="954"/>
      <c r="P735" s="954"/>
      <c r="Q735" s="954"/>
      <c r="R735" s="954"/>
      <c r="S735" s="954"/>
      <c r="T735" s="954"/>
      <c r="U735" s="954"/>
    </row>
    <row r="736" spans="1:21" s="933" customFormat="1" ht="24" customHeight="1">
      <c r="A736" s="956">
        <v>1.7</v>
      </c>
      <c r="B736" s="957" t="s">
        <v>936</v>
      </c>
      <c r="C736" s="987"/>
      <c r="D736" s="987"/>
      <c r="E736" s="988"/>
      <c r="F736" s="989"/>
      <c r="G736" s="983"/>
      <c r="H736" s="990"/>
      <c r="I736" s="984"/>
      <c r="J736" s="990"/>
      <c r="K736" s="991"/>
      <c r="L736" s="992"/>
      <c r="M736" s="954"/>
      <c r="N736" s="954"/>
      <c r="O736" s="954"/>
      <c r="P736" s="954"/>
      <c r="Q736" s="954"/>
      <c r="R736" s="954"/>
      <c r="S736" s="954"/>
      <c r="T736" s="954"/>
      <c r="U736" s="954"/>
    </row>
    <row r="737" spans="1:21" s="933" customFormat="1" ht="24" customHeight="1">
      <c r="A737" s="1026"/>
      <c r="B737" s="976"/>
      <c r="C737" s="976"/>
      <c r="D737" s="976"/>
      <c r="E737" s="978"/>
      <c r="F737" s="974"/>
      <c r="G737" s="969"/>
      <c r="H737" s="930"/>
      <c r="I737" s="970"/>
      <c r="J737" s="930"/>
      <c r="K737" s="931"/>
      <c r="L737" s="971"/>
      <c r="M737" s="954"/>
      <c r="N737" s="954"/>
      <c r="O737" s="954"/>
      <c r="P737" s="954"/>
      <c r="Q737" s="954"/>
      <c r="R737" s="954"/>
      <c r="S737" s="954"/>
      <c r="T737" s="954"/>
      <c r="U737" s="954"/>
    </row>
    <row r="738" spans="1:21" s="933" customFormat="1" ht="24" customHeight="1">
      <c r="A738" s="1026" t="s">
        <v>937</v>
      </c>
      <c r="B738" s="1029" t="s">
        <v>938</v>
      </c>
      <c r="C738" s="976"/>
      <c r="D738" s="976"/>
      <c r="E738" s="978"/>
      <c r="F738" s="974"/>
      <c r="G738" s="969"/>
      <c r="H738" s="930"/>
      <c r="I738" s="970"/>
      <c r="J738" s="930"/>
      <c r="K738" s="931"/>
      <c r="L738" s="971"/>
      <c r="M738" s="954"/>
      <c r="N738" s="954"/>
      <c r="O738" s="954"/>
      <c r="P738" s="954"/>
      <c r="Q738" s="954"/>
      <c r="R738" s="954"/>
      <c r="S738" s="954"/>
      <c r="T738" s="954"/>
      <c r="U738" s="954"/>
    </row>
    <row r="739" spans="1:21" s="933" customFormat="1" ht="24" customHeight="1">
      <c r="A739" s="1026"/>
      <c r="B739" s="976" t="s">
        <v>864</v>
      </c>
      <c r="C739" s="977"/>
      <c r="D739" s="977"/>
      <c r="E739" s="978">
        <v>1375.21</v>
      </c>
      <c r="F739" s="974" t="s">
        <v>865</v>
      </c>
      <c r="G739" s="969">
        <v>2516</v>
      </c>
      <c r="H739" s="930">
        <f t="shared" ref="H739:H754" si="154">ROUND(E739*G739,2)</f>
        <v>3460028.36</v>
      </c>
      <c r="I739" s="970">
        <v>485</v>
      </c>
      <c r="J739" s="930">
        <f t="shared" ref="J739:J754" si="155">ROUND(E739*I739,2)</f>
        <v>666976.85</v>
      </c>
      <c r="K739" s="931">
        <f t="shared" ref="K739:K754" si="156">H739+J739</f>
        <v>4127005.21</v>
      </c>
      <c r="L739" s="971"/>
      <c r="M739" s="954"/>
      <c r="N739" s="954"/>
      <c r="O739" s="954"/>
      <c r="P739" s="954"/>
      <c r="Q739" s="954"/>
      <c r="R739" s="954"/>
      <c r="S739" s="954"/>
      <c r="T739" s="954"/>
      <c r="U739" s="954"/>
    </row>
    <row r="740" spans="1:21" s="933" customFormat="1" ht="24" customHeight="1">
      <c r="A740" s="1026"/>
      <c r="B740" s="979" t="s">
        <v>866</v>
      </c>
      <c r="C740" s="976"/>
      <c r="D740" s="976"/>
      <c r="E740" s="978"/>
      <c r="F740" s="974"/>
      <c r="G740" s="969"/>
      <c r="H740" s="930"/>
      <c r="I740" s="970"/>
      <c r="J740" s="930"/>
      <c r="K740" s="931"/>
      <c r="L740" s="971"/>
      <c r="M740" s="954"/>
      <c r="N740" s="954"/>
      <c r="O740" s="954"/>
      <c r="P740" s="954"/>
      <c r="Q740" s="954"/>
      <c r="R740" s="954"/>
      <c r="S740" s="954"/>
      <c r="T740" s="954"/>
      <c r="U740" s="954"/>
    </row>
    <row r="741" spans="1:21" s="933" customFormat="1" ht="24" customHeight="1">
      <c r="A741" s="1026"/>
      <c r="B741" s="979"/>
      <c r="C741" s="976" t="s">
        <v>867</v>
      </c>
      <c r="D741" s="976"/>
      <c r="E741" s="978">
        <f>E742/2</f>
        <v>3083.7350000000001</v>
      </c>
      <c r="F741" s="974" t="s">
        <v>34</v>
      </c>
      <c r="G741" s="969">
        <v>661.62</v>
      </c>
      <c r="H741" s="930">
        <f t="shared" si="154"/>
        <v>2040260.75</v>
      </c>
      <c r="I741" s="970"/>
      <c r="J741" s="930">
        <f t="shared" si="155"/>
        <v>0</v>
      </c>
      <c r="K741" s="931">
        <f t="shared" si="156"/>
        <v>2040260.75</v>
      </c>
      <c r="L741" s="971"/>
      <c r="M741" s="954"/>
      <c r="N741" s="954"/>
      <c r="O741" s="954"/>
      <c r="P741" s="954"/>
      <c r="Q741" s="954"/>
      <c r="R741" s="954"/>
      <c r="S741" s="954"/>
      <c r="T741" s="954"/>
      <c r="U741" s="954"/>
    </row>
    <row r="742" spans="1:21" s="933" customFormat="1" ht="24" customHeight="1">
      <c r="A742" s="1026"/>
      <c r="B742" s="979"/>
      <c r="C742" s="976" t="s">
        <v>868</v>
      </c>
      <c r="D742" s="976"/>
      <c r="E742" s="978">
        <v>6167.47</v>
      </c>
      <c r="F742" s="974" t="s">
        <v>34</v>
      </c>
      <c r="G742" s="969"/>
      <c r="H742" s="930">
        <f t="shared" si="154"/>
        <v>0</v>
      </c>
      <c r="I742" s="970">
        <v>154</v>
      </c>
      <c r="J742" s="930">
        <f t="shared" si="155"/>
        <v>949790.38</v>
      </c>
      <c r="K742" s="931">
        <f t="shared" si="156"/>
        <v>949790.38</v>
      </c>
      <c r="L742" s="971"/>
      <c r="M742" s="954"/>
      <c r="N742" s="954"/>
      <c r="O742" s="954"/>
      <c r="P742" s="954"/>
      <c r="Q742" s="954"/>
      <c r="R742" s="954"/>
      <c r="S742" s="954"/>
      <c r="T742" s="954"/>
      <c r="U742" s="954"/>
    </row>
    <row r="743" spans="1:21" s="933" customFormat="1" ht="24" customHeight="1">
      <c r="A743" s="1026"/>
      <c r="B743" s="976" t="s">
        <v>869</v>
      </c>
      <c r="C743" s="976"/>
      <c r="D743" s="976"/>
      <c r="E743" s="978">
        <f>(E742*0.25)</f>
        <v>1541.8675000000001</v>
      </c>
      <c r="F743" s="974" t="s">
        <v>870</v>
      </c>
      <c r="G743" s="969">
        <f t="shared" ref="G743" si="157">VLOOKUP(B743,$O$43:$P$53,2,FALSE)</f>
        <v>29.94</v>
      </c>
      <c r="H743" s="930">
        <f t="shared" si="154"/>
        <v>46163.51</v>
      </c>
      <c r="I743" s="970"/>
      <c r="J743" s="930">
        <f t="shared" si="155"/>
        <v>0</v>
      </c>
      <c r="K743" s="931">
        <f t="shared" si="156"/>
        <v>46163.51</v>
      </c>
      <c r="L743" s="971"/>
      <c r="M743" s="954"/>
      <c r="N743" s="954"/>
      <c r="O743" s="954"/>
      <c r="P743" s="954"/>
      <c r="Q743" s="954"/>
      <c r="R743" s="954"/>
      <c r="S743" s="954"/>
      <c r="T743" s="954"/>
      <c r="U743" s="954"/>
    </row>
    <row r="744" spans="1:21" s="933" customFormat="1" ht="24" customHeight="1">
      <c r="A744" s="1026"/>
      <c r="B744" s="976" t="s">
        <v>871</v>
      </c>
      <c r="C744" s="976"/>
      <c r="D744" s="976"/>
      <c r="E744" s="978"/>
      <c r="F744" s="982"/>
      <c r="G744" s="983"/>
      <c r="H744" s="930"/>
      <c r="I744" s="970"/>
      <c r="J744" s="930"/>
      <c r="K744" s="931"/>
      <c r="L744" s="971"/>
      <c r="M744" s="954"/>
      <c r="N744" s="954"/>
      <c r="O744" s="954"/>
      <c r="P744" s="954"/>
      <c r="Q744" s="954"/>
      <c r="R744" s="954"/>
      <c r="S744" s="954"/>
      <c r="T744" s="954"/>
      <c r="U744" s="954"/>
    </row>
    <row r="745" spans="1:21" s="933" customFormat="1" ht="24" customHeight="1">
      <c r="A745" s="1026"/>
      <c r="B745" s="976" t="s">
        <v>872</v>
      </c>
      <c r="C745" s="976"/>
      <c r="D745" s="976"/>
      <c r="E745" s="978"/>
      <c r="F745" s="974" t="s">
        <v>870</v>
      </c>
      <c r="G745" s="969">
        <f t="shared" ref="G745:G753" si="158">VLOOKUP(B745,$O$43:$P$53,2,FALSE)</f>
        <v>25.73</v>
      </c>
      <c r="H745" s="930">
        <f t="shared" si="154"/>
        <v>0</v>
      </c>
      <c r="I745" s="984">
        <v>4.0999999999999996</v>
      </c>
      <c r="J745" s="930">
        <f t="shared" si="155"/>
        <v>0</v>
      </c>
      <c r="K745" s="931">
        <f t="shared" si="156"/>
        <v>0</v>
      </c>
      <c r="L745" s="971"/>
      <c r="M745" s="954"/>
      <c r="N745" s="954"/>
      <c r="O745" s="954"/>
      <c r="P745" s="954"/>
      <c r="Q745" s="954"/>
      <c r="R745" s="954"/>
      <c r="S745" s="954"/>
      <c r="T745" s="954"/>
      <c r="U745" s="954"/>
    </row>
    <row r="746" spans="1:21" s="933" customFormat="1" ht="24" customHeight="1">
      <c r="A746" s="1026"/>
      <c r="B746" s="976" t="s">
        <v>873</v>
      </c>
      <c r="C746" s="976"/>
      <c r="D746" s="976"/>
      <c r="E746" s="978">
        <v>0</v>
      </c>
      <c r="F746" s="974" t="s">
        <v>870</v>
      </c>
      <c r="G746" s="969">
        <f t="shared" si="158"/>
        <v>24.97</v>
      </c>
      <c r="H746" s="930">
        <f t="shared" si="154"/>
        <v>0</v>
      </c>
      <c r="I746" s="970">
        <v>4.0999999999999996</v>
      </c>
      <c r="J746" s="930">
        <f t="shared" si="155"/>
        <v>0</v>
      </c>
      <c r="K746" s="931">
        <f t="shared" si="156"/>
        <v>0</v>
      </c>
      <c r="L746" s="971"/>
      <c r="M746" s="954"/>
      <c r="N746" s="954"/>
      <c r="O746" s="954"/>
      <c r="P746" s="954"/>
      <c r="Q746" s="954"/>
      <c r="R746" s="954"/>
      <c r="S746" s="954"/>
      <c r="T746" s="954"/>
      <c r="U746" s="954"/>
    </row>
    <row r="747" spans="1:21" s="933" customFormat="1" ht="24" customHeight="1">
      <c r="A747" s="1026"/>
      <c r="B747" s="976" t="s">
        <v>874</v>
      </c>
      <c r="C747" s="976"/>
      <c r="D747" s="976"/>
      <c r="E747" s="978">
        <v>37056.769999999997</v>
      </c>
      <c r="F747" s="974" t="s">
        <v>870</v>
      </c>
      <c r="G747" s="969">
        <f t="shared" si="158"/>
        <v>24.47</v>
      </c>
      <c r="H747" s="930">
        <f t="shared" si="154"/>
        <v>906779.16</v>
      </c>
      <c r="I747" s="970">
        <v>3.3</v>
      </c>
      <c r="J747" s="930">
        <f t="shared" si="155"/>
        <v>122287.34</v>
      </c>
      <c r="K747" s="931">
        <f t="shared" si="156"/>
        <v>1029066.5</v>
      </c>
      <c r="L747" s="971"/>
      <c r="M747" s="954"/>
      <c r="N747" s="954"/>
      <c r="O747" s="954"/>
      <c r="P747" s="954"/>
      <c r="Q747" s="954"/>
      <c r="R747" s="954"/>
      <c r="S747" s="954"/>
      <c r="T747" s="954"/>
      <c r="U747" s="954"/>
    </row>
    <row r="748" spans="1:21" s="933" customFormat="1" ht="24" customHeight="1">
      <c r="A748" s="1026"/>
      <c r="B748" s="976" t="s">
        <v>875</v>
      </c>
      <c r="C748" s="976"/>
      <c r="D748" s="976"/>
      <c r="E748" s="978">
        <v>29335.81</v>
      </c>
      <c r="F748" s="982" t="s">
        <v>870</v>
      </c>
      <c r="G748" s="969">
        <f t="shared" si="158"/>
        <v>24.27</v>
      </c>
      <c r="H748" s="930">
        <f t="shared" si="154"/>
        <v>711980.11</v>
      </c>
      <c r="I748" s="970">
        <v>3.3</v>
      </c>
      <c r="J748" s="930">
        <f t="shared" si="155"/>
        <v>96808.17</v>
      </c>
      <c r="K748" s="931">
        <f t="shared" si="156"/>
        <v>808788.28</v>
      </c>
      <c r="L748" s="971"/>
      <c r="M748" s="954"/>
      <c r="N748" s="954"/>
      <c r="O748" s="954"/>
      <c r="P748" s="954"/>
      <c r="Q748" s="954"/>
      <c r="R748" s="954"/>
      <c r="S748" s="954"/>
      <c r="T748" s="954"/>
      <c r="U748" s="954"/>
    </row>
    <row r="749" spans="1:21" s="933" customFormat="1" ht="24" customHeight="1">
      <c r="A749" s="1026"/>
      <c r="B749" s="976" t="s">
        <v>876</v>
      </c>
      <c r="C749" s="976"/>
      <c r="D749" s="976"/>
      <c r="E749" s="978">
        <v>609.58000000000004</v>
      </c>
      <c r="F749" s="974" t="s">
        <v>870</v>
      </c>
      <c r="G749" s="969">
        <f t="shared" si="158"/>
        <v>24.27</v>
      </c>
      <c r="H749" s="930">
        <f t="shared" si="154"/>
        <v>14794.51</v>
      </c>
      <c r="I749" s="970">
        <v>2.9</v>
      </c>
      <c r="J749" s="930">
        <f t="shared" si="155"/>
        <v>1767.78</v>
      </c>
      <c r="K749" s="931">
        <f t="shared" si="156"/>
        <v>16562.29</v>
      </c>
      <c r="L749" s="971"/>
      <c r="M749" s="954"/>
      <c r="N749" s="954"/>
      <c r="O749" s="954"/>
      <c r="P749" s="954"/>
      <c r="Q749" s="954"/>
      <c r="R749" s="954"/>
      <c r="S749" s="954"/>
      <c r="T749" s="954"/>
      <c r="U749" s="954"/>
    </row>
    <row r="750" spans="1:21" s="933" customFormat="1" ht="24" customHeight="1">
      <c r="A750" s="1026"/>
      <c r="B750" s="976" t="s">
        <v>877</v>
      </c>
      <c r="C750" s="976"/>
      <c r="D750" s="976"/>
      <c r="E750" s="978">
        <v>0</v>
      </c>
      <c r="F750" s="974" t="s">
        <v>870</v>
      </c>
      <c r="G750" s="969">
        <f t="shared" si="158"/>
        <v>24.27</v>
      </c>
      <c r="H750" s="930">
        <f t="shared" si="154"/>
        <v>0</v>
      </c>
      <c r="I750" s="970">
        <v>2.9</v>
      </c>
      <c r="J750" s="930">
        <f t="shared" si="155"/>
        <v>0</v>
      </c>
      <c r="K750" s="931">
        <f t="shared" si="156"/>
        <v>0</v>
      </c>
      <c r="L750" s="971"/>
      <c r="M750" s="954"/>
      <c r="N750" s="954"/>
      <c r="O750" s="954"/>
      <c r="P750" s="954"/>
      <c r="Q750" s="954"/>
      <c r="R750" s="954"/>
      <c r="S750" s="954"/>
      <c r="T750" s="954"/>
      <c r="U750" s="954"/>
    </row>
    <row r="751" spans="1:21" s="933" customFormat="1" ht="24" customHeight="1">
      <c r="A751" s="1026"/>
      <c r="B751" s="976" t="s">
        <v>878</v>
      </c>
      <c r="C751" s="976"/>
      <c r="D751" s="976"/>
      <c r="E751" s="978"/>
      <c r="F751" s="974" t="s">
        <v>870</v>
      </c>
      <c r="G751" s="969">
        <f t="shared" si="158"/>
        <v>24.27</v>
      </c>
      <c r="H751" s="930">
        <f t="shared" si="154"/>
        <v>0</v>
      </c>
      <c r="I751" s="970">
        <v>2.9</v>
      </c>
      <c r="J751" s="930">
        <f t="shared" si="155"/>
        <v>0</v>
      </c>
      <c r="K751" s="931">
        <f t="shared" si="156"/>
        <v>0</v>
      </c>
      <c r="L751" s="971"/>
      <c r="M751" s="954"/>
      <c r="N751" s="954"/>
      <c r="O751" s="954"/>
      <c r="P751" s="954"/>
      <c r="Q751" s="954"/>
      <c r="R751" s="954"/>
      <c r="S751" s="954"/>
      <c r="T751" s="954"/>
      <c r="U751" s="954"/>
    </row>
    <row r="752" spans="1:21" s="933" customFormat="1" ht="24" customHeight="1">
      <c r="A752" s="1026"/>
      <c r="B752" s="976" t="s">
        <v>879</v>
      </c>
      <c r="C752" s="976"/>
      <c r="D752" s="976"/>
      <c r="E752" s="978"/>
      <c r="F752" s="974" t="s">
        <v>870</v>
      </c>
      <c r="G752" s="969">
        <f t="shared" si="158"/>
        <v>23.8</v>
      </c>
      <c r="H752" s="930">
        <f t="shared" si="154"/>
        <v>0</v>
      </c>
      <c r="I752" s="970">
        <v>2.9</v>
      </c>
      <c r="J752" s="930">
        <f t="shared" si="155"/>
        <v>0</v>
      </c>
      <c r="K752" s="931">
        <f t="shared" si="156"/>
        <v>0</v>
      </c>
      <c r="L752" s="971"/>
      <c r="M752" s="954"/>
      <c r="N752" s="954"/>
      <c r="O752" s="954"/>
      <c r="P752" s="954"/>
      <c r="Q752" s="954"/>
      <c r="R752" s="954"/>
      <c r="S752" s="954"/>
      <c r="T752" s="954"/>
      <c r="U752" s="954"/>
    </row>
    <row r="753" spans="1:21" s="933" customFormat="1" ht="24" customHeight="1">
      <c r="A753" s="1026"/>
      <c r="B753" s="976" t="s">
        <v>880</v>
      </c>
      <c r="C753" s="976"/>
      <c r="D753" s="976"/>
      <c r="E753" s="978">
        <f>(SUM(E745:E752)/1000)*30</f>
        <v>2010.0648000000001</v>
      </c>
      <c r="F753" s="974" t="s">
        <v>870</v>
      </c>
      <c r="G753" s="969">
        <f t="shared" si="158"/>
        <v>29.92</v>
      </c>
      <c r="H753" s="930">
        <f t="shared" si="154"/>
        <v>60141.14</v>
      </c>
      <c r="I753" s="970"/>
      <c r="J753" s="930">
        <f t="shared" si="155"/>
        <v>0</v>
      </c>
      <c r="K753" s="931">
        <f t="shared" si="156"/>
        <v>60141.14</v>
      </c>
      <c r="L753" s="971"/>
      <c r="M753" s="954"/>
      <c r="N753" s="954"/>
      <c r="O753" s="954"/>
      <c r="P753" s="954"/>
      <c r="Q753" s="954"/>
      <c r="R753" s="954"/>
      <c r="S753" s="954"/>
      <c r="T753" s="954"/>
      <c r="U753" s="954"/>
    </row>
    <row r="754" spans="1:21" s="933" customFormat="1" ht="24" customHeight="1">
      <c r="A754" s="1026"/>
      <c r="B754" s="976" t="s">
        <v>888</v>
      </c>
      <c r="C754" s="976"/>
      <c r="D754" s="976"/>
      <c r="E754" s="978">
        <v>5626.12</v>
      </c>
      <c r="F754" s="974" t="s">
        <v>34</v>
      </c>
      <c r="G754" s="983">
        <v>340</v>
      </c>
      <c r="H754" s="930">
        <f t="shared" si="154"/>
        <v>1912880.8</v>
      </c>
      <c r="I754" s="970"/>
      <c r="J754" s="930">
        <f t="shared" si="155"/>
        <v>0</v>
      </c>
      <c r="K754" s="931">
        <f t="shared" si="156"/>
        <v>1912880.8</v>
      </c>
      <c r="L754" s="971"/>
      <c r="M754" s="954"/>
      <c r="N754" s="954"/>
      <c r="O754" s="954"/>
      <c r="P754" s="954"/>
      <c r="Q754" s="954"/>
      <c r="R754" s="954"/>
      <c r="S754" s="954"/>
      <c r="T754" s="954"/>
      <c r="U754" s="954"/>
    </row>
    <row r="755" spans="1:21" s="933" customFormat="1" ht="24" customHeight="1">
      <c r="A755" s="1026"/>
      <c r="B755" s="976" t="s">
        <v>881</v>
      </c>
      <c r="C755" s="976"/>
      <c r="D755" s="976"/>
      <c r="E755" s="978"/>
      <c r="F755" s="974"/>
      <c r="G755" s="969"/>
      <c r="H755" s="930"/>
      <c r="I755" s="970"/>
      <c r="J755" s="930"/>
      <c r="K755" s="931"/>
      <c r="L755" s="971"/>
      <c r="M755" s="954"/>
      <c r="N755" s="954"/>
      <c r="O755" s="954"/>
      <c r="P755" s="954"/>
      <c r="Q755" s="954"/>
      <c r="R755" s="954"/>
      <c r="S755" s="954"/>
      <c r="T755" s="954"/>
      <c r="U755" s="954"/>
    </row>
    <row r="756" spans="1:21" s="933" customFormat="1" ht="24" customHeight="1">
      <c r="A756" s="1026"/>
      <c r="B756" s="976"/>
      <c r="C756" s="976"/>
      <c r="D756" s="976"/>
      <c r="E756" s="978"/>
      <c r="F756" s="974"/>
      <c r="G756" s="969"/>
      <c r="H756" s="930"/>
      <c r="I756" s="970"/>
      <c r="J756" s="930"/>
      <c r="K756" s="931"/>
      <c r="L756" s="971"/>
      <c r="M756" s="954"/>
      <c r="N756" s="954"/>
      <c r="O756" s="954"/>
      <c r="P756" s="954"/>
      <c r="Q756" s="954"/>
      <c r="R756" s="954"/>
      <c r="S756" s="954"/>
      <c r="T756" s="954"/>
      <c r="U756" s="954"/>
    </row>
    <row r="757" spans="1:21" s="933" customFormat="1" ht="24" customHeight="1">
      <c r="A757" s="1026"/>
      <c r="B757" s="976"/>
      <c r="C757" s="976"/>
      <c r="D757" s="976"/>
      <c r="E757" s="978"/>
      <c r="F757" s="974"/>
      <c r="G757" s="969"/>
      <c r="H757" s="930"/>
      <c r="I757" s="970"/>
      <c r="J757" s="930"/>
      <c r="K757" s="931"/>
      <c r="L757" s="971"/>
      <c r="M757" s="954"/>
      <c r="N757" s="954"/>
      <c r="O757" s="954"/>
      <c r="P757" s="954"/>
      <c r="Q757" s="954"/>
      <c r="R757" s="954"/>
      <c r="S757" s="954"/>
      <c r="T757" s="954"/>
      <c r="U757" s="954"/>
    </row>
    <row r="758" spans="1:21" s="933" customFormat="1" ht="24" customHeight="1">
      <c r="A758" s="1026"/>
      <c r="B758" s="976"/>
      <c r="C758" s="972"/>
      <c r="D758" s="973"/>
      <c r="E758" s="978"/>
      <c r="F758" s="968"/>
      <c r="G758" s="969"/>
      <c r="H758" s="930"/>
      <c r="I758" s="970"/>
      <c r="J758" s="930"/>
      <c r="K758" s="931"/>
      <c r="L758" s="971"/>
      <c r="M758" s="954"/>
      <c r="N758" s="954"/>
      <c r="O758" s="954"/>
      <c r="P758" s="954"/>
      <c r="Q758" s="954"/>
      <c r="R758" s="954"/>
      <c r="S758" s="954"/>
      <c r="T758" s="954"/>
      <c r="U758" s="954"/>
    </row>
    <row r="759" spans="1:21" s="933" customFormat="1" ht="24" customHeight="1">
      <c r="A759" s="1026"/>
      <c r="B759" s="976"/>
      <c r="C759" s="976"/>
      <c r="D759" s="976"/>
      <c r="E759" s="978"/>
      <c r="F759" s="974"/>
      <c r="G759" s="969"/>
      <c r="H759" s="930"/>
      <c r="I759" s="970"/>
      <c r="J759" s="930"/>
      <c r="K759" s="931"/>
      <c r="L759" s="971"/>
      <c r="M759" s="954"/>
      <c r="N759" s="954"/>
      <c r="O759" s="954"/>
      <c r="P759" s="954"/>
      <c r="Q759" s="954"/>
      <c r="R759" s="954"/>
      <c r="S759" s="954"/>
      <c r="T759" s="954"/>
      <c r="U759" s="954"/>
    </row>
    <row r="760" spans="1:21" s="933" customFormat="1" ht="24" customHeight="1">
      <c r="A760" s="1026"/>
      <c r="B760" s="976"/>
      <c r="C760" s="976"/>
      <c r="D760" s="976"/>
      <c r="E760" s="978"/>
      <c r="F760" s="974"/>
      <c r="G760" s="969"/>
      <c r="H760" s="930"/>
      <c r="I760" s="970"/>
      <c r="J760" s="930"/>
      <c r="K760" s="931"/>
      <c r="L760" s="971"/>
      <c r="M760" s="954"/>
      <c r="N760" s="954"/>
      <c r="O760" s="954"/>
      <c r="P760" s="954"/>
      <c r="Q760" s="954"/>
      <c r="R760" s="954"/>
      <c r="S760" s="954"/>
      <c r="T760" s="954"/>
      <c r="U760" s="954"/>
    </row>
    <row r="761" spans="1:21" s="933" customFormat="1" ht="24" customHeight="1">
      <c r="A761" s="1026" t="s">
        <v>939</v>
      </c>
      <c r="B761" s="1029" t="s">
        <v>940</v>
      </c>
      <c r="C761" s="976"/>
      <c r="D761" s="976"/>
      <c r="E761" s="978"/>
      <c r="F761" s="974"/>
      <c r="G761" s="969"/>
      <c r="H761" s="930"/>
      <c r="I761" s="970"/>
      <c r="J761" s="930"/>
      <c r="K761" s="931"/>
      <c r="L761" s="971"/>
      <c r="M761" s="954"/>
      <c r="N761" s="954"/>
      <c r="O761" s="954"/>
      <c r="P761" s="954"/>
      <c r="Q761" s="954"/>
      <c r="R761" s="954"/>
      <c r="S761" s="954"/>
      <c r="T761" s="954"/>
      <c r="U761" s="954"/>
    </row>
    <row r="762" spans="1:21" s="933" customFormat="1" ht="24" customHeight="1">
      <c r="A762" s="1026"/>
      <c r="B762" s="976" t="s">
        <v>864</v>
      </c>
      <c r="C762" s="977"/>
      <c r="D762" s="977"/>
      <c r="E762" s="978">
        <v>170.51</v>
      </c>
      <c r="F762" s="974" t="s">
        <v>865</v>
      </c>
      <c r="G762" s="969">
        <v>2516</v>
      </c>
      <c r="H762" s="930">
        <f t="shared" ref="H762:H776" si="159">ROUND(E762*G762,2)</f>
        <v>429003.16</v>
      </c>
      <c r="I762" s="970">
        <v>485</v>
      </c>
      <c r="J762" s="930">
        <f t="shared" ref="J762:J776" si="160">ROUND(E762*I762,2)</f>
        <v>82697.350000000006</v>
      </c>
      <c r="K762" s="931">
        <f t="shared" ref="K762:K776" si="161">H762+J762</f>
        <v>511700.51</v>
      </c>
      <c r="L762" s="971"/>
      <c r="M762" s="954"/>
      <c r="N762" s="954"/>
      <c r="O762" s="954"/>
      <c r="P762" s="954"/>
      <c r="Q762" s="954"/>
      <c r="R762" s="954"/>
      <c r="S762" s="954"/>
      <c r="T762" s="954"/>
      <c r="U762" s="954"/>
    </row>
    <row r="763" spans="1:21" s="933" customFormat="1" ht="24" customHeight="1">
      <c r="A763" s="1026"/>
      <c r="B763" s="979" t="s">
        <v>866</v>
      </c>
      <c r="C763" s="976"/>
      <c r="D763" s="976"/>
      <c r="E763" s="978"/>
      <c r="F763" s="974"/>
      <c r="G763" s="969"/>
      <c r="H763" s="930">
        <f t="shared" si="159"/>
        <v>0</v>
      </c>
      <c r="I763" s="970"/>
      <c r="J763" s="930">
        <f t="shared" si="160"/>
        <v>0</v>
      </c>
      <c r="K763" s="931">
        <f t="shared" si="161"/>
        <v>0</v>
      </c>
      <c r="L763" s="971"/>
      <c r="M763" s="954"/>
      <c r="N763" s="954"/>
      <c r="O763" s="954"/>
      <c r="P763" s="954"/>
      <c r="Q763" s="954"/>
      <c r="R763" s="954"/>
      <c r="S763" s="954"/>
      <c r="T763" s="954"/>
      <c r="U763" s="954"/>
    </row>
    <row r="764" spans="1:21" s="933" customFormat="1" ht="24" customHeight="1">
      <c r="A764" s="1026"/>
      <c r="B764" s="979"/>
      <c r="C764" s="976" t="s">
        <v>867</v>
      </c>
      <c r="D764" s="976"/>
      <c r="E764" s="978">
        <f>E765/2</f>
        <v>393.185</v>
      </c>
      <c r="F764" s="974" t="s">
        <v>34</v>
      </c>
      <c r="G764" s="969">
        <v>661.62</v>
      </c>
      <c r="H764" s="930">
        <f t="shared" si="159"/>
        <v>260139.06</v>
      </c>
      <c r="I764" s="970"/>
      <c r="J764" s="930">
        <f t="shared" si="160"/>
        <v>0</v>
      </c>
      <c r="K764" s="931">
        <f t="shared" si="161"/>
        <v>260139.06</v>
      </c>
      <c r="L764" s="971"/>
      <c r="M764" s="954"/>
      <c r="N764" s="954"/>
      <c r="O764" s="954"/>
      <c r="P764" s="954"/>
      <c r="Q764" s="954"/>
      <c r="R764" s="954"/>
      <c r="S764" s="954"/>
      <c r="T764" s="954"/>
      <c r="U764" s="954"/>
    </row>
    <row r="765" spans="1:21" s="933" customFormat="1" ht="24" customHeight="1">
      <c r="A765" s="1026"/>
      <c r="B765" s="979"/>
      <c r="C765" s="976" t="s">
        <v>868</v>
      </c>
      <c r="D765" s="976"/>
      <c r="E765" s="978">
        <v>786.37</v>
      </c>
      <c r="F765" s="974" t="s">
        <v>34</v>
      </c>
      <c r="G765" s="969"/>
      <c r="H765" s="930">
        <f t="shared" si="159"/>
        <v>0</v>
      </c>
      <c r="I765" s="970">
        <v>154</v>
      </c>
      <c r="J765" s="930">
        <f t="shared" si="160"/>
        <v>121100.98</v>
      </c>
      <c r="K765" s="931">
        <f t="shared" si="161"/>
        <v>121100.98</v>
      </c>
      <c r="L765" s="971"/>
      <c r="M765" s="954"/>
      <c r="N765" s="954"/>
      <c r="O765" s="954"/>
      <c r="P765" s="954"/>
      <c r="Q765" s="954"/>
      <c r="R765" s="954"/>
      <c r="S765" s="954"/>
      <c r="T765" s="954"/>
      <c r="U765" s="954"/>
    </row>
    <row r="766" spans="1:21" s="933" customFormat="1" ht="24" customHeight="1">
      <c r="A766" s="1026"/>
      <c r="B766" s="976" t="s">
        <v>869</v>
      </c>
      <c r="C766" s="976"/>
      <c r="D766" s="976"/>
      <c r="E766" s="978">
        <f>(E765*0.25)</f>
        <v>196.5925</v>
      </c>
      <c r="F766" s="974" t="s">
        <v>870</v>
      </c>
      <c r="G766" s="969">
        <f t="shared" ref="G766" si="162">VLOOKUP(B766,$O$43:$P$53,2,FALSE)</f>
        <v>29.94</v>
      </c>
      <c r="H766" s="930">
        <f t="shared" si="159"/>
        <v>5885.98</v>
      </c>
      <c r="I766" s="970"/>
      <c r="J766" s="930">
        <f t="shared" si="160"/>
        <v>0</v>
      </c>
      <c r="K766" s="931">
        <f t="shared" si="161"/>
        <v>5885.98</v>
      </c>
      <c r="L766" s="971"/>
      <c r="M766" s="954"/>
      <c r="N766" s="954"/>
      <c r="O766" s="954"/>
      <c r="P766" s="954"/>
      <c r="Q766" s="954"/>
      <c r="R766" s="954"/>
      <c r="S766" s="954"/>
      <c r="T766" s="954"/>
      <c r="U766" s="954"/>
    </row>
    <row r="767" spans="1:21" s="933" customFormat="1" ht="24" customHeight="1">
      <c r="A767" s="1026"/>
      <c r="B767" s="976" t="s">
        <v>871</v>
      </c>
      <c r="C767" s="976"/>
      <c r="D767" s="976"/>
      <c r="E767" s="978"/>
      <c r="F767" s="982"/>
      <c r="G767" s="983"/>
      <c r="H767" s="930">
        <f t="shared" si="159"/>
        <v>0</v>
      </c>
      <c r="I767" s="970"/>
      <c r="J767" s="930">
        <f t="shared" si="160"/>
        <v>0</v>
      </c>
      <c r="K767" s="931">
        <f t="shared" si="161"/>
        <v>0</v>
      </c>
      <c r="L767" s="971"/>
      <c r="M767" s="954"/>
      <c r="N767" s="954"/>
      <c r="O767" s="954"/>
      <c r="P767" s="954"/>
      <c r="Q767" s="954"/>
      <c r="R767" s="954"/>
      <c r="S767" s="954"/>
      <c r="T767" s="954"/>
      <c r="U767" s="954"/>
    </row>
    <row r="768" spans="1:21" s="933" customFormat="1" ht="24" customHeight="1">
      <c r="A768" s="1026"/>
      <c r="B768" s="976" t="s">
        <v>872</v>
      </c>
      <c r="C768" s="976"/>
      <c r="D768" s="976"/>
      <c r="E768" s="978"/>
      <c r="F768" s="974" t="s">
        <v>870</v>
      </c>
      <c r="G768" s="969">
        <f t="shared" ref="G768:G776" si="163">VLOOKUP(B768,$O$43:$P$53,2,FALSE)</f>
        <v>25.73</v>
      </c>
      <c r="H768" s="930">
        <f t="shared" si="159"/>
        <v>0</v>
      </c>
      <c r="I768" s="984">
        <v>4.0999999999999996</v>
      </c>
      <c r="J768" s="930">
        <f t="shared" si="160"/>
        <v>0</v>
      </c>
      <c r="K768" s="931">
        <f t="shared" si="161"/>
        <v>0</v>
      </c>
      <c r="L768" s="971"/>
      <c r="M768" s="954"/>
      <c r="N768" s="954"/>
      <c r="O768" s="954"/>
      <c r="P768" s="954"/>
      <c r="Q768" s="954"/>
      <c r="R768" s="954"/>
      <c r="S768" s="954"/>
      <c r="T768" s="954"/>
      <c r="U768" s="954"/>
    </row>
    <row r="769" spans="1:21" s="933" customFormat="1" ht="24" customHeight="1">
      <c r="A769" s="1026"/>
      <c r="B769" s="976" t="s">
        <v>873</v>
      </c>
      <c r="C769" s="976"/>
      <c r="D769" s="976"/>
      <c r="E769" s="978">
        <v>1775.48</v>
      </c>
      <c r="F769" s="974" t="s">
        <v>870</v>
      </c>
      <c r="G769" s="969">
        <f t="shared" si="163"/>
        <v>24.97</v>
      </c>
      <c r="H769" s="930">
        <f t="shared" si="159"/>
        <v>44333.74</v>
      </c>
      <c r="I769" s="970">
        <v>4.0999999999999996</v>
      </c>
      <c r="J769" s="930">
        <f t="shared" si="160"/>
        <v>7279.47</v>
      </c>
      <c r="K769" s="931">
        <f t="shared" si="161"/>
        <v>51613.21</v>
      </c>
      <c r="L769" s="971"/>
      <c r="M769" s="954"/>
      <c r="N769" s="954"/>
      <c r="O769" s="954"/>
      <c r="P769" s="954"/>
      <c r="Q769" s="954"/>
      <c r="R769" s="954"/>
      <c r="S769" s="954"/>
      <c r="T769" s="954"/>
      <c r="U769" s="954"/>
    </row>
    <row r="770" spans="1:21" s="933" customFormat="1" ht="24" customHeight="1">
      <c r="A770" s="1026"/>
      <c r="B770" s="976" t="s">
        <v>874</v>
      </c>
      <c r="C770" s="976"/>
      <c r="D770" s="976"/>
      <c r="E770" s="978">
        <v>23569.18</v>
      </c>
      <c r="F770" s="974" t="s">
        <v>870</v>
      </c>
      <c r="G770" s="969">
        <f t="shared" si="163"/>
        <v>24.47</v>
      </c>
      <c r="H770" s="930">
        <f t="shared" si="159"/>
        <v>576737.82999999996</v>
      </c>
      <c r="I770" s="970">
        <v>3.3</v>
      </c>
      <c r="J770" s="930">
        <f t="shared" si="160"/>
        <v>77778.289999999994</v>
      </c>
      <c r="K770" s="931">
        <f t="shared" si="161"/>
        <v>654516.12</v>
      </c>
      <c r="L770" s="971"/>
      <c r="M770" s="954"/>
      <c r="N770" s="954"/>
      <c r="O770" s="954"/>
      <c r="P770" s="954"/>
      <c r="Q770" s="954"/>
      <c r="R770" s="954"/>
      <c r="S770" s="954"/>
      <c r="T770" s="954"/>
      <c r="U770" s="954"/>
    </row>
    <row r="771" spans="1:21" s="933" customFormat="1" ht="24" customHeight="1">
      <c r="A771" s="1026"/>
      <c r="B771" s="976" t="s">
        <v>875</v>
      </c>
      <c r="C771" s="976"/>
      <c r="D771" s="976"/>
      <c r="E771" s="978">
        <v>2215.37</v>
      </c>
      <c r="F771" s="982" t="s">
        <v>870</v>
      </c>
      <c r="G771" s="969">
        <f t="shared" si="163"/>
        <v>24.27</v>
      </c>
      <c r="H771" s="930">
        <f t="shared" si="159"/>
        <v>53767.03</v>
      </c>
      <c r="I771" s="970">
        <v>3.3</v>
      </c>
      <c r="J771" s="930">
        <f t="shared" si="160"/>
        <v>7310.72</v>
      </c>
      <c r="K771" s="931">
        <f t="shared" si="161"/>
        <v>61077.75</v>
      </c>
      <c r="L771" s="971"/>
      <c r="M771" s="954"/>
      <c r="N771" s="954"/>
      <c r="O771" s="954"/>
      <c r="P771" s="954"/>
      <c r="Q771" s="954"/>
      <c r="R771" s="954"/>
      <c r="S771" s="954"/>
      <c r="T771" s="954"/>
      <c r="U771" s="954"/>
    </row>
    <row r="772" spans="1:21" s="933" customFormat="1" ht="24" customHeight="1">
      <c r="A772" s="1026"/>
      <c r="B772" s="976" t="s">
        <v>876</v>
      </c>
      <c r="C772" s="976"/>
      <c r="D772" s="976"/>
      <c r="E772" s="978">
        <v>2493.4</v>
      </c>
      <c r="F772" s="974" t="s">
        <v>870</v>
      </c>
      <c r="G772" s="969">
        <f t="shared" si="163"/>
        <v>24.27</v>
      </c>
      <c r="H772" s="930">
        <f t="shared" si="159"/>
        <v>60514.82</v>
      </c>
      <c r="I772" s="970">
        <v>2.9</v>
      </c>
      <c r="J772" s="930">
        <f t="shared" si="160"/>
        <v>7230.86</v>
      </c>
      <c r="K772" s="931">
        <f t="shared" si="161"/>
        <v>67745.679999999993</v>
      </c>
      <c r="L772" s="971"/>
      <c r="M772" s="954"/>
      <c r="N772" s="954"/>
      <c r="O772" s="954"/>
      <c r="P772" s="954"/>
      <c r="Q772" s="954"/>
      <c r="R772" s="954"/>
      <c r="S772" s="954"/>
      <c r="T772" s="954"/>
      <c r="U772" s="954"/>
    </row>
    <row r="773" spans="1:21" s="933" customFormat="1" ht="24" customHeight="1">
      <c r="A773" s="1026"/>
      <c r="B773" s="976" t="s">
        <v>877</v>
      </c>
      <c r="C773" s="976"/>
      <c r="D773" s="976"/>
      <c r="E773" s="978">
        <v>4142.05</v>
      </c>
      <c r="F773" s="974" t="s">
        <v>870</v>
      </c>
      <c r="G773" s="969">
        <f t="shared" si="163"/>
        <v>24.27</v>
      </c>
      <c r="H773" s="930">
        <f t="shared" si="159"/>
        <v>100527.55</v>
      </c>
      <c r="I773" s="970">
        <v>2.9</v>
      </c>
      <c r="J773" s="930">
        <f t="shared" si="160"/>
        <v>12011.95</v>
      </c>
      <c r="K773" s="931">
        <f t="shared" si="161"/>
        <v>112539.5</v>
      </c>
      <c r="L773" s="971"/>
      <c r="M773" s="954"/>
      <c r="N773" s="954"/>
      <c r="O773" s="954"/>
      <c r="P773" s="954"/>
      <c r="Q773" s="954"/>
      <c r="R773" s="954"/>
      <c r="S773" s="954"/>
      <c r="T773" s="954"/>
      <c r="U773" s="954"/>
    </row>
    <row r="774" spans="1:21" s="933" customFormat="1" ht="24" customHeight="1">
      <c r="A774" s="1026"/>
      <c r="B774" s="976" t="s">
        <v>878</v>
      </c>
      <c r="C774" s="976"/>
      <c r="D774" s="976"/>
      <c r="E774" s="978">
        <v>9044.3700000000008</v>
      </c>
      <c r="F774" s="974" t="s">
        <v>870</v>
      </c>
      <c r="G774" s="969">
        <f t="shared" si="163"/>
        <v>24.27</v>
      </c>
      <c r="H774" s="930">
        <f t="shared" si="159"/>
        <v>219506.86</v>
      </c>
      <c r="I774" s="970">
        <v>2.9</v>
      </c>
      <c r="J774" s="930">
        <f t="shared" si="160"/>
        <v>26228.67</v>
      </c>
      <c r="K774" s="931">
        <f t="shared" si="161"/>
        <v>245735.52999999997</v>
      </c>
      <c r="L774" s="971"/>
      <c r="M774" s="954"/>
      <c r="N774" s="954"/>
      <c r="O774" s="954"/>
      <c r="P774" s="954"/>
      <c r="Q774" s="954"/>
      <c r="R774" s="954"/>
      <c r="S774" s="954"/>
      <c r="T774" s="954"/>
      <c r="U774" s="954"/>
    </row>
    <row r="775" spans="1:21" s="933" customFormat="1" ht="24" customHeight="1">
      <c r="A775" s="1026"/>
      <c r="B775" s="976" t="s">
        <v>879</v>
      </c>
      <c r="C775" s="976"/>
      <c r="D775" s="976"/>
      <c r="E775" s="978"/>
      <c r="F775" s="974" t="s">
        <v>870</v>
      </c>
      <c r="G775" s="969">
        <f t="shared" si="163"/>
        <v>23.8</v>
      </c>
      <c r="H775" s="930">
        <f t="shared" si="159"/>
        <v>0</v>
      </c>
      <c r="I775" s="970">
        <v>2.9</v>
      </c>
      <c r="J775" s="930">
        <f t="shared" si="160"/>
        <v>0</v>
      </c>
      <c r="K775" s="931">
        <f t="shared" si="161"/>
        <v>0</v>
      </c>
      <c r="L775" s="971"/>
      <c r="M775" s="954"/>
      <c r="N775" s="954"/>
      <c r="O775" s="954"/>
      <c r="P775" s="954"/>
      <c r="Q775" s="954"/>
      <c r="R775" s="954"/>
      <c r="S775" s="954"/>
      <c r="T775" s="954"/>
      <c r="U775" s="954"/>
    </row>
    <row r="776" spans="1:21" s="933" customFormat="1" ht="24" customHeight="1">
      <c r="A776" s="1026"/>
      <c r="B776" s="976" t="s">
        <v>880</v>
      </c>
      <c r="C776" s="976"/>
      <c r="D776" s="976"/>
      <c r="E776" s="978">
        <f>(SUM(E768:E775)/1000)*30</f>
        <v>1297.1955</v>
      </c>
      <c r="F776" s="974" t="s">
        <v>870</v>
      </c>
      <c r="G776" s="969">
        <f t="shared" si="163"/>
        <v>29.92</v>
      </c>
      <c r="H776" s="930">
        <f t="shared" si="159"/>
        <v>38812.089999999997</v>
      </c>
      <c r="I776" s="970"/>
      <c r="J776" s="930">
        <f t="shared" si="160"/>
        <v>0</v>
      </c>
      <c r="K776" s="931">
        <f t="shared" si="161"/>
        <v>38812.089999999997</v>
      </c>
      <c r="L776" s="971"/>
      <c r="M776" s="954"/>
      <c r="N776" s="954"/>
      <c r="O776" s="954"/>
      <c r="P776" s="954"/>
      <c r="Q776" s="954"/>
      <c r="R776" s="954"/>
      <c r="S776" s="954"/>
      <c r="T776" s="954"/>
      <c r="U776" s="954"/>
    </row>
    <row r="777" spans="1:21" s="933" customFormat="1" ht="24" customHeight="1">
      <c r="A777" s="1026"/>
      <c r="B777" s="976" t="s">
        <v>881</v>
      </c>
      <c r="C777" s="976"/>
      <c r="D777" s="976"/>
      <c r="E777" s="978"/>
      <c r="F777" s="974"/>
      <c r="G777" s="969"/>
      <c r="H777" s="930"/>
      <c r="I777" s="970"/>
      <c r="J777" s="930"/>
      <c r="K777" s="931"/>
      <c r="L777" s="971"/>
      <c r="M777" s="954"/>
      <c r="N777" s="954"/>
      <c r="O777" s="954"/>
      <c r="P777" s="954"/>
      <c r="Q777" s="954"/>
      <c r="R777" s="954"/>
      <c r="S777" s="954"/>
      <c r="T777" s="954"/>
      <c r="U777" s="954"/>
    </row>
    <row r="778" spans="1:21" s="933" customFormat="1" ht="24" customHeight="1">
      <c r="A778" s="1026"/>
      <c r="B778" s="976"/>
      <c r="C778" s="976"/>
      <c r="D778" s="976"/>
      <c r="E778" s="978"/>
      <c r="F778" s="974"/>
      <c r="G778" s="969"/>
      <c r="H778" s="930"/>
      <c r="I778" s="970"/>
      <c r="J778" s="930"/>
      <c r="K778" s="931"/>
      <c r="L778" s="971"/>
      <c r="M778" s="954"/>
      <c r="N778" s="954"/>
      <c r="O778" s="954"/>
      <c r="P778" s="954"/>
      <c r="Q778" s="954"/>
      <c r="R778" s="954"/>
      <c r="S778" s="954"/>
      <c r="T778" s="954"/>
      <c r="U778" s="954"/>
    </row>
    <row r="779" spans="1:21" s="933" customFormat="1" ht="24" customHeight="1">
      <c r="A779" s="1026"/>
      <c r="B779" s="976"/>
      <c r="C779" s="976"/>
      <c r="D779" s="976"/>
      <c r="E779" s="978"/>
      <c r="F779" s="974"/>
      <c r="G779" s="969"/>
      <c r="H779" s="930"/>
      <c r="I779" s="970"/>
      <c r="J779" s="930"/>
      <c r="K779" s="931"/>
      <c r="L779" s="971"/>
      <c r="M779" s="954"/>
      <c r="N779" s="954"/>
      <c r="O779" s="954"/>
      <c r="P779" s="954"/>
      <c r="Q779" s="954"/>
      <c r="R779" s="954"/>
      <c r="S779" s="954"/>
      <c r="T779" s="954"/>
      <c r="U779" s="954"/>
    </row>
    <row r="780" spans="1:21" s="933" customFormat="1" ht="24" customHeight="1">
      <c r="A780" s="1026"/>
      <c r="B780" s="976"/>
      <c r="C780" s="976"/>
      <c r="D780" s="976"/>
      <c r="E780" s="978"/>
      <c r="F780" s="974"/>
      <c r="G780" s="969"/>
      <c r="H780" s="930"/>
      <c r="I780" s="970"/>
      <c r="J780" s="930"/>
      <c r="K780" s="931"/>
      <c r="L780" s="971"/>
      <c r="M780" s="954"/>
      <c r="N780" s="954"/>
      <c r="O780" s="954"/>
      <c r="P780" s="954"/>
      <c r="Q780" s="954"/>
      <c r="R780" s="954"/>
      <c r="S780" s="954"/>
      <c r="T780" s="954"/>
      <c r="U780" s="954"/>
    </row>
    <row r="781" spans="1:21" s="933" customFormat="1" ht="24" customHeight="1">
      <c r="A781" s="1026"/>
      <c r="B781" s="976"/>
      <c r="C781" s="976"/>
      <c r="D781" s="976"/>
      <c r="E781" s="978"/>
      <c r="F781" s="974"/>
      <c r="G781" s="969"/>
      <c r="H781" s="930"/>
      <c r="I781" s="970"/>
      <c r="J781" s="930"/>
      <c r="K781" s="931"/>
      <c r="L781" s="971"/>
      <c r="M781" s="954"/>
      <c r="N781" s="954"/>
      <c r="O781" s="954"/>
      <c r="P781" s="954"/>
      <c r="Q781" s="954"/>
      <c r="R781" s="954"/>
      <c r="S781" s="954"/>
      <c r="T781" s="954"/>
      <c r="U781" s="954"/>
    </row>
    <row r="782" spans="1:21" s="933" customFormat="1" ht="24" customHeight="1">
      <c r="A782" s="1026"/>
      <c r="B782" s="976"/>
      <c r="C782" s="976"/>
      <c r="D782" s="976"/>
      <c r="E782" s="978"/>
      <c r="F782" s="974"/>
      <c r="G782" s="969"/>
      <c r="H782" s="930"/>
      <c r="I782" s="970"/>
      <c r="J782" s="930"/>
      <c r="K782" s="931"/>
      <c r="L782" s="971"/>
      <c r="M782" s="954"/>
      <c r="N782" s="954"/>
      <c r="O782" s="954"/>
      <c r="P782" s="954"/>
      <c r="Q782" s="954"/>
      <c r="R782" s="954"/>
      <c r="S782" s="954"/>
      <c r="T782" s="954"/>
      <c r="U782" s="954"/>
    </row>
    <row r="783" spans="1:21" s="933" customFormat="1" ht="24" customHeight="1">
      <c r="A783" s="1026"/>
      <c r="B783" s="976"/>
      <c r="C783" s="976"/>
      <c r="D783" s="976"/>
      <c r="E783" s="978"/>
      <c r="F783" s="974"/>
      <c r="G783" s="969"/>
      <c r="H783" s="930"/>
      <c r="I783" s="970"/>
      <c r="J783" s="930"/>
      <c r="K783" s="931"/>
      <c r="L783" s="971"/>
      <c r="M783" s="954"/>
      <c r="N783" s="954"/>
      <c r="O783" s="954"/>
      <c r="P783" s="954"/>
      <c r="Q783" s="954"/>
      <c r="R783" s="954"/>
      <c r="S783" s="954"/>
      <c r="T783" s="954"/>
      <c r="U783" s="954"/>
    </row>
    <row r="784" spans="1:21" s="933" customFormat="1" ht="24" customHeight="1">
      <c r="A784" s="1026"/>
      <c r="B784" s="976"/>
      <c r="C784" s="976"/>
      <c r="D784" s="976"/>
      <c r="E784" s="978"/>
      <c r="F784" s="974"/>
      <c r="G784" s="969"/>
      <c r="H784" s="930"/>
      <c r="I784" s="970"/>
      <c r="J784" s="930"/>
      <c r="K784" s="931"/>
      <c r="L784" s="971"/>
      <c r="M784" s="954"/>
      <c r="N784" s="954"/>
      <c r="O784" s="954"/>
      <c r="P784" s="954"/>
      <c r="Q784" s="954"/>
      <c r="R784" s="954"/>
      <c r="S784" s="954"/>
      <c r="T784" s="954"/>
      <c r="U784" s="954"/>
    </row>
    <row r="785" spans="1:21" s="933" customFormat="1" ht="24" customHeight="1">
      <c r="A785" s="1026"/>
      <c r="B785" s="976"/>
      <c r="C785" s="976"/>
      <c r="D785" s="976"/>
      <c r="E785" s="978"/>
      <c r="F785" s="974"/>
      <c r="G785" s="969"/>
      <c r="H785" s="930"/>
      <c r="I785" s="970"/>
      <c r="J785" s="930"/>
      <c r="K785" s="931"/>
      <c r="L785" s="971"/>
      <c r="M785" s="954"/>
      <c r="N785" s="954"/>
      <c r="O785" s="954"/>
      <c r="P785" s="954"/>
      <c r="Q785" s="954"/>
      <c r="R785" s="954"/>
      <c r="S785" s="954"/>
      <c r="T785" s="954"/>
      <c r="U785" s="954"/>
    </row>
    <row r="786" spans="1:21" s="933" customFormat="1" ht="24" customHeight="1">
      <c r="A786" s="1026" t="s">
        <v>941</v>
      </c>
      <c r="B786" s="1029" t="s">
        <v>942</v>
      </c>
      <c r="C786" s="976"/>
      <c r="D786" s="976"/>
      <c r="E786" s="978"/>
      <c r="F786" s="974"/>
      <c r="G786" s="969"/>
      <c r="H786" s="930"/>
      <c r="I786" s="970"/>
      <c r="J786" s="930"/>
      <c r="K786" s="931"/>
      <c r="L786" s="971"/>
      <c r="M786" s="954"/>
      <c r="N786" s="954"/>
      <c r="O786" s="954"/>
      <c r="P786" s="954"/>
      <c r="Q786" s="954"/>
      <c r="R786" s="954"/>
      <c r="S786" s="954"/>
      <c r="T786" s="954"/>
      <c r="U786" s="954"/>
    </row>
    <row r="787" spans="1:21" s="933" customFormat="1" ht="24" customHeight="1">
      <c r="A787" s="1026"/>
      <c r="B787" s="976" t="s">
        <v>864</v>
      </c>
      <c r="C787" s="977"/>
      <c r="D787" s="977"/>
      <c r="E787" s="978">
        <v>303.86</v>
      </c>
      <c r="F787" s="974" t="s">
        <v>865</v>
      </c>
      <c r="G787" s="969">
        <v>2516</v>
      </c>
      <c r="H787" s="930">
        <f t="shared" ref="H787:H801" si="164">ROUND(E787*G787,2)</f>
        <v>764511.76</v>
      </c>
      <c r="I787" s="970">
        <v>485</v>
      </c>
      <c r="J787" s="930">
        <f t="shared" ref="J787:J801" si="165">ROUND(E787*I787,2)</f>
        <v>147372.1</v>
      </c>
      <c r="K787" s="931">
        <f t="shared" ref="K787:K801" si="166">H787+J787</f>
        <v>911883.86</v>
      </c>
      <c r="L787" s="971"/>
      <c r="M787" s="954"/>
      <c r="N787" s="954"/>
      <c r="O787" s="954"/>
      <c r="P787" s="954"/>
      <c r="Q787" s="954"/>
      <c r="R787" s="954"/>
      <c r="S787" s="954"/>
      <c r="T787" s="954"/>
      <c r="U787" s="954"/>
    </row>
    <row r="788" spans="1:21" s="933" customFormat="1" ht="24" customHeight="1">
      <c r="A788" s="1026"/>
      <c r="B788" s="979" t="s">
        <v>866</v>
      </c>
      <c r="C788" s="976"/>
      <c r="D788" s="976"/>
      <c r="E788" s="978"/>
      <c r="F788" s="974"/>
      <c r="G788" s="969"/>
      <c r="H788" s="930">
        <f t="shared" si="164"/>
        <v>0</v>
      </c>
      <c r="I788" s="970"/>
      <c r="J788" s="930">
        <f t="shared" si="165"/>
        <v>0</v>
      </c>
      <c r="K788" s="931">
        <f t="shared" si="166"/>
        <v>0</v>
      </c>
      <c r="L788" s="971"/>
      <c r="M788" s="954"/>
      <c r="N788" s="954"/>
      <c r="O788" s="954"/>
      <c r="P788" s="954"/>
      <c r="Q788" s="954"/>
      <c r="R788" s="954"/>
      <c r="S788" s="954"/>
      <c r="T788" s="954"/>
      <c r="U788" s="954"/>
    </row>
    <row r="789" spans="1:21" s="933" customFormat="1" ht="24" customHeight="1">
      <c r="A789" s="1026"/>
      <c r="B789" s="979"/>
      <c r="C789" s="976" t="s">
        <v>867</v>
      </c>
      <c r="D789" s="976"/>
      <c r="E789" s="978">
        <f>E790/2</f>
        <v>685.42499999999995</v>
      </c>
      <c r="F789" s="974" t="s">
        <v>34</v>
      </c>
      <c r="G789" s="969">
        <v>661.62</v>
      </c>
      <c r="H789" s="930">
        <f t="shared" si="164"/>
        <v>453490.89</v>
      </c>
      <c r="I789" s="970"/>
      <c r="J789" s="930">
        <f t="shared" si="165"/>
        <v>0</v>
      </c>
      <c r="K789" s="931">
        <f t="shared" si="166"/>
        <v>453490.89</v>
      </c>
      <c r="L789" s="971"/>
      <c r="M789" s="954"/>
      <c r="N789" s="954"/>
      <c r="O789" s="954"/>
      <c r="P789" s="954"/>
      <c r="Q789" s="954"/>
      <c r="R789" s="954"/>
      <c r="S789" s="954"/>
      <c r="T789" s="954"/>
      <c r="U789" s="954"/>
    </row>
    <row r="790" spans="1:21" s="933" customFormat="1" ht="24" customHeight="1">
      <c r="A790" s="1026"/>
      <c r="B790" s="979"/>
      <c r="C790" s="976" t="s">
        <v>868</v>
      </c>
      <c r="D790" s="976"/>
      <c r="E790" s="978">
        <v>1370.85</v>
      </c>
      <c r="F790" s="974" t="s">
        <v>34</v>
      </c>
      <c r="G790" s="969"/>
      <c r="H790" s="930">
        <f t="shared" si="164"/>
        <v>0</v>
      </c>
      <c r="I790" s="970">
        <v>154</v>
      </c>
      <c r="J790" s="930">
        <f t="shared" si="165"/>
        <v>211110.9</v>
      </c>
      <c r="K790" s="931">
        <f t="shared" si="166"/>
        <v>211110.9</v>
      </c>
      <c r="L790" s="971"/>
      <c r="M790" s="954"/>
      <c r="N790" s="954"/>
      <c r="O790" s="954"/>
      <c r="P790" s="954"/>
      <c r="Q790" s="954"/>
      <c r="R790" s="954"/>
      <c r="S790" s="954"/>
      <c r="T790" s="954"/>
      <c r="U790" s="954"/>
    </row>
    <row r="791" spans="1:21" s="933" customFormat="1" ht="24" customHeight="1">
      <c r="A791" s="1026"/>
      <c r="B791" s="976" t="s">
        <v>869</v>
      </c>
      <c r="C791" s="976"/>
      <c r="D791" s="976"/>
      <c r="E791" s="978">
        <f>(E790*0.25)</f>
        <v>342.71249999999998</v>
      </c>
      <c r="F791" s="974" t="s">
        <v>870</v>
      </c>
      <c r="G791" s="969">
        <f t="shared" ref="G791" si="167">VLOOKUP(B791,$O$43:$P$53,2,FALSE)</f>
        <v>29.94</v>
      </c>
      <c r="H791" s="930">
        <f t="shared" si="164"/>
        <v>10260.81</v>
      </c>
      <c r="I791" s="970"/>
      <c r="J791" s="930">
        <f t="shared" si="165"/>
        <v>0</v>
      </c>
      <c r="K791" s="931">
        <f t="shared" si="166"/>
        <v>10260.81</v>
      </c>
      <c r="L791" s="971"/>
      <c r="M791" s="954"/>
      <c r="N791" s="954"/>
      <c r="O791" s="954"/>
      <c r="P791" s="954"/>
      <c r="Q791" s="954"/>
      <c r="R791" s="954"/>
      <c r="S791" s="954"/>
      <c r="T791" s="954"/>
      <c r="U791" s="954"/>
    </row>
    <row r="792" spans="1:21" s="933" customFormat="1" ht="24" customHeight="1">
      <c r="A792" s="1026"/>
      <c r="B792" s="976" t="s">
        <v>871</v>
      </c>
      <c r="C792" s="976"/>
      <c r="D792" s="976"/>
      <c r="E792" s="978"/>
      <c r="F792" s="982"/>
      <c r="G792" s="983"/>
      <c r="H792" s="930">
        <f t="shared" si="164"/>
        <v>0</v>
      </c>
      <c r="I792" s="970"/>
      <c r="J792" s="930">
        <f t="shared" si="165"/>
        <v>0</v>
      </c>
      <c r="K792" s="931">
        <f t="shared" si="166"/>
        <v>0</v>
      </c>
      <c r="L792" s="971"/>
      <c r="M792" s="954"/>
      <c r="N792" s="954"/>
      <c r="O792" s="954"/>
      <c r="P792" s="954"/>
      <c r="Q792" s="954"/>
      <c r="R792" s="954"/>
      <c r="S792" s="954"/>
      <c r="T792" s="954"/>
      <c r="U792" s="954"/>
    </row>
    <row r="793" spans="1:21" s="933" customFormat="1" ht="24" customHeight="1">
      <c r="A793" s="1026"/>
      <c r="B793" s="976" t="s">
        <v>872</v>
      </c>
      <c r="C793" s="976"/>
      <c r="D793" s="976"/>
      <c r="E793" s="978">
        <v>0</v>
      </c>
      <c r="F793" s="974" t="s">
        <v>870</v>
      </c>
      <c r="G793" s="969">
        <f t="shared" ref="G793:G801" si="168">VLOOKUP(B793,$O$43:$P$53,2,FALSE)</f>
        <v>25.73</v>
      </c>
      <c r="H793" s="930">
        <f t="shared" si="164"/>
        <v>0</v>
      </c>
      <c r="I793" s="984">
        <v>4.0999999999999996</v>
      </c>
      <c r="J793" s="930">
        <f t="shared" si="165"/>
        <v>0</v>
      </c>
      <c r="K793" s="931">
        <f t="shared" si="166"/>
        <v>0</v>
      </c>
      <c r="L793" s="971"/>
      <c r="M793" s="954"/>
      <c r="N793" s="954"/>
      <c r="O793" s="954"/>
      <c r="P793" s="954"/>
      <c r="Q793" s="954"/>
      <c r="R793" s="954"/>
      <c r="S793" s="954"/>
      <c r="T793" s="954"/>
      <c r="U793" s="954"/>
    </row>
    <row r="794" spans="1:21" s="933" customFormat="1" ht="24" customHeight="1">
      <c r="A794" s="1026"/>
      <c r="B794" s="976" t="s">
        <v>873</v>
      </c>
      <c r="C794" s="976"/>
      <c r="D794" s="976"/>
      <c r="E794" s="978">
        <v>8655.7900000000009</v>
      </c>
      <c r="F794" s="974" t="s">
        <v>870</v>
      </c>
      <c r="G794" s="969">
        <f t="shared" si="168"/>
        <v>24.97</v>
      </c>
      <c r="H794" s="930">
        <f t="shared" si="164"/>
        <v>216135.08</v>
      </c>
      <c r="I794" s="970">
        <v>4.0999999999999996</v>
      </c>
      <c r="J794" s="930">
        <f t="shared" si="165"/>
        <v>35488.74</v>
      </c>
      <c r="K794" s="931">
        <f t="shared" si="166"/>
        <v>251623.81999999998</v>
      </c>
      <c r="L794" s="971"/>
      <c r="M794" s="954"/>
      <c r="N794" s="954"/>
      <c r="O794" s="954"/>
      <c r="P794" s="954"/>
      <c r="Q794" s="954"/>
      <c r="R794" s="954"/>
      <c r="S794" s="954"/>
      <c r="T794" s="954"/>
      <c r="U794" s="954"/>
    </row>
    <row r="795" spans="1:21" s="933" customFormat="1" ht="24" customHeight="1">
      <c r="A795" s="1026"/>
      <c r="B795" s="976" t="s">
        <v>874</v>
      </c>
      <c r="C795" s="976"/>
      <c r="D795" s="976"/>
      <c r="E795" s="978">
        <v>9024.06</v>
      </c>
      <c r="F795" s="974" t="s">
        <v>870</v>
      </c>
      <c r="G795" s="969">
        <f t="shared" si="168"/>
        <v>24.47</v>
      </c>
      <c r="H795" s="930">
        <f t="shared" si="164"/>
        <v>220818.75</v>
      </c>
      <c r="I795" s="970">
        <v>3.3</v>
      </c>
      <c r="J795" s="930">
        <f t="shared" si="165"/>
        <v>29779.4</v>
      </c>
      <c r="K795" s="931">
        <f t="shared" si="166"/>
        <v>250598.15</v>
      </c>
      <c r="L795" s="971"/>
      <c r="M795" s="954"/>
      <c r="N795" s="954"/>
      <c r="O795" s="954"/>
      <c r="P795" s="954"/>
      <c r="Q795" s="954"/>
      <c r="R795" s="954"/>
      <c r="S795" s="954"/>
      <c r="T795" s="954"/>
      <c r="U795" s="954"/>
    </row>
    <row r="796" spans="1:21" s="933" customFormat="1" ht="24" customHeight="1">
      <c r="A796" s="1026"/>
      <c r="B796" s="976" t="s">
        <v>875</v>
      </c>
      <c r="C796" s="976"/>
      <c r="D796" s="976"/>
      <c r="E796" s="978">
        <v>50.51</v>
      </c>
      <c r="F796" s="982" t="s">
        <v>870</v>
      </c>
      <c r="G796" s="969">
        <f t="shared" si="168"/>
        <v>24.27</v>
      </c>
      <c r="H796" s="930">
        <f t="shared" si="164"/>
        <v>1225.8800000000001</v>
      </c>
      <c r="I796" s="970">
        <v>3.3</v>
      </c>
      <c r="J796" s="930">
        <f t="shared" si="165"/>
        <v>166.68</v>
      </c>
      <c r="K796" s="931">
        <f t="shared" si="166"/>
        <v>1392.5600000000002</v>
      </c>
      <c r="L796" s="971"/>
      <c r="M796" s="954"/>
      <c r="N796" s="954"/>
      <c r="O796" s="954"/>
      <c r="P796" s="954"/>
      <c r="Q796" s="954"/>
      <c r="R796" s="954"/>
      <c r="S796" s="954"/>
      <c r="T796" s="954"/>
      <c r="U796" s="954"/>
    </row>
    <row r="797" spans="1:21" s="933" customFormat="1" ht="24" customHeight="1">
      <c r="A797" s="1026"/>
      <c r="B797" s="976" t="s">
        <v>876</v>
      </c>
      <c r="C797" s="976"/>
      <c r="D797" s="976"/>
      <c r="E797" s="978">
        <v>0</v>
      </c>
      <c r="F797" s="974" t="s">
        <v>870</v>
      </c>
      <c r="G797" s="969">
        <f t="shared" si="168"/>
        <v>24.27</v>
      </c>
      <c r="H797" s="930">
        <f t="shared" si="164"/>
        <v>0</v>
      </c>
      <c r="I797" s="970">
        <v>2.9</v>
      </c>
      <c r="J797" s="930">
        <f t="shared" si="165"/>
        <v>0</v>
      </c>
      <c r="K797" s="931">
        <f t="shared" si="166"/>
        <v>0</v>
      </c>
      <c r="L797" s="971"/>
      <c r="M797" s="954"/>
      <c r="N797" s="954"/>
      <c r="O797" s="954"/>
      <c r="P797" s="954"/>
      <c r="Q797" s="954"/>
      <c r="R797" s="954"/>
      <c r="S797" s="954"/>
      <c r="T797" s="954"/>
      <c r="U797" s="954"/>
    </row>
    <row r="798" spans="1:21" s="933" customFormat="1" ht="24" customHeight="1">
      <c r="A798" s="1026"/>
      <c r="B798" s="976" t="s">
        <v>877</v>
      </c>
      <c r="C798" s="976"/>
      <c r="D798" s="976"/>
      <c r="E798" s="978">
        <v>46127.47</v>
      </c>
      <c r="F798" s="974" t="s">
        <v>870</v>
      </c>
      <c r="G798" s="969">
        <f t="shared" si="168"/>
        <v>24.27</v>
      </c>
      <c r="H798" s="930">
        <f t="shared" si="164"/>
        <v>1119513.7</v>
      </c>
      <c r="I798" s="970">
        <v>2.9</v>
      </c>
      <c r="J798" s="930">
        <f t="shared" si="165"/>
        <v>133769.66</v>
      </c>
      <c r="K798" s="931">
        <f t="shared" si="166"/>
        <v>1253283.3599999999</v>
      </c>
      <c r="L798" s="971"/>
      <c r="M798" s="954"/>
      <c r="N798" s="954"/>
      <c r="O798" s="954"/>
      <c r="P798" s="954"/>
      <c r="Q798" s="954"/>
      <c r="R798" s="954"/>
      <c r="S798" s="954"/>
      <c r="T798" s="954"/>
      <c r="U798" s="954"/>
    </row>
    <row r="799" spans="1:21" s="933" customFormat="1" ht="24" customHeight="1">
      <c r="A799" s="1026"/>
      <c r="B799" s="976" t="s">
        <v>878</v>
      </c>
      <c r="C799" s="976"/>
      <c r="D799" s="976"/>
      <c r="E799" s="978">
        <v>0</v>
      </c>
      <c r="F799" s="974" t="s">
        <v>870</v>
      </c>
      <c r="G799" s="969">
        <f t="shared" si="168"/>
        <v>24.27</v>
      </c>
      <c r="H799" s="930">
        <f t="shared" si="164"/>
        <v>0</v>
      </c>
      <c r="I799" s="970">
        <v>2.9</v>
      </c>
      <c r="J799" s="930">
        <f t="shared" si="165"/>
        <v>0</v>
      </c>
      <c r="K799" s="931">
        <f t="shared" si="166"/>
        <v>0</v>
      </c>
      <c r="L799" s="971"/>
      <c r="M799" s="954"/>
      <c r="N799" s="954"/>
      <c r="O799" s="954"/>
      <c r="P799" s="954"/>
      <c r="Q799" s="954"/>
      <c r="R799" s="954"/>
      <c r="S799" s="954"/>
      <c r="T799" s="954"/>
      <c r="U799" s="954"/>
    </row>
    <row r="800" spans="1:21" s="933" customFormat="1" ht="24" customHeight="1">
      <c r="A800" s="1026"/>
      <c r="B800" s="976" t="s">
        <v>879</v>
      </c>
      <c r="C800" s="976"/>
      <c r="D800" s="976"/>
      <c r="E800" s="978">
        <v>0</v>
      </c>
      <c r="F800" s="974" t="s">
        <v>870</v>
      </c>
      <c r="G800" s="969">
        <f t="shared" si="168"/>
        <v>23.8</v>
      </c>
      <c r="H800" s="930">
        <f t="shared" si="164"/>
        <v>0</v>
      </c>
      <c r="I800" s="970">
        <v>2.9</v>
      </c>
      <c r="J800" s="930">
        <f t="shared" si="165"/>
        <v>0</v>
      </c>
      <c r="K800" s="931">
        <f t="shared" si="166"/>
        <v>0</v>
      </c>
      <c r="L800" s="971"/>
      <c r="M800" s="954"/>
      <c r="N800" s="954"/>
      <c r="O800" s="954"/>
      <c r="P800" s="954"/>
      <c r="Q800" s="954"/>
      <c r="R800" s="954"/>
      <c r="S800" s="954"/>
      <c r="T800" s="954"/>
      <c r="U800" s="954"/>
    </row>
    <row r="801" spans="1:21" s="933" customFormat="1" ht="24" customHeight="1">
      <c r="A801" s="1026"/>
      <c r="B801" s="976" t="s">
        <v>880</v>
      </c>
      <c r="C801" s="976"/>
      <c r="D801" s="976"/>
      <c r="E801" s="978">
        <f>(SUM(E793:E800)/1000)*30</f>
        <v>1915.7348999999999</v>
      </c>
      <c r="F801" s="974" t="s">
        <v>870</v>
      </c>
      <c r="G801" s="969">
        <f t="shared" si="168"/>
        <v>29.92</v>
      </c>
      <c r="H801" s="930">
        <f t="shared" si="164"/>
        <v>57318.79</v>
      </c>
      <c r="I801" s="970"/>
      <c r="J801" s="930">
        <f t="shared" si="165"/>
        <v>0</v>
      </c>
      <c r="K801" s="931">
        <f t="shared" si="166"/>
        <v>57318.79</v>
      </c>
      <c r="L801" s="971"/>
      <c r="M801" s="954"/>
      <c r="N801" s="954"/>
      <c r="O801" s="954"/>
      <c r="P801" s="954"/>
      <c r="Q801" s="954"/>
      <c r="R801" s="954"/>
      <c r="S801" s="954"/>
      <c r="T801" s="954"/>
      <c r="U801" s="954"/>
    </row>
    <row r="802" spans="1:21" s="933" customFormat="1" ht="24" customHeight="1">
      <c r="A802" s="1026"/>
      <c r="B802" s="976" t="s">
        <v>881</v>
      </c>
      <c r="C802" s="976"/>
      <c r="D802" s="976"/>
      <c r="E802" s="978"/>
      <c r="F802" s="974"/>
      <c r="G802" s="969"/>
      <c r="H802" s="930"/>
      <c r="I802" s="970"/>
      <c r="J802" s="930"/>
      <c r="K802" s="931"/>
      <c r="L802" s="971"/>
      <c r="M802" s="954"/>
      <c r="N802" s="954"/>
      <c r="O802" s="954"/>
      <c r="P802" s="954"/>
      <c r="Q802" s="954"/>
      <c r="R802" s="954"/>
      <c r="S802" s="954"/>
      <c r="T802" s="954"/>
      <c r="U802" s="954"/>
    </row>
    <row r="803" spans="1:21" s="933" customFormat="1" ht="24" customHeight="1">
      <c r="A803" s="1026"/>
      <c r="B803" s="976"/>
      <c r="C803" s="976"/>
      <c r="D803" s="976"/>
      <c r="E803" s="978"/>
      <c r="F803" s="974"/>
      <c r="G803" s="969"/>
      <c r="H803" s="930"/>
      <c r="I803" s="970"/>
      <c r="J803" s="930"/>
      <c r="K803" s="931"/>
      <c r="L803" s="971"/>
      <c r="M803" s="954"/>
      <c r="N803" s="954"/>
      <c r="O803" s="954"/>
      <c r="P803" s="954"/>
      <c r="Q803" s="954"/>
      <c r="R803" s="954"/>
      <c r="S803" s="954"/>
      <c r="T803" s="954"/>
      <c r="U803" s="954"/>
    </row>
    <row r="804" spans="1:21" s="933" customFormat="1" ht="24" customHeight="1">
      <c r="A804" s="1026"/>
      <c r="B804" s="976"/>
      <c r="C804" s="976"/>
      <c r="D804" s="976"/>
      <c r="E804" s="978"/>
      <c r="F804" s="974"/>
      <c r="G804" s="969"/>
      <c r="H804" s="930"/>
      <c r="I804" s="970"/>
      <c r="J804" s="930"/>
      <c r="K804" s="931"/>
      <c r="L804" s="971"/>
      <c r="M804" s="954"/>
      <c r="N804" s="954"/>
      <c r="O804" s="954"/>
      <c r="P804" s="954"/>
      <c r="Q804" s="954"/>
      <c r="R804" s="954"/>
      <c r="S804" s="954"/>
      <c r="T804" s="954"/>
      <c r="U804" s="954"/>
    </row>
    <row r="805" spans="1:21" s="933" customFormat="1" ht="24" customHeight="1">
      <c r="A805" s="1026"/>
      <c r="B805" s="976"/>
      <c r="C805" s="976"/>
      <c r="D805" s="976"/>
      <c r="E805" s="978"/>
      <c r="F805" s="974"/>
      <c r="G805" s="969"/>
      <c r="H805" s="930"/>
      <c r="I805" s="970"/>
      <c r="J805" s="930"/>
      <c r="K805" s="931"/>
      <c r="L805" s="971"/>
      <c r="M805" s="954"/>
      <c r="N805" s="954"/>
      <c r="O805" s="954"/>
      <c r="P805" s="954"/>
      <c r="Q805" s="954"/>
      <c r="R805" s="954"/>
      <c r="S805" s="954"/>
      <c r="T805" s="954"/>
      <c r="U805" s="954"/>
    </row>
    <row r="806" spans="1:21" s="933" customFormat="1" ht="24" customHeight="1">
      <c r="A806" s="1026"/>
      <c r="B806" s="976"/>
      <c r="C806" s="976"/>
      <c r="D806" s="976"/>
      <c r="E806" s="978"/>
      <c r="F806" s="974"/>
      <c r="G806" s="969"/>
      <c r="H806" s="930"/>
      <c r="I806" s="970"/>
      <c r="J806" s="930"/>
      <c r="K806" s="931"/>
      <c r="L806" s="971"/>
      <c r="M806" s="954"/>
      <c r="N806" s="954"/>
      <c r="O806" s="954"/>
      <c r="P806" s="954"/>
      <c r="Q806" s="954"/>
      <c r="R806" s="954"/>
      <c r="S806" s="954"/>
      <c r="T806" s="954"/>
      <c r="U806" s="954"/>
    </row>
    <row r="807" spans="1:21" s="933" customFormat="1" ht="24" customHeight="1">
      <c r="A807" s="1026"/>
      <c r="B807" s="976"/>
      <c r="C807" s="976"/>
      <c r="D807" s="976"/>
      <c r="E807" s="978"/>
      <c r="F807" s="974"/>
      <c r="G807" s="969"/>
      <c r="H807" s="930"/>
      <c r="I807" s="970"/>
      <c r="J807" s="930"/>
      <c r="K807" s="931"/>
      <c r="L807" s="971"/>
      <c r="M807" s="954"/>
      <c r="N807" s="954"/>
      <c r="O807" s="954"/>
      <c r="P807" s="954"/>
      <c r="Q807" s="954"/>
      <c r="R807" s="954"/>
      <c r="S807" s="954"/>
      <c r="T807" s="954"/>
      <c r="U807" s="954"/>
    </row>
    <row r="808" spans="1:21" s="933" customFormat="1" ht="24" customHeight="1">
      <c r="A808" s="1026"/>
      <c r="B808" s="976"/>
      <c r="C808" s="976"/>
      <c r="D808" s="976"/>
      <c r="E808" s="978"/>
      <c r="F808" s="974"/>
      <c r="G808" s="969"/>
      <c r="H808" s="930"/>
      <c r="I808" s="970"/>
      <c r="J808" s="930"/>
      <c r="K808" s="931"/>
      <c r="L808" s="971"/>
      <c r="M808" s="954"/>
      <c r="N808" s="954"/>
      <c r="O808" s="954"/>
      <c r="P808" s="954"/>
      <c r="Q808" s="954"/>
      <c r="R808" s="954"/>
      <c r="S808" s="954"/>
      <c r="T808" s="954"/>
      <c r="U808" s="954"/>
    </row>
    <row r="809" spans="1:21" s="933" customFormat="1" ht="24" customHeight="1">
      <c r="A809" s="1026"/>
      <c r="B809" s="976"/>
      <c r="C809" s="976"/>
      <c r="D809" s="976"/>
      <c r="E809" s="978"/>
      <c r="F809" s="974"/>
      <c r="G809" s="969"/>
      <c r="H809" s="930"/>
      <c r="I809" s="970"/>
      <c r="J809" s="930"/>
      <c r="K809" s="931"/>
      <c r="L809" s="971"/>
      <c r="M809" s="954"/>
      <c r="N809" s="954"/>
      <c r="O809" s="954"/>
      <c r="P809" s="954"/>
      <c r="Q809" s="954"/>
      <c r="R809" s="954"/>
      <c r="S809" s="954"/>
      <c r="T809" s="954"/>
      <c r="U809" s="954"/>
    </row>
    <row r="810" spans="1:21" s="933" customFormat="1" ht="24" customHeight="1">
      <c r="A810" s="1026"/>
      <c r="B810" s="976"/>
      <c r="C810" s="976"/>
      <c r="D810" s="976"/>
      <c r="E810" s="978"/>
      <c r="F810" s="974"/>
      <c r="G810" s="969"/>
      <c r="H810" s="930"/>
      <c r="I810" s="970"/>
      <c r="J810" s="930"/>
      <c r="K810" s="931"/>
      <c r="L810" s="971"/>
      <c r="M810" s="954"/>
      <c r="N810" s="954"/>
      <c r="O810" s="954"/>
      <c r="P810" s="954"/>
      <c r="Q810" s="954"/>
      <c r="R810" s="954"/>
      <c r="S810" s="954"/>
      <c r="T810" s="954"/>
      <c r="U810" s="954"/>
    </row>
    <row r="811" spans="1:21" s="933" customFormat="1" ht="24" customHeight="1">
      <c r="A811" s="1026" t="s">
        <v>943</v>
      </c>
      <c r="B811" s="1029" t="s">
        <v>1033</v>
      </c>
      <c r="C811" s="976"/>
      <c r="D811" s="976"/>
      <c r="E811" s="978"/>
      <c r="F811" s="974"/>
      <c r="G811" s="969"/>
      <c r="H811" s="930"/>
      <c r="I811" s="970"/>
      <c r="J811" s="930"/>
      <c r="K811" s="931"/>
      <c r="L811" s="971"/>
      <c r="M811" s="954"/>
      <c r="N811" s="954"/>
      <c r="O811" s="954"/>
      <c r="P811" s="954"/>
      <c r="Q811" s="954"/>
      <c r="R811" s="954"/>
      <c r="S811" s="954"/>
      <c r="T811" s="954"/>
      <c r="U811" s="954"/>
    </row>
    <row r="812" spans="1:21" s="933" customFormat="1" ht="24" customHeight="1">
      <c r="A812" s="1026"/>
      <c r="B812" s="976" t="s">
        <v>864</v>
      </c>
      <c r="C812" s="977"/>
      <c r="D812" s="977"/>
      <c r="E812" s="978">
        <v>153.61000000000001</v>
      </c>
      <c r="F812" s="974" t="s">
        <v>865</v>
      </c>
      <c r="G812" s="969">
        <v>2516</v>
      </c>
      <c r="H812" s="930">
        <f t="shared" ref="H812:H826" si="169">ROUND(E812*G812,2)</f>
        <v>386482.76</v>
      </c>
      <c r="I812" s="970">
        <v>485</v>
      </c>
      <c r="J812" s="930">
        <f t="shared" ref="J812:J826" si="170">ROUND(E812*I812,2)</f>
        <v>74500.850000000006</v>
      </c>
      <c r="K812" s="931">
        <f t="shared" ref="K812:K826" si="171">H812+J812</f>
        <v>460983.61</v>
      </c>
      <c r="L812" s="971"/>
      <c r="M812" s="954"/>
      <c r="N812" s="954"/>
      <c r="O812" s="954"/>
      <c r="P812" s="954"/>
      <c r="Q812" s="954"/>
      <c r="R812" s="954"/>
      <c r="S812" s="954"/>
      <c r="T812" s="954"/>
      <c r="U812" s="954"/>
    </row>
    <row r="813" spans="1:21" s="933" customFormat="1" ht="24" customHeight="1">
      <c r="A813" s="1026"/>
      <c r="B813" s="979" t="s">
        <v>866</v>
      </c>
      <c r="C813" s="976"/>
      <c r="D813" s="976"/>
      <c r="E813" s="978"/>
      <c r="F813" s="974"/>
      <c r="G813" s="969"/>
      <c r="H813" s="930">
        <f t="shared" si="169"/>
        <v>0</v>
      </c>
      <c r="I813" s="970"/>
      <c r="J813" s="930">
        <f t="shared" si="170"/>
        <v>0</v>
      </c>
      <c r="K813" s="931">
        <f t="shared" si="171"/>
        <v>0</v>
      </c>
      <c r="L813" s="971"/>
      <c r="M813" s="954"/>
      <c r="N813" s="954"/>
      <c r="O813" s="954"/>
      <c r="P813" s="954"/>
      <c r="Q813" s="954"/>
      <c r="R813" s="954"/>
      <c r="S813" s="954"/>
      <c r="T813" s="954"/>
      <c r="U813" s="954"/>
    </row>
    <row r="814" spans="1:21" s="933" customFormat="1" ht="24" customHeight="1">
      <c r="A814" s="1026"/>
      <c r="B814" s="979"/>
      <c r="C814" s="976" t="s">
        <v>867</v>
      </c>
      <c r="D814" s="976"/>
      <c r="E814" s="978">
        <f>E815/2</f>
        <v>455.58</v>
      </c>
      <c r="F814" s="974" t="s">
        <v>34</v>
      </c>
      <c r="G814" s="969">
        <v>661.62</v>
      </c>
      <c r="H814" s="930">
        <f t="shared" si="169"/>
        <v>301420.84000000003</v>
      </c>
      <c r="I814" s="970"/>
      <c r="J814" s="930">
        <f t="shared" si="170"/>
        <v>0</v>
      </c>
      <c r="K814" s="931">
        <f t="shared" si="171"/>
        <v>301420.84000000003</v>
      </c>
      <c r="L814" s="971"/>
      <c r="M814" s="954"/>
      <c r="N814" s="954"/>
      <c r="O814" s="954"/>
      <c r="P814" s="954"/>
      <c r="Q814" s="954"/>
      <c r="R814" s="954"/>
      <c r="S814" s="954"/>
      <c r="T814" s="954"/>
      <c r="U814" s="954"/>
    </row>
    <row r="815" spans="1:21" s="933" customFormat="1" ht="24" customHeight="1">
      <c r="A815" s="1026"/>
      <c r="B815" s="979"/>
      <c r="C815" s="976" t="s">
        <v>868</v>
      </c>
      <c r="D815" s="976"/>
      <c r="E815" s="978">
        <v>911.16</v>
      </c>
      <c r="F815" s="974" t="s">
        <v>34</v>
      </c>
      <c r="G815" s="969"/>
      <c r="H815" s="930">
        <f t="shared" si="169"/>
        <v>0</v>
      </c>
      <c r="I815" s="970">
        <v>154</v>
      </c>
      <c r="J815" s="930">
        <f t="shared" si="170"/>
        <v>140318.64000000001</v>
      </c>
      <c r="K815" s="931">
        <f t="shared" si="171"/>
        <v>140318.64000000001</v>
      </c>
      <c r="L815" s="971"/>
      <c r="M815" s="954"/>
      <c r="N815" s="954"/>
      <c r="O815" s="954"/>
      <c r="P815" s="954"/>
      <c r="Q815" s="954"/>
      <c r="R815" s="954"/>
      <c r="S815" s="954"/>
      <c r="T815" s="954"/>
      <c r="U815" s="954"/>
    </row>
    <row r="816" spans="1:21" s="933" customFormat="1" ht="24" customHeight="1">
      <c r="A816" s="1026"/>
      <c r="B816" s="976" t="s">
        <v>869</v>
      </c>
      <c r="C816" s="976"/>
      <c r="D816" s="976"/>
      <c r="E816" s="978">
        <f>(E815*0.25)</f>
        <v>227.79</v>
      </c>
      <c r="F816" s="974" t="s">
        <v>870</v>
      </c>
      <c r="G816" s="969">
        <f t="shared" ref="G816" si="172">VLOOKUP(B816,$O$43:$P$53,2,FALSE)</f>
        <v>29.94</v>
      </c>
      <c r="H816" s="930">
        <f t="shared" si="169"/>
        <v>6820.03</v>
      </c>
      <c r="I816" s="970"/>
      <c r="J816" s="930">
        <f t="shared" si="170"/>
        <v>0</v>
      </c>
      <c r="K816" s="931">
        <f t="shared" si="171"/>
        <v>6820.03</v>
      </c>
      <c r="L816" s="971"/>
      <c r="M816" s="954"/>
      <c r="N816" s="954"/>
      <c r="O816" s="954"/>
      <c r="P816" s="954"/>
      <c r="Q816" s="954"/>
      <c r="R816" s="954"/>
      <c r="S816" s="954"/>
      <c r="T816" s="954"/>
      <c r="U816" s="954"/>
    </row>
    <row r="817" spans="1:21" s="933" customFormat="1" ht="24" customHeight="1">
      <c r="A817" s="1026"/>
      <c r="B817" s="976" t="s">
        <v>871</v>
      </c>
      <c r="C817" s="976"/>
      <c r="D817" s="976"/>
      <c r="E817" s="978"/>
      <c r="F817" s="982"/>
      <c r="G817" s="983"/>
      <c r="H817" s="930">
        <f t="shared" si="169"/>
        <v>0</v>
      </c>
      <c r="I817" s="970"/>
      <c r="J817" s="930">
        <f t="shared" si="170"/>
        <v>0</v>
      </c>
      <c r="K817" s="931">
        <f t="shared" si="171"/>
        <v>0</v>
      </c>
      <c r="L817" s="971"/>
      <c r="M817" s="954"/>
      <c r="N817" s="954"/>
      <c r="O817" s="954"/>
      <c r="P817" s="954"/>
      <c r="Q817" s="954"/>
      <c r="R817" s="954"/>
      <c r="S817" s="954"/>
      <c r="T817" s="954"/>
      <c r="U817" s="954"/>
    </row>
    <row r="818" spans="1:21" s="933" customFormat="1" ht="24" customHeight="1">
      <c r="A818" s="1026"/>
      <c r="B818" s="976" t="s">
        <v>872</v>
      </c>
      <c r="C818" s="976"/>
      <c r="D818" s="976"/>
      <c r="E818" s="978"/>
      <c r="F818" s="974" t="s">
        <v>870</v>
      </c>
      <c r="G818" s="969">
        <f t="shared" ref="G818:G826" si="173">VLOOKUP(B818,$O$43:$P$53,2,FALSE)</f>
        <v>25.73</v>
      </c>
      <c r="H818" s="930">
        <f t="shared" si="169"/>
        <v>0</v>
      </c>
      <c r="I818" s="984">
        <v>4.0999999999999996</v>
      </c>
      <c r="J818" s="930">
        <f t="shared" si="170"/>
        <v>0</v>
      </c>
      <c r="K818" s="931">
        <f t="shared" si="171"/>
        <v>0</v>
      </c>
      <c r="L818" s="971"/>
      <c r="M818" s="954"/>
      <c r="N818" s="954"/>
      <c r="O818" s="954"/>
      <c r="P818" s="954"/>
      <c r="Q818" s="954"/>
      <c r="R818" s="954"/>
      <c r="S818" s="954"/>
      <c r="T818" s="954"/>
      <c r="U818" s="954"/>
    </row>
    <row r="819" spans="1:21" s="933" customFormat="1" ht="24" customHeight="1">
      <c r="A819" s="1026"/>
      <c r="B819" s="976" t="s">
        <v>873</v>
      </c>
      <c r="C819" s="976"/>
      <c r="D819" s="976"/>
      <c r="E819" s="978"/>
      <c r="F819" s="974" t="s">
        <v>870</v>
      </c>
      <c r="G819" s="969">
        <f t="shared" si="173"/>
        <v>24.97</v>
      </c>
      <c r="H819" s="930">
        <f t="shared" si="169"/>
        <v>0</v>
      </c>
      <c r="I819" s="970">
        <v>4.0999999999999996</v>
      </c>
      <c r="J819" s="930">
        <f t="shared" si="170"/>
        <v>0</v>
      </c>
      <c r="K819" s="931">
        <f t="shared" si="171"/>
        <v>0</v>
      </c>
      <c r="L819" s="971"/>
      <c r="M819" s="954"/>
      <c r="N819" s="954"/>
      <c r="O819" s="954"/>
      <c r="P819" s="954"/>
      <c r="Q819" s="954"/>
      <c r="R819" s="954"/>
      <c r="S819" s="954"/>
      <c r="T819" s="954"/>
      <c r="U819" s="954"/>
    </row>
    <row r="820" spans="1:21" s="933" customFormat="1" ht="24" customHeight="1">
      <c r="A820" s="1026"/>
      <c r="B820" s="976" t="s">
        <v>874</v>
      </c>
      <c r="C820" s="976"/>
      <c r="D820" s="976"/>
      <c r="E820" s="978">
        <v>4854.3100000000004</v>
      </c>
      <c r="F820" s="974" t="s">
        <v>870</v>
      </c>
      <c r="G820" s="969">
        <f t="shared" si="173"/>
        <v>24.47</v>
      </c>
      <c r="H820" s="930">
        <f t="shared" si="169"/>
        <v>118784.97</v>
      </c>
      <c r="I820" s="970">
        <v>3.3</v>
      </c>
      <c r="J820" s="930">
        <f t="shared" si="170"/>
        <v>16019.22</v>
      </c>
      <c r="K820" s="931">
        <f t="shared" si="171"/>
        <v>134804.19</v>
      </c>
      <c r="L820" s="971"/>
      <c r="M820" s="954"/>
      <c r="N820" s="954"/>
      <c r="O820" s="954"/>
      <c r="P820" s="954"/>
      <c r="Q820" s="954"/>
      <c r="R820" s="954"/>
      <c r="S820" s="954"/>
      <c r="T820" s="954"/>
      <c r="U820" s="954"/>
    </row>
    <row r="821" spans="1:21" s="933" customFormat="1" ht="24" customHeight="1">
      <c r="A821" s="1026"/>
      <c r="B821" s="976" t="s">
        <v>875</v>
      </c>
      <c r="C821" s="976"/>
      <c r="D821" s="976"/>
      <c r="E821" s="978">
        <v>13791.74</v>
      </c>
      <c r="F821" s="982" t="s">
        <v>870</v>
      </c>
      <c r="G821" s="969">
        <f t="shared" si="173"/>
        <v>24.27</v>
      </c>
      <c r="H821" s="930">
        <f t="shared" si="169"/>
        <v>334725.53000000003</v>
      </c>
      <c r="I821" s="970">
        <v>3.3</v>
      </c>
      <c r="J821" s="930">
        <f t="shared" si="170"/>
        <v>45512.74</v>
      </c>
      <c r="K821" s="931">
        <f t="shared" si="171"/>
        <v>380238.27</v>
      </c>
      <c r="L821" s="971"/>
      <c r="M821" s="954"/>
      <c r="N821" s="954"/>
      <c r="O821" s="954"/>
      <c r="P821" s="954"/>
      <c r="Q821" s="954"/>
      <c r="R821" s="954"/>
      <c r="S821" s="954"/>
      <c r="T821" s="954"/>
      <c r="U821" s="954"/>
    </row>
    <row r="822" spans="1:21" s="933" customFormat="1" ht="24" customHeight="1">
      <c r="A822" s="1026"/>
      <c r="B822" s="976" t="s">
        <v>876</v>
      </c>
      <c r="C822" s="976"/>
      <c r="D822" s="976"/>
      <c r="E822" s="978">
        <v>14299.08</v>
      </c>
      <c r="F822" s="974" t="s">
        <v>870</v>
      </c>
      <c r="G822" s="969">
        <f t="shared" si="173"/>
        <v>24.27</v>
      </c>
      <c r="H822" s="930">
        <f t="shared" si="169"/>
        <v>347038.67</v>
      </c>
      <c r="I822" s="970">
        <v>2.9</v>
      </c>
      <c r="J822" s="930">
        <f t="shared" si="170"/>
        <v>41467.33</v>
      </c>
      <c r="K822" s="931">
        <f t="shared" si="171"/>
        <v>388506</v>
      </c>
      <c r="L822" s="971"/>
      <c r="M822" s="954"/>
      <c r="N822" s="954"/>
      <c r="O822" s="954"/>
      <c r="P822" s="954"/>
      <c r="Q822" s="954"/>
      <c r="R822" s="954"/>
      <c r="S822" s="954"/>
      <c r="T822" s="954"/>
      <c r="U822" s="954"/>
    </row>
    <row r="823" spans="1:21" s="933" customFormat="1" ht="24" customHeight="1">
      <c r="A823" s="1026"/>
      <c r="B823" s="976" t="s">
        <v>877</v>
      </c>
      <c r="C823" s="976"/>
      <c r="D823" s="976"/>
      <c r="E823" s="978">
        <v>8670.82</v>
      </c>
      <c r="F823" s="974" t="s">
        <v>870</v>
      </c>
      <c r="G823" s="969">
        <f t="shared" si="173"/>
        <v>24.27</v>
      </c>
      <c r="H823" s="930">
        <f t="shared" si="169"/>
        <v>210440.8</v>
      </c>
      <c r="I823" s="970">
        <v>2.9</v>
      </c>
      <c r="J823" s="930">
        <f t="shared" si="170"/>
        <v>25145.38</v>
      </c>
      <c r="K823" s="931">
        <f t="shared" si="171"/>
        <v>235586.18</v>
      </c>
      <c r="L823" s="971"/>
      <c r="M823" s="954"/>
      <c r="N823" s="954"/>
      <c r="O823" s="954"/>
      <c r="P823" s="954"/>
      <c r="Q823" s="954"/>
      <c r="R823" s="954"/>
      <c r="S823" s="954"/>
      <c r="T823" s="954"/>
      <c r="U823" s="954"/>
    </row>
    <row r="824" spans="1:21" s="933" customFormat="1" ht="24" customHeight="1">
      <c r="A824" s="1026"/>
      <c r="B824" s="976" t="s">
        <v>878</v>
      </c>
      <c r="C824" s="976"/>
      <c r="D824" s="976"/>
      <c r="E824" s="978"/>
      <c r="F824" s="974" t="s">
        <v>870</v>
      </c>
      <c r="G824" s="969">
        <f t="shared" si="173"/>
        <v>24.27</v>
      </c>
      <c r="H824" s="930">
        <f t="shared" si="169"/>
        <v>0</v>
      </c>
      <c r="I824" s="970">
        <v>2.9</v>
      </c>
      <c r="J824" s="930">
        <f t="shared" si="170"/>
        <v>0</v>
      </c>
      <c r="K824" s="931">
        <f t="shared" si="171"/>
        <v>0</v>
      </c>
      <c r="L824" s="971"/>
      <c r="M824" s="954"/>
      <c r="N824" s="954"/>
      <c r="O824" s="954"/>
      <c r="P824" s="954"/>
      <c r="Q824" s="954"/>
      <c r="R824" s="954"/>
      <c r="S824" s="954"/>
      <c r="T824" s="954"/>
      <c r="U824" s="954"/>
    </row>
    <row r="825" spans="1:21" s="933" customFormat="1" ht="24" customHeight="1">
      <c r="A825" s="1026"/>
      <c r="B825" s="976" t="s">
        <v>879</v>
      </c>
      <c r="C825" s="976"/>
      <c r="D825" s="976"/>
      <c r="E825" s="978"/>
      <c r="F825" s="974" t="s">
        <v>870</v>
      </c>
      <c r="G825" s="969">
        <f t="shared" si="173"/>
        <v>23.8</v>
      </c>
      <c r="H825" s="930">
        <f t="shared" si="169"/>
        <v>0</v>
      </c>
      <c r="I825" s="970">
        <v>2.9</v>
      </c>
      <c r="J825" s="930">
        <f t="shared" si="170"/>
        <v>0</v>
      </c>
      <c r="K825" s="931">
        <f t="shared" si="171"/>
        <v>0</v>
      </c>
      <c r="L825" s="971"/>
      <c r="M825" s="954"/>
      <c r="N825" s="954"/>
      <c r="O825" s="954"/>
      <c r="P825" s="954"/>
      <c r="Q825" s="954"/>
      <c r="R825" s="954"/>
      <c r="S825" s="954"/>
      <c r="T825" s="954"/>
      <c r="U825" s="954"/>
    </row>
    <row r="826" spans="1:21" s="933" customFormat="1" ht="24" customHeight="1">
      <c r="A826" s="1026"/>
      <c r="B826" s="976" t="s">
        <v>880</v>
      </c>
      <c r="C826" s="976"/>
      <c r="D826" s="976"/>
      <c r="E826" s="978">
        <f>(SUM(E818:E825)/1000)*30</f>
        <v>1248.4784999999999</v>
      </c>
      <c r="F826" s="974" t="s">
        <v>870</v>
      </c>
      <c r="G826" s="969">
        <f t="shared" si="173"/>
        <v>29.92</v>
      </c>
      <c r="H826" s="930">
        <f t="shared" si="169"/>
        <v>37354.480000000003</v>
      </c>
      <c r="I826" s="970"/>
      <c r="J826" s="930">
        <f t="shared" si="170"/>
        <v>0</v>
      </c>
      <c r="K826" s="931">
        <f t="shared" si="171"/>
        <v>37354.480000000003</v>
      </c>
      <c r="L826" s="971"/>
      <c r="M826" s="954"/>
      <c r="N826" s="954"/>
      <c r="O826" s="954"/>
      <c r="P826" s="954"/>
      <c r="Q826" s="954"/>
      <c r="R826" s="954"/>
      <c r="S826" s="954"/>
      <c r="T826" s="954"/>
      <c r="U826" s="954"/>
    </row>
    <row r="827" spans="1:21" s="933" customFormat="1" ht="24" customHeight="1">
      <c r="A827" s="1026"/>
      <c r="B827" s="976" t="s">
        <v>881</v>
      </c>
      <c r="C827" s="976"/>
      <c r="D827" s="976"/>
      <c r="E827" s="978"/>
      <c r="F827" s="974"/>
      <c r="G827" s="969"/>
      <c r="H827" s="930"/>
      <c r="I827" s="970"/>
      <c r="J827" s="930"/>
      <c r="K827" s="931"/>
      <c r="L827" s="971"/>
      <c r="M827" s="954"/>
      <c r="N827" s="954"/>
      <c r="O827" s="954"/>
      <c r="P827" s="954"/>
      <c r="Q827" s="954"/>
      <c r="R827" s="954"/>
      <c r="S827" s="954"/>
      <c r="T827" s="954"/>
      <c r="U827" s="954"/>
    </row>
    <row r="828" spans="1:21" s="933" customFormat="1" ht="24" customHeight="1">
      <c r="A828" s="1026"/>
      <c r="B828" s="976"/>
      <c r="C828" s="976"/>
      <c r="D828" s="976"/>
      <c r="E828" s="978"/>
      <c r="F828" s="974"/>
      <c r="G828" s="969"/>
      <c r="H828" s="930"/>
      <c r="I828" s="970"/>
      <c r="J828" s="930"/>
      <c r="K828" s="931"/>
      <c r="L828" s="971"/>
      <c r="M828" s="954"/>
      <c r="N828" s="954"/>
      <c r="O828" s="954"/>
      <c r="P828" s="954"/>
      <c r="Q828" s="954"/>
      <c r="R828" s="954"/>
      <c r="S828" s="954"/>
      <c r="T828" s="954"/>
      <c r="U828" s="954"/>
    </row>
    <row r="829" spans="1:21" s="933" customFormat="1" ht="24" customHeight="1">
      <c r="A829" s="1026"/>
      <c r="B829" s="976"/>
      <c r="C829" s="976"/>
      <c r="D829" s="976"/>
      <c r="E829" s="978"/>
      <c r="F829" s="974"/>
      <c r="G829" s="969"/>
      <c r="H829" s="930"/>
      <c r="I829" s="970"/>
      <c r="J829" s="930"/>
      <c r="K829" s="931"/>
      <c r="L829" s="971"/>
      <c r="M829" s="954"/>
      <c r="N829" s="954"/>
      <c r="O829" s="954"/>
      <c r="P829" s="954"/>
      <c r="Q829" s="954"/>
      <c r="R829" s="954"/>
      <c r="S829" s="954"/>
      <c r="T829" s="954"/>
      <c r="U829" s="954"/>
    </row>
    <row r="830" spans="1:21" s="933" customFormat="1" ht="24" customHeight="1">
      <c r="A830" s="1026"/>
      <c r="B830" s="976"/>
      <c r="C830" s="976"/>
      <c r="D830" s="976"/>
      <c r="E830" s="978"/>
      <c r="F830" s="974"/>
      <c r="G830" s="969"/>
      <c r="H830" s="930"/>
      <c r="I830" s="970"/>
      <c r="J830" s="930"/>
      <c r="K830" s="931"/>
      <c r="L830" s="971"/>
      <c r="M830" s="954"/>
      <c r="N830" s="954"/>
      <c r="O830" s="954"/>
      <c r="P830" s="954"/>
      <c r="Q830" s="954"/>
      <c r="R830" s="954"/>
      <c r="S830" s="954"/>
      <c r="T830" s="954"/>
      <c r="U830" s="954"/>
    </row>
    <row r="831" spans="1:21" s="933" customFormat="1" ht="24" customHeight="1">
      <c r="A831" s="1026"/>
      <c r="B831" s="976"/>
      <c r="C831" s="976"/>
      <c r="D831" s="976"/>
      <c r="E831" s="978"/>
      <c r="F831" s="974"/>
      <c r="G831" s="969"/>
      <c r="H831" s="930"/>
      <c r="I831" s="970"/>
      <c r="J831" s="930"/>
      <c r="K831" s="931"/>
      <c r="L831" s="971"/>
      <c r="M831" s="954"/>
      <c r="N831" s="954"/>
      <c r="O831" s="954"/>
      <c r="P831" s="954"/>
      <c r="Q831" s="954"/>
      <c r="R831" s="954"/>
      <c r="S831" s="954"/>
      <c r="T831" s="954"/>
      <c r="U831" s="954"/>
    </row>
    <row r="832" spans="1:21" s="933" customFormat="1" ht="24" customHeight="1">
      <c r="A832" s="1026"/>
      <c r="B832" s="976"/>
      <c r="C832" s="976"/>
      <c r="D832" s="976"/>
      <c r="E832" s="978"/>
      <c r="F832" s="974"/>
      <c r="G832" s="969"/>
      <c r="H832" s="930"/>
      <c r="I832" s="970"/>
      <c r="J832" s="930"/>
      <c r="K832" s="931"/>
      <c r="L832" s="971"/>
      <c r="M832" s="954"/>
      <c r="N832" s="954"/>
      <c r="O832" s="954"/>
      <c r="P832" s="954"/>
      <c r="Q832" s="954"/>
      <c r="R832" s="954"/>
      <c r="S832" s="954"/>
      <c r="T832" s="954"/>
      <c r="U832" s="954"/>
    </row>
    <row r="833" spans="1:21" s="933" customFormat="1" ht="24" customHeight="1">
      <c r="A833" s="1026"/>
      <c r="B833" s="976"/>
      <c r="C833" s="976"/>
      <c r="D833" s="976"/>
      <c r="E833" s="978"/>
      <c r="F833" s="974"/>
      <c r="G833" s="969"/>
      <c r="H833" s="930"/>
      <c r="I833" s="970"/>
      <c r="J833" s="930"/>
      <c r="K833" s="931"/>
      <c r="L833" s="971"/>
      <c r="M833" s="954"/>
      <c r="N833" s="954"/>
      <c r="O833" s="954"/>
      <c r="P833" s="954"/>
      <c r="Q833" s="954"/>
      <c r="R833" s="954"/>
      <c r="S833" s="954"/>
      <c r="T833" s="954"/>
      <c r="U833" s="954"/>
    </row>
    <row r="834" spans="1:21" s="933" customFormat="1" ht="24" customHeight="1">
      <c r="A834" s="1026"/>
      <c r="B834" s="976"/>
      <c r="C834" s="976"/>
      <c r="D834" s="976"/>
      <c r="E834" s="978"/>
      <c r="F834" s="974"/>
      <c r="G834" s="969"/>
      <c r="H834" s="930"/>
      <c r="I834" s="970"/>
      <c r="J834" s="930"/>
      <c r="K834" s="931"/>
      <c r="L834" s="971"/>
      <c r="M834" s="954"/>
      <c r="N834" s="954"/>
      <c r="O834" s="954"/>
      <c r="P834" s="954"/>
      <c r="Q834" s="954"/>
      <c r="R834" s="954"/>
      <c r="S834" s="954"/>
      <c r="T834" s="954"/>
      <c r="U834" s="954"/>
    </row>
    <row r="835" spans="1:21" s="933" customFormat="1" ht="24" customHeight="1">
      <c r="A835" s="1026"/>
      <c r="B835" s="976"/>
      <c r="C835" s="976"/>
      <c r="D835" s="976"/>
      <c r="E835" s="978"/>
      <c r="F835" s="974"/>
      <c r="G835" s="969"/>
      <c r="H835" s="930"/>
      <c r="I835" s="970"/>
      <c r="J835" s="930"/>
      <c r="K835" s="931"/>
      <c r="L835" s="971"/>
      <c r="M835" s="954"/>
      <c r="N835" s="954"/>
      <c r="O835" s="954"/>
      <c r="P835" s="954"/>
      <c r="Q835" s="954"/>
      <c r="R835" s="954"/>
      <c r="S835" s="954"/>
      <c r="T835" s="954"/>
      <c r="U835" s="954"/>
    </row>
    <row r="836" spans="1:21" s="933" customFormat="1" ht="24" customHeight="1">
      <c r="A836" s="1026" t="s">
        <v>944</v>
      </c>
      <c r="B836" s="1029" t="s">
        <v>945</v>
      </c>
      <c r="C836" s="976"/>
      <c r="D836" s="976"/>
      <c r="E836" s="978"/>
      <c r="F836" s="974"/>
      <c r="G836" s="969"/>
      <c r="H836" s="930"/>
      <c r="I836" s="970"/>
      <c r="J836" s="930"/>
      <c r="K836" s="931"/>
      <c r="L836" s="971"/>
      <c r="M836" s="954"/>
      <c r="N836" s="954"/>
      <c r="O836" s="954"/>
      <c r="P836" s="954"/>
      <c r="Q836" s="954"/>
      <c r="R836" s="954"/>
      <c r="S836" s="954"/>
      <c r="T836" s="954"/>
      <c r="U836" s="954"/>
    </row>
    <row r="837" spans="1:21" s="933" customFormat="1" ht="24" customHeight="1">
      <c r="A837" s="1026"/>
      <c r="B837" s="976" t="s">
        <v>864</v>
      </c>
      <c r="C837" s="977"/>
      <c r="D837" s="977"/>
      <c r="E837" s="978">
        <v>17.1828</v>
      </c>
      <c r="F837" s="974" t="s">
        <v>865</v>
      </c>
      <c r="G837" s="969">
        <v>2516</v>
      </c>
      <c r="H837" s="930">
        <f t="shared" ref="H837:H851" si="174">ROUND(E837*G837,2)</f>
        <v>43231.92</v>
      </c>
      <c r="I837" s="970">
        <v>485</v>
      </c>
      <c r="J837" s="930">
        <f t="shared" ref="J837:J851" si="175">ROUND(E837*I837,2)</f>
        <v>8333.66</v>
      </c>
      <c r="K837" s="931">
        <f t="shared" ref="K837:K851" si="176">H837+J837</f>
        <v>51565.58</v>
      </c>
      <c r="L837" s="971"/>
      <c r="M837" s="954"/>
      <c r="N837" s="954"/>
      <c r="O837" s="954"/>
      <c r="P837" s="954"/>
      <c r="Q837" s="954"/>
      <c r="R837" s="954"/>
      <c r="S837" s="954"/>
      <c r="T837" s="954"/>
      <c r="U837" s="954"/>
    </row>
    <row r="838" spans="1:21" s="933" customFormat="1" ht="24" customHeight="1">
      <c r="A838" s="1026"/>
      <c r="B838" s="979" t="s">
        <v>866</v>
      </c>
      <c r="C838" s="976"/>
      <c r="D838" s="976"/>
      <c r="E838" s="978"/>
      <c r="F838" s="974"/>
      <c r="G838" s="969"/>
      <c r="H838" s="930">
        <f t="shared" si="174"/>
        <v>0</v>
      </c>
      <c r="I838" s="970"/>
      <c r="J838" s="930">
        <f t="shared" si="175"/>
        <v>0</v>
      </c>
      <c r="K838" s="931">
        <f t="shared" si="176"/>
        <v>0</v>
      </c>
      <c r="L838" s="971"/>
      <c r="M838" s="954"/>
      <c r="N838" s="954"/>
      <c r="O838" s="954"/>
      <c r="P838" s="954"/>
      <c r="Q838" s="954"/>
      <c r="R838" s="954"/>
      <c r="S838" s="954"/>
      <c r="T838" s="954"/>
      <c r="U838" s="954"/>
    </row>
    <row r="839" spans="1:21" s="933" customFormat="1" ht="24" customHeight="1">
      <c r="A839" s="1026"/>
      <c r="B839" s="979"/>
      <c r="C839" s="976" t="s">
        <v>867</v>
      </c>
      <c r="D839" s="976"/>
      <c r="E839" s="978">
        <f>E840/2</f>
        <v>58.164000000000001</v>
      </c>
      <c r="F839" s="974" t="s">
        <v>34</v>
      </c>
      <c r="G839" s="969">
        <v>661.62</v>
      </c>
      <c r="H839" s="930">
        <f t="shared" si="174"/>
        <v>38482.47</v>
      </c>
      <c r="I839" s="970"/>
      <c r="J839" s="930">
        <f t="shared" si="175"/>
        <v>0</v>
      </c>
      <c r="K839" s="931">
        <f t="shared" si="176"/>
        <v>38482.47</v>
      </c>
      <c r="L839" s="971"/>
      <c r="M839" s="954"/>
      <c r="N839" s="954"/>
      <c r="O839" s="954"/>
      <c r="P839" s="954"/>
      <c r="Q839" s="954"/>
      <c r="R839" s="954"/>
      <c r="S839" s="954"/>
      <c r="T839" s="954"/>
      <c r="U839" s="954"/>
    </row>
    <row r="840" spans="1:21" s="933" customFormat="1" ht="24" customHeight="1">
      <c r="A840" s="1026"/>
      <c r="B840" s="979"/>
      <c r="C840" s="976" t="s">
        <v>868</v>
      </c>
      <c r="D840" s="976"/>
      <c r="E840" s="978">
        <v>116.328</v>
      </c>
      <c r="F840" s="974" t="s">
        <v>34</v>
      </c>
      <c r="G840" s="969"/>
      <c r="H840" s="930">
        <f t="shared" si="174"/>
        <v>0</v>
      </c>
      <c r="I840" s="970">
        <v>154</v>
      </c>
      <c r="J840" s="930">
        <f t="shared" si="175"/>
        <v>17914.509999999998</v>
      </c>
      <c r="K840" s="931">
        <f t="shared" si="176"/>
        <v>17914.509999999998</v>
      </c>
      <c r="L840" s="971"/>
      <c r="M840" s="954"/>
      <c r="N840" s="954"/>
      <c r="O840" s="954"/>
      <c r="P840" s="954"/>
      <c r="Q840" s="954"/>
      <c r="R840" s="954"/>
      <c r="S840" s="954"/>
      <c r="T840" s="954"/>
      <c r="U840" s="954"/>
    </row>
    <row r="841" spans="1:21" s="933" customFormat="1" ht="24" customHeight="1">
      <c r="A841" s="1026"/>
      <c r="B841" s="976" t="s">
        <v>869</v>
      </c>
      <c r="C841" s="976"/>
      <c r="D841" s="976"/>
      <c r="E841" s="978">
        <f>(E840*0.25)</f>
        <v>29.082000000000001</v>
      </c>
      <c r="F841" s="974" t="s">
        <v>870</v>
      </c>
      <c r="G841" s="969">
        <f t="shared" ref="G841" si="177">VLOOKUP(B841,$O$43:$P$53,2,FALSE)</f>
        <v>29.94</v>
      </c>
      <c r="H841" s="930">
        <f t="shared" si="174"/>
        <v>870.72</v>
      </c>
      <c r="I841" s="970"/>
      <c r="J841" s="930">
        <f t="shared" si="175"/>
        <v>0</v>
      </c>
      <c r="K841" s="931">
        <f t="shared" si="176"/>
        <v>870.72</v>
      </c>
      <c r="L841" s="971"/>
      <c r="M841" s="954"/>
      <c r="N841" s="954"/>
      <c r="O841" s="954"/>
      <c r="P841" s="954"/>
      <c r="Q841" s="954"/>
      <c r="R841" s="954"/>
      <c r="S841" s="954"/>
      <c r="T841" s="954"/>
      <c r="U841" s="954"/>
    </row>
    <row r="842" spans="1:21" s="933" customFormat="1" ht="24" customHeight="1">
      <c r="A842" s="1026"/>
      <c r="B842" s="976" t="s">
        <v>871</v>
      </c>
      <c r="C842" s="976"/>
      <c r="D842" s="976"/>
      <c r="E842" s="978"/>
      <c r="F842" s="982"/>
      <c r="G842" s="983"/>
      <c r="H842" s="930">
        <f t="shared" si="174"/>
        <v>0</v>
      </c>
      <c r="I842" s="970"/>
      <c r="J842" s="930">
        <f t="shared" si="175"/>
        <v>0</v>
      </c>
      <c r="K842" s="931">
        <f t="shared" si="176"/>
        <v>0</v>
      </c>
      <c r="L842" s="971"/>
      <c r="M842" s="954"/>
      <c r="N842" s="954"/>
      <c r="O842" s="954"/>
      <c r="P842" s="954"/>
      <c r="Q842" s="954"/>
      <c r="R842" s="954"/>
      <c r="S842" s="954"/>
      <c r="T842" s="954"/>
      <c r="U842" s="954"/>
    </row>
    <row r="843" spans="1:21" s="933" customFormat="1" ht="24" customHeight="1">
      <c r="A843" s="1026"/>
      <c r="B843" s="976" t="s">
        <v>872</v>
      </c>
      <c r="C843" s="976"/>
      <c r="D843" s="976"/>
      <c r="E843" s="978"/>
      <c r="F843" s="974" t="s">
        <v>870</v>
      </c>
      <c r="G843" s="969">
        <f t="shared" ref="G843:G851" si="178">VLOOKUP(B843,$O$43:$P$53,2,FALSE)</f>
        <v>25.73</v>
      </c>
      <c r="H843" s="930">
        <f t="shared" si="174"/>
        <v>0</v>
      </c>
      <c r="I843" s="984">
        <v>4.0999999999999996</v>
      </c>
      <c r="J843" s="930">
        <f t="shared" si="175"/>
        <v>0</v>
      </c>
      <c r="K843" s="931">
        <f t="shared" si="176"/>
        <v>0</v>
      </c>
      <c r="L843" s="971"/>
      <c r="M843" s="954"/>
      <c r="N843" s="954"/>
      <c r="O843" s="954"/>
      <c r="P843" s="954"/>
      <c r="Q843" s="954"/>
      <c r="R843" s="954"/>
      <c r="S843" s="954"/>
      <c r="T843" s="954"/>
      <c r="U843" s="954"/>
    </row>
    <row r="844" spans="1:21" s="933" customFormat="1" ht="24" customHeight="1">
      <c r="A844" s="1026"/>
      <c r="B844" s="976" t="s">
        <v>873</v>
      </c>
      <c r="C844" s="976"/>
      <c r="D844" s="976"/>
      <c r="E844" s="978">
        <v>884.53</v>
      </c>
      <c r="F844" s="974" t="s">
        <v>870</v>
      </c>
      <c r="G844" s="969">
        <f t="shared" si="178"/>
        <v>24.97</v>
      </c>
      <c r="H844" s="930">
        <f t="shared" si="174"/>
        <v>22086.71</v>
      </c>
      <c r="I844" s="970">
        <v>4.0999999999999996</v>
      </c>
      <c r="J844" s="930">
        <f t="shared" si="175"/>
        <v>3626.57</v>
      </c>
      <c r="K844" s="931">
        <f t="shared" si="176"/>
        <v>25713.279999999999</v>
      </c>
      <c r="L844" s="971"/>
      <c r="M844" s="954"/>
      <c r="N844" s="954"/>
      <c r="O844" s="954"/>
      <c r="P844" s="954"/>
      <c r="Q844" s="954"/>
      <c r="R844" s="954"/>
      <c r="S844" s="954"/>
      <c r="T844" s="954"/>
      <c r="U844" s="954"/>
    </row>
    <row r="845" spans="1:21" s="933" customFormat="1" ht="24" customHeight="1">
      <c r="A845" s="1026"/>
      <c r="B845" s="976" t="s">
        <v>874</v>
      </c>
      <c r="C845" s="976"/>
      <c r="D845" s="976"/>
      <c r="E845" s="978">
        <v>1011.72</v>
      </c>
      <c r="F845" s="974" t="s">
        <v>870</v>
      </c>
      <c r="G845" s="969">
        <f t="shared" si="178"/>
        <v>24.47</v>
      </c>
      <c r="H845" s="930">
        <f t="shared" si="174"/>
        <v>24756.79</v>
      </c>
      <c r="I845" s="970">
        <v>3.3</v>
      </c>
      <c r="J845" s="930">
        <f t="shared" si="175"/>
        <v>3338.68</v>
      </c>
      <c r="K845" s="931">
        <f t="shared" si="176"/>
        <v>28095.47</v>
      </c>
      <c r="L845" s="971"/>
      <c r="M845" s="954"/>
      <c r="N845" s="954"/>
      <c r="O845" s="954"/>
      <c r="P845" s="954"/>
      <c r="Q845" s="954"/>
      <c r="R845" s="954"/>
      <c r="S845" s="954"/>
      <c r="T845" s="954"/>
      <c r="U845" s="954"/>
    </row>
    <row r="846" spans="1:21" s="933" customFormat="1" ht="24" customHeight="1">
      <c r="A846" s="1026"/>
      <c r="B846" s="976" t="s">
        <v>875</v>
      </c>
      <c r="C846" s="976"/>
      <c r="D846" s="976"/>
      <c r="E846" s="978">
        <v>584.02</v>
      </c>
      <c r="F846" s="982" t="s">
        <v>870</v>
      </c>
      <c r="G846" s="969">
        <f t="shared" si="178"/>
        <v>24.27</v>
      </c>
      <c r="H846" s="930">
        <f t="shared" si="174"/>
        <v>14174.17</v>
      </c>
      <c r="I846" s="970">
        <v>3.3</v>
      </c>
      <c r="J846" s="930">
        <f t="shared" si="175"/>
        <v>1927.27</v>
      </c>
      <c r="K846" s="931">
        <f t="shared" si="176"/>
        <v>16101.44</v>
      </c>
      <c r="L846" s="971"/>
      <c r="M846" s="954"/>
      <c r="N846" s="954"/>
      <c r="O846" s="954"/>
      <c r="P846" s="954"/>
      <c r="Q846" s="954"/>
      <c r="R846" s="954"/>
      <c r="S846" s="954"/>
      <c r="T846" s="954"/>
      <c r="U846" s="954"/>
    </row>
    <row r="847" spans="1:21" s="933" customFormat="1" ht="24" customHeight="1">
      <c r="A847" s="1026"/>
      <c r="B847" s="976" t="s">
        <v>876</v>
      </c>
      <c r="C847" s="976"/>
      <c r="D847" s="976"/>
      <c r="E847" s="978"/>
      <c r="F847" s="974" t="s">
        <v>870</v>
      </c>
      <c r="G847" s="969">
        <f t="shared" si="178"/>
        <v>24.27</v>
      </c>
      <c r="H847" s="930">
        <f t="shared" si="174"/>
        <v>0</v>
      </c>
      <c r="I847" s="970">
        <v>2.9</v>
      </c>
      <c r="J847" s="930">
        <f t="shared" si="175"/>
        <v>0</v>
      </c>
      <c r="K847" s="931">
        <f t="shared" si="176"/>
        <v>0</v>
      </c>
      <c r="L847" s="971"/>
      <c r="M847" s="954"/>
      <c r="N847" s="954"/>
      <c r="O847" s="954"/>
      <c r="P847" s="954"/>
      <c r="Q847" s="954"/>
      <c r="R847" s="954"/>
      <c r="S847" s="954"/>
      <c r="T847" s="954"/>
      <c r="U847" s="954"/>
    </row>
    <row r="848" spans="1:21" s="933" customFormat="1" ht="24" customHeight="1">
      <c r="A848" s="1026"/>
      <c r="B848" s="976" t="s">
        <v>877</v>
      </c>
      <c r="C848" s="976"/>
      <c r="D848" s="976"/>
      <c r="E848" s="978"/>
      <c r="F848" s="974" t="s">
        <v>870</v>
      </c>
      <c r="G848" s="969">
        <f t="shared" si="178"/>
        <v>24.27</v>
      </c>
      <c r="H848" s="930">
        <f t="shared" si="174"/>
        <v>0</v>
      </c>
      <c r="I848" s="970">
        <v>2.9</v>
      </c>
      <c r="J848" s="930">
        <f t="shared" si="175"/>
        <v>0</v>
      </c>
      <c r="K848" s="931">
        <f t="shared" si="176"/>
        <v>0</v>
      </c>
      <c r="L848" s="971"/>
      <c r="M848" s="954"/>
      <c r="N848" s="954"/>
      <c r="O848" s="954"/>
      <c r="P848" s="954"/>
      <c r="Q848" s="954"/>
      <c r="R848" s="954"/>
      <c r="S848" s="954"/>
      <c r="T848" s="954"/>
      <c r="U848" s="954"/>
    </row>
    <row r="849" spans="1:21" s="933" customFormat="1" ht="24" customHeight="1">
      <c r="A849" s="1026"/>
      <c r="B849" s="976" t="s">
        <v>878</v>
      </c>
      <c r="C849" s="976"/>
      <c r="D849" s="976"/>
      <c r="E849" s="978"/>
      <c r="F849" s="974" t="s">
        <v>870</v>
      </c>
      <c r="G849" s="969">
        <f t="shared" si="178"/>
        <v>24.27</v>
      </c>
      <c r="H849" s="930">
        <f t="shared" si="174"/>
        <v>0</v>
      </c>
      <c r="I849" s="970">
        <v>2.9</v>
      </c>
      <c r="J849" s="930">
        <f t="shared" si="175"/>
        <v>0</v>
      </c>
      <c r="K849" s="931">
        <f t="shared" si="176"/>
        <v>0</v>
      </c>
      <c r="L849" s="971"/>
      <c r="M849" s="954"/>
      <c r="N849" s="954"/>
      <c r="O849" s="954"/>
      <c r="P849" s="954"/>
      <c r="Q849" s="954"/>
      <c r="R849" s="954"/>
      <c r="S849" s="954"/>
      <c r="T849" s="954"/>
      <c r="U849" s="954"/>
    </row>
    <row r="850" spans="1:21" s="933" customFormat="1" ht="24" customHeight="1">
      <c r="A850" s="1026"/>
      <c r="B850" s="976" t="s">
        <v>879</v>
      </c>
      <c r="C850" s="976"/>
      <c r="D850" s="976"/>
      <c r="E850" s="978"/>
      <c r="F850" s="974" t="s">
        <v>870</v>
      </c>
      <c r="G850" s="969">
        <f t="shared" si="178"/>
        <v>23.8</v>
      </c>
      <c r="H850" s="930">
        <f t="shared" si="174"/>
        <v>0</v>
      </c>
      <c r="I850" s="970">
        <v>2.9</v>
      </c>
      <c r="J850" s="930">
        <f t="shared" si="175"/>
        <v>0</v>
      </c>
      <c r="K850" s="931">
        <f t="shared" si="176"/>
        <v>0</v>
      </c>
      <c r="L850" s="971"/>
      <c r="M850" s="954"/>
      <c r="N850" s="954"/>
      <c r="O850" s="954"/>
      <c r="P850" s="954"/>
      <c r="Q850" s="954"/>
      <c r="R850" s="954"/>
      <c r="S850" s="954"/>
      <c r="T850" s="954"/>
      <c r="U850" s="954"/>
    </row>
    <row r="851" spans="1:21" s="933" customFormat="1" ht="24" customHeight="1">
      <c r="A851" s="1026"/>
      <c r="B851" s="976" t="s">
        <v>880</v>
      </c>
      <c r="C851" s="976"/>
      <c r="D851" s="976"/>
      <c r="E851" s="978">
        <f>(SUM(E843:E850)/1000)*30</f>
        <v>74.408100000000005</v>
      </c>
      <c r="F851" s="974" t="s">
        <v>870</v>
      </c>
      <c r="G851" s="969">
        <f t="shared" si="178"/>
        <v>29.92</v>
      </c>
      <c r="H851" s="930">
        <f t="shared" si="174"/>
        <v>2226.29</v>
      </c>
      <c r="I851" s="970"/>
      <c r="J851" s="930">
        <f t="shared" si="175"/>
        <v>0</v>
      </c>
      <c r="K851" s="931">
        <f t="shared" si="176"/>
        <v>2226.29</v>
      </c>
      <c r="L851" s="971"/>
      <c r="M851" s="954"/>
      <c r="N851" s="954"/>
      <c r="O851" s="954"/>
      <c r="P851" s="954"/>
      <c r="Q851" s="954"/>
      <c r="R851" s="954"/>
      <c r="S851" s="954"/>
      <c r="T851" s="954"/>
      <c r="U851" s="954"/>
    </row>
    <row r="852" spans="1:21" s="933" customFormat="1" ht="24" customHeight="1">
      <c r="A852" s="1026"/>
      <c r="B852" s="976" t="s">
        <v>881</v>
      </c>
      <c r="C852" s="976"/>
      <c r="D852" s="976"/>
      <c r="E852" s="978"/>
      <c r="F852" s="974"/>
      <c r="G852" s="969"/>
      <c r="H852" s="930"/>
      <c r="I852" s="970"/>
      <c r="J852" s="930"/>
      <c r="K852" s="931"/>
      <c r="L852" s="971"/>
      <c r="M852" s="954"/>
      <c r="N852" s="954"/>
      <c r="O852" s="954"/>
      <c r="P852" s="954"/>
      <c r="Q852" s="954"/>
      <c r="R852" s="954"/>
      <c r="S852" s="954"/>
      <c r="T852" s="954"/>
      <c r="U852" s="954"/>
    </row>
    <row r="853" spans="1:21" s="933" customFormat="1" ht="24" customHeight="1">
      <c r="A853" s="1026"/>
      <c r="B853" s="976"/>
      <c r="C853" s="976"/>
      <c r="D853" s="976"/>
      <c r="E853" s="978"/>
      <c r="F853" s="974"/>
      <c r="G853" s="969"/>
      <c r="H853" s="930"/>
      <c r="I853" s="970"/>
      <c r="J853" s="930"/>
      <c r="K853" s="931"/>
      <c r="L853" s="971"/>
      <c r="M853" s="954"/>
      <c r="N853" s="954"/>
      <c r="O853" s="954"/>
      <c r="P853" s="954"/>
      <c r="Q853" s="954"/>
      <c r="R853" s="954"/>
      <c r="S853" s="954"/>
      <c r="T853" s="954"/>
      <c r="U853" s="954"/>
    </row>
    <row r="854" spans="1:21" s="933" customFormat="1" ht="24" customHeight="1">
      <c r="A854" s="1026"/>
      <c r="B854" s="976"/>
      <c r="C854" s="976"/>
      <c r="D854" s="976"/>
      <c r="E854" s="978"/>
      <c r="F854" s="974"/>
      <c r="G854" s="969"/>
      <c r="H854" s="930"/>
      <c r="I854" s="970"/>
      <c r="J854" s="930"/>
      <c r="K854" s="931"/>
      <c r="L854" s="971"/>
      <c r="M854" s="954"/>
      <c r="N854" s="954"/>
      <c r="O854" s="954"/>
      <c r="P854" s="954"/>
      <c r="Q854" s="954"/>
      <c r="R854" s="954"/>
      <c r="S854" s="954"/>
      <c r="T854" s="954"/>
      <c r="U854" s="954"/>
    </row>
    <row r="855" spans="1:21" s="933" customFormat="1" ht="24" customHeight="1">
      <c r="A855" s="1026"/>
      <c r="B855" s="976"/>
      <c r="C855" s="976"/>
      <c r="D855" s="976"/>
      <c r="E855" s="978"/>
      <c r="F855" s="974"/>
      <c r="G855" s="969"/>
      <c r="H855" s="930"/>
      <c r="I855" s="970"/>
      <c r="J855" s="930"/>
      <c r="K855" s="931"/>
      <c r="L855" s="971"/>
      <c r="M855" s="954"/>
      <c r="N855" s="954"/>
      <c r="O855" s="954"/>
      <c r="P855" s="954"/>
      <c r="Q855" s="954"/>
      <c r="R855" s="954"/>
      <c r="S855" s="954"/>
      <c r="T855" s="954"/>
      <c r="U855" s="954"/>
    </row>
    <row r="856" spans="1:21" s="933" customFormat="1" ht="24" customHeight="1">
      <c r="A856" s="1026"/>
      <c r="B856" s="976"/>
      <c r="C856" s="976"/>
      <c r="D856" s="976"/>
      <c r="E856" s="978"/>
      <c r="F856" s="974"/>
      <c r="G856" s="969"/>
      <c r="H856" s="930"/>
      <c r="I856" s="970"/>
      <c r="J856" s="930"/>
      <c r="K856" s="931"/>
      <c r="L856" s="971"/>
      <c r="M856" s="954"/>
      <c r="N856" s="954"/>
      <c r="O856" s="954"/>
      <c r="P856" s="954"/>
      <c r="Q856" s="954"/>
      <c r="R856" s="954"/>
      <c r="S856" s="954"/>
      <c r="T856" s="954"/>
      <c r="U856" s="954"/>
    </row>
    <row r="857" spans="1:21" s="933" customFormat="1" ht="24" customHeight="1">
      <c r="A857" s="1026"/>
      <c r="B857" s="976"/>
      <c r="C857" s="976"/>
      <c r="D857" s="976"/>
      <c r="E857" s="978"/>
      <c r="F857" s="974"/>
      <c r="G857" s="969"/>
      <c r="H857" s="930"/>
      <c r="I857" s="970"/>
      <c r="J857" s="930"/>
      <c r="K857" s="931"/>
      <c r="L857" s="971"/>
      <c r="M857" s="954"/>
      <c r="N857" s="954"/>
      <c r="O857" s="954"/>
      <c r="P857" s="954"/>
      <c r="Q857" s="954"/>
      <c r="R857" s="954"/>
      <c r="S857" s="954"/>
      <c r="T857" s="954"/>
      <c r="U857" s="954"/>
    </row>
    <row r="858" spans="1:21" s="933" customFormat="1" ht="24" customHeight="1">
      <c r="A858" s="1026"/>
      <c r="B858" s="976"/>
      <c r="C858" s="976"/>
      <c r="D858" s="976"/>
      <c r="E858" s="978"/>
      <c r="F858" s="974"/>
      <c r="G858" s="969"/>
      <c r="H858" s="930"/>
      <c r="I858" s="970"/>
      <c r="J858" s="930"/>
      <c r="K858" s="931"/>
      <c r="L858" s="971"/>
      <c r="M858" s="954"/>
      <c r="N858" s="954"/>
      <c r="O858" s="954"/>
      <c r="P858" s="954"/>
      <c r="Q858" s="954"/>
      <c r="R858" s="954"/>
      <c r="S858" s="954"/>
      <c r="T858" s="954"/>
      <c r="U858" s="954"/>
    </row>
    <row r="859" spans="1:21" s="933" customFormat="1" ht="24" customHeight="1">
      <c r="A859" s="956"/>
      <c r="B859" s="987"/>
      <c r="C859" s="987"/>
      <c r="D859" s="987"/>
      <c r="E859" s="978"/>
      <c r="F859" s="989"/>
      <c r="G859" s="983"/>
      <c r="H859" s="990"/>
      <c r="I859" s="984"/>
      <c r="J859" s="990"/>
      <c r="K859" s="991"/>
      <c r="L859" s="992"/>
      <c r="M859" s="954"/>
      <c r="N859" s="954"/>
      <c r="O859" s="954"/>
      <c r="P859" s="954"/>
      <c r="Q859" s="954"/>
      <c r="R859" s="954"/>
      <c r="S859" s="954"/>
      <c r="T859" s="954"/>
      <c r="U859" s="954"/>
    </row>
    <row r="860" spans="1:21" s="933" customFormat="1" ht="24" customHeight="1">
      <c r="A860" s="1014"/>
      <c r="B860" s="2226" t="str">
        <f>"รวมราคารายการที่ "&amp;A736</f>
        <v>รวมราคารายการที่ 1.7</v>
      </c>
      <c r="C860" s="2226"/>
      <c r="D860" s="2226"/>
      <c r="E860" s="1015"/>
      <c r="F860" s="1016"/>
      <c r="G860" s="1017"/>
      <c r="H860" s="1018">
        <f>ROUND(SUBTOTAL(9,H739:H859),2)</f>
        <v>15674429.27</v>
      </c>
      <c r="I860" s="1019"/>
      <c r="J860" s="1018">
        <f>ROUND(SUBTOTAL(9,J739:J859),2)</f>
        <v>3115061.14</v>
      </c>
      <c r="K860" s="1018">
        <f>ROUND(SUBTOTAL(9,K739:K859),2)</f>
        <v>18789490.41</v>
      </c>
      <c r="L860" s="1018"/>
      <c r="M860" s="954"/>
      <c r="N860" s="954"/>
      <c r="O860" s="954"/>
      <c r="P860" s="954"/>
      <c r="Q860" s="954"/>
      <c r="R860" s="954"/>
      <c r="S860" s="954"/>
      <c r="T860" s="954"/>
      <c r="U860" s="954"/>
    </row>
    <row r="861" spans="1:21" s="933" customFormat="1" ht="24" customHeight="1">
      <c r="A861" s="956">
        <v>1.8</v>
      </c>
      <c r="B861" s="957" t="s">
        <v>946</v>
      </c>
      <c r="C861" s="987"/>
      <c r="D861" s="987"/>
      <c r="E861" s="988"/>
      <c r="F861" s="989"/>
      <c r="G861" s="983"/>
      <c r="H861" s="990"/>
      <c r="I861" s="984"/>
      <c r="J861" s="990"/>
      <c r="K861" s="991"/>
      <c r="L861" s="992"/>
      <c r="M861" s="954"/>
      <c r="N861" s="954"/>
      <c r="O861" s="954"/>
      <c r="P861" s="954"/>
      <c r="Q861" s="954"/>
      <c r="R861" s="954"/>
      <c r="S861" s="954"/>
      <c r="T861" s="954"/>
      <c r="U861" s="954"/>
    </row>
    <row r="862" spans="1:21" s="933" customFormat="1" ht="24" customHeight="1">
      <c r="A862" s="1026"/>
      <c r="B862" s="966"/>
      <c r="C862" s="976"/>
      <c r="D862" s="976"/>
      <c r="E862" s="985"/>
      <c r="F862" s="974"/>
      <c r="G862" s="969"/>
      <c r="H862" s="930"/>
      <c r="I862" s="970"/>
      <c r="J862" s="930"/>
      <c r="K862" s="931"/>
      <c r="L862" s="971"/>
      <c r="M862" s="954"/>
      <c r="N862" s="954"/>
      <c r="O862" s="954"/>
      <c r="P862" s="954"/>
      <c r="Q862" s="954"/>
      <c r="R862" s="954"/>
      <c r="S862" s="954"/>
      <c r="T862" s="954"/>
      <c r="U862" s="954"/>
    </row>
    <row r="863" spans="1:21" s="933" customFormat="1" ht="24" customHeight="1">
      <c r="A863" s="1026" t="s">
        <v>947</v>
      </c>
      <c r="B863" s="1030" t="s">
        <v>948</v>
      </c>
      <c r="C863" s="976"/>
      <c r="D863" s="976"/>
      <c r="E863" s="985"/>
      <c r="F863" s="974"/>
      <c r="G863" s="969"/>
      <c r="H863" s="930"/>
      <c r="I863" s="970"/>
      <c r="J863" s="930"/>
      <c r="K863" s="931"/>
      <c r="L863" s="971"/>
      <c r="M863" s="954"/>
      <c r="N863" s="954"/>
      <c r="O863" s="954"/>
      <c r="P863" s="954"/>
      <c r="Q863" s="954"/>
      <c r="R863" s="954"/>
      <c r="S863" s="954"/>
      <c r="T863" s="954"/>
      <c r="U863" s="954"/>
    </row>
    <row r="864" spans="1:21" s="933" customFormat="1" ht="24" customHeight="1">
      <c r="A864" s="1026"/>
      <c r="B864" s="976" t="s">
        <v>864</v>
      </c>
      <c r="C864" s="977"/>
      <c r="D864" s="977"/>
      <c r="E864" s="978">
        <v>1384.76</v>
      </c>
      <c r="F864" s="974" t="s">
        <v>865</v>
      </c>
      <c r="G864" s="969">
        <v>2516</v>
      </c>
      <c r="H864" s="930">
        <f t="shared" ref="H864:H879" si="179">ROUND(E864*G864,2)</f>
        <v>3484056.16</v>
      </c>
      <c r="I864" s="970">
        <v>485</v>
      </c>
      <c r="J864" s="930">
        <f t="shared" ref="J864:J879" si="180">ROUND(E864*I864,2)</f>
        <v>671608.6</v>
      </c>
      <c r="K864" s="931">
        <f t="shared" ref="K864:K879" si="181">H864+J864</f>
        <v>4155664.7600000002</v>
      </c>
      <c r="L864" s="971"/>
      <c r="M864" s="954"/>
      <c r="N864" s="954"/>
      <c r="O864" s="954"/>
      <c r="P864" s="954"/>
      <c r="Q864" s="954"/>
      <c r="R864" s="954"/>
      <c r="S864" s="954"/>
      <c r="T864" s="954"/>
      <c r="U864" s="954"/>
    </row>
    <row r="865" spans="1:21" s="933" customFormat="1" ht="24" customHeight="1">
      <c r="A865" s="1026"/>
      <c r="B865" s="979" t="s">
        <v>866</v>
      </c>
      <c r="C865" s="976"/>
      <c r="D865" s="976"/>
      <c r="E865" s="978"/>
      <c r="F865" s="974"/>
      <c r="G865" s="969"/>
      <c r="H865" s="930">
        <f t="shared" si="179"/>
        <v>0</v>
      </c>
      <c r="I865" s="970"/>
      <c r="J865" s="930">
        <f t="shared" si="180"/>
        <v>0</v>
      </c>
      <c r="K865" s="931">
        <f t="shared" si="181"/>
        <v>0</v>
      </c>
      <c r="L865" s="971"/>
      <c r="M865" s="954"/>
      <c r="N865" s="954"/>
      <c r="O865" s="954"/>
      <c r="P865" s="954"/>
      <c r="Q865" s="954"/>
      <c r="R865" s="954"/>
      <c r="S865" s="954"/>
      <c r="T865" s="954"/>
      <c r="U865" s="954"/>
    </row>
    <row r="866" spans="1:21" s="933" customFormat="1" ht="24" customHeight="1">
      <c r="A866" s="1026"/>
      <c r="B866" s="979"/>
      <c r="C866" s="976" t="s">
        <v>867</v>
      </c>
      <c r="D866" s="976"/>
      <c r="E866" s="978">
        <f>E867/2</f>
        <v>3104.4949999999999</v>
      </c>
      <c r="F866" s="974" t="s">
        <v>34</v>
      </c>
      <c r="G866" s="969">
        <v>661.62</v>
      </c>
      <c r="H866" s="930">
        <f t="shared" si="179"/>
        <v>2053995.98</v>
      </c>
      <c r="I866" s="970"/>
      <c r="J866" s="930">
        <f t="shared" si="180"/>
        <v>0</v>
      </c>
      <c r="K866" s="931">
        <f t="shared" si="181"/>
        <v>2053995.98</v>
      </c>
      <c r="L866" s="971"/>
      <c r="M866" s="954"/>
      <c r="N866" s="954"/>
      <c r="O866" s="954"/>
      <c r="P866" s="954"/>
      <c r="Q866" s="954"/>
      <c r="R866" s="954"/>
      <c r="S866" s="954"/>
      <c r="T866" s="954"/>
      <c r="U866" s="954"/>
    </row>
    <row r="867" spans="1:21" s="933" customFormat="1" ht="24" customHeight="1">
      <c r="A867" s="1026"/>
      <c r="B867" s="979"/>
      <c r="C867" s="976" t="s">
        <v>868</v>
      </c>
      <c r="D867" s="976"/>
      <c r="E867" s="978">
        <v>6208.99</v>
      </c>
      <c r="F867" s="974" t="s">
        <v>34</v>
      </c>
      <c r="G867" s="969"/>
      <c r="H867" s="930">
        <f t="shared" si="179"/>
        <v>0</v>
      </c>
      <c r="I867" s="970">
        <v>154</v>
      </c>
      <c r="J867" s="930">
        <f t="shared" si="180"/>
        <v>956184.46</v>
      </c>
      <c r="K867" s="931">
        <f t="shared" si="181"/>
        <v>956184.46</v>
      </c>
      <c r="L867" s="971"/>
      <c r="M867" s="954"/>
      <c r="N867" s="954"/>
      <c r="O867" s="954"/>
      <c r="P867" s="954"/>
      <c r="Q867" s="954"/>
      <c r="R867" s="954"/>
      <c r="S867" s="954"/>
      <c r="T867" s="954"/>
      <c r="U867" s="954"/>
    </row>
    <row r="868" spans="1:21" s="933" customFormat="1" ht="24" customHeight="1">
      <c r="A868" s="1026"/>
      <c r="B868" s="976" t="s">
        <v>869</v>
      </c>
      <c r="C868" s="976"/>
      <c r="D868" s="976"/>
      <c r="E868" s="978">
        <f>(E867*0.25)</f>
        <v>1552.2474999999999</v>
      </c>
      <c r="F868" s="974" t="s">
        <v>870</v>
      </c>
      <c r="G868" s="969">
        <f t="shared" ref="G868" si="182">VLOOKUP(B868,$O$43:$P$53,2,FALSE)</f>
        <v>29.94</v>
      </c>
      <c r="H868" s="930">
        <f t="shared" si="179"/>
        <v>46474.29</v>
      </c>
      <c r="I868" s="970"/>
      <c r="J868" s="930">
        <f t="shared" si="180"/>
        <v>0</v>
      </c>
      <c r="K868" s="931">
        <f t="shared" si="181"/>
        <v>46474.29</v>
      </c>
      <c r="L868" s="971"/>
      <c r="M868" s="954"/>
      <c r="N868" s="954"/>
      <c r="O868" s="954"/>
      <c r="P868" s="954"/>
      <c r="Q868" s="954"/>
      <c r="R868" s="954"/>
      <c r="S868" s="954"/>
      <c r="T868" s="954"/>
      <c r="U868" s="954"/>
    </row>
    <row r="869" spans="1:21" s="933" customFormat="1" ht="24" customHeight="1">
      <c r="A869" s="1026"/>
      <c r="B869" s="976" t="s">
        <v>871</v>
      </c>
      <c r="C869" s="976"/>
      <c r="D869" s="976"/>
      <c r="E869" s="978"/>
      <c r="F869" s="982"/>
      <c r="G869" s="983"/>
      <c r="H869" s="930">
        <f t="shared" si="179"/>
        <v>0</v>
      </c>
      <c r="I869" s="970"/>
      <c r="J869" s="930">
        <f t="shared" si="180"/>
        <v>0</v>
      </c>
      <c r="K869" s="931">
        <f t="shared" si="181"/>
        <v>0</v>
      </c>
      <c r="L869" s="971"/>
      <c r="M869" s="954"/>
      <c r="N869" s="954"/>
      <c r="O869" s="954"/>
      <c r="P869" s="954"/>
      <c r="Q869" s="954"/>
      <c r="R869" s="954"/>
      <c r="S869" s="954"/>
      <c r="T869" s="954"/>
      <c r="U869" s="954"/>
    </row>
    <row r="870" spans="1:21" s="933" customFormat="1" ht="24" customHeight="1">
      <c r="A870" s="1026"/>
      <c r="B870" s="976" t="s">
        <v>872</v>
      </c>
      <c r="C870" s="976"/>
      <c r="D870" s="976"/>
      <c r="E870" s="978"/>
      <c r="F870" s="974" t="s">
        <v>870</v>
      </c>
      <c r="G870" s="969">
        <f t="shared" ref="G870:G878" si="183">VLOOKUP(B870,$O$43:$P$53,2,FALSE)</f>
        <v>25.73</v>
      </c>
      <c r="H870" s="930">
        <f t="shared" si="179"/>
        <v>0</v>
      </c>
      <c r="I870" s="984">
        <v>4.0999999999999996</v>
      </c>
      <c r="J870" s="930">
        <f t="shared" si="180"/>
        <v>0</v>
      </c>
      <c r="K870" s="931">
        <f t="shared" si="181"/>
        <v>0</v>
      </c>
      <c r="L870" s="971"/>
      <c r="M870" s="954"/>
      <c r="N870" s="954"/>
      <c r="O870" s="954"/>
      <c r="P870" s="954"/>
      <c r="Q870" s="954"/>
      <c r="R870" s="954"/>
      <c r="S870" s="954"/>
      <c r="T870" s="954"/>
      <c r="U870" s="954"/>
    </row>
    <row r="871" spans="1:21" s="933" customFormat="1" ht="24" customHeight="1">
      <c r="A871" s="1026"/>
      <c r="B871" s="976" t="s">
        <v>873</v>
      </c>
      <c r="C871" s="976"/>
      <c r="D871" s="976"/>
      <c r="E871" s="978">
        <v>0</v>
      </c>
      <c r="F871" s="974" t="s">
        <v>870</v>
      </c>
      <c r="G871" s="969">
        <f t="shared" si="183"/>
        <v>24.97</v>
      </c>
      <c r="H871" s="930">
        <f t="shared" si="179"/>
        <v>0</v>
      </c>
      <c r="I871" s="970">
        <v>4.0999999999999996</v>
      </c>
      <c r="J871" s="930">
        <f t="shared" si="180"/>
        <v>0</v>
      </c>
      <c r="K871" s="931">
        <f t="shared" si="181"/>
        <v>0</v>
      </c>
      <c r="L871" s="971"/>
      <c r="M871" s="954"/>
      <c r="N871" s="954"/>
      <c r="O871" s="954"/>
      <c r="P871" s="954"/>
      <c r="Q871" s="954"/>
      <c r="R871" s="954"/>
      <c r="S871" s="954"/>
      <c r="T871" s="954"/>
      <c r="U871" s="954"/>
    </row>
    <row r="872" spans="1:21" s="933" customFormat="1" ht="24" customHeight="1">
      <c r="A872" s="1026"/>
      <c r="B872" s="976" t="s">
        <v>874</v>
      </c>
      <c r="C872" s="976"/>
      <c r="D872" s="976"/>
      <c r="E872" s="978">
        <v>37239.589999999997</v>
      </c>
      <c r="F872" s="974" t="s">
        <v>870</v>
      </c>
      <c r="G872" s="969">
        <f t="shared" si="183"/>
        <v>24.47</v>
      </c>
      <c r="H872" s="930">
        <f t="shared" si="179"/>
        <v>911252.77</v>
      </c>
      <c r="I872" s="970">
        <v>3.3</v>
      </c>
      <c r="J872" s="930">
        <f t="shared" si="180"/>
        <v>122890.65</v>
      </c>
      <c r="K872" s="931">
        <f t="shared" si="181"/>
        <v>1034143.42</v>
      </c>
      <c r="L872" s="971"/>
      <c r="M872" s="954"/>
      <c r="N872" s="954"/>
      <c r="O872" s="954"/>
      <c r="P872" s="954"/>
      <c r="Q872" s="954"/>
      <c r="R872" s="954"/>
      <c r="S872" s="954"/>
      <c r="T872" s="954"/>
      <c r="U872" s="954"/>
    </row>
    <row r="873" spans="1:21" s="933" customFormat="1" ht="24" customHeight="1">
      <c r="A873" s="1026"/>
      <c r="B873" s="976" t="s">
        <v>875</v>
      </c>
      <c r="C873" s="976"/>
      <c r="D873" s="976"/>
      <c r="E873" s="978">
        <v>29408.77</v>
      </c>
      <c r="F873" s="982" t="s">
        <v>870</v>
      </c>
      <c r="G873" s="969">
        <f t="shared" si="183"/>
        <v>24.27</v>
      </c>
      <c r="H873" s="930">
        <f t="shared" si="179"/>
        <v>713750.85</v>
      </c>
      <c r="I873" s="970">
        <v>3.3</v>
      </c>
      <c r="J873" s="930">
        <f t="shared" si="180"/>
        <v>97048.94</v>
      </c>
      <c r="K873" s="931">
        <f t="shared" si="181"/>
        <v>810799.79</v>
      </c>
      <c r="L873" s="971"/>
      <c r="M873" s="954"/>
      <c r="N873" s="954"/>
      <c r="O873" s="954"/>
      <c r="P873" s="954"/>
      <c r="Q873" s="954"/>
      <c r="R873" s="954"/>
      <c r="S873" s="954"/>
      <c r="T873" s="954"/>
      <c r="U873" s="954"/>
    </row>
    <row r="874" spans="1:21" s="933" customFormat="1" ht="24" customHeight="1">
      <c r="A874" s="1026"/>
      <c r="B874" s="976" t="s">
        <v>876</v>
      </c>
      <c r="C874" s="976"/>
      <c r="D874" s="976"/>
      <c r="E874" s="978">
        <v>609.58000000000004</v>
      </c>
      <c r="F874" s="974" t="s">
        <v>870</v>
      </c>
      <c r="G874" s="969">
        <f t="shared" si="183"/>
        <v>24.27</v>
      </c>
      <c r="H874" s="930">
        <f t="shared" si="179"/>
        <v>14794.51</v>
      </c>
      <c r="I874" s="970">
        <v>2.9</v>
      </c>
      <c r="J874" s="930">
        <f t="shared" si="180"/>
        <v>1767.78</v>
      </c>
      <c r="K874" s="931">
        <f t="shared" si="181"/>
        <v>16562.29</v>
      </c>
      <c r="L874" s="971"/>
      <c r="M874" s="954"/>
      <c r="N874" s="954"/>
      <c r="O874" s="954"/>
      <c r="P874" s="954"/>
      <c r="Q874" s="954"/>
      <c r="R874" s="954"/>
      <c r="S874" s="954"/>
      <c r="T874" s="954"/>
      <c r="U874" s="954"/>
    </row>
    <row r="875" spans="1:21" s="933" customFormat="1" ht="24" customHeight="1">
      <c r="A875" s="1026"/>
      <c r="B875" s="976" t="s">
        <v>877</v>
      </c>
      <c r="C875" s="976"/>
      <c r="D875" s="976"/>
      <c r="E875" s="978">
        <v>0</v>
      </c>
      <c r="F875" s="974" t="s">
        <v>870</v>
      </c>
      <c r="G875" s="969">
        <f t="shared" si="183"/>
        <v>24.27</v>
      </c>
      <c r="H875" s="930">
        <f t="shared" si="179"/>
        <v>0</v>
      </c>
      <c r="I875" s="970">
        <v>2.9</v>
      </c>
      <c r="J875" s="930">
        <f t="shared" si="180"/>
        <v>0</v>
      </c>
      <c r="K875" s="931">
        <f t="shared" si="181"/>
        <v>0</v>
      </c>
      <c r="L875" s="971"/>
      <c r="M875" s="954"/>
      <c r="N875" s="954"/>
      <c r="O875" s="954"/>
      <c r="P875" s="954"/>
      <c r="Q875" s="954"/>
      <c r="R875" s="954"/>
      <c r="S875" s="954"/>
      <c r="T875" s="954"/>
      <c r="U875" s="954"/>
    </row>
    <row r="876" spans="1:21" s="933" customFormat="1" ht="24" customHeight="1">
      <c r="A876" s="1026"/>
      <c r="B876" s="976" t="s">
        <v>878</v>
      </c>
      <c r="C876" s="976"/>
      <c r="D876" s="976"/>
      <c r="E876" s="978"/>
      <c r="F876" s="974" t="s">
        <v>870</v>
      </c>
      <c r="G876" s="969">
        <f t="shared" si="183"/>
        <v>24.27</v>
      </c>
      <c r="H876" s="930">
        <f t="shared" si="179"/>
        <v>0</v>
      </c>
      <c r="I876" s="970">
        <v>2.9</v>
      </c>
      <c r="J876" s="930">
        <f t="shared" si="180"/>
        <v>0</v>
      </c>
      <c r="K876" s="931">
        <f t="shared" si="181"/>
        <v>0</v>
      </c>
      <c r="L876" s="971"/>
      <c r="M876" s="954"/>
      <c r="N876" s="954"/>
      <c r="O876" s="954"/>
      <c r="P876" s="954"/>
      <c r="Q876" s="954"/>
      <c r="R876" s="954"/>
      <c r="S876" s="954"/>
      <c r="T876" s="954"/>
      <c r="U876" s="954"/>
    </row>
    <row r="877" spans="1:21" s="933" customFormat="1" ht="24" customHeight="1">
      <c r="A877" s="1026"/>
      <c r="B877" s="976" t="s">
        <v>879</v>
      </c>
      <c r="C877" s="976"/>
      <c r="D877" s="976"/>
      <c r="E877" s="978"/>
      <c r="F877" s="974" t="s">
        <v>870</v>
      </c>
      <c r="G877" s="969">
        <f t="shared" si="183"/>
        <v>23.8</v>
      </c>
      <c r="H877" s="930">
        <f t="shared" si="179"/>
        <v>0</v>
      </c>
      <c r="I877" s="970">
        <v>2.9</v>
      </c>
      <c r="J877" s="930">
        <f t="shared" si="180"/>
        <v>0</v>
      </c>
      <c r="K877" s="931">
        <f t="shared" si="181"/>
        <v>0</v>
      </c>
      <c r="L877" s="971"/>
      <c r="M877" s="954"/>
      <c r="N877" s="954"/>
      <c r="O877" s="954"/>
      <c r="P877" s="954"/>
      <c r="Q877" s="954"/>
      <c r="R877" s="954"/>
      <c r="S877" s="954"/>
      <c r="T877" s="954"/>
      <c r="U877" s="954"/>
    </row>
    <row r="878" spans="1:21" s="933" customFormat="1" ht="24" customHeight="1">
      <c r="A878" s="1026"/>
      <c r="B878" s="976" t="s">
        <v>880</v>
      </c>
      <c r="C878" s="976"/>
      <c r="D878" s="976"/>
      <c r="E878" s="978">
        <f>(SUM(E870:E877)/1000)*30</f>
        <v>2017.7382000000002</v>
      </c>
      <c r="F878" s="974" t="s">
        <v>870</v>
      </c>
      <c r="G878" s="969">
        <f t="shared" si="183"/>
        <v>29.92</v>
      </c>
      <c r="H878" s="930">
        <f t="shared" si="179"/>
        <v>60370.73</v>
      </c>
      <c r="I878" s="970"/>
      <c r="J878" s="930">
        <f t="shared" si="180"/>
        <v>0</v>
      </c>
      <c r="K878" s="931">
        <f t="shared" si="181"/>
        <v>60370.73</v>
      </c>
      <c r="L878" s="971"/>
      <c r="M878" s="954"/>
      <c r="N878" s="954"/>
      <c r="O878" s="954"/>
      <c r="P878" s="954"/>
      <c r="Q878" s="954"/>
      <c r="R878" s="954"/>
      <c r="S878" s="954"/>
      <c r="T878" s="954"/>
      <c r="U878" s="954"/>
    </row>
    <row r="879" spans="1:21" s="933" customFormat="1" ht="24" customHeight="1">
      <c r="A879" s="1026"/>
      <c r="B879" s="976" t="s">
        <v>888</v>
      </c>
      <c r="C879" s="976"/>
      <c r="D879" s="976"/>
      <c r="E879" s="978">
        <v>5667.64</v>
      </c>
      <c r="F879" s="974" t="s">
        <v>34</v>
      </c>
      <c r="G879" s="983">
        <v>340</v>
      </c>
      <c r="H879" s="930">
        <f t="shared" si="179"/>
        <v>1926997.6</v>
      </c>
      <c r="I879" s="970"/>
      <c r="J879" s="930">
        <f t="shared" si="180"/>
        <v>0</v>
      </c>
      <c r="K879" s="931">
        <f t="shared" si="181"/>
        <v>1926997.6</v>
      </c>
      <c r="L879" s="971"/>
      <c r="M879" s="954"/>
      <c r="N879" s="954"/>
      <c r="O879" s="954"/>
      <c r="P879" s="954"/>
      <c r="Q879" s="954"/>
      <c r="R879" s="954"/>
      <c r="S879" s="954"/>
      <c r="T879" s="954"/>
      <c r="U879" s="954"/>
    </row>
    <row r="880" spans="1:21" s="933" customFormat="1" ht="24" customHeight="1">
      <c r="A880" s="1026"/>
      <c r="B880" s="976" t="s">
        <v>881</v>
      </c>
      <c r="C880" s="976"/>
      <c r="D880" s="976"/>
      <c r="E880" s="978"/>
      <c r="F880" s="974"/>
      <c r="G880" s="969"/>
      <c r="H880" s="930"/>
      <c r="I880" s="970"/>
      <c r="J880" s="930"/>
      <c r="K880" s="931"/>
      <c r="L880" s="971"/>
      <c r="M880" s="954"/>
      <c r="N880" s="954"/>
      <c r="O880" s="954"/>
      <c r="P880" s="954"/>
      <c r="Q880" s="954"/>
      <c r="R880" s="954"/>
      <c r="S880" s="954"/>
      <c r="T880" s="954"/>
      <c r="U880" s="954"/>
    </row>
    <row r="881" spans="1:21" s="933" customFormat="1" ht="24" customHeight="1">
      <c r="A881" s="1026"/>
      <c r="B881" s="976"/>
      <c r="C881" s="976"/>
      <c r="D881" s="976"/>
      <c r="E881" s="978"/>
      <c r="F881" s="974"/>
      <c r="G881" s="969"/>
      <c r="H881" s="930"/>
      <c r="I881" s="970"/>
      <c r="J881" s="930"/>
      <c r="K881" s="931"/>
      <c r="L881" s="971"/>
      <c r="M881" s="954"/>
      <c r="N881" s="954"/>
      <c r="O881" s="954"/>
      <c r="P881" s="954"/>
      <c r="Q881" s="954"/>
      <c r="R881" s="954"/>
      <c r="S881" s="954"/>
      <c r="T881" s="954"/>
      <c r="U881" s="954"/>
    </row>
    <row r="882" spans="1:21" s="933" customFormat="1" ht="24" customHeight="1">
      <c r="A882" s="1026"/>
      <c r="B882" s="976"/>
      <c r="C882" s="976"/>
      <c r="D882" s="976"/>
      <c r="E882" s="978"/>
      <c r="F882" s="974"/>
      <c r="G882" s="969"/>
      <c r="H882" s="930"/>
      <c r="I882" s="970"/>
      <c r="J882" s="930"/>
      <c r="K882" s="931"/>
      <c r="L882" s="971"/>
      <c r="M882" s="954"/>
      <c r="N882" s="954"/>
      <c r="O882" s="954"/>
      <c r="P882" s="954"/>
      <c r="Q882" s="954"/>
      <c r="R882" s="954"/>
      <c r="S882" s="954"/>
      <c r="T882" s="954"/>
      <c r="U882" s="954"/>
    </row>
    <row r="883" spans="1:21" s="933" customFormat="1" ht="24" customHeight="1">
      <c r="A883" s="1026"/>
      <c r="B883" s="1021"/>
      <c r="C883" s="976"/>
      <c r="D883" s="976"/>
      <c r="E883" s="978"/>
      <c r="F883" s="974"/>
      <c r="G883" s="969"/>
      <c r="H883" s="930"/>
      <c r="I883" s="970"/>
      <c r="J883" s="930"/>
      <c r="K883" s="931"/>
      <c r="L883" s="971"/>
      <c r="M883" s="954"/>
      <c r="N883" s="954"/>
      <c r="O883" s="954"/>
      <c r="P883" s="954"/>
      <c r="Q883" s="954"/>
      <c r="R883" s="954"/>
      <c r="S883" s="954"/>
      <c r="T883" s="954"/>
      <c r="U883" s="954"/>
    </row>
    <row r="884" spans="1:21" s="933" customFormat="1" ht="24" customHeight="1">
      <c r="A884" s="1026"/>
      <c r="B884" s="1021"/>
      <c r="C884" s="976"/>
      <c r="D884" s="976"/>
      <c r="E884" s="978"/>
      <c r="F884" s="974"/>
      <c r="G884" s="969"/>
      <c r="H884" s="930"/>
      <c r="I884" s="970"/>
      <c r="J884" s="930"/>
      <c r="K884" s="931"/>
      <c r="L884" s="971"/>
      <c r="M884" s="954"/>
      <c r="N884" s="954"/>
      <c r="O884" s="954"/>
      <c r="P884" s="954"/>
      <c r="Q884" s="954"/>
      <c r="R884" s="954"/>
      <c r="S884" s="954"/>
      <c r="T884" s="954"/>
      <c r="U884" s="954"/>
    </row>
    <row r="885" spans="1:21" s="933" customFormat="1" ht="24" customHeight="1">
      <c r="A885" s="1026"/>
      <c r="B885" s="1021"/>
      <c r="C885" s="976"/>
      <c r="D885" s="976"/>
      <c r="E885" s="978"/>
      <c r="F885" s="974"/>
      <c r="G885" s="969"/>
      <c r="H885" s="930"/>
      <c r="I885" s="970"/>
      <c r="J885" s="930"/>
      <c r="K885" s="931"/>
      <c r="L885" s="971"/>
      <c r="M885" s="954"/>
      <c r="N885" s="954"/>
      <c r="O885" s="954"/>
      <c r="P885" s="954"/>
      <c r="Q885" s="954"/>
      <c r="R885" s="954"/>
      <c r="S885" s="954"/>
      <c r="T885" s="954"/>
      <c r="U885" s="954"/>
    </row>
    <row r="886" spans="1:21" s="933" customFormat="1" ht="24" customHeight="1">
      <c r="A886" s="1026" t="s">
        <v>949</v>
      </c>
      <c r="B886" s="1030" t="s">
        <v>950</v>
      </c>
      <c r="C886" s="976"/>
      <c r="D886" s="976"/>
      <c r="E886" s="978"/>
      <c r="F886" s="974"/>
      <c r="G886" s="969"/>
      <c r="H886" s="930"/>
      <c r="I886" s="970"/>
      <c r="J886" s="930"/>
      <c r="K886" s="931"/>
      <c r="L886" s="971"/>
      <c r="M886" s="954"/>
      <c r="N886" s="954"/>
      <c r="O886" s="954"/>
      <c r="P886" s="954"/>
      <c r="Q886" s="954"/>
      <c r="R886" s="954"/>
      <c r="S886" s="954"/>
      <c r="T886" s="954"/>
      <c r="U886" s="954"/>
    </row>
    <row r="887" spans="1:21" s="933" customFormat="1" ht="24" customHeight="1">
      <c r="A887" s="1026"/>
      <c r="B887" s="976" t="s">
        <v>864</v>
      </c>
      <c r="C887" s="977"/>
      <c r="D887" s="977"/>
      <c r="E887" s="978">
        <v>172.51</v>
      </c>
      <c r="F887" s="974" t="s">
        <v>865</v>
      </c>
      <c r="G887" s="969">
        <v>2516</v>
      </c>
      <c r="H887" s="930">
        <f t="shared" ref="H887:H901" si="184">ROUND(E887*G887,2)</f>
        <v>434035.16</v>
      </c>
      <c r="I887" s="970">
        <v>485</v>
      </c>
      <c r="J887" s="930">
        <f t="shared" ref="J887:J901" si="185">ROUND(E887*I887,2)</f>
        <v>83667.350000000006</v>
      </c>
      <c r="K887" s="931">
        <f t="shared" ref="K887:K901" si="186">H887+J887</f>
        <v>517702.51</v>
      </c>
      <c r="L887" s="971"/>
      <c r="M887" s="954"/>
      <c r="N887" s="954"/>
      <c r="O887" s="954"/>
      <c r="P887" s="954"/>
      <c r="Q887" s="954"/>
      <c r="R887" s="954"/>
      <c r="S887" s="954"/>
      <c r="T887" s="954"/>
      <c r="U887" s="954"/>
    </row>
    <row r="888" spans="1:21" s="933" customFormat="1" ht="24" customHeight="1">
      <c r="A888" s="1026"/>
      <c r="B888" s="979" t="s">
        <v>866</v>
      </c>
      <c r="C888" s="976"/>
      <c r="D888" s="976"/>
      <c r="E888" s="978"/>
      <c r="F888" s="974"/>
      <c r="G888" s="969"/>
      <c r="H888" s="930">
        <f t="shared" si="184"/>
        <v>0</v>
      </c>
      <c r="I888" s="970"/>
      <c r="J888" s="930">
        <f t="shared" si="185"/>
        <v>0</v>
      </c>
      <c r="K888" s="931">
        <f t="shared" si="186"/>
        <v>0</v>
      </c>
      <c r="L888" s="971"/>
      <c r="M888" s="954"/>
      <c r="N888" s="954"/>
      <c r="O888" s="954"/>
      <c r="P888" s="954"/>
      <c r="Q888" s="954"/>
      <c r="R888" s="954"/>
      <c r="S888" s="954"/>
      <c r="T888" s="954"/>
      <c r="U888" s="954"/>
    </row>
    <row r="889" spans="1:21" s="933" customFormat="1" ht="24" customHeight="1">
      <c r="A889" s="1026"/>
      <c r="B889" s="979"/>
      <c r="C889" s="976" t="s">
        <v>867</v>
      </c>
      <c r="D889" s="976"/>
      <c r="E889" s="978">
        <f>E890/2</f>
        <v>393.83499999999998</v>
      </c>
      <c r="F889" s="974" t="s">
        <v>34</v>
      </c>
      <c r="G889" s="969">
        <v>661.62</v>
      </c>
      <c r="H889" s="930">
        <f t="shared" si="184"/>
        <v>260569.11</v>
      </c>
      <c r="I889" s="970"/>
      <c r="J889" s="930">
        <f t="shared" si="185"/>
        <v>0</v>
      </c>
      <c r="K889" s="931">
        <f t="shared" si="186"/>
        <v>260569.11</v>
      </c>
      <c r="L889" s="971"/>
      <c r="M889" s="954"/>
      <c r="N889" s="954"/>
      <c r="O889" s="954"/>
      <c r="P889" s="954"/>
      <c r="Q889" s="954"/>
      <c r="R889" s="954"/>
      <c r="S889" s="954"/>
      <c r="T889" s="954"/>
      <c r="U889" s="954"/>
    </row>
    <row r="890" spans="1:21" s="933" customFormat="1" ht="24" customHeight="1">
      <c r="A890" s="1026"/>
      <c r="B890" s="979"/>
      <c r="C890" s="976" t="s">
        <v>868</v>
      </c>
      <c r="D890" s="976"/>
      <c r="E890" s="978">
        <v>787.67</v>
      </c>
      <c r="F890" s="974" t="s">
        <v>34</v>
      </c>
      <c r="G890" s="969"/>
      <c r="H890" s="930">
        <f t="shared" si="184"/>
        <v>0</v>
      </c>
      <c r="I890" s="970">
        <v>154</v>
      </c>
      <c r="J890" s="930">
        <f t="shared" si="185"/>
        <v>121301.18</v>
      </c>
      <c r="K890" s="931">
        <f t="shared" si="186"/>
        <v>121301.18</v>
      </c>
      <c r="L890" s="971"/>
      <c r="M890" s="954"/>
      <c r="N890" s="954"/>
      <c r="O890" s="954"/>
      <c r="P890" s="954"/>
      <c r="Q890" s="954"/>
      <c r="R890" s="954"/>
      <c r="S890" s="954"/>
      <c r="T890" s="954"/>
      <c r="U890" s="954"/>
    </row>
    <row r="891" spans="1:21" s="933" customFormat="1" ht="24" customHeight="1">
      <c r="A891" s="1026"/>
      <c r="B891" s="976" t="s">
        <v>869</v>
      </c>
      <c r="C891" s="976"/>
      <c r="D891" s="976"/>
      <c r="E891" s="978">
        <f>(E890*0.25)</f>
        <v>196.91749999999999</v>
      </c>
      <c r="F891" s="974" t="s">
        <v>870</v>
      </c>
      <c r="G891" s="969">
        <f t="shared" ref="G891" si="187">VLOOKUP(B891,$O$43:$P$53,2,FALSE)</f>
        <v>29.94</v>
      </c>
      <c r="H891" s="930">
        <f t="shared" si="184"/>
        <v>5895.71</v>
      </c>
      <c r="I891" s="970"/>
      <c r="J891" s="930">
        <f t="shared" si="185"/>
        <v>0</v>
      </c>
      <c r="K891" s="931">
        <f t="shared" si="186"/>
        <v>5895.71</v>
      </c>
      <c r="L891" s="971"/>
      <c r="M891" s="954"/>
      <c r="N891" s="954"/>
      <c r="O891" s="954"/>
      <c r="P891" s="954"/>
      <c r="Q891" s="954"/>
      <c r="R891" s="954"/>
      <c r="S891" s="954"/>
      <c r="T891" s="954"/>
      <c r="U891" s="954"/>
    </row>
    <row r="892" spans="1:21" s="933" customFormat="1" ht="24" customHeight="1">
      <c r="A892" s="1026"/>
      <c r="B892" s="976" t="s">
        <v>871</v>
      </c>
      <c r="C892" s="976"/>
      <c r="D892" s="976"/>
      <c r="E892" s="978"/>
      <c r="F892" s="982"/>
      <c r="G892" s="983"/>
      <c r="H892" s="930">
        <f t="shared" si="184"/>
        <v>0</v>
      </c>
      <c r="I892" s="970"/>
      <c r="J892" s="930">
        <f t="shared" si="185"/>
        <v>0</v>
      </c>
      <c r="K892" s="931">
        <f t="shared" si="186"/>
        <v>0</v>
      </c>
      <c r="L892" s="971"/>
      <c r="M892" s="954"/>
      <c r="N892" s="954"/>
      <c r="O892" s="954"/>
      <c r="P892" s="954"/>
      <c r="Q892" s="954"/>
      <c r="R892" s="954"/>
      <c r="S892" s="954"/>
      <c r="T892" s="954"/>
      <c r="U892" s="954"/>
    </row>
    <row r="893" spans="1:21" s="933" customFormat="1" ht="24" customHeight="1">
      <c r="A893" s="1026"/>
      <c r="B893" s="976" t="s">
        <v>872</v>
      </c>
      <c r="C893" s="976"/>
      <c r="D893" s="976"/>
      <c r="E893" s="978"/>
      <c r="F893" s="974" t="s">
        <v>870</v>
      </c>
      <c r="G893" s="969">
        <f t="shared" ref="G893:G901" si="188">VLOOKUP(B893,$O$43:$P$53,2,FALSE)</f>
        <v>25.73</v>
      </c>
      <c r="H893" s="930">
        <f t="shared" si="184"/>
        <v>0</v>
      </c>
      <c r="I893" s="984">
        <v>4.0999999999999996</v>
      </c>
      <c r="J893" s="930">
        <f t="shared" si="185"/>
        <v>0</v>
      </c>
      <c r="K893" s="931">
        <f t="shared" si="186"/>
        <v>0</v>
      </c>
      <c r="L893" s="971"/>
      <c r="M893" s="954"/>
      <c r="N893" s="954"/>
      <c r="O893" s="954"/>
      <c r="P893" s="954"/>
      <c r="Q893" s="954"/>
      <c r="R893" s="954"/>
      <c r="S893" s="954"/>
      <c r="T893" s="954"/>
      <c r="U893" s="954"/>
    </row>
    <row r="894" spans="1:21" s="933" customFormat="1" ht="24" customHeight="1">
      <c r="A894" s="1026"/>
      <c r="B894" s="976" t="s">
        <v>873</v>
      </c>
      <c r="C894" s="976"/>
      <c r="D894" s="976"/>
      <c r="E894" s="978">
        <v>1775.48</v>
      </c>
      <c r="F894" s="974" t="s">
        <v>870</v>
      </c>
      <c r="G894" s="969">
        <f t="shared" si="188"/>
        <v>24.97</v>
      </c>
      <c r="H894" s="930">
        <f t="shared" si="184"/>
        <v>44333.74</v>
      </c>
      <c r="I894" s="970">
        <v>4.0999999999999996</v>
      </c>
      <c r="J894" s="930">
        <f t="shared" si="185"/>
        <v>7279.47</v>
      </c>
      <c r="K894" s="931">
        <f t="shared" si="186"/>
        <v>51613.21</v>
      </c>
      <c r="L894" s="971"/>
      <c r="M894" s="954"/>
      <c r="N894" s="954"/>
      <c r="O894" s="954"/>
      <c r="P894" s="954"/>
      <c r="Q894" s="954"/>
      <c r="R894" s="954"/>
      <c r="S894" s="954"/>
      <c r="T894" s="954"/>
      <c r="U894" s="954"/>
    </row>
    <row r="895" spans="1:21" s="933" customFormat="1" ht="24" customHeight="1">
      <c r="A895" s="1026"/>
      <c r="B895" s="976" t="s">
        <v>874</v>
      </c>
      <c r="C895" s="976"/>
      <c r="D895" s="976"/>
      <c r="E895" s="978">
        <v>24040.48</v>
      </c>
      <c r="F895" s="974" t="s">
        <v>870</v>
      </c>
      <c r="G895" s="969">
        <f t="shared" si="188"/>
        <v>24.47</v>
      </c>
      <c r="H895" s="930">
        <f t="shared" si="184"/>
        <v>588270.55000000005</v>
      </c>
      <c r="I895" s="970">
        <v>3.3</v>
      </c>
      <c r="J895" s="930">
        <f t="shared" si="185"/>
        <v>79333.58</v>
      </c>
      <c r="K895" s="931">
        <f t="shared" si="186"/>
        <v>667604.13</v>
      </c>
      <c r="L895" s="971"/>
      <c r="M895" s="954"/>
      <c r="N895" s="954"/>
      <c r="O895" s="954"/>
      <c r="P895" s="954"/>
      <c r="Q895" s="954"/>
      <c r="R895" s="954"/>
      <c r="S895" s="954"/>
      <c r="T895" s="954"/>
      <c r="U895" s="954"/>
    </row>
    <row r="896" spans="1:21" s="933" customFormat="1" ht="24" customHeight="1">
      <c r="A896" s="1026"/>
      <c r="B896" s="976" t="s">
        <v>875</v>
      </c>
      <c r="C896" s="976"/>
      <c r="D896" s="976"/>
      <c r="E896" s="978">
        <v>2215.37</v>
      </c>
      <c r="F896" s="982" t="s">
        <v>870</v>
      </c>
      <c r="G896" s="969">
        <f t="shared" si="188"/>
        <v>24.27</v>
      </c>
      <c r="H896" s="930">
        <f t="shared" si="184"/>
        <v>53767.03</v>
      </c>
      <c r="I896" s="970">
        <v>3.3</v>
      </c>
      <c r="J896" s="930">
        <f t="shared" si="185"/>
        <v>7310.72</v>
      </c>
      <c r="K896" s="931">
        <f t="shared" si="186"/>
        <v>61077.75</v>
      </c>
      <c r="L896" s="971"/>
      <c r="M896" s="954"/>
      <c r="N896" s="954"/>
      <c r="O896" s="954"/>
      <c r="P896" s="954"/>
      <c r="Q896" s="954"/>
      <c r="R896" s="954"/>
      <c r="S896" s="954"/>
      <c r="T896" s="954"/>
      <c r="U896" s="954"/>
    </row>
    <row r="897" spans="1:21" s="933" customFormat="1" ht="24" customHeight="1">
      <c r="A897" s="1026"/>
      <c r="B897" s="976" t="s">
        <v>876</v>
      </c>
      <c r="C897" s="976"/>
      <c r="D897" s="976"/>
      <c r="E897" s="978">
        <v>2493.4</v>
      </c>
      <c r="F897" s="974" t="s">
        <v>870</v>
      </c>
      <c r="G897" s="969">
        <f t="shared" si="188"/>
        <v>24.27</v>
      </c>
      <c r="H897" s="930">
        <f t="shared" si="184"/>
        <v>60514.82</v>
      </c>
      <c r="I897" s="970">
        <v>2.9</v>
      </c>
      <c r="J897" s="930">
        <f t="shared" si="185"/>
        <v>7230.86</v>
      </c>
      <c r="K897" s="931">
        <f t="shared" si="186"/>
        <v>67745.679999999993</v>
      </c>
      <c r="L897" s="971"/>
      <c r="M897" s="954"/>
      <c r="N897" s="954"/>
      <c r="O897" s="954"/>
      <c r="P897" s="954"/>
      <c r="Q897" s="954"/>
      <c r="R897" s="954"/>
      <c r="S897" s="954"/>
      <c r="T897" s="954"/>
      <c r="U897" s="954"/>
    </row>
    <row r="898" spans="1:21" s="933" customFormat="1" ht="24" customHeight="1">
      <c r="A898" s="1026"/>
      <c r="B898" s="976" t="s">
        <v>877</v>
      </c>
      <c r="C898" s="976"/>
      <c r="D898" s="976"/>
      <c r="E898" s="978">
        <v>4142.05</v>
      </c>
      <c r="F898" s="974" t="s">
        <v>870</v>
      </c>
      <c r="G898" s="969">
        <f t="shared" si="188"/>
        <v>24.27</v>
      </c>
      <c r="H898" s="930">
        <f t="shared" si="184"/>
        <v>100527.55</v>
      </c>
      <c r="I898" s="970">
        <v>2.9</v>
      </c>
      <c r="J898" s="930">
        <f t="shared" si="185"/>
        <v>12011.95</v>
      </c>
      <c r="K898" s="931">
        <f t="shared" si="186"/>
        <v>112539.5</v>
      </c>
      <c r="L898" s="971"/>
      <c r="M898" s="954"/>
      <c r="N898" s="954"/>
      <c r="O898" s="954"/>
      <c r="P898" s="954"/>
      <c r="Q898" s="954"/>
      <c r="R898" s="954"/>
      <c r="S898" s="954"/>
      <c r="T898" s="954"/>
      <c r="U898" s="954"/>
    </row>
    <row r="899" spans="1:21" s="933" customFormat="1" ht="24" customHeight="1">
      <c r="A899" s="1026"/>
      <c r="B899" s="976" t="s">
        <v>878</v>
      </c>
      <c r="C899" s="976"/>
      <c r="D899" s="976"/>
      <c r="E899" s="978">
        <v>9044.3700000000008</v>
      </c>
      <c r="F899" s="974" t="s">
        <v>870</v>
      </c>
      <c r="G899" s="969">
        <f t="shared" si="188"/>
        <v>24.27</v>
      </c>
      <c r="H899" s="930">
        <f t="shared" si="184"/>
        <v>219506.86</v>
      </c>
      <c r="I899" s="970">
        <v>2.9</v>
      </c>
      <c r="J899" s="930">
        <f t="shared" si="185"/>
        <v>26228.67</v>
      </c>
      <c r="K899" s="931">
        <f t="shared" si="186"/>
        <v>245735.52999999997</v>
      </c>
      <c r="L899" s="971"/>
      <c r="M899" s="954"/>
      <c r="N899" s="954"/>
      <c r="O899" s="954"/>
      <c r="P899" s="954"/>
      <c r="Q899" s="954"/>
      <c r="R899" s="954"/>
      <c r="S899" s="954"/>
      <c r="T899" s="954"/>
      <c r="U899" s="954"/>
    </row>
    <row r="900" spans="1:21" s="933" customFormat="1" ht="24" customHeight="1">
      <c r="A900" s="1026"/>
      <c r="B900" s="976" t="s">
        <v>879</v>
      </c>
      <c r="C900" s="976"/>
      <c r="D900" s="976"/>
      <c r="E900" s="978"/>
      <c r="F900" s="974" t="s">
        <v>870</v>
      </c>
      <c r="G900" s="969">
        <f t="shared" si="188"/>
        <v>23.8</v>
      </c>
      <c r="H900" s="930">
        <f t="shared" si="184"/>
        <v>0</v>
      </c>
      <c r="I900" s="970">
        <v>2.9</v>
      </c>
      <c r="J900" s="930">
        <f t="shared" si="185"/>
        <v>0</v>
      </c>
      <c r="K900" s="931">
        <f t="shared" si="186"/>
        <v>0</v>
      </c>
      <c r="L900" s="971"/>
      <c r="M900" s="954"/>
      <c r="N900" s="954"/>
      <c r="O900" s="954"/>
      <c r="P900" s="954"/>
      <c r="Q900" s="954"/>
      <c r="R900" s="954"/>
      <c r="S900" s="954"/>
      <c r="T900" s="954"/>
      <c r="U900" s="954"/>
    </row>
    <row r="901" spans="1:21" s="933" customFormat="1" ht="24" customHeight="1">
      <c r="A901" s="1026"/>
      <c r="B901" s="976" t="s">
        <v>880</v>
      </c>
      <c r="C901" s="976"/>
      <c r="D901" s="976"/>
      <c r="E901" s="978">
        <f>(SUM(E893:E900)/1000)*30</f>
        <v>1311.3345000000002</v>
      </c>
      <c r="F901" s="974" t="s">
        <v>870</v>
      </c>
      <c r="G901" s="969">
        <f t="shared" si="188"/>
        <v>29.92</v>
      </c>
      <c r="H901" s="930">
        <f t="shared" si="184"/>
        <v>39235.129999999997</v>
      </c>
      <c r="I901" s="970"/>
      <c r="J901" s="930">
        <f t="shared" si="185"/>
        <v>0</v>
      </c>
      <c r="K901" s="931">
        <f t="shared" si="186"/>
        <v>39235.129999999997</v>
      </c>
      <c r="L901" s="971"/>
      <c r="M901" s="954"/>
      <c r="N901" s="954"/>
      <c r="O901" s="954"/>
      <c r="P901" s="954"/>
      <c r="Q901" s="954"/>
      <c r="R901" s="954"/>
      <c r="S901" s="954"/>
      <c r="T901" s="954"/>
      <c r="U901" s="954"/>
    </row>
    <row r="902" spans="1:21" s="933" customFormat="1" ht="24" customHeight="1">
      <c r="A902" s="1026"/>
      <c r="B902" s="976" t="s">
        <v>881</v>
      </c>
      <c r="C902" s="976"/>
      <c r="D902" s="976"/>
      <c r="E902" s="978"/>
      <c r="F902" s="974"/>
      <c r="G902" s="969"/>
      <c r="H902" s="930"/>
      <c r="I902" s="970"/>
      <c r="J902" s="930"/>
      <c r="K902" s="931"/>
      <c r="L902" s="971"/>
      <c r="M902" s="954"/>
      <c r="N902" s="954"/>
      <c r="O902" s="954"/>
      <c r="P902" s="954"/>
      <c r="Q902" s="954"/>
      <c r="R902" s="954"/>
      <c r="S902" s="954"/>
      <c r="T902" s="954"/>
      <c r="U902" s="954"/>
    </row>
    <row r="903" spans="1:21" s="933" customFormat="1" ht="24" customHeight="1">
      <c r="A903" s="1026"/>
      <c r="B903" s="976"/>
      <c r="C903" s="976"/>
      <c r="D903" s="976"/>
      <c r="E903" s="978"/>
      <c r="F903" s="974"/>
      <c r="G903" s="969"/>
      <c r="H903" s="930"/>
      <c r="I903" s="970"/>
      <c r="J903" s="930"/>
      <c r="K903" s="931"/>
      <c r="L903" s="971"/>
      <c r="M903" s="954"/>
      <c r="N903" s="954"/>
      <c r="O903" s="954"/>
      <c r="P903" s="954"/>
      <c r="Q903" s="954"/>
      <c r="R903" s="954"/>
      <c r="S903" s="954"/>
      <c r="T903" s="954"/>
      <c r="U903" s="954"/>
    </row>
    <row r="904" spans="1:21" s="933" customFormat="1" ht="24" customHeight="1">
      <c r="A904" s="1026"/>
      <c r="B904" s="1021"/>
      <c r="C904" s="976"/>
      <c r="D904" s="976"/>
      <c r="E904" s="978"/>
      <c r="F904" s="974"/>
      <c r="G904" s="969"/>
      <c r="H904" s="930"/>
      <c r="I904" s="970"/>
      <c r="J904" s="930"/>
      <c r="K904" s="931"/>
      <c r="L904" s="971"/>
      <c r="M904" s="954"/>
      <c r="N904" s="954"/>
      <c r="O904" s="954"/>
      <c r="P904" s="954"/>
      <c r="Q904" s="954"/>
      <c r="R904" s="954"/>
      <c r="S904" s="954"/>
      <c r="T904" s="954"/>
      <c r="U904" s="954"/>
    </row>
    <row r="905" spans="1:21" s="933" customFormat="1" ht="24" customHeight="1">
      <c r="A905" s="1026"/>
      <c r="B905" s="1021"/>
      <c r="C905" s="976"/>
      <c r="D905" s="976"/>
      <c r="E905" s="978"/>
      <c r="F905" s="974"/>
      <c r="G905" s="969"/>
      <c r="H905" s="930"/>
      <c r="I905" s="970"/>
      <c r="J905" s="930"/>
      <c r="K905" s="931"/>
      <c r="L905" s="971"/>
      <c r="M905" s="954"/>
      <c r="N905" s="954"/>
      <c r="O905" s="954"/>
      <c r="P905" s="954"/>
      <c r="Q905" s="954"/>
      <c r="R905" s="954"/>
      <c r="S905" s="954"/>
      <c r="T905" s="954"/>
      <c r="U905" s="954"/>
    </row>
    <row r="906" spans="1:21" s="933" customFormat="1" ht="24" customHeight="1">
      <c r="A906" s="1026"/>
      <c r="B906" s="1021"/>
      <c r="C906" s="976"/>
      <c r="D906" s="976"/>
      <c r="E906" s="978"/>
      <c r="F906" s="974"/>
      <c r="G906" s="969"/>
      <c r="H906" s="930"/>
      <c r="I906" s="970"/>
      <c r="J906" s="930"/>
      <c r="K906" s="931"/>
      <c r="L906" s="971"/>
      <c r="M906" s="954"/>
      <c r="N906" s="954"/>
      <c r="O906" s="954"/>
      <c r="P906" s="954"/>
      <c r="Q906" s="954"/>
      <c r="R906" s="954"/>
      <c r="S906" s="954"/>
      <c r="T906" s="954"/>
      <c r="U906" s="954"/>
    </row>
    <row r="907" spans="1:21" s="933" customFormat="1" ht="24" customHeight="1">
      <c r="A907" s="1026"/>
      <c r="B907" s="1021"/>
      <c r="C907" s="976"/>
      <c r="D907" s="976"/>
      <c r="E907" s="978"/>
      <c r="F907" s="974"/>
      <c r="G907" s="969"/>
      <c r="H907" s="930"/>
      <c r="I907" s="970"/>
      <c r="J907" s="930"/>
      <c r="K907" s="931"/>
      <c r="L907" s="971"/>
      <c r="M907" s="954"/>
      <c r="N907" s="954"/>
      <c r="O907" s="954"/>
      <c r="P907" s="954"/>
      <c r="Q907" s="954"/>
      <c r="R907" s="954"/>
      <c r="S907" s="954"/>
      <c r="T907" s="954"/>
      <c r="U907" s="954"/>
    </row>
    <row r="908" spans="1:21" s="933" customFormat="1" ht="24" customHeight="1">
      <c r="A908" s="1026"/>
      <c r="B908" s="1021"/>
      <c r="C908" s="976"/>
      <c r="D908" s="976"/>
      <c r="E908" s="978"/>
      <c r="F908" s="974"/>
      <c r="G908" s="969"/>
      <c r="H908" s="930"/>
      <c r="I908" s="970"/>
      <c r="J908" s="930"/>
      <c r="K908" s="931"/>
      <c r="L908" s="971"/>
      <c r="M908" s="954"/>
      <c r="N908" s="954"/>
      <c r="O908" s="954"/>
      <c r="P908" s="954"/>
      <c r="Q908" s="954"/>
      <c r="R908" s="954"/>
      <c r="S908" s="954"/>
      <c r="T908" s="954"/>
      <c r="U908" s="954"/>
    </row>
    <row r="909" spans="1:21" s="933" customFormat="1" ht="24" customHeight="1">
      <c r="A909" s="1026"/>
      <c r="B909" s="1021"/>
      <c r="C909" s="976"/>
      <c r="D909" s="976"/>
      <c r="E909" s="978"/>
      <c r="F909" s="974"/>
      <c r="G909" s="969"/>
      <c r="H909" s="930"/>
      <c r="I909" s="970"/>
      <c r="J909" s="930"/>
      <c r="K909" s="931"/>
      <c r="L909" s="971"/>
      <c r="M909" s="954"/>
      <c r="N909" s="954"/>
      <c r="O909" s="954"/>
      <c r="P909" s="954"/>
      <c r="Q909" s="954"/>
      <c r="R909" s="954"/>
      <c r="S909" s="954"/>
      <c r="T909" s="954"/>
      <c r="U909" s="954"/>
    </row>
    <row r="910" spans="1:21" s="933" customFormat="1" ht="24" customHeight="1">
      <c r="A910" s="1026"/>
      <c r="B910" s="1021"/>
      <c r="C910" s="976"/>
      <c r="D910" s="976"/>
      <c r="E910" s="978"/>
      <c r="F910" s="974"/>
      <c r="G910" s="969"/>
      <c r="H910" s="930"/>
      <c r="I910" s="970"/>
      <c r="J910" s="930"/>
      <c r="K910" s="931"/>
      <c r="L910" s="971"/>
      <c r="M910" s="954"/>
      <c r="N910" s="954"/>
      <c r="O910" s="954"/>
      <c r="P910" s="954"/>
      <c r="Q910" s="954"/>
      <c r="R910" s="954"/>
      <c r="S910" s="954"/>
      <c r="T910" s="954"/>
      <c r="U910" s="954"/>
    </row>
    <row r="911" spans="1:21" s="933" customFormat="1" ht="24" customHeight="1">
      <c r="A911" s="1026" t="s">
        <v>951</v>
      </c>
      <c r="B911" s="1030" t="s">
        <v>952</v>
      </c>
      <c r="C911" s="976"/>
      <c r="D911" s="976"/>
      <c r="E911" s="978"/>
      <c r="F911" s="974"/>
      <c r="G911" s="969"/>
      <c r="H911" s="930"/>
      <c r="I911" s="970"/>
      <c r="J911" s="930"/>
      <c r="K911" s="931"/>
      <c r="L911" s="971"/>
      <c r="M911" s="954"/>
      <c r="N911" s="954"/>
      <c r="O911" s="954"/>
      <c r="P911" s="954"/>
      <c r="Q911" s="954"/>
      <c r="R911" s="954"/>
      <c r="S911" s="954"/>
      <c r="T911" s="954"/>
      <c r="U911" s="954"/>
    </row>
    <row r="912" spans="1:21" s="933" customFormat="1" ht="24" customHeight="1">
      <c r="A912" s="1026"/>
      <c r="B912" s="976" t="s">
        <v>864</v>
      </c>
      <c r="C912" s="977"/>
      <c r="D912" s="977"/>
      <c r="E912" s="978">
        <v>303.86</v>
      </c>
      <c r="F912" s="974" t="s">
        <v>865</v>
      </c>
      <c r="G912" s="969">
        <v>2516</v>
      </c>
      <c r="H912" s="930">
        <f t="shared" ref="H912:H926" si="189">ROUND(E912*G912,2)</f>
        <v>764511.76</v>
      </c>
      <c r="I912" s="970">
        <v>485</v>
      </c>
      <c r="J912" s="930">
        <f t="shared" ref="J912:J926" si="190">ROUND(E912*I912,2)</f>
        <v>147372.1</v>
      </c>
      <c r="K912" s="931">
        <f t="shared" ref="K912:K926" si="191">H912+J912</f>
        <v>911883.86</v>
      </c>
      <c r="L912" s="971"/>
      <c r="M912" s="954"/>
      <c r="N912" s="954"/>
      <c r="O912" s="954"/>
      <c r="P912" s="954"/>
      <c r="Q912" s="954"/>
      <c r="R912" s="954"/>
      <c r="S912" s="954"/>
      <c r="T912" s="954"/>
      <c r="U912" s="954"/>
    </row>
    <row r="913" spans="1:21" s="933" customFormat="1" ht="24" customHeight="1">
      <c r="A913" s="1026"/>
      <c r="B913" s="979" t="s">
        <v>866</v>
      </c>
      <c r="C913" s="976"/>
      <c r="D913" s="976"/>
      <c r="E913" s="978"/>
      <c r="F913" s="974"/>
      <c r="G913" s="969"/>
      <c r="H913" s="930">
        <f t="shared" si="189"/>
        <v>0</v>
      </c>
      <c r="I913" s="970"/>
      <c r="J913" s="930">
        <f t="shared" si="190"/>
        <v>0</v>
      </c>
      <c r="K913" s="931">
        <f t="shared" si="191"/>
        <v>0</v>
      </c>
      <c r="L913" s="971"/>
      <c r="M913" s="954"/>
      <c r="N913" s="954"/>
      <c r="O913" s="954"/>
      <c r="P913" s="954"/>
      <c r="Q913" s="954"/>
      <c r="R913" s="954"/>
      <c r="S913" s="954"/>
      <c r="T913" s="954"/>
      <c r="U913" s="954"/>
    </row>
    <row r="914" spans="1:21" s="933" customFormat="1" ht="24" customHeight="1">
      <c r="A914" s="1026"/>
      <c r="B914" s="979"/>
      <c r="C914" s="976" t="s">
        <v>867</v>
      </c>
      <c r="D914" s="976"/>
      <c r="E914" s="978">
        <f>E915/2</f>
        <v>685.42499999999995</v>
      </c>
      <c r="F914" s="974" t="s">
        <v>34</v>
      </c>
      <c r="G914" s="969">
        <v>661.62</v>
      </c>
      <c r="H914" s="930">
        <f t="shared" si="189"/>
        <v>453490.89</v>
      </c>
      <c r="I914" s="970"/>
      <c r="J914" s="930">
        <f t="shared" si="190"/>
        <v>0</v>
      </c>
      <c r="K914" s="931">
        <f t="shared" si="191"/>
        <v>453490.89</v>
      </c>
      <c r="L914" s="971"/>
      <c r="M914" s="954"/>
      <c r="N914" s="954"/>
      <c r="O914" s="954"/>
      <c r="P914" s="954"/>
      <c r="Q914" s="954"/>
      <c r="R914" s="954"/>
      <c r="S914" s="954"/>
      <c r="T914" s="954"/>
      <c r="U914" s="954"/>
    </row>
    <row r="915" spans="1:21" s="933" customFormat="1" ht="24" customHeight="1">
      <c r="A915" s="1026"/>
      <c r="B915" s="979"/>
      <c r="C915" s="976" t="s">
        <v>868</v>
      </c>
      <c r="D915" s="976"/>
      <c r="E915" s="978">
        <v>1370.85</v>
      </c>
      <c r="F915" s="974" t="s">
        <v>34</v>
      </c>
      <c r="G915" s="969"/>
      <c r="H915" s="930">
        <f t="shared" si="189"/>
        <v>0</v>
      </c>
      <c r="I915" s="970">
        <v>154</v>
      </c>
      <c r="J915" s="930">
        <f t="shared" si="190"/>
        <v>211110.9</v>
      </c>
      <c r="K915" s="931">
        <f t="shared" si="191"/>
        <v>211110.9</v>
      </c>
      <c r="L915" s="971"/>
      <c r="M915" s="954"/>
      <c r="N915" s="954"/>
      <c r="O915" s="954"/>
      <c r="P915" s="954"/>
      <c r="Q915" s="954"/>
      <c r="R915" s="954"/>
      <c r="S915" s="954"/>
      <c r="T915" s="954"/>
      <c r="U915" s="954"/>
    </row>
    <row r="916" spans="1:21" s="933" customFormat="1" ht="24" customHeight="1">
      <c r="A916" s="1026"/>
      <c r="B916" s="976" t="s">
        <v>869</v>
      </c>
      <c r="C916" s="976"/>
      <c r="D916" s="976"/>
      <c r="E916" s="978">
        <f>(E915*0.25)</f>
        <v>342.71249999999998</v>
      </c>
      <c r="F916" s="974" t="s">
        <v>870</v>
      </c>
      <c r="G916" s="969">
        <f t="shared" ref="G916" si="192">VLOOKUP(B916,$O$43:$P$53,2,FALSE)</f>
        <v>29.94</v>
      </c>
      <c r="H916" s="930">
        <f t="shared" si="189"/>
        <v>10260.81</v>
      </c>
      <c r="I916" s="970"/>
      <c r="J916" s="930">
        <f t="shared" si="190"/>
        <v>0</v>
      </c>
      <c r="K916" s="931">
        <f t="shared" si="191"/>
        <v>10260.81</v>
      </c>
      <c r="L916" s="971"/>
      <c r="M916" s="954"/>
      <c r="N916" s="954"/>
      <c r="O916" s="954"/>
      <c r="P916" s="954"/>
      <c r="Q916" s="954"/>
      <c r="R916" s="954"/>
      <c r="S916" s="954"/>
      <c r="T916" s="954"/>
      <c r="U916" s="954"/>
    </row>
    <row r="917" spans="1:21" s="933" customFormat="1" ht="24" customHeight="1">
      <c r="A917" s="1026"/>
      <c r="B917" s="976" t="s">
        <v>871</v>
      </c>
      <c r="C917" s="976"/>
      <c r="D917" s="976"/>
      <c r="E917" s="978"/>
      <c r="F917" s="982"/>
      <c r="G917" s="983"/>
      <c r="H917" s="930">
        <f t="shared" si="189"/>
        <v>0</v>
      </c>
      <c r="I917" s="970"/>
      <c r="J917" s="930">
        <f t="shared" si="190"/>
        <v>0</v>
      </c>
      <c r="K917" s="931">
        <f t="shared" si="191"/>
        <v>0</v>
      </c>
      <c r="L917" s="971"/>
      <c r="M917" s="954"/>
      <c r="N917" s="954"/>
      <c r="O917" s="954"/>
      <c r="P917" s="954"/>
      <c r="Q917" s="954"/>
      <c r="R917" s="954"/>
      <c r="S917" s="954"/>
      <c r="T917" s="954"/>
      <c r="U917" s="954"/>
    </row>
    <row r="918" spans="1:21" s="933" customFormat="1" ht="24" customHeight="1">
      <c r="A918" s="1026"/>
      <c r="B918" s="976" t="s">
        <v>872</v>
      </c>
      <c r="C918" s="976"/>
      <c r="D918" s="976"/>
      <c r="E918" s="978">
        <v>0</v>
      </c>
      <c r="F918" s="974" t="s">
        <v>870</v>
      </c>
      <c r="G918" s="969">
        <f t="shared" ref="G918:G926" si="193">VLOOKUP(B918,$O$43:$P$53,2,FALSE)</f>
        <v>25.73</v>
      </c>
      <c r="H918" s="930">
        <f t="shared" si="189"/>
        <v>0</v>
      </c>
      <c r="I918" s="984">
        <v>4.0999999999999996</v>
      </c>
      <c r="J918" s="930">
        <f t="shared" si="190"/>
        <v>0</v>
      </c>
      <c r="K918" s="931">
        <f t="shared" si="191"/>
        <v>0</v>
      </c>
      <c r="L918" s="971"/>
      <c r="M918" s="954"/>
      <c r="N918" s="954"/>
      <c r="O918" s="954"/>
      <c r="P918" s="954"/>
      <c r="Q918" s="954"/>
      <c r="R918" s="954"/>
      <c r="S918" s="954"/>
      <c r="T918" s="954"/>
      <c r="U918" s="954"/>
    </row>
    <row r="919" spans="1:21" s="933" customFormat="1" ht="24" customHeight="1">
      <c r="A919" s="1026"/>
      <c r="B919" s="976" t="s">
        <v>873</v>
      </c>
      <c r="C919" s="976"/>
      <c r="D919" s="976"/>
      <c r="E919" s="978">
        <v>8732.5400000000009</v>
      </c>
      <c r="F919" s="974" t="s">
        <v>870</v>
      </c>
      <c r="G919" s="969">
        <f t="shared" si="193"/>
        <v>24.97</v>
      </c>
      <c r="H919" s="930">
        <f t="shared" si="189"/>
        <v>218051.52</v>
      </c>
      <c r="I919" s="970">
        <v>4.0999999999999996</v>
      </c>
      <c r="J919" s="930">
        <f t="shared" si="190"/>
        <v>35803.410000000003</v>
      </c>
      <c r="K919" s="931">
        <f t="shared" si="191"/>
        <v>253854.93</v>
      </c>
      <c r="L919" s="971"/>
      <c r="M919" s="954"/>
      <c r="N919" s="954"/>
      <c r="O919" s="954"/>
      <c r="P919" s="954"/>
      <c r="Q919" s="954"/>
      <c r="R919" s="954"/>
      <c r="S919" s="954"/>
      <c r="T919" s="954"/>
      <c r="U919" s="954"/>
    </row>
    <row r="920" spans="1:21" s="933" customFormat="1" ht="24" customHeight="1">
      <c r="A920" s="1026"/>
      <c r="B920" s="976" t="s">
        <v>874</v>
      </c>
      <c r="C920" s="976"/>
      <c r="D920" s="976"/>
      <c r="E920" s="978">
        <v>9024.06</v>
      </c>
      <c r="F920" s="974" t="s">
        <v>870</v>
      </c>
      <c r="G920" s="969">
        <f t="shared" si="193"/>
        <v>24.47</v>
      </c>
      <c r="H920" s="930">
        <f t="shared" si="189"/>
        <v>220818.75</v>
      </c>
      <c r="I920" s="970">
        <v>3.3</v>
      </c>
      <c r="J920" s="930">
        <f t="shared" si="190"/>
        <v>29779.4</v>
      </c>
      <c r="K920" s="931">
        <f t="shared" si="191"/>
        <v>250598.15</v>
      </c>
      <c r="L920" s="971"/>
      <c r="M920" s="954"/>
      <c r="N920" s="954"/>
      <c r="O920" s="954"/>
      <c r="P920" s="954"/>
      <c r="Q920" s="954"/>
      <c r="R920" s="954"/>
      <c r="S920" s="954"/>
      <c r="T920" s="954"/>
      <c r="U920" s="954"/>
    </row>
    <row r="921" spans="1:21" s="933" customFormat="1" ht="24" customHeight="1">
      <c r="A921" s="1026"/>
      <c r="B921" s="976" t="s">
        <v>875</v>
      </c>
      <c r="C921" s="976"/>
      <c r="D921" s="976"/>
      <c r="E921" s="978">
        <v>50.51</v>
      </c>
      <c r="F921" s="982" t="s">
        <v>870</v>
      </c>
      <c r="G921" s="969">
        <f t="shared" si="193"/>
        <v>24.27</v>
      </c>
      <c r="H921" s="930">
        <f t="shared" si="189"/>
        <v>1225.8800000000001</v>
      </c>
      <c r="I921" s="970">
        <v>3.3</v>
      </c>
      <c r="J921" s="930">
        <f t="shared" si="190"/>
        <v>166.68</v>
      </c>
      <c r="K921" s="931">
        <f t="shared" si="191"/>
        <v>1392.5600000000002</v>
      </c>
      <c r="L921" s="971"/>
      <c r="M921" s="954"/>
      <c r="N921" s="954"/>
      <c r="O921" s="954"/>
      <c r="P921" s="954"/>
      <c r="Q921" s="954"/>
      <c r="R921" s="954"/>
      <c r="S921" s="954"/>
      <c r="T921" s="954"/>
      <c r="U921" s="954"/>
    </row>
    <row r="922" spans="1:21" s="933" customFormat="1" ht="24" customHeight="1">
      <c r="A922" s="1026"/>
      <c r="B922" s="976" t="s">
        <v>876</v>
      </c>
      <c r="C922" s="976"/>
      <c r="D922" s="976"/>
      <c r="E922" s="978">
        <v>0</v>
      </c>
      <c r="F922" s="974" t="s">
        <v>870</v>
      </c>
      <c r="G922" s="969">
        <f t="shared" si="193"/>
        <v>24.27</v>
      </c>
      <c r="H922" s="930">
        <f t="shared" si="189"/>
        <v>0</v>
      </c>
      <c r="I922" s="970">
        <v>2.9</v>
      </c>
      <c r="J922" s="930">
        <f t="shared" si="190"/>
        <v>0</v>
      </c>
      <c r="K922" s="931">
        <f t="shared" si="191"/>
        <v>0</v>
      </c>
      <c r="L922" s="971"/>
      <c r="M922" s="954"/>
      <c r="N922" s="954"/>
      <c r="O922" s="954"/>
      <c r="P922" s="954"/>
      <c r="Q922" s="954"/>
      <c r="R922" s="954"/>
      <c r="S922" s="954"/>
      <c r="T922" s="954"/>
      <c r="U922" s="954"/>
    </row>
    <row r="923" spans="1:21" s="933" customFormat="1" ht="24" customHeight="1">
      <c r="A923" s="1026"/>
      <c r="B923" s="976" t="s">
        <v>877</v>
      </c>
      <c r="C923" s="976"/>
      <c r="D923" s="976"/>
      <c r="E923" s="978">
        <v>37254.76</v>
      </c>
      <c r="F923" s="974" t="s">
        <v>870</v>
      </c>
      <c r="G923" s="969">
        <f t="shared" si="193"/>
        <v>24.27</v>
      </c>
      <c r="H923" s="930">
        <f t="shared" si="189"/>
        <v>904173.03</v>
      </c>
      <c r="I923" s="970">
        <v>2.9</v>
      </c>
      <c r="J923" s="930">
        <f t="shared" si="190"/>
        <v>108038.8</v>
      </c>
      <c r="K923" s="931">
        <f t="shared" si="191"/>
        <v>1012211.8300000001</v>
      </c>
      <c r="L923" s="971"/>
      <c r="M923" s="954"/>
      <c r="N923" s="954"/>
      <c r="O923" s="954"/>
      <c r="P923" s="954"/>
      <c r="Q923" s="954"/>
      <c r="R923" s="954"/>
      <c r="S923" s="954"/>
      <c r="T923" s="954"/>
      <c r="U923" s="954"/>
    </row>
    <row r="924" spans="1:21" s="933" customFormat="1" ht="24" customHeight="1">
      <c r="A924" s="1026"/>
      <c r="B924" s="976" t="s">
        <v>878</v>
      </c>
      <c r="C924" s="976"/>
      <c r="D924" s="976"/>
      <c r="E924" s="978">
        <v>0</v>
      </c>
      <c r="F924" s="974" t="s">
        <v>870</v>
      </c>
      <c r="G924" s="969">
        <f t="shared" si="193"/>
        <v>24.27</v>
      </c>
      <c r="H924" s="930">
        <f t="shared" si="189"/>
        <v>0</v>
      </c>
      <c r="I924" s="970">
        <v>2.9</v>
      </c>
      <c r="J924" s="930">
        <f t="shared" si="190"/>
        <v>0</v>
      </c>
      <c r="K924" s="931">
        <f t="shared" si="191"/>
        <v>0</v>
      </c>
      <c r="L924" s="971"/>
      <c r="M924" s="954"/>
      <c r="N924" s="954"/>
      <c r="O924" s="954"/>
      <c r="P924" s="954"/>
      <c r="Q924" s="954"/>
      <c r="R924" s="954"/>
      <c r="S924" s="954"/>
      <c r="T924" s="954"/>
      <c r="U924" s="954"/>
    </row>
    <row r="925" spans="1:21" s="933" customFormat="1" ht="24" customHeight="1">
      <c r="A925" s="1026"/>
      <c r="B925" s="976" t="s">
        <v>879</v>
      </c>
      <c r="C925" s="976"/>
      <c r="D925" s="976"/>
      <c r="E925" s="978">
        <v>0</v>
      </c>
      <c r="F925" s="974" t="s">
        <v>870</v>
      </c>
      <c r="G925" s="969">
        <f t="shared" si="193"/>
        <v>23.8</v>
      </c>
      <c r="H925" s="930">
        <f t="shared" si="189"/>
        <v>0</v>
      </c>
      <c r="I925" s="970">
        <v>2.9</v>
      </c>
      <c r="J925" s="930">
        <f t="shared" si="190"/>
        <v>0</v>
      </c>
      <c r="K925" s="931">
        <f t="shared" si="191"/>
        <v>0</v>
      </c>
      <c r="L925" s="971"/>
      <c r="M925" s="954"/>
      <c r="N925" s="954"/>
      <c r="O925" s="954"/>
      <c r="P925" s="954"/>
      <c r="Q925" s="954"/>
      <c r="R925" s="954"/>
      <c r="S925" s="954"/>
      <c r="T925" s="954"/>
      <c r="U925" s="954"/>
    </row>
    <row r="926" spans="1:21" s="933" customFormat="1" ht="24" customHeight="1">
      <c r="A926" s="1026"/>
      <c r="B926" s="976" t="s">
        <v>880</v>
      </c>
      <c r="C926" s="976"/>
      <c r="D926" s="976"/>
      <c r="E926" s="978">
        <f>(SUM(E918:E925)/1000)*30</f>
        <v>1651.8560999999997</v>
      </c>
      <c r="F926" s="974" t="s">
        <v>870</v>
      </c>
      <c r="G926" s="969">
        <f t="shared" si="193"/>
        <v>29.92</v>
      </c>
      <c r="H926" s="930">
        <f t="shared" si="189"/>
        <v>49423.53</v>
      </c>
      <c r="I926" s="970"/>
      <c r="J926" s="930">
        <f t="shared" si="190"/>
        <v>0</v>
      </c>
      <c r="K926" s="931">
        <f t="shared" si="191"/>
        <v>49423.53</v>
      </c>
      <c r="L926" s="971"/>
      <c r="M926" s="954"/>
      <c r="N926" s="954"/>
      <c r="O926" s="954"/>
      <c r="P926" s="954"/>
      <c r="Q926" s="954"/>
      <c r="R926" s="954"/>
      <c r="S926" s="954"/>
      <c r="T926" s="954"/>
      <c r="U926" s="954"/>
    </row>
    <row r="927" spans="1:21" s="933" customFormat="1" ht="24" customHeight="1">
      <c r="A927" s="1026"/>
      <c r="B927" s="976" t="s">
        <v>881</v>
      </c>
      <c r="C927" s="976"/>
      <c r="D927" s="976"/>
      <c r="E927" s="978"/>
      <c r="F927" s="974"/>
      <c r="G927" s="969"/>
      <c r="H927" s="930"/>
      <c r="I927" s="970"/>
      <c r="J927" s="930"/>
      <c r="K927" s="931"/>
      <c r="L927" s="971"/>
      <c r="M927" s="954"/>
      <c r="N927" s="954"/>
      <c r="O927" s="954"/>
      <c r="P927" s="954"/>
      <c r="Q927" s="954"/>
      <c r="R927" s="954"/>
      <c r="S927" s="954"/>
      <c r="T927" s="954"/>
      <c r="U927" s="954"/>
    </row>
    <row r="928" spans="1:21" s="933" customFormat="1" ht="24" customHeight="1">
      <c r="A928" s="1026"/>
      <c r="B928" s="976"/>
      <c r="C928" s="976"/>
      <c r="D928" s="976"/>
      <c r="E928" s="978"/>
      <c r="F928" s="974"/>
      <c r="G928" s="969"/>
      <c r="H928" s="930"/>
      <c r="I928" s="970"/>
      <c r="J928" s="930"/>
      <c r="K928" s="931"/>
      <c r="L928" s="971"/>
      <c r="M928" s="954"/>
      <c r="N928" s="954"/>
      <c r="O928" s="954"/>
      <c r="P928" s="954"/>
      <c r="Q928" s="954"/>
      <c r="R928" s="954"/>
      <c r="S928" s="954"/>
      <c r="T928" s="954"/>
      <c r="U928" s="954"/>
    </row>
    <row r="929" spans="1:21" s="933" customFormat="1" ht="24" customHeight="1">
      <c r="A929" s="1026"/>
      <c r="B929" s="1021"/>
      <c r="C929" s="976"/>
      <c r="D929" s="976"/>
      <c r="E929" s="978"/>
      <c r="F929" s="974"/>
      <c r="G929" s="969"/>
      <c r="H929" s="930"/>
      <c r="I929" s="970"/>
      <c r="J929" s="930"/>
      <c r="K929" s="931"/>
      <c r="L929" s="971"/>
      <c r="M929" s="954"/>
      <c r="N929" s="954"/>
      <c r="O929" s="954"/>
      <c r="P929" s="954"/>
      <c r="Q929" s="954"/>
      <c r="R929" s="954"/>
      <c r="S929" s="954"/>
      <c r="T929" s="954"/>
      <c r="U929" s="954"/>
    </row>
    <row r="930" spans="1:21" s="933" customFormat="1" ht="24" customHeight="1">
      <c r="A930" s="1026"/>
      <c r="B930" s="1021"/>
      <c r="C930" s="976"/>
      <c r="D930" s="976"/>
      <c r="E930" s="978"/>
      <c r="F930" s="974"/>
      <c r="G930" s="969"/>
      <c r="H930" s="930"/>
      <c r="I930" s="970"/>
      <c r="J930" s="930"/>
      <c r="K930" s="931"/>
      <c r="L930" s="971"/>
      <c r="M930" s="954"/>
      <c r="N930" s="954"/>
      <c r="O930" s="954"/>
      <c r="P930" s="954"/>
      <c r="Q930" s="954"/>
      <c r="R930" s="954"/>
      <c r="S930" s="954"/>
      <c r="T930" s="954"/>
      <c r="U930" s="954"/>
    </row>
    <row r="931" spans="1:21" s="933" customFormat="1" ht="24" customHeight="1">
      <c r="A931" s="1026"/>
      <c r="B931" s="1021"/>
      <c r="C931" s="976"/>
      <c r="D931" s="976"/>
      <c r="E931" s="978"/>
      <c r="F931" s="974"/>
      <c r="G931" s="969"/>
      <c r="H931" s="930"/>
      <c r="I931" s="970"/>
      <c r="J931" s="930"/>
      <c r="K931" s="931"/>
      <c r="L931" s="971"/>
      <c r="M931" s="954"/>
      <c r="N931" s="954"/>
      <c r="O931" s="954"/>
      <c r="P931" s="954"/>
      <c r="Q931" s="954"/>
      <c r="R931" s="954"/>
      <c r="S931" s="954"/>
      <c r="T931" s="954"/>
      <c r="U931" s="954"/>
    </row>
    <row r="932" spans="1:21" s="933" customFormat="1" ht="24" customHeight="1">
      <c r="A932" s="1026"/>
      <c r="B932" s="1021"/>
      <c r="C932" s="976"/>
      <c r="D932" s="976"/>
      <c r="E932" s="978"/>
      <c r="F932" s="974"/>
      <c r="G932" s="969"/>
      <c r="H932" s="930"/>
      <c r="I932" s="970"/>
      <c r="J932" s="930"/>
      <c r="K932" s="931"/>
      <c r="L932" s="971"/>
      <c r="M932" s="954"/>
      <c r="N932" s="954"/>
      <c r="O932" s="954"/>
      <c r="P932" s="954"/>
      <c r="Q932" s="954"/>
      <c r="R932" s="954"/>
      <c r="S932" s="954"/>
      <c r="T932" s="954"/>
      <c r="U932" s="954"/>
    </row>
    <row r="933" spans="1:21" s="933" customFormat="1" ht="24" customHeight="1">
      <c r="A933" s="1026"/>
      <c r="B933" s="1021"/>
      <c r="C933" s="976"/>
      <c r="D933" s="976"/>
      <c r="E933" s="978"/>
      <c r="F933" s="974"/>
      <c r="G933" s="969"/>
      <c r="H933" s="930"/>
      <c r="I933" s="970"/>
      <c r="J933" s="930"/>
      <c r="K933" s="931"/>
      <c r="L933" s="971"/>
      <c r="M933" s="954"/>
      <c r="N933" s="954"/>
      <c r="O933" s="954"/>
      <c r="P933" s="954"/>
      <c r="Q933" s="954"/>
      <c r="R933" s="954"/>
      <c r="S933" s="954"/>
      <c r="T933" s="954"/>
      <c r="U933" s="954"/>
    </row>
    <row r="934" spans="1:21" s="933" customFormat="1" ht="24" customHeight="1">
      <c r="A934" s="1026"/>
      <c r="B934" s="1021"/>
      <c r="C934" s="976"/>
      <c r="D934" s="976"/>
      <c r="E934" s="978"/>
      <c r="F934" s="974"/>
      <c r="G934" s="969"/>
      <c r="H934" s="930"/>
      <c r="I934" s="970"/>
      <c r="J934" s="930"/>
      <c r="K934" s="931"/>
      <c r="L934" s="971"/>
      <c r="M934" s="954"/>
      <c r="N934" s="954"/>
      <c r="O934" s="954"/>
      <c r="P934" s="954"/>
      <c r="Q934" s="954"/>
      <c r="R934" s="954"/>
      <c r="S934" s="954"/>
      <c r="T934" s="954"/>
      <c r="U934" s="954"/>
    </row>
    <row r="935" spans="1:21" s="933" customFormat="1" ht="24" customHeight="1">
      <c r="A935" s="1026"/>
      <c r="B935" s="1021"/>
      <c r="C935" s="976"/>
      <c r="D935" s="976"/>
      <c r="E935" s="978"/>
      <c r="F935" s="974"/>
      <c r="G935" s="969"/>
      <c r="H935" s="930"/>
      <c r="I935" s="970"/>
      <c r="J935" s="930"/>
      <c r="K935" s="931"/>
      <c r="L935" s="971"/>
      <c r="M935" s="954"/>
      <c r="N935" s="954"/>
      <c r="O935" s="954"/>
      <c r="P935" s="954"/>
      <c r="Q935" s="954"/>
      <c r="R935" s="954"/>
      <c r="S935" s="954"/>
      <c r="T935" s="954"/>
      <c r="U935" s="954"/>
    </row>
    <row r="936" spans="1:21" s="933" customFormat="1" ht="24" customHeight="1">
      <c r="A936" s="1026" t="s">
        <v>953</v>
      </c>
      <c r="B936" s="1030" t="s">
        <v>1034</v>
      </c>
      <c r="C936" s="976"/>
      <c r="D936" s="976"/>
      <c r="E936" s="978"/>
      <c r="F936" s="974"/>
      <c r="G936" s="969"/>
      <c r="H936" s="930"/>
      <c r="I936" s="970"/>
      <c r="J936" s="930"/>
      <c r="K936" s="931"/>
      <c r="L936" s="971"/>
      <c r="M936" s="954"/>
      <c r="N936" s="954"/>
      <c r="O936" s="954"/>
      <c r="P936" s="954"/>
      <c r="Q936" s="954"/>
      <c r="R936" s="954"/>
      <c r="S936" s="954"/>
      <c r="T936" s="954"/>
      <c r="U936" s="954"/>
    </row>
    <row r="937" spans="1:21" s="933" customFormat="1" ht="24" customHeight="1">
      <c r="A937" s="1026"/>
      <c r="B937" s="976" t="s">
        <v>864</v>
      </c>
      <c r="C937" s="977"/>
      <c r="D937" s="977"/>
      <c r="E937" s="978">
        <v>154.25</v>
      </c>
      <c r="F937" s="974" t="s">
        <v>865</v>
      </c>
      <c r="G937" s="969">
        <v>2516</v>
      </c>
      <c r="H937" s="930">
        <f t="shared" ref="H937:H951" si="194">ROUND(E937*G937,2)</f>
        <v>388093</v>
      </c>
      <c r="I937" s="970">
        <v>485</v>
      </c>
      <c r="J937" s="930">
        <f t="shared" ref="J937:J951" si="195">ROUND(E937*I937,2)</f>
        <v>74811.25</v>
      </c>
      <c r="K937" s="931">
        <f t="shared" ref="K937:K951" si="196">H937+J937</f>
        <v>462904.25</v>
      </c>
      <c r="L937" s="971"/>
      <c r="M937" s="954"/>
      <c r="N937" s="954"/>
      <c r="O937" s="954"/>
      <c r="P937" s="954"/>
      <c r="Q937" s="954"/>
      <c r="R937" s="954"/>
      <c r="S937" s="954"/>
      <c r="T937" s="954"/>
      <c r="U937" s="954"/>
    </row>
    <row r="938" spans="1:21" s="933" customFormat="1" ht="24" customHeight="1">
      <c r="A938" s="1026"/>
      <c r="B938" s="979" t="s">
        <v>866</v>
      </c>
      <c r="C938" s="976"/>
      <c r="D938" s="976"/>
      <c r="E938" s="978"/>
      <c r="F938" s="974"/>
      <c r="G938" s="969"/>
      <c r="H938" s="930">
        <f t="shared" si="194"/>
        <v>0</v>
      </c>
      <c r="I938" s="970"/>
      <c r="J938" s="930">
        <f t="shared" si="195"/>
        <v>0</v>
      </c>
      <c r="K938" s="931">
        <f t="shared" si="196"/>
        <v>0</v>
      </c>
      <c r="L938" s="971"/>
      <c r="M938" s="954"/>
      <c r="N938" s="954"/>
      <c r="O938" s="954"/>
      <c r="P938" s="954"/>
      <c r="Q938" s="954"/>
      <c r="R938" s="954"/>
      <c r="S938" s="954"/>
      <c r="T938" s="954"/>
      <c r="U938" s="954"/>
    </row>
    <row r="939" spans="1:21" s="933" customFormat="1" ht="24" customHeight="1">
      <c r="A939" s="1026"/>
      <c r="B939" s="979"/>
      <c r="C939" s="976" t="s">
        <v>867</v>
      </c>
      <c r="D939" s="976"/>
      <c r="E939" s="978">
        <f>E940/2</f>
        <v>457.70499999999998</v>
      </c>
      <c r="F939" s="974" t="s">
        <v>34</v>
      </c>
      <c r="G939" s="969">
        <v>661.62</v>
      </c>
      <c r="H939" s="930">
        <f t="shared" si="194"/>
        <v>302826.78000000003</v>
      </c>
      <c r="I939" s="970"/>
      <c r="J939" s="930">
        <f t="shared" si="195"/>
        <v>0</v>
      </c>
      <c r="K939" s="931">
        <f t="shared" si="196"/>
        <v>302826.78000000003</v>
      </c>
      <c r="L939" s="971"/>
      <c r="M939" s="954"/>
      <c r="N939" s="954"/>
      <c r="O939" s="954"/>
      <c r="P939" s="954"/>
      <c r="Q939" s="954"/>
      <c r="R939" s="954"/>
      <c r="S939" s="954"/>
      <c r="T939" s="954"/>
      <c r="U939" s="954"/>
    </row>
    <row r="940" spans="1:21" s="933" customFormat="1" ht="24" customHeight="1">
      <c r="A940" s="1026"/>
      <c r="B940" s="979"/>
      <c r="C940" s="976" t="s">
        <v>868</v>
      </c>
      <c r="D940" s="976"/>
      <c r="E940" s="978">
        <v>915.41</v>
      </c>
      <c r="F940" s="974" t="s">
        <v>34</v>
      </c>
      <c r="G940" s="969"/>
      <c r="H940" s="930">
        <f t="shared" si="194"/>
        <v>0</v>
      </c>
      <c r="I940" s="970">
        <v>154</v>
      </c>
      <c r="J940" s="930">
        <f t="shared" si="195"/>
        <v>140973.14000000001</v>
      </c>
      <c r="K940" s="931">
        <f t="shared" si="196"/>
        <v>140973.14000000001</v>
      </c>
      <c r="L940" s="971"/>
      <c r="M940" s="954"/>
      <c r="N940" s="954"/>
      <c r="O940" s="954"/>
      <c r="P940" s="954"/>
      <c r="Q940" s="954"/>
      <c r="R940" s="954"/>
      <c r="S940" s="954"/>
      <c r="T940" s="954"/>
      <c r="U940" s="954"/>
    </row>
    <row r="941" spans="1:21" s="933" customFormat="1" ht="24" customHeight="1">
      <c r="A941" s="1026"/>
      <c r="B941" s="976" t="s">
        <v>869</v>
      </c>
      <c r="C941" s="976"/>
      <c r="D941" s="976"/>
      <c r="E941" s="978">
        <f>(E940*0.25)</f>
        <v>228.85249999999999</v>
      </c>
      <c r="F941" s="974" t="s">
        <v>870</v>
      </c>
      <c r="G941" s="969">
        <f t="shared" ref="G941" si="197">VLOOKUP(B941,$O$43:$P$53,2,FALSE)</f>
        <v>29.94</v>
      </c>
      <c r="H941" s="930">
        <f t="shared" si="194"/>
        <v>6851.84</v>
      </c>
      <c r="I941" s="970"/>
      <c r="J941" s="930">
        <f t="shared" si="195"/>
        <v>0</v>
      </c>
      <c r="K941" s="931">
        <f t="shared" si="196"/>
        <v>6851.84</v>
      </c>
      <c r="L941" s="971"/>
      <c r="M941" s="954"/>
      <c r="N941" s="954"/>
      <c r="O941" s="954"/>
      <c r="P941" s="954"/>
      <c r="Q941" s="954"/>
      <c r="R941" s="954"/>
      <c r="S941" s="954"/>
      <c r="T941" s="954"/>
      <c r="U941" s="954"/>
    </row>
    <row r="942" spans="1:21" s="933" customFormat="1" ht="24" customHeight="1">
      <c r="A942" s="1026"/>
      <c r="B942" s="976" t="s">
        <v>871</v>
      </c>
      <c r="C942" s="976"/>
      <c r="D942" s="976"/>
      <c r="E942" s="978"/>
      <c r="F942" s="982"/>
      <c r="G942" s="983"/>
      <c r="H942" s="930">
        <f t="shared" si="194"/>
        <v>0</v>
      </c>
      <c r="I942" s="970"/>
      <c r="J942" s="930">
        <f t="shared" si="195"/>
        <v>0</v>
      </c>
      <c r="K942" s="931">
        <f t="shared" si="196"/>
        <v>0</v>
      </c>
      <c r="L942" s="971"/>
      <c r="M942" s="954"/>
      <c r="N942" s="954"/>
      <c r="O942" s="954"/>
      <c r="P942" s="954"/>
      <c r="Q942" s="954"/>
      <c r="R942" s="954"/>
      <c r="S942" s="954"/>
      <c r="T942" s="954"/>
      <c r="U942" s="954"/>
    </row>
    <row r="943" spans="1:21" s="933" customFormat="1" ht="24" customHeight="1">
      <c r="A943" s="1026"/>
      <c r="B943" s="976" t="s">
        <v>872</v>
      </c>
      <c r="C943" s="976"/>
      <c r="D943" s="976"/>
      <c r="E943" s="978"/>
      <c r="F943" s="974" t="s">
        <v>870</v>
      </c>
      <c r="G943" s="969">
        <f t="shared" ref="G943:G951" si="198">VLOOKUP(B943,$O$43:$P$53,2,FALSE)</f>
        <v>25.73</v>
      </c>
      <c r="H943" s="930">
        <f t="shared" si="194"/>
        <v>0</v>
      </c>
      <c r="I943" s="984">
        <v>4.0999999999999996</v>
      </c>
      <c r="J943" s="930">
        <f t="shared" si="195"/>
        <v>0</v>
      </c>
      <c r="K943" s="931">
        <f t="shared" si="196"/>
        <v>0</v>
      </c>
      <c r="L943" s="971"/>
      <c r="M943" s="954"/>
      <c r="N943" s="954"/>
      <c r="O943" s="954"/>
      <c r="P943" s="954"/>
      <c r="Q943" s="954"/>
      <c r="R943" s="954"/>
      <c r="S943" s="954"/>
      <c r="T943" s="954"/>
      <c r="U943" s="954"/>
    </row>
    <row r="944" spans="1:21" s="933" customFormat="1" ht="24" customHeight="1">
      <c r="A944" s="1026"/>
      <c r="B944" s="976" t="s">
        <v>873</v>
      </c>
      <c r="C944" s="976"/>
      <c r="D944" s="976"/>
      <c r="E944" s="978"/>
      <c r="F944" s="974" t="s">
        <v>870</v>
      </c>
      <c r="G944" s="969">
        <f t="shared" si="198"/>
        <v>24.97</v>
      </c>
      <c r="H944" s="930">
        <f t="shared" si="194"/>
        <v>0</v>
      </c>
      <c r="I944" s="970">
        <v>4.0999999999999996</v>
      </c>
      <c r="J944" s="930">
        <f t="shared" si="195"/>
        <v>0</v>
      </c>
      <c r="K944" s="931">
        <f t="shared" si="196"/>
        <v>0</v>
      </c>
      <c r="L944" s="971"/>
      <c r="M944" s="954"/>
      <c r="N944" s="954"/>
      <c r="O944" s="954"/>
      <c r="P944" s="954"/>
      <c r="Q944" s="954"/>
      <c r="R944" s="954"/>
      <c r="S944" s="954"/>
      <c r="T944" s="954"/>
      <c r="U944" s="954"/>
    </row>
    <row r="945" spans="1:21" s="933" customFormat="1" ht="24" customHeight="1">
      <c r="A945" s="1026"/>
      <c r="B945" s="976" t="s">
        <v>874</v>
      </c>
      <c r="C945" s="976"/>
      <c r="D945" s="976"/>
      <c r="E945" s="978">
        <v>4854.3100000000004</v>
      </c>
      <c r="F945" s="974" t="s">
        <v>870</v>
      </c>
      <c r="G945" s="969">
        <f t="shared" si="198"/>
        <v>24.47</v>
      </c>
      <c r="H945" s="930">
        <f t="shared" si="194"/>
        <v>118784.97</v>
      </c>
      <c r="I945" s="970">
        <v>3.3</v>
      </c>
      <c r="J945" s="930">
        <f t="shared" si="195"/>
        <v>16019.22</v>
      </c>
      <c r="K945" s="931">
        <f t="shared" si="196"/>
        <v>134804.19</v>
      </c>
      <c r="L945" s="971"/>
      <c r="M945" s="954"/>
      <c r="N945" s="954"/>
      <c r="O945" s="954"/>
      <c r="P945" s="954"/>
      <c r="Q945" s="954"/>
      <c r="R945" s="954"/>
      <c r="S945" s="954"/>
      <c r="T945" s="954"/>
      <c r="U945" s="954"/>
    </row>
    <row r="946" spans="1:21" s="933" customFormat="1" ht="24" customHeight="1">
      <c r="A946" s="1026"/>
      <c r="B946" s="976" t="s">
        <v>875</v>
      </c>
      <c r="C946" s="976"/>
      <c r="D946" s="976"/>
      <c r="E946" s="978">
        <v>13791.74</v>
      </c>
      <c r="F946" s="982" t="s">
        <v>870</v>
      </c>
      <c r="G946" s="969">
        <f t="shared" si="198"/>
        <v>24.27</v>
      </c>
      <c r="H946" s="930">
        <f t="shared" si="194"/>
        <v>334725.53000000003</v>
      </c>
      <c r="I946" s="970">
        <v>3.3</v>
      </c>
      <c r="J946" s="930">
        <f t="shared" si="195"/>
        <v>45512.74</v>
      </c>
      <c r="K946" s="931">
        <f t="shared" si="196"/>
        <v>380238.27</v>
      </c>
      <c r="L946" s="971"/>
      <c r="M946" s="954"/>
      <c r="N946" s="954"/>
      <c r="O946" s="954"/>
      <c r="P946" s="954"/>
      <c r="Q946" s="954"/>
      <c r="R946" s="954"/>
      <c r="S946" s="954"/>
      <c r="T946" s="954"/>
      <c r="U946" s="954"/>
    </row>
    <row r="947" spans="1:21" s="933" customFormat="1" ht="24" customHeight="1">
      <c r="A947" s="1026"/>
      <c r="B947" s="976" t="s">
        <v>876</v>
      </c>
      <c r="C947" s="976"/>
      <c r="D947" s="976"/>
      <c r="E947" s="978">
        <v>14298.56</v>
      </c>
      <c r="F947" s="974" t="s">
        <v>870</v>
      </c>
      <c r="G947" s="969">
        <f t="shared" si="198"/>
        <v>24.27</v>
      </c>
      <c r="H947" s="930">
        <f t="shared" si="194"/>
        <v>347026.05</v>
      </c>
      <c r="I947" s="970">
        <v>2.9</v>
      </c>
      <c r="J947" s="930">
        <f t="shared" si="195"/>
        <v>41465.82</v>
      </c>
      <c r="K947" s="931">
        <f t="shared" si="196"/>
        <v>388491.87</v>
      </c>
      <c r="L947" s="971"/>
      <c r="M947" s="954"/>
      <c r="N947" s="954"/>
      <c r="O947" s="954"/>
      <c r="P947" s="954"/>
      <c r="Q947" s="954"/>
      <c r="R947" s="954"/>
      <c r="S947" s="954"/>
      <c r="T947" s="954"/>
      <c r="U947" s="954"/>
    </row>
    <row r="948" spans="1:21" s="933" customFormat="1" ht="24" customHeight="1">
      <c r="A948" s="1026"/>
      <c r="B948" s="976" t="s">
        <v>877</v>
      </c>
      <c r="C948" s="976"/>
      <c r="D948" s="976"/>
      <c r="E948" s="978">
        <v>8673.1</v>
      </c>
      <c r="F948" s="974" t="s">
        <v>870</v>
      </c>
      <c r="G948" s="969">
        <f t="shared" si="198"/>
        <v>24.27</v>
      </c>
      <c r="H948" s="930">
        <f t="shared" si="194"/>
        <v>210496.14</v>
      </c>
      <c r="I948" s="970">
        <v>2.9</v>
      </c>
      <c r="J948" s="930">
        <f t="shared" si="195"/>
        <v>25151.99</v>
      </c>
      <c r="K948" s="931">
        <f t="shared" si="196"/>
        <v>235648.13</v>
      </c>
      <c r="L948" s="971"/>
      <c r="M948" s="954"/>
      <c r="N948" s="954"/>
      <c r="O948" s="954"/>
      <c r="P948" s="954"/>
      <c r="Q948" s="954"/>
      <c r="R948" s="954"/>
      <c r="S948" s="954"/>
      <c r="T948" s="954"/>
      <c r="U948" s="954"/>
    </row>
    <row r="949" spans="1:21" s="933" customFormat="1" ht="24" customHeight="1">
      <c r="A949" s="1026"/>
      <c r="B949" s="976" t="s">
        <v>878</v>
      </c>
      <c r="C949" s="976"/>
      <c r="D949" s="976"/>
      <c r="E949" s="978"/>
      <c r="F949" s="974" t="s">
        <v>870</v>
      </c>
      <c r="G949" s="969">
        <f t="shared" si="198"/>
        <v>24.27</v>
      </c>
      <c r="H949" s="930">
        <f t="shared" si="194"/>
        <v>0</v>
      </c>
      <c r="I949" s="970">
        <v>2.9</v>
      </c>
      <c r="J949" s="930">
        <f t="shared" si="195"/>
        <v>0</v>
      </c>
      <c r="K949" s="931">
        <f t="shared" si="196"/>
        <v>0</v>
      </c>
      <c r="L949" s="971"/>
      <c r="M949" s="954"/>
      <c r="N949" s="954"/>
      <c r="O949" s="954"/>
      <c r="P949" s="954"/>
      <c r="Q949" s="954"/>
      <c r="R949" s="954"/>
      <c r="S949" s="954"/>
      <c r="T949" s="954"/>
      <c r="U949" s="954"/>
    </row>
    <row r="950" spans="1:21" s="933" customFormat="1" ht="24" customHeight="1">
      <c r="A950" s="1026"/>
      <c r="B950" s="976" t="s">
        <v>879</v>
      </c>
      <c r="C950" s="976"/>
      <c r="D950" s="976"/>
      <c r="E950" s="978"/>
      <c r="F950" s="974" t="s">
        <v>870</v>
      </c>
      <c r="G950" s="969">
        <f t="shared" si="198"/>
        <v>23.8</v>
      </c>
      <c r="H950" s="930">
        <f t="shared" si="194"/>
        <v>0</v>
      </c>
      <c r="I950" s="970">
        <v>2.9</v>
      </c>
      <c r="J950" s="930">
        <f t="shared" si="195"/>
        <v>0</v>
      </c>
      <c r="K950" s="931">
        <f t="shared" si="196"/>
        <v>0</v>
      </c>
      <c r="L950" s="971"/>
      <c r="M950" s="954"/>
      <c r="N950" s="954"/>
      <c r="O950" s="954"/>
      <c r="P950" s="954"/>
      <c r="Q950" s="954"/>
      <c r="R950" s="954"/>
      <c r="S950" s="954"/>
      <c r="T950" s="954"/>
      <c r="U950" s="954"/>
    </row>
    <row r="951" spans="1:21" s="933" customFormat="1" ht="24" customHeight="1">
      <c r="A951" s="1026"/>
      <c r="B951" s="976" t="s">
        <v>880</v>
      </c>
      <c r="C951" s="976"/>
      <c r="D951" s="976"/>
      <c r="E951" s="978">
        <f>(SUM(E943:E950)/1000)*30</f>
        <v>1248.5313000000001</v>
      </c>
      <c r="F951" s="974" t="s">
        <v>870</v>
      </c>
      <c r="G951" s="969">
        <f t="shared" si="198"/>
        <v>29.92</v>
      </c>
      <c r="H951" s="930">
        <f t="shared" si="194"/>
        <v>37356.06</v>
      </c>
      <c r="I951" s="970"/>
      <c r="J951" s="930">
        <f t="shared" si="195"/>
        <v>0</v>
      </c>
      <c r="K951" s="931">
        <f t="shared" si="196"/>
        <v>37356.06</v>
      </c>
      <c r="L951" s="971"/>
      <c r="M951" s="954"/>
      <c r="N951" s="954"/>
      <c r="O951" s="954"/>
      <c r="P951" s="954"/>
      <c r="Q951" s="954"/>
      <c r="R951" s="954"/>
      <c r="S951" s="954"/>
      <c r="T951" s="954"/>
      <c r="U951" s="954"/>
    </row>
    <row r="952" spans="1:21" s="933" customFormat="1" ht="24" customHeight="1">
      <c r="A952" s="1026"/>
      <c r="B952" s="976" t="s">
        <v>881</v>
      </c>
      <c r="C952" s="976"/>
      <c r="D952" s="976"/>
      <c r="E952" s="978"/>
      <c r="F952" s="974"/>
      <c r="G952" s="969"/>
      <c r="H952" s="930"/>
      <c r="I952" s="970"/>
      <c r="J952" s="930"/>
      <c r="K952" s="931"/>
      <c r="L952" s="971"/>
      <c r="M952" s="954"/>
      <c r="N952" s="954"/>
      <c r="O952" s="954"/>
      <c r="P952" s="954"/>
      <c r="Q952" s="954"/>
      <c r="R952" s="954"/>
      <c r="S952" s="954"/>
      <c r="T952" s="954"/>
      <c r="U952" s="954"/>
    </row>
    <row r="953" spans="1:21" s="933" customFormat="1" ht="24" customHeight="1">
      <c r="A953" s="1026"/>
      <c r="B953" s="976"/>
      <c r="C953" s="976"/>
      <c r="D953" s="976"/>
      <c r="E953" s="978"/>
      <c r="F953" s="974"/>
      <c r="G953" s="969"/>
      <c r="H953" s="930"/>
      <c r="I953" s="970"/>
      <c r="J953" s="930"/>
      <c r="K953" s="931"/>
      <c r="L953" s="971"/>
      <c r="M953" s="954"/>
      <c r="N953" s="954"/>
      <c r="O953" s="954"/>
      <c r="P953" s="954"/>
      <c r="Q953" s="954"/>
      <c r="R953" s="954"/>
      <c r="S953" s="954"/>
      <c r="T953" s="954"/>
      <c r="U953" s="954"/>
    </row>
    <row r="954" spans="1:21" s="933" customFormat="1" ht="24" customHeight="1">
      <c r="A954" s="1026"/>
      <c r="B954" s="1021"/>
      <c r="C954" s="976"/>
      <c r="D954" s="976"/>
      <c r="E954" s="978"/>
      <c r="F954" s="974"/>
      <c r="G954" s="969"/>
      <c r="H954" s="930"/>
      <c r="I954" s="970"/>
      <c r="J954" s="930"/>
      <c r="K954" s="931"/>
      <c r="L954" s="971"/>
      <c r="M954" s="954"/>
      <c r="N954" s="954"/>
      <c r="O954" s="954"/>
      <c r="P954" s="954"/>
      <c r="Q954" s="954"/>
      <c r="R954" s="954"/>
      <c r="S954" s="954"/>
      <c r="T954" s="954"/>
      <c r="U954" s="954"/>
    </row>
    <row r="955" spans="1:21" s="933" customFormat="1" ht="24" customHeight="1">
      <c r="A955" s="1026"/>
      <c r="B955" s="1021"/>
      <c r="C955" s="976"/>
      <c r="D955" s="976"/>
      <c r="E955" s="978"/>
      <c r="F955" s="974"/>
      <c r="G955" s="969"/>
      <c r="H955" s="930"/>
      <c r="I955" s="970"/>
      <c r="J955" s="930"/>
      <c r="K955" s="931"/>
      <c r="L955" s="971"/>
      <c r="M955" s="954"/>
      <c r="N955" s="954"/>
      <c r="O955" s="954"/>
      <c r="P955" s="954"/>
      <c r="Q955" s="954"/>
      <c r="R955" s="954"/>
      <c r="S955" s="954"/>
      <c r="T955" s="954"/>
      <c r="U955" s="954"/>
    </row>
    <row r="956" spans="1:21" s="933" customFormat="1" ht="24" customHeight="1">
      <c r="A956" s="1026"/>
      <c r="B956" s="1021"/>
      <c r="C956" s="976"/>
      <c r="D956" s="976"/>
      <c r="E956" s="978"/>
      <c r="F956" s="974"/>
      <c r="G956" s="969"/>
      <c r="H956" s="930"/>
      <c r="I956" s="970"/>
      <c r="J956" s="930"/>
      <c r="K956" s="931"/>
      <c r="L956" s="971"/>
      <c r="M956" s="954"/>
      <c r="N956" s="954"/>
      <c r="O956" s="954"/>
      <c r="P956" s="954"/>
      <c r="Q956" s="954"/>
      <c r="R956" s="954"/>
      <c r="S956" s="954"/>
      <c r="T956" s="954"/>
      <c r="U956" s="954"/>
    </row>
    <row r="957" spans="1:21" s="933" customFormat="1" ht="24" customHeight="1">
      <c r="A957" s="1026"/>
      <c r="B957" s="1021"/>
      <c r="C957" s="976"/>
      <c r="D957" s="976"/>
      <c r="E957" s="978"/>
      <c r="F957" s="974"/>
      <c r="G957" s="969"/>
      <c r="H957" s="930"/>
      <c r="I957" s="970"/>
      <c r="J957" s="930"/>
      <c r="K957" s="931"/>
      <c r="L957" s="971"/>
      <c r="M957" s="954"/>
      <c r="N957" s="954"/>
      <c r="O957" s="954"/>
      <c r="P957" s="954"/>
      <c r="Q957" s="954"/>
      <c r="R957" s="954"/>
      <c r="S957" s="954"/>
      <c r="T957" s="954"/>
      <c r="U957" s="954"/>
    </row>
    <row r="958" spans="1:21" s="933" customFormat="1" ht="24" customHeight="1">
      <c r="A958" s="1026"/>
      <c r="B958" s="1021"/>
      <c r="C958" s="976"/>
      <c r="D958" s="976"/>
      <c r="E958" s="978"/>
      <c r="F958" s="974"/>
      <c r="G958" s="969"/>
      <c r="H958" s="930"/>
      <c r="I958" s="970"/>
      <c r="J958" s="930"/>
      <c r="K958" s="931"/>
      <c r="L958" s="971"/>
      <c r="M958" s="954"/>
      <c r="N958" s="954"/>
      <c r="O958" s="954"/>
      <c r="P958" s="954"/>
      <c r="Q958" s="954"/>
      <c r="R958" s="954"/>
      <c r="S958" s="954"/>
      <c r="T958" s="954"/>
      <c r="U958" s="954"/>
    </row>
    <row r="959" spans="1:21" s="933" customFormat="1" ht="24" customHeight="1">
      <c r="A959" s="1026"/>
      <c r="B959" s="1021"/>
      <c r="C959" s="976"/>
      <c r="D959" s="976"/>
      <c r="E959" s="978"/>
      <c r="F959" s="974"/>
      <c r="G959" s="969"/>
      <c r="H959" s="930"/>
      <c r="I959" s="970"/>
      <c r="J959" s="930"/>
      <c r="K959" s="931"/>
      <c r="L959" s="971"/>
      <c r="M959" s="954"/>
      <c r="N959" s="954"/>
      <c r="O959" s="954"/>
      <c r="P959" s="954"/>
      <c r="Q959" s="954"/>
      <c r="R959" s="954"/>
      <c r="S959" s="954"/>
      <c r="T959" s="954"/>
      <c r="U959" s="954"/>
    </row>
    <row r="960" spans="1:21" s="933" customFormat="1" ht="24" customHeight="1">
      <c r="A960" s="1026"/>
      <c r="B960" s="1021"/>
      <c r="C960" s="976"/>
      <c r="D960" s="976"/>
      <c r="E960" s="978"/>
      <c r="F960" s="974"/>
      <c r="G960" s="969"/>
      <c r="H960" s="930"/>
      <c r="I960" s="970"/>
      <c r="J960" s="930"/>
      <c r="K960" s="931"/>
      <c r="L960" s="971"/>
      <c r="M960" s="954"/>
      <c r="N960" s="954"/>
      <c r="O960" s="954"/>
      <c r="P960" s="954"/>
      <c r="Q960" s="954"/>
      <c r="R960" s="954"/>
      <c r="S960" s="954"/>
      <c r="T960" s="954"/>
      <c r="U960" s="954"/>
    </row>
    <row r="961" spans="1:21" s="933" customFormat="1" ht="24" customHeight="1">
      <c r="A961" s="1026" t="s">
        <v>954</v>
      </c>
      <c r="B961" s="1030" t="s">
        <v>955</v>
      </c>
      <c r="C961" s="976"/>
      <c r="D961" s="976"/>
      <c r="E961" s="978"/>
      <c r="F961" s="974"/>
      <c r="G961" s="969"/>
      <c r="H961" s="930"/>
      <c r="I961" s="970"/>
      <c r="J961" s="930"/>
      <c r="K961" s="931"/>
      <c r="L961" s="971"/>
      <c r="M961" s="954"/>
      <c r="N961" s="954"/>
      <c r="O961" s="954"/>
      <c r="P961" s="954"/>
      <c r="Q961" s="954"/>
      <c r="R961" s="954"/>
      <c r="S961" s="954"/>
      <c r="T961" s="954"/>
      <c r="U961" s="954"/>
    </row>
    <row r="962" spans="1:21" s="933" customFormat="1" ht="24" customHeight="1">
      <c r="A962" s="1026"/>
      <c r="B962" s="976" t="s">
        <v>864</v>
      </c>
      <c r="C962" s="977"/>
      <c r="D962" s="977"/>
      <c r="E962" s="978">
        <v>17.1828</v>
      </c>
      <c r="F962" s="974" t="s">
        <v>865</v>
      </c>
      <c r="G962" s="969">
        <v>2516</v>
      </c>
      <c r="H962" s="930">
        <f t="shared" ref="H962:H976" si="199">ROUND(E962*G962,2)</f>
        <v>43231.92</v>
      </c>
      <c r="I962" s="970">
        <v>485</v>
      </c>
      <c r="J962" s="930">
        <f t="shared" ref="J962:J976" si="200">ROUND(E962*I962,2)</f>
        <v>8333.66</v>
      </c>
      <c r="K962" s="931">
        <f t="shared" ref="K962:K976" si="201">H962+J962</f>
        <v>51565.58</v>
      </c>
      <c r="L962" s="971"/>
      <c r="M962" s="954"/>
      <c r="N962" s="954"/>
      <c r="O962" s="954"/>
      <c r="P962" s="954"/>
      <c r="Q962" s="954"/>
      <c r="R962" s="954"/>
      <c r="S962" s="954"/>
      <c r="T962" s="954"/>
      <c r="U962" s="954"/>
    </row>
    <row r="963" spans="1:21" s="933" customFormat="1" ht="24" customHeight="1">
      <c r="A963" s="1026"/>
      <c r="B963" s="979" t="s">
        <v>866</v>
      </c>
      <c r="C963" s="976"/>
      <c r="D963" s="976"/>
      <c r="E963" s="978"/>
      <c r="F963" s="974"/>
      <c r="G963" s="969"/>
      <c r="H963" s="930">
        <f t="shared" si="199"/>
        <v>0</v>
      </c>
      <c r="I963" s="970"/>
      <c r="J963" s="930">
        <f t="shared" si="200"/>
        <v>0</v>
      </c>
      <c r="K963" s="931">
        <f t="shared" si="201"/>
        <v>0</v>
      </c>
      <c r="L963" s="971"/>
      <c r="M963" s="954"/>
      <c r="N963" s="954"/>
      <c r="O963" s="954"/>
      <c r="P963" s="954"/>
      <c r="Q963" s="954"/>
      <c r="R963" s="954"/>
      <c r="S963" s="954"/>
      <c r="T963" s="954"/>
      <c r="U963" s="954"/>
    </row>
    <row r="964" spans="1:21" s="933" customFormat="1" ht="24" customHeight="1">
      <c r="A964" s="1026"/>
      <c r="B964" s="979"/>
      <c r="C964" s="976" t="s">
        <v>867</v>
      </c>
      <c r="D964" s="976"/>
      <c r="E964" s="978">
        <f>E965/2</f>
        <v>58.164000000000001</v>
      </c>
      <c r="F964" s="974" t="s">
        <v>34</v>
      </c>
      <c r="G964" s="969">
        <v>661.62</v>
      </c>
      <c r="H964" s="930">
        <f t="shared" si="199"/>
        <v>38482.47</v>
      </c>
      <c r="I964" s="970"/>
      <c r="J964" s="930">
        <f t="shared" si="200"/>
        <v>0</v>
      </c>
      <c r="K964" s="931">
        <f t="shared" si="201"/>
        <v>38482.47</v>
      </c>
      <c r="L964" s="971"/>
      <c r="M964" s="954"/>
      <c r="N964" s="954"/>
      <c r="O964" s="954"/>
      <c r="P964" s="954"/>
      <c r="Q964" s="954"/>
      <c r="R964" s="954"/>
      <c r="S964" s="954"/>
      <c r="T964" s="954"/>
      <c r="U964" s="954"/>
    </row>
    <row r="965" spans="1:21" s="933" customFormat="1" ht="24" customHeight="1">
      <c r="A965" s="1026"/>
      <c r="B965" s="979"/>
      <c r="C965" s="976" t="s">
        <v>868</v>
      </c>
      <c r="D965" s="976"/>
      <c r="E965" s="978">
        <v>116.328</v>
      </c>
      <c r="F965" s="974" t="s">
        <v>34</v>
      </c>
      <c r="G965" s="969"/>
      <c r="H965" s="930">
        <f t="shared" si="199"/>
        <v>0</v>
      </c>
      <c r="I965" s="970">
        <v>154</v>
      </c>
      <c r="J965" s="930">
        <f t="shared" si="200"/>
        <v>17914.509999999998</v>
      </c>
      <c r="K965" s="931">
        <f t="shared" si="201"/>
        <v>17914.509999999998</v>
      </c>
      <c r="L965" s="971"/>
      <c r="M965" s="954"/>
      <c r="N965" s="954"/>
      <c r="O965" s="954"/>
      <c r="P965" s="954"/>
      <c r="Q965" s="954"/>
      <c r="R965" s="954"/>
      <c r="S965" s="954"/>
      <c r="T965" s="954"/>
      <c r="U965" s="954"/>
    </row>
    <row r="966" spans="1:21" s="933" customFormat="1" ht="24" customHeight="1">
      <c r="A966" s="1026"/>
      <c r="B966" s="976" t="s">
        <v>869</v>
      </c>
      <c r="C966" s="976"/>
      <c r="D966" s="976"/>
      <c r="E966" s="978">
        <f>(E965*0.25)</f>
        <v>29.082000000000001</v>
      </c>
      <c r="F966" s="974" t="s">
        <v>870</v>
      </c>
      <c r="G966" s="969">
        <f t="shared" ref="G966" si="202">VLOOKUP(B966,$O$43:$P$53,2,FALSE)</f>
        <v>29.94</v>
      </c>
      <c r="H966" s="930">
        <f t="shared" si="199"/>
        <v>870.72</v>
      </c>
      <c r="I966" s="970"/>
      <c r="J966" s="930">
        <f t="shared" si="200"/>
        <v>0</v>
      </c>
      <c r="K966" s="931">
        <f t="shared" si="201"/>
        <v>870.72</v>
      </c>
      <c r="L966" s="971"/>
      <c r="M966" s="954"/>
      <c r="N966" s="954"/>
      <c r="O966" s="954"/>
      <c r="P966" s="954"/>
      <c r="Q966" s="954"/>
      <c r="R966" s="954"/>
      <c r="S966" s="954"/>
      <c r="T966" s="954"/>
      <c r="U966" s="954"/>
    </row>
    <row r="967" spans="1:21" s="933" customFormat="1" ht="24" customHeight="1">
      <c r="A967" s="1026"/>
      <c r="B967" s="976" t="s">
        <v>871</v>
      </c>
      <c r="C967" s="976"/>
      <c r="D967" s="976"/>
      <c r="E967" s="978"/>
      <c r="F967" s="982"/>
      <c r="G967" s="983"/>
      <c r="H967" s="930">
        <f t="shared" si="199"/>
        <v>0</v>
      </c>
      <c r="I967" s="970"/>
      <c r="J967" s="930">
        <f t="shared" si="200"/>
        <v>0</v>
      </c>
      <c r="K967" s="931">
        <f t="shared" si="201"/>
        <v>0</v>
      </c>
      <c r="L967" s="971"/>
      <c r="M967" s="954"/>
      <c r="N967" s="954"/>
      <c r="O967" s="954"/>
      <c r="P967" s="954"/>
      <c r="Q967" s="954"/>
      <c r="R967" s="954"/>
      <c r="S967" s="954"/>
      <c r="T967" s="954"/>
      <c r="U967" s="954"/>
    </row>
    <row r="968" spans="1:21" s="933" customFormat="1" ht="24" customHeight="1">
      <c r="A968" s="1026"/>
      <c r="B968" s="976" t="s">
        <v>872</v>
      </c>
      <c r="C968" s="976"/>
      <c r="D968" s="976"/>
      <c r="E968" s="978"/>
      <c r="F968" s="974" t="s">
        <v>870</v>
      </c>
      <c r="G968" s="969">
        <f t="shared" ref="G968:G976" si="203">VLOOKUP(B968,$O$43:$P$53,2,FALSE)</f>
        <v>25.73</v>
      </c>
      <c r="H968" s="930">
        <f t="shared" si="199"/>
        <v>0</v>
      </c>
      <c r="I968" s="984">
        <v>4.0999999999999996</v>
      </c>
      <c r="J968" s="930">
        <f t="shared" si="200"/>
        <v>0</v>
      </c>
      <c r="K968" s="931">
        <f t="shared" si="201"/>
        <v>0</v>
      </c>
      <c r="L968" s="971"/>
      <c r="M968" s="954"/>
      <c r="N968" s="954"/>
      <c r="O968" s="954"/>
      <c r="P968" s="954"/>
      <c r="Q968" s="954"/>
      <c r="R968" s="954"/>
      <c r="S968" s="954"/>
      <c r="T968" s="954"/>
      <c r="U968" s="954"/>
    </row>
    <row r="969" spans="1:21" s="933" customFormat="1" ht="24" customHeight="1">
      <c r="A969" s="1026"/>
      <c r="B969" s="976" t="s">
        <v>873</v>
      </c>
      <c r="C969" s="976"/>
      <c r="D969" s="976"/>
      <c r="E969" s="978">
        <v>884.53</v>
      </c>
      <c r="F969" s="974" t="s">
        <v>870</v>
      </c>
      <c r="G969" s="969">
        <f t="shared" si="203"/>
        <v>24.97</v>
      </c>
      <c r="H969" s="930">
        <f t="shared" si="199"/>
        <v>22086.71</v>
      </c>
      <c r="I969" s="970">
        <v>4.0999999999999996</v>
      </c>
      <c r="J969" s="930">
        <f t="shared" si="200"/>
        <v>3626.57</v>
      </c>
      <c r="K969" s="931">
        <f t="shared" si="201"/>
        <v>25713.279999999999</v>
      </c>
      <c r="L969" s="971"/>
      <c r="M969" s="954"/>
      <c r="N969" s="954"/>
      <c r="O969" s="954"/>
      <c r="P969" s="954"/>
      <c r="Q969" s="954"/>
      <c r="R969" s="954"/>
      <c r="S969" s="954"/>
      <c r="T969" s="954"/>
      <c r="U969" s="954"/>
    </row>
    <row r="970" spans="1:21" s="933" customFormat="1" ht="24" customHeight="1">
      <c r="A970" s="1026"/>
      <c r="B970" s="976" t="s">
        <v>874</v>
      </c>
      <c r="C970" s="976"/>
      <c r="D970" s="976"/>
      <c r="E970" s="978">
        <v>1011.72</v>
      </c>
      <c r="F970" s="974" t="s">
        <v>870</v>
      </c>
      <c r="G970" s="969">
        <f t="shared" si="203"/>
        <v>24.47</v>
      </c>
      <c r="H970" s="930">
        <f t="shared" si="199"/>
        <v>24756.79</v>
      </c>
      <c r="I970" s="970">
        <v>3.3</v>
      </c>
      <c r="J970" s="930">
        <f t="shared" si="200"/>
        <v>3338.68</v>
      </c>
      <c r="K970" s="931">
        <f t="shared" si="201"/>
        <v>28095.47</v>
      </c>
      <c r="L970" s="971"/>
      <c r="M970" s="954"/>
      <c r="N970" s="954"/>
      <c r="O970" s="954"/>
      <c r="P970" s="954"/>
      <c r="Q970" s="954"/>
      <c r="R970" s="954"/>
      <c r="S970" s="954"/>
      <c r="T970" s="954"/>
      <c r="U970" s="954"/>
    </row>
    <row r="971" spans="1:21" s="933" customFormat="1" ht="24" customHeight="1">
      <c r="A971" s="1026"/>
      <c r="B971" s="976" t="s">
        <v>875</v>
      </c>
      <c r="C971" s="976"/>
      <c r="D971" s="976"/>
      <c r="E971" s="978">
        <v>584.02</v>
      </c>
      <c r="F971" s="982" t="s">
        <v>870</v>
      </c>
      <c r="G971" s="969">
        <f t="shared" si="203"/>
        <v>24.27</v>
      </c>
      <c r="H971" s="930">
        <f t="shared" si="199"/>
        <v>14174.17</v>
      </c>
      <c r="I971" s="970">
        <v>3.3</v>
      </c>
      <c r="J971" s="930">
        <f t="shared" si="200"/>
        <v>1927.27</v>
      </c>
      <c r="K971" s="931">
        <f t="shared" si="201"/>
        <v>16101.44</v>
      </c>
      <c r="L971" s="971"/>
      <c r="M971" s="954"/>
      <c r="N971" s="954"/>
      <c r="O971" s="954"/>
      <c r="P971" s="954"/>
      <c r="Q971" s="954"/>
      <c r="R971" s="954"/>
      <c r="S971" s="954"/>
      <c r="T971" s="954"/>
      <c r="U971" s="954"/>
    </row>
    <row r="972" spans="1:21" s="933" customFormat="1" ht="24" customHeight="1">
      <c r="A972" s="1026"/>
      <c r="B972" s="976" t="s">
        <v>876</v>
      </c>
      <c r="C972" s="976"/>
      <c r="D972" s="976"/>
      <c r="E972" s="978"/>
      <c r="F972" s="974" t="s">
        <v>870</v>
      </c>
      <c r="G972" s="969">
        <f t="shared" si="203"/>
        <v>24.27</v>
      </c>
      <c r="H972" s="930">
        <f t="shared" si="199"/>
        <v>0</v>
      </c>
      <c r="I972" s="970">
        <v>2.9</v>
      </c>
      <c r="J972" s="930">
        <f t="shared" si="200"/>
        <v>0</v>
      </c>
      <c r="K972" s="931">
        <f t="shared" si="201"/>
        <v>0</v>
      </c>
      <c r="L972" s="971"/>
      <c r="M972" s="954"/>
      <c r="N972" s="954"/>
      <c r="O972" s="954"/>
      <c r="P972" s="954"/>
      <c r="Q972" s="954"/>
      <c r="R972" s="954"/>
      <c r="S972" s="954"/>
      <c r="T972" s="954"/>
      <c r="U972" s="954"/>
    </row>
    <row r="973" spans="1:21" s="933" customFormat="1" ht="24" customHeight="1">
      <c r="A973" s="1026"/>
      <c r="B973" s="976" t="s">
        <v>877</v>
      </c>
      <c r="C973" s="976"/>
      <c r="D973" s="976"/>
      <c r="E973" s="978"/>
      <c r="F973" s="974" t="s">
        <v>870</v>
      </c>
      <c r="G973" s="969">
        <f t="shared" si="203"/>
        <v>24.27</v>
      </c>
      <c r="H973" s="930">
        <f t="shared" si="199"/>
        <v>0</v>
      </c>
      <c r="I973" s="970">
        <v>2.9</v>
      </c>
      <c r="J973" s="930">
        <f t="shared" si="200"/>
        <v>0</v>
      </c>
      <c r="K973" s="931">
        <f t="shared" si="201"/>
        <v>0</v>
      </c>
      <c r="L973" s="971"/>
      <c r="M973" s="954"/>
      <c r="N973" s="954"/>
      <c r="O973" s="954"/>
      <c r="P973" s="954"/>
      <c r="Q973" s="954"/>
      <c r="R973" s="954"/>
      <c r="S973" s="954"/>
      <c r="T973" s="954"/>
      <c r="U973" s="954"/>
    </row>
    <row r="974" spans="1:21" s="933" customFormat="1" ht="24" customHeight="1">
      <c r="A974" s="1026"/>
      <c r="B974" s="976" t="s">
        <v>878</v>
      </c>
      <c r="C974" s="976"/>
      <c r="D974" s="976"/>
      <c r="E974" s="978"/>
      <c r="F974" s="974" t="s">
        <v>870</v>
      </c>
      <c r="G974" s="969">
        <f t="shared" si="203"/>
        <v>24.27</v>
      </c>
      <c r="H974" s="930">
        <f t="shared" si="199"/>
        <v>0</v>
      </c>
      <c r="I974" s="970">
        <v>2.9</v>
      </c>
      <c r="J974" s="930">
        <f t="shared" si="200"/>
        <v>0</v>
      </c>
      <c r="K974" s="931">
        <f t="shared" si="201"/>
        <v>0</v>
      </c>
      <c r="L974" s="971"/>
      <c r="M974" s="954"/>
      <c r="N974" s="954"/>
      <c r="O974" s="954"/>
      <c r="P974" s="954"/>
      <c r="Q974" s="954"/>
      <c r="R974" s="954"/>
      <c r="S974" s="954"/>
      <c r="T974" s="954"/>
      <c r="U974" s="954"/>
    </row>
    <row r="975" spans="1:21" s="933" customFormat="1" ht="24" customHeight="1">
      <c r="A975" s="1026"/>
      <c r="B975" s="976" t="s">
        <v>879</v>
      </c>
      <c r="C975" s="976"/>
      <c r="D975" s="976"/>
      <c r="E975" s="978"/>
      <c r="F975" s="974" t="s">
        <v>870</v>
      </c>
      <c r="G975" s="969">
        <f t="shared" si="203"/>
        <v>23.8</v>
      </c>
      <c r="H975" s="930">
        <f t="shared" si="199"/>
        <v>0</v>
      </c>
      <c r="I975" s="970">
        <v>2.9</v>
      </c>
      <c r="J975" s="930">
        <f t="shared" si="200"/>
        <v>0</v>
      </c>
      <c r="K975" s="931">
        <f t="shared" si="201"/>
        <v>0</v>
      </c>
      <c r="L975" s="971"/>
      <c r="M975" s="954"/>
      <c r="N975" s="954"/>
      <c r="O975" s="954"/>
      <c r="P975" s="954"/>
      <c r="Q975" s="954"/>
      <c r="R975" s="954"/>
      <c r="S975" s="954"/>
      <c r="T975" s="954"/>
      <c r="U975" s="954"/>
    </row>
    <row r="976" spans="1:21" s="933" customFormat="1" ht="24" customHeight="1">
      <c r="A976" s="1026"/>
      <c r="B976" s="976" t="s">
        <v>880</v>
      </c>
      <c r="C976" s="976"/>
      <c r="D976" s="976"/>
      <c r="E976" s="978">
        <f>(SUM(E968:E975)/1000)*30</f>
        <v>74.408100000000005</v>
      </c>
      <c r="F976" s="974" t="s">
        <v>870</v>
      </c>
      <c r="G976" s="969">
        <f t="shared" si="203"/>
        <v>29.92</v>
      </c>
      <c r="H976" s="930">
        <f t="shared" si="199"/>
        <v>2226.29</v>
      </c>
      <c r="I976" s="970"/>
      <c r="J976" s="930">
        <f t="shared" si="200"/>
        <v>0</v>
      </c>
      <c r="K976" s="931">
        <f t="shared" si="201"/>
        <v>2226.29</v>
      </c>
      <c r="L976" s="971"/>
      <c r="M976" s="954"/>
      <c r="N976" s="954"/>
      <c r="O976" s="954"/>
      <c r="P976" s="954"/>
      <c r="Q976" s="954"/>
      <c r="R976" s="954"/>
      <c r="S976" s="954"/>
      <c r="T976" s="954"/>
      <c r="U976" s="954"/>
    </row>
    <row r="977" spans="1:21" s="933" customFormat="1" ht="24" customHeight="1">
      <c r="A977" s="1026"/>
      <c r="B977" s="976" t="s">
        <v>881</v>
      </c>
      <c r="C977" s="976"/>
      <c r="D977" s="976"/>
      <c r="E977" s="978"/>
      <c r="F977" s="974"/>
      <c r="G977" s="969"/>
      <c r="H977" s="930"/>
      <c r="I977" s="970"/>
      <c r="J977" s="930"/>
      <c r="K977" s="931"/>
      <c r="L977" s="971"/>
      <c r="M977" s="954"/>
      <c r="N977" s="954"/>
      <c r="O977" s="954"/>
      <c r="P977" s="954"/>
      <c r="Q977" s="954"/>
      <c r="R977" s="954"/>
      <c r="S977" s="954"/>
      <c r="T977" s="954"/>
      <c r="U977" s="954"/>
    </row>
    <row r="978" spans="1:21" s="933" customFormat="1" ht="24" customHeight="1">
      <c r="A978" s="1026"/>
      <c r="B978" s="976"/>
      <c r="C978" s="976"/>
      <c r="D978" s="976"/>
      <c r="E978" s="978"/>
      <c r="F978" s="974"/>
      <c r="G978" s="969"/>
      <c r="H978" s="930"/>
      <c r="I978" s="970"/>
      <c r="J978" s="930"/>
      <c r="K978" s="931"/>
      <c r="L978" s="971"/>
      <c r="M978" s="954"/>
      <c r="N978" s="954"/>
      <c r="O978" s="954"/>
      <c r="P978" s="954"/>
      <c r="Q978" s="954"/>
      <c r="R978" s="954"/>
      <c r="S978" s="954"/>
      <c r="T978" s="954"/>
      <c r="U978" s="954"/>
    </row>
    <row r="979" spans="1:21" s="933" customFormat="1" ht="24" customHeight="1">
      <c r="A979" s="1026"/>
      <c r="B979" s="1021"/>
      <c r="C979" s="976"/>
      <c r="D979" s="976"/>
      <c r="E979" s="978"/>
      <c r="F979" s="974"/>
      <c r="G979" s="969"/>
      <c r="H979" s="930"/>
      <c r="I979" s="970"/>
      <c r="J979" s="930"/>
      <c r="K979" s="931"/>
      <c r="L979" s="971"/>
      <c r="M979" s="954"/>
      <c r="N979" s="954"/>
      <c r="O979" s="954"/>
      <c r="P979" s="954"/>
      <c r="Q979" s="954"/>
      <c r="R979" s="954"/>
      <c r="S979" s="954"/>
      <c r="T979" s="954"/>
      <c r="U979" s="954"/>
    </row>
    <row r="980" spans="1:21" s="933" customFormat="1" ht="24" customHeight="1">
      <c r="A980" s="1026"/>
      <c r="B980" s="1021"/>
      <c r="C980" s="976"/>
      <c r="D980" s="976"/>
      <c r="E980" s="978"/>
      <c r="F980" s="974"/>
      <c r="G980" s="969"/>
      <c r="H980" s="930"/>
      <c r="I980" s="970"/>
      <c r="J980" s="930"/>
      <c r="K980" s="931"/>
      <c r="L980" s="971"/>
      <c r="M980" s="954"/>
      <c r="N980" s="954"/>
      <c r="O980" s="954"/>
      <c r="P980" s="954"/>
      <c r="Q980" s="954"/>
      <c r="R980" s="954"/>
      <c r="S980" s="954"/>
      <c r="T980" s="954"/>
      <c r="U980" s="954"/>
    </row>
    <row r="981" spans="1:21" s="933" customFormat="1" ht="24" customHeight="1">
      <c r="A981" s="1026"/>
      <c r="B981" s="1021"/>
      <c r="C981" s="976"/>
      <c r="D981" s="976"/>
      <c r="E981" s="978"/>
      <c r="F981" s="974"/>
      <c r="G981" s="969"/>
      <c r="H981" s="930"/>
      <c r="I981" s="970"/>
      <c r="J981" s="930"/>
      <c r="K981" s="931"/>
      <c r="L981" s="971"/>
      <c r="M981" s="954"/>
      <c r="N981" s="954"/>
      <c r="O981" s="954"/>
      <c r="P981" s="954"/>
      <c r="Q981" s="954"/>
      <c r="R981" s="954"/>
      <c r="S981" s="954"/>
      <c r="T981" s="954"/>
      <c r="U981" s="954"/>
    </row>
    <row r="982" spans="1:21" s="933" customFormat="1" ht="24" customHeight="1">
      <c r="A982" s="1026"/>
      <c r="B982" s="1021"/>
      <c r="C982" s="976"/>
      <c r="D982" s="976"/>
      <c r="E982" s="978"/>
      <c r="F982" s="974"/>
      <c r="G982" s="969"/>
      <c r="H982" s="930"/>
      <c r="I982" s="970"/>
      <c r="J982" s="930"/>
      <c r="K982" s="931"/>
      <c r="L982" s="971"/>
      <c r="M982" s="954"/>
      <c r="N982" s="954"/>
      <c r="O982" s="954"/>
      <c r="P982" s="954"/>
      <c r="Q982" s="954"/>
      <c r="R982" s="954"/>
      <c r="S982" s="954"/>
      <c r="T982" s="954"/>
      <c r="U982" s="954"/>
    </row>
    <row r="983" spans="1:21" s="933" customFormat="1" ht="24" customHeight="1">
      <c r="A983" s="1026"/>
      <c r="B983" s="1021"/>
      <c r="C983" s="976"/>
      <c r="D983" s="976"/>
      <c r="E983" s="978"/>
      <c r="F983" s="974"/>
      <c r="G983" s="969"/>
      <c r="H983" s="930"/>
      <c r="I983" s="970"/>
      <c r="J983" s="930"/>
      <c r="K983" s="931"/>
      <c r="L983" s="971"/>
      <c r="M983" s="954"/>
      <c r="N983" s="954"/>
      <c r="O983" s="954"/>
      <c r="P983" s="954"/>
      <c r="Q983" s="954"/>
      <c r="R983" s="954"/>
      <c r="S983" s="954"/>
      <c r="T983" s="954"/>
      <c r="U983" s="954"/>
    </row>
    <row r="984" spans="1:21" s="933" customFormat="1" ht="24" customHeight="1">
      <c r="A984" s="956"/>
      <c r="B984" s="1031"/>
      <c r="C984" s="987"/>
      <c r="D984" s="987"/>
      <c r="E984" s="978"/>
      <c r="F984" s="989"/>
      <c r="G984" s="983"/>
      <c r="H984" s="990"/>
      <c r="I984" s="984"/>
      <c r="J984" s="990"/>
      <c r="K984" s="991"/>
      <c r="L984" s="992"/>
      <c r="M984" s="954"/>
      <c r="N984" s="954"/>
      <c r="O984" s="954"/>
      <c r="P984" s="954"/>
      <c r="Q984" s="954"/>
      <c r="R984" s="954"/>
      <c r="S984" s="954"/>
      <c r="T984" s="954"/>
      <c r="U984" s="954"/>
    </row>
    <row r="985" spans="1:21" s="933" customFormat="1" ht="24" customHeight="1">
      <c r="A985" s="1014"/>
      <c r="B985" s="2226" t="str">
        <f>"รวมราคารายการที่ "&amp;A861</f>
        <v>รวมราคารายการที่ 1.8</v>
      </c>
      <c r="C985" s="2226"/>
      <c r="D985" s="2226"/>
      <c r="E985" s="1015"/>
      <c r="F985" s="1016"/>
      <c r="G985" s="1017"/>
      <c r="H985" s="1018">
        <f>ROUND(SUBTOTAL(9,H864:H984),2)</f>
        <v>15532294.16</v>
      </c>
      <c r="I985" s="1019"/>
      <c r="J985" s="1018">
        <f>ROUND(SUBTOTAL(9,J864:J984),2)</f>
        <v>3105210.35</v>
      </c>
      <c r="K985" s="1018">
        <f>ROUND(SUBTOTAL(9,K864:K984),2)</f>
        <v>18637504.510000002</v>
      </c>
      <c r="L985" s="1018"/>
      <c r="M985" s="954"/>
      <c r="N985" s="954"/>
      <c r="O985" s="954"/>
      <c r="P985" s="954"/>
      <c r="Q985" s="954"/>
      <c r="R985" s="954"/>
      <c r="S985" s="954"/>
      <c r="T985" s="954"/>
      <c r="U985" s="954"/>
    </row>
    <row r="986" spans="1:21" s="933" customFormat="1" ht="24" customHeight="1">
      <c r="A986" s="1032" t="s">
        <v>956</v>
      </c>
      <c r="B986" s="957" t="s">
        <v>957</v>
      </c>
      <c r="C986" s="987"/>
      <c r="D986" s="987"/>
      <c r="E986" s="978"/>
      <c r="F986" s="989"/>
      <c r="G986" s="983"/>
      <c r="H986" s="990"/>
      <c r="I986" s="984"/>
      <c r="J986" s="990"/>
      <c r="K986" s="991"/>
      <c r="L986" s="992"/>
      <c r="M986" s="954"/>
      <c r="N986" s="954"/>
      <c r="O986" s="954"/>
      <c r="P986" s="954"/>
      <c r="Q986" s="954"/>
      <c r="R986" s="954"/>
      <c r="S986" s="954"/>
      <c r="T986" s="954"/>
      <c r="U986" s="954"/>
    </row>
    <row r="987" spans="1:21" s="933" customFormat="1" ht="24" customHeight="1">
      <c r="A987" s="1026"/>
      <c r="B987" s="966"/>
      <c r="C987" s="976"/>
      <c r="D987" s="976"/>
      <c r="E987" s="978"/>
      <c r="F987" s="974"/>
      <c r="G987" s="969"/>
      <c r="H987" s="930"/>
      <c r="I987" s="970"/>
      <c r="J987" s="930"/>
      <c r="K987" s="931"/>
      <c r="L987" s="971"/>
      <c r="M987" s="954"/>
      <c r="N987" s="954"/>
      <c r="O987" s="954"/>
      <c r="P987" s="954"/>
      <c r="Q987" s="954"/>
      <c r="R987" s="954"/>
      <c r="S987" s="954"/>
      <c r="T987" s="954"/>
      <c r="U987" s="954"/>
    </row>
    <row r="988" spans="1:21" s="933" customFormat="1" ht="24" customHeight="1">
      <c r="A988" s="1026" t="s">
        <v>958</v>
      </c>
      <c r="B988" s="1030" t="s">
        <v>959</v>
      </c>
      <c r="C988" s="976"/>
      <c r="D988" s="976"/>
      <c r="E988" s="978"/>
      <c r="F988" s="974"/>
      <c r="G988" s="969"/>
      <c r="H988" s="930"/>
      <c r="I988" s="970"/>
      <c r="J988" s="930"/>
      <c r="K988" s="931"/>
      <c r="L988" s="971"/>
      <c r="M988" s="954"/>
      <c r="N988" s="954"/>
      <c r="O988" s="954"/>
      <c r="P988" s="954"/>
      <c r="Q988" s="954"/>
      <c r="R988" s="954"/>
      <c r="S988" s="954"/>
      <c r="T988" s="954"/>
      <c r="U988" s="954"/>
    </row>
    <row r="989" spans="1:21" s="933" customFormat="1" ht="24" customHeight="1">
      <c r="A989" s="1026"/>
      <c r="B989" s="976" t="s">
        <v>864</v>
      </c>
      <c r="C989" s="977"/>
      <c r="D989" s="977"/>
      <c r="E989" s="978">
        <v>1394.31</v>
      </c>
      <c r="F989" s="974" t="s">
        <v>865</v>
      </c>
      <c r="G989" s="969">
        <v>2516</v>
      </c>
      <c r="H989" s="930">
        <f t="shared" ref="H989:H1004" si="204">ROUND(E989*G989,2)</f>
        <v>3508083.96</v>
      </c>
      <c r="I989" s="970">
        <v>485</v>
      </c>
      <c r="J989" s="930">
        <f t="shared" ref="J989:J1004" si="205">ROUND(E989*I989,2)</f>
        <v>676240.35</v>
      </c>
      <c r="K989" s="931">
        <f t="shared" ref="K989:K1004" si="206">H989+J989</f>
        <v>4184324.31</v>
      </c>
      <c r="L989" s="971"/>
      <c r="M989" s="954"/>
      <c r="N989" s="954"/>
      <c r="O989" s="954"/>
      <c r="P989" s="954"/>
      <c r="Q989" s="954"/>
      <c r="R989" s="954"/>
      <c r="S989" s="954"/>
      <c r="T989" s="954"/>
      <c r="U989" s="954"/>
    </row>
    <row r="990" spans="1:21" s="933" customFormat="1" ht="24" customHeight="1">
      <c r="A990" s="1026"/>
      <c r="B990" s="979" t="s">
        <v>866</v>
      </c>
      <c r="C990" s="976"/>
      <c r="D990" s="976"/>
      <c r="E990" s="978"/>
      <c r="F990" s="974"/>
      <c r="G990" s="969"/>
      <c r="H990" s="930">
        <f t="shared" si="204"/>
        <v>0</v>
      </c>
      <c r="I990" s="970"/>
      <c r="J990" s="930">
        <f t="shared" si="205"/>
        <v>0</v>
      </c>
      <c r="K990" s="931">
        <f t="shared" si="206"/>
        <v>0</v>
      </c>
      <c r="L990" s="971"/>
      <c r="M990" s="954"/>
      <c r="N990" s="954"/>
      <c r="O990" s="954"/>
      <c r="P990" s="954"/>
      <c r="Q990" s="954"/>
      <c r="R990" s="954"/>
      <c r="S990" s="954"/>
      <c r="T990" s="954"/>
      <c r="U990" s="954"/>
    </row>
    <row r="991" spans="1:21" s="933" customFormat="1" ht="24" customHeight="1">
      <c r="A991" s="1026"/>
      <c r="B991" s="979"/>
      <c r="C991" s="976" t="s">
        <v>867</v>
      </c>
      <c r="D991" s="976"/>
      <c r="E991" s="978">
        <f>E992/2</f>
        <v>3125.2550000000001</v>
      </c>
      <c r="F991" s="974" t="s">
        <v>34</v>
      </c>
      <c r="G991" s="969">
        <v>661.62</v>
      </c>
      <c r="H991" s="930">
        <f t="shared" si="204"/>
        <v>2067731.21</v>
      </c>
      <c r="I991" s="970"/>
      <c r="J991" s="930">
        <f t="shared" si="205"/>
        <v>0</v>
      </c>
      <c r="K991" s="931">
        <f t="shared" si="206"/>
        <v>2067731.21</v>
      </c>
      <c r="L991" s="971"/>
      <c r="M991" s="954"/>
      <c r="N991" s="954"/>
      <c r="O991" s="954"/>
      <c r="P991" s="954"/>
      <c r="Q991" s="954"/>
      <c r="R991" s="954"/>
      <c r="S991" s="954"/>
      <c r="T991" s="954"/>
      <c r="U991" s="954"/>
    </row>
    <row r="992" spans="1:21" s="933" customFormat="1" ht="24" customHeight="1">
      <c r="A992" s="1026"/>
      <c r="B992" s="979"/>
      <c r="C992" s="976" t="s">
        <v>868</v>
      </c>
      <c r="D992" s="976"/>
      <c r="E992" s="978">
        <v>6250.51</v>
      </c>
      <c r="F992" s="974" t="s">
        <v>34</v>
      </c>
      <c r="G992" s="969"/>
      <c r="H992" s="930">
        <f t="shared" si="204"/>
        <v>0</v>
      </c>
      <c r="I992" s="970">
        <v>154</v>
      </c>
      <c r="J992" s="930">
        <f t="shared" si="205"/>
        <v>962578.54</v>
      </c>
      <c r="K992" s="931">
        <f t="shared" si="206"/>
        <v>962578.54</v>
      </c>
      <c r="L992" s="971"/>
      <c r="M992" s="954"/>
      <c r="N992" s="954"/>
      <c r="O992" s="954"/>
      <c r="P992" s="954"/>
      <c r="Q992" s="954"/>
      <c r="R992" s="954"/>
      <c r="S992" s="954"/>
      <c r="T992" s="954"/>
      <c r="U992" s="954"/>
    </row>
    <row r="993" spans="1:21" s="933" customFormat="1" ht="24" customHeight="1">
      <c r="A993" s="1026"/>
      <c r="B993" s="976" t="s">
        <v>869</v>
      </c>
      <c r="C993" s="976"/>
      <c r="D993" s="976"/>
      <c r="E993" s="978">
        <f>(E992*0.25)</f>
        <v>1562.6275000000001</v>
      </c>
      <c r="F993" s="974" t="s">
        <v>870</v>
      </c>
      <c r="G993" s="969">
        <f t="shared" ref="G993" si="207">VLOOKUP(B993,$O$43:$P$53,2,FALSE)</f>
        <v>29.94</v>
      </c>
      <c r="H993" s="930">
        <f t="shared" si="204"/>
        <v>46785.07</v>
      </c>
      <c r="I993" s="970"/>
      <c r="J993" s="930">
        <f t="shared" si="205"/>
        <v>0</v>
      </c>
      <c r="K993" s="931">
        <f t="shared" si="206"/>
        <v>46785.07</v>
      </c>
      <c r="L993" s="971"/>
      <c r="M993" s="954"/>
      <c r="N993" s="954"/>
      <c r="O993" s="954"/>
      <c r="P993" s="954"/>
      <c r="Q993" s="954"/>
      <c r="R993" s="954"/>
      <c r="S993" s="954"/>
      <c r="T993" s="954"/>
      <c r="U993" s="954"/>
    </row>
    <row r="994" spans="1:21" s="933" customFormat="1" ht="24" customHeight="1">
      <c r="A994" s="1026"/>
      <c r="B994" s="976" t="s">
        <v>871</v>
      </c>
      <c r="C994" s="976"/>
      <c r="D994" s="976"/>
      <c r="E994" s="978"/>
      <c r="F994" s="982"/>
      <c r="G994" s="983"/>
      <c r="H994" s="930">
        <f t="shared" si="204"/>
        <v>0</v>
      </c>
      <c r="I994" s="970"/>
      <c r="J994" s="930">
        <f t="shared" si="205"/>
        <v>0</v>
      </c>
      <c r="K994" s="931">
        <f t="shared" si="206"/>
        <v>0</v>
      </c>
      <c r="L994" s="971"/>
      <c r="M994" s="954"/>
      <c r="N994" s="954"/>
      <c r="O994" s="954"/>
      <c r="P994" s="954"/>
      <c r="Q994" s="954"/>
      <c r="R994" s="954"/>
      <c r="S994" s="954"/>
      <c r="T994" s="954"/>
      <c r="U994" s="954"/>
    </row>
    <row r="995" spans="1:21" s="933" customFormat="1" ht="24" customHeight="1">
      <c r="A995" s="1026"/>
      <c r="B995" s="976" t="s">
        <v>872</v>
      </c>
      <c r="C995" s="976"/>
      <c r="D995" s="976"/>
      <c r="E995" s="978"/>
      <c r="F995" s="974" t="s">
        <v>870</v>
      </c>
      <c r="G995" s="969">
        <f t="shared" ref="G995:G1003" si="208">VLOOKUP(B995,$O$43:$P$53,2,FALSE)</f>
        <v>25.73</v>
      </c>
      <c r="H995" s="930">
        <f t="shared" si="204"/>
        <v>0</v>
      </c>
      <c r="I995" s="984">
        <v>4.0999999999999996</v>
      </c>
      <c r="J995" s="930">
        <f t="shared" si="205"/>
        <v>0</v>
      </c>
      <c r="K995" s="931">
        <f t="shared" si="206"/>
        <v>0</v>
      </c>
      <c r="L995" s="971"/>
      <c r="M995" s="954"/>
      <c r="N995" s="954"/>
      <c r="O995" s="954"/>
      <c r="P995" s="954"/>
      <c r="Q995" s="954"/>
      <c r="R995" s="954"/>
      <c r="S995" s="954"/>
      <c r="T995" s="954"/>
      <c r="U995" s="954"/>
    </row>
    <row r="996" spans="1:21" s="933" customFormat="1" ht="24" customHeight="1">
      <c r="A996" s="1026"/>
      <c r="B996" s="976" t="s">
        <v>873</v>
      </c>
      <c r="C996" s="976"/>
      <c r="D996" s="976"/>
      <c r="E996" s="978">
        <v>0</v>
      </c>
      <c r="F996" s="974" t="s">
        <v>870</v>
      </c>
      <c r="G996" s="969">
        <f t="shared" si="208"/>
        <v>24.97</v>
      </c>
      <c r="H996" s="930">
        <f t="shared" si="204"/>
        <v>0</v>
      </c>
      <c r="I996" s="970">
        <v>4.0999999999999996</v>
      </c>
      <c r="J996" s="930">
        <f t="shared" si="205"/>
        <v>0</v>
      </c>
      <c r="K996" s="931">
        <f t="shared" si="206"/>
        <v>0</v>
      </c>
      <c r="L996" s="971"/>
      <c r="M996" s="954"/>
      <c r="N996" s="954"/>
      <c r="O996" s="954"/>
      <c r="P996" s="954"/>
      <c r="Q996" s="954"/>
      <c r="R996" s="954"/>
      <c r="S996" s="954"/>
      <c r="T996" s="954"/>
      <c r="U996" s="954"/>
    </row>
    <row r="997" spans="1:21" s="933" customFormat="1" ht="24" customHeight="1">
      <c r="A997" s="1026"/>
      <c r="B997" s="976" t="s">
        <v>874</v>
      </c>
      <c r="C997" s="976"/>
      <c r="D997" s="976"/>
      <c r="E997" s="978">
        <v>37422.410000000003</v>
      </c>
      <c r="F997" s="974" t="s">
        <v>870</v>
      </c>
      <c r="G997" s="969">
        <f t="shared" si="208"/>
        <v>24.47</v>
      </c>
      <c r="H997" s="930">
        <f t="shared" si="204"/>
        <v>915726.37</v>
      </c>
      <c r="I997" s="970">
        <v>3.3</v>
      </c>
      <c r="J997" s="930">
        <f t="shared" si="205"/>
        <v>123493.95</v>
      </c>
      <c r="K997" s="931">
        <f t="shared" si="206"/>
        <v>1039220.32</v>
      </c>
      <c r="L997" s="971"/>
      <c r="M997" s="954"/>
      <c r="N997" s="954"/>
      <c r="O997" s="954"/>
      <c r="P997" s="954"/>
      <c r="Q997" s="954"/>
      <c r="R997" s="954"/>
      <c r="S997" s="954"/>
      <c r="T997" s="954"/>
      <c r="U997" s="954"/>
    </row>
    <row r="998" spans="1:21" s="933" customFormat="1" ht="24" customHeight="1">
      <c r="A998" s="1026"/>
      <c r="B998" s="976" t="s">
        <v>875</v>
      </c>
      <c r="C998" s="976"/>
      <c r="D998" s="976"/>
      <c r="E998" s="978">
        <v>29481.73</v>
      </c>
      <c r="F998" s="982" t="s">
        <v>870</v>
      </c>
      <c r="G998" s="969">
        <f t="shared" si="208"/>
        <v>24.27</v>
      </c>
      <c r="H998" s="930">
        <f t="shared" si="204"/>
        <v>715521.59</v>
      </c>
      <c r="I998" s="970">
        <v>3.3</v>
      </c>
      <c r="J998" s="930">
        <f t="shared" si="205"/>
        <v>97289.71</v>
      </c>
      <c r="K998" s="931">
        <f t="shared" si="206"/>
        <v>812811.29999999993</v>
      </c>
      <c r="L998" s="971"/>
      <c r="M998" s="954"/>
      <c r="N998" s="954"/>
      <c r="O998" s="954"/>
      <c r="P998" s="954"/>
      <c r="Q998" s="954"/>
      <c r="R998" s="954"/>
      <c r="S998" s="954"/>
      <c r="T998" s="954"/>
      <c r="U998" s="954"/>
    </row>
    <row r="999" spans="1:21" s="933" customFormat="1" ht="24" customHeight="1">
      <c r="A999" s="1026"/>
      <c r="B999" s="976" t="s">
        <v>876</v>
      </c>
      <c r="C999" s="976"/>
      <c r="D999" s="976"/>
      <c r="E999" s="978">
        <v>609.58000000000004</v>
      </c>
      <c r="F999" s="974" t="s">
        <v>870</v>
      </c>
      <c r="G999" s="969">
        <f t="shared" si="208"/>
        <v>24.27</v>
      </c>
      <c r="H999" s="930">
        <f t="shared" si="204"/>
        <v>14794.51</v>
      </c>
      <c r="I999" s="970">
        <v>2.9</v>
      </c>
      <c r="J999" s="930">
        <f t="shared" si="205"/>
        <v>1767.78</v>
      </c>
      <c r="K999" s="931">
        <f t="shared" si="206"/>
        <v>16562.29</v>
      </c>
      <c r="L999" s="971"/>
      <c r="M999" s="954"/>
      <c r="N999" s="954"/>
      <c r="O999" s="954"/>
      <c r="P999" s="954"/>
      <c r="Q999" s="954"/>
      <c r="R999" s="954"/>
      <c r="S999" s="954"/>
      <c r="T999" s="954"/>
      <c r="U999" s="954"/>
    </row>
    <row r="1000" spans="1:21" s="933" customFormat="1" ht="24" customHeight="1">
      <c r="A1000" s="1026"/>
      <c r="B1000" s="976" t="s">
        <v>877</v>
      </c>
      <c r="C1000" s="976"/>
      <c r="D1000" s="976"/>
      <c r="E1000" s="978">
        <v>0</v>
      </c>
      <c r="F1000" s="974" t="s">
        <v>870</v>
      </c>
      <c r="G1000" s="969">
        <f t="shared" si="208"/>
        <v>24.27</v>
      </c>
      <c r="H1000" s="930">
        <f t="shared" si="204"/>
        <v>0</v>
      </c>
      <c r="I1000" s="970">
        <v>2.9</v>
      </c>
      <c r="J1000" s="930">
        <f t="shared" si="205"/>
        <v>0</v>
      </c>
      <c r="K1000" s="931">
        <f t="shared" si="206"/>
        <v>0</v>
      </c>
      <c r="L1000" s="971"/>
      <c r="M1000" s="954"/>
      <c r="N1000" s="954"/>
      <c r="O1000" s="954"/>
      <c r="P1000" s="954"/>
      <c r="Q1000" s="954"/>
      <c r="R1000" s="954"/>
      <c r="S1000" s="954"/>
      <c r="T1000" s="954"/>
      <c r="U1000" s="954"/>
    </row>
    <row r="1001" spans="1:21" s="933" customFormat="1" ht="24" customHeight="1">
      <c r="A1001" s="1026"/>
      <c r="B1001" s="976" t="s">
        <v>878</v>
      </c>
      <c r="C1001" s="976"/>
      <c r="D1001" s="976"/>
      <c r="E1001" s="978"/>
      <c r="F1001" s="974" t="s">
        <v>870</v>
      </c>
      <c r="G1001" s="969">
        <f t="shared" si="208"/>
        <v>24.27</v>
      </c>
      <c r="H1001" s="930">
        <f t="shared" si="204"/>
        <v>0</v>
      </c>
      <c r="I1001" s="970">
        <v>2.9</v>
      </c>
      <c r="J1001" s="930">
        <f t="shared" si="205"/>
        <v>0</v>
      </c>
      <c r="K1001" s="931">
        <f t="shared" si="206"/>
        <v>0</v>
      </c>
      <c r="L1001" s="971"/>
      <c r="M1001" s="954"/>
      <c r="N1001" s="954"/>
      <c r="O1001" s="954"/>
      <c r="P1001" s="954"/>
      <c r="Q1001" s="954"/>
      <c r="R1001" s="954"/>
      <c r="S1001" s="954"/>
      <c r="T1001" s="954"/>
      <c r="U1001" s="954"/>
    </row>
    <row r="1002" spans="1:21" s="933" customFormat="1" ht="24" customHeight="1">
      <c r="A1002" s="1026"/>
      <c r="B1002" s="976" t="s">
        <v>879</v>
      </c>
      <c r="C1002" s="976"/>
      <c r="D1002" s="976"/>
      <c r="E1002" s="978"/>
      <c r="F1002" s="974" t="s">
        <v>870</v>
      </c>
      <c r="G1002" s="969">
        <f t="shared" si="208"/>
        <v>23.8</v>
      </c>
      <c r="H1002" s="930">
        <f t="shared" si="204"/>
        <v>0</v>
      </c>
      <c r="I1002" s="970">
        <v>2.9</v>
      </c>
      <c r="J1002" s="930">
        <f t="shared" si="205"/>
        <v>0</v>
      </c>
      <c r="K1002" s="931">
        <f t="shared" si="206"/>
        <v>0</v>
      </c>
      <c r="L1002" s="971"/>
      <c r="M1002" s="954"/>
      <c r="N1002" s="954"/>
      <c r="O1002" s="954"/>
      <c r="P1002" s="954"/>
      <c r="Q1002" s="954"/>
      <c r="R1002" s="954"/>
      <c r="S1002" s="954"/>
      <c r="T1002" s="954"/>
      <c r="U1002" s="954"/>
    </row>
    <row r="1003" spans="1:21" s="933" customFormat="1" ht="24" customHeight="1">
      <c r="A1003" s="1026"/>
      <c r="B1003" s="976" t="s">
        <v>880</v>
      </c>
      <c r="C1003" s="976"/>
      <c r="D1003" s="976"/>
      <c r="E1003" s="978">
        <f>(SUM(E995:E1002)/1000)*30</f>
        <v>2025.4116000000001</v>
      </c>
      <c r="F1003" s="974" t="s">
        <v>870</v>
      </c>
      <c r="G1003" s="969">
        <f t="shared" si="208"/>
        <v>29.92</v>
      </c>
      <c r="H1003" s="930">
        <f t="shared" si="204"/>
        <v>60600.32</v>
      </c>
      <c r="I1003" s="970"/>
      <c r="J1003" s="930">
        <f t="shared" si="205"/>
        <v>0</v>
      </c>
      <c r="K1003" s="931">
        <f t="shared" si="206"/>
        <v>60600.32</v>
      </c>
      <c r="L1003" s="971"/>
      <c r="M1003" s="954"/>
      <c r="N1003" s="954"/>
      <c r="O1003" s="954"/>
      <c r="P1003" s="954"/>
      <c r="Q1003" s="954"/>
      <c r="R1003" s="954"/>
      <c r="S1003" s="954"/>
      <c r="T1003" s="954"/>
      <c r="U1003" s="954"/>
    </row>
    <row r="1004" spans="1:21" s="933" customFormat="1" ht="24" customHeight="1">
      <c r="A1004" s="1026"/>
      <c r="B1004" s="976" t="s">
        <v>888</v>
      </c>
      <c r="C1004" s="976"/>
      <c r="D1004" s="976"/>
      <c r="E1004" s="978">
        <v>5709.16</v>
      </c>
      <c r="F1004" s="974" t="s">
        <v>34</v>
      </c>
      <c r="G1004" s="983">
        <v>340</v>
      </c>
      <c r="H1004" s="930">
        <f t="shared" si="204"/>
        <v>1941114.4</v>
      </c>
      <c r="I1004" s="970"/>
      <c r="J1004" s="930">
        <f t="shared" si="205"/>
        <v>0</v>
      </c>
      <c r="K1004" s="931">
        <f t="shared" si="206"/>
        <v>1941114.4</v>
      </c>
      <c r="L1004" s="971"/>
      <c r="M1004" s="954"/>
      <c r="N1004" s="954"/>
      <c r="O1004" s="954"/>
      <c r="P1004" s="954"/>
      <c r="Q1004" s="954"/>
      <c r="R1004" s="954"/>
      <c r="S1004" s="954"/>
      <c r="T1004" s="954"/>
      <c r="U1004" s="954"/>
    </row>
    <row r="1005" spans="1:21" s="933" customFormat="1" ht="24" customHeight="1">
      <c r="A1005" s="1026"/>
      <c r="B1005" s="976" t="s">
        <v>881</v>
      </c>
      <c r="C1005" s="976"/>
      <c r="D1005" s="976"/>
      <c r="E1005" s="978"/>
      <c r="F1005" s="974"/>
      <c r="G1005" s="969"/>
      <c r="H1005" s="930"/>
      <c r="I1005" s="970"/>
      <c r="J1005" s="930"/>
      <c r="K1005" s="931"/>
      <c r="L1005" s="971"/>
      <c r="M1005" s="954"/>
      <c r="N1005" s="954"/>
      <c r="O1005" s="954"/>
      <c r="P1005" s="954"/>
      <c r="Q1005" s="954"/>
      <c r="R1005" s="954"/>
      <c r="S1005" s="954"/>
      <c r="T1005" s="954"/>
      <c r="U1005" s="954"/>
    </row>
    <row r="1006" spans="1:21" s="933" customFormat="1" ht="24" customHeight="1">
      <c r="A1006" s="1026"/>
      <c r="B1006" s="976"/>
      <c r="C1006" s="976"/>
      <c r="D1006" s="976"/>
      <c r="E1006" s="978"/>
      <c r="F1006" s="974"/>
      <c r="G1006" s="969"/>
      <c r="H1006" s="930"/>
      <c r="I1006" s="970"/>
      <c r="J1006" s="930"/>
      <c r="K1006" s="931"/>
      <c r="L1006" s="971"/>
      <c r="M1006" s="954"/>
      <c r="N1006" s="954"/>
      <c r="O1006" s="954"/>
      <c r="P1006" s="954"/>
      <c r="Q1006" s="954"/>
      <c r="R1006" s="954"/>
      <c r="S1006" s="954"/>
      <c r="T1006" s="954"/>
      <c r="U1006" s="954"/>
    </row>
    <row r="1007" spans="1:21" s="933" customFormat="1" ht="24" customHeight="1">
      <c r="A1007" s="1026"/>
      <c r="B1007" s="976"/>
      <c r="C1007" s="976"/>
      <c r="D1007" s="976"/>
      <c r="E1007" s="978"/>
      <c r="F1007" s="974"/>
      <c r="G1007" s="969"/>
      <c r="H1007" s="930"/>
      <c r="I1007" s="970"/>
      <c r="J1007" s="930"/>
      <c r="K1007" s="931"/>
      <c r="L1007" s="971"/>
      <c r="M1007" s="954"/>
      <c r="N1007" s="954"/>
      <c r="O1007" s="954"/>
      <c r="P1007" s="954"/>
      <c r="Q1007" s="954"/>
      <c r="R1007" s="954"/>
      <c r="S1007" s="954"/>
      <c r="T1007" s="954"/>
      <c r="U1007" s="954"/>
    </row>
    <row r="1008" spans="1:21" s="933" customFormat="1" ht="24" customHeight="1">
      <c r="A1008" s="1026"/>
      <c r="B1008" s="1021"/>
      <c r="C1008" s="976"/>
      <c r="D1008" s="976"/>
      <c r="E1008" s="978"/>
      <c r="F1008" s="974"/>
      <c r="G1008" s="969"/>
      <c r="H1008" s="930"/>
      <c r="I1008" s="970"/>
      <c r="J1008" s="930"/>
      <c r="K1008" s="931"/>
      <c r="L1008" s="971"/>
      <c r="M1008" s="954"/>
      <c r="N1008" s="954"/>
      <c r="O1008" s="954"/>
      <c r="P1008" s="954"/>
      <c r="Q1008" s="954"/>
      <c r="R1008" s="954"/>
      <c r="S1008" s="954"/>
      <c r="T1008" s="954"/>
      <c r="U1008" s="954"/>
    </row>
    <row r="1009" spans="1:21" s="933" customFormat="1" ht="24" customHeight="1">
      <c r="A1009" s="1026"/>
      <c r="B1009" s="1021"/>
      <c r="C1009" s="976"/>
      <c r="D1009" s="976"/>
      <c r="E1009" s="978"/>
      <c r="F1009" s="974"/>
      <c r="G1009" s="969"/>
      <c r="H1009" s="930"/>
      <c r="I1009" s="970"/>
      <c r="J1009" s="930"/>
      <c r="K1009" s="931"/>
      <c r="L1009" s="971"/>
      <c r="M1009" s="954"/>
      <c r="N1009" s="954"/>
      <c r="O1009" s="954"/>
      <c r="P1009" s="954"/>
      <c r="Q1009" s="954"/>
      <c r="R1009" s="954"/>
      <c r="S1009" s="954"/>
      <c r="T1009" s="954"/>
      <c r="U1009" s="954"/>
    </row>
    <row r="1010" spans="1:21" s="933" customFormat="1" ht="24" customHeight="1">
      <c r="A1010" s="1026"/>
      <c r="B1010" s="1021"/>
      <c r="C1010" s="976"/>
      <c r="D1010" s="976"/>
      <c r="E1010" s="978"/>
      <c r="F1010" s="974"/>
      <c r="G1010" s="969"/>
      <c r="H1010" s="930"/>
      <c r="I1010" s="970"/>
      <c r="J1010" s="930"/>
      <c r="K1010" s="931"/>
      <c r="L1010" s="971"/>
      <c r="M1010" s="954"/>
      <c r="N1010" s="954"/>
      <c r="O1010" s="954"/>
      <c r="P1010" s="954"/>
      <c r="Q1010" s="954"/>
      <c r="R1010" s="954"/>
      <c r="S1010" s="954"/>
      <c r="T1010" s="954"/>
      <c r="U1010" s="954"/>
    </row>
    <row r="1011" spans="1:21" s="933" customFormat="1" ht="24" customHeight="1">
      <c r="A1011" s="1026" t="s">
        <v>960</v>
      </c>
      <c r="B1011" s="1030" t="s">
        <v>961</v>
      </c>
      <c r="C1011" s="976"/>
      <c r="D1011" s="976"/>
      <c r="E1011" s="978"/>
      <c r="F1011" s="974"/>
      <c r="G1011" s="969"/>
      <c r="H1011" s="930"/>
      <c r="I1011" s="970"/>
      <c r="J1011" s="930"/>
      <c r="K1011" s="931"/>
      <c r="L1011" s="971"/>
      <c r="M1011" s="954"/>
      <c r="N1011" s="954"/>
      <c r="O1011" s="954"/>
      <c r="P1011" s="954"/>
      <c r="Q1011" s="954"/>
      <c r="R1011" s="954"/>
      <c r="S1011" s="954"/>
      <c r="T1011" s="954"/>
      <c r="U1011" s="954"/>
    </row>
    <row r="1012" spans="1:21" s="933" customFormat="1" ht="24" customHeight="1">
      <c r="A1012" s="1026"/>
      <c r="B1012" s="976" t="s">
        <v>864</v>
      </c>
      <c r="C1012" s="977"/>
      <c r="D1012" s="977"/>
      <c r="E1012" s="978">
        <v>174.53</v>
      </c>
      <c r="F1012" s="974" t="s">
        <v>865</v>
      </c>
      <c r="G1012" s="969">
        <v>2516</v>
      </c>
      <c r="H1012" s="930">
        <f t="shared" ref="H1012:H1026" si="209">ROUND(E1012*G1012,2)</f>
        <v>439117.48</v>
      </c>
      <c r="I1012" s="970">
        <v>485</v>
      </c>
      <c r="J1012" s="930">
        <f t="shared" ref="J1012:J1026" si="210">ROUND(E1012*I1012,2)</f>
        <v>84647.05</v>
      </c>
      <c r="K1012" s="931">
        <f t="shared" ref="K1012:K1026" si="211">H1012+J1012</f>
        <v>523764.52999999997</v>
      </c>
      <c r="L1012" s="971"/>
      <c r="M1012" s="954"/>
      <c r="N1012" s="954"/>
      <c r="O1012" s="954"/>
      <c r="P1012" s="954"/>
      <c r="Q1012" s="954"/>
      <c r="R1012" s="954"/>
      <c r="S1012" s="954"/>
      <c r="T1012" s="954"/>
      <c r="U1012" s="954"/>
    </row>
    <row r="1013" spans="1:21" s="933" customFormat="1" ht="24" customHeight="1">
      <c r="A1013" s="1026"/>
      <c r="B1013" s="979" t="s">
        <v>866</v>
      </c>
      <c r="C1013" s="976"/>
      <c r="D1013" s="976"/>
      <c r="E1013" s="978"/>
      <c r="F1013" s="974"/>
      <c r="G1013" s="969"/>
      <c r="H1013" s="930">
        <f t="shared" si="209"/>
        <v>0</v>
      </c>
      <c r="I1013" s="970"/>
      <c r="J1013" s="930">
        <f t="shared" si="210"/>
        <v>0</v>
      </c>
      <c r="K1013" s="931">
        <f t="shared" si="211"/>
        <v>0</v>
      </c>
      <c r="L1013" s="971"/>
      <c r="M1013" s="954"/>
      <c r="N1013" s="954"/>
      <c r="O1013" s="954"/>
      <c r="P1013" s="954"/>
      <c r="Q1013" s="954"/>
      <c r="R1013" s="954"/>
      <c r="S1013" s="954"/>
      <c r="T1013" s="954"/>
      <c r="U1013" s="954"/>
    </row>
    <row r="1014" spans="1:21" s="933" customFormat="1" ht="24" customHeight="1">
      <c r="A1014" s="1026"/>
      <c r="B1014" s="979"/>
      <c r="C1014" s="976" t="s">
        <v>867</v>
      </c>
      <c r="D1014" s="976"/>
      <c r="E1014" s="978">
        <f>E1015/2</f>
        <v>394.48500000000001</v>
      </c>
      <c r="F1014" s="974" t="s">
        <v>34</v>
      </c>
      <c r="G1014" s="969">
        <v>661.62</v>
      </c>
      <c r="H1014" s="930">
        <f t="shared" si="209"/>
        <v>260999.17</v>
      </c>
      <c r="I1014" s="970"/>
      <c r="J1014" s="930">
        <f t="shared" si="210"/>
        <v>0</v>
      </c>
      <c r="K1014" s="931">
        <f t="shared" si="211"/>
        <v>260999.17</v>
      </c>
      <c r="L1014" s="971"/>
      <c r="M1014" s="954"/>
      <c r="N1014" s="954"/>
      <c r="O1014" s="954"/>
      <c r="P1014" s="954"/>
      <c r="Q1014" s="954"/>
      <c r="R1014" s="954"/>
      <c r="S1014" s="954"/>
      <c r="T1014" s="954"/>
      <c r="U1014" s="954"/>
    </row>
    <row r="1015" spans="1:21" s="933" customFormat="1" ht="24" customHeight="1">
      <c r="A1015" s="1026"/>
      <c r="B1015" s="979"/>
      <c r="C1015" s="976" t="s">
        <v>868</v>
      </c>
      <c r="D1015" s="976"/>
      <c r="E1015" s="978">
        <v>788.97</v>
      </c>
      <c r="F1015" s="974" t="s">
        <v>34</v>
      </c>
      <c r="G1015" s="969"/>
      <c r="H1015" s="930">
        <f t="shared" si="209"/>
        <v>0</v>
      </c>
      <c r="I1015" s="970">
        <v>154</v>
      </c>
      <c r="J1015" s="930">
        <f t="shared" si="210"/>
        <v>121501.38</v>
      </c>
      <c r="K1015" s="931">
        <f t="shared" si="211"/>
        <v>121501.38</v>
      </c>
      <c r="L1015" s="971"/>
      <c r="M1015" s="954"/>
      <c r="N1015" s="954"/>
      <c r="O1015" s="954"/>
      <c r="P1015" s="954"/>
      <c r="Q1015" s="954"/>
      <c r="R1015" s="954"/>
      <c r="S1015" s="954"/>
      <c r="T1015" s="954"/>
      <c r="U1015" s="954"/>
    </row>
    <row r="1016" spans="1:21" s="933" customFormat="1" ht="24" customHeight="1">
      <c r="A1016" s="1026"/>
      <c r="B1016" s="976" t="s">
        <v>869</v>
      </c>
      <c r="C1016" s="976"/>
      <c r="D1016" s="976"/>
      <c r="E1016" s="978">
        <f>(E1015*0.25)</f>
        <v>197.24250000000001</v>
      </c>
      <c r="F1016" s="974" t="s">
        <v>870</v>
      </c>
      <c r="G1016" s="969">
        <f t="shared" ref="G1016" si="212">VLOOKUP(B1016,$O$43:$P$53,2,FALSE)</f>
        <v>29.94</v>
      </c>
      <c r="H1016" s="930">
        <f t="shared" si="209"/>
        <v>5905.44</v>
      </c>
      <c r="I1016" s="970"/>
      <c r="J1016" s="930">
        <f t="shared" si="210"/>
        <v>0</v>
      </c>
      <c r="K1016" s="931">
        <f t="shared" si="211"/>
        <v>5905.44</v>
      </c>
      <c r="L1016" s="971"/>
      <c r="M1016" s="954"/>
      <c r="N1016" s="954"/>
      <c r="O1016" s="954"/>
      <c r="P1016" s="954"/>
      <c r="Q1016" s="954"/>
      <c r="R1016" s="954"/>
      <c r="S1016" s="954"/>
      <c r="T1016" s="954"/>
      <c r="U1016" s="954"/>
    </row>
    <row r="1017" spans="1:21" s="933" customFormat="1" ht="24" customHeight="1">
      <c r="A1017" s="1026"/>
      <c r="B1017" s="976" t="s">
        <v>871</v>
      </c>
      <c r="C1017" s="976"/>
      <c r="D1017" s="976"/>
      <c r="E1017" s="978"/>
      <c r="F1017" s="982"/>
      <c r="G1017" s="983"/>
      <c r="H1017" s="930">
        <f t="shared" si="209"/>
        <v>0</v>
      </c>
      <c r="I1017" s="970"/>
      <c r="J1017" s="930">
        <f t="shared" si="210"/>
        <v>0</v>
      </c>
      <c r="K1017" s="931">
        <f t="shared" si="211"/>
        <v>0</v>
      </c>
      <c r="L1017" s="971"/>
      <c r="M1017" s="954"/>
      <c r="N1017" s="954"/>
      <c r="O1017" s="954"/>
      <c r="P1017" s="954"/>
      <c r="Q1017" s="954"/>
      <c r="R1017" s="954"/>
      <c r="S1017" s="954"/>
      <c r="T1017" s="954"/>
      <c r="U1017" s="954"/>
    </row>
    <row r="1018" spans="1:21" s="933" customFormat="1" ht="24" customHeight="1">
      <c r="A1018" s="1026"/>
      <c r="B1018" s="976" t="s">
        <v>872</v>
      </c>
      <c r="C1018" s="976"/>
      <c r="D1018" s="976"/>
      <c r="E1018" s="978"/>
      <c r="F1018" s="974" t="s">
        <v>870</v>
      </c>
      <c r="G1018" s="969">
        <f t="shared" ref="G1018:G1026" si="213">VLOOKUP(B1018,$O$43:$P$53,2,FALSE)</f>
        <v>25.73</v>
      </c>
      <c r="H1018" s="930">
        <f t="shared" si="209"/>
        <v>0</v>
      </c>
      <c r="I1018" s="984">
        <v>4.0999999999999996</v>
      </c>
      <c r="J1018" s="930">
        <f t="shared" si="210"/>
        <v>0</v>
      </c>
      <c r="K1018" s="931">
        <f t="shared" si="211"/>
        <v>0</v>
      </c>
      <c r="L1018" s="971"/>
      <c r="M1018" s="954"/>
      <c r="N1018" s="954"/>
      <c r="O1018" s="954"/>
      <c r="P1018" s="954"/>
      <c r="Q1018" s="954"/>
      <c r="R1018" s="954"/>
      <c r="S1018" s="954"/>
      <c r="T1018" s="954"/>
      <c r="U1018" s="954"/>
    </row>
    <row r="1019" spans="1:21" s="933" customFormat="1" ht="24" customHeight="1">
      <c r="A1019" s="1026"/>
      <c r="B1019" s="976" t="s">
        <v>873</v>
      </c>
      <c r="C1019" s="976"/>
      <c r="D1019" s="976"/>
      <c r="E1019" s="978">
        <v>1775.48</v>
      </c>
      <c r="F1019" s="974" t="s">
        <v>870</v>
      </c>
      <c r="G1019" s="969">
        <f t="shared" si="213"/>
        <v>24.97</v>
      </c>
      <c r="H1019" s="930">
        <f t="shared" si="209"/>
        <v>44333.74</v>
      </c>
      <c r="I1019" s="970">
        <v>4.0999999999999996</v>
      </c>
      <c r="J1019" s="930">
        <f t="shared" si="210"/>
        <v>7279.47</v>
      </c>
      <c r="K1019" s="931">
        <f t="shared" si="211"/>
        <v>51613.21</v>
      </c>
      <c r="L1019" s="971"/>
      <c r="M1019" s="954"/>
      <c r="N1019" s="954"/>
      <c r="O1019" s="954"/>
      <c r="P1019" s="954"/>
      <c r="Q1019" s="954"/>
      <c r="R1019" s="954"/>
      <c r="S1019" s="954"/>
      <c r="T1019" s="954"/>
      <c r="U1019" s="954"/>
    </row>
    <row r="1020" spans="1:21" s="933" customFormat="1" ht="24" customHeight="1">
      <c r="A1020" s="1026"/>
      <c r="B1020" s="976" t="s">
        <v>874</v>
      </c>
      <c r="C1020" s="976"/>
      <c r="D1020" s="976"/>
      <c r="E1020" s="978">
        <v>24543.49</v>
      </c>
      <c r="F1020" s="974" t="s">
        <v>870</v>
      </c>
      <c r="G1020" s="969">
        <f t="shared" si="213"/>
        <v>24.47</v>
      </c>
      <c r="H1020" s="930">
        <f t="shared" si="209"/>
        <v>600579.19999999995</v>
      </c>
      <c r="I1020" s="970">
        <v>3.3</v>
      </c>
      <c r="J1020" s="930">
        <f t="shared" si="210"/>
        <v>80993.52</v>
      </c>
      <c r="K1020" s="931">
        <f t="shared" si="211"/>
        <v>681572.72</v>
      </c>
      <c r="L1020" s="971"/>
      <c r="M1020" s="954"/>
      <c r="N1020" s="954"/>
      <c r="O1020" s="954"/>
      <c r="P1020" s="954"/>
      <c r="Q1020" s="954"/>
      <c r="R1020" s="954"/>
      <c r="S1020" s="954"/>
      <c r="T1020" s="954"/>
      <c r="U1020" s="954"/>
    </row>
    <row r="1021" spans="1:21" s="933" customFormat="1" ht="24" customHeight="1">
      <c r="A1021" s="1026"/>
      <c r="B1021" s="976" t="s">
        <v>875</v>
      </c>
      <c r="C1021" s="976"/>
      <c r="D1021" s="976"/>
      <c r="E1021" s="978">
        <v>2215.37</v>
      </c>
      <c r="F1021" s="982" t="s">
        <v>870</v>
      </c>
      <c r="G1021" s="969">
        <f t="shared" si="213"/>
        <v>24.27</v>
      </c>
      <c r="H1021" s="930">
        <f t="shared" si="209"/>
        <v>53767.03</v>
      </c>
      <c r="I1021" s="970">
        <v>3.3</v>
      </c>
      <c r="J1021" s="930">
        <f t="shared" si="210"/>
        <v>7310.72</v>
      </c>
      <c r="K1021" s="931">
        <f t="shared" si="211"/>
        <v>61077.75</v>
      </c>
      <c r="L1021" s="971"/>
      <c r="M1021" s="954"/>
      <c r="N1021" s="954"/>
      <c r="O1021" s="954"/>
      <c r="P1021" s="954"/>
      <c r="Q1021" s="954"/>
      <c r="R1021" s="954"/>
      <c r="S1021" s="954"/>
      <c r="T1021" s="954"/>
      <c r="U1021" s="954"/>
    </row>
    <row r="1022" spans="1:21" s="933" customFormat="1" ht="24" customHeight="1">
      <c r="A1022" s="1026"/>
      <c r="B1022" s="976" t="s">
        <v>876</v>
      </c>
      <c r="C1022" s="976"/>
      <c r="D1022" s="976"/>
      <c r="E1022" s="978">
        <v>2493.4</v>
      </c>
      <c r="F1022" s="974" t="s">
        <v>870</v>
      </c>
      <c r="G1022" s="969">
        <f t="shared" si="213"/>
        <v>24.27</v>
      </c>
      <c r="H1022" s="930">
        <f t="shared" si="209"/>
        <v>60514.82</v>
      </c>
      <c r="I1022" s="970">
        <v>2.9</v>
      </c>
      <c r="J1022" s="930">
        <f t="shared" si="210"/>
        <v>7230.86</v>
      </c>
      <c r="K1022" s="931">
        <f t="shared" si="211"/>
        <v>67745.679999999993</v>
      </c>
      <c r="L1022" s="971"/>
      <c r="M1022" s="954"/>
      <c r="N1022" s="954"/>
      <c r="O1022" s="954"/>
      <c r="P1022" s="954"/>
      <c r="Q1022" s="954"/>
      <c r="R1022" s="954"/>
      <c r="S1022" s="954"/>
      <c r="T1022" s="954"/>
      <c r="U1022" s="954"/>
    </row>
    <row r="1023" spans="1:21" s="933" customFormat="1" ht="24" customHeight="1">
      <c r="A1023" s="1026"/>
      <c r="B1023" s="976" t="s">
        <v>877</v>
      </c>
      <c r="C1023" s="976"/>
      <c r="D1023" s="976"/>
      <c r="E1023" s="978">
        <v>4142.05</v>
      </c>
      <c r="F1023" s="974" t="s">
        <v>870</v>
      </c>
      <c r="G1023" s="969">
        <f t="shared" si="213"/>
        <v>24.27</v>
      </c>
      <c r="H1023" s="930">
        <f t="shared" si="209"/>
        <v>100527.55</v>
      </c>
      <c r="I1023" s="970">
        <v>2.9</v>
      </c>
      <c r="J1023" s="930">
        <f t="shared" si="210"/>
        <v>12011.95</v>
      </c>
      <c r="K1023" s="931">
        <f t="shared" si="211"/>
        <v>112539.5</v>
      </c>
      <c r="L1023" s="971"/>
      <c r="M1023" s="954"/>
      <c r="N1023" s="954"/>
      <c r="O1023" s="954"/>
      <c r="P1023" s="954"/>
      <c r="Q1023" s="954"/>
      <c r="R1023" s="954"/>
      <c r="S1023" s="954"/>
      <c r="T1023" s="954"/>
      <c r="U1023" s="954"/>
    </row>
    <row r="1024" spans="1:21" s="933" customFormat="1" ht="24" customHeight="1">
      <c r="A1024" s="1026"/>
      <c r="B1024" s="976" t="s">
        <v>878</v>
      </c>
      <c r="C1024" s="976"/>
      <c r="D1024" s="976"/>
      <c r="E1024" s="978">
        <v>9044.3700000000008</v>
      </c>
      <c r="F1024" s="974" t="s">
        <v>870</v>
      </c>
      <c r="G1024" s="969">
        <f t="shared" si="213"/>
        <v>24.27</v>
      </c>
      <c r="H1024" s="930">
        <f t="shared" si="209"/>
        <v>219506.86</v>
      </c>
      <c r="I1024" s="970">
        <v>2.9</v>
      </c>
      <c r="J1024" s="930">
        <f t="shared" si="210"/>
        <v>26228.67</v>
      </c>
      <c r="K1024" s="931">
        <f t="shared" si="211"/>
        <v>245735.52999999997</v>
      </c>
      <c r="L1024" s="971"/>
      <c r="M1024" s="954"/>
      <c r="N1024" s="954"/>
      <c r="O1024" s="954"/>
      <c r="P1024" s="954"/>
      <c r="Q1024" s="954"/>
      <c r="R1024" s="954"/>
      <c r="S1024" s="954"/>
      <c r="T1024" s="954"/>
      <c r="U1024" s="954"/>
    </row>
    <row r="1025" spans="1:21" s="933" customFormat="1" ht="24" customHeight="1">
      <c r="A1025" s="1026"/>
      <c r="B1025" s="976" t="s">
        <v>879</v>
      </c>
      <c r="C1025" s="976"/>
      <c r="D1025" s="976"/>
      <c r="E1025" s="978"/>
      <c r="F1025" s="974" t="s">
        <v>870</v>
      </c>
      <c r="G1025" s="969">
        <f t="shared" si="213"/>
        <v>23.8</v>
      </c>
      <c r="H1025" s="930">
        <f t="shared" si="209"/>
        <v>0</v>
      </c>
      <c r="I1025" s="970">
        <v>2.9</v>
      </c>
      <c r="J1025" s="930">
        <f t="shared" si="210"/>
        <v>0</v>
      </c>
      <c r="K1025" s="931">
        <f t="shared" si="211"/>
        <v>0</v>
      </c>
      <c r="L1025" s="971"/>
      <c r="M1025" s="954"/>
      <c r="N1025" s="954"/>
      <c r="O1025" s="954"/>
      <c r="P1025" s="954"/>
      <c r="Q1025" s="954"/>
      <c r="R1025" s="954"/>
      <c r="S1025" s="954"/>
      <c r="T1025" s="954"/>
      <c r="U1025" s="954"/>
    </row>
    <row r="1026" spans="1:21" s="933" customFormat="1" ht="24" customHeight="1">
      <c r="A1026" s="1026"/>
      <c r="B1026" s="976" t="s">
        <v>880</v>
      </c>
      <c r="C1026" s="976"/>
      <c r="D1026" s="976"/>
      <c r="E1026" s="978">
        <f>(SUM(E1018:E1025)/1000)*30</f>
        <v>1326.4248000000002</v>
      </c>
      <c r="F1026" s="974" t="s">
        <v>870</v>
      </c>
      <c r="G1026" s="969">
        <f t="shared" si="213"/>
        <v>29.92</v>
      </c>
      <c r="H1026" s="930">
        <f t="shared" si="209"/>
        <v>39686.629999999997</v>
      </c>
      <c r="I1026" s="970"/>
      <c r="J1026" s="930">
        <f t="shared" si="210"/>
        <v>0</v>
      </c>
      <c r="K1026" s="931">
        <f t="shared" si="211"/>
        <v>39686.629999999997</v>
      </c>
      <c r="L1026" s="971"/>
      <c r="M1026" s="954"/>
      <c r="N1026" s="954"/>
      <c r="O1026" s="954"/>
      <c r="P1026" s="954"/>
      <c r="Q1026" s="954"/>
      <c r="R1026" s="954"/>
      <c r="S1026" s="954"/>
      <c r="T1026" s="954"/>
      <c r="U1026" s="954"/>
    </row>
    <row r="1027" spans="1:21" s="933" customFormat="1" ht="24" customHeight="1">
      <c r="A1027" s="1026"/>
      <c r="B1027" s="976" t="s">
        <v>881</v>
      </c>
      <c r="C1027" s="976"/>
      <c r="D1027" s="976"/>
      <c r="E1027" s="978"/>
      <c r="F1027" s="974"/>
      <c r="G1027" s="969"/>
      <c r="H1027" s="930"/>
      <c r="I1027" s="970"/>
      <c r="J1027" s="930"/>
      <c r="K1027" s="931"/>
      <c r="L1027" s="971"/>
      <c r="M1027" s="954"/>
      <c r="N1027" s="954"/>
      <c r="O1027" s="954"/>
      <c r="P1027" s="954"/>
      <c r="Q1027" s="954"/>
      <c r="R1027" s="954"/>
      <c r="S1027" s="954"/>
      <c r="T1027" s="954"/>
      <c r="U1027" s="954"/>
    </row>
    <row r="1028" spans="1:21" s="933" customFormat="1" ht="24" customHeight="1">
      <c r="A1028" s="1026"/>
      <c r="B1028" s="976"/>
      <c r="C1028" s="976"/>
      <c r="D1028" s="976"/>
      <c r="E1028" s="978"/>
      <c r="F1028" s="974"/>
      <c r="G1028" s="969"/>
      <c r="H1028" s="930"/>
      <c r="I1028" s="970"/>
      <c r="J1028" s="930"/>
      <c r="K1028" s="931"/>
      <c r="L1028" s="971"/>
      <c r="M1028" s="954"/>
      <c r="N1028" s="954"/>
      <c r="O1028" s="954"/>
      <c r="P1028" s="954"/>
      <c r="Q1028" s="954"/>
      <c r="R1028" s="954"/>
      <c r="S1028" s="954"/>
      <c r="T1028" s="954"/>
      <c r="U1028" s="954"/>
    </row>
    <row r="1029" spans="1:21" s="933" customFormat="1" ht="24" customHeight="1">
      <c r="A1029" s="1026"/>
      <c r="B1029" s="1021"/>
      <c r="C1029" s="976"/>
      <c r="D1029" s="976"/>
      <c r="E1029" s="978"/>
      <c r="F1029" s="974"/>
      <c r="G1029" s="969"/>
      <c r="H1029" s="930"/>
      <c r="I1029" s="970"/>
      <c r="J1029" s="930"/>
      <c r="K1029" s="931"/>
      <c r="L1029" s="971"/>
      <c r="M1029" s="954"/>
      <c r="N1029" s="954"/>
      <c r="O1029" s="954"/>
      <c r="P1029" s="954"/>
      <c r="Q1029" s="954"/>
      <c r="R1029" s="954"/>
      <c r="S1029" s="954"/>
      <c r="T1029" s="954"/>
      <c r="U1029" s="954"/>
    </row>
    <row r="1030" spans="1:21" s="933" customFormat="1" ht="24" customHeight="1">
      <c r="A1030" s="1026"/>
      <c r="B1030" s="1021"/>
      <c r="C1030" s="976"/>
      <c r="D1030" s="976"/>
      <c r="E1030" s="978"/>
      <c r="F1030" s="974"/>
      <c r="G1030" s="969"/>
      <c r="H1030" s="930"/>
      <c r="I1030" s="970"/>
      <c r="J1030" s="930"/>
      <c r="K1030" s="931"/>
      <c r="L1030" s="971"/>
      <c r="M1030" s="954"/>
      <c r="N1030" s="954"/>
      <c r="O1030" s="954"/>
      <c r="P1030" s="954"/>
      <c r="Q1030" s="954"/>
      <c r="R1030" s="954"/>
      <c r="S1030" s="954"/>
      <c r="T1030" s="954"/>
      <c r="U1030" s="954"/>
    </row>
    <row r="1031" spans="1:21" s="933" customFormat="1" ht="24" customHeight="1">
      <c r="A1031" s="1026"/>
      <c r="B1031" s="1021"/>
      <c r="C1031" s="976"/>
      <c r="D1031" s="976"/>
      <c r="E1031" s="978"/>
      <c r="F1031" s="974"/>
      <c r="G1031" s="969"/>
      <c r="H1031" s="930"/>
      <c r="I1031" s="970"/>
      <c r="J1031" s="930"/>
      <c r="K1031" s="931"/>
      <c r="L1031" s="971"/>
      <c r="M1031" s="954"/>
      <c r="N1031" s="954"/>
      <c r="O1031" s="954"/>
      <c r="P1031" s="954"/>
      <c r="Q1031" s="954"/>
      <c r="R1031" s="954"/>
      <c r="S1031" s="954"/>
      <c r="T1031" s="954"/>
      <c r="U1031" s="954"/>
    </row>
    <row r="1032" spans="1:21" s="933" customFormat="1" ht="24" customHeight="1">
      <c r="A1032" s="1026"/>
      <c r="B1032" s="1021"/>
      <c r="C1032" s="976"/>
      <c r="D1032" s="976"/>
      <c r="E1032" s="978"/>
      <c r="F1032" s="974"/>
      <c r="G1032" s="969"/>
      <c r="H1032" s="930"/>
      <c r="I1032" s="970"/>
      <c r="J1032" s="930"/>
      <c r="K1032" s="931"/>
      <c r="L1032" s="971"/>
      <c r="M1032" s="954"/>
      <c r="N1032" s="954"/>
      <c r="O1032" s="954"/>
      <c r="P1032" s="954"/>
      <c r="Q1032" s="954"/>
      <c r="R1032" s="954"/>
      <c r="S1032" s="954"/>
      <c r="T1032" s="954"/>
      <c r="U1032" s="954"/>
    </row>
    <row r="1033" spans="1:21" s="933" customFormat="1" ht="24" customHeight="1">
      <c r="A1033" s="1026"/>
      <c r="B1033" s="1021"/>
      <c r="C1033" s="976"/>
      <c r="D1033" s="976"/>
      <c r="E1033" s="978"/>
      <c r="F1033" s="974"/>
      <c r="G1033" s="969"/>
      <c r="H1033" s="930"/>
      <c r="I1033" s="970"/>
      <c r="J1033" s="930"/>
      <c r="K1033" s="931"/>
      <c r="L1033" s="971"/>
      <c r="M1033" s="954"/>
      <c r="N1033" s="954"/>
      <c r="O1033" s="954"/>
      <c r="P1033" s="954"/>
      <c r="Q1033" s="954"/>
      <c r="R1033" s="954"/>
      <c r="S1033" s="954"/>
      <c r="T1033" s="954"/>
      <c r="U1033" s="954"/>
    </row>
    <row r="1034" spans="1:21" s="933" customFormat="1" ht="24" customHeight="1">
      <c r="A1034" s="1026"/>
      <c r="B1034" s="1021"/>
      <c r="C1034" s="976"/>
      <c r="D1034" s="976"/>
      <c r="E1034" s="978"/>
      <c r="F1034" s="974"/>
      <c r="G1034" s="969"/>
      <c r="H1034" s="930"/>
      <c r="I1034" s="970"/>
      <c r="J1034" s="930"/>
      <c r="K1034" s="931"/>
      <c r="L1034" s="971"/>
      <c r="M1034" s="954"/>
      <c r="N1034" s="954"/>
      <c r="O1034" s="954"/>
      <c r="P1034" s="954"/>
      <c r="Q1034" s="954"/>
      <c r="R1034" s="954"/>
      <c r="S1034" s="954"/>
      <c r="T1034" s="954"/>
      <c r="U1034" s="954"/>
    </row>
    <row r="1035" spans="1:21" s="933" customFormat="1" ht="24" customHeight="1">
      <c r="A1035" s="1026"/>
      <c r="B1035" s="1021"/>
      <c r="C1035" s="976"/>
      <c r="D1035" s="976"/>
      <c r="E1035" s="978"/>
      <c r="F1035" s="974"/>
      <c r="G1035" s="969"/>
      <c r="H1035" s="930"/>
      <c r="I1035" s="970"/>
      <c r="J1035" s="930"/>
      <c r="K1035" s="931"/>
      <c r="L1035" s="971"/>
      <c r="M1035" s="954"/>
      <c r="N1035" s="954"/>
      <c r="O1035" s="954"/>
      <c r="P1035" s="954"/>
      <c r="Q1035" s="954"/>
      <c r="R1035" s="954"/>
      <c r="S1035" s="954"/>
      <c r="T1035" s="954"/>
      <c r="U1035" s="954"/>
    </row>
    <row r="1036" spans="1:21" s="933" customFormat="1" ht="24" customHeight="1">
      <c r="A1036" s="1026" t="s">
        <v>962</v>
      </c>
      <c r="B1036" s="1030" t="s">
        <v>963</v>
      </c>
      <c r="C1036" s="976"/>
      <c r="D1036" s="976"/>
      <c r="E1036" s="978"/>
      <c r="F1036" s="974"/>
      <c r="G1036" s="969"/>
      <c r="H1036" s="930"/>
      <c r="I1036" s="970"/>
      <c r="J1036" s="930"/>
      <c r="K1036" s="931"/>
      <c r="L1036" s="971"/>
      <c r="M1036" s="954"/>
      <c r="N1036" s="954"/>
      <c r="O1036" s="954"/>
      <c r="P1036" s="954"/>
      <c r="Q1036" s="954"/>
      <c r="R1036" s="954"/>
      <c r="S1036" s="954"/>
      <c r="T1036" s="954"/>
      <c r="U1036" s="954"/>
    </row>
    <row r="1037" spans="1:21" s="933" customFormat="1" ht="24" customHeight="1">
      <c r="A1037" s="1026"/>
      <c r="B1037" s="976" t="s">
        <v>864</v>
      </c>
      <c r="C1037" s="977"/>
      <c r="D1037" s="977"/>
      <c r="E1037" s="978">
        <v>303.8</v>
      </c>
      <c r="F1037" s="974" t="s">
        <v>865</v>
      </c>
      <c r="G1037" s="969">
        <v>2516</v>
      </c>
      <c r="H1037" s="930">
        <f t="shared" ref="H1037:H1051" si="214">ROUND(E1037*G1037,2)</f>
        <v>764360.8</v>
      </c>
      <c r="I1037" s="970">
        <v>485</v>
      </c>
      <c r="J1037" s="930">
        <f t="shared" ref="J1037:J1051" si="215">ROUND(E1037*I1037,2)</f>
        <v>147343</v>
      </c>
      <c r="K1037" s="931">
        <f t="shared" ref="K1037:K1051" si="216">H1037+J1037</f>
        <v>911703.8</v>
      </c>
      <c r="L1037" s="971"/>
      <c r="M1037" s="954"/>
      <c r="N1037" s="954"/>
      <c r="O1037" s="954"/>
      <c r="P1037" s="954"/>
      <c r="Q1037" s="954"/>
      <c r="R1037" s="954"/>
      <c r="S1037" s="954"/>
      <c r="T1037" s="954"/>
      <c r="U1037" s="954"/>
    </row>
    <row r="1038" spans="1:21" s="933" customFormat="1" ht="24" customHeight="1">
      <c r="A1038" s="1026"/>
      <c r="B1038" s="979" t="s">
        <v>866</v>
      </c>
      <c r="C1038" s="976"/>
      <c r="D1038" s="976"/>
      <c r="E1038" s="978"/>
      <c r="F1038" s="974"/>
      <c r="G1038" s="969"/>
      <c r="H1038" s="930">
        <f t="shared" si="214"/>
        <v>0</v>
      </c>
      <c r="I1038" s="970"/>
      <c r="J1038" s="930">
        <f t="shared" si="215"/>
        <v>0</v>
      </c>
      <c r="K1038" s="931">
        <f t="shared" si="216"/>
        <v>0</v>
      </c>
      <c r="L1038" s="971"/>
      <c r="M1038" s="954"/>
      <c r="N1038" s="954"/>
      <c r="O1038" s="954"/>
      <c r="P1038" s="954"/>
      <c r="Q1038" s="954"/>
      <c r="R1038" s="954"/>
      <c r="S1038" s="954"/>
      <c r="T1038" s="954"/>
      <c r="U1038" s="954"/>
    </row>
    <row r="1039" spans="1:21" s="933" customFormat="1" ht="24" customHeight="1">
      <c r="A1039" s="1026"/>
      <c r="B1039" s="979"/>
      <c r="C1039" s="976" t="s">
        <v>867</v>
      </c>
      <c r="D1039" s="976"/>
      <c r="E1039" s="978">
        <f>E1040/2</f>
        <v>685.3</v>
      </c>
      <c r="F1039" s="974" t="s">
        <v>34</v>
      </c>
      <c r="G1039" s="969">
        <v>661.62</v>
      </c>
      <c r="H1039" s="930">
        <f t="shared" si="214"/>
        <v>453408.19</v>
      </c>
      <c r="I1039" s="970"/>
      <c r="J1039" s="930">
        <f t="shared" si="215"/>
        <v>0</v>
      </c>
      <c r="K1039" s="931">
        <f t="shared" si="216"/>
        <v>453408.19</v>
      </c>
      <c r="L1039" s="971"/>
      <c r="M1039" s="954"/>
      <c r="N1039" s="954"/>
      <c r="O1039" s="954"/>
      <c r="P1039" s="954"/>
      <c r="Q1039" s="954"/>
      <c r="R1039" s="954"/>
      <c r="S1039" s="954"/>
      <c r="T1039" s="954"/>
      <c r="U1039" s="954"/>
    </row>
    <row r="1040" spans="1:21" s="933" customFormat="1" ht="24" customHeight="1">
      <c r="A1040" s="1026"/>
      <c r="B1040" s="979"/>
      <c r="C1040" s="976" t="s">
        <v>868</v>
      </c>
      <c r="D1040" s="976"/>
      <c r="E1040" s="978">
        <v>1370.6</v>
      </c>
      <c r="F1040" s="974" t="s">
        <v>34</v>
      </c>
      <c r="G1040" s="969"/>
      <c r="H1040" s="930">
        <f t="shared" si="214"/>
        <v>0</v>
      </c>
      <c r="I1040" s="970">
        <v>154</v>
      </c>
      <c r="J1040" s="930">
        <f t="shared" si="215"/>
        <v>211072.4</v>
      </c>
      <c r="K1040" s="931">
        <f t="shared" si="216"/>
        <v>211072.4</v>
      </c>
      <c r="L1040" s="971"/>
      <c r="M1040" s="954"/>
      <c r="N1040" s="954"/>
      <c r="O1040" s="954"/>
      <c r="P1040" s="954"/>
      <c r="Q1040" s="954"/>
      <c r="R1040" s="954"/>
      <c r="S1040" s="954"/>
      <c r="T1040" s="954"/>
      <c r="U1040" s="954"/>
    </row>
    <row r="1041" spans="1:21" s="933" customFormat="1" ht="24" customHeight="1">
      <c r="A1041" s="1026"/>
      <c r="B1041" s="976" t="s">
        <v>869</v>
      </c>
      <c r="C1041" s="976"/>
      <c r="D1041" s="976"/>
      <c r="E1041" s="978">
        <f>(E1040*0.25)</f>
        <v>342.65</v>
      </c>
      <c r="F1041" s="974" t="s">
        <v>870</v>
      </c>
      <c r="G1041" s="969">
        <f t="shared" ref="G1041" si="217">VLOOKUP(B1041,$O$43:$P$53,2,FALSE)</f>
        <v>29.94</v>
      </c>
      <c r="H1041" s="930">
        <f t="shared" si="214"/>
        <v>10258.94</v>
      </c>
      <c r="I1041" s="970"/>
      <c r="J1041" s="930">
        <f t="shared" si="215"/>
        <v>0</v>
      </c>
      <c r="K1041" s="931">
        <f t="shared" si="216"/>
        <v>10258.94</v>
      </c>
      <c r="L1041" s="971"/>
      <c r="M1041" s="954"/>
      <c r="N1041" s="954"/>
      <c r="O1041" s="954"/>
      <c r="P1041" s="954"/>
      <c r="Q1041" s="954"/>
      <c r="R1041" s="954"/>
      <c r="S1041" s="954"/>
      <c r="T1041" s="954"/>
      <c r="U1041" s="954"/>
    </row>
    <row r="1042" spans="1:21" s="933" customFormat="1" ht="24" customHeight="1">
      <c r="A1042" s="1026"/>
      <c r="B1042" s="976" t="s">
        <v>871</v>
      </c>
      <c r="C1042" s="976"/>
      <c r="D1042" s="976"/>
      <c r="E1042" s="978"/>
      <c r="F1042" s="982"/>
      <c r="G1042" s="983"/>
      <c r="H1042" s="930">
        <f t="shared" si="214"/>
        <v>0</v>
      </c>
      <c r="I1042" s="970"/>
      <c r="J1042" s="930">
        <f t="shared" si="215"/>
        <v>0</v>
      </c>
      <c r="K1042" s="931">
        <f t="shared" si="216"/>
        <v>0</v>
      </c>
      <c r="L1042" s="971"/>
      <c r="M1042" s="954"/>
      <c r="N1042" s="954"/>
      <c r="O1042" s="954"/>
      <c r="P1042" s="954"/>
      <c r="Q1042" s="954"/>
      <c r="R1042" s="954"/>
      <c r="S1042" s="954"/>
      <c r="T1042" s="954"/>
      <c r="U1042" s="954"/>
    </row>
    <row r="1043" spans="1:21" s="933" customFormat="1" ht="24" customHeight="1">
      <c r="A1043" s="1026"/>
      <c r="B1043" s="976" t="s">
        <v>872</v>
      </c>
      <c r="C1043" s="976"/>
      <c r="D1043" s="976"/>
      <c r="E1043" s="978">
        <v>0</v>
      </c>
      <c r="F1043" s="974" t="s">
        <v>870</v>
      </c>
      <c r="G1043" s="969">
        <f t="shared" ref="G1043:G1051" si="218">VLOOKUP(B1043,$O$43:$P$53,2,FALSE)</f>
        <v>25.73</v>
      </c>
      <c r="H1043" s="930">
        <f t="shared" si="214"/>
        <v>0</v>
      </c>
      <c r="I1043" s="984">
        <v>4.0999999999999996</v>
      </c>
      <c r="J1043" s="930">
        <f t="shared" si="215"/>
        <v>0</v>
      </c>
      <c r="K1043" s="931">
        <f t="shared" si="216"/>
        <v>0</v>
      </c>
      <c r="L1043" s="971"/>
      <c r="M1043" s="954"/>
      <c r="N1043" s="954"/>
      <c r="O1043" s="954"/>
      <c r="P1043" s="954"/>
      <c r="Q1043" s="954"/>
      <c r="R1043" s="954"/>
      <c r="S1043" s="954"/>
      <c r="T1043" s="954"/>
      <c r="U1043" s="954"/>
    </row>
    <row r="1044" spans="1:21" s="933" customFormat="1" ht="24" customHeight="1">
      <c r="A1044" s="1026"/>
      <c r="B1044" s="976" t="s">
        <v>873</v>
      </c>
      <c r="C1044" s="976"/>
      <c r="D1044" s="976"/>
      <c r="E1044" s="978">
        <v>8732.5400000000009</v>
      </c>
      <c r="F1044" s="974" t="s">
        <v>870</v>
      </c>
      <c r="G1044" s="969">
        <f t="shared" si="218"/>
        <v>24.97</v>
      </c>
      <c r="H1044" s="930">
        <f t="shared" si="214"/>
        <v>218051.52</v>
      </c>
      <c r="I1044" s="970">
        <v>4.0999999999999996</v>
      </c>
      <c r="J1044" s="930">
        <f t="shared" si="215"/>
        <v>35803.410000000003</v>
      </c>
      <c r="K1044" s="931">
        <f t="shared" si="216"/>
        <v>253854.93</v>
      </c>
      <c r="L1044" s="971"/>
      <c r="M1044" s="954"/>
      <c r="N1044" s="954"/>
      <c r="O1044" s="954"/>
      <c r="P1044" s="954"/>
      <c r="Q1044" s="954"/>
      <c r="R1044" s="954"/>
      <c r="S1044" s="954"/>
      <c r="T1044" s="954"/>
      <c r="U1044" s="954"/>
    </row>
    <row r="1045" spans="1:21" s="933" customFormat="1" ht="24" customHeight="1">
      <c r="A1045" s="1026"/>
      <c r="B1045" s="976" t="s">
        <v>874</v>
      </c>
      <c r="C1045" s="976"/>
      <c r="D1045" s="976"/>
      <c r="E1045" s="978">
        <v>9024.06</v>
      </c>
      <c r="F1045" s="974" t="s">
        <v>870</v>
      </c>
      <c r="G1045" s="969">
        <f t="shared" si="218"/>
        <v>24.47</v>
      </c>
      <c r="H1045" s="930">
        <f t="shared" si="214"/>
        <v>220818.75</v>
      </c>
      <c r="I1045" s="970">
        <v>3.3</v>
      </c>
      <c r="J1045" s="930">
        <f t="shared" si="215"/>
        <v>29779.4</v>
      </c>
      <c r="K1045" s="931">
        <f t="shared" si="216"/>
        <v>250598.15</v>
      </c>
      <c r="L1045" s="971"/>
      <c r="M1045" s="954"/>
      <c r="N1045" s="954"/>
      <c r="O1045" s="954"/>
      <c r="P1045" s="954"/>
      <c r="Q1045" s="954"/>
      <c r="R1045" s="954"/>
      <c r="S1045" s="954"/>
      <c r="T1045" s="954"/>
      <c r="U1045" s="954"/>
    </row>
    <row r="1046" spans="1:21" s="933" customFormat="1" ht="24" customHeight="1">
      <c r="A1046" s="1026"/>
      <c r="B1046" s="976" t="s">
        <v>875</v>
      </c>
      <c r="C1046" s="976"/>
      <c r="D1046" s="976"/>
      <c r="E1046" s="978">
        <v>50.51</v>
      </c>
      <c r="F1046" s="982" t="s">
        <v>870</v>
      </c>
      <c r="G1046" s="969">
        <f t="shared" si="218"/>
        <v>24.27</v>
      </c>
      <c r="H1046" s="930">
        <f t="shared" si="214"/>
        <v>1225.8800000000001</v>
      </c>
      <c r="I1046" s="970">
        <v>3.3</v>
      </c>
      <c r="J1046" s="930">
        <f t="shared" si="215"/>
        <v>166.68</v>
      </c>
      <c r="K1046" s="931">
        <f t="shared" si="216"/>
        <v>1392.5600000000002</v>
      </c>
      <c r="L1046" s="971"/>
      <c r="M1046" s="954"/>
      <c r="N1046" s="954"/>
      <c r="O1046" s="954"/>
      <c r="P1046" s="954"/>
      <c r="Q1046" s="954"/>
      <c r="R1046" s="954"/>
      <c r="S1046" s="954"/>
      <c r="T1046" s="954"/>
      <c r="U1046" s="954"/>
    </row>
    <row r="1047" spans="1:21" s="933" customFormat="1" ht="24" customHeight="1">
      <c r="A1047" s="1026"/>
      <c r="B1047" s="976" t="s">
        <v>876</v>
      </c>
      <c r="C1047" s="976"/>
      <c r="D1047" s="976"/>
      <c r="E1047" s="978">
        <v>0</v>
      </c>
      <c r="F1047" s="974" t="s">
        <v>870</v>
      </c>
      <c r="G1047" s="969">
        <f t="shared" si="218"/>
        <v>24.27</v>
      </c>
      <c r="H1047" s="930">
        <f t="shared" si="214"/>
        <v>0</v>
      </c>
      <c r="I1047" s="970">
        <v>2.9</v>
      </c>
      <c r="J1047" s="930">
        <f t="shared" si="215"/>
        <v>0</v>
      </c>
      <c r="K1047" s="931">
        <f t="shared" si="216"/>
        <v>0</v>
      </c>
      <c r="L1047" s="971"/>
      <c r="M1047" s="954"/>
      <c r="N1047" s="954"/>
      <c r="O1047" s="954"/>
      <c r="P1047" s="954"/>
      <c r="Q1047" s="954"/>
      <c r="R1047" s="954"/>
      <c r="S1047" s="954"/>
      <c r="T1047" s="954"/>
      <c r="U1047" s="954"/>
    </row>
    <row r="1048" spans="1:21" s="933" customFormat="1" ht="24" customHeight="1">
      <c r="A1048" s="1026"/>
      <c r="B1048" s="976" t="s">
        <v>877</v>
      </c>
      <c r="C1048" s="976"/>
      <c r="D1048" s="976"/>
      <c r="E1048" s="978">
        <v>37254.76</v>
      </c>
      <c r="F1048" s="974" t="s">
        <v>870</v>
      </c>
      <c r="G1048" s="969">
        <f t="shared" si="218"/>
        <v>24.27</v>
      </c>
      <c r="H1048" s="930">
        <f t="shared" si="214"/>
        <v>904173.03</v>
      </c>
      <c r="I1048" s="970">
        <v>2.9</v>
      </c>
      <c r="J1048" s="930">
        <f t="shared" si="215"/>
        <v>108038.8</v>
      </c>
      <c r="K1048" s="931">
        <f t="shared" si="216"/>
        <v>1012211.8300000001</v>
      </c>
      <c r="L1048" s="971"/>
      <c r="M1048" s="954"/>
      <c r="N1048" s="954"/>
      <c r="O1048" s="954"/>
      <c r="P1048" s="954"/>
      <c r="Q1048" s="954"/>
      <c r="R1048" s="954"/>
      <c r="S1048" s="954"/>
      <c r="T1048" s="954"/>
      <c r="U1048" s="954"/>
    </row>
    <row r="1049" spans="1:21" s="933" customFormat="1" ht="24" customHeight="1">
      <c r="A1049" s="1026"/>
      <c r="B1049" s="976" t="s">
        <v>878</v>
      </c>
      <c r="C1049" s="976"/>
      <c r="D1049" s="976"/>
      <c r="E1049" s="978">
        <v>0</v>
      </c>
      <c r="F1049" s="974" t="s">
        <v>870</v>
      </c>
      <c r="G1049" s="969">
        <f t="shared" si="218"/>
        <v>24.27</v>
      </c>
      <c r="H1049" s="930">
        <f t="shared" si="214"/>
        <v>0</v>
      </c>
      <c r="I1049" s="970">
        <v>2.9</v>
      </c>
      <c r="J1049" s="930">
        <f t="shared" si="215"/>
        <v>0</v>
      </c>
      <c r="K1049" s="931">
        <f t="shared" si="216"/>
        <v>0</v>
      </c>
      <c r="L1049" s="971"/>
      <c r="M1049" s="954"/>
      <c r="N1049" s="954"/>
      <c r="O1049" s="954"/>
      <c r="P1049" s="954"/>
      <c r="Q1049" s="954"/>
      <c r="R1049" s="954"/>
      <c r="S1049" s="954"/>
      <c r="T1049" s="954"/>
      <c r="U1049" s="954"/>
    </row>
    <row r="1050" spans="1:21" s="933" customFormat="1" ht="24" customHeight="1">
      <c r="A1050" s="1026"/>
      <c r="B1050" s="976" t="s">
        <v>879</v>
      </c>
      <c r="C1050" s="976"/>
      <c r="D1050" s="976"/>
      <c r="E1050" s="978">
        <v>0</v>
      </c>
      <c r="F1050" s="974" t="s">
        <v>870</v>
      </c>
      <c r="G1050" s="969">
        <f t="shared" si="218"/>
        <v>23.8</v>
      </c>
      <c r="H1050" s="930">
        <f t="shared" si="214"/>
        <v>0</v>
      </c>
      <c r="I1050" s="970">
        <v>2.9</v>
      </c>
      <c r="J1050" s="930">
        <f t="shared" si="215"/>
        <v>0</v>
      </c>
      <c r="K1050" s="931">
        <f t="shared" si="216"/>
        <v>0</v>
      </c>
      <c r="L1050" s="971"/>
      <c r="M1050" s="954"/>
      <c r="N1050" s="954"/>
      <c r="O1050" s="954"/>
      <c r="P1050" s="954"/>
      <c r="Q1050" s="954"/>
      <c r="R1050" s="954"/>
      <c r="S1050" s="954"/>
      <c r="T1050" s="954"/>
      <c r="U1050" s="954"/>
    </row>
    <row r="1051" spans="1:21" s="933" customFormat="1" ht="24" customHeight="1">
      <c r="A1051" s="1026"/>
      <c r="B1051" s="976" t="s">
        <v>880</v>
      </c>
      <c r="C1051" s="976"/>
      <c r="D1051" s="976"/>
      <c r="E1051" s="978">
        <f>(SUM(E1043:E1050)/1000)*30</f>
        <v>1651.8560999999997</v>
      </c>
      <c r="F1051" s="974" t="s">
        <v>870</v>
      </c>
      <c r="G1051" s="969">
        <f t="shared" si="218"/>
        <v>29.92</v>
      </c>
      <c r="H1051" s="930">
        <f t="shared" si="214"/>
        <v>49423.53</v>
      </c>
      <c r="I1051" s="970"/>
      <c r="J1051" s="930">
        <f t="shared" si="215"/>
        <v>0</v>
      </c>
      <c r="K1051" s="931">
        <f t="shared" si="216"/>
        <v>49423.53</v>
      </c>
      <c r="L1051" s="971"/>
      <c r="M1051" s="954"/>
      <c r="N1051" s="954"/>
      <c r="O1051" s="954"/>
      <c r="P1051" s="954"/>
      <c r="Q1051" s="954"/>
      <c r="R1051" s="954"/>
      <c r="S1051" s="954"/>
      <c r="T1051" s="954"/>
      <c r="U1051" s="954"/>
    </row>
    <row r="1052" spans="1:21" s="933" customFormat="1" ht="24" customHeight="1">
      <c r="A1052" s="1026"/>
      <c r="B1052" s="976" t="s">
        <v>881</v>
      </c>
      <c r="C1052" s="976"/>
      <c r="D1052" s="976"/>
      <c r="E1052" s="978"/>
      <c r="F1052" s="974"/>
      <c r="G1052" s="969"/>
      <c r="H1052" s="930"/>
      <c r="I1052" s="970"/>
      <c r="J1052" s="930"/>
      <c r="K1052" s="931"/>
      <c r="L1052" s="971"/>
      <c r="M1052" s="954"/>
      <c r="N1052" s="954"/>
      <c r="O1052" s="954"/>
      <c r="P1052" s="954"/>
      <c r="Q1052" s="954"/>
      <c r="R1052" s="954"/>
      <c r="S1052" s="954"/>
      <c r="T1052" s="954"/>
      <c r="U1052" s="954"/>
    </row>
    <row r="1053" spans="1:21" s="933" customFormat="1" ht="24" customHeight="1">
      <c r="A1053" s="1026"/>
      <c r="B1053" s="976"/>
      <c r="C1053" s="976"/>
      <c r="D1053" s="976"/>
      <c r="E1053" s="978"/>
      <c r="F1053" s="974"/>
      <c r="G1053" s="969"/>
      <c r="H1053" s="930"/>
      <c r="I1053" s="970"/>
      <c r="J1053" s="930"/>
      <c r="K1053" s="931"/>
      <c r="L1053" s="971"/>
      <c r="M1053" s="954"/>
      <c r="N1053" s="954"/>
      <c r="O1053" s="954"/>
      <c r="P1053" s="954"/>
      <c r="Q1053" s="954"/>
      <c r="R1053" s="954"/>
      <c r="S1053" s="954"/>
      <c r="T1053" s="954"/>
      <c r="U1053" s="954"/>
    </row>
    <row r="1054" spans="1:21" s="933" customFormat="1" ht="24" customHeight="1">
      <c r="A1054" s="1026"/>
      <c r="B1054" s="1021"/>
      <c r="C1054" s="976"/>
      <c r="D1054" s="976"/>
      <c r="E1054" s="978"/>
      <c r="F1054" s="974"/>
      <c r="G1054" s="969"/>
      <c r="H1054" s="930"/>
      <c r="I1054" s="970"/>
      <c r="J1054" s="930"/>
      <c r="K1054" s="931"/>
      <c r="L1054" s="971"/>
      <c r="M1054" s="954"/>
      <c r="N1054" s="954"/>
      <c r="O1054" s="954"/>
      <c r="P1054" s="954"/>
      <c r="Q1054" s="954"/>
      <c r="R1054" s="954"/>
      <c r="S1054" s="954"/>
      <c r="T1054" s="954"/>
      <c r="U1054" s="954"/>
    </row>
    <row r="1055" spans="1:21" s="933" customFormat="1" ht="24" customHeight="1">
      <c r="A1055" s="1026"/>
      <c r="B1055" s="1021"/>
      <c r="C1055" s="976"/>
      <c r="D1055" s="976"/>
      <c r="E1055" s="978"/>
      <c r="F1055" s="974"/>
      <c r="G1055" s="969"/>
      <c r="H1055" s="930"/>
      <c r="I1055" s="970"/>
      <c r="J1055" s="930"/>
      <c r="K1055" s="931"/>
      <c r="L1055" s="971"/>
      <c r="M1055" s="954"/>
      <c r="N1055" s="954"/>
      <c r="O1055" s="954"/>
      <c r="P1055" s="954"/>
      <c r="Q1055" s="954"/>
      <c r="R1055" s="954"/>
      <c r="S1055" s="954"/>
      <c r="T1055" s="954"/>
      <c r="U1055" s="954"/>
    </row>
    <row r="1056" spans="1:21" s="933" customFormat="1" ht="24" customHeight="1">
      <c r="A1056" s="1026"/>
      <c r="B1056" s="1021"/>
      <c r="C1056" s="976"/>
      <c r="D1056" s="976"/>
      <c r="E1056" s="978"/>
      <c r="F1056" s="974"/>
      <c r="G1056" s="969"/>
      <c r="H1056" s="930"/>
      <c r="I1056" s="970"/>
      <c r="J1056" s="930"/>
      <c r="K1056" s="931"/>
      <c r="L1056" s="971"/>
      <c r="M1056" s="954"/>
      <c r="N1056" s="954"/>
      <c r="O1056" s="954"/>
      <c r="P1056" s="954"/>
      <c r="Q1056" s="954"/>
      <c r="R1056" s="954"/>
      <c r="S1056" s="954"/>
      <c r="T1056" s="954"/>
      <c r="U1056" s="954"/>
    </row>
    <row r="1057" spans="1:21" s="933" customFormat="1" ht="24" customHeight="1">
      <c r="A1057" s="1026"/>
      <c r="B1057" s="1021"/>
      <c r="C1057" s="976"/>
      <c r="D1057" s="976"/>
      <c r="E1057" s="978"/>
      <c r="F1057" s="974"/>
      <c r="G1057" s="969"/>
      <c r="H1057" s="930"/>
      <c r="I1057" s="970"/>
      <c r="J1057" s="930"/>
      <c r="K1057" s="931"/>
      <c r="L1057" s="971"/>
      <c r="M1057" s="954"/>
      <c r="N1057" s="954"/>
      <c r="O1057" s="954"/>
      <c r="P1057" s="954"/>
      <c r="Q1057" s="954"/>
      <c r="R1057" s="954"/>
      <c r="S1057" s="954"/>
      <c r="T1057" s="954"/>
      <c r="U1057" s="954"/>
    </row>
    <row r="1058" spans="1:21" s="933" customFormat="1" ht="24" customHeight="1">
      <c r="A1058" s="1026"/>
      <c r="B1058" s="1021"/>
      <c r="C1058" s="976"/>
      <c r="D1058" s="976"/>
      <c r="E1058" s="978"/>
      <c r="F1058" s="974"/>
      <c r="G1058" s="969"/>
      <c r="H1058" s="930"/>
      <c r="I1058" s="970"/>
      <c r="J1058" s="930"/>
      <c r="K1058" s="931"/>
      <c r="L1058" s="971"/>
      <c r="M1058" s="954"/>
      <c r="N1058" s="954"/>
      <c r="O1058" s="954"/>
      <c r="P1058" s="954"/>
      <c r="Q1058" s="954"/>
      <c r="R1058" s="954"/>
      <c r="S1058" s="954"/>
      <c r="T1058" s="954"/>
      <c r="U1058" s="954"/>
    </row>
    <row r="1059" spans="1:21" s="933" customFormat="1" ht="24" customHeight="1">
      <c r="A1059" s="1026"/>
      <c r="B1059" s="1021"/>
      <c r="C1059" s="976"/>
      <c r="D1059" s="976"/>
      <c r="E1059" s="978"/>
      <c r="F1059" s="974"/>
      <c r="G1059" s="969"/>
      <c r="H1059" s="930"/>
      <c r="I1059" s="970"/>
      <c r="J1059" s="930"/>
      <c r="K1059" s="931"/>
      <c r="L1059" s="971"/>
      <c r="M1059" s="954"/>
      <c r="N1059" s="954"/>
      <c r="O1059" s="954"/>
      <c r="P1059" s="954"/>
      <c r="Q1059" s="954"/>
      <c r="R1059" s="954"/>
      <c r="S1059" s="954"/>
      <c r="T1059" s="954"/>
      <c r="U1059" s="954"/>
    </row>
    <row r="1060" spans="1:21" s="933" customFormat="1" ht="24" customHeight="1">
      <c r="A1060" s="1026"/>
      <c r="B1060" s="1021"/>
      <c r="C1060" s="976"/>
      <c r="D1060" s="976"/>
      <c r="E1060" s="978"/>
      <c r="F1060" s="974"/>
      <c r="G1060" s="969"/>
      <c r="H1060" s="930"/>
      <c r="I1060" s="970"/>
      <c r="J1060" s="930"/>
      <c r="K1060" s="931"/>
      <c r="L1060" s="971"/>
      <c r="M1060" s="954"/>
      <c r="N1060" s="954"/>
      <c r="O1060" s="954"/>
      <c r="P1060" s="954"/>
      <c r="Q1060" s="954"/>
      <c r="R1060" s="954"/>
      <c r="S1060" s="954"/>
      <c r="T1060" s="954"/>
      <c r="U1060" s="954"/>
    </row>
    <row r="1061" spans="1:21" s="933" customFormat="1" ht="24" customHeight="1">
      <c r="A1061" s="1026" t="s">
        <v>964</v>
      </c>
      <c r="B1061" s="1030" t="s">
        <v>1035</v>
      </c>
      <c r="C1061" s="976"/>
      <c r="D1061" s="976"/>
      <c r="E1061" s="978"/>
      <c r="F1061" s="974"/>
      <c r="G1061" s="969"/>
      <c r="H1061" s="930"/>
      <c r="I1061" s="970"/>
      <c r="J1061" s="930"/>
      <c r="K1061" s="931"/>
      <c r="L1061" s="971"/>
      <c r="M1061" s="954"/>
      <c r="N1061" s="954"/>
      <c r="O1061" s="954"/>
      <c r="P1061" s="954"/>
      <c r="Q1061" s="954"/>
      <c r="R1061" s="954"/>
      <c r="S1061" s="954"/>
      <c r="T1061" s="954"/>
      <c r="U1061" s="954"/>
    </row>
    <row r="1062" spans="1:21" s="933" customFormat="1" ht="24" customHeight="1">
      <c r="A1062" s="1026"/>
      <c r="B1062" s="976" t="s">
        <v>864</v>
      </c>
      <c r="C1062" s="977"/>
      <c r="D1062" s="977"/>
      <c r="E1062" s="978">
        <v>153.61000000000001</v>
      </c>
      <c r="F1062" s="974" t="s">
        <v>865</v>
      </c>
      <c r="G1062" s="969">
        <v>2516</v>
      </c>
      <c r="H1062" s="930">
        <f t="shared" ref="H1062:H1076" si="219">ROUND(E1062*G1062,2)</f>
        <v>386482.76</v>
      </c>
      <c r="I1062" s="970">
        <v>485</v>
      </c>
      <c r="J1062" s="930">
        <f t="shared" ref="J1062:J1076" si="220">ROUND(E1062*I1062,2)</f>
        <v>74500.850000000006</v>
      </c>
      <c r="K1062" s="931">
        <f t="shared" ref="K1062:K1076" si="221">H1062+J1062</f>
        <v>460983.61</v>
      </c>
      <c r="L1062" s="971"/>
      <c r="M1062" s="954"/>
      <c r="N1062" s="954"/>
      <c r="O1062" s="954"/>
      <c r="P1062" s="954"/>
      <c r="Q1062" s="954"/>
      <c r="R1062" s="954"/>
      <c r="S1062" s="954"/>
      <c r="T1062" s="954"/>
      <c r="U1062" s="954"/>
    </row>
    <row r="1063" spans="1:21" s="933" customFormat="1" ht="24" customHeight="1">
      <c r="A1063" s="1026"/>
      <c r="B1063" s="979" t="s">
        <v>866</v>
      </c>
      <c r="C1063" s="976"/>
      <c r="D1063" s="976"/>
      <c r="E1063" s="978"/>
      <c r="F1063" s="974"/>
      <c r="G1063" s="969"/>
      <c r="H1063" s="930">
        <f t="shared" si="219"/>
        <v>0</v>
      </c>
      <c r="I1063" s="970"/>
      <c r="J1063" s="930">
        <f t="shared" si="220"/>
        <v>0</v>
      </c>
      <c r="K1063" s="931">
        <f t="shared" si="221"/>
        <v>0</v>
      </c>
      <c r="L1063" s="971"/>
      <c r="M1063" s="954"/>
      <c r="N1063" s="954"/>
      <c r="O1063" s="954"/>
      <c r="P1063" s="954"/>
      <c r="Q1063" s="954"/>
      <c r="R1063" s="954"/>
      <c r="S1063" s="954"/>
      <c r="T1063" s="954"/>
      <c r="U1063" s="954"/>
    </row>
    <row r="1064" spans="1:21" s="933" customFormat="1" ht="24" customHeight="1">
      <c r="A1064" s="1026"/>
      <c r="B1064" s="979"/>
      <c r="C1064" s="976" t="s">
        <v>867</v>
      </c>
      <c r="D1064" s="976"/>
      <c r="E1064" s="978">
        <f>E1065/2</f>
        <v>455.58</v>
      </c>
      <c r="F1064" s="974" t="s">
        <v>34</v>
      </c>
      <c r="G1064" s="969">
        <v>661.62</v>
      </c>
      <c r="H1064" s="930">
        <f t="shared" si="219"/>
        <v>301420.84000000003</v>
      </c>
      <c r="I1064" s="970"/>
      <c r="J1064" s="930">
        <f t="shared" si="220"/>
        <v>0</v>
      </c>
      <c r="K1064" s="931">
        <f t="shared" si="221"/>
        <v>301420.84000000003</v>
      </c>
      <c r="L1064" s="971"/>
      <c r="M1064" s="954"/>
      <c r="N1064" s="954"/>
      <c r="O1064" s="954"/>
      <c r="P1064" s="954"/>
      <c r="Q1064" s="954"/>
      <c r="R1064" s="954"/>
      <c r="S1064" s="954"/>
      <c r="T1064" s="954"/>
      <c r="U1064" s="954"/>
    </row>
    <row r="1065" spans="1:21" s="933" customFormat="1" ht="24" customHeight="1">
      <c r="A1065" s="1026"/>
      <c r="B1065" s="979"/>
      <c r="C1065" s="976" t="s">
        <v>868</v>
      </c>
      <c r="D1065" s="976"/>
      <c r="E1065" s="978">
        <v>911.16</v>
      </c>
      <c r="F1065" s="974" t="s">
        <v>34</v>
      </c>
      <c r="G1065" s="969"/>
      <c r="H1065" s="930">
        <f t="shared" si="219"/>
        <v>0</v>
      </c>
      <c r="I1065" s="970">
        <v>154</v>
      </c>
      <c r="J1065" s="930">
        <f t="shared" si="220"/>
        <v>140318.64000000001</v>
      </c>
      <c r="K1065" s="931">
        <f t="shared" si="221"/>
        <v>140318.64000000001</v>
      </c>
      <c r="L1065" s="971"/>
      <c r="M1065" s="954"/>
      <c r="N1065" s="954"/>
      <c r="O1065" s="954"/>
      <c r="P1065" s="954"/>
      <c r="Q1065" s="954"/>
      <c r="R1065" s="954"/>
      <c r="S1065" s="954"/>
      <c r="T1065" s="954"/>
      <c r="U1065" s="954"/>
    </row>
    <row r="1066" spans="1:21" s="933" customFormat="1" ht="24" customHeight="1">
      <c r="A1066" s="1026"/>
      <c r="B1066" s="976" t="s">
        <v>869</v>
      </c>
      <c r="C1066" s="976"/>
      <c r="D1066" s="976"/>
      <c r="E1066" s="978">
        <f>(E1065*0.25)</f>
        <v>227.79</v>
      </c>
      <c r="F1066" s="974" t="s">
        <v>870</v>
      </c>
      <c r="G1066" s="969">
        <f t="shared" ref="G1066" si="222">VLOOKUP(B1066,$O$43:$P$53,2,FALSE)</f>
        <v>29.94</v>
      </c>
      <c r="H1066" s="930">
        <f t="shared" si="219"/>
        <v>6820.03</v>
      </c>
      <c r="I1066" s="970"/>
      <c r="J1066" s="930">
        <f t="shared" si="220"/>
        <v>0</v>
      </c>
      <c r="K1066" s="931">
        <f t="shared" si="221"/>
        <v>6820.03</v>
      </c>
      <c r="L1066" s="971"/>
      <c r="M1066" s="954"/>
      <c r="N1066" s="954"/>
      <c r="O1066" s="954"/>
      <c r="P1066" s="954"/>
      <c r="Q1066" s="954"/>
      <c r="R1066" s="954"/>
      <c r="S1066" s="954"/>
      <c r="T1066" s="954"/>
      <c r="U1066" s="954"/>
    </row>
    <row r="1067" spans="1:21" s="933" customFormat="1" ht="24" customHeight="1">
      <c r="A1067" s="1026"/>
      <c r="B1067" s="976" t="s">
        <v>871</v>
      </c>
      <c r="C1067" s="976"/>
      <c r="D1067" s="976"/>
      <c r="E1067" s="978"/>
      <c r="F1067" s="982"/>
      <c r="G1067" s="983"/>
      <c r="H1067" s="930">
        <f t="shared" si="219"/>
        <v>0</v>
      </c>
      <c r="I1067" s="970"/>
      <c r="J1067" s="930">
        <f t="shared" si="220"/>
        <v>0</v>
      </c>
      <c r="K1067" s="931">
        <f t="shared" si="221"/>
        <v>0</v>
      </c>
      <c r="L1067" s="971"/>
      <c r="M1067" s="954"/>
      <c r="N1067" s="954"/>
      <c r="O1067" s="954"/>
      <c r="P1067" s="954"/>
      <c r="Q1067" s="954"/>
      <c r="R1067" s="954"/>
      <c r="S1067" s="954"/>
      <c r="T1067" s="954"/>
      <c r="U1067" s="954"/>
    </row>
    <row r="1068" spans="1:21" s="933" customFormat="1" ht="24" customHeight="1">
      <c r="A1068" s="1026"/>
      <c r="B1068" s="976" t="s">
        <v>872</v>
      </c>
      <c r="C1068" s="976"/>
      <c r="D1068" s="976"/>
      <c r="E1068" s="978"/>
      <c r="F1068" s="974" t="s">
        <v>870</v>
      </c>
      <c r="G1068" s="969">
        <f t="shared" ref="G1068:G1076" si="223">VLOOKUP(B1068,$O$43:$P$53,2,FALSE)</f>
        <v>25.73</v>
      </c>
      <c r="H1068" s="930">
        <f t="shared" si="219"/>
        <v>0</v>
      </c>
      <c r="I1068" s="984">
        <v>4.0999999999999996</v>
      </c>
      <c r="J1068" s="930">
        <f t="shared" si="220"/>
        <v>0</v>
      </c>
      <c r="K1068" s="931">
        <f t="shared" si="221"/>
        <v>0</v>
      </c>
      <c r="L1068" s="971"/>
      <c r="M1068" s="954"/>
      <c r="N1068" s="954"/>
      <c r="O1068" s="954"/>
      <c r="P1068" s="954"/>
      <c r="Q1068" s="954"/>
      <c r="R1068" s="954"/>
      <c r="S1068" s="954"/>
      <c r="T1068" s="954"/>
      <c r="U1068" s="954"/>
    </row>
    <row r="1069" spans="1:21" s="933" customFormat="1" ht="24" customHeight="1">
      <c r="A1069" s="1026"/>
      <c r="B1069" s="976" t="s">
        <v>873</v>
      </c>
      <c r="C1069" s="976"/>
      <c r="D1069" s="976"/>
      <c r="E1069" s="978"/>
      <c r="F1069" s="974" t="s">
        <v>870</v>
      </c>
      <c r="G1069" s="969">
        <f t="shared" si="223"/>
        <v>24.97</v>
      </c>
      <c r="H1069" s="930">
        <f t="shared" si="219"/>
        <v>0</v>
      </c>
      <c r="I1069" s="970">
        <v>4.0999999999999996</v>
      </c>
      <c r="J1069" s="930">
        <f t="shared" si="220"/>
        <v>0</v>
      </c>
      <c r="K1069" s="931">
        <f t="shared" si="221"/>
        <v>0</v>
      </c>
      <c r="L1069" s="971"/>
      <c r="M1069" s="954"/>
      <c r="N1069" s="954"/>
      <c r="O1069" s="954"/>
      <c r="P1069" s="954"/>
      <c r="Q1069" s="954"/>
      <c r="R1069" s="954"/>
      <c r="S1069" s="954"/>
      <c r="T1069" s="954"/>
      <c r="U1069" s="954"/>
    </row>
    <row r="1070" spans="1:21" s="933" customFormat="1" ht="24" customHeight="1">
      <c r="A1070" s="1026"/>
      <c r="B1070" s="976" t="s">
        <v>874</v>
      </c>
      <c r="C1070" s="976"/>
      <c r="D1070" s="976"/>
      <c r="E1070" s="978">
        <v>4854.3100000000004</v>
      </c>
      <c r="F1070" s="974" t="s">
        <v>870</v>
      </c>
      <c r="G1070" s="969">
        <f t="shared" si="223"/>
        <v>24.47</v>
      </c>
      <c r="H1070" s="930">
        <f t="shared" si="219"/>
        <v>118784.97</v>
      </c>
      <c r="I1070" s="970">
        <v>3.3</v>
      </c>
      <c r="J1070" s="930">
        <f t="shared" si="220"/>
        <v>16019.22</v>
      </c>
      <c r="K1070" s="931">
        <f t="shared" si="221"/>
        <v>134804.19</v>
      </c>
      <c r="L1070" s="971"/>
      <c r="M1070" s="954"/>
      <c r="N1070" s="954"/>
      <c r="O1070" s="954"/>
      <c r="P1070" s="954"/>
      <c r="Q1070" s="954"/>
      <c r="R1070" s="954"/>
      <c r="S1070" s="954"/>
      <c r="T1070" s="954"/>
      <c r="U1070" s="954"/>
    </row>
    <row r="1071" spans="1:21" s="933" customFormat="1" ht="24" customHeight="1">
      <c r="A1071" s="1026"/>
      <c r="B1071" s="976" t="s">
        <v>875</v>
      </c>
      <c r="C1071" s="976"/>
      <c r="D1071" s="976"/>
      <c r="E1071" s="978">
        <v>13791.74</v>
      </c>
      <c r="F1071" s="982" t="s">
        <v>870</v>
      </c>
      <c r="G1071" s="969">
        <f t="shared" si="223"/>
        <v>24.27</v>
      </c>
      <c r="H1071" s="930">
        <f t="shared" si="219"/>
        <v>334725.53000000003</v>
      </c>
      <c r="I1071" s="970">
        <v>3.3</v>
      </c>
      <c r="J1071" s="930">
        <f t="shared" si="220"/>
        <v>45512.74</v>
      </c>
      <c r="K1071" s="931">
        <f t="shared" si="221"/>
        <v>380238.27</v>
      </c>
      <c r="L1071" s="971"/>
      <c r="M1071" s="954"/>
      <c r="N1071" s="954"/>
      <c r="O1071" s="954"/>
      <c r="P1071" s="954"/>
      <c r="Q1071" s="954"/>
      <c r="R1071" s="954"/>
      <c r="S1071" s="954"/>
      <c r="T1071" s="954"/>
      <c r="U1071" s="954"/>
    </row>
    <row r="1072" spans="1:21" s="933" customFormat="1" ht="24" customHeight="1">
      <c r="A1072" s="1026"/>
      <c r="B1072" s="976" t="s">
        <v>876</v>
      </c>
      <c r="C1072" s="976"/>
      <c r="D1072" s="976"/>
      <c r="E1072" s="978">
        <v>14299.08</v>
      </c>
      <c r="F1072" s="974" t="s">
        <v>870</v>
      </c>
      <c r="G1072" s="969">
        <f t="shared" si="223"/>
        <v>24.27</v>
      </c>
      <c r="H1072" s="930">
        <f t="shared" si="219"/>
        <v>347038.67</v>
      </c>
      <c r="I1072" s="970">
        <v>2.9</v>
      </c>
      <c r="J1072" s="930">
        <f t="shared" si="220"/>
        <v>41467.33</v>
      </c>
      <c r="K1072" s="931">
        <f t="shared" si="221"/>
        <v>388506</v>
      </c>
      <c r="L1072" s="971"/>
      <c r="M1072" s="954"/>
      <c r="N1072" s="954"/>
      <c r="O1072" s="954"/>
      <c r="P1072" s="954"/>
      <c r="Q1072" s="954"/>
      <c r="R1072" s="954"/>
      <c r="S1072" s="954"/>
      <c r="T1072" s="954"/>
      <c r="U1072" s="954"/>
    </row>
    <row r="1073" spans="1:21" s="933" customFormat="1" ht="24" customHeight="1">
      <c r="A1073" s="1026"/>
      <c r="B1073" s="976" t="s">
        <v>877</v>
      </c>
      <c r="C1073" s="976"/>
      <c r="D1073" s="976"/>
      <c r="E1073" s="978">
        <v>8670.82</v>
      </c>
      <c r="F1073" s="974" t="s">
        <v>870</v>
      </c>
      <c r="G1073" s="969">
        <f t="shared" si="223"/>
        <v>24.27</v>
      </c>
      <c r="H1073" s="930">
        <f t="shared" si="219"/>
        <v>210440.8</v>
      </c>
      <c r="I1073" s="970">
        <v>2.9</v>
      </c>
      <c r="J1073" s="930">
        <f t="shared" si="220"/>
        <v>25145.38</v>
      </c>
      <c r="K1073" s="931">
        <f t="shared" si="221"/>
        <v>235586.18</v>
      </c>
      <c r="L1073" s="971"/>
      <c r="M1073" s="954"/>
      <c r="N1073" s="954"/>
      <c r="O1073" s="954"/>
      <c r="P1073" s="954"/>
      <c r="Q1073" s="954"/>
      <c r="R1073" s="954"/>
      <c r="S1073" s="954"/>
      <c r="T1073" s="954"/>
      <c r="U1073" s="954"/>
    </row>
    <row r="1074" spans="1:21" s="933" customFormat="1" ht="24" customHeight="1">
      <c r="A1074" s="1026"/>
      <c r="B1074" s="976" t="s">
        <v>878</v>
      </c>
      <c r="C1074" s="976"/>
      <c r="D1074" s="976"/>
      <c r="E1074" s="978"/>
      <c r="F1074" s="974" t="s">
        <v>870</v>
      </c>
      <c r="G1074" s="969">
        <f t="shared" si="223"/>
        <v>24.27</v>
      </c>
      <c r="H1074" s="930">
        <f t="shared" si="219"/>
        <v>0</v>
      </c>
      <c r="I1074" s="970">
        <v>2.9</v>
      </c>
      <c r="J1074" s="930">
        <f t="shared" si="220"/>
        <v>0</v>
      </c>
      <c r="K1074" s="931">
        <f t="shared" si="221"/>
        <v>0</v>
      </c>
      <c r="L1074" s="971"/>
      <c r="M1074" s="954"/>
      <c r="N1074" s="954"/>
      <c r="O1074" s="954"/>
      <c r="P1074" s="954"/>
      <c r="Q1074" s="954"/>
      <c r="R1074" s="954"/>
      <c r="S1074" s="954"/>
      <c r="T1074" s="954"/>
      <c r="U1074" s="954"/>
    </row>
    <row r="1075" spans="1:21" s="933" customFormat="1" ht="24" customHeight="1">
      <c r="A1075" s="1026"/>
      <c r="B1075" s="976" t="s">
        <v>879</v>
      </c>
      <c r="C1075" s="976"/>
      <c r="D1075" s="976"/>
      <c r="E1075" s="978"/>
      <c r="F1075" s="974" t="s">
        <v>870</v>
      </c>
      <c r="G1075" s="969">
        <f t="shared" si="223"/>
        <v>23.8</v>
      </c>
      <c r="H1075" s="930">
        <f t="shared" si="219"/>
        <v>0</v>
      </c>
      <c r="I1075" s="970">
        <v>2.9</v>
      </c>
      <c r="J1075" s="930">
        <f t="shared" si="220"/>
        <v>0</v>
      </c>
      <c r="K1075" s="931">
        <f t="shared" si="221"/>
        <v>0</v>
      </c>
      <c r="L1075" s="971"/>
      <c r="M1075" s="954"/>
      <c r="N1075" s="954"/>
      <c r="O1075" s="954"/>
      <c r="P1075" s="954"/>
      <c r="Q1075" s="954"/>
      <c r="R1075" s="954"/>
      <c r="S1075" s="954"/>
      <c r="T1075" s="954"/>
      <c r="U1075" s="954"/>
    </row>
    <row r="1076" spans="1:21" s="933" customFormat="1" ht="24" customHeight="1">
      <c r="A1076" s="1026"/>
      <c r="B1076" s="976" t="s">
        <v>880</v>
      </c>
      <c r="C1076" s="976"/>
      <c r="D1076" s="976"/>
      <c r="E1076" s="978">
        <f>(SUM(E1068:E1075)/1000)*30</f>
        <v>1248.4784999999999</v>
      </c>
      <c r="F1076" s="974" t="s">
        <v>870</v>
      </c>
      <c r="G1076" s="969">
        <f t="shared" si="223"/>
        <v>29.92</v>
      </c>
      <c r="H1076" s="930">
        <f t="shared" si="219"/>
        <v>37354.480000000003</v>
      </c>
      <c r="I1076" s="970"/>
      <c r="J1076" s="930">
        <f t="shared" si="220"/>
        <v>0</v>
      </c>
      <c r="K1076" s="931">
        <f t="shared" si="221"/>
        <v>37354.480000000003</v>
      </c>
      <c r="L1076" s="971"/>
      <c r="M1076" s="954"/>
      <c r="N1076" s="954"/>
      <c r="O1076" s="954"/>
      <c r="P1076" s="954"/>
      <c r="Q1076" s="954"/>
      <c r="R1076" s="954"/>
      <c r="S1076" s="954"/>
      <c r="T1076" s="954"/>
      <c r="U1076" s="954"/>
    </row>
    <row r="1077" spans="1:21" s="933" customFormat="1" ht="24" customHeight="1">
      <c r="A1077" s="1026"/>
      <c r="B1077" s="976" t="s">
        <v>881</v>
      </c>
      <c r="C1077" s="976"/>
      <c r="D1077" s="976"/>
      <c r="E1077" s="978"/>
      <c r="F1077" s="974"/>
      <c r="G1077" s="969"/>
      <c r="H1077" s="930"/>
      <c r="I1077" s="970"/>
      <c r="J1077" s="930"/>
      <c r="K1077" s="931"/>
      <c r="L1077" s="971"/>
      <c r="M1077" s="954"/>
      <c r="N1077" s="954"/>
      <c r="O1077" s="954"/>
      <c r="P1077" s="954"/>
      <c r="Q1077" s="954"/>
      <c r="R1077" s="954"/>
      <c r="S1077" s="954"/>
      <c r="T1077" s="954"/>
      <c r="U1077" s="954"/>
    </row>
    <row r="1078" spans="1:21" s="933" customFormat="1" ht="24" customHeight="1">
      <c r="A1078" s="1026"/>
      <c r="B1078" s="976"/>
      <c r="C1078" s="976"/>
      <c r="D1078" s="976"/>
      <c r="E1078" s="978"/>
      <c r="F1078" s="974"/>
      <c r="G1078" s="969"/>
      <c r="H1078" s="930"/>
      <c r="I1078" s="970"/>
      <c r="J1078" s="930"/>
      <c r="K1078" s="931"/>
      <c r="L1078" s="971"/>
      <c r="M1078" s="954"/>
      <c r="N1078" s="954"/>
      <c r="O1078" s="954"/>
      <c r="P1078" s="954"/>
      <c r="Q1078" s="954"/>
      <c r="R1078" s="954"/>
      <c r="S1078" s="954"/>
      <c r="T1078" s="954"/>
      <c r="U1078" s="954"/>
    </row>
    <row r="1079" spans="1:21" s="933" customFormat="1" ht="24" customHeight="1">
      <c r="A1079" s="1026"/>
      <c r="B1079" s="1021"/>
      <c r="C1079" s="976"/>
      <c r="D1079" s="976"/>
      <c r="E1079" s="978"/>
      <c r="F1079" s="974"/>
      <c r="G1079" s="969"/>
      <c r="H1079" s="930"/>
      <c r="I1079" s="970"/>
      <c r="J1079" s="930"/>
      <c r="K1079" s="931"/>
      <c r="L1079" s="971"/>
      <c r="M1079" s="954"/>
      <c r="N1079" s="954"/>
      <c r="O1079" s="954"/>
      <c r="P1079" s="954"/>
      <c r="Q1079" s="954"/>
      <c r="R1079" s="954"/>
      <c r="S1079" s="954"/>
      <c r="T1079" s="954"/>
      <c r="U1079" s="954"/>
    </row>
    <row r="1080" spans="1:21" s="933" customFormat="1" ht="24" customHeight="1">
      <c r="A1080" s="1026"/>
      <c r="B1080" s="1021"/>
      <c r="C1080" s="976"/>
      <c r="D1080" s="976"/>
      <c r="E1080" s="978"/>
      <c r="F1080" s="974"/>
      <c r="G1080" s="969"/>
      <c r="H1080" s="930"/>
      <c r="I1080" s="970"/>
      <c r="J1080" s="930"/>
      <c r="K1080" s="931"/>
      <c r="L1080" s="971"/>
      <c r="M1080" s="954"/>
      <c r="N1080" s="954"/>
      <c r="O1080" s="954"/>
      <c r="P1080" s="954"/>
      <c r="Q1080" s="954"/>
      <c r="R1080" s="954"/>
      <c r="S1080" s="954"/>
      <c r="T1080" s="954"/>
      <c r="U1080" s="954"/>
    </row>
    <row r="1081" spans="1:21" s="933" customFormat="1" ht="24" customHeight="1">
      <c r="A1081" s="1026"/>
      <c r="B1081" s="1021"/>
      <c r="C1081" s="976"/>
      <c r="D1081" s="976"/>
      <c r="E1081" s="978"/>
      <c r="F1081" s="974"/>
      <c r="G1081" s="969"/>
      <c r="H1081" s="930"/>
      <c r="I1081" s="970"/>
      <c r="J1081" s="930"/>
      <c r="K1081" s="931"/>
      <c r="L1081" s="971"/>
      <c r="M1081" s="954"/>
      <c r="N1081" s="954"/>
      <c r="O1081" s="954"/>
      <c r="P1081" s="954"/>
      <c r="Q1081" s="954"/>
      <c r="R1081" s="954"/>
      <c r="S1081" s="954"/>
      <c r="T1081" s="954"/>
      <c r="U1081" s="954"/>
    </row>
    <row r="1082" spans="1:21" s="933" customFormat="1" ht="24" customHeight="1">
      <c r="A1082" s="1026"/>
      <c r="B1082" s="1021"/>
      <c r="C1082" s="976"/>
      <c r="D1082" s="976"/>
      <c r="E1082" s="978"/>
      <c r="F1082" s="974"/>
      <c r="G1082" s="969"/>
      <c r="H1082" s="930"/>
      <c r="I1082" s="970"/>
      <c r="J1082" s="930"/>
      <c r="K1082" s="931"/>
      <c r="L1082" s="971"/>
      <c r="M1082" s="954"/>
      <c r="N1082" s="954"/>
      <c r="O1082" s="954"/>
      <c r="P1082" s="954"/>
      <c r="Q1082" s="954"/>
      <c r="R1082" s="954"/>
      <c r="S1082" s="954"/>
      <c r="T1082" s="954"/>
      <c r="U1082" s="954"/>
    </row>
    <row r="1083" spans="1:21" s="933" customFormat="1" ht="24" customHeight="1">
      <c r="A1083" s="1026"/>
      <c r="B1083" s="1021"/>
      <c r="C1083" s="976"/>
      <c r="D1083" s="976"/>
      <c r="E1083" s="978"/>
      <c r="F1083" s="974"/>
      <c r="G1083" s="969"/>
      <c r="H1083" s="930"/>
      <c r="I1083" s="970"/>
      <c r="J1083" s="930"/>
      <c r="K1083" s="931"/>
      <c r="L1083" s="971"/>
      <c r="M1083" s="954"/>
      <c r="N1083" s="954"/>
      <c r="O1083" s="954"/>
      <c r="P1083" s="954"/>
      <c r="Q1083" s="954"/>
      <c r="R1083" s="954"/>
      <c r="S1083" s="954"/>
      <c r="T1083" s="954"/>
      <c r="U1083" s="954"/>
    </row>
    <row r="1084" spans="1:21" s="933" customFormat="1" ht="24" customHeight="1">
      <c r="A1084" s="1026"/>
      <c r="B1084" s="1021"/>
      <c r="C1084" s="976"/>
      <c r="D1084" s="976"/>
      <c r="E1084" s="978"/>
      <c r="F1084" s="974"/>
      <c r="G1084" s="969"/>
      <c r="H1084" s="930"/>
      <c r="I1084" s="970"/>
      <c r="J1084" s="930"/>
      <c r="K1084" s="931"/>
      <c r="L1084" s="971"/>
      <c r="M1084" s="954"/>
      <c r="N1084" s="954"/>
      <c r="O1084" s="954"/>
      <c r="P1084" s="954"/>
      <c r="Q1084" s="954"/>
      <c r="R1084" s="954"/>
      <c r="S1084" s="954"/>
      <c r="T1084" s="954"/>
      <c r="U1084" s="954"/>
    </row>
    <row r="1085" spans="1:21" s="933" customFormat="1" ht="24" customHeight="1">
      <c r="A1085" s="1026"/>
      <c r="B1085" s="1021"/>
      <c r="C1085" s="976"/>
      <c r="D1085" s="976"/>
      <c r="E1085" s="978"/>
      <c r="F1085" s="974"/>
      <c r="G1085" s="969"/>
      <c r="H1085" s="930"/>
      <c r="I1085" s="970"/>
      <c r="J1085" s="930"/>
      <c r="K1085" s="931"/>
      <c r="L1085" s="971"/>
      <c r="M1085" s="954"/>
      <c r="N1085" s="954"/>
      <c r="O1085" s="954"/>
      <c r="P1085" s="954"/>
      <c r="Q1085" s="954"/>
      <c r="R1085" s="954"/>
      <c r="S1085" s="954"/>
      <c r="T1085" s="954"/>
      <c r="U1085" s="954"/>
    </row>
    <row r="1086" spans="1:21" s="933" customFormat="1" ht="24" customHeight="1">
      <c r="A1086" s="1026" t="s">
        <v>965</v>
      </c>
      <c r="B1086" s="1030" t="s">
        <v>966</v>
      </c>
      <c r="C1086" s="976"/>
      <c r="D1086" s="976"/>
      <c r="E1086" s="978"/>
      <c r="F1086" s="974"/>
      <c r="G1086" s="969"/>
      <c r="H1086" s="930"/>
      <c r="I1086" s="970"/>
      <c r="J1086" s="930"/>
      <c r="K1086" s="931"/>
      <c r="L1086" s="971"/>
      <c r="M1086" s="954"/>
      <c r="N1086" s="954"/>
      <c r="O1086" s="954"/>
      <c r="P1086" s="954"/>
      <c r="Q1086" s="954"/>
      <c r="R1086" s="954"/>
      <c r="S1086" s="954"/>
      <c r="T1086" s="954"/>
      <c r="U1086" s="954"/>
    </row>
    <row r="1087" spans="1:21" s="933" customFormat="1" ht="24" customHeight="1">
      <c r="A1087" s="1026"/>
      <c r="B1087" s="976" t="s">
        <v>864</v>
      </c>
      <c r="C1087" s="977"/>
      <c r="D1087" s="977"/>
      <c r="E1087" s="978">
        <v>17.1828</v>
      </c>
      <c r="F1087" s="974" t="s">
        <v>865</v>
      </c>
      <c r="G1087" s="969">
        <v>2516</v>
      </c>
      <c r="H1087" s="930">
        <f t="shared" ref="H1087:H1101" si="224">ROUND(E1087*G1087,2)</f>
        <v>43231.92</v>
      </c>
      <c r="I1087" s="970">
        <v>485</v>
      </c>
      <c r="J1087" s="930">
        <f t="shared" ref="J1087:J1101" si="225">ROUND(E1087*I1087,2)</f>
        <v>8333.66</v>
      </c>
      <c r="K1087" s="931">
        <f t="shared" ref="K1087:K1101" si="226">H1087+J1087</f>
        <v>51565.58</v>
      </c>
      <c r="L1087" s="971"/>
      <c r="M1087" s="954"/>
      <c r="N1087" s="954"/>
      <c r="O1087" s="954"/>
      <c r="P1087" s="954"/>
      <c r="Q1087" s="954"/>
      <c r="R1087" s="954"/>
      <c r="S1087" s="954"/>
      <c r="T1087" s="954"/>
      <c r="U1087" s="954"/>
    </row>
    <row r="1088" spans="1:21" s="933" customFormat="1" ht="24" customHeight="1">
      <c r="A1088" s="1026"/>
      <c r="B1088" s="979" t="s">
        <v>866</v>
      </c>
      <c r="C1088" s="976"/>
      <c r="D1088" s="976"/>
      <c r="E1088" s="978"/>
      <c r="F1088" s="974"/>
      <c r="G1088" s="969"/>
      <c r="H1088" s="930">
        <f t="shared" si="224"/>
        <v>0</v>
      </c>
      <c r="I1088" s="970"/>
      <c r="J1088" s="930">
        <f t="shared" si="225"/>
        <v>0</v>
      </c>
      <c r="K1088" s="931">
        <f t="shared" si="226"/>
        <v>0</v>
      </c>
      <c r="L1088" s="971"/>
      <c r="M1088" s="954"/>
      <c r="N1088" s="954"/>
      <c r="O1088" s="954"/>
      <c r="P1088" s="954"/>
      <c r="Q1088" s="954"/>
      <c r="R1088" s="954"/>
      <c r="S1088" s="954"/>
      <c r="T1088" s="954"/>
      <c r="U1088" s="954"/>
    </row>
    <row r="1089" spans="1:21" s="933" customFormat="1" ht="24" customHeight="1">
      <c r="A1089" s="1026"/>
      <c r="B1089" s="979"/>
      <c r="C1089" s="976" t="s">
        <v>867</v>
      </c>
      <c r="D1089" s="976"/>
      <c r="E1089" s="978">
        <f>E1090/2</f>
        <v>58.164000000000001</v>
      </c>
      <c r="F1089" s="974" t="s">
        <v>34</v>
      </c>
      <c r="G1089" s="969">
        <v>661.62</v>
      </c>
      <c r="H1089" s="930">
        <f t="shared" si="224"/>
        <v>38482.47</v>
      </c>
      <c r="I1089" s="970"/>
      <c r="J1089" s="930">
        <f t="shared" si="225"/>
        <v>0</v>
      </c>
      <c r="K1089" s="931">
        <f t="shared" si="226"/>
        <v>38482.47</v>
      </c>
      <c r="L1089" s="971"/>
      <c r="M1089" s="954"/>
      <c r="N1089" s="954"/>
      <c r="O1089" s="954"/>
      <c r="P1089" s="954"/>
      <c r="Q1089" s="954"/>
      <c r="R1089" s="954"/>
      <c r="S1089" s="954"/>
      <c r="T1089" s="954"/>
      <c r="U1089" s="954"/>
    </row>
    <row r="1090" spans="1:21" s="933" customFormat="1" ht="24" customHeight="1">
      <c r="A1090" s="1026"/>
      <c r="B1090" s="979"/>
      <c r="C1090" s="976" t="s">
        <v>868</v>
      </c>
      <c r="D1090" s="976"/>
      <c r="E1090" s="978">
        <v>116.328</v>
      </c>
      <c r="F1090" s="974" t="s">
        <v>34</v>
      </c>
      <c r="G1090" s="969"/>
      <c r="H1090" s="930">
        <f t="shared" si="224"/>
        <v>0</v>
      </c>
      <c r="I1090" s="970">
        <v>154</v>
      </c>
      <c r="J1090" s="930">
        <f t="shared" si="225"/>
        <v>17914.509999999998</v>
      </c>
      <c r="K1090" s="931">
        <f t="shared" si="226"/>
        <v>17914.509999999998</v>
      </c>
      <c r="L1090" s="971"/>
      <c r="M1090" s="954"/>
      <c r="N1090" s="954"/>
      <c r="O1090" s="954"/>
      <c r="P1090" s="954"/>
      <c r="Q1090" s="954"/>
      <c r="R1090" s="954"/>
      <c r="S1090" s="954"/>
      <c r="T1090" s="954"/>
      <c r="U1090" s="954"/>
    </row>
    <row r="1091" spans="1:21" s="933" customFormat="1" ht="24" customHeight="1">
      <c r="A1091" s="1026"/>
      <c r="B1091" s="976" t="s">
        <v>869</v>
      </c>
      <c r="C1091" s="976"/>
      <c r="D1091" s="976"/>
      <c r="E1091" s="978">
        <f>(E1090*0.25)</f>
        <v>29.082000000000001</v>
      </c>
      <c r="F1091" s="974" t="s">
        <v>870</v>
      </c>
      <c r="G1091" s="969">
        <f t="shared" ref="G1091" si="227">VLOOKUP(B1091,$O$43:$P$53,2,FALSE)</f>
        <v>29.94</v>
      </c>
      <c r="H1091" s="930">
        <f t="shared" si="224"/>
        <v>870.72</v>
      </c>
      <c r="I1091" s="970"/>
      <c r="J1091" s="930">
        <f t="shared" si="225"/>
        <v>0</v>
      </c>
      <c r="K1091" s="931">
        <f t="shared" si="226"/>
        <v>870.72</v>
      </c>
      <c r="L1091" s="971"/>
      <c r="M1091" s="954"/>
      <c r="N1091" s="954"/>
      <c r="O1091" s="954"/>
      <c r="P1091" s="954"/>
      <c r="Q1091" s="954"/>
      <c r="R1091" s="954"/>
      <c r="S1091" s="954"/>
      <c r="T1091" s="954"/>
      <c r="U1091" s="954"/>
    </row>
    <row r="1092" spans="1:21" s="933" customFormat="1" ht="24" customHeight="1">
      <c r="A1092" s="1026"/>
      <c r="B1092" s="976" t="s">
        <v>871</v>
      </c>
      <c r="C1092" s="976"/>
      <c r="D1092" s="976"/>
      <c r="E1092" s="978"/>
      <c r="F1092" s="982"/>
      <c r="G1092" s="983"/>
      <c r="H1092" s="930">
        <f t="shared" si="224"/>
        <v>0</v>
      </c>
      <c r="I1092" s="970"/>
      <c r="J1092" s="930">
        <f t="shared" si="225"/>
        <v>0</v>
      </c>
      <c r="K1092" s="931">
        <f t="shared" si="226"/>
        <v>0</v>
      </c>
      <c r="L1092" s="971"/>
      <c r="M1092" s="954"/>
      <c r="N1092" s="954"/>
      <c r="O1092" s="954"/>
      <c r="P1092" s="954"/>
      <c r="Q1092" s="954"/>
      <c r="R1092" s="954"/>
      <c r="S1092" s="954"/>
      <c r="T1092" s="954"/>
      <c r="U1092" s="954"/>
    </row>
    <row r="1093" spans="1:21" s="933" customFormat="1" ht="24" customHeight="1">
      <c r="A1093" s="1026"/>
      <c r="B1093" s="976" t="s">
        <v>872</v>
      </c>
      <c r="C1093" s="976"/>
      <c r="D1093" s="976"/>
      <c r="E1093" s="978"/>
      <c r="F1093" s="974" t="s">
        <v>870</v>
      </c>
      <c r="G1093" s="969">
        <f t="shared" ref="G1093:G1101" si="228">VLOOKUP(B1093,$O$43:$P$53,2,FALSE)</f>
        <v>25.73</v>
      </c>
      <c r="H1093" s="930">
        <f t="shared" si="224"/>
        <v>0</v>
      </c>
      <c r="I1093" s="984">
        <v>4.0999999999999996</v>
      </c>
      <c r="J1093" s="930">
        <f t="shared" si="225"/>
        <v>0</v>
      </c>
      <c r="K1093" s="931">
        <f t="shared" si="226"/>
        <v>0</v>
      </c>
      <c r="L1093" s="971"/>
      <c r="M1093" s="954"/>
      <c r="N1093" s="954"/>
      <c r="O1093" s="954"/>
      <c r="P1093" s="954"/>
      <c r="Q1093" s="954"/>
      <c r="R1093" s="954"/>
      <c r="S1093" s="954"/>
      <c r="T1093" s="954"/>
      <c r="U1093" s="954"/>
    </row>
    <row r="1094" spans="1:21" s="933" customFormat="1" ht="24" customHeight="1">
      <c r="A1094" s="1026"/>
      <c r="B1094" s="976" t="s">
        <v>873</v>
      </c>
      <c r="C1094" s="976"/>
      <c r="D1094" s="976"/>
      <c r="E1094" s="978">
        <v>884.53</v>
      </c>
      <c r="F1094" s="974" t="s">
        <v>870</v>
      </c>
      <c r="G1094" s="969">
        <f t="shared" si="228"/>
        <v>24.97</v>
      </c>
      <c r="H1094" s="930">
        <f t="shared" si="224"/>
        <v>22086.71</v>
      </c>
      <c r="I1094" s="970">
        <v>4.0999999999999996</v>
      </c>
      <c r="J1094" s="930">
        <f t="shared" si="225"/>
        <v>3626.57</v>
      </c>
      <c r="K1094" s="931">
        <f t="shared" si="226"/>
        <v>25713.279999999999</v>
      </c>
      <c r="L1094" s="971"/>
      <c r="M1094" s="954"/>
      <c r="N1094" s="954"/>
      <c r="O1094" s="954"/>
      <c r="P1094" s="954"/>
      <c r="Q1094" s="954"/>
      <c r="R1094" s="954"/>
      <c r="S1094" s="954"/>
      <c r="T1094" s="954"/>
      <c r="U1094" s="954"/>
    </row>
    <row r="1095" spans="1:21" s="933" customFormat="1" ht="24" customHeight="1">
      <c r="A1095" s="1026"/>
      <c r="B1095" s="976" t="s">
        <v>874</v>
      </c>
      <c r="C1095" s="976"/>
      <c r="D1095" s="976"/>
      <c r="E1095" s="978">
        <v>1011.72</v>
      </c>
      <c r="F1095" s="974" t="s">
        <v>870</v>
      </c>
      <c r="G1095" s="969">
        <f t="shared" si="228"/>
        <v>24.47</v>
      </c>
      <c r="H1095" s="930">
        <f t="shared" si="224"/>
        <v>24756.79</v>
      </c>
      <c r="I1095" s="970">
        <v>3.3</v>
      </c>
      <c r="J1095" s="930">
        <f t="shared" si="225"/>
        <v>3338.68</v>
      </c>
      <c r="K1095" s="931">
        <f t="shared" si="226"/>
        <v>28095.47</v>
      </c>
      <c r="L1095" s="971"/>
      <c r="M1095" s="954"/>
      <c r="N1095" s="954"/>
      <c r="O1095" s="954"/>
      <c r="P1095" s="954"/>
      <c r="Q1095" s="954"/>
      <c r="R1095" s="954"/>
      <c r="S1095" s="954"/>
      <c r="T1095" s="954"/>
      <c r="U1095" s="954"/>
    </row>
    <row r="1096" spans="1:21" s="933" customFormat="1" ht="24" customHeight="1">
      <c r="A1096" s="1026"/>
      <c r="B1096" s="976" t="s">
        <v>875</v>
      </c>
      <c r="C1096" s="976"/>
      <c r="D1096" s="976"/>
      <c r="E1096" s="978">
        <v>584.02</v>
      </c>
      <c r="F1096" s="982" t="s">
        <v>870</v>
      </c>
      <c r="G1096" s="969">
        <f t="shared" si="228"/>
        <v>24.27</v>
      </c>
      <c r="H1096" s="930">
        <f t="shared" si="224"/>
        <v>14174.17</v>
      </c>
      <c r="I1096" s="970">
        <v>3.3</v>
      </c>
      <c r="J1096" s="930">
        <f t="shared" si="225"/>
        <v>1927.27</v>
      </c>
      <c r="K1096" s="931">
        <f t="shared" si="226"/>
        <v>16101.44</v>
      </c>
      <c r="L1096" s="971"/>
      <c r="M1096" s="954"/>
      <c r="N1096" s="954"/>
      <c r="O1096" s="954"/>
      <c r="P1096" s="954"/>
      <c r="Q1096" s="954"/>
      <c r="R1096" s="954"/>
      <c r="S1096" s="954"/>
      <c r="T1096" s="954"/>
      <c r="U1096" s="954"/>
    </row>
    <row r="1097" spans="1:21" s="933" customFormat="1" ht="24" customHeight="1">
      <c r="A1097" s="1026"/>
      <c r="B1097" s="976" t="s">
        <v>876</v>
      </c>
      <c r="C1097" s="976"/>
      <c r="D1097" s="976"/>
      <c r="E1097" s="978"/>
      <c r="F1097" s="974" t="s">
        <v>870</v>
      </c>
      <c r="G1097" s="969">
        <f t="shared" si="228"/>
        <v>24.27</v>
      </c>
      <c r="H1097" s="930">
        <f t="shared" si="224"/>
        <v>0</v>
      </c>
      <c r="I1097" s="970">
        <v>2.9</v>
      </c>
      <c r="J1097" s="930">
        <f t="shared" si="225"/>
        <v>0</v>
      </c>
      <c r="K1097" s="931">
        <f t="shared" si="226"/>
        <v>0</v>
      </c>
      <c r="L1097" s="971"/>
      <c r="M1097" s="954"/>
      <c r="N1097" s="954"/>
      <c r="O1097" s="954"/>
      <c r="P1097" s="954"/>
      <c r="Q1097" s="954"/>
      <c r="R1097" s="954"/>
      <c r="S1097" s="954"/>
      <c r="T1097" s="954"/>
      <c r="U1097" s="954"/>
    </row>
    <row r="1098" spans="1:21" s="933" customFormat="1" ht="24" customHeight="1">
      <c r="A1098" s="1026"/>
      <c r="B1098" s="976" t="s">
        <v>877</v>
      </c>
      <c r="C1098" s="976"/>
      <c r="D1098" s="976"/>
      <c r="E1098" s="978"/>
      <c r="F1098" s="974" t="s">
        <v>870</v>
      </c>
      <c r="G1098" s="969">
        <f t="shared" si="228"/>
        <v>24.27</v>
      </c>
      <c r="H1098" s="930">
        <f t="shared" si="224"/>
        <v>0</v>
      </c>
      <c r="I1098" s="970">
        <v>2.9</v>
      </c>
      <c r="J1098" s="930">
        <f t="shared" si="225"/>
        <v>0</v>
      </c>
      <c r="K1098" s="931">
        <f t="shared" si="226"/>
        <v>0</v>
      </c>
      <c r="L1098" s="971"/>
      <c r="M1098" s="954"/>
      <c r="N1098" s="954"/>
      <c r="O1098" s="954"/>
      <c r="P1098" s="954"/>
      <c r="Q1098" s="954"/>
      <c r="R1098" s="954"/>
      <c r="S1098" s="954"/>
      <c r="T1098" s="954"/>
      <c r="U1098" s="954"/>
    </row>
    <row r="1099" spans="1:21" s="933" customFormat="1" ht="24" customHeight="1">
      <c r="A1099" s="1026"/>
      <c r="B1099" s="976" t="s">
        <v>878</v>
      </c>
      <c r="C1099" s="976"/>
      <c r="D1099" s="976"/>
      <c r="E1099" s="978"/>
      <c r="F1099" s="974" t="s">
        <v>870</v>
      </c>
      <c r="G1099" s="969">
        <f t="shared" si="228"/>
        <v>24.27</v>
      </c>
      <c r="H1099" s="930">
        <f t="shared" si="224"/>
        <v>0</v>
      </c>
      <c r="I1099" s="970">
        <v>2.9</v>
      </c>
      <c r="J1099" s="930">
        <f t="shared" si="225"/>
        <v>0</v>
      </c>
      <c r="K1099" s="931">
        <f t="shared" si="226"/>
        <v>0</v>
      </c>
      <c r="L1099" s="971"/>
      <c r="M1099" s="954"/>
      <c r="N1099" s="954"/>
      <c r="O1099" s="954"/>
      <c r="P1099" s="954"/>
      <c r="Q1099" s="954"/>
      <c r="R1099" s="954"/>
      <c r="S1099" s="954"/>
      <c r="T1099" s="954"/>
      <c r="U1099" s="954"/>
    </row>
    <row r="1100" spans="1:21" s="933" customFormat="1" ht="24" customHeight="1">
      <c r="A1100" s="1026"/>
      <c r="B1100" s="976" t="s">
        <v>879</v>
      </c>
      <c r="C1100" s="976"/>
      <c r="D1100" s="976"/>
      <c r="E1100" s="978"/>
      <c r="F1100" s="974" t="s">
        <v>870</v>
      </c>
      <c r="G1100" s="969">
        <f t="shared" si="228"/>
        <v>23.8</v>
      </c>
      <c r="H1100" s="930">
        <f t="shared" si="224"/>
        <v>0</v>
      </c>
      <c r="I1100" s="970">
        <v>2.9</v>
      </c>
      <c r="J1100" s="930">
        <f t="shared" si="225"/>
        <v>0</v>
      </c>
      <c r="K1100" s="931">
        <f t="shared" si="226"/>
        <v>0</v>
      </c>
      <c r="L1100" s="971"/>
      <c r="M1100" s="954"/>
      <c r="N1100" s="954"/>
      <c r="O1100" s="954"/>
      <c r="P1100" s="954"/>
      <c r="Q1100" s="954"/>
      <c r="R1100" s="954"/>
      <c r="S1100" s="954"/>
      <c r="T1100" s="954"/>
      <c r="U1100" s="954"/>
    </row>
    <row r="1101" spans="1:21" s="933" customFormat="1" ht="24" customHeight="1">
      <c r="A1101" s="1026"/>
      <c r="B1101" s="976" t="s">
        <v>880</v>
      </c>
      <c r="C1101" s="976"/>
      <c r="D1101" s="976"/>
      <c r="E1101" s="978">
        <f>(SUM(E1093:E1100)/1000)*30</f>
        <v>74.408100000000005</v>
      </c>
      <c r="F1101" s="974" t="s">
        <v>870</v>
      </c>
      <c r="G1101" s="969">
        <f t="shared" si="228"/>
        <v>29.92</v>
      </c>
      <c r="H1101" s="930">
        <f t="shared" si="224"/>
        <v>2226.29</v>
      </c>
      <c r="I1101" s="970"/>
      <c r="J1101" s="930">
        <f t="shared" si="225"/>
        <v>0</v>
      </c>
      <c r="K1101" s="931">
        <f t="shared" si="226"/>
        <v>2226.29</v>
      </c>
      <c r="L1101" s="971"/>
      <c r="M1101" s="954"/>
      <c r="N1101" s="954"/>
      <c r="O1101" s="954"/>
      <c r="P1101" s="954"/>
      <c r="Q1101" s="954"/>
      <c r="R1101" s="954"/>
      <c r="S1101" s="954"/>
      <c r="T1101" s="954"/>
      <c r="U1101" s="954"/>
    </row>
    <row r="1102" spans="1:21" s="933" customFormat="1" ht="24" customHeight="1">
      <c r="A1102" s="1026"/>
      <c r="B1102" s="976" t="s">
        <v>881</v>
      </c>
      <c r="C1102" s="976"/>
      <c r="D1102" s="976"/>
      <c r="E1102" s="978"/>
      <c r="F1102" s="974"/>
      <c r="G1102" s="969"/>
      <c r="H1102" s="930"/>
      <c r="I1102" s="970"/>
      <c r="J1102" s="930"/>
      <c r="K1102" s="931"/>
      <c r="L1102" s="971"/>
      <c r="M1102" s="954"/>
      <c r="N1102" s="954"/>
      <c r="O1102" s="954"/>
      <c r="P1102" s="954"/>
      <c r="Q1102" s="954"/>
      <c r="R1102" s="954"/>
      <c r="S1102" s="954"/>
      <c r="T1102" s="954"/>
      <c r="U1102" s="954"/>
    </row>
    <row r="1103" spans="1:21" s="933" customFormat="1" ht="24" customHeight="1">
      <c r="A1103" s="1026"/>
      <c r="B1103" s="976"/>
      <c r="C1103" s="976"/>
      <c r="D1103" s="976"/>
      <c r="E1103" s="978"/>
      <c r="F1103" s="974"/>
      <c r="G1103" s="969"/>
      <c r="H1103" s="930"/>
      <c r="I1103" s="970"/>
      <c r="J1103" s="930"/>
      <c r="K1103" s="931"/>
      <c r="L1103" s="971"/>
      <c r="M1103" s="954"/>
      <c r="N1103" s="954"/>
      <c r="O1103" s="954"/>
      <c r="P1103" s="954"/>
      <c r="Q1103" s="954"/>
      <c r="R1103" s="954"/>
      <c r="S1103" s="954"/>
      <c r="T1103" s="954"/>
      <c r="U1103" s="954"/>
    </row>
    <row r="1104" spans="1:21" s="933" customFormat="1" ht="24" customHeight="1">
      <c r="A1104" s="1026"/>
      <c r="B1104" s="1021"/>
      <c r="C1104" s="976"/>
      <c r="D1104" s="976"/>
      <c r="E1104" s="978"/>
      <c r="F1104" s="974"/>
      <c r="G1104" s="969"/>
      <c r="H1104" s="930"/>
      <c r="I1104" s="970"/>
      <c r="J1104" s="930"/>
      <c r="K1104" s="931"/>
      <c r="L1104" s="971"/>
      <c r="M1104" s="954"/>
      <c r="N1104" s="954"/>
      <c r="O1104" s="954"/>
      <c r="P1104" s="954"/>
      <c r="Q1104" s="954"/>
      <c r="R1104" s="954"/>
      <c r="S1104" s="954"/>
      <c r="T1104" s="954"/>
      <c r="U1104" s="954"/>
    </row>
    <row r="1105" spans="1:21" s="933" customFormat="1" ht="24" customHeight="1">
      <c r="A1105" s="1026"/>
      <c r="B1105" s="1021"/>
      <c r="C1105" s="976"/>
      <c r="D1105" s="976"/>
      <c r="E1105" s="978"/>
      <c r="F1105" s="974"/>
      <c r="G1105" s="969"/>
      <c r="H1105" s="930"/>
      <c r="I1105" s="970"/>
      <c r="J1105" s="930"/>
      <c r="K1105" s="931"/>
      <c r="L1105" s="971"/>
      <c r="M1105" s="954"/>
      <c r="N1105" s="954"/>
      <c r="O1105" s="954"/>
      <c r="P1105" s="954"/>
      <c r="Q1105" s="954"/>
      <c r="R1105" s="954"/>
      <c r="S1105" s="954"/>
      <c r="T1105" s="954"/>
      <c r="U1105" s="954"/>
    </row>
    <row r="1106" spans="1:21" s="933" customFormat="1" ht="24" customHeight="1">
      <c r="A1106" s="1026"/>
      <c r="B1106" s="1021"/>
      <c r="C1106" s="976"/>
      <c r="D1106" s="976"/>
      <c r="E1106" s="978"/>
      <c r="F1106" s="974"/>
      <c r="G1106" s="969"/>
      <c r="H1106" s="930"/>
      <c r="I1106" s="970"/>
      <c r="J1106" s="930"/>
      <c r="K1106" s="931"/>
      <c r="L1106" s="971"/>
      <c r="M1106" s="954"/>
      <c r="N1106" s="954"/>
      <c r="O1106" s="954"/>
      <c r="P1106" s="954"/>
      <c r="Q1106" s="954"/>
      <c r="R1106" s="954"/>
      <c r="S1106" s="954"/>
      <c r="T1106" s="954"/>
      <c r="U1106" s="954"/>
    </row>
    <row r="1107" spans="1:21" s="933" customFormat="1" ht="24" customHeight="1">
      <c r="A1107" s="1026"/>
      <c r="B1107" s="1021"/>
      <c r="C1107" s="976"/>
      <c r="D1107" s="976"/>
      <c r="E1107" s="978"/>
      <c r="F1107" s="974"/>
      <c r="G1107" s="969"/>
      <c r="H1107" s="930"/>
      <c r="I1107" s="970"/>
      <c r="J1107" s="930"/>
      <c r="K1107" s="931"/>
      <c r="L1107" s="971"/>
      <c r="M1107" s="954"/>
      <c r="N1107" s="954"/>
      <c r="O1107" s="954"/>
      <c r="P1107" s="954"/>
      <c r="Q1107" s="954"/>
      <c r="R1107" s="954"/>
      <c r="S1107" s="954"/>
      <c r="T1107" s="954"/>
      <c r="U1107" s="954"/>
    </row>
    <row r="1108" spans="1:21" s="933" customFormat="1" ht="24" customHeight="1">
      <c r="A1108" s="1026"/>
      <c r="B1108" s="1021"/>
      <c r="C1108" s="976"/>
      <c r="D1108" s="976"/>
      <c r="E1108" s="978"/>
      <c r="F1108" s="974"/>
      <c r="G1108" s="969"/>
      <c r="H1108" s="930"/>
      <c r="I1108" s="970"/>
      <c r="J1108" s="930"/>
      <c r="K1108" s="931"/>
      <c r="L1108" s="971"/>
      <c r="M1108" s="954"/>
      <c r="N1108" s="954"/>
      <c r="O1108" s="954"/>
      <c r="P1108" s="954"/>
      <c r="Q1108" s="954"/>
      <c r="R1108" s="954"/>
      <c r="S1108" s="954"/>
      <c r="T1108" s="954"/>
      <c r="U1108" s="954"/>
    </row>
    <row r="1109" spans="1:21" s="933" customFormat="1" ht="24" customHeight="1">
      <c r="A1109" s="956"/>
      <c r="B1109" s="1021"/>
      <c r="C1109" s="987"/>
      <c r="D1109" s="987"/>
      <c r="E1109" s="978"/>
      <c r="F1109" s="989"/>
      <c r="G1109" s="983"/>
      <c r="H1109" s="990"/>
      <c r="I1109" s="984"/>
      <c r="J1109" s="990"/>
      <c r="K1109" s="991"/>
      <c r="L1109" s="992"/>
      <c r="M1109" s="954"/>
      <c r="N1109" s="954"/>
      <c r="O1109" s="954"/>
      <c r="P1109" s="954"/>
      <c r="Q1109" s="954"/>
      <c r="R1109" s="954"/>
      <c r="S1109" s="954"/>
      <c r="T1109" s="954"/>
      <c r="U1109" s="954"/>
    </row>
    <row r="1110" spans="1:21" s="933" customFormat="1" ht="24" customHeight="1">
      <c r="A1110" s="1014"/>
      <c r="B1110" s="2226" t="str">
        <f>"รวมราคารายการที่ "&amp;A986</f>
        <v>รวมราคารายการที่ 1.9</v>
      </c>
      <c r="C1110" s="2226"/>
      <c r="D1110" s="2226"/>
      <c r="E1110" s="1015"/>
      <c r="F1110" s="1016"/>
      <c r="G1110" s="1017"/>
      <c r="H1110" s="1018">
        <f>ROUND(SUBTOTAL(9,H989:H1109),2)</f>
        <v>15605913.140000001</v>
      </c>
      <c r="I1110" s="1019"/>
      <c r="J1110" s="1018">
        <f>ROUND(SUBTOTAL(9,J989:J1109),2)</f>
        <v>3118882.49</v>
      </c>
      <c r="K1110" s="1018">
        <f>ROUND(SUBTOTAL(9,K989:K1109),2)</f>
        <v>18724795.629999999</v>
      </c>
      <c r="L1110" s="1018"/>
      <c r="M1110" s="954"/>
      <c r="N1110" s="954"/>
      <c r="O1110" s="954"/>
      <c r="P1110" s="954"/>
      <c r="Q1110" s="954"/>
      <c r="R1110" s="954"/>
      <c r="S1110" s="954"/>
      <c r="T1110" s="954"/>
      <c r="U1110" s="954"/>
    </row>
    <row r="1111" spans="1:21" s="933" customFormat="1" ht="24" customHeight="1">
      <c r="A1111" s="1032" t="s">
        <v>967</v>
      </c>
      <c r="B1111" s="957" t="s">
        <v>968</v>
      </c>
      <c r="C1111" s="987"/>
      <c r="D1111" s="987"/>
      <c r="E1111" s="978"/>
      <c r="F1111" s="989"/>
      <c r="G1111" s="983"/>
      <c r="H1111" s="990"/>
      <c r="I1111" s="984"/>
      <c r="J1111" s="990"/>
      <c r="K1111" s="991"/>
      <c r="L1111" s="992"/>
      <c r="M1111" s="954"/>
      <c r="N1111" s="954"/>
      <c r="O1111" s="954"/>
      <c r="P1111" s="954"/>
      <c r="Q1111" s="954"/>
      <c r="R1111" s="954"/>
      <c r="S1111" s="954"/>
      <c r="T1111" s="954"/>
      <c r="U1111" s="954"/>
    </row>
    <row r="1112" spans="1:21" s="933" customFormat="1" ht="24" customHeight="1">
      <c r="A1112" s="1026"/>
      <c r="B1112" s="966"/>
      <c r="C1112" s="976"/>
      <c r="D1112" s="976"/>
      <c r="E1112" s="978"/>
      <c r="F1112" s="974"/>
      <c r="G1112" s="969"/>
      <c r="H1112" s="930"/>
      <c r="I1112" s="970"/>
      <c r="J1112" s="930"/>
      <c r="K1112" s="931"/>
      <c r="L1112" s="971"/>
      <c r="M1112" s="954"/>
      <c r="N1112" s="954"/>
      <c r="O1112" s="954"/>
      <c r="P1112" s="954"/>
      <c r="Q1112" s="954"/>
      <c r="R1112" s="954"/>
      <c r="S1112" s="954"/>
      <c r="T1112" s="954"/>
      <c r="U1112" s="954"/>
    </row>
    <row r="1113" spans="1:21" s="933" customFormat="1" ht="24" customHeight="1">
      <c r="A1113" s="1026" t="s">
        <v>969</v>
      </c>
      <c r="B1113" s="1030" t="s">
        <v>970</v>
      </c>
      <c r="C1113" s="976"/>
      <c r="D1113" s="976"/>
      <c r="E1113" s="978"/>
      <c r="F1113" s="974"/>
      <c r="G1113" s="969"/>
      <c r="H1113" s="930"/>
      <c r="I1113" s="970"/>
      <c r="J1113" s="930"/>
      <c r="K1113" s="931"/>
      <c r="L1113" s="971"/>
      <c r="M1113" s="954"/>
      <c r="N1113" s="954"/>
      <c r="O1113" s="954"/>
      <c r="P1113" s="954"/>
      <c r="Q1113" s="954"/>
      <c r="R1113" s="954"/>
      <c r="S1113" s="954"/>
      <c r="T1113" s="954"/>
      <c r="U1113" s="954"/>
    </row>
    <row r="1114" spans="1:21" s="933" customFormat="1" ht="24" customHeight="1">
      <c r="A1114" s="1026"/>
      <c r="B1114" s="976" t="s">
        <v>864</v>
      </c>
      <c r="C1114" s="977"/>
      <c r="D1114" s="977"/>
      <c r="E1114" s="978">
        <v>1403.06</v>
      </c>
      <c r="F1114" s="974" t="s">
        <v>865</v>
      </c>
      <c r="G1114" s="969">
        <v>2516</v>
      </c>
      <c r="H1114" s="930">
        <f t="shared" ref="H1114:H1129" si="229">ROUND(E1114*G1114,2)</f>
        <v>3530098.96</v>
      </c>
      <c r="I1114" s="970">
        <v>485</v>
      </c>
      <c r="J1114" s="930">
        <f t="shared" ref="J1114:J1129" si="230">ROUND(E1114*I1114,2)</f>
        <v>680484.1</v>
      </c>
      <c r="K1114" s="931">
        <f t="shared" ref="K1114:K1129" si="231">H1114+J1114</f>
        <v>4210583.0599999996</v>
      </c>
      <c r="L1114" s="971"/>
      <c r="M1114" s="954"/>
      <c r="N1114" s="954"/>
      <c r="O1114" s="954"/>
      <c r="P1114" s="954"/>
      <c r="Q1114" s="954"/>
      <c r="R1114" s="954"/>
      <c r="S1114" s="954"/>
      <c r="T1114" s="954"/>
      <c r="U1114" s="954"/>
    </row>
    <row r="1115" spans="1:21" s="933" customFormat="1" ht="24" customHeight="1">
      <c r="A1115" s="1026"/>
      <c r="B1115" s="979" t="s">
        <v>866</v>
      </c>
      <c r="C1115" s="976"/>
      <c r="D1115" s="976"/>
      <c r="E1115" s="978"/>
      <c r="F1115" s="974"/>
      <c r="G1115" s="969"/>
      <c r="H1115" s="930">
        <f t="shared" si="229"/>
        <v>0</v>
      </c>
      <c r="I1115" s="970"/>
      <c r="J1115" s="930">
        <f t="shared" si="230"/>
        <v>0</v>
      </c>
      <c r="K1115" s="931">
        <f t="shared" si="231"/>
        <v>0</v>
      </c>
      <c r="L1115" s="971"/>
      <c r="M1115" s="954"/>
      <c r="N1115" s="954"/>
      <c r="O1115" s="954"/>
      <c r="P1115" s="954"/>
      <c r="Q1115" s="954"/>
      <c r="R1115" s="954"/>
      <c r="S1115" s="954"/>
      <c r="T1115" s="954"/>
      <c r="U1115" s="954"/>
    </row>
    <row r="1116" spans="1:21" s="933" customFormat="1" ht="24" customHeight="1">
      <c r="A1116" s="1026"/>
      <c r="B1116" s="979"/>
      <c r="C1116" s="976" t="s">
        <v>867</v>
      </c>
      <c r="D1116" s="976"/>
      <c r="E1116" s="978">
        <f>E1117/2</f>
        <v>3144.2849999999999</v>
      </c>
      <c r="F1116" s="974" t="s">
        <v>34</v>
      </c>
      <c r="G1116" s="969">
        <v>661.62</v>
      </c>
      <c r="H1116" s="930">
        <f t="shared" si="229"/>
        <v>2080321.84</v>
      </c>
      <c r="I1116" s="970"/>
      <c r="J1116" s="930">
        <f t="shared" si="230"/>
        <v>0</v>
      </c>
      <c r="K1116" s="931">
        <f t="shared" si="231"/>
        <v>2080321.84</v>
      </c>
      <c r="L1116" s="971"/>
      <c r="M1116" s="954"/>
      <c r="N1116" s="954"/>
      <c r="O1116" s="954"/>
      <c r="P1116" s="954"/>
      <c r="Q1116" s="954"/>
      <c r="R1116" s="954"/>
      <c r="S1116" s="954"/>
      <c r="T1116" s="954"/>
      <c r="U1116" s="954"/>
    </row>
    <row r="1117" spans="1:21" s="933" customFormat="1" ht="24" customHeight="1">
      <c r="A1117" s="1026"/>
      <c r="B1117" s="979"/>
      <c r="C1117" s="976" t="s">
        <v>868</v>
      </c>
      <c r="D1117" s="976"/>
      <c r="E1117" s="978">
        <v>6288.57</v>
      </c>
      <c r="F1117" s="974" t="s">
        <v>34</v>
      </c>
      <c r="G1117" s="969"/>
      <c r="H1117" s="930">
        <f t="shared" si="229"/>
        <v>0</v>
      </c>
      <c r="I1117" s="970">
        <v>154</v>
      </c>
      <c r="J1117" s="930">
        <f t="shared" si="230"/>
        <v>968439.78</v>
      </c>
      <c r="K1117" s="931">
        <f t="shared" si="231"/>
        <v>968439.78</v>
      </c>
      <c r="L1117" s="971"/>
      <c r="M1117" s="954"/>
      <c r="N1117" s="954"/>
      <c r="O1117" s="954"/>
      <c r="P1117" s="954"/>
      <c r="Q1117" s="954"/>
      <c r="R1117" s="954"/>
      <c r="S1117" s="954"/>
      <c r="T1117" s="954"/>
      <c r="U1117" s="954"/>
    </row>
    <row r="1118" spans="1:21" s="933" customFormat="1" ht="24" customHeight="1">
      <c r="A1118" s="1026"/>
      <c r="B1118" s="976" t="s">
        <v>869</v>
      </c>
      <c r="C1118" s="976"/>
      <c r="D1118" s="976"/>
      <c r="E1118" s="978">
        <f>(E1117*0.25)</f>
        <v>1572.1424999999999</v>
      </c>
      <c r="F1118" s="974" t="s">
        <v>870</v>
      </c>
      <c r="G1118" s="969">
        <f t="shared" ref="G1118" si="232">VLOOKUP(B1118,$O$43:$P$53,2,FALSE)</f>
        <v>29.94</v>
      </c>
      <c r="H1118" s="930">
        <f t="shared" si="229"/>
        <v>47069.95</v>
      </c>
      <c r="I1118" s="970"/>
      <c r="J1118" s="930">
        <f t="shared" si="230"/>
        <v>0</v>
      </c>
      <c r="K1118" s="931">
        <f t="shared" si="231"/>
        <v>47069.95</v>
      </c>
      <c r="L1118" s="971"/>
      <c r="M1118" s="954"/>
      <c r="N1118" s="954"/>
      <c r="O1118" s="954"/>
      <c r="P1118" s="954"/>
      <c r="Q1118" s="954"/>
      <c r="R1118" s="954"/>
      <c r="S1118" s="954"/>
      <c r="T1118" s="954"/>
      <c r="U1118" s="954"/>
    </row>
    <row r="1119" spans="1:21" s="933" customFormat="1" ht="24" customHeight="1">
      <c r="A1119" s="1026"/>
      <c r="B1119" s="976" t="s">
        <v>871</v>
      </c>
      <c r="C1119" s="976"/>
      <c r="D1119" s="976"/>
      <c r="E1119" s="978"/>
      <c r="F1119" s="982"/>
      <c r="G1119" s="983"/>
      <c r="H1119" s="930">
        <f t="shared" si="229"/>
        <v>0</v>
      </c>
      <c r="I1119" s="970"/>
      <c r="J1119" s="930">
        <f t="shared" si="230"/>
        <v>0</v>
      </c>
      <c r="K1119" s="931">
        <f t="shared" si="231"/>
        <v>0</v>
      </c>
      <c r="L1119" s="971"/>
      <c r="M1119" s="954"/>
      <c r="N1119" s="954"/>
      <c r="O1119" s="954"/>
      <c r="P1119" s="954"/>
      <c r="Q1119" s="954"/>
      <c r="R1119" s="954"/>
      <c r="S1119" s="954"/>
      <c r="T1119" s="954"/>
      <c r="U1119" s="954"/>
    </row>
    <row r="1120" spans="1:21" s="933" customFormat="1" ht="24" customHeight="1">
      <c r="A1120" s="1026"/>
      <c r="B1120" s="976" t="s">
        <v>872</v>
      </c>
      <c r="C1120" s="976"/>
      <c r="D1120" s="976"/>
      <c r="E1120" s="978"/>
      <c r="F1120" s="974" t="s">
        <v>870</v>
      </c>
      <c r="G1120" s="969">
        <f t="shared" ref="G1120:G1128" si="233">VLOOKUP(B1120,$O$43:$P$53,2,FALSE)</f>
        <v>25.73</v>
      </c>
      <c r="H1120" s="930">
        <f t="shared" si="229"/>
        <v>0</v>
      </c>
      <c r="I1120" s="984">
        <v>4.0999999999999996</v>
      </c>
      <c r="J1120" s="930">
        <f t="shared" si="230"/>
        <v>0</v>
      </c>
      <c r="K1120" s="931">
        <f t="shared" si="231"/>
        <v>0</v>
      </c>
      <c r="L1120" s="971"/>
      <c r="M1120" s="954"/>
      <c r="N1120" s="954"/>
      <c r="O1120" s="954"/>
      <c r="P1120" s="954"/>
      <c r="Q1120" s="954"/>
      <c r="R1120" s="954"/>
      <c r="S1120" s="954"/>
      <c r="T1120" s="954"/>
      <c r="U1120" s="954"/>
    </row>
    <row r="1121" spans="1:21" s="933" customFormat="1" ht="24" customHeight="1">
      <c r="A1121" s="1026"/>
      <c r="B1121" s="976" t="s">
        <v>873</v>
      </c>
      <c r="C1121" s="976"/>
      <c r="D1121" s="976"/>
      <c r="E1121" s="978">
        <v>0</v>
      </c>
      <c r="F1121" s="974" t="s">
        <v>870</v>
      </c>
      <c r="G1121" s="969">
        <f t="shared" si="233"/>
        <v>24.97</v>
      </c>
      <c r="H1121" s="930">
        <f t="shared" si="229"/>
        <v>0</v>
      </c>
      <c r="I1121" s="970">
        <v>4.0999999999999996</v>
      </c>
      <c r="J1121" s="930">
        <f t="shared" si="230"/>
        <v>0</v>
      </c>
      <c r="K1121" s="931">
        <f t="shared" si="231"/>
        <v>0</v>
      </c>
      <c r="L1121" s="971"/>
      <c r="M1121" s="954"/>
      <c r="N1121" s="954"/>
      <c r="O1121" s="954"/>
      <c r="P1121" s="954"/>
      <c r="Q1121" s="954"/>
      <c r="R1121" s="954"/>
      <c r="S1121" s="954"/>
      <c r="T1121" s="954"/>
      <c r="U1121" s="954"/>
    </row>
    <row r="1122" spans="1:21" s="933" customFormat="1" ht="24" customHeight="1">
      <c r="A1122" s="1026"/>
      <c r="B1122" s="976" t="s">
        <v>874</v>
      </c>
      <c r="C1122" s="976"/>
      <c r="D1122" s="976"/>
      <c r="E1122" s="978">
        <v>37591.83</v>
      </c>
      <c r="F1122" s="974" t="s">
        <v>870</v>
      </c>
      <c r="G1122" s="969">
        <f t="shared" si="233"/>
        <v>24.47</v>
      </c>
      <c r="H1122" s="930">
        <f t="shared" si="229"/>
        <v>919872.08</v>
      </c>
      <c r="I1122" s="970">
        <v>3.3</v>
      </c>
      <c r="J1122" s="930">
        <f t="shared" si="230"/>
        <v>124053.04</v>
      </c>
      <c r="K1122" s="931">
        <f t="shared" si="231"/>
        <v>1043925.12</v>
      </c>
      <c r="L1122" s="971"/>
      <c r="M1122" s="954"/>
      <c r="N1122" s="954"/>
      <c r="O1122" s="954"/>
      <c r="P1122" s="954"/>
      <c r="Q1122" s="954"/>
      <c r="R1122" s="954"/>
      <c r="S1122" s="954"/>
      <c r="T1122" s="954"/>
      <c r="U1122" s="954"/>
    </row>
    <row r="1123" spans="1:21" s="933" customFormat="1" ht="24" customHeight="1">
      <c r="A1123" s="1026"/>
      <c r="B1123" s="976" t="s">
        <v>875</v>
      </c>
      <c r="C1123" s="976"/>
      <c r="D1123" s="976"/>
      <c r="E1123" s="978">
        <v>29554.69</v>
      </c>
      <c r="F1123" s="982" t="s">
        <v>870</v>
      </c>
      <c r="G1123" s="969">
        <f t="shared" si="233"/>
        <v>24.27</v>
      </c>
      <c r="H1123" s="930">
        <f t="shared" si="229"/>
        <v>717292.33</v>
      </c>
      <c r="I1123" s="970">
        <v>3.3</v>
      </c>
      <c r="J1123" s="930">
        <f t="shared" si="230"/>
        <v>97530.48</v>
      </c>
      <c r="K1123" s="931">
        <f t="shared" si="231"/>
        <v>814822.80999999994</v>
      </c>
      <c r="L1123" s="971"/>
      <c r="M1123" s="954"/>
      <c r="N1123" s="954"/>
      <c r="O1123" s="954"/>
      <c r="P1123" s="954"/>
      <c r="Q1123" s="954"/>
      <c r="R1123" s="954"/>
      <c r="S1123" s="954"/>
      <c r="T1123" s="954"/>
      <c r="U1123" s="954"/>
    </row>
    <row r="1124" spans="1:21" s="933" customFormat="1" ht="24" customHeight="1">
      <c r="A1124" s="1026"/>
      <c r="B1124" s="976" t="s">
        <v>876</v>
      </c>
      <c r="C1124" s="976"/>
      <c r="D1124" s="976"/>
      <c r="E1124" s="978">
        <v>609.58000000000004</v>
      </c>
      <c r="F1124" s="974" t="s">
        <v>870</v>
      </c>
      <c r="G1124" s="969">
        <f t="shared" si="233"/>
        <v>24.27</v>
      </c>
      <c r="H1124" s="930">
        <f t="shared" si="229"/>
        <v>14794.51</v>
      </c>
      <c r="I1124" s="970">
        <v>2.9</v>
      </c>
      <c r="J1124" s="930">
        <f t="shared" si="230"/>
        <v>1767.78</v>
      </c>
      <c r="K1124" s="931">
        <f t="shared" si="231"/>
        <v>16562.29</v>
      </c>
      <c r="L1124" s="971"/>
      <c r="M1124" s="954"/>
      <c r="N1124" s="954"/>
      <c r="O1124" s="954"/>
      <c r="P1124" s="954"/>
      <c r="Q1124" s="954"/>
      <c r="R1124" s="954"/>
      <c r="S1124" s="954"/>
      <c r="T1124" s="954"/>
      <c r="U1124" s="954"/>
    </row>
    <row r="1125" spans="1:21" s="933" customFormat="1" ht="24" customHeight="1">
      <c r="A1125" s="1026"/>
      <c r="B1125" s="976" t="s">
        <v>877</v>
      </c>
      <c r="C1125" s="976"/>
      <c r="D1125" s="976"/>
      <c r="E1125" s="978">
        <v>0</v>
      </c>
      <c r="F1125" s="974" t="s">
        <v>870</v>
      </c>
      <c r="G1125" s="969">
        <f t="shared" si="233"/>
        <v>24.27</v>
      </c>
      <c r="H1125" s="930">
        <f t="shared" si="229"/>
        <v>0</v>
      </c>
      <c r="I1125" s="970">
        <v>2.9</v>
      </c>
      <c r="J1125" s="930">
        <f t="shared" si="230"/>
        <v>0</v>
      </c>
      <c r="K1125" s="931">
        <f t="shared" si="231"/>
        <v>0</v>
      </c>
      <c r="L1125" s="971"/>
      <c r="M1125" s="954"/>
      <c r="N1125" s="954"/>
      <c r="O1125" s="954"/>
      <c r="P1125" s="954"/>
      <c r="Q1125" s="954"/>
      <c r="R1125" s="954"/>
      <c r="S1125" s="954"/>
      <c r="T1125" s="954"/>
      <c r="U1125" s="954"/>
    </row>
    <row r="1126" spans="1:21" s="933" customFormat="1" ht="24" customHeight="1">
      <c r="A1126" s="1026"/>
      <c r="B1126" s="976" t="s">
        <v>878</v>
      </c>
      <c r="C1126" s="976"/>
      <c r="D1126" s="976"/>
      <c r="E1126" s="978"/>
      <c r="F1126" s="974" t="s">
        <v>870</v>
      </c>
      <c r="G1126" s="969">
        <f t="shared" si="233"/>
        <v>24.27</v>
      </c>
      <c r="H1126" s="930">
        <f t="shared" si="229"/>
        <v>0</v>
      </c>
      <c r="I1126" s="970">
        <v>2.9</v>
      </c>
      <c r="J1126" s="930">
        <f t="shared" si="230"/>
        <v>0</v>
      </c>
      <c r="K1126" s="931">
        <f t="shared" si="231"/>
        <v>0</v>
      </c>
      <c r="L1126" s="971"/>
      <c r="M1126" s="954"/>
      <c r="N1126" s="954"/>
      <c r="O1126" s="954"/>
      <c r="P1126" s="954"/>
      <c r="Q1126" s="954"/>
      <c r="R1126" s="954"/>
      <c r="S1126" s="954"/>
      <c r="T1126" s="954"/>
      <c r="U1126" s="954"/>
    </row>
    <row r="1127" spans="1:21" s="933" customFormat="1" ht="24" customHeight="1">
      <c r="A1127" s="1026"/>
      <c r="B1127" s="976" t="s">
        <v>879</v>
      </c>
      <c r="C1127" s="976"/>
      <c r="D1127" s="976"/>
      <c r="E1127" s="978"/>
      <c r="F1127" s="974" t="s">
        <v>870</v>
      </c>
      <c r="G1127" s="969">
        <f t="shared" si="233"/>
        <v>23.8</v>
      </c>
      <c r="H1127" s="930">
        <f t="shared" si="229"/>
        <v>0</v>
      </c>
      <c r="I1127" s="970">
        <v>2.9</v>
      </c>
      <c r="J1127" s="930">
        <f t="shared" si="230"/>
        <v>0</v>
      </c>
      <c r="K1127" s="931">
        <f t="shared" si="231"/>
        <v>0</v>
      </c>
      <c r="L1127" s="971"/>
      <c r="M1127" s="954"/>
      <c r="N1127" s="954"/>
      <c r="O1127" s="954"/>
      <c r="P1127" s="954"/>
      <c r="Q1127" s="954"/>
      <c r="R1127" s="954"/>
      <c r="S1127" s="954"/>
      <c r="T1127" s="954"/>
      <c r="U1127" s="954"/>
    </row>
    <row r="1128" spans="1:21" s="933" customFormat="1" ht="24" customHeight="1">
      <c r="A1128" s="1026"/>
      <c r="B1128" s="976" t="s">
        <v>880</v>
      </c>
      <c r="C1128" s="976"/>
      <c r="D1128" s="976"/>
      <c r="E1128" s="978">
        <f>(SUM(E1120:E1127)/1000)*30</f>
        <v>2032.683</v>
      </c>
      <c r="F1128" s="974" t="s">
        <v>870</v>
      </c>
      <c r="G1128" s="969">
        <f t="shared" si="233"/>
        <v>29.92</v>
      </c>
      <c r="H1128" s="930">
        <f t="shared" si="229"/>
        <v>60817.88</v>
      </c>
      <c r="I1128" s="970"/>
      <c r="J1128" s="930">
        <f t="shared" si="230"/>
        <v>0</v>
      </c>
      <c r="K1128" s="931">
        <f t="shared" si="231"/>
        <v>60817.88</v>
      </c>
      <c r="L1128" s="971"/>
      <c r="M1128" s="954"/>
      <c r="N1128" s="954"/>
      <c r="O1128" s="954"/>
      <c r="P1128" s="954"/>
      <c r="Q1128" s="954"/>
      <c r="R1128" s="954"/>
      <c r="S1128" s="954"/>
      <c r="T1128" s="954"/>
      <c r="U1128" s="954"/>
    </row>
    <row r="1129" spans="1:21" s="933" customFormat="1" ht="24" customHeight="1">
      <c r="A1129" s="1026"/>
      <c r="B1129" s="976" t="s">
        <v>888</v>
      </c>
      <c r="C1129" s="976"/>
      <c r="D1129" s="976"/>
      <c r="E1129" s="978">
        <v>5747.22</v>
      </c>
      <c r="F1129" s="974" t="s">
        <v>34</v>
      </c>
      <c r="G1129" s="983">
        <v>340</v>
      </c>
      <c r="H1129" s="930">
        <f t="shared" si="229"/>
        <v>1954054.8</v>
      </c>
      <c r="I1129" s="970"/>
      <c r="J1129" s="930">
        <f t="shared" si="230"/>
        <v>0</v>
      </c>
      <c r="K1129" s="931">
        <f t="shared" si="231"/>
        <v>1954054.8</v>
      </c>
      <c r="L1129" s="971"/>
      <c r="M1129" s="954"/>
      <c r="N1129" s="954"/>
      <c r="O1129" s="954"/>
      <c r="P1129" s="954"/>
      <c r="Q1129" s="954"/>
      <c r="R1129" s="954"/>
      <c r="S1129" s="954"/>
      <c r="T1129" s="954"/>
      <c r="U1129" s="954"/>
    </row>
    <row r="1130" spans="1:21" s="933" customFormat="1" ht="24" customHeight="1">
      <c r="A1130" s="1026"/>
      <c r="B1130" s="976" t="s">
        <v>881</v>
      </c>
      <c r="C1130" s="976"/>
      <c r="D1130" s="976"/>
      <c r="E1130" s="978"/>
      <c r="F1130" s="974"/>
      <c r="G1130" s="969"/>
      <c r="H1130" s="930"/>
      <c r="I1130" s="970"/>
      <c r="J1130" s="930"/>
      <c r="K1130" s="931"/>
      <c r="L1130" s="971"/>
      <c r="M1130" s="954"/>
      <c r="N1130" s="954"/>
      <c r="O1130" s="954"/>
      <c r="P1130" s="954"/>
      <c r="Q1130" s="954"/>
      <c r="R1130" s="954"/>
      <c r="S1130" s="954"/>
      <c r="T1130" s="954"/>
      <c r="U1130" s="954"/>
    </row>
    <row r="1131" spans="1:21" s="933" customFormat="1" ht="24" customHeight="1">
      <c r="A1131" s="1026"/>
      <c r="B1131" s="976"/>
      <c r="C1131" s="976"/>
      <c r="D1131" s="976"/>
      <c r="E1131" s="978"/>
      <c r="F1131" s="974"/>
      <c r="G1131" s="969"/>
      <c r="H1131" s="930"/>
      <c r="I1131" s="970"/>
      <c r="J1131" s="930"/>
      <c r="K1131" s="931"/>
      <c r="L1131" s="971"/>
      <c r="M1131" s="954"/>
      <c r="N1131" s="954"/>
      <c r="O1131" s="954"/>
      <c r="P1131" s="954"/>
      <c r="Q1131" s="954"/>
      <c r="R1131" s="954"/>
      <c r="S1131" s="954"/>
      <c r="T1131" s="954"/>
      <c r="U1131" s="954"/>
    </row>
    <row r="1132" spans="1:21" s="933" customFormat="1" ht="24" customHeight="1">
      <c r="A1132" s="1026"/>
      <c r="B1132" s="976"/>
      <c r="C1132" s="976"/>
      <c r="D1132" s="976"/>
      <c r="E1132" s="978"/>
      <c r="F1132" s="974"/>
      <c r="G1132" s="969"/>
      <c r="H1132" s="930"/>
      <c r="I1132" s="970"/>
      <c r="J1132" s="930"/>
      <c r="K1132" s="931"/>
      <c r="L1132" s="971"/>
      <c r="M1132" s="954"/>
      <c r="N1132" s="954"/>
      <c r="O1132" s="954"/>
      <c r="P1132" s="954"/>
      <c r="Q1132" s="954"/>
      <c r="R1132" s="954"/>
      <c r="S1132" s="954"/>
      <c r="T1132" s="954"/>
      <c r="U1132" s="954"/>
    </row>
    <row r="1133" spans="1:21" s="933" customFormat="1" ht="24" customHeight="1">
      <c r="A1133" s="1026"/>
      <c r="B1133" s="1021"/>
      <c r="C1133" s="976"/>
      <c r="D1133" s="976"/>
      <c r="E1133" s="978"/>
      <c r="F1133" s="974"/>
      <c r="G1133" s="969"/>
      <c r="H1133" s="930"/>
      <c r="I1133" s="970"/>
      <c r="J1133" s="930"/>
      <c r="K1133" s="931"/>
      <c r="L1133" s="971"/>
      <c r="M1133" s="954"/>
      <c r="N1133" s="954"/>
      <c r="O1133" s="954"/>
      <c r="P1133" s="954"/>
      <c r="Q1133" s="954"/>
      <c r="R1133" s="954"/>
      <c r="S1133" s="954"/>
      <c r="T1133" s="954"/>
      <c r="U1133" s="954"/>
    </row>
    <row r="1134" spans="1:21" s="933" customFormat="1" ht="24" customHeight="1">
      <c r="A1134" s="1026"/>
      <c r="B1134" s="1021"/>
      <c r="C1134" s="976"/>
      <c r="D1134" s="976"/>
      <c r="E1134" s="978"/>
      <c r="F1134" s="974"/>
      <c r="G1134" s="969"/>
      <c r="H1134" s="930"/>
      <c r="I1134" s="970"/>
      <c r="J1134" s="930"/>
      <c r="K1134" s="931"/>
      <c r="L1134" s="971"/>
      <c r="M1134" s="954"/>
      <c r="N1134" s="954"/>
      <c r="O1134" s="954"/>
      <c r="P1134" s="954"/>
      <c r="Q1134" s="954"/>
      <c r="R1134" s="954"/>
      <c r="S1134" s="954"/>
      <c r="T1134" s="954"/>
      <c r="U1134" s="954"/>
    </row>
    <row r="1135" spans="1:21" s="933" customFormat="1" ht="24" customHeight="1">
      <c r="A1135" s="1026"/>
      <c r="B1135" s="1021"/>
      <c r="C1135" s="976"/>
      <c r="D1135" s="976"/>
      <c r="E1135" s="978"/>
      <c r="F1135" s="974"/>
      <c r="G1135" s="969"/>
      <c r="H1135" s="930"/>
      <c r="I1135" s="970"/>
      <c r="J1135" s="930"/>
      <c r="K1135" s="931"/>
      <c r="L1135" s="971"/>
      <c r="M1135" s="954"/>
      <c r="N1135" s="954"/>
      <c r="O1135" s="954"/>
      <c r="P1135" s="954"/>
      <c r="Q1135" s="954"/>
      <c r="R1135" s="954"/>
      <c r="S1135" s="954"/>
      <c r="T1135" s="954"/>
      <c r="U1135" s="954"/>
    </row>
    <row r="1136" spans="1:21" s="933" customFormat="1" ht="24" customHeight="1">
      <c r="A1136" s="1026" t="s">
        <v>971</v>
      </c>
      <c r="B1136" s="1030" t="s">
        <v>972</v>
      </c>
      <c r="C1136" s="976"/>
      <c r="D1136" s="976"/>
      <c r="E1136" s="978"/>
      <c r="F1136" s="974"/>
      <c r="G1136" s="969"/>
      <c r="H1136" s="930"/>
      <c r="I1136" s="970"/>
      <c r="J1136" s="930"/>
      <c r="K1136" s="931"/>
      <c r="L1136" s="971"/>
      <c r="M1136" s="954"/>
      <c r="N1136" s="954"/>
      <c r="O1136" s="954"/>
      <c r="P1136" s="954"/>
      <c r="Q1136" s="954"/>
      <c r="R1136" s="954"/>
      <c r="S1136" s="954"/>
      <c r="T1136" s="954"/>
      <c r="U1136" s="954"/>
    </row>
    <row r="1137" spans="1:21" s="933" customFormat="1" ht="24" customHeight="1">
      <c r="A1137" s="1026"/>
      <c r="B1137" s="976" t="s">
        <v>864</v>
      </c>
      <c r="C1137" s="977"/>
      <c r="D1137" s="977"/>
      <c r="E1137" s="978">
        <v>176.38</v>
      </c>
      <c r="F1137" s="974" t="s">
        <v>865</v>
      </c>
      <c r="G1137" s="969">
        <v>2516</v>
      </c>
      <c r="H1137" s="930">
        <f t="shared" ref="H1137:H1151" si="234">ROUND(E1137*G1137,2)</f>
        <v>443772.08</v>
      </c>
      <c r="I1137" s="970">
        <v>485</v>
      </c>
      <c r="J1137" s="930">
        <f t="shared" ref="J1137:J1151" si="235">ROUND(E1137*I1137,2)</f>
        <v>85544.3</v>
      </c>
      <c r="K1137" s="931">
        <f t="shared" ref="K1137:K1151" si="236">H1137+J1137</f>
        <v>529316.38</v>
      </c>
      <c r="L1137" s="971"/>
      <c r="M1137" s="954"/>
      <c r="N1137" s="954"/>
      <c r="O1137" s="954"/>
      <c r="P1137" s="954"/>
      <c r="Q1137" s="954"/>
      <c r="R1137" s="954"/>
      <c r="S1137" s="954"/>
      <c r="T1137" s="954"/>
      <c r="U1137" s="954"/>
    </row>
    <row r="1138" spans="1:21" s="933" customFormat="1" ht="24" customHeight="1">
      <c r="A1138" s="1026"/>
      <c r="B1138" s="979" t="s">
        <v>866</v>
      </c>
      <c r="C1138" s="976"/>
      <c r="D1138" s="976"/>
      <c r="E1138" s="978"/>
      <c r="F1138" s="974"/>
      <c r="G1138" s="969"/>
      <c r="H1138" s="930">
        <f t="shared" si="234"/>
        <v>0</v>
      </c>
      <c r="I1138" s="970"/>
      <c r="J1138" s="930">
        <f t="shared" si="235"/>
        <v>0</v>
      </c>
      <c r="K1138" s="931">
        <f t="shared" si="236"/>
        <v>0</v>
      </c>
      <c r="L1138" s="971"/>
      <c r="M1138" s="954"/>
      <c r="N1138" s="954"/>
      <c r="O1138" s="954"/>
      <c r="P1138" s="954"/>
      <c r="Q1138" s="954"/>
      <c r="R1138" s="954"/>
      <c r="S1138" s="954"/>
      <c r="T1138" s="954"/>
      <c r="U1138" s="954"/>
    </row>
    <row r="1139" spans="1:21" s="933" customFormat="1" ht="24" customHeight="1">
      <c r="A1139" s="1026"/>
      <c r="B1139" s="979"/>
      <c r="C1139" s="976" t="s">
        <v>867</v>
      </c>
      <c r="D1139" s="976"/>
      <c r="E1139" s="978">
        <f>E1140/2</f>
        <v>394.88499999999999</v>
      </c>
      <c r="F1139" s="974" t="s">
        <v>34</v>
      </c>
      <c r="G1139" s="969">
        <v>661.62</v>
      </c>
      <c r="H1139" s="930">
        <f t="shared" si="234"/>
        <v>261263.81</v>
      </c>
      <c r="I1139" s="970"/>
      <c r="J1139" s="930">
        <f t="shared" si="235"/>
        <v>0</v>
      </c>
      <c r="K1139" s="931">
        <f t="shared" si="236"/>
        <v>261263.81</v>
      </c>
      <c r="L1139" s="971"/>
      <c r="M1139" s="954"/>
      <c r="N1139" s="954"/>
      <c r="O1139" s="954"/>
      <c r="P1139" s="954"/>
      <c r="Q1139" s="954"/>
      <c r="R1139" s="954"/>
      <c r="S1139" s="954"/>
      <c r="T1139" s="954"/>
      <c r="U1139" s="954"/>
    </row>
    <row r="1140" spans="1:21" s="933" customFormat="1" ht="24" customHeight="1">
      <c r="A1140" s="1026"/>
      <c r="B1140" s="979"/>
      <c r="C1140" s="976" t="s">
        <v>868</v>
      </c>
      <c r="D1140" s="976"/>
      <c r="E1140" s="978">
        <v>789.77</v>
      </c>
      <c r="F1140" s="974" t="s">
        <v>34</v>
      </c>
      <c r="G1140" s="969"/>
      <c r="H1140" s="930">
        <f t="shared" si="234"/>
        <v>0</v>
      </c>
      <c r="I1140" s="970">
        <v>154</v>
      </c>
      <c r="J1140" s="930">
        <f t="shared" si="235"/>
        <v>121624.58</v>
      </c>
      <c r="K1140" s="931">
        <f t="shared" si="236"/>
        <v>121624.58</v>
      </c>
      <c r="L1140" s="971"/>
      <c r="M1140" s="954"/>
      <c r="N1140" s="954"/>
      <c r="O1140" s="954"/>
      <c r="P1140" s="954"/>
      <c r="Q1140" s="954"/>
      <c r="R1140" s="954"/>
      <c r="S1140" s="954"/>
      <c r="T1140" s="954"/>
      <c r="U1140" s="954"/>
    </row>
    <row r="1141" spans="1:21" s="933" customFormat="1" ht="24" customHeight="1">
      <c r="A1141" s="1026"/>
      <c r="B1141" s="976" t="s">
        <v>869</v>
      </c>
      <c r="C1141" s="976"/>
      <c r="D1141" s="976"/>
      <c r="E1141" s="978">
        <f>(E1140*0.25)</f>
        <v>197.4425</v>
      </c>
      <c r="F1141" s="974" t="s">
        <v>870</v>
      </c>
      <c r="G1141" s="969">
        <f t="shared" ref="G1141" si="237">VLOOKUP(B1141,$O$43:$P$53,2,FALSE)</f>
        <v>29.94</v>
      </c>
      <c r="H1141" s="930">
        <f t="shared" si="234"/>
        <v>5911.43</v>
      </c>
      <c r="I1141" s="970"/>
      <c r="J1141" s="930">
        <f t="shared" si="235"/>
        <v>0</v>
      </c>
      <c r="K1141" s="931">
        <f t="shared" si="236"/>
        <v>5911.43</v>
      </c>
      <c r="L1141" s="971"/>
      <c r="M1141" s="954"/>
      <c r="N1141" s="954"/>
      <c r="O1141" s="954"/>
      <c r="P1141" s="954"/>
      <c r="Q1141" s="954"/>
      <c r="R1141" s="954"/>
      <c r="S1141" s="954"/>
      <c r="T1141" s="954"/>
      <c r="U1141" s="954"/>
    </row>
    <row r="1142" spans="1:21" s="933" customFormat="1" ht="24" customHeight="1">
      <c r="A1142" s="1026"/>
      <c r="B1142" s="976" t="s">
        <v>871</v>
      </c>
      <c r="C1142" s="976"/>
      <c r="D1142" s="976"/>
      <c r="E1142" s="978"/>
      <c r="F1142" s="982"/>
      <c r="G1142" s="983"/>
      <c r="H1142" s="930">
        <f t="shared" si="234"/>
        <v>0</v>
      </c>
      <c r="I1142" s="970"/>
      <c r="J1142" s="930">
        <f t="shared" si="235"/>
        <v>0</v>
      </c>
      <c r="K1142" s="931">
        <f t="shared" si="236"/>
        <v>0</v>
      </c>
      <c r="L1142" s="971"/>
      <c r="M1142" s="954"/>
      <c r="N1142" s="954"/>
      <c r="O1142" s="954"/>
      <c r="P1142" s="954"/>
      <c r="Q1142" s="954"/>
      <c r="R1142" s="954"/>
      <c r="S1142" s="954"/>
      <c r="T1142" s="954"/>
      <c r="U1142" s="954"/>
    </row>
    <row r="1143" spans="1:21" s="933" customFormat="1" ht="24" customHeight="1">
      <c r="A1143" s="1026"/>
      <c r="B1143" s="976" t="s">
        <v>872</v>
      </c>
      <c r="C1143" s="976"/>
      <c r="D1143" s="976"/>
      <c r="E1143" s="978"/>
      <c r="F1143" s="974" t="s">
        <v>870</v>
      </c>
      <c r="G1143" s="969">
        <f t="shared" ref="G1143:G1151" si="238">VLOOKUP(B1143,$O$43:$P$53,2,FALSE)</f>
        <v>25.73</v>
      </c>
      <c r="H1143" s="930">
        <f t="shared" si="234"/>
        <v>0</v>
      </c>
      <c r="I1143" s="984">
        <v>4.0999999999999996</v>
      </c>
      <c r="J1143" s="930">
        <f t="shared" si="235"/>
        <v>0</v>
      </c>
      <c r="K1143" s="931">
        <f t="shared" si="236"/>
        <v>0</v>
      </c>
      <c r="L1143" s="971"/>
      <c r="M1143" s="954"/>
      <c r="N1143" s="954"/>
      <c r="O1143" s="954"/>
      <c r="P1143" s="954"/>
      <c r="Q1143" s="954"/>
      <c r="R1143" s="954"/>
      <c r="S1143" s="954"/>
      <c r="T1143" s="954"/>
      <c r="U1143" s="954"/>
    </row>
    <row r="1144" spans="1:21" s="933" customFormat="1" ht="24" customHeight="1">
      <c r="A1144" s="1026"/>
      <c r="B1144" s="976" t="s">
        <v>873</v>
      </c>
      <c r="C1144" s="976"/>
      <c r="D1144" s="976"/>
      <c r="E1144" s="978">
        <v>1775.48</v>
      </c>
      <c r="F1144" s="974" t="s">
        <v>870</v>
      </c>
      <c r="G1144" s="969">
        <f t="shared" si="238"/>
        <v>24.97</v>
      </c>
      <c r="H1144" s="930">
        <f t="shared" si="234"/>
        <v>44333.74</v>
      </c>
      <c r="I1144" s="970">
        <v>4.0999999999999996</v>
      </c>
      <c r="J1144" s="930">
        <f t="shared" si="235"/>
        <v>7279.47</v>
      </c>
      <c r="K1144" s="931">
        <f t="shared" si="236"/>
        <v>51613.21</v>
      </c>
      <c r="L1144" s="971"/>
      <c r="M1144" s="954"/>
      <c r="N1144" s="954"/>
      <c r="O1144" s="954"/>
      <c r="P1144" s="954"/>
      <c r="Q1144" s="954"/>
      <c r="R1144" s="954"/>
      <c r="S1144" s="954"/>
      <c r="T1144" s="954"/>
      <c r="U1144" s="954"/>
    </row>
    <row r="1145" spans="1:21" s="933" customFormat="1" ht="24" customHeight="1">
      <c r="A1145" s="1026"/>
      <c r="B1145" s="976" t="s">
        <v>874</v>
      </c>
      <c r="C1145" s="976"/>
      <c r="D1145" s="976"/>
      <c r="E1145" s="978">
        <v>25086.69</v>
      </c>
      <c r="F1145" s="974" t="s">
        <v>870</v>
      </c>
      <c r="G1145" s="969">
        <f t="shared" si="238"/>
        <v>24.47</v>
      </c>
      <c r="H1145" s="930">
        <f t="shared" si="234"/>
        <v>613871.30000000005</v>
      </c>
      <c r="I1145" s="970">
        <v>3.3</v>
      </c>
      <c r="J1145" s="930">
        <f t="shared" si="235"/>
        <v>82786.080000000002</v>
      </c>
      <c r="K1145" s="931">
        <f t="shared" si="236"/>
        <v>696657.38</v>
      </c>
      <c r="L1145" s="971"/>
      <c r="M1145" s="954"/>
      <c r="N1145" s="954"/>
      <c r="O1145" s="954"/>
      <c r="P1145" s="954"/>
      <c r="Q1145" s="954"/>
      <c r="R1145" s="954"/>
      <c r="S1145" s="954"/>
      <c r="T1145" s="954"/>
      <c r="U1145" s="954"/>
    </row>
    <row r="1146" spans="1:21" s="933" customFormat="1" ht="24" customHeight="1">
      <c r="A1146" s="1026"/>
      <c r="B1146" s="976" t="s">
        <v>875</v>
      </c>
      <c r="C1146" s="976"/>
      <c r="D1146" s="976"/>
      <c r="E1146" s="978">
        <v>2215.37</v>
      </c>
      <c r="F1146" s="982" t="s">
        <v>870</v>
      </c>
      <c r="G1146" s="969">
        <f t="shared" si="238"/>
        <v>24.27</v>
      </c>
      <c r="H1146" s="930">
        <f t="shared" si="234"/>
        <v>53767.03</v>
      </c>
      <c r="I1146" s="970">
        <v>3.3</v>
      </c>
      <c r="J1146" s="930">
        <f t="shared" si="235"/>
        <v>7310.72</v>
      </c>
      <c r="K1146" s="931">
        <f t="shared" si="236"/>
        <v>61077.75</v>
      </c>
      <c r="L1146" s="971"/>
      <c r="M1146" s="954"/>
      <c r="N1146" s="954"/>
      <c r="O1146" s="954"/>
      <c r="P1146" s="954"/>
      <c r="Q1146" s="954"/>
      <c r="R1146" s="954"/>
      <c r="S1146" s="954"/>
      <c r="T1146" s="954"/>
      <c r="U1146" s="954"/>
    </row>
    <row r="1147" spans="1:21" s="933" customFormat="1" ht="24" customHeight="1">
      <c r="A1147" s="1026"/>
      <c r="B1147" s="976" t="s">
        <v>876</v>
      </c>
      <c r="C1147" s="976"/>
      <c r="D1147" s="976"/>
      <c r="E1147" s="978">
        <v>2493.4</v>
      </c>
      <c r="F1147" s="974" t="s">
        <v>870</v>
      </c>
      <c r="G1147" s="969">
        <f t="shared" si="238"/>
        <v>24.27</v>
      </c>
      <c r="H1147" s="930">
        <f t="shared" si="234"/>
        <v>60514.82</v>
      </c>
      <c r="I1147" s="970">
        <v>2.9</v>
      </c>
      <c r="J1147" s="930">
        <f t="shared" si="235"/>
        <v>7230.86</v>
      </c>
      <c r="K1147" s="931">
        <f t="shared" si="236"/>
        <v>67745.679999999993</v>
      </c>
      <c r="L1147" s="971"/>
      <c r="M1147" s="954"/>
      <c r="N1147" s="954"/>
      <c r="O1147" s="954"/>
      <c r="P1147" s="954"/>
      <c r="Q1147" s="954"/>
      <c r="R1147" s="954"/>
      <c r="S1147" s="954"/>
      <c r="T1147" s="954"/>
      <c r="U1147" s="954"/>
    </row>
    <row r="1148" spans="1:21" s="933" customFormat="1" ht="24" customHeight="1">
      <c r="A1148" s="1026"/>
      <c r="B1148" s="976" t="s">
        <v>877</v>
      </c>
      <c r="C1148" s="976"/>
      <c r="D1148" s="976"/>
      <c r="E1148" s="978">
        <v>4142.05</v>
      </c>
      <c r="F1148" s="974" t="s">
        <v>870</v>
      </c>
      <c r="G1148" s="969">
        <f t="shared" si="238"/>
        <v>24.27</v>
      </c>
      <c r="H1148" s="930">
        <f t="shared" si="234"/>
        <v>100527.55</v>
      </c>
      <c r="I1148" s="970">
        <v>2.9</v>
      </c>
      <c r="J1148" s="930">
        <f t="shared" si="235"/>
        <v>12011.95</v>
      </c>
      <c r="K1148" s="931">
        <f t="shared" si="236"/>
        <v>112539.5</v>
      </c>
      <c r="L1148" s="971"/>
      <c r="M1148" s="954"/>
      <c r="N1148" s="954"/>
      <c r="O1148" s="954"/>
      <c r="P1148" s="954"/>
      <c r="Q1148" s="954"/>
      <c r="R1148" s="954"/>
      <c r="S1148" s="954"/>
      <c r="T1148" s="954"/>
      <c r="U1148" s="954"/>
    </row>
    <row r="1149" spans="1:21" s="933" customFormat="1" ht="24" customHeight="1">
      <c r="A1149" s="1026"/>
      <c r="B1149" s="976" t="s">
        <v>878</v>
      </c>
      <c r="C1149" s="976"/>
      <c r="D1149" s="976"/>
      <c r="E1149" s="978">
        <v>9044.3700000000008</v>
      </c>
      <c r="F1149" s="974" t="s">
        <v>870</v>
      </c>
      <c r="G1149" s="969">
        <f t="shared" si="238"/>
        <v>24.27</v>
      </c>
      <c r="H1149" s="930">
        <f t="shared" si="234"/>
        <v>219506.86</v>
      </c>
      <c r="I1149" s="970">
        <v>2.9</v>
      </c>
      <c r="J1149" s="930">
        <f t="shared" si="235"/>
        <v>26228.67</v>
      </c>
      <c r="K1149" s="931">
        <f t="shared" si="236"/>
        <v>245735.52999999997</v>
      </c>
      <c r="L1149" s="971"/>
      <c r="M1149" s="954"/>
      <c r="N1149" s="954"/>
      <c r="O1149" s="954"/>
      <c r="P1149" s="954"/>
      <c r="Q1149" s="954"/>
      <c r="R1149" s="954"/>
      <c r="S1149" s="954"/>
      <c r="T1149" s="954"/>
      <c r="U1149" s="954"/>
    </row>
    <row r="1150" spans="1:21" s="933" customFormat="1" ht="24" customHeight="1">
      <c r="A1150" s="1026"/>
      <c r="B1150" s="976" t="s">
        <v>879</v>
      </c>
      <c r="C1150" s="976"/>
      <c r="D1150" s="976"/>
      <c r="E1150" s="978"/>
      <c r="F1150" s="974" t="s">
        <v>870</v>
      </c>
      <c r="G1150" s="969">
        <f t="shared" si="238"/>
        <v>23.8</v>
      </c>
      <c r="H1150" s="930">
        <f t="shared" si="234"/>
        <v>0</v>
      </c>
      <c r="I1150" s="970">
        <v>2.9</v>
      </c>
      <c r="J1150" s="930">
        <f t="shared" si="235"/>
        <v>0</v>
      </c>
      <c r="K1150" s="931">
        <f t="shared" si="236"/>
        <v>0</v>
      </c>
      <c r="L1150" s="971"/>
      <c r="M1150" s="954"/>
      <c r="N1150" s="954"/>
      <c r="O1150" s="954"/>
      <c r="P1150" s="954"/>
      <c r="Q1150" s="954"/>
      <c r="R1150" s="954"/>
      <c r="S1150" s="954"/>
      <c r="T1150" s="954"/>
      <c r="U1150" s="954"/>
    </row>
    <row r="1151" spans="1:21" s="933" customFormat="1" ht="24" customHeight="1">
      <c r="A1151" s="1026"/>
      <c r="B1151" s="976" t="s">
        <v>880</v>
      </c>
      <c r="C1151" s="976"/>
      <c r="D1151" s="976"/>
      <c r="E1151" s="978">
        <f>(SUM(E1143:E1150)/1000)*30</f>
        <v>1342.7208000000001</v>
      </c>
      <c r="F1151" s="974" t="s">
        <v>870</v>
      </c>
      <c r="G1151" s="969">
        <f t="shared" si="238"/>
        <v>29.92</v>
      </c>
      <c r="H1151" s="930">
        <f t="shared" si="234"/>
        <v>40174.21</v>
      </c>
      <c r="I1151" s="970"/>
      <c r="J1151" s="930">
        <f t="shared" si="235"/>
        <v>0</v>
      </c>
      <c r="K1151" s="931">
        <f t="shared" si="236"/>
        <v>40174.21</v>
      </c>
      <c r="L1151" s="971"/>
      <c r="M1151" s="954"/>
      <c r="N1151" s="954"/>
      <c r="O1151" s="954"/>
      <c r="P1151" s="954"/>
      <c r="Q1151" s="954"/>
      <c r="R1151" s="954"/>
      <c r="S1151" s="954"/>
      <c r="T1151" s="954"/>
      <c r="U1151" s="954"/>
    </row>
    <row r="1152" spans="1:21" s="933" customFormat="1" ht="24" customHeight="1">
      <c r="A1152" s="1026"/>
      <c r="B1152" s="976" t="s">
        <v>881</v>
      </c>
      <c r="C1152" s="976"/>
      <c r="D1152" s="976"/>
      <c r="E1152" s="978"/>
      <c r="F1152" s="974"/>
      <c r="G1152" s="969"/>
      <c r="H1152" s="930"/>
      <c r="I1152" s="970"/>
      <c r="J1152" s="930"/>
      <c r="K1152" s="931"/>
      <c r="L1152" s="971"/>
      <c r="M1152" s="954"/>
      <c r="N1152" s="954"/>
      <c r="O1152" s="954"/>
      <c r="P1152" s="954"/>
      <c r="Q1152" s="954"/>
      <c r="R1152" s="954"/>
      <c r="S1152" s="954"/>
      <c r="T1152" s="954"/>
      <c r="U1152" s="954"/>
    </row>
    <row r="1153" spans="1:21" s="933" customFormat="1" ht="24" customHeight="1">
      <c r="A1153" s="1026"/>
      <c r="B1153" s="1021"/>
      <c r="C1153" s="976"/>
      <c r="D1153" s="976"/>
      <c r="E1153" s="978"/>
      <c r="F1153" s="974"/>
      <c r="G1153" s="969"/>
      <c r="H1153" s="930"/>
      <c r="I1153" s="970"/>
      <c r="J1153" s="930"/>
      <c r="K1153" s="931"/>
      <c r="L1153" s="971"/>
      <c r="M1153" s="954"/>
      <c r="N1153" s="954"/>
      <c r="O1153" s="954"/>
      <c r="P1153" s="954"/>
      <c r="Q1153" s="954"/>
      <c r="R1153" s="954"/>
      <c r="S1153" s="954"/>
      <c r="T1153" s="954"/>
      <c r="U1153" s="954"/>
    </row>
    <row r="1154" spans="1:21" s="933" customFormat="1" ht="24" customHeight="1">
      <c r="A1154" s="1026"/>
      <c r="B1154" s="1021"/>
      <c r="C1154" s="976"/>
      <c r="D1154" s="976"/>
      <c r="E1154" s="978"/>
      <c r="F1154" s="974"/>
      <c r="G1154" s="969"/>
      <c r="H1154" s="930"/>
      <c r="I1154" s="970"/>
      <c r="J1154" s="930"/>
      <c r="K1154" s="931"/>
      <c r="L1154" s="971"/>
      <c r="M1154" s="954"/>
      <c r="N1154" s="954"/>
      <c r="O1154" s="954"/>
      <c r="P1154" s="954"/>
      <c r="Q1154" s="954"/>
      <c r="R1154" s="954"/>
      <c r="S1154" s="954"/>
      <c r="T1154" s="954"/>
      <c r="U1154" s="954"/>
    </row>
    <row r="1155" spans="1:21" s="933" customFormat="1" ht="24" customHeight="1">
      <c r="A1155" s="1026"/>
      <c r="B1155" s="1021"/>
      <c r="C1155" s="976"/>
      <c r="D1155" s="976"/>
      <c r="E1155" s="978"/>
      <c r="F1155" s="974"/>
      <c r="G1155" s="969"/>
      <c r="H1155" s="930"/>
      <c r="I1155" s="970"/>
      <c r="J1155" s="930"/>
      <c r="K1155" s="931"/>
      <c r="L1155" s="971"/>
      <c r="M1155" s="954"/>
      <c r="N1155" s="954"/>
      <c r="O1155" s="954"/>
      <c r="P1155" s="954"/>
      <c r="Q1155" s="954"/>
      <c r="R1155" s="954"/>
      <c r="S1155" s="954"/>
      <c r="T1155" s="954"/>
      <c r="U1155" s="954"/>
    </row>
    <row r="1156" spans="1:21" s="933" customFormat="1" ht="24" customHeight="1">
      <c r="A1156" s="1026"/>
      <c r="B1156" s="1021"/>
      <c r="C1156" s="976"/>
      <c r="D1156" s="976"/>
      <c r="E1156" s="978"/>
      <c r="F1156" s="974"/>
      <c r="G1156" s="969"/>
      <c r="H1156" s="930"/>
      <c r="I1156" s="970"/>
      <c r="J1156" s="930"/>
      <c r="K1156" s="931"/>
      <c r="L1156" s="971"/>
      <c r="M1156" s="954"/>
      <c r="N1156" s="954"/>
      <c r="O1156" s="954"/>
      <c r="P1156" s="954"/>
      <c r="Q1156" s="954"/>
      <c r="R1156" s="954"/>
      <c r="S1156" s="954"/>
      <c r="T1156" s="954"/>
      <c r="U1156" s="954"/>
    </row>
    <row r="1157" spans="1:21" s="933" customFormat="1" ht="24" customHeight="1">
      <c r="A1157" s="1026"/>
      <c r="B1157" s="1021"/>
      <c r="C1157" s="976"/>
      <c r="D1157" s="976"/>
      <c r="E1157" s="978"/>
      <c r="F1157" s="974"/>
      <c r="G1157" s="969"/>
      <c r="H1157" s="930"/>
      <c r="I1157" s="970"/>
      <c r="J1157" s="930"/>
      <c r="K1157" s="931"/>
      <c r="L1157" s="971"/>
      <c r="M1157" s="954"/>
      <c r="N1157" s="954"/>
      <c r="O1157" s="954"/>
      <c r="P1157" s="954"/>
      <c r="Q1157" s="954"/>
      <c r="R1157" s="954"/>
      <c r="S1157" s="954"/>
      <c r="T1157" s="954"/>
      <c r="U1157" s="954"/>
    </row>
    <row r="1158" spans="1:21" s="933" customFormat="1" ht="24" customHeight="1">
      <c r="A1158" s="1026"/>
      <c r="B1158" s="1021"/>
      <c r="C1158" s="976"/>
      <c r="D1158" s="976"/>
      <c r="E1158" s="978"/>
      <c r="F1158" s="974"/>
      <c r="G1158" s="969"/>
      <c r="H1158" s="930"/>
      <c r="I1158" s="970"/>
      <c r="J1158" s="930"/>
      <c r="K1158" s="931"/>
      <c r="L1158" s="971"/>
      <c r="M1158" s="954"/>
      <c r="N1158" s="954"/>
      <c r="O1158" s="954"/>
      <c r="P1158" s="954"/>
      <c r="Q1158" s="954"/>
      <c r="R1158" s="954"/>
      <c r="S1158" s="954"/>
      <c r="T1158" s="954"/>
      <c r="U1158" s="954"/>
    </row>
    <row r="1159" spans="1:21" s="933" customFormat="1" ht="24" customHeight="1">
      <c r="A1159" s="1026"/>
      <c r="B1159" s="1021"/>
      <c r="C1159" s="976"/>
      <c r="D1159" s="976"/>
      <c r="E1159" s="978"/>
      <c r="F1159" s="974"/>
      <c r="G1159" s="969"/>
      <c r="H1159" s="930"/>
      <c r="I1159" s="970"/>
      <c r="J1159" s="930"/>
      <c r="K1159" s="931"/>
      <c r="L1159" s="971"/>
      <c r="M1159" s="954"/>
      <c r="N1159" s="954"/>
      <c r="O1159" s="954"/>
      <c r="P1159" s="954"/>
      <c r="Q1159" s="954"/>
      <c r="R1159" s="954"/>
      <c r="S1159" s="954"/>
      <c r="T1159" s="954"/>
      <c r="U1159" s="954"/>
    </row>
    <row r="1160" spans="1:21" s="933" customFormat="1" ht="24" customHeight="1">
      <c r="A1160" s="1026"/>
      <c r="B1160" s="1021"/>
      <c r="C1160" s="976"/>
      <c r="D1160" s="976"/>
      <c r="E1160" s="978"/>
      <c r="F1160" s="974"/>
      <c r="G1160" s="969"/>
      <c r="H1160" s="930"/>
      <c r="I1160" s="970"/>
      <c r="J1160" s="930"/>
      <c r="K1160" s="931"/>
      <c r="L1160" s="971"/>
      <c r="M1160" s="954"/>
      <c r="N1160" s="954"/>
      <c r="O1160" s="954"/>
      <c r="P1160" s="954"/>
      <c r="Q1160" s="954"/>
      <c r="R1160" s="954"/>
      <c r="S1160" s="954"/>
      <c r="T1160" s="954"/>
      <c r="U1160" s="954"/>
    </row>
    <row r="1161" spans="1:21" s="933" customFormat="1" ht="24" customHeight="1">
      <c r="A1161" s="1026" t="s">
        <v>973</v>
      </c>
      <c r="B1161" s="1030" t="s">
        <v>974</v>
      </c>
      <c r="C1161" s="976"/>
      <c r="D1161" s="976"/>
      <c r="E1161" s="978"/>
      <c r="F1161" s="974"/>
      <c r="G1161" s="969"/>
      <c r="H1161" s="930"/>
      <c r="I1161" s="970"/>
      <c r="J1161" s="930"/>
      <c r="K1161" s="931"/>
      <c r="L1161" s="971"/>
      <c r="M1161" s="954"/>
      <c r="N1161" s="954"/>
      <c r="O1161" s="954"/>
      <c r="P1161" s="954"/>
      <c r="Q1161" s="954"/>
      <c r="R1161" s="954"/>
      <c r="S1161" s="954"/>
      <c r="T1161" s="954"/>
      <c r="U1161" s="954"/>
    </row>
    <row r="1162" spans="1:21" s="933" customFormat="1" ht="24" customHeight="1">
      <c r="A1162" s="1026"/>
      <c r="B1162" s="976" t="s">
        <v>864</v>
      </c>
      <c r="C1162" s="977"/>
      <c r="D1162" s="977"/>
      <c r="E1162" s="978">
        <v>302.16000000000003</v>
      </c>
      <c r="F1162" s="974" t="s">
        <v>865</v>
      </c>
      <c r="G1162" s="969">
        <v>2516</v>
      </c>
      <c r="H1162" s="930">
        <f t="shared" ref="H1162:H1176" si="239">ROUND(E1162*G1162,2)</f>
        <v>760234.56</v>
      </c>
      <c r="I1162" s="970">
        <v>485</v>
      </c>
      <c r="J1162" s="930">
        <f t="shared" ref="J1162:J1176" si="240">ROUND(E1162*I1162,2)</f>
        <v>146547.6</v>
      </c>
      <c r="K1162" s="931">
        <f t="shared" ref="K1162:K1176" si="241">H1162+J1162</f>
        <v>906782.16</v>
      </c>
      <c r="L1162" s="971"/>
      <c r="M1162" s="954"/>
      <c r="N1162" s="954"/>
      <c r="O1162" s="954"/>
      <c r="P1162" s="954"/>
      <c r="Q1162" s="954"/>
      <c r="R1162" s="954"/>
      <c r="S1162" s="954"/>
      <c r="T1162" s="954"/>
      <c r="U1162" s="954"/>
    </row>
    <row r="1163" spans="1:21" s="933" customFormat="1" ht="24" customHeight="1">
      <c r="A1163" s="1026"/>
      <c r="B1163" s="979" t="s">
        <v>866</v>
      </c>
      <c r="C1163" s="976"/>
      <c r="D1163" s="976"/>
      <c r="E1163" s="978"/>
      <c r="F1163" s="974"/>
      <c r="G1163" s="969"/>
      <c r="H1163" s="930">
        <f t="shared" si="239"/>
        <v>0</v>
      </c>
      <c r="I1163" s="970"/>
      <c r="J1163" s="930">
        <f t="shared" si="240"/>
        <v>0</v>
      </c>
      <c r="K1163" s="931">
        <f t="shared" si="241"/>
        <v>0</v>
      </c>
      <c r="L1163" s="971"/>
      <c r="M1163" s="954"/>
      <c r="N1163" s="954"/>
      <c r="O1163" s="954"/>
      <c r="P1163" s="954"/>
      <c r="Q1163" s="954"/>
      <c r="R1163" s="954"/>
      <c r="S1163" s="954"/>
      <c r="T1163" s="954"/>
      <c r="U1163" s="954"/>
    </row>
    <row r="1164" spans="1:21" s="933" customFormat="1" ht="24" customHeight="1">
      <c r="A1164" s="1026"/>
      <c r="B1164" s="979"/>
      <c r="C1164" s="976" t="s">
        <v>867</v>
      </c>
      <c r="D1164" s="976"/>
      <c r="E1164" s="978">
        <f>E1165/2</f>
        <v>681.625</v>
      </c>
      <c r="F1164" s="974" t="s">
        <v>34</v>
      </c>
      <c r="G1164" s="969">
        <v>661.62</v>
      </c>
      <c r="H1164" s="930">
        <f t="shared" si="239"/>
        <v>450976.73</v>
      </c>
      <c r="I1164" s="970"/>
      <c r="J1164" s="930">
        <f t="shared" si="240"/>
        <v>0</v>
      </c>
      <c r="K1164" s="931">
        <f t="shared" si="241"/>
        <v>450976.73</v>
      </c>
      <c r="L1164" s="971"/>
      <c r="M1164" s="954"/>
      <c r="N1164" s="954"/>
      <c r="O1164" s="954"/>
      <c r="P1164" s="954"/>
      <c r="Q1164" s="954"/>
      <c r="R1164" s="954"/>
      <c r="S1164" s="954"/>
      <c r="T1164" s="954"/>
      <c r="U1164" s="954"/>
    </row>
    <row r="1165" spans="1:21" s="933" customFormat="1" ht="24" customHeight="1">
      <c r="A1165" s="1026"/>
      <c r="B1165" s="979"/>
      <c r="C1165" s="976" t="s">
        <v>868</v>
      </c>
      <c r="D1165" s="976"/>
      <c r="E1165" s="978">
        <v>1363.25</v>
      </c>
      <c r="F1165" s="974" t="s">
        <v>34</v>
      </c>
      <c r="G1165" s="969"/>
      <c r="H1165" s="930">
        <f t="shared" si="239"/>
        <v>0</v>
      </c>
      <c r="I1165" s="970">
        <v>154</v>
      </c>
      <c r="J1165" s="930">
        <f t="shared" si="240"/>
        <v>209940.5</v>
      </c>
      <c r="K1165" s="931">
        <f t="shared" si="241"/>
        <v>209940.5</v>
      </c>
      <c r="L1165" s="971"/>
      <c r="M1165" s="954"/>
      <c r="N1165" s="954"/>
      <c r="O1165" s="954"/>
      <c r="P1165" s="954"/>
      <c r="Q1165" s="954"/>
      <c r="R1165" s="954"/>
      <c r="S1165" s="954"/>
      <c r="T1165" s="954"/>
      <c r="U1165" s="954"/>
    </row>
    <row r="1166" spans="1:21" s="933" customFormat="1" ht="24" customHeight="1">
      <c r="A1166" s="1026"/>
      <c r="B1166" s="976" t="s">
        <v>869</v>
      </c>
      <c r="C1166" s="976"/>
      <c r="D1166" s="976"/>
      <c r="E1166" s="978">
        <f>(E1165*0.25)</f>
        <v>340.8125</v>
      </c>
      <c r="F1166" s="974" t="s">
        <v>870</v>
      </c>
      <c r="G1166" s="969">
        <f t="shared" ref="G1166" si="242">VLOOKUP(B1166,$O$43:$P$53,2,FALSE)</f>
        <v>29.94</v>
      </c>
      <c r="H1166" s="930">
        <f t="shared" si="239"/>
        <v>10203.93</v>
      </c>
      <c r="I1166" s="970"/>
      <c r="J1166" s="930">
        <f t="shared" si="240"/>
        <v>0</v>
      </c>
      <c r="K1166" s="931">
        <f t="shared" si="241"/>
        <v>10203.93</v>
      </c>
      <c r="L1166" s="971"/>
      <c r="M1166" s="954"/>
      <c r="N1166" s="954"/>
      <c r="O1166" s="954"/>
      <c r="P1166" s="954"/>
      <c r="Q1166" s="954"/>
      <c r="R1166" s="954"/>
      <c r="S1166" s="954"/>
      <c r="T1166" s="954"/>
      <c r="U1166" s="954"/>
    </row>
    <row r="1167" spans="1:21" s="933" customFormat="1" ht="24" customHeight="1">
      <c r="A1167" s="1026"/>
      <c r="B1167" s="976" t="s">
        <v>871</v>
      </c>
      <c r="C1167" s="976"/>
      <c r="D1167" s="976"/>
      <c r="E1167" s="978"/>
      <c r="F1167" s="982"/>
      <c r="G1167" s="983"/>
      <c r="H1167" s="930">
        <f t="shared" si="239"/>
        <v>0</v>
      </c>
      <c r="I1167" s="970"/>
      <c r="J1167" s="930">
        <f t="shared" si="240"/>
        <v>0</v>
      </c>
      <c r="K1167" s="931">
        <f t="shared" si="241"/>
        <v>0</v>
      </c>
      <c r="L1167" s="971"/>
      <c r="M1167" s="954"/>
      <c r="N1167" s="954"/>
      <c r="O1167" s="954"/>
      <c r="P1167" s="954"/>
      <c r="Q1167" s="954"/>
      <c r="R1167" s="954"/>
      <c r="S1167" s="954"/>
      <c r="T1167" s="954"/>
      <c r="U1167" s="954"/>
    </row>
    <row r="1168" spans="1:21" s="933" customFormat="1" ht="24" customHeight="1">
      <c r="A1168" s="1026"/>
      <c r="B1168" s="976" t="s">
        <v>872</v>
      </c>
      <c r="C1168" s="976"/>
      <c r="D1168" s="976"/>
      <c r="E1168" s="978">
        <v>0</v>
      </c>
      <c r="F1168" s="974" t="s">
        <v>870</v>
      </c>
      <c r="G1168" s="969">
        <f t="shared" ref="G1168:G1176" si="243">VLOOKUP(B1168,$O$43:$P$53,2,FALSE)</f>
        <v>25.73</v>
      </c>
      <c r="H1168" s="930">
        <f t="shared" si="239"/>
        <v>0</v>
      </c>
      <c r="I1168" s="984">
        <v>4.0999999999999996</v>
      </c>
      <c r="J1168" s="930">
        <f t="shared" si="240"/>
        <v>0</v>
      </c>
      <c r="K1168" s="931">
        <f t="shared" si="241"/>
        <v>0</v>
      </c>
      <c r="L1168" s="971"/>
      <c r="M1168" s="954"/>
      <c r="N1168" s="954"/>
      <c r="O1168" s="954"/>
      <c r="P1168" s="954"/>
      <c r="Q1168" s="954"/>
      <c r="R1168" s="954"/>
      <c r="S1168" s="954"/>
      <c r="T1168" s="954"/>
      <c r="U1168" s="954"/>
    </row>
    <row r="1169" spans="1:21" s="933" customFormat="1" ht="24" customHeight="1">
      <c r="A1169" s="1026"/>
      <c r="B1169" s="976" t="s">
        <v>873</v>
      </c>
      <c r="C1169" s="976"/>
      <c r="D1169" s="976"/>
      <c r="E1169" s="978">
        <v>8732.5400000000009</v>
      </c>
      <c r="F1169" s="974" t="s">
        <v>870</v>
      </c>
      <c r="G1169" s="969">
        <f t="shared" si="243"/>
        <v>24.97</v>
      </c>
      <c r="H1169" s="930">
        <f t="shared" si="239"/>
        <v>218051.52</v>
      </c>
      <c r="I1169" s="970">
        <v>4.0999999999999996</v>
      </c>
      <c r="J1169" s="930">
        <f t="shared" si="240"/>
        <v>35803.410000000003</v>
      </c>
      <c r="K1169" s="931">
        <f t="shared" si="241"/>
        <v>253854.93</v>
      </c>
      <c r="L1169" s="971"/>
      <c r="M1169" s="954"/>
      <c r="N1169" s="954"/>
      <c r="O1169" s="954"/>
      <c r="P1169" s="954"/>
      <c r="Q1169" s="954"/>
      <c r="R1169" s="954"/>
      <c r="S1169" s="954"/>
      <c r="T1169" s="954"/>
      <c r="U1169" s="954"/>
    </row>
    <row r="1170" spans="1:21" s="933" customFormat="1" ht="24" customHeight="1">
      <c r="A1170" s="1026"/>
      <c r="B1170" s="976" t="s">
        <v>874</v>
      </c>
      <c r="C1170" s="976"/>
      <c r="D1170" s="976"/>
      <c r="E1170" s="978">
        <v>9024.06</v>
      </c>
      <c r="F1170" s="974" t="s">
        <v>870</v>
      </c>
      <c r="G1170" s="969">
        <f t="shared" si="243"/>
        <v>24.47</v>
      </c>
      <c r="H1170" s="930">
        <f t="shared" si="239"/>
        <v>220818.75</v>
      </c>
      <c r="I1170" s="970">
        <v>3.3</v>
      </c>
      <c r="J1170" s="930">
        <f t="shared" si="240"/>
        <v>29779.4</v>
      </c>
      <c r="K1170" s="931">
        <f t="shared" si="241"/>
        <v>250598.15</v>
      </c>
      <c r="L1170" s="971"/>
      <c r="M1170" s="954"/>
      <c r="N1170" s="954"/>
      <c r="O1170" s="954"/>
      <c r="P1170" s="954"/>
      <c r="Q1170" s="954"/>
      <c r="R1170" s="954"/>
      <c r="S1170" s="954"/>
      <c r="T1170" s="954"/>
      <c r="U1170" s="954"/>
    </row>
    <row r="1171" spans="1:21" s="933" customFormat="1" ht="24" customHeight="1">
      <c r="A1171" s="1026"/>
      <c r="B1171" s="976" t="s">
        <v>875</v>
      </c>
      <c r="C1171" s="976"/>
      <c r="D1171" s="976"/>
      <c r="E1171" s="978">
        <v>50.51</v>
      </c>
      <c r="F1171" s="982" t="s">
        <v>870</v>
      </c>
      <c r="G1171" s="969">
        <f t="shared" si="243"/>
        <v>24.27</v>
      </c>
      <c r="H1171" s="930">
        <f t="shared" si="239"/>
        <v>1225.8800000000001</v>
      </c>
      <c r="I1171" s="970">
        <v>3.3</v>
      </c>
      <c r="J1171" s="930">
        <f t="shared" si="240"/>
        <v>166.68</v>
      </c>
      <c r="K1171" s="931">
        <f t="shared" si="241"/>
        <v>1392.5600000000002</v>
      </c>
      <c r="L1171" s="971"/>
      <c r="M1171" s="954"/>
      <c r="N1171" s="954"/>
      <c r="O1171" s="954"/>
      <c r="P1171" s="954"/>
      <c r="Q1171" s="954"/>
      <c r="R1171" s="954"/>
      <c r="S1171" s="954"/>
      <c r="T1171" s="954"/>
      <c r="U1171" s="954"/>
    </row>
    <row r="1172" spans="1:21" s="933" customFormat="1" ht="24" customHeight="1">
      <c r="A1172" s="1026"/>
      <c r="B1172" s="976" t="s">
        <v>876</v>
      </c>
      <c r="C1172" s="976"/>
      <c r="D1172" s="976"/>
      <c r="E1172" s="978">
        <v>0</v>
      </c>
      <c r="F1172" s="974" t="s">
        <v>870</v>
      </c>
      <c r="G1172" s="969">
        <f t="shared" si="243"/>
        <v>24.27</v>
      </c>
      <c r="H1172" s="930">
        <f t="shared" si="239"/>
        <v>0</v>
      </c>
      <c r="I1172" s="970">
        <v>2.9</v>
      </c>
      <c r="J1172" s="930">
        <f t="shared" si="240"/>
        <v>0</v>
      </c>
      <c r="K1172" s="931">
        <f t="shared" si="241"/>
        <v>0</v>
      </c>
      <c r="L1172" s="971"/>
      <c r="M1172" s="954"/>
      <c r="N1172" s="954"/>
      <c r="O1172" s="954"/>
      <c r="P1172" s="954"/>
      <c r="Q1172" s="954"/>
      <c r="R1172" s="954"/>
      <c r="S1172" s="954"/>
      <c r="T1172" s="954"/>
      <c r="U1172" s="954"/>
    </row>
    <row r="1173" spans="1:21" s="933" customFormat="1" ht="24" customHeight="1">
      <c r="A1173" s="1026"/>
      <c r="B1173" s="976" t="s">
        <v>877</v>
      </c>
      <c r="C1173" s="976"/>
      <c r="D1173" s="976"/>
      <c r="E1173" s="978">
        <v>37254.76</v>
      </c>
      <c r="F1173" s="974" t="s">
        <v>870</v>
      </c>
      <c r="G1173" s="969">
        <f t="shared" si="243"/>
        <v>24.27</v>
      </c>
      <c r="H1173" s="930">
        <f t="shared" si="239"/>
        <v>904173.03</v>
      </c>
      <c r="I1173" s="970">
        <v>2.9</v>
      </c>
      <c r="J1173" s="930">
        <f t="shared" si="240"/>
        <v>108038.8</v>
      </c>
      <c r="K1173" s="931">
        <f t="shared" si="241"/>
        <v>1012211.8300000001</v>
      </c>
      <c r="L1173" s="971"/>
      <c r="M1173" s="954"/>
      <c r="N1173" s="954"/>
      <c r="O1173" s="954"/>
      <c r="P1173" s="954"/>
      <c r="Q1173" s="954"/>
      <c r="R1173" s="954"/>
      <c r="S1173" s="954"/>
      <c r="T1173" s="954"/>
      <c r="U1173" s="954"/>
    </row>
    <row r="1174" spans="1:21" s="933" customFormat="1" ht="24" customHeight="1">
      <c r="A1174" s="1026"/>
      <c r="B1174" s="976" t="s">
        <v>878</v>
      </c>
      <c r="C1174" s="976"/>
      <c r="D1174" s="976"/>
      <c r="E1174" s="978">
        <v>0</v>
      </c>
      <c r="F1174" s="974" t="s">
        <v>870</v>
      </c>
      <c r="G1174" s="969">
        <f t="shared" si="243"/>
        <v>24.27</v>
      </c>
      <c r="H1174" s="930">
        <f t="shared" si="239"/>
        <v>0</v>
      </c>
      <c r="I1174" s="970">
        <v>2.9</v>
      </c>
      <c r="J1174" s="930">
        <f t="shared" si="240"/>
        <v>0</v>
      </c>
      <c r="K1174" s="931">
        <f t="shared" si="241"/>
        <v>0</v>
      </c>
      <c r="L1174" s="971"/>
      <c r="M1174" s="954"/>
      <c r="N1174" s="954"/>
      <c r="O1174" s="954"/>
      <c r="P1174" s="954"/>
      <c r="Q1174" s="954"/>
      <c r="R1174" s="954"/>
      <c r="S1174" s="954"/>
      <c r="T1174" s="954"/>
      <c r="U1174" s="954"/>
    </row>
    <row r="1175" spans="1:21" s="933" customFormat="1" ht="24" customHeight="1">
      <c r="A1175" s="1026"/>
      <c r="B1175" s="976" t="s">
        <v>879</v>
      </c>
      <c r="C1175" s="976"/>
      <c r="D1175" s="976"/>
      <c r="E1175" s="978">
        <v>0</v>
      </c>
      <c r="F1175" s="974" t="s">
        <v>870</v>
      </c>
      <c r="G1175" s="969">
        <f t="shared" si="243"/>
        <v>23.8</v>
      </c>
      <c r="H1175" s="930">
        <f t="shared" si="239"/>
        <v>0</v>
      </c>
      <c r="I1175" s="970">
        <v>2.9</v>
      </c>
      <c r="J1175" s="930">
        <f t="shared" si="240"/>
        <v>0</v>
      </c>
      <c r="K1175" s="931">
        <f t="shared" si="241"/>
        <v>0</v>
      </c>
      <c r="L1175" s="971"/>
      <c r="M1175" s="954"/>
      <c r="N1175" s="954"/>
      <c r="O1175" s="954"/>
      <c r="P1175" s="954"/>
      <c r="Q1175" s="954"/>
      <c r="R1175" s="954"/>
      <c r="S1175" s="954"/>
      <c r="T1175" s="954"/>
      <c r="U1175" s="954"/>
    </row>
    <row r="1176" spans="1:21" s="933" customFormat="1" ht="24" customHeight="1">
      <c r="A1176" s="1026"/>
      <c r="B1176" s="976" t="s">
        <v>880</v>
      </c>
      <c r="C1176" s="976"/>
      <c r="D1176" s="976"/>
      <c r="E1176" s="978">
        <f>(SUM(E1168:E1175)/1000)*30</f>
        <v>1651.8560999999997</v>
      </c>
      <c r="F1176" s="974" t="s">
        <v>870</v>
      </c>
      <c r="G1176" s="969">
        <f t="shared" si="243"/>
        <v>29.92</v>
      </c>
      <c r="H1176" s="930">
        <f t="shared" si="239"/>
        <v>49423.53</v>
      </c>
      <c r="I1176" s="970"/>
      <c r="J1176" s="930">
        <f t="shared" si="240"/>
        <v>0</v>
      </c>
      <c r="K1176" s="931">
        <f t="shared" si="241"/>
        <v>49423.53</v>
      </c>
      <c r="L1176" s="971"/>
      <c r="M1176" s="954"/>
      <c r="N1176" s="954"/>
      <c r="O1176" s="954"/>
      <c r="P1176" s="954"/>
      <c r="Q1176" s="954"/>
      <c r="R1176" s="954"/>
      <c r="S1176" s="954"/>
      <c r="T1176" s="954"/>
      <c r="U1176" s="954"/>
    </row>
    <row r="1177" spans="1:21" s="933" customFormat="1" ht="24" customHeight="1">
      <c r="A1177" s="1026"/>
      <c r="B1177" s="976" t="s">
        <v>881</v>
      </c>
      <c r="C1177" s="976"/>
      <c r="D1177" s="976"/>
      <c r="E1177" s="978"/>
      <c r="F1177" s="974"/>
      <c r="G1177" s="969"/>
      <c r="H1177" s="930"/>
      <c r="I1177" s="970"/>
      <c r="J1177" s="930"/>
      <c r="K1177" s="931"/>
      <c r="L1177" s="971"/>
      <c r="M1177" s="954"/>
      <c r="N1177" s="954"/>
      <c r="O1177" s="954"/>
      <c r="P1177" s="954"/>
      <c r="Q1177" s="954"/>
      <c r="R1177" s="954"/>
      <c r="S1177" s="954"/>
      <c r="T1177" s="954"/>
      <c r="U1177" s="954"/>
    </row>
    <row r="1178" spans="1:21" s="933" customFormat="1" ht="24" customHeight="1">
      <c r="A1178" s="1026"/>
      <c r="B1178" s="1021"/>
      <c r="C1178" s="976"/>
      <c r="D1178" s="976"/>
      <c r="E1178" s="978"/>
      <c r="F1178" s="974"/>
      <c r="G1178" s="969"/>
      <c r="H1178" s="930"/>
      <c r="I1178" s="970"/>
      <c r="J1178" s="930"/>
      <c r="K1178" s="931"/>
      <c r="L1178" s="971"/>
      <c r="M1178" s="954"/>
      <c r="N1178" s="954"/>
      <c r="O1178" s="954"/>
      <c r="P1178" s="954"/>
      <c r="Q1178" s="954"/>
      <c r="R1178" s="954"/>
      <c r="S1178" s="954"/>
      <c r="T1178" s="954"/>
      <c r="U1178" s="954"/>
    </row>
    <row r="1179" spans="1:21" s="933" customFormat="1" ht="24" customHeight="1">
      <c r="A1179" s="1026"/>
      <c r="B1179" s="1021"/>
      <c r="C1179" s="976"/>
      <c r="D1179" s="976"/>
      <c r="E1179" s="978"/>
      <c r="F1179" s="974"/>
      <c r="G1179" s="969"/>
      <c r="H1179" s="930"/>
      <c r="I1179" s="970"/>
      <c r="J1179" s="930"/>
      <c r="K1179" s="931"/>
      <c r="L1179" s="971"/>
      <c r="M1179" s="954"/>
      <c r="N1179" s="954"/>
      <c r="O1179" s="954"/>
      <c r="P1179" s="954"/>
      <c r="Q1179" s="954"/>
      <c r="R1179" s="954"/>
      <c r="S1179" s="954"/>
      <c r="T1179" s="954"/>
      <c r="U1179" s="954"/>
    </row>
    <row r="1180" spans="1:21" s="933" customFormat="1" ht="24" customHeight="1">
      <c r="A1180" s="1026"/>
      <c r="B1180" s="1021"/>
      <c r="C1180" s="976"/>
      <c r="D1180" s="976"/>
      <c r="E1180" s="978"/>
      <c r="F1180" s="974"/>
      <c r="G1180" s="969"/>
      <c r="H1180" s="930"/>
      <c r="I1180" s="970"/>
      <c r="J1180" s="930"/>
      <c r="K1180" s="931"/>
      <c r="L1180" s="971"/>
      <c r="M1180" s="954"/>
      <c r="N1180" s="954"/>
      <c r="O1180" s="954"/>
      <c r="P1180" s="954"/>
      <c r="Q1180" s="954"/>
      <c r="R1180" s="954"/>
      <c r="S1180" s="954"/>
      <c r="T1180" s="954"/>
      <c r="U1180" s="954"/>
    </row>
    <row r="1181" spans="1:21" s="933" customFormat="1" ht="24" customHeight="1">
      <c r="A1181" s="1026"/>
      <c r="B1181" s="1021"/>
      <c r="C1181" s="976"/>
      <c r="D1181" s="976"/>
      <c r="E1181" s="978"/>
      <c r="F1181" s="974"/>
      <c r="G1181" s="969"/>
      <c r="H1181" s="930"/>
      <c r="I1181" s="970"/>
      <c r="J1181" s="930"/>
      <c r="K1181" s="931"/>
      <c r="L1181" s="971"/>
      <c r="M1181" s="954"/>
      <c r="N1181" s="954"/>
      <c r="O1181" s="954"/>
      <c r="P1181" s="954"/>
      <c r="Q1181" s="954"/>
      <c r="R1181" s="954"/>
      <c r="S1181" s="954"/>
      <c r="T1181" s="954"/>
      <c r="U1181" s="954"/>
    </row>
    <row r="1182" spans="1:21" s="933" customFormat="1" ht="24" customHeight="1">
      <c r="A1182" s="1026"/>
      <c r="B1182" s="1021"/>
      <c r="C1182" s="976"/>
      <c r="D1182" s="976"/>
      <c r="E1182" s="978"/>
      <c r="F1182" s="974"/>
      <c r="G1182" s="969"/>
      <c r="H1182" s="930"/>
      <c r="I1182" s="970"/>
      <c r="J1182" s="930"/>
      <c r="K1182" s="931"/>
      <c r="L1182" s="971"/>
      <c r="M1182" s="954"/>
      <c r="N1182" s="954"/>
      <c r="O1182" s="954"/>
      <c r="P1182" s="954"/>
      <c r="Q1182" s="954"/>
      <c r="R1182" s="954"/>
      <c r="S1182" s="954"/>
      <c r="T1182" s="954"/>
      <c r="U1182" s="954"/>
    </row>
    <row r="1183" spans="1:21" s="933" customFormat="1" ht="24" customHeight="1">
      <c r="A1183" s="1026"/>
      <c r="B1183" s="1021"/>
      <c r="C1183" s="976"/>
      <c r="D1183" s="976"/>
      <c r="E1183" s="978"/>
      <c r="F1183" s="974"/>
      <c r="G1183" s="969"/>
      <c r="H1183" s="930"/>
      <c r="I1183" s="970"/>
      <c r="J1183" s="930"/>
      <c r="K1183" s="931"/>
      <c r="L1183" s="971"/>
      <c r="M1183" s="954"/>
      <c r="N1183" s="954"/>
      <c r="O1183" s="954"/>
      <c r="P1183" s="954"/>
      <c r="Q1183" s="954"/>
      <c r="R1183" s="954"/>
      <c r="S1183" s="954"/>
      <c r="T1183" s="954"/>
      <c r="U1183" s="954"/>
    </row>
    <row r="1184" spans="1:21" s="933" customFormat="1" ht="24" customHeight="1">
      <c r="A1184" s="1026"/>
      <c r="B1184" s="1021"/>
      <c r="C1184" s="976"/>
      <c r="D1184" s="976"/>
      <c r="E1184" s="978"/>
      <c r="F1184" s="974"/>
      <c r="G1184" s="969"/>
      <c r="H1184" s="930"/>
      <c r="I1184" s="970"/>
      <c r="J1184" s="930"/>
      <c r="K1184" s="931"/>
      <c r="L1184" s="971"/>
      <c r="M1184" s="954"/>
      <c r="N1184" s="954"/>
      <c r="O1184" s="954"/>
      <c r="P1184" s="954"/>
      <c r="Q1184" s="954"/>
      <c r="R1184" s="954"/>
      <c r="S1184" s="954"/>
      <c r="T1184" s="954"/>
      <c r="U1184" s="954"/>
    </row>
    <row r="1185" spans="1:21" s="933" customFormat="1" ht="24" customHeight="1">
      <c r="A1185" s="1026"/>
      <c r="B1185" s="1021"/>
      <c r="C1185" s="976"/>
      <c r="D1185" s="976"/>
      <c r="E1185" s="978"/>
      <c r="F1185" s="974"/>
      <c r="G1185" s="969"/>
      <c r="H1185" s="930"/>
      <c r="I1185" s="970"/>
      <c r="J1185" s="930"/>
      <c r="K1185" s="931"/>
      <c r="L1185" s="971"/>
      <c r="M1185" s="954"/>
      <c r="N1185" s="954"/>
      <c r="O1185" s="954"/>
      <c r="P1185" s="954"/>
      <c r="Q1185" s="954"/>
      <c r="R1185" s="954"/>
      <c r="S1185" s="954"/>
      <c r="T1185" s="954"/>
      <c r="U1185" s="954"/>
    </row>
    <row r="1186" spans="1:21" s="933" customFormat="1" ht="24" customHeight="1">
      <c r="A1186" s="1026" t="s">
        <v>975</v>
      </c>
      <c r="B1186" s="1030" t="s">
        <v>1036</v>
      </c>
      <c r="C1186" s="976"/>
      <c r="D1186" s="976"/>
      <c r="E1186" s="978"/>
      <c r="F1186" s="974"/>
      <c r="G1186" s="969"/>
      <c r="H1186" s="930"/>
      <c r="I1186" s="970"/>
      <c r="J1186" s="930"/>
      <c r="K1186" s="931"/>
      <c r="L1186" s="971"/>
      <c r="M1186" s="954"/>
      <c r="N1186" s="954"/>
      <c r="O1186" s="954"/>
      <c r="P1186" s="954"/>
      <c r="Q1186" s="954"/>
      <c r="R1186" s="954"/>
      <c r="S1186" s="954"/>
      <c r="T1186" s="954"/>
      <c r="U1186" s="954"/>
    </row>
    <row r="1187" spans="1:21" s="933" customFormat="1" ht="24" customHeight="1">
      <c r="A1187" s="1026"/>
      <c r="B1187" s="976" t="s">
        <v>864</v>
      </c>
      <c r="C1187" s="977"/>
      <c r="D1187" s="977"/>
      <c r="E1187" s="978">
        <v>154.25</v>
      </c>
      <c r="F1187" s="974" t="s">
        <v>865</v>
      </c>
      <c r="G1187" s="969">
        <v>2516</v>
      </c>
      <c r="H1187" s="930">
        <f t="shared" ref="H1187:H1201" si="244">ROUND(E1187*G1187,2)</f>
        <v>388093</v>
      </c>
      <c r="I1187" s="970">
        <v>485</v>
      </c>
      <c r="J1187" s="930">
        <f t="shared" ref="J1187:J1201" si="245">ROUND(E1187*I1187,2)</f>
        <v>74811.25</v>
      </c>
      <c r="K1187" s="931">
        <f t="shared" ref="K1187:K1201" si="246">H1187+J1187</f>
        <v>462904.25</v>
      </c>
      <c r="L1187" s="971"/>
      <c r="M1187" s="954"/>
      <c r="N1187" s="954"/>
      <c r="O1187" s="954"/>
      <c r="P1187" s="954"/>
      <c r="Q1187" s="954"/>
      <c r="R1187" s="954"/>
      <c r="S1187" s="954"/>
      <c r="T1187" s="954"/>
      <c r="U1187" s="954"/>
    </row>
    <row r="1188" spans="1:21" s="933" customFormat="1" ht="24" customHeight="1">
      <c r="A1188" s="1026"/>
      <c r="B1188" s="979" t="s">
        <v>866</v>
      </c>
      <c r="C1188" s="976"/>
      <c r="D1188" s="976"/>
      <c r="E1188" s="978"/>
      <c r="F1188" s="974"/>
      <c r="G1188" s="969"/>
      <c r="H1188" s="930">
        <f t="shared" si="244"/>
        <v>0</v>
      </c>
      <c r="I1188" s="970"/>
      <c r="J1188" s="930">
        <f t="shared" si="245"/>
        <v>0</v>
      </c>
      <c r="K1188" s="931">
        <f t="shared" si="246"/>
        <v>0</v>
      </c>
      <c r="L1188" s="971"/>
      <c r="M1188" s="954"/>
      <c r="N1188" s="954"/>
      <c r="O1188" s="954"/>
      <c r="P1188" s="954"/>
      <c r="Q1188" s="954"/>
      <c r="R1188" s="954"/>
      <c r="S1188" s="954"/>
      <c r="T1188" s="954"/>
      <c r="U1188" s="954"/>
    </row>
    <row r="1189" spans="1:21" s="933" customFormat="1" ht="24" customHeight="1">
      <c r="A1189" s="1026"/>
      <c r="B1189" s="979"/>
      <c r="C1189" s="976" t="s">
        <v>867</v>
      </c>
      <c r="D1189" s="976"/>
      <c r="E1189" s="978">
        <f>E1190/2</f>
        <v>457.70499999999998</v>
      </c>
      <c r="F1189" s="974" t="s">
        <v>34</v>
      </c>
      <c r="G1189" s="969">
        <v>661.62</v>
      </c>
      <c r="H1189" s="930">
        <f t="shared" si="244"/>
        <v>302826.78000000003</v>
      </c>
      <c r="I1189" s="970"/>
      <c r="J1189" s="930">
        <f t="shared" si="245"/>
        <v>0</v>
      </c>
      <c r="K1189" s="931">
        <f t="shared" si="246"/>
        <v>302826.78000000003</v>
      </c>
      <c r="L1189" s="971"/>
      <c r="M1189" s="954"/>
      <c r="N1189" s="954"/>
      <c r="O1189" s="954"/>
      <c r="P1189" s="954"/>
      <c r="Q1189" s="954"/>
      <c r="R1189" s="954"/>
      <c r="S1189" s="954"/>
      <c r="T1189" s="954"/>
      <c r="U1189" s="954"/>
    </row>
    <row r="1190" spans="1:21" s="933" customFormat="1" ht="24" customHeight="1">
      <c r="A1190" s="1026"/>
      <c r="B1190" s="979"/>
      <c r="C1190" s="976" t="s">
        <v>868</v>
      </c>
      <c r="D1190" s="976"/>
      <c r="E1190" s="978">
        <v>915.41</v>
      </c>
      <c r="F1190" s="974" t="s">
        <v>34</v>
      </c>
      <c r="G1190" s="969"/>
      <c r="H1190" s="930">
        <f t="shared" si="244"/>
        <v>0</v>
      </c>
      <c r="I1190" s="970">
        <v>154</v>
      </c>
      <c r="J1190" s="930">
        <f t="shared" si="245"/>
        <v>140973.14000000001</v>
      </c>
      <c r="K1190" s="931">
        <f t="shared" si="246"/>
        <v>140973.14000000001</v>
      </c>
      <c r="L1190" s="971"/>
      <c r="M1190" s="954"/>
      <c r="N1190" s="954"/>
      <c r="O1190" s="954"/>
      <c r="P1190" s="954"/>
      <c r="Q1190" s="954"/>
      <c r="R1190" s="954"/>
      <c r="S1190" s="954"/>
      <c r="T1190" s="954"/>
      <c r="U1190" s="954"/>
    </row>
    <row r="1191" spans="1:21" s="933" customFormat="1" ht="24" customHeight="1">
      <c r="A1191" s="1026"/>
      <c r="B1191" s="976" t="s">
        <v>869</v>
      </c>
      <c r="C1191" s="976"/>
      <c r="D1191" s="976"/>
      <c r="E1191" s="978">
        <f>(E1190*0.25)</f>
        <v>228.85249999999999</v>
      </c>
      <c r="F1191" s="974" t="s">
        <v>870</v>
      </c>
      <c r="G1191" s="969">
        <f t="shared" ref="G1191" si="247">VLOOKUP(B1191,$O$43:$P$53,2,FALSE)</f>
        <v>29.94</v>
      </c>
      <c r="H1191" s="930">
        <f t="shared" si="244"/>
        <v>6851.84</v>
      </c>
      <c r="I1191" s="970"/>
      <c r="J1191" s="930">
        <f t="shared" si="245"/>
        <v>0</v>
      </c>
      <c r="K1191" s="931">
        <f t="shared" si="246"/>
        <v>6851.84</v>
      </c>
      <c r="L1191" s="971"/>
      <c r="M1191" s="954"/>
      <c r="N1191" s="954"/>
      <c r="O1191" s="954"/>
      <c r="P1191" s="954"/>
      <c r="Q1191" s="954"/>
      <c r="R1191" s="954"/>
      <c r="S1191" s="954"/>
      <c r="T1191" s="954"/>
      <c r="U1191" s="954"/>
    </row>
    <row r="1192" spans="1:21" s="933" customFormat="1" ht="24" customHeight="1">
      <c r="A1192" s="1026"/>
      <c r="B1192" s="976" t="s">
        <v>871</v>
      </c>
      <c r="C1192" s="976"/>
      <c r="D1192" s="976"/>
      <c r="E1192" s="978"/>
      <c r="F1192" s="982"/>
      <c r="G1192" s="983"/>
      <c r="H1192" s="930">
        <f t="shared" si="244"/>
        <v>0</v>
      </c>
      <c r="I1192" s="970"/>
      <c r="J1192" s="930">
        <f t="shared" si="245"/>
        <v>0</v>
      </c>
      <c r="K1192" s="931">
        <f t="shared" si="246"/>
        <v>0</v>
      </c>
      <c r="L1192" s="971"/>
      <c r="M1192" s="954"/>
      <c r="N1192" s="954"/>
      <c r="O1192" s="954"/>
      <c r="P1192" s="954"/>
      <c r="Q1192" s="954"/>
      <c r="R1192" s="954"/>
      <c r="S1192" s="954"/>
      <c r="T1192" s="954"/>
      <c r="U1192" s="954"/>
    </row>
    <row r="1193" spans="1:21" s="933" customFormat="1" ht="24" customHeight="1">
      <c r="A1193" s="1026"/>
      <c r="B1193" s="976" t="s">
        <v>872</v>
      </c>
      <c r="C1193" s="976"/>
      <c r="D1193" s="976"/>
      <c r="E1193" s="978"/>
      <c r="F1193" s="974" t="s">
        <v>870</v>
      </c>
      <c r="G1193" s="969">
        <f t="shared" ref="G1193:G1201" si="248">VLOOKUP(B1193,$O$43:$P$53,2,FALSE)</f>
        <v>25.73</v>
      </c>
      <c r="H1193" s="930">
        <f t="shared" si="244"/>
        <v>0</v>
      </c>
      <c r="I1193" s="984">
        <v>4.0999999999999996</v>
      </c>
      <c r="J1193" s="930">
        <f t="shared" si="245"/>
        <v>0</v>
      </c>
      <c r="K1193" s="931">
        <f t="shared" si="246"/>
        <v>0</v>
      </c>
      <c r="L1193" s="971"/>
      <c r="M1193" s="954"/>
      <c r="N1193" s="954"/>
      <c r="O1193" s="954"/>
      <c r="P1193" s="954"/>
      <c r="Q1193" s="954"/>
      <c r="R1193" s="954"/>
      <c r="S1193" s="954"/>
      <c r="T1193" s="954"/>
      <c r="U1193" s="954"/>
    </row>
    <row r="1194" spans="1:21" s="933" customFormat="1" ht="24" customHeight="1">
      <c r="A1194" s="1026"/>
      <c r="B1194" s="976" t="s">
        <v>873</v>
      </c>
      <c r="C1194" s="976"/>
      <c r="D1194" s="976"/>
      <c r="E1194" s="978"/>
      <c r="F1194" s="974" t="s">
        <v>870</v>
      </c>
      <c r="G1194" s="969">
        <f t="shared" si="248"/>
        <v>24.97</v>
      </c>
      <c r="H1194" s="930">
        <f t="shared" si="244"/>
        <v>0</v>
      </c>
      <c r="I1194" s="970">
        <v>4.0999999999999996</v>
      </c>
      <c r="J1194" s="930">
        <f t="shared" si="245"/>
        <v>0</v>
      </c>
      <c r="K1194" s="931">
        <f t="shared" si="246"/>
        <v>0</v>
      </c>
      <c r="L1194" s="971"/>
      <c r="M1194" s="954"/>
      <c r="N1194" s="954"/>
      <c r="O1194" s="954"/>
      <c r="P1194" s="954"/>
      <c r="Q1194" s="954"/>
      <c r="R1194" s="954"/>
      <c r="S1194" s="954"/>
      <c r="T1194" s="954"/>
      <c r="U1194" s="954"/>
    </row>
    <row r="1195" spans="1:21" s="933" customFormat="1" ht="24" customHeight="1">
      <c r="A1195" s="1026"/>
      <c r="B1195" s="976" t="s">
        <v>874</v>
      </c>
      <c r="C1195" s="976"/>
      <c r="D1195" s="976"/>
      <c r="E1195" s="978">
        <v>4854.3100000000004</v>
      </c>
      <c r="F1195" s="974" t="s">
        <v>870</v>
      </c>
      <c r="G1195" s="969">
        <f t="shared" si="248"/>
        <v>24.47</v>
      </c>
      <c r="H1195" s="930">
        <f t="shared" si="244"/>
        <v>118784.97</v>
      </c>
      <c r="I1195" s="970">
        <v>3.3</v>
      </c>
      <c r="J1195" s="930">
        <f t="shared" si="245"/>
        <v>16019.22</v>
      </c>
      <c r="K1195" s="931">
        <f t="shared" si="246"/>
        <v>134804.19</v>
      </c>
      <c r="L1195" s="971"/>
      <c r="M1195" s="954"/>
      <c r="N1195" s="954"/>
      <c r="O1195" s="954"/>
      <c r="P1195" s="954"/>
      <c r="Q1195" s="954"/>
      <c r="R1195" s="954"/>
      <c r="S1195" s="954"/>
      <c r="T1195" s="954"/>
      <c r="U1195" s="954"/>
    </row>
    <row r="1196" spans="1:21" s="933" customFormat="1" ht="24" customHeight="1">
      <c r="A1196" s="1026"/>
      <c r="B1196" s="976" t="s">
        <v>875</v>
      </c>
      <c r="C1196" s="976"/>
      <c r="D1196" s="976"/>
      <c r="E1196" s="978">
        <v>13791.74</v>
      </c>
      <c r="F1196" s="982" t="s">
        <v>870</v>
      </c>
      <c r="G1196" s="969">
        <f t="shared" si="248"/>
        <v>24.27</v>
      </c>
      <c r="H1196" s="930">
        <f t="shared" si="244"/>
        <v>334725.53000000003</v>
      </c>
      <c r="I1196" s="970">
        <v>3.3</v>
      </c>
      <c r="J1196" s="930">
        <f t="shared" si="245"/>
        <v>45512.74</v>
      </c>
      <c r="K1196" s="931">
        <f t="shared" si="246"/>
        <v>380238.27</v>
      </c>
      <c r="L1196" s="971"/>
      <c r="M1196" s="954"/>
      <c r="N1196" s="954"/>
      <c r="O1196" s="954"/>
      <c r="P1196" s="954"/>
      <c r="Q1196" s="954"/>
      <c r="R1196" s="954"/>
      <c r="S1196" s="954"/>
      <c r="T1196" s="954"/>
      <c r="U1196" s="954"/>
    </row>
    <row r="1197" spans="1:21" s="933" customFormat="1" ht="24" customHeight="1">
      <c r="A1197" s="1026"/>
      <c r="B1197" s="976" t="s">
        <v>876</v>
      </c>
      <c r="C1197" s="976"/>
      <c r="D1197" s="976"/>
      <c r="E1197" s="978">
        <v>14299.08</v>
      </c>
      <c r="F1197" s="974" t="s">
        <v>870</v>
      </c>
      <c r="G1197" s="969">
        <f t="shared" si="248"/>
        <v>24.27</v>
      </c>
      <c r="H1197" s="930">
        <f t="shared" si="244"/>
        <v>347038.67</v>
      </c>
      <c r="I1197" s="970">
        <v>2.9</v>
      </c>
      <c r="J1197" s="930">
        <f t="shared" si="245"/>
        <v>41467.33</v>
      </c>
      <c r="K1197" s="931">
        <f t="shared" si="246"/>
        <v>388506</v>
      </c>
      <c r="L1197" s="971"/>
      <c r="M1197" s="954"/>
      <c r="N1197" s="954"/>
      <c r="O1197" s="954"/>
      <c r="P1197" s="954"/>
      <c r="Q1197" s="954"/>
      <c r="R1197" s="954"/>
      <c r="S1197" s="954"/>
      <c r="T1197" s="954"/>
      <c r="U1197" s="954"/>
    </row>
    <row r="1198" spans="1:21" s="933" customFormat="1" ht="24" customHeight="1">
      <c r="A1198" s="1026"/>
      <c r="B1198" s="976" t="s">
        <v>877</v>
      </c>
      <c r="C1198" s="976"/>
      <c r="D1198" s="976"/>
      <c r="E1198" s="978">
        <v>8670.82</v>
      </c>
      <c r="F1198" s="974" t="s">
        <v>870</v>
      </c>
      <c r="G1198" s="969">
        <f t="shared" si="248"/>
        <v>24.27</v>
      </c>
      <c r="H1198" s="930">
        <f t="shared" si="244"/>
        <v>210440.8</v>
      </c>
      <c r="I1198" s="970">
        <v>2.9</v>
      </c>
      <c r="J1198" s="930">
        <f t="shared" si="245"/>
        <v>25145.38</v>
      </c>
      <c r="K1198" s="931">
        <f t="shared" si="246"/>
        <v>235586.18</v>
      </c>
      <c r="L1198" s="971"/>
      <c r="M1198" s="954"/>
      <c r="N1198" s="954"/>
      <c r="O1198" s="954"/>
      <c r="P1198" s="954"/>
      <c r="Q1198" s="954"/>
      <c r="R1198" s="954"/>
      <c r="S1198" s="954"/>
      <c r="T1198" s="954"/>
      <c r="U1198" s="954"/>
    </row>
    <row r="1199" spans="1:21" s="933" customFormat="1" ht="24" customHeight="1">
      <c r="A1199" s="1026"/>
      <c r="B1199" s="976" t="s">
        <v>878</v>
      </c>
      <c r="C1199" s="976"/>
      <c r="D1199" s="976"/>
      <c r="E1199" s="978"/>
      <c r="F1199" s="974" t="s">
        <v>870</v>
      </c>
      <c r="G1199" s="969">
        <f t="shared" si="248"/>
        <v>24.27</v>
      </c>
      <c r="H1199" s="930">
        <f t="shared" si="244"/>
        <v>0</v>
      </c>
      <c r="I1199" s="970">
        <v>2.9</v>
      </c>
      <c r="J1199" s="930">
        <f t="shared" si="245"/>
        <v>0</v>
      </c>
      <c r="K1199" s="931">
        <f t="shared" si="246"/>
        <v>0</v>
      </c>
      <c r="L1199" s="971"/>
      <c r="M1199" s="954"/>
      <c r="N1199" s="954"/>
      <c r="O1199" s="954"/>
      <c r="P1199" s="954"/>
      <c r="Q1199" s="954"/>
      <c r="R1199" s="954"/>
      <c r="S1199" s="954"/>
      <c r="T1199" s="954"/>
      <c r="U1199" s="954"/>
    </row>
    <row r="1200" spans="1:21" s="933" customFormat="1" ht="24" customHeight="1">
      <c r="A1200" s="1026"/>
      <c r="B1200" s="976" t="s">
        <v>879</v>
      </c>
      <c r="C1200" s="976"/>
      <c r="D1200" s="976"/>
      <c r="E1200" s="978"/>
      <c r="F1200" s="974" t="s">
        <v>870</v>
      </c>
      <c r="G1200" s="969">
        <f t="shared" si="248"/>
        <v>23.8</v>
      </c>
      <c r="H1200" s="930">
        <f t="shared" si="244"/>
        <v>0</v>
      </c>
      <c r="I1200" s="970">
        <v>2.9</v>
      </c>
      <c r="J1200" s="930">
        <f t="shared" si="245"/>
        <v>0</v>
      </c>
      <c r="K1200" s="931">
        <f t="shared" si="246"/>
        <v>0</v>
      </c>
      <c r="L1200" s="971"/>
      <c r="M1200" s="954"/>
      <c r="N1200" s="954"/>
      <c r="O1200" s="954"/>
      <c r="P1200" s="954"/>
      <c r="Q1200" s="954"/>
      <c r="R1200" s="954"/>
      <c r="S1200" s="954"/>
      <c r="T1200" s="954"/>
      <c r="U1200" s="954"/>
    </row>
    <row r="1201" spans="1:21" s="933" customFormat="1" ht="24" customHeight="1">
      <c r="A1201" s="1026"/>
      <c r="B1201" s="976" t="s">
        <v>880</v>
      </c>
      <c r="C1201" s="976"/>
      <c r="D1201" s="976"/>
      <c r="E1201" s="978">
        <f>(SUM(E1193:E1200)/1000)*30</f>
        <v>1248.4784999999999</v>
      </c>
      <c r="F1201" s="974" t="s">
        <v>870</v>
      </c>
      <c r="G1201" s="969">
        <f t="shared" si="248"/>
        <v>29.92</v>
      </c>
      <c r="H1201" s="930">
        <f t="shared" si="244"/>
        <v>37354.480000000003</v>
      </c>
      <c r="I1201" s="970"/>
      <c r="J1201" s="930">
        <f t="shared" si="245"/>
        <v>0</v>
      </c>
      <c r="K1201" s="931">
        <f t="shared" si="246"/>
        <v>37354.480000000003</v>
      </c>
      <c r="L1201" s="971"/>
      <c r="M1201" s="954"/>
      <c r="N1201" s="954"/>
      <c r="O1201" s="954"/>
      <c r="P1201" s="954"/>
      <c r="Q1201" s="954"/>
      <c r="R1201" s="954"/>
      <c r="S1201" s="954"/>
      <c r="T1201" s="954"/>
      <c r="U1201" s="954"/>
    </row>
    <row r="1202" spans="1:21" s="933" customFormat="1" ht="24" customHeight="1">
      <c r="A1202" s="1026"/>
      <c r="B1202" s="976" t="s">
        <v>881</v>
      </c>
      <c r="C1202" s="976"/>
      <c r="D1202" s="976"/>
      <c r="E1202" s="978"/>
      <c r="F1202" s="974"/>
      <c r="G1202" s="969"/>
      <c r="H1202" s="930"/>
      <c r="I1202" s="970"/>
      <c r="J1202" s="930"/>
      <c r="K1202" s="931"/>
      <c r="L1202" s="971"/>
      <c r="M1202" s="954"/>
      <c r="N1202" s="954"/>
      <c r="O1202" s="954"/>
      <c r="P1202" s="954"/>
      <c r="Q1202" s="954"/>
      <c r="R1202" s="954"/>
      <c r="S1202" s="954"/>
      <c r="T1202" s="954"/>
      <c r="U1202" s="954"/>
    </row>
    <row r="1203" spans="1:21" s="933" customFormat="1" ht="24" customHeight="1">
      <c r="A1203" s="1026"/>
      <c r="B1203" s="1021"/>
      <c r="C1203" s="976"/>
      <c r="D1203" s="976"/>
      <c r="E1203" s="978"/>
      <c r="F1203" s="974"/>
      <c r="G1203" s="969"/>
      <c r="H1203" s="930"/>
      <c r="I1203" s="970"/>
      <c r="J1203" s="930"/>
      <c r="K1203" s="931"/>
      <c r="L1203" s="971"/>
      <c r="M1203" s="954"/>
      <c r="N1203" s="954"/>
      <c r="O1203" s="954"/>
      <c r="P1203" s="954"/>
      <c r="Q1203" s="954"/>
      <c r="R1203" s="954"/>
      <c r="S1203" s="954"/>
      <c r="T1203" s="954"/>
      <c r="U1203" s="954"/>
    </row>
    <row r="1204" spans="1:21" s="933" customFormat="1" ht="24" customHeight="1">
      <c r="A1204" s="1026"/>
      <c r="B1204" s="1021"/>
      <c r="C1204" s="976"/>
      <c r="D1204" s="976"/>
      <c r="E1204" s="978"/>
      <c r="F1204" s="974"/>
      <c r="G1204" s="969"/>
      <c r="H1204" s="930"/>
      <c r="I1204" s="970"/>
      <c r="J1204" s="930"/>
      <c r="K1204" s="931"/>
      <c r="L1204" s="971"/>
      <c r="M1204" s="954"/>
      <c r="N1204" s="954"/>
      <c r="O1204" s="954"/>
      <c r="P1204" s="954"/>
      <c r="Q1204" s="954"/>
      <c r="R1204" s="954"/>
      <c r="S1204" s="954"/>
      <c r="T1204" s="954"/>
      <c r="U1204" s="954"/>
    </row>
    <row r="1205" spans="1:21" s="933" customFormat="1" ht="24" customHeight="1">
      <c r="A1205" s="1026"/>
      <c r="B1205" s="1021"/>
      <c r="C1205" s="976"/>
      <c r="D1205" s="976"/>
      <c r="E1205" s="978"/>
      <c r="F1205" s="974"/>
      <c r="G1205" s="969"/>
      <c r="H1205" s="930"/>
      <c r="I1205" s="970"/>
      <c r="J1205" s="930"/>
      <c r="K1205" s="931"/>
      <c r="L1205" s="971"/>
      <c r="M1205" s="954"/>
      <c r="N1205" s="954"/>
      <c r="O1205" s="954"/>
      <c r="P1205" s="954"/>
      <c r="Q1205" s="954"/>
      <c r="R1205" s="954"/>
      <c r="S1205" s="954"/>
      <c r="T1205" s="954"/>
      <c r="U1205" s="954"/>
    </row>
    <row r="1206" spans="1:21" s="933" customFormat="1" ht="24" customHeight="1">
      <c r="A1206" s="1026"/>
      <c r="B1206" s="1021"/>
      <c r="C1206" s="976"/>
      <c r="D1206" s="976"/>
      <c r="E1206" s="978"/>
      <c r="F1206" s="974"/>
      <c r="G1206" s="969"/>
      <c r="H1206" s="930"/>
      <c r="I1206" s="970"/>
      <c r="J1206" s="930"/>
      <c r="K1206" s="931"/>
      <c r="L1206" s="971"/>
      <c r="M1206" s="954"/>
      <c r="N1206" s="954"/>
      <c r="O1206" s="954"/>
      <c r="P1206" s="954"/>
      <c r="Q1206" s="954"/>
      <c r="R1206" s="954"/>
      <c r="S1206" s="954"/>
      <c r="T1206" s="954"/>
      <c r="U1206" s="954"/>
    </row>
    <row r="1207" spans="1:21" s="933" customFormat="1" ht="24" customHeight="1">
      <c r="A1207" s="1026"/>
      <c r="B1207" s="1021"/>
      <c r="C1207" s="976"/>
      <c r="D1207" s="976"/>
      <c r="E1207" s="978"/>
      <c r="F1207" s="974"/>
      <c r="G1207" s="969"/>
      <c r="H1207" s="930"/>
      <c r="I1207" s="970"/>
      <c r="J1207" s="930"/>
      <c r="K1207" s="931"/>
      <c r="L1207" s="971"/>
      <c r="M1207" s="954"/>
      <c r="N1207" s="954"/>
      <c r="O1207" s="954"/>
      <c r="P1207" s="954"/>
      <c r="Q1207" s="954"/>
      <c r="R1207" s="954"/>
      <c r="S1207" s="954"/>
      <c r="T1207" s="954"/>
      <c r="U1207" s="954"/>
    </row>
    <row r="1208" spans="1:21" s="933" customFormat="1" ht="24" customHeight="1">
      <c r="A1208" s="1026"/>
      <c r="B1208" s="1021"/>
      <c r="C1208" s="976"/>
      <c r="D1208" s="976"/>
      <c r="E1208" s="978"/>
      <c r="F1208" s="974"/>
      <c r="G1208" s="969"/>
      <c r="H1208" s="930"/>
      <c r="I1208" s="970"/>
      <c r="J1208" s="930"/>
      <c r="K1208" s="931"/>
      <c r="L1208" s="971"/>
      <c r="M1208" s="954"/>
      <c r="N1208" s="954"/>
      <c r="O1208" s="954"/>
      <c r="P1208" s="954"/>
      <c r="Q1208" s="954"/>
      <c r="R1208" s="954"/>
      <c r="S1208" s="954"/>
      <c r="T1208" s="954"/>
      <c r="U1208" s="954"/>
    </row>
    <row r="1209" spans="1:21" s="933" customFormat="1" ht="24" customHeight="1">
      <c r="A1209" s="1026"/>
      <c r="B1209" s="1021"/>
      <c r="C1209" s="976"/>
      <c r="D1209" s="976"/>
      <c r="E1209" s="978"/>
      <c r="F1209" s="974"/>
      <c r="G1209" s="969"/>
      <c r="H1209" s="930"/>
      <c r="I1209" s="970"/>
      <c r="J1209" s="930"/>
      <c r="K1209" s="931"/>
      <c r="L1209" s="971"/>
      <c r="M1209" s="954"/>
      <c r="N1209" s="954"/>
      <c r="O1209" s="954"/>
      <c r="P1209" s="954"/>
      <c r="Q1209" s="954"/>
      <c r="R1209" s="954"/>
      <c r="S1209" s="954"/>
      <c r="T1209" s="954"/>
      <c r="U1209" s="954"/>
    </row>
    <row r="1210" spans="1:21" s="933" customFormat="1" ht="24" customHeight="1">
      <c r="A1210" s="1026"/>
      <c r="B1210" s="1021"/>
      <c r="C1210" s="976"/>
      <c r="D1210" s="976"/>
      <c r="E1210" s="978"/>
      <c r="F1210" s="974"/>
      <c r="G1210" s="969"/>
      <c r="H1210" s="930"/>
      <c r="I1210" s="970"/>
      <c r="J1210" s="930"/>
      <c r="K1210" s="931"/>
      <c r="L1210" s="971"/>
      <c r="M1210" s="954"/>
      <c r="N1210" s="954"/>
      <c r="O1210" s="954"/>
      <c r="P1210" s="954"/>
      <c r="Q1210" s="954"/>
      <c r="R1210" s="954"/>
      <c r="S1210" s="954"/>
      <c r="T1210" s="954"/>
      <c r="U1210" s="954"/>
    </row>
    <row r="1211" spans="1:21" s="933" customFormat="1" ht="24" customHeight="1">
      <c r="A1211" s="1026" t="s">
        <v>976</v>
      </c>
      <c r="B1211" s="1030" t="s">
        <v>977</v>
      </c>
      <c r="C1211" s="976"/>
      <c r="D1211" s="976"/>
      <c r="E1211" s="978"/>
      <c r="F1211" s="974"/>
      <c r="G1211" s="969"/>
      <c r="H1211" s="930"/>
      <c r="I1211" s="970"/>
      <c r="J1211" s="930"/>
      <c r="K1211" s="931"/>
      <c r="L1211" s="971"/>
      <c r="M1211" s="954"/>
      <c r="N1211" s="954"/>
      <c r="O1211" s="954"/>
      <c r="P1211" s="954"/>
      <c r="Q1211" s="954"/>
      <c r="R1211" s="954"/>
      <c r="S1211" s="954"/>
      <c r="T1211" s="954"/>
      <c r="U1211" s="954"/>
    </row>
    <row r="1212" spans="1:21" s="933" customFormat="1" ht="24" customHeight="1">
      <c r="A1212" s="1026"/>
      <c r="B1212" s="976" t="s">
        <v>864</v>
      </c>
      <c r="C1212" s="977"/>
      <c r="D1212" s="977"/>
      <c r="E1212" s="978">
        <v>17.1828</v>
      </c>
      <c r="F1212" s="974" t="s">
        <v>865</v>
      </c>
      <c r="G1212" s="969">
        <v>2516</v>
      </c>
      <c r="H1212" s="930">
        <f t="shared" ref="H1212:H1226" si="249">ROUND(E1212*G1212,2)</f>
        <v>43231.92</v>
      </c>
      <c r="I1212" s="970">
        <v>485</v>
      </c>
      <c r="J1212" s="930">
        <f t="shared" ref="J1212:J1226" si="250">ROUND(E1212*I1212,2)</f>
        <v>8333.66</v>
      </c>
      <c r="K1212" s="931">
        <f t="shared" ref="K1212:K1226" si="251">H1212+J1212</f>
        <v>51565.58</v>
      </c>
      <c r="L1212" s="971"/>
      <c r="M1212" s="954"/>
      <c r="N1212" s="954"/>
      <c r="O1212" s="954"/>
      <c r="P1212" s="954"/>
      <c r="Q1212" s="954"/>
      <c r="R1212" s="954"/>
      <c r="S1212" s="954"/>
      <c r="T1212" s="954"/>
      <c r="U1212" s="954"/>
    </row>
    <row r="1213" spans="1:21" s="933" customFormat="1" ht="24" customHeight="1">
      <c r="A1213" s="1026"/>
      <c r="B1213" s="979" t="s">
        <v>866</v>
      </c>
      <c r="C1213" s="976"/>
      <c r="D1213" s="976"/>
      <c r="E1213" s="978"/>
      <c r="F1213" s="974"/>
      <c r="G1213" s="969"/>
      <c r="H1213" s="930">
        <f t="shared" si="249"/>
        <v>0</v>
      </c>
      <c r="I1213" s="970"/>
      <c r="J1213" s="930">
        <f t="shared" si="250"/>
        <v>0</v>
      </c>
      <c r="K1213" s="931">
        <f t="shared" si="251"/>
        <v>0</v>
      </c>
      <c r="L1213" s="971"/>
      <c r="M1213" s="954"/>
      <c r="N1213" s="954"/>
      <c r="O1213" s="954"/>
      <c r="P1213" s="954"/>
      <c r="Q1213" s="954"/>
      <c r="R1213" s="954"/>
      <c r="S1213" s="954"/>
      <c r="T1213" s="954"/>
      <c r="U1213" s="954"/>
    </row>
    <row r="1214" spans="1:21" s="933" customFormat="1" ht="24" customHeight="1">
      <c r="A1214" s="1026"/>
      <c r="B1214" s="979"/>
      <c r="C1214" s="976" t="s">
        <v>867</v>
      </c>
      <c r="D1214" s="976"/>
      <c r="E1214" s="978">
        <f>E1215/2</f>
        <v>58.164000000000001</v>
      </c>
      <c r="F1214" s="974" t="s">
        <v>34</v>
      </c>
      <c r="G1214" s="969">
        <v>661.62</v>
      </c>
      <c r="H1214" s="930">
        <f t="shared" si="249"/>
        <v>38482.47</v>
      </c>
      <c r="I1214" s="970"/>
      <c r="J1214" s="930">
        <f t="shared" si="250"/>
        <v>0</v>
      </c>
      <c r="K1214" s="931">
        <f t="shared" si="251"/>
        <v>38482.47</v>
      </c>
      <c r="L1214" s="971"/>
      <c r="M1214" s="954"/>
      <c r="N1214" s="954"/>
      <c r="O1214" s="954"/>
      <c r="P1214" s="954"/>
      <c r="Q1214" s="954"/>
      <c r="R1214" s="954"/>
      <c r="S1214" s="954"/>
      <c r="T1214" s="954"/>
      <c r="U1214" s="954"/>
    </row>
    <row r="1215" spans="1:21" s="933" customFormat="1" ht="24" customHeight="1">
      <c r="A1215" s="1026"/>
      <c r="B1215" s="979"/>
      <c r="C1215" s="976" t="s">
        <v>868</v>
      </c>
      <c r="D1215" s="976"/>
      <c r="E1215" s="978">
        <v>116.328</v>
      </c>
      <c r="F1215" s="974" t="s">
        <v>34</v>
      </c>
      <c r="G1215" s="969"/>
      <c r="H1215" s="930">
        <f t="shared" si="249"/>
        <v>0</v>
      </c>
      <c r="I1215" s="970">
        <v>154</v>
      </c>
      <c r="J1215" s="930">
        <f t="shared" si="250"/>
        <v>17914.509999999998</v>
      </c>
      <c r="K1215" s="931">
        <f t="shared" si="251"/>
        <v>17914.509999999998</v>
      </c>
      <c r="L1215" s="971"/>
      <c r="M1215" s="954"/>
      <c r="N1215" s="954"/>
      <c r="O1215" s="954"/>
      <c r="P1215" s="954"/>
      <c r="Q1215" s="954"/>
      <c r="R1215" s="954"/>
      <c r="S1215" s="954"/>
      <c r="T1215" s="954"/>
      <c r="U1215" s="954"/>
    </row>
    <row r="1216" spans="1:21" s="933" customFormat="1" ht="24" customHeight="1">
      <c r="A1216" s="1026"/>
      <c r="B1216" s="976" t="s">
        <v>869</v>
      </c>
      <c r="C1216" s="976"/>
      <c r="D1216" s="976"/>
      <c r="E1216" s="978">
        <f>(E1215*0.25)</f>
        <v>29.082000000000001</v>
      </c>
      <c r="F1216" s="974" t="s">
        <v>870</v>
      </c>
      <c r="G1216" s="969">
        <f t="shared" ref="G1216" si="252">VLOOKUP(B1216,$O$43:$P$53,2,FALSE)</f>
        <v>29.94</v>
      </c>
      <c r="H1216" s="930">
        <f t="shared" si="249"/>
        <v>870.72</v>
      </c>
      <c r="I1216" s="970"/>
      <c r="J1216" s="930">
        <f t="shared" si="250"/>
        <v>0</v>
      </c>
      <c r="K1216" s="931">
        <f t="shared" si="251"/>
        <v>870.72</v>
      </c>
      <c r="L1216" s="971"/>
      <c r="M1216" s="954"/>
      <c r="N1216" s="954"/>
      <c r="O1216" s="954"/>
      <c r="P1216" s="954"/>
      <c r="Q1216" s="954"/>
      <c r="R1216" s="954"/>
      <c r="S1216" s="954"/>
      <c r="T1216" s="954"/>
      <c r="U1216" s="954"/>
    </row>
    <row r="1217" spans="1:21" s="933" customFormat="1" ht="24" customHeight="1">
      <c r="A1217" s="1026"/>
      <c r="B1217" s="976" t="s">
        <v>871</v>
      </c>
      <c r="C1217" s="976"/>
      <c r="D1217" s="976"/>
      <c r="E1217" s="978"/>
      <c r="F1217" s="982"/>
      <c r="G1217" s="983"/>
      <c r="H1217" s="930">
        <f t="shared" si="249"/>
        <v>0</v>
      </c>
      <c r="I1217" s="970"/>
      <c r="J1217" s="930">
        <f t="shared" si="250"/>
        <v>0</v>
      </c>
      <c r="K1217" s="931">
        <f t="shared" si="251"/>
        <v>0</v>
      </c>
      <c r="L1217" s="971"/>
      <c r="M1217" s="954"/>
      <c r="N1217" s="954"/>
      <c r="O1217" s="954"/>
      <c r="P1217" s="954"/>
      <c r="Q1217" s="954"/>
      <c r="R1217" s="954"/>
      <c r="S1217" s="954"/>
      <c r="T1217" s="954"/>
      <c r="U1217" s="954"/>
    </row>
    <row r="1218" spans="1:21" s="933" customFormat="1" ht="24" customHeight="1">
      <c r="A1218" s="1026"/>
      <c r="B1218" s="976" t="s">
        <v>872</v>
      </c>
      <c r="C1218" s="976"/>
      <c r="D1218" s="976"/>
      <c r="E1218" s="978"/>
      <c r="F1218" s="974" t="s">
        <v>870</v>
      </c>
      <c r="G1218" s="969">
        <f t="shared" ref="G1218:G1226" si="253">VLOOKUP(B1218,$O$43:$P$53,2,FALSE)</f>
        <v>25.73</v>
      </c>
      <c r="H1218" s="930">
        <f t="shared" si="249"/>
        <v>0</v>
      </c>
      <c r="I1218" s="984">
        <v>4.0999999999999996</v>
      </c>
      <c r="J1218" s="930">
        <f t="shared" si="250"/>
        <v>0</v>
      </c>
      <c r="K1218" s="931">
        <f t="shared" si="251"/>
        <v>0</v>
      </c>
      <c r="L1218" s="971"/>
      <c r="M1218" s="954"/>
      <c r="N1218" s="954"/>
      <c r="O1218" s="954"/>
      <c r="P1218" s="954"/>
      <c r="Q1218" s="954"/>
      <c r="R1218" s="954"/>
      <c r="S1218" s="954"/>
      <c r="T1218" s="954"/>
      <c r="U1218" s="954"/>
    </row>
    <row r="1219" spans="1:21" s="933" customFormat="1" ht="24" customHeight="1">
      <c r="A1219" s="1026"/>
      <c r="B1219" s="976" t="s">
        <v>873</v>
      </c>
      <c r="C1219" s="976"/>
      <c r="D1219" s="976"/>
      <c r="E1219" s="978">
        <v>884.53</v>
      </c>
      <c r="F1219" s="974" t="s">
        <v>870</v>
      </c>
      <c r="G1219" s="969">
        <f t="shared" si="253"/>
        <v>24.97</v>
      </c>
      <c r="H1219" s="930">
        <f t="shared" si="249"/>
        <v>22086.71</v>
      </c>
      <c r="I1219" s="970">
        <v>4.0999999999999996</v>
      </c>
      <c r="J1219" s="930">
        <f t="shared" si="250"/>
        <v>3626.57</v>
      </c>
      <c r="K1219" s="931">
        <f t="shared" si="251"/>
        <v>25713.279999999999</v>
      </c>
      <c r="L1219" s="971"/>
      <c r="M1219" s="954"/>
      <c r="N1219" s="954"/>
      <c r="O1219" s="954"/>
      <c r="P1219" s="954"/>
      <c r="Q1219" s="954"/>
      <c r="R1219" s="954"/>
      <c r="S1219" s="954"/>
      <c r="T1219" s="954"/>
      <c r="U1219" s="954"/>
    </row>
    <row r="1220" spans="1:21" s="933" customFormat="1" ht="24" customHeight="1">
      <c r="A1220" s="1026"/>
      <c r="B1220" s="976" t="s">
        <v>874</v>
      </c>
      <c r="C1220" s="976"/>
      <c r="D1220" s="976"/>
      <c r="E1220" s="978">
        <v>1011.72</v>
      </c>
      <c r="F1220" s="974" t="s">
        <v>870</v>
      </c>
      <c r="G1220" s="969">
        <f t="shared" si="253"/>
        <v>24.47</v>
      </c>
      <c r="H1220" s="930">
        <f t="shared" si="249"/>
        <v>24756.79</v>
      </c>
      <c r="I1220" s="970">
        <v>3.3</v>
      </c>
      <c r="J1220" s="930">
        <f t="shared" si="250"/>
        <v>3338.68</v>
      </c>
      <c r="K1220" s="931">
        <f t="shared" si="251"/>
        <v>28095.47</v>
      </c>
      <c r="L1220" s="971"/>
      <c r="M1220" s="954"/>
      <c r="N1220" s="954"/>
      <c r="O1220" s="954"/>
      <c r="P1220" s="954"/>
      <c r="Q1220" s="954"/>
      <c r="R1220" s="954"/>
      <c r="S1220" s="954"/>
      <c r="T1220" s="954"/>
      <c r="U1220" s="954"/>
    </row>
    <row r="1221" spans="1:21" s="933" customFormat="1" ht="24" customHeight="1">
      <c r="A1221" s="1026"/>
      <c r="B1221" s="976" t="s">
        <v>875</v>
      </c>
      <c r="C1221" s="976"/>
      <c r="D1221" s="976"/>
      <c r="E1221" s="978">
        <v>584.02</v>
      </c>
      <c r="F1221" s="982" t="s">
        <v>870</v>
      </c>
      <c r="G1221" s="969">
        <f t="shared" si="253"/>
        <v>24.27</v>
      </c>
      <c r="H1221" s="930">
        <f t="shared" si="249"/>
        <v>14174.17</v>
      </c>
      <c r="I1221" s="970">
        <v>3.3</v>
      </c>
      <c r="J1221" s="930">
        <f t="shared" si="250"/>
        <v>1927.27</v>
      </c>
      <c r="K1221" s="931">
        <f t="shared" si="251"/>
        <v>16101.44</v>
      </c>
      <c r="L1221" s="971"/>
      <c r="M1221" s="954"/>
      <c r="N1221" s="954"/>
      <c r="O1221" s="954"/>
      <c r="P1221" s="954"/>
      <c r="Q1221" s="954"/>
      <c r="R1221" s="954"/>
      <c r="S1221" s="954"/>
      <c r="T1221" s="954"/>
      <c r="U1221" s="954"/>
    </row>
    <row r="1222" spans="1:21" s="933" customFormat="1" ht="24" customHeight="1">
      <c r="A1222" s="1026"/>
      <c r="B1222" s="976" t="s">
        <v>876</v>
      </c>
      <c r="C1222" s="976"/>
      <c r="D1222" s="976"/>
      <c r="E1222" s="978"/>
      <c r="F1222" s="974" t="s">
        <v>870</v>
      </c>
      <c r="G1222" s="969">
        <f t="shared" si="253"/>
        <v>24.27</v>
      </c>
      <c r="H1222" s="930">
        <f t="shared" si="249"/>
        <v>0</v>
      </c>
      <c r="I1222" s="970">
        <v>2.9</v>
      </c>
      <c r="J1222" s="930">
        <f t="shared" si="250"/>
        <v>0</v>
      </c>
      <c r="K1222" s="931">
        <f t="shared" si="251"/>
        <v>0</v>
      </c>
      <c r="L1222" s="971"/>
      <c r="M1222" s="954"/>
      <c r="N1222" s="954"/>
      <c r="O1222" s="954"/>
      <c r="P1222" s="954"/>
      <c r="Q1222" s="954"/>
      <c r="R1222" s="954"/>
      <c r="S1222" s="954"/>
      <c r="T1222" s="954"/>
      <c r="U1222" s="954"/>
    </row>
    <row r="1223" spans="1:21" s="933" customFormat="1" ht="24" customHeight="1">
      <c r="A1223" s="1026"/>
      <c r="B1223" s="976" t="s">
        <v>877</v>
      </c>
      <c r="C1223" s="976"/>
      <c r="D1223" s="976"/>
      <c r="E1223" s="978"/>
      <c r="F1223" s="974" t="s">
        <v>870</v>
      </c>
      <c r="G1223" s="969">
        <f t="shared" si="253"/>
        <v>24.27</v>
      </c>
      <c r="H1223" s="930">
        <f t="shared" si="249"/>
        <v>0</v>
      </c>
      <c r="I1223" s="970">
        <v>2.9</v>
      </c>
      <c r="J1223" s="930">
        <f t="shared" si="250"/>
        <v>0</v>
      </c>
      <c r="K1223" s="931">
        <f t="shared" si="251"/>
        <v>0</v>
      </c>
      <c r="L1223" s="971"/>
      <c r="M1223" s="954"/>
      <c r="N1223" s="954"/>
      <c r="O1223" s="954"/>
      <c r="P1223" s="954"/>
      <c r="Q1223" s="954"/>
      <c r="R1223" s="954"/>
      <c r="S1223" s="954"/>
      <c r="T1223" s="954"/>
      <c r="U1223" s="954"/>
    </row>
    <row r="1224" spans="1:21" s="933" customFormat="1" ht="24" customHeight="1">
      <c r="A1224" s="1026"/>
      <c r="B1224" s="976" t="s">
        <v>878</v>
      </c>
      <c r="C1224" s="976"/>
      <c r="D1224" s="976"/>
      <c r="E1224" s="978"/>
      <c r="F1224" s="974" t="s">
        <v>870</v>
      </c>
      <c r="G1224" s="969">
        <f t="shared" si="253"/>
        <v>24.27</v>
      </c>
      <c r="H1224" s="930">
        <f t="shared" si="249"/>
        <v>0</v>
      </c>
      <c r="I1224" s="970">
        <v>2.9</v>
      </c>
      <c r="J1224" s="930">
        <f t="shared" si="250"/>
        <v>0</v>
      </c>
      <c r="K1224" s="931">
        <f t="shared" si="251"/>
        <v>0</v>
      </c>
      <c r="L1224" s="971"/>
      <c r="M1224" s="954"/>
      <c r="N1224" s="954"/>
      <c r="O1224" s="954"/>
      <c r="P1224" s="954"/>
      <c r="Q1224" s="954"/>
      <c r="R1224" s="954"/>
      <c r="S1224" s="954"/>
      <c r="T1224" s="954"/>
      <c r="U1224" s="954"/>
    </row>
    <row r="1225" spans="1:21" s="933" customFormat="1" ht="24" customHeight="1">
      <c r="A1225" s="1026"/>
      <c r="B1225" s="976" t="s">
        <v>879</v>
      </c>
      <c r="C1225" s="976"/>
      <c r="D1225" s="976"/>
      <c r="E1225" s="978"/>
      <c r="F1225" s="974" t="s">
        <v>870</v>
      </c>
      <c r="G1225" s="969">
        <f t="shared" si="253"/>
        <v>23.8</v>
      </c>
      <c r="H1225" s="930">
        <f t="shared" si="249"/>
        <v>0</v>
      </c>
      <c r="I1225" s="970">
        <v>2.9</v>
      </c>
      <c r="J1225" s="930">
        <f t="shared" si="250"/>
        <v>0</v>
      </c>
      <c r="K1225" s="931">
        <f t="shared" si="251"/>
        <v>0</v>
      </c>
      <c r="L1225" s="971"/>
      <c r="M1225" s="954"/>
      <c r="N1225" s="954"/>
      <c r="O1225" s="954"/>
      <c r="P1225" s="954"/>
      <c r="Q1225" s="954"/>
      <c r="R1225" s="954"/>
      <c r="S1225" s="954"/>
      <c r="T1225" s="954"/>
      <c r="U1225" s="954"/>
    </row>
    <row r="1226" spans="1:21" s="933" customFormat="1" ht="24" customHeight="1">
      <c r="A1226" s="1026"/>
      <c r="B1226" s="976" t="s">
        <v>880</v>
      </c>
      <c r="C1226" s="976"/>
      <c r="D1226" s="976"/>
      <c r="E1226" s="978">
        <f>(SUM(E1218:E1225)/1000)*30</f>
        <v>74.408100000000005</v>
      </c>
      <c r="F1226" s="974" t="s">
        <v>870</v>
      </c>
      <c r="G1226" s="969">
        <f t="shared" si="253"/>
        <v>29.92</v>
      </c>
      <c r="H1226" s="930">
        <f t="shared" si="249"/>
        <v>2226.29</v>
      </c>
      <c r="I1226" s="970"/>
      <c r="J1226" s="930">
        <f t="shared" si="250"/>
        <v>0</v>
      </c>
      <c r="K1226" s="931">
        <f t="shared" si="251"/>
        <v>2226.29</v>
      </c>
      <c r="L1226" s="971"/>
      <c r="M1226" s="954"/>
      <c r="N1226" s="954"/>
      <c r="O1226" s="954"/>
      <c r="P1226" s="954"/>
      <c r="Q1226" s="954"/>
      <c r="R1226" s="954"/>
      <c r="S1226" s="954"/>
      <c r="T1226" s="954"/>
      <c r="U1226" s="954"/>
    </row>
    <row r="1227" spans="1:21" s="933" customFormat="1" ht="24" customHeight="1">
      <c r="A1227" s="1026"/>
      <c r="B1227" s="976" t="s">
        <v>881</v>
      </c>
      <c r="C1227" s="976"/>
      <c r="D1227" s="976"/>
      <c r="E1227" s="978"/>
      <c r="F1227" s="974"/>
      <c r="G1227" s="969"/>
      <c r="H1227" s="930"/>
      <c r="I1227" s="970"/>
      <c r="J1227" s="930"/>
      <c r="K1227" s="931"/>
      <c r="L1227" s="971"/>
      <c r="M1227" s="954"/>
      <c r="N1227" s="954"/>
      <c r="O1227" s="954"/>
      <c r="P1227" s="954"/>
      <c r="Q1227" s="954"/>
      <c r="R1227" s="954"/>
      <c r="S1227" s="954"/>
      <c r="T1227" s="954"/>
      <c r="U1227" s="954"/>
    </row>
    <row r="1228" spans="1:21" s="933" customFormat="1" ht="24" customHeight="1">
      <c r="A1228" s="1026"/>
      <c r="B1228" s="1021"/>
      <c r="C1228" s="976"/>
      <c r="D1228" s="976"/>
      <c r="E1228" s="978"/>
      <c r="F1228" s="974"/>
      <c r="G1228" s="969"/>
      <c r="H1228" s="930"/>
      <c r="I1228" s="970"/>
      <c r="J1228" s="930"/>
      <c r="K1228" s="931"/>
      <c r="L1228" s="971"/>
      <c r="M1228" s="954"/>
      <c r="N1228" s="954"/>
      <c r="O1228" s="954"/>
      <c r="P1228" s="954"/>
      <c r="Q1228" s="954"/>
      <c r="R1228" s="954"/>
      <c r="S1228" s="954"/>
      <c r="T1228" s="954"/>
      <c r="U1228" s="954"/>
    </row>
    <row r="1229" spans="1:21" s="933" customFormat="1" ht="24" customHeight="1">
      <c r="A1229" s="1026"/>
      <c r="B1229" s="1021"/>
      <c r="C1229" s="976"/>
      <c r="D1229" s="976"/>
      <c r="E1229" s="978"/>
      <c r="F1229" s="974"/>
      <c r="G1229" s="969"/>
      <c r="H1229" s="930"/>
      <c r="I1229" s="970"/>
      <c r="J1229" s="930"/>
      <c r="K1229" s="931"/>
      <c r="L1229" s="971"/>
      <c r="M1229" s="954"/>
      <c r="N1229" s="954"/>
      <c r="O1229" s="954"/>
      <c r="P1229" s="954"/>
      <c r="Q1229" s="954"/>
      <c r="R1229" s="954"/>
      <c r="S1229" s="954"/>
      <c r="T1229" s="954"/>
      <c r="U1229" s="954"/>
    </row>
    <row r="1230" spans="1:21" s="933" customFormat="1" ht="24" customHeight="1">
      <c r="A1230" s="1026"/>
      <c r="B1230" s="1021"/>
      <c r="C1230" s="976"/>
      <c r="D1230" s="976"/>
      <c r="E1230" s="978"/>
      <c r="F1230" s="974"/>
      <c r="G1230" s="969"/>
      <c r="H1230" s="930"/>
      <c r="I1230" s="970"/>
      <c r="J1230" s="930"/>
      <c r="K1230" s="931"/>
      <c r="L1230" s="971"/>
      <c r="M1230" s="954"/>
      <c r="N1230" s="954"/>
      <c r="O1230" s="954"/>
      <c r="P1230" s="954"/>
      <c r="Q1230" s="954"/>
      <c r="R1230" s="954"/>
      <c r="S1230" s="954"/>
      <c r="T1230" s="954"/>
      <c r="U1230" s="954"/>
    </row>
    <row r="1231" spans="1:21" s="933" customFormat="1" ht="24" customHeight="1">
      <c r="A1231" s="1026"/>
      <c r="B1231" s="1021"/>
      <c r="C1231" s="976"/>
      <c r="D1231" s="976"/>
      <c r="E1231" s="978"/>
      <c r="F1231" s="974"/>
      <c r="G1231" s="969"/>
      <c r="H1231" s="930"/>
      <c r="I1231" s="970"/>
      <c r="J1231" s="930"/>
      <c r="K1231" s="931"/>
      <c r="L1231" s="971"/>
      <c r="M1231" s="954"/>
      <c r="N1231" s="954"/>
      <c r="O1231" s="954"/>
      <c r="P1231" s="954"/>
      <c r="Q1231" s="954"/>
      <c r="R1231" s="954"/>
      <c r="S1231" s="954"/>
      <c r="T1231" s="954"/>
      <c r="U1231" s="954"/>
    </row>
    <row r="1232" spans="1:21" s="933" customFormat="1" ht="24" customHeight="1">
      <c r="A1232" s="1026"/>
      <c r="B1232" s="1021"/>
      <c r="C1232" s="976"/>
      <c r="D1232" s="976"/>
      <c r="E1232" s="978"/>
      <c r="F1232" s="974"/>
      <c r="G1232" s="969"/>
      <c r="H1232" s="930"/>
      <c r="I1232" s="970"/>
      <c r="J1232" s="930"/>
      <c r="K1232" s="931"/>
      <c r="L1232" s="971"/>
      <c r="M1232" s="954"/>
      <c r="N1232" s="954"/>
      <c r="O1232" s="954"/>
      <c r="P1232" s="954"/>
      <c r="Q1232" s="954"/>
      <c r="R1232" s="954"/>
      <c r="S1232" s="954"/>
      <c r="T1232" s="954"/>
      <c r="U1232" s="954"/>
    </row>
    <row r="1233" spans="1:21" s="933" customFormat="1" ht="24" customHeight="1">
      <c r="A1233" s="1026"/>
      <c r="B1233" s="1021"/>
      <c r="C1233" s="976"/>
      <c r="D1233" s="976"/>
      <c r="E1233" s="978"/>
      <c r="F1233" s="974"/>
      <c r="G1233" s="969"/>
      <c r="H1233" s="930"/>
      <c r="I1233" s="970"/>
      <c r="J1233" s="930"/>
      <c r="K1233" s="931"/>
      <c r="L1233" s="971"/>
      <c r="M1233" s="954"/>
      <c r="N1233" s="954"/>
      <c r="O1233" s="954"/>
      <c r="P1233" s="954"/>
      <c r="Q1233" s="954"/>
      <c r="R1233" s="954"/>
      <c r="S1233" s="954"/>
      <c r="T1233" s="954"/>
      <c r="U1233" s="954"/>
    </row>
    <row r="1234" spans="1:21" s="933" customFormat="1" ht="24" customHeight="1">
      <c r="A1234" s="956"/>
      <c r="B1234" s="987"/>
      <c r="C1234" s="987"/>
      <c r="D1234" s="987"/>
      <c r="E1234" s="978"/>
      <c r="F1234" s="989"/>
      <c r="G1234" s="983"/>
      <c r="H1234" s="990"/>
      <c r="I1234" s="984"/>
      <c r="J1234" s="990"/>
      <c r="K1234" s="991"/>
      <c r="L1234" s="992"/>
      <c r="M1234" s="954"/>
      <c r="N1234" s="954"/>
      <c r="O1234" s="954"/>
      <c r="P1234" s="954"/>
      <c r="Q1234" s="954"/>
      <c r="R1234" s="954"/>
      <c r="S1234" s="954"/>
      <c r="T1234" s="954"/>
      <c r="U1234" s="954"/>
    </row>
    <row r="1235" spans="1:21" s="933" customFormat="1" ht="24" customHeight="1">
      <c r="A1235" s="1014"/>
      <c r="B1235" s="2226" t="str">
        <f>"รวมราคารายการที่ "&amp;A1111</f>
        <v>รวมราคารายการที่ 1.10</v>
      </c>
      <c r="C1235" s="2226"/>
      <c r="D1235" s="2226"/>
      <c r="E1235" s="1015"/>
      <c r="F1235" s="1016"/>
      <c r="G1235" s="1017"/>
      <c r="H1235" s="1018">
        <f>ROUND(SUBTOTAL(9,H1114:H1234),2)</f>
        <v>15675018.25</v>
      </c>
      <c r="I1235" s="1019"/>
      <c r="J1235" s="1018">
        <f>ROUND(SUBTOTAL(9,J1114:J1234),2)</f>
        <v>3131637.95</v>
      </c>
      <c r="K1235" s="1018">
        <f>ROUND(SUBTOTAL(9,K1114:K1234),2)</f>
        <v>18806656.199999999</v>
      </c>
      <c r="L1235" s="1018"/>
      <c r="M1235" s="954"/>
      <c r="N1235" s="954"/>
      <c r="O1235" s="954"/>
      <c r="P1235" s="954"/>
      <c r="Q1235" s="954"/>
      <c r="R1235" s="954"/>
      <c r="S1235" s="954"/>
      <c r="T1235" s="954"/>
      <c r="U1235" s="954"/>
    </row>
    <row r="1236" spans="1:21" s="933" customFormat="1" ht="24" customHeight="1">
      <c r="A1236" s="1033" t="s">
        <v>978</v>
      </c>
      <c r="B1236" s="957" t="s">
        <v>979</v>
      </c>
      <c r="C1236" s="987"/>
      <c r="D1236" s="987"/>
      <c r="E1236" s="988"/>
      <c r="F1236" s="989"/>
      <c r="G1236" s="983"/>
      <c r="H1236" s="990"/>
      <c r="I1236" s="984"/>
      <c r="J1236" s="990"/>
      <c r="K1236" s="991"/>
      <c r="L1236" s="992"/>
      <c r="M1236" s="954"/>
      <c r="N1236" s="954"/>
      <c r="O1236" s="954"/>
      <c r="P1236" s="954"/>
      <c r="Q1236" s="954"/>
      <c r="R1236" s="954"/>
      <c r="S1236" s="954"/>
      <c r="T1236" s="954"/>
      <c r="U1236" s="954"/>
    </row>
    <row r="1237" spans="1:21" s="933" customFormat="1" ht="24" customHeight="1">
      <c r="A1237" s="928"/>
      <c r="B1237" s="966"/>
      <c r="C1237" s="976"/>
      <c r="D1237" s="976"/>
      <c r="E1237" s="985"/>
      <c r="F1237" s="974"/>
      <c r="G1237" s="969"/>
      <c r="H1237" s="930"/>
      <c r="I1237" s="970"/>
      <c r="J1237" s="930"/>
      <c r="K1237" s="931"/>
      <c r="L1237" s="971"/>
      <c r="M1237" s="954"/>
      <c r="N1237" s="954"/>
      <c r="O1237" s="954"/>
      <c r="P1237" s="954"/>
      <c r="Q1237" s="954"/>
      <c r="R1237" s="954"/>
      <c r="S1237" s="954"/>
      <c r="T1237" s="954"/>
      <c r="U1237" s="954"/>
    </row>
    <row r="1238" spans="1:21" s="933" customFormat="1" ht="24" customHeight="1">
      <c r="A1238" s="1026" t="s">
        <v>980</v>
      </c>
      <c r="B1238" s="1030" t="s">
        <v>981</v>
      </c>
      <c r="C1238" s="976"/>
      <c r="D1238" s="976"/>
      <c r="E1238" s="985"/>
      <c r="F1238" s="974"/>
      <c r="G1238" s="969"/>
      <c r="H1238" s="930"/>
      <c r="I1238" s="970"/>
      <c r="J1238" s="930"/>
      <c r="K1238" s="931"/>
      <c r="L1238" s="971"/>
      <c r="M1238" s="954"/>
      <c r="N1238" s="954"/>
      <c r="O1238" s="954"/>
      <c r="P1238" s="954"/>
      <c r="Q1238" s="954"/>
      <c r="R1238" s="954"/>
      <c r="S1238" s="954"/>
      <c r="T1238" s="954"/>
      <c r="U1238" s="954"/>
    </row>
    <row r="1239" spans="1:21" s="933" customFormat="1" ht="24" customHeight="1">
      <c r="A1239" s="928"/>
      <c r="B1239" s="976" t="s">
        <v>864</v>
      </c>
      <c r="C1239" s="977"/>
      <c r="D1239" s="977"/>
      <c r="E1239" s="978">
        <v>1412.61</v>
      </c>
      <c r="F1239" s="974" t="s">
        <v>865</v>
      </c>
      <c r="G1239" s="969">
        <v>2516</v>
      </c>
      <c r="H1239" s="930">
        <f t="shared" ref="H1239:H1254" si="254">ROUND(E1239*G1239,2)</f>
        <v>3554126.76</v>
      </c>
      <c r="I1239" s="970">
        <v>485</v>
      </c>
      <c r="J1239" s="930">
        <f t="shared" ref="J1239:J1254" si="255">ROUND(E1239*I1239,2)</f>
        <v>685115.85</v>
      </c>
      <c r="K1239" s="931">
        <f t="shared" ref="K1239:K1254" si="256">H1239+J1239</f>
        <v>4239242.6099999994</v>
      </c>
      <c r="L1239" s="971"/>
      <c r="M1239" s="954"/>
      <c r="N1239" s="954"/>
      <c r="O1239" s="954"/>
      <c r="P1239" s="954"/>
      <c r="Q1239" s="954"/>
      <c r="R1239" s="954"/>
      <c r="S1239" s="954"/>
      <c r="T1239" s="954"/>
      <c r="U1239" s="954"/>
    </row>
    <row r="1240" spans="1:21" s="933" customFormat="1" ht="24" customHeight="1">
      <c r="A1240" s="928"/>
      <c r="B1240" s="979" t="s">
        <v>866</v>
      </c>
      <c r="C1240" s="976"/>
      <c r="D1240" s="976"/>
      <c r="E1240" s="978"/>
      <c r="F1240" s="974"/>
      <c r="G1240" s="969"/>
      <c r="H1240" s="930">
        <f t="shared" si="254"/>
        <v>0</v>
      </c>
      <c r="I1240" s="970"/>
      <c r="J1240" s="930">
        <f t="shared" si="255"/>
        <v>0</v>
      </c>
      <c r="K1240" s="931">
        <f t="shared" si="256"/>
        <v>0</v>
      </c>
      <c r="L1240" s="971"/>
      <c r="M1240" s="954"/>
      <c r="N1240" s="954"/>
      <c r="O1240" s="954"/>
      <c r="P1240" s="954"/>
      <c r="Q1240" s="954"/>
      <c r="R1240" s="954"/>
      <c r="S1240" s="954"/>
      <c r="T1240" s="954"/>
      <c r="U1240" s="954"/>
    </row>
    <row r="1241" spans="1:21" s="933" customFormat="1" ht="24" customHeight="1">
      <c r="A1241" s="928"/>
      <c r="B1241" s="979"/>
      <c r="C1241" s="976" t="s">
        <v>867</v>
      </c>
      <c r="D1241" s="976"/>
      <c r="E1241" s="978">
        <f>E1242/2</f>
        <v>3165.0450000000001</v>
      </c>
      <c r="F1241" s="974" t="s">
        <v>34</v>
      </c>
      <c r="G1241" s="969">
        <v>661.62</v>
      </c>
      <c r="H1241" s="930">
        <f t="shared" si="254"/>
        <v>2094057.07</v>
      </c>
      <c r="I1241" s="970"/>
      <c r="J1241" s="930">
        <f t="shared" si="255"/>
        <v>0</v>
      </c>
      <c r="K1241" s="931">
        <f t="shared" si="256"/>
        <v>2094057.07</v>
      </c>
      <c r="L1241" s="971"/>
      <c r="M1241" s="954"/>
      <c r="N1241" s="954"/>
      <c r="O1241" s="954"/>
      <c r="P1241" s="954"/>
      <c r="Q1241" s="954"/>
      <c r="R1241" s="954"/>
      <c r="S1241" s="954"/>
      <c r="T1241" s="954"/>
      <c r="U1241" s="954"/>
    </row>
    <row r="1242" spans="1:21" s="933" customFormat="1" ht="24" customHeight="1">
      <c r="A1242" s="928"/>
      <c r="B1242" s="979"/>
      <c r="C1242" s="976" t="s">
        <v>868</v>
      </c>
      <c r="D1242" s="976"/>
      <c r="E1242" s="978">
        <v>6330.09</v>
      </c>
      <c r="F1242" s="974" t="s">
        <v>34</v>
      </c>
      <c r="G1242" s="969"/>
      <c r="H1242" s="930">
        <f t="shared" si="254"/>
        <v>0</v>
      </c>
      <c r="I1242" s="970">
        <v>154</v>
      </c>
      <c r="J1242" s="930">
        <f t="shared" si="255"/>
        <v>974833.86</v>
      </c>
      <c r="K1242" s="931">
        <f t="shared" si="256"/>
        <v>974833.86</v>
      </c>
      <c r="L1242" s="971"/>
      <c r="M1242" s="954"/>
      <c r="N1242" s="954"/>
      <c r="O1242" s="954"/>
      <c r="P1242" s="954"/>
      <c r="Q1242" s="954"/>
      <c r="R1242" s="954"/>
      <c r="S1242" s="954"/>
      <c r="T1242" s="954"/>
      <c r="U1242" s="954"/>
    </row>
    <row r="1243" spans="1:21" s="933" customFormat="1" ht="24" customHeight="1">
      <c r="A1243" s="928"/>
      <c r="B1243" s="976" t="s">
        <v>869</v>
      </c>
      <c r="C1243" s="976"/>
      <c r="D1243" s="976"/>
      <c r="E1243" s="978">
        <f>(E1242*0.25)</f>
        <v>1582.5225</v>
      </c>
      <c r="F1243" s="974" t="s">
        <v>870</v>
      </c>
      <c r="G1243" s="969">
        <f t="shared" ref="G1243" si="257">VLOOKUP(B1243,$O$43:$P$53,2,FALSE)</f>
        <v>29.94</v>
      </c>
      <c r="H1243" s="930">
        <f t="shared" si="254"/>
        <v>47380.72</v>
      </c>
      <c r="I1243" s="970"/>
      <c r="J1243" s="930">
        <f t="shared" si="255"/>
        <v>0</v>
      </c>
      <c r="K1243" s="931">
        <f t="shared" si="256"/>
        <v>47380.72</v>
      </c>
      <c r="L1243" s="971"/>
      <c r="M1243" s="954"/>
      <c r="N1243" s="954"/>
      <c r="O1243" s="954"/>
      <c r="P1243" s="954"/>
      <c r="Q1243" s="954"/>
      <c r="R1243" s="954"/>
      <c r="S1243" s="954"/>
      <c r="T1243" s="954"/>
      <c r="U1243" s="954"/>
    </row>
    <row r="1244" spans="1:21" s="933" customFormat="1" ht="24" customHeight="1">
      <c r="A1244" s="928"/>
      <c r="B1244" s="976" t="s">
        <v>871</v>
      </c>
      <c r="C1244" s="976"/>
      <c r="D1244" s="976"/>
      <c r="E1244" s="978"/>
      <c r="F1244" s="982"/>
      <c r="G1244" s="983"/>
      <c r="H1244" s="930">
        <f t="shared" si="254"/>
        <v>0</v>
      </c>
      <c r="I1244" s="970"/>
      <c r="J1244" s="930">
        <f t="shared" si="255"/>
        <v>0</v>
      </c>
      <c r="K1244" s="931">
        <f t="shared" si="256"/>
        <v>0</v>
      </c>
      <c r="L1244" s="971"/>
      <c r="M1244" s="954"/>
      <c r="N1244" s="954"/>
      <c r="O1244" s="954"/>
      <c r="P1244" s="954"/>
      <c r="Q1244" s="954"/>
      <c r="R1244" s="954"/>
      <c r="S1244" s="954"/>
      <c r="T1244" s="954"/>
      <c r="U1244" s="954"/>
    </row>
    <row r="1245" spans="1:21" s="933" customFormat="1" ht="24" customHeight="1">
      <c r="A1245" s="928"/>
      <c r="B1245" s="976" t="s">
        <v>872</v>
      </c>
      <c r="C1245" s="976"/>
      <c r="D1245" s="976"/>
      <c r="E1245" s="978"/>
      <c r="F1245" s="974" t="s">
        <v>870</v>
      </c>
      <c r="G1245" s="969">
        <f t="shared" ref="G1245:G1253" si="258">VLOOKUP(B1245,$O$43:$P$53,2,FALSE)</f>
        <v>25.73</v>
      </c>
      <c r="H1245" s="930">
        <f t="shared" si="254"/>
        <v>0</v>
      </c>
      <c r="I1245" s="984">
        <v>4.0999999999999996</v>
      </c>
      <c r="J1245" s="930">
        <f t="shared" si="255"/>
        <v>0</v>
      </c>
      <c r="K1245" s="931">
        <f t="shared" si="256"/>
        <v>0</v>
      </c>
      <c r="L1245" s="971"/>
      <c r="M1245" s="954"/>
      <c r="N1245" s="954"/>
      <c r="O1245" s="954"/>
      <c r="P1245" s="954"/>
      <c r="Q1245" s="954"/>
      <c r="R1245" s="954"/>
      <c r="S1245" s="954"/>
      <c r="T1245" s="954"/>
      <c r="U1245" s="954"/>
    </row>
    <row r="1246" spans="1:21" s="933" customFormat="1" ht="24" customHeight="1">
      <c r="A1246" s="928"/>
      <c r="B1246" s="976" t="s">
        <v>873</v>
      </c>
      <c r="C1246" s="976"/>
      <c r="D1246" s="976"/>
      <c r="E1246" s="978">
        <v>0</v>
      </c>
      <c r="F1246" s="974" t="s">
        <v>870</v>
      </c>
      <c r="G1246" s="969">
        <f t="shared" si="258"/>
        <v>24.97</v>
      </c>
      <c r="H1246" s="930">
        <f t="shared" si="254"/>
        <v>0</v>
      </c>
      <c r="I1246" s="970">
        <v>4.0999999999999996</v>
      </c>
      <c r="J1246" s="930">
        <f t="shared" si="255"/>
        <v>0</v>
      </c>
      <c r="K1246" s="931">
        <f t="shared" si="256"/>
        <v>0</v>
      </c>
      <c r="L1246" s="971"/>
      <c r="M1246" s="954"/>
      <c r="N1246" s="954"/>
      <c r="O1246" s="954"/>
      <c r="P1246" s="954"/>
      <c r="Q1246" s="954"/>
      <c r="R1246" s="954"/>
      <c r="S1246" s="954"/>
      <c r="T1246" s="954"/>
      <c r="U1246" s="954"/>
    </row>
    <row r="1247" spans="1:21" s="933" customFormat="1" ht="24" customHeight="1">
      <c r="A1247" s="928"/>
      <c r="B1247" s="976" t="s">
        <v>874</v>
      </c>
      <c r="C1247" s="976"/>
      <c r="D1247" s="976"/>
      <c r="E1247" s="978">
        <v>37774.65</v>
      </c>
      <c r="F1247" s="974" t="s">
        <v>870</v>
      </c>
      <c r="G1247" s="969">
        <f t="shared" si="258"/>
        <v>24.47</v>
      </c>
      <c r="H1247" s="930">
        <f t="shared" si="254"/>
        <v>924345.69</v>
      </c>
      <c r="I1247" s="970">
        <v>3.3</v>
      </c>
      <c r="J1247" s="930">
        <f t="shared" si="255"/>
        <v>124656.35</v>
      </c>
      <c r="K1247" s="931">
        <f t="shared" si="256"/>
        <v>1049002.04</v>
      </c>
      <c r="L1247" s="971"/>
      <c r="M1247" s="954"/>
      <c r="N1247" s="954"/>
      <c r="O1247" s="954"/>
      <c r="P1247" s="954"/>
      <c r="Q1247" s="954"/>
      <c r="R1247" s="954"/>
      <c r="S1247" s="954"/>
      <c r="T1247" s="954"/>
      <c r="U1247" s="954"/>
    </row>
    <row r="1248" spans="1:21" s="933" customFormat="1" ht="24" customHeight="1">
      <c r="A1248" s="928"/>
      <c r="B1248" s="976" t="s">
        <v>875</v>
      </c>
      <c r="C1248" s="976"/>
      <c r="D1248" s="976"/>
      <c r="E1248" s="978">
        <v>29627.64</v>
      </c>
      <c r="F1248" s="982" t="s">
        <v>870</v>
      </c>
      <c r="G1248" s="969">
        <f t="shared" si="258"/>
        <v>24.27</v>
      </c>
      <c r="H1248" s="930">
        <f t="shared" si="254"/>
        <v>719062.82</v>
      </c>
      <c r="I1248" s="970">
        <v>3.3</v>
      </c>
      <c r="J1248" s="930">
        <f t="shared" si="255"/>
        <v>97771.21</v>
      </c>
      <c r="K1248" s="931">
        <f t="shared" si="256"/>
        <v>816834.02999999991</v>
      </c>
      <c r="L1248" s="971"/>
      <c r="M1248" s="954"/>
      <c r="N1248" s="954"/>
      <c r="O1248" s="954"/>
      <c r="P1248" s="954"/>
      <c r="Q1248" s="954"/>
      <c r="R1248" s="954"/>
      <c r="S1248" s="954"/>
      <c r="T1248" s="954"/>
      <c r="U1248" s="954"/>
    </row>
    <row r="1249" spans="1:21" s="933" customFormat="1" ht="24" customHeight="1">
      <c r="A1249" s="928"/>
      <c r="B1249" s="976" t="s">
        <v>876</v>
      </c>
      <c r="C1249" s="976"/>
      <c r="D1249" s="976"/>
      <c r="E1249" s="978">
        <v>609.58000000000004</v>
      </c>
      <c r="F1249" s="974" t="s">
        <v>870</v>
      </c>
      <c r="G1249" s="969">
        <f t="shared" si="258"/>
        <v>24.27</v>
      </c>
      <c r="H1249" s="930">
        <f t="shared" si="254"/>
        <v>14794.51</v>
      </c>
      <c r="I1249" s="970">
        <v>2.9</v>
      </c>
      <c r="J1249" s="930">
        <f t="shared" si="255"/>
        <v>1767.78</v>
      </c>
      <c r="K1249" s="931">
        <f t="shared" si="256"/>
        <v>16562.29</v>
      </c>
      <c r="L1249" s="971"/>
      <c r="M1249" s="954"/>
      <c r="N1249" s="954"/>
      <c r="O1249" s="954"/>
      <c r="P1249" s="954"/>
      <c r="Q1249" s="954"/>
      <c r="R1249" s="954"/>
      <c r="S1249" s="954"/>
      <c r="T1249" s="954"/>
      <c r="U1249" s="954"/>
    </row>
    <row r="1250" spans="1:21" s="933" customFormat="1" ht="24" customHeight="1">
      <c r="A1250" s="928"/>
      <c r="B1250" s="976" t="s">
        <v>877</v>
      </c>
      <c r="C1250" s="976"/>
      <c r="D1250" s="976"/>
      <c r="E1250" s="978">
        <v>0</v>
      </c>
      <c r="F1250" s="974" t="s">
        <v>870</v>
      </c>
      <c r="G1250" s="969">
        <f t="shared" si="258"/>
        <v>24.27</v>
      </c>
      <c r="H1250" s="930">
        <f t="shared" si="254"/>
        <v>0</v>
      </c>
      <c r="I1250" s="970">
        <v>2.9</v>
      </c>
      <c r="J1250" s="930">
        <f t="shared" si="255"/>
        <v>0</v>
      </c>
      <c r="K1250" s="931">
        <f t="shared" si="256"/>
        <v>0</v>
      </c>
      <c r="L1250" s="971"/>
      <c r="M1250" s="954"/>
      <c r="N1250" s="954"/>
      <c r="O1250" s="954"/>
      <c r="P1250" s="954"/>
      <c r="Q1250" s="954"/>
      <c r="R1250" s="954"/>
      <c r="S1250" s="954"/>
      <c r="T1250" s="954"/>
      <c r="U1250" s="954"/>
    </row>
    <row r="1251" spans="1:21" s="933" customFormat="1" ht="24" customHeight="1">
      <c r="A1251" s="928"/>
      <c r="B1251" s="976" t="s">
        <v>878</v>
      </c>
      <c r="C1251" s="976"/>
      <c r="D1251" s="976"/>
      <c r="E1251" s="978"/>
      <c r="F1251" s="974" t="s">
        <v>870</v>
      </c>
      <c r="G1251" s="969">
        <f t="shared" si="258"/>
        <v>24.27</v>
      </c>
      <c r="H1251" s="930">
        <f t="shared" si="254"/>
        <v>0</v>
      </c>
      <c r="I1251" s="970">
        <v>2.9</v>
      </c>
      <c r="J1251" s="930">
        <f t="shared" si="255"/>
        <v>0</v>
      </c>
      <c r="K1251" s="931">
        <f t="shared" si="256"/>
        <v>0</v>
      </c>
      <c r="L1251" s="971"/>
      <c r="M1251" s="954"/>
      <c r="N1251" s="954"/>
      <c r="O1251" s="954"/>
      <c r="P1251" s="954"/>
      <c r="Q1251" s="954"/>
      <c r="R1251" s="954"/>
      <c r="S1251" s="954"/>
      <c r="T1251" s="954"/>
      <c r="U1251" s="954"/>
    </row>
    <row r="1252" spans="1:21" s="933" customFormat="1" ht="24" customHeight="1">
      <c r="A1252" s="928"/>
      <c r="B1252" s="976" t="s">
        <v>879</v>
      </c>
      <c r="C1252" s="976"/>
      <c r="D1252" s="976"/>
      <c r="E1252" s="978"/>
      <c r="F1252" s="974" t="s">
        <v>870</v>
      </c>
      <c r="G1252" s="969">
        <f t="shared" si="258"/>
        <v>23.8</v>
      </c>
      <c r="H1252" s="930">
        <f t="shared" si="254"/>
        <v>0</v>
      </c>
      <c r="I1252" s="970">
        <v>2.9</v>
      </c>
      <c r="J1252" s="930">
        <f t="shared" si="255"/>
        <v>0</v>
      </c>
      <c r="K1252" s="931">
        <f t="shared" si="256"/>
        <v>0</v>
      </c>
      <c r="L1252" s="971"/>
      <c r="M1252" s="954"/>
      <c r="N1252" s="954"/>
      <c r="O1252" s="954"/>
      <c r="P1252" s="954"/>
      <c r="Q1252" s="954"/>
      <c r="R1252" s="954"/>
      <c r="S1252" s="954"/>
      <c r="T1252" s="954"/>
      <c r="U1252" s="954"/>
    </row>
    <row r="1253" spans="1:21" s="933" customFormat="1" ht="24" customHeight="1">
      <c r="A1253" s="928"/>
      <c r="B1253" s="976" t="s">
        <v>880</v>
      </c>
      <c r="C1253" s="976"/>
      <c r="D1253" s="976"/>
      <c r="E1253" s="978">
        <f>(SUM(E1245:E1252)/1000)*30</f>
        <v>2040.3561000000004</v>
      </c>
      <c r="F1253" s="974" t="s">
        <v>870</v>
      </c>
      <c r="G1253" s="969">
        <f t="shared" si="258"/>
        <v>29.92</v>
      </c>
      <c r="H1253" s="930">
        <f t="shared" si="254"/>
        <v>61047.45</v>
      </c>
      <c r="I1253" s="970"/>
      <c r="J1253" s="930">
        <f t="shared" si="255"/>
        <v>0</v>
      </c>
      <c r="K1253" s="931">
        <f t="shared" si="256"/>
        <v>61047.45</v>
      </c>
      <c r="L1253" s="971"/>
      <c r="M1253" s="954"/>
      <c r="N1253" s="954"/>
      <c r="O1253" s="954"/>
      <c r="P1253" s="954"/>
      <c r="Q1253" s="954"/>
      <c r="R1253" s="954"/>
      <c r="S1253" s="954"/>
      <c r="T1253" s="954"/>
      <c r="U1253" s="954"/>
    </row>
    <row r="1254" spans="1:21" s="933" customFormat="1" ht="24" customHeight="1">
      <c r="A1254" s="928"/>
      <c r="B1254" s="976" t="s">
        <v>888</v>
      </c>
      <c r="C1254" s="976"/>
      <c r="D1254" s="976"/>
      <c r="E1254" s="978">
        <v>5788.74</v>
      </c>
      <c r="F1254" s="974" t="s">
        <v>34</v>
      </c>
      <c r="G1254" s="983">
        <v>340</v>
      </c>
      <c r="H1254" s="930">
        <f t="shared" si="254"/>
        <v>1968171.6</v>
      </c>
      <c r="I1254" s="970"/>
      <c r="J1254" s="930">
        <f t="shared" si="255"/>
        <v>0</v>
      </c>
      <c r="K1254" s="931">
        <f t="shared" si="256"/>
        <v>1968171.6</v>
      </c>
      <c r="L1254" s="971"/>
      <c r="M1254" s="954"/>
      <c r="N1254" s="954"/>
      <c r="O1254" s="954"/>
      <c r="P1254" s="954"/>
      <c r="Q1254" s="954"/>
      <c r="R1254" s="954"/>
      <c r="S1254" s="954"/>
      <c r="T1254" s="954"/>
      <c r="U1254" s="954"/>
    </row>
    <row r="1255" spans="1:21" s="933" customFormat="1" ht="24" customHeight="1">
      <c r="A1255" s="928"/>
      <c r="B1255" s="976" t="s">
        <v>881</v>
      </c>
      <c r="C1255" s="976"/>
      <c r="D1255" s="976"/>
      <c r="E1255" s="978"/>
      <c r="F1255" s="974"/>
      <c r="G1255" s="969"/>
      <c r="H1255" s="930"/>
      <c r="I1255" s="970"/>
      <c r="J1255" s="930"/>
      <c r="K1255" s="931"/>
      <c r="L1255" s="971"/>
      <c r="M1255" s="954"/>
      <c r="N1255" s="954"/>
      <c r="O1255" s="954"/>
      <c r="P1255" s="954"/>
      <c r="Q1255" s="954"/>
      <c r="R1255" s="954"/>
      <c r="S1255" s="954"/>
      <c r="T1255" s="954"/>
      <c r="U1255" s="954"/>
    </row>
    <row r="1256" spans="1:21" s="933" customFormat="1" ht="24" customHeight="1">
      <c r="A1256" s="928"/>
      <c r="B1256" s="976"/>
      <c r="C1256" s="976"/>
      <c r="D1256" s="976"/>
      <c r="E1256" s="978"/>
      <c r="F1256" s="974"/>
      <c r="G1256" s="969"/>
      <c r="H1256" s="930"/>
      <c r="I1256" s="970"/>
      <c r="J1256" s="930"/>
      <c r="K1256" s="931"/>
      <c r="L1256" s="971"/>
      <c r="M1256" s="954"/>
      <c r="N1256" s="954"/>
      <c r="O1256" s="954"/>
      <c r="P1256" s="954"/>
      <c r="Q1256" s="954"/>
      <c r="R1256" s="954"/>
      <c r="S1256" s="954"/>
      <c r="T1256" s="954"/>
      <c r="U1256" s="954"/>
    </row>
    <row r="1257" spans="1:21" s="933" customFormat="1" ht="24" customHeight="1">
      <c r="A1257" s="928"/>
      <c r="B1257" s="976"/>
      <c r="C1257" s="976"/>
      <c r="D1257" s="976"/>
      <c r="E1257" s="978"/>
      <c r="F1257" s="974"/>
      <c r="G1257" s="969"/>
      <c r="H1257" s="930"/>
      <c r="I1257" s="970"/>
      <c r="J1257" s="930"/>
      <c r="K1257" s="931"/>
      <c r="L1257" s="971"/>
      <c r="M1257" s="954"/>
      <c r="N1257" s="954"/>
      <c r="O1257" s="954"/>
      <c r="P1257" s="954"/>
      <c r="Q1257" s="954"/>
      <c r="R1257" s="954"/>
      <c r="S1257" s="954"/>
      <c r="T1257" s="954"/>
      <c r="U1257" s="954"/>
    </row>
    <row r="1258" spans="1:21" s="933" customFormat="1" ht="24" customHeight="1">
      <c r="A1258" s="928"/>
      <c r="B1258" s="1021"/>
      <c r="C1258" s="976"/>
      <c r="D1258" s="976"/>
      <c r="E1258" s="985"/>
      <c r="F1258" s="974"/>
      <c r="G1258" s="969"/>
      <c r="H1258" s="930"/>
      <c r="I1258" s="970"/>
      <c r="J1258" s="930"/>
      <c r="K1258" s="931"/>
      <c r="L1258" s="971"/>
      <c r="M1258" s="954"/>
      <c r="N1258" s="954"/>
      <c r="O1258" s="954"/>
      <c r="P1258" s="954"/>
      <c r="Q1258" s="954"/>
      <c r="R1258" s="954"/>
      <c r="S1258" s="954"/>
      <c r="T1258" s="954"/>
      <c r="U1258" s="954"/>
    </row>
    <row r="1259" spans="1:21" s="933" customFormat="1" ht="24" customHeight="1">
      <c r="A1259" s="928"/>
      <c r="B1259" s="1021"/>
      <c r="C1259" s="976"/>
      <c r="D1259" s="976"/>
      <c r="E1259" s="985"/>
      <c r="F1259" s="974"/>
      <c r="G1259" s="969"/>
      <c r="H1259" s="930"/>
      <c r="I1259" s="970"/>
      <c r="J1259" s="930"/>
      <c r="K1259" s="931"/>
      <c r="L1259" s="971"/>
      <c r="M1259" s="954"/>
      <c r="N1259" s="954"/>
      <c r="O1259" s="954"/>
      <c r="P1259" s="954"/>
      <c r="Q1259" s="954"/>
      <c r="R1259" s="954"/>
      <c r="S1259" s="954"/>
      <c r="T1259" s="954"/>
      <c r="U1259" s="954"/>
    </row>
    <row r="1260" spans="1:21" s="933" customFormat="1" ht="24" customHeight="1">
      <c r="A1260" s="928"/>
      <c r="B1260" s="1021"/>
      <c r="C1260" s="976"/>
      <c r="D1260" s="976"/>
      <c r="E1260" s="985"/>
      <c r="F1260" s="974"/>
      <c r="G1260" s="969"/>
      <c r="H1260" s="930"/>
      <c r="I1260" s="970"/>
      <c r="J1260" s="930"/>
      <c r="K1260" s="931"/>
      <c r="L1260" s="971"/>
      <c r="M1260" s="954"/>
      <c r="N1260" s="954"/>
      <c r="O1260" s="954"/>
      <c r="P1260" s="954"/>
      <c r="Q1260" s="954"/>
      <c r="R1260" s="954"/>
      <c r="S1260" s="954"/>
      <c r="T1260" s="954"/>
      <c r="U1260" s="954"/>
    </row>
    <row r="1261" spans="1:21" s="933" customFormat="1" ht="24" customHeight="1">
      <c r="A1261" s="1026" t="s">
        <v>982</v>
      </c>
      <c r="B1261" s="1030" t="s">
        <v>983</v>
      </c>
      <c r="C1261" s="976"/>
      <c r="D1261" s="976"/>
      <c r="E1261" s="985"/>
      <c r="F1261" s="974"/>
      <c r="G1261" s="969"/>
      <c r="H1261" s="930"/>
      <c r="I1261" s="970"/>
      <c r="J1261" s="930"/>
      <c r="K1261" s="931"/>
      <c r="L1261" s="971"/>
      <c r="M1261" s="954"/>
      <c r="N1261" s="954"/>
      <c r="O1261" s="954"/>
      <c r="P1261" s="954"/>
      <c r="Q1261" s="954"/>
      <c r="R1261" s="954"/>
      <c r="S1261" s="954"/>
      <c r="T1261" s="954"/>
      <c r="U1261" s="954"/>
    </row>
    <row r="1262" spans="1:21" s="933" customFormat="1" ht="24" customHeight="1">
      <c r="A1262" s="928"/>
      <c r="B1262" s="976" t="s">
        <v>864</v>
      </c>
      <c r="C1262" s="977"/>
      <c r="D1262" s="977"/>
      <c r="E1262" s="978">
        <v>178.4</v>
      </c>
      <c r="F1262" s="974" t="s">
        <v>865</v>
      </c>
      <c r="G1262" s="969">
        <v>2516</v>
      </c>
      <c r="H1262" s="930">
        <f t="shared" ref="H1262:H1276" si="259">ROUND(E1262*G1262,2)</f>
        <v>448854.4</v>
      </c>
      <c r="I1262" s="970">
        <v>485</v>
      </c>
      <c r="J1262" s="930">
        <f t="shared" ref="J1262:J1276" si="260">ROUND(E1262*I1262,2)</f>
        <v>86524</v>
      </c>
      <c r="K1262" s="931">
        <f t="shared" ref="K1262:K1276" si="261">H1262+J1262</f>
        <v>535378.4</v>
      </c>
      <c r="L1262" s="971"/>
      <c r="M1262" s="954"/>
      <c r="N1262" s="954"/>
      <c r="O1262" s="954"/>
      <c r="P1262" s="954"/>
      <c r="Q1262" s="954"/>
      <c r="R1262" s="954"/>
      <c r="S1262" s="954"/>
      <c r="T1262" s="954"/>
      <c r="U1262" s="954"/>
    </row>
    <row r="1263" spans="1:21" s="933" customFormat="1" ht="24" customHeight="1">
      <c r="A1263" s="928"/>
      <c r="B1263" s="979" t="s">
        <v>866</v>
      </c>
      <c r="C1263" s="976"/>
      <c r="D1263" s="976"/>
      <c r="E1263" s="978"/>
      <c r="F1263" s="974"/>
      <c r="G1263" s="969"/>
      <c r="H1263" s="930">
        <f t="shared" si="259"/>
        <v>0</v>
      </c>
      <c r="I1263" s="970"/>
      <c r="J1263" s="930">
        <f t="shared" si="260"/>
        <v>0</v>
      </c>
      <c r="K1263" s="931">
        <f t="shared" si="261"/>
        <v>0</v>
      </c>
      <c r="L1263" s="971"/>
      <c r="M1263" s="954"/>
      <c r="N1263" s="954"/>
      <c r="O1263" s="954"/>
      <c r="P1263" s="954"/>
      <c r="Q1263" s="954"/>
      <c r="R1263" s="954"/>
      <c r="S1263" s="954"/>
      <c r="T1263" s="954"/>
      <c r="U1263" s="954"/>
    </row>
    <row r="1264" spans="1:21" s="933" customFormat="1" ht="24" customHeight="1">
      <c r="A1264" s="928"/>
      <c r="B1264" s="979"/>
      <c r="C1264" s="976" t="s">
        <v>867</v>
      </c>
      <c r="D1264" s="976"/>
      <c r="E1264" s="978">
        <f>E1265/2</f>
        <v>395.72500000000002</v>
      </c>
      <c r="F1264" s="974" t="s">
        <v>34</v>
      </c>
      <c r="G1264" s="969">
        <v>661.62</v>
      </c>
      <c r="H1264" s="930">
        <f t="shared" si="259"/>
        <v>261819.57</v>
      </c>
      <c r="I1264" s="970"/>
      <c r="J1264" s="930">
        <f t="shared" si="260"/>
        <v>0</v>
      </c>
      <c r="K1264" s="931">
        <f t="shared" si="261"/>
        <v>261819.57</v>
      </c>
      <c r="L1264" s="971"/>
      <c r="M1264" s="954"/>
      <c r="N1264" s="954"/>
      <c r="O1264" s="954"/>
      <c r="P1264" s="954"/>
      <c r="Q1264" s="954"/>
      <c r="R1264" s="954"/>
      <c r="S1264" s="954"/>
      <c r="T1264" s="954"/>
      <c r="U1264" s="954"/>
    </row>
    <row r="1265" spans="1:21" s="933" customFormat="1" ht="24" customHeight="1">
      <c r="A1265" s="928"/>
      <c r="B1265" s="979"/>
      <c r="C1265" s="976" t="s">
        <v>868</v>
      </c>
      <c r="D1265" s="976"/>
      <c r="E1265" s="978">
        <v>791.45</v>
      </c>
      <c r="F1265" s="974" t="s">
        <v>34</v>
      </c>
      <c r="G1265" s="969"/>
      <c r="H1265" s="930">
        <f t="shared" si="259"/>
        <v>0</v>
      </c>
      <c r="I1265" s="970">
        <v>154</v>
      </c>
      <c r="J1265" s="930">
        <f t="shared" si="260"/>
        <v>121883.3</v>
      </c>
      <c r="K1265" s="931">
        <f t="shared" si="261"/>
        <v>121883.3</v>
      </c>
      <c r="L1265" s="971"/>
      <c r="M1265" s="954"/>
      <c r="N1265" s="954"/>
      <c r="O1265" s="954"/>
      <c r="P1265" s="954"/>
      <c r="Q1265" s="954"/>
      <c r="R1265" s="954"/>
      <c r="S1265" s="954"/>
      <c r="T1265" s="954"/>
      <c r="U1265" s="954"/>
    </row>
    <row r="1266" spans="1:21" s="933" customFormat="1" ht="24" customHeight="1">
      <c r="A1266" s="928"/>
      <c r="B1266" s="976" t="s">
        <v>869</v>
      </c>
      <c r="C1266" s="976"/>
      <c r="D1266" s="976"/>
      <c r="E1266" s="978">
        <f>(E1265*0.25)</f>
        <v>197.86250000000001</v>
      </c>
      <c r="F1266" s="974" t="s">
        <v>870</v>
      </c>
      <c r="G1266" s="969">
        <f t="shared" ref="G1266" si="262">VLOOKUP(B1266,$O$43:$P$53,2,FALSE)</f>
        <v>29.94</v>
      </c>
      <c r="H1266" s="930">
        <f t="shared" si="259"/>
        <v>5924</v>
      </c>
      <c r="I1266" s="970"/>
      <c r="J1266" s="930">
        <f t="shared" si="260"/>
        <v>0</v>
      </c>
      <c r="K1266" s="931">
        <f t="shared" si="261"/>
        <v>5924</v>
      </c>
      <c r="L1266" s="971"/>
      <c r="M1266" s="954"/>
      <c r="N1266" s="954"/>
      <c r="O1266" s="954"/>
      <c r="P1266" s="954"/>
      <c r="Q1266" s="954"/>
      <c r="R1266" s="954"/>
      <c r="S1266" s="954"/>
      <c r="T1266" s="954"/>
      <c r="U1266" s="954"/>
    </row>
    <row r="1267" spans="1:21" s="933" customFormat="1" ht="24" customHeight="1">
      <c r="A1267" s="928"/>
      <c r="B1267" s="976" t="s">
        <v>871</v>
      </c>
      <c r="C1267" s="976"/>
      <c r="D1267" s="976"/>
      <c r="E1267" s="978"/>
      <c r="F1267" s="982"/>
      <c r="G1267" s="983"/>
      <c r="H1267" s="930">
        <f t="shared" si="259"/>
        <v>0</v>
      </c>
      <c r="I1267" s="970"/>
      <c r="J1267" s="930">
        <f t="shared" si="260"/>
        <v>0</v>
      </c>
      <c r="K1267" s="931">
        <f t="shared" si="261"/>
        <v>0</v>
      </c>
      <c r="L1267" s="971"/>
      <c r="M1267" s="954"/>
      <c r="N1267" s="954"/>
      <c r="O1267" s="954"/>
      <c r="P1267" s="954"/>
      <c r="Q1267" s="954"/>
      <c r="R1267" s="954"/>
      <c r="S1267" s="954"/>
      <c r="T1267" s="954"/>
      <c r="U1267" s="954"/>
    </row>
    <row r="1268" spans="1:21" s="933" customFormat="1" ht="24" customHeight="1">
      <c r="A1268" s="928"/>
      <c r="B1268" s="976" t="s">
        <v>872</v>
      </c>
      <c r="C1268" s="976"/>
      <c r="D1268" s="976"/>
      <c r="E1268" s="978"/>
      <c r="F1268" s="974" t="s">
        <v>870</v>
      </c>
      <c r="G1268" s="969">
        <f t="shared" ref="G1268:G1276" si="263">VLOOKUP(B1268,$O$43:$P$53,2,FALSE)</f>
        <v>25.73</v>
      </c>
      <c r="H1268" s="930">
        <f t="shared" si="259"/>
        <v>0</v>
      </c>
      <c r="I1268" s="984">
        <v>4.0999999999999996</v>
      </c>
      <c r="J1268" s="930">
        <f t="shared" si="260"/>
        <v>0</v>
      </c>
      <c r="K1268" s="931">
        <f t="shared" si="261"/>
        <v>0</v>
      </c>
      <c r="L1268" s="971"/>
      <c r="M1268" s="954"/>
      <c r="N1268" s="954"/>
      <c r="O1268" s="954"/>
      <c r="P1268" s="954"/>
      <c r="Q1268" s="954"/>
      <c r="R1268" s="954"/>
      <c r="S1268" s="954"/>
      <c r="T1268" s="954"/>
      <c r="U1268" s="954"/>
    </row>
    <row r="1269" spans="1:21" s="933" customFormat="1" ht="24" customHeight="1">
      <c r="A1269" s="928"/>
      <c r="B1269" s="976" t="s">
        <v>873</v>
      </c>
      <c r="C1269" s="976"/>
      <c r="D1269" s="976"/>
      <c r="E1269" s="978">
        <v>1775.48</v>
      </c>
      <c r="F1269" s="974" t="s">
        <v>870</v>
      </c>
      <c r="G1269" s="969">
        <f t="shared" si="263"/>
        <v>24.97</v>
      </c>
      <c r="H1269" s="930">
        <f t="shared" si="259"/>
        <v>44333.74</v>
      </c>
      <c r="I1269" s="970">
        <v>4.0999999999999996</v>
      </c>
      <c r="J1269" s="930">
        <f t="shared" si="260"/>
        <v>7279.47</v>
      </c>
      <c r="K1269" s="931">
        <f t="shared" si="261"/>
        <v>51613.21</v>
      </c>
      <c r="L1269" s="971"/>
      <c r="M1269" s="954"/>
      <c r="N1269" s="954"/>
      <c r="O1269" s="954"/>
      <c r="P1269" s="954"/>
      <c r="Q1269" s="954"/>
      <c r="R1269" s="954"/>
      <c r="S1269" s="954"/>
      <c r="T1269" s="954"/>
      <c r="U1269" s="954"/>
    </row>
    <row r="1270" spans="1:21" s="933" customFormat="1" ht="24" customHeight="1">
      <c r="A1270" s="928"/>
      <c r="B1270" s="976" t="s">
        <v>874</v>
      </c>
      <c r="C1270" s="976"/>
      <c r="D1270" s="976"/>
      <c r="E1270" s="978">
        <v>25618.42</v>
      </c>
      <c r="F1270" s="974" t="s">
        <v>870</v>
      </c>
      <c r="G1270" s="969">
        <f t="shared" si="263"/>
        <v>24.47</v>
      </c>
      <c r="H1270" s="930">
        <f t="shared" si="259"/>
        <v>626882.74</v>
      </c>
      <c r="I1270" s="970">
        <v>3.3</v>
      </c>
      <c r="J1270" s="930">
        <f t="shared" si="260"/>
        <v>84540.79</v>
      </c>
      <c r="K1270" s="931">
        <f t="shared" si="261"/>
        <v>711423.53</v>
      </c>
      <c r="L1270" s="971"/>
      <c r="M1270" s="954"/>
      <c r="N1270" s="954"/>
      <c r="O1270" s="954"/>
      <c r="P1270" s="954"/>
      <c r="Q1270" s="954"/>
      <c r="R1270" s="954"/>
      <c r="S1270" s="954"/>
      <c r="T1270" s="954"/>
      <c r="U1270" s="954"/>
    </row>
    <row r="1271" spans="1:21" s="933" customFormat="1" ht="24" customHeight="1">
      <c r="A1271" s="928"/>
      <c r="B1271" s="976" t="s">
        <v>875</v>
      </c>
      <c r="C1271" s="976"/>
      <c r="D1271" s="976"/>
      <c r="E1271" s="978">
        <v>2215.37</v>
      </c>
      <c r="F1271" s="982" t="s">
        <v>870</v>
      </c>
      <c r="G1271" s="969">
        <f t="shared" si="263"/>
        <v>24.27</v>
      </c>
      <c r="H1271" s="930">
        <f t="shared" si="259"/>
        <v>53767.03</v>
      </c>
      <c r="I1271" s="970">
        <v>3.3</v>
      </c>
      <c r="J1271" s="930">
        <f t="shared" si="260"/>
        <v>7310.72</v>
      </c>
      <c r="K1271" s="931">
        <f t="shared" si="261"/>
        <v>61077.75</v>
      </c>
      <c r="L1271" s="971"/>
      <c r="M1271" s="954"/>
      <c r="N1271" s="954"/>
      <c r="O1271" s="954"/>
      <c r="P1271" s="954"/>
      <c r="Q1271" s="954"/>
      <c r="R1271" s="954"/>
      <c r="S1271" s="954"/>
      <c r="T1271" s="954"/>
      <c r="U1271" s="954"/>
    </row>
    <row r="1272" spans="1:21" s="933" customFormat="1" ht="24" customHeight="1">
      <c r="A1272" s="928"/>
      <c r="B1272" s="976" t="s">
        <v>876</v>
      </c>
      <c r="C1272" s="976"/>
      <c r="D1272" s="976"/>
      <c r="E1272" s="978">
        <v>2493.4</v>
      </c>
      <c r="F1272" s="974" t="s">
        <v>870</v>
      </c>
      <c r="G1272" s="969">
        <f t="shared" si="263"/>
        <v>24.27</v>
      </c>
      <c r="H1272" s="930">
        <f t="shared" si="259"/>
        <v>60514.82</v>
      </c>
      <c r="I1272" s="970">
        <v>2.9</v>
      </c>
      <c r="J1272" s="930">
        <f t="shared" si="260"/>
        <v>7230.86</v>
      </c>
      <c r="K1272" s="931">
        <f t="shared" si="261"/>
        <v>67745.679999999993</v>
      </c>
      <c r="L1272" s="971"/>
      <c r="M1272" s="954"/>
      <c r="N1272" s="954"/>
      <c r="O1272" s="954"/>
      <c r="P1272" s="954"/>
      <c r="Q1272" s="954"/>
      <c r="R1272" s="954"/>
      <c r="S1272" s="954"/>
      <c r="T1272" s="954"/>
      <c r="U1272" s="954"/>
    </row>
    <row r="1273" spans="1:21" s="933" customFormat="1" ht="24" customHeight="1">
      <c r="A1273" s="928"/>
      <c r="B1273" s="976" t="s">
        <v>877</v>
      </c>
      <c r="C1273" s="976"/>
      <c r="D1273" s="976"/>
      <c r="E1273" s="978">
        <v>4142.05</v>
      </c>
      <c r="F1273" s="974" t="s">
        <v>870</v>
      </c>
      <c r="G1273" s="969">
        <f t="shared" si="263"/>
        <v>24.27</v>
      </c>
      <c r="H1273" s="930">
        <f t="shared" si="259"/>
        <v>100527.55</v>
      </c>
      <c r="I1273" s="970">
        <v>2.9</v>
      </c>
      <c r="J1273" s="930">
        <f t="shared" si="260"/>
        <v>12011.95</v>
      </c>
      <c r="K1273" s="931">
        <f t="shared" si="261"/>
        <v>112539.5</v>
      </c>
      <c r="L1273" s="971"/>
      <c r="M1273" s="954"/>
      <c r="N1273" s="954"/>
      <c r="O1273" s="954"/>
      <c r="P1273" s="954"/>
      <c r="Q1273" s="954"/>
      <c r="R1273" s="954"/>
      <c r="S1273" s="954"/>
      <c r="T1273" s="954"/>
      <c r="U1273" s="954"/>
    </row>
    <row r="1274" spans="1:21" s="933" customFormat="1" ht="24" customHeight="1">
      <c r="A1274" s="928"/>
      <c r="B1274" s="976" t="s">
        <v>878</v>
      </c>
      <c r="C1274" s="976"/>
      <c r="D1274" s="976"/>
      <c r="E1274" s="978">
        <v>9044.3700000000008</v>
      </c>
      <c r="F1274" s="974" t="s">
        <v>870</v>
      </c>
      <c r="G1274" s="969">
        <f t="shared" si="263"/>
        <v>24.27</v>
      </c>
      <c r="H1274" s="930">
        <f t="shared" si="259"/>
        <v>219506.86</v>
      </c>
      <c r="I1274" s="970">
        <v>2.9</v>
      </c>
      <c r="J1274" s="930">
        <f t="shared" si="260"/>
        <v>26228.67</v>
      </c>
      <c r="K1274" s="931">
        <f t="shared" si="261"/>
        <v>245735.52999999997</v>
      </c>
      <c r="L1274" s="971"/>
      <c r="M1274" s="954"/>
      <c r="N1274" s="954"/>
      <c r="O1274" s="954"/>
      <c r="P1274" s="954"/>
      <c r="Q1274" s="954"/>
      <c r="R1274" s="954"/>
      <c r="S1274" s="954"/>
      <c r="T1274" s="954"/>
      <c r="U1274" s="954"/>
    </row>
    <row r="1275" spans="1:21" s="933" customFormat="1" ht="24" customHeight="1">
      <c r="A1275" s="928"/>
      <c r="B1275" s="976" t="s">
        <v>879</v>
      </c>
      <c r="C1275" s="976"/>
      <c r="D1275" s="976"/>
      <c r="E1275" s="978"/>
      <c r="F1275" s="974" t="s">
        <v>870</v>
      </c>
      <c r="G1275" s="969">
        <f t="shared" si="263"/>
        <v>23.8</v>
      </c>
      <c r="H1275" s="930">
        <f t="shared" si="259"/>
        <v>0</v>
      </c>
      <c r="I1275" s="970">
        <v>2.9</v>
      </c>
      <c r="J1275" s="930">
        <f t="shared" si="260"/>
        <v>0</v>
      </c>
      <c r="K1275" s="931">
        <f t="shared" si="261"/>
        <v>0</v>
      </c>
      <c r="L1275" s="971"/>
      <c r="M1275" s="954"/>
      <c r="N1275" s="954"/>
      <c r="O1275" s="954"/>
      <c r="P1275" s="954"/>
      <c r="Q1275" s="954"/>
      <c r="R1275" s="954"/>
      <c r="S1275" s="954"/>
      <c r="T1275" s="954"/>
      <c r="U1275" s="954"/>
    </row>
    <row r="1276" spans="1:21" s="933" customFormat="1" ht="24" customHeight="1">
      <c r="A1276" s="928"/>
      <c r="B1276" s="976" t="s">
        <v>880</v>
      </c>
      <c r="C1276" s="976"/>
      <c r="D1276" s="976"/>
      <c r="E1276" s="978">
        <f>(SUM(E1268:E1275)/1000)*30</f>
        <v>1358.6727000000001</v>
      </c>
      <c r="F1276" s="974" t="s">
        <v>870</v>
      </c>
      <c r="G1276" s="969">
        <f t="shared" si="263"/>
        <v>29.92</v>
      </c>
      <c r="H1276" s="930">
        <f t="shared" si="259"/>
        <v>40651.49</v>
      </c>
      <c r="I1276" s="970"/>
      <c r="J1276" s="930">
        <f t="shared" si="260"/>
        <v>0</v>
      </c>
      <c r="K1276" s="931">
        <f t="shared" si="261"/>
        <v>40651.49</v>
      </c>
      <c r="L1276" s="971"/>
      <c r="M1276" s="954"/>
      <c r="N1276" s="954"/>
      <c r="O1276" s="954"/>
      <c r="P1276" s="954"/>
      <c r="Q1276" s="954"/>
      <c r="R1276" s="954"/>
      <c r="S1276" s="954"/>
      <c r="T1276" s="954"/>
      <c r="U1276" s="954"/>
    </row>
    <row r="1277" spans="1:21" s="933" customFormat="1" ht="24" customHeight="1">
      <c r="A1277" s="928"/>
      <c r="B1277" s="976" t="s">
        <v>881</v>
      </c>
      <c r="C1277" s="976"/>
      <c r="D1277" s="976"/>
      <c r="E1277" s="978"/>
      <c r="F1277" s="974"/>
      <c r="G1277" s="969"/>
      <c r="H1277" s="930"/>
      <c r="I1277" s="970"/>
      <c r="J1277" s="930"/>
      <c r="K1277" s="931"/>
      <c r="L1277" s="971"/>
      <c r="M1277" s="954"/>
      <c r="N1277" s="954"/>
      <c r="O1277" s="954"/>
      <c r="P1277" s="954"/>
      <c r="Q1277" s="954"/>
      <c r="R1277" s="954"/>
      <c r="S1277" s="954"/>
      <c r="T1277" s="954"/>
      <c r="U1277" s="954"/>
    </row>
    <row r="1278" spans="1:21" s="933" customFormat="1" ht="24" customHeight="1">
      <c r="A1278" s="928"/>
      <c r="B1278" s="1021"/>
      <c r="C1278" s="976"/>
      <c r="D1278" s="976"/>
      <c r="E1278" s="985"/>
      <c r="F1278" s="974"/>
      <c r="G1278" s="969"/>
      <c r="H1278" s="930"/>
      <c r="I1278" s="970"/>
      <c r="J1278" s="930"/>
      <c r="K1278" s="931"/>
      <c r="L1278" s="971"/>
      <c r="M1278" s="954"/>
      <c r="N1278" s="954"/>
      <c r="O1278" s="954"/>
      <c r="P1278" s="954"/>
      <c r="Q1278" s="954"/>
      <c r="R1278" s="954"/>
      <c r="S1278" s="954"/>
      <c r="T1278" s="954"/>
      <c r="U1278" s="954"/>
    </row>
    <row r="1279" spans="1:21" s="933" customFormat="1" ht="24" customHeight="1">
      <c r="A1279" s="928"/>
      <c r="B1279" s="1021"/>
      <c r="C1279" s="976"/>
      <c r="D1279" s="976"/>
      <c r="E1279" s="985"/>
      <c r="F1279" s="974"/>
      <c r="G1279" s="969"/>
      <c r="H1279" s="930"/>
      <c r="I1279" s="970"/>
      <c r="J1279" s="930"/>
      <c r="K1279" s="931"/>
      <c r="L1279" s="971"/>
      <c r="M1279" s="954"/>
      <c r="N1279" s="954"/>
      <c r="O1279" s="954"/>
      <c r="P1279" s="954"/>
      <c r="Q1279" s="954"/>
      <c r="R1279" s="954"/>
      <c r="S1279" s="954"/>
      <c r="T1279" s="954"/>
      <c r="U1279" s="954"/>
    </row>
    <row r="1280" spans="1:21" s="933" customFormat="1" ht="24" customHeight="1">
      <c r="A1280" s="928"/>
      <c r="B1280" s="1021"/>
      <c r="C1280" s="976"/>
      <c r="D1280" s="976"/>
      <c r="E1280" s="985"/>
      <c r="F1280" s="974"/>
      <c r="G1280" s="969"/>
      <c r="H1280" s="930"/>
      <c r="I1280" s="970"/>
      <c r="J1280" s="930"/>
      <c r="K1280" s="931"/>
      <c r="L1280" s="971"/>
      <c r="M1280" s="954"/>
      <c r="N1280" s="954"/>
      <c r="O1280" s="954"/>
      <c r="P1280" s="954"/>
      <c r="Q1280" s="954"/>
      <c r="R1280" s="954"/>
      <c r="S1280" s="954"/>
      <c r="T1280" s="954"/>
      <c r="U1280" s="954"/>
    </row>
    <row r="1281" spans="1:21" s="933" customFormat="1" ht="24" customHeight="1">
      <c r="A1281" s="928"/>
      <c r="B1281" s="1021"/>
      <c r="C1281" s="976"/>
      <c r="D1281" s="976"/>
      <c r="E1281" s="985"/>
      <c r="F1281" s="974"/>
      <c r="G1281" s="969"/>
      <c r="H1281" s="930"/>
      <c r="I1281" s="970"/>
      <c r="J1281" s="930"/>
      <c r="K1281" s="931"/>
      <c r="L1281" s="971"/>
      <c r="M1281" s="954"/>
      <c r="N1281" s="954"/>
      <c r="O1281" s="954"/>
      <c r="P1281" s="954"/>
      <c r="Q1281" s="954"/>
      <c r="R1281" s="954"/>
      <c r="S1281" s="954"/>
      <c r="T1281" s="954"/>
      <c r="U1281" s="954"/>
    </row>
    <row r="1282" spans="1:21" s="933" customFormat="1" ht="24" customHeight="1">
      <c r="A1282" s="928"/>
      <c r="B1282" s="1021"/>
      <c r="C1282" s="976"/>
      <c r="D1282" s="976"/>
      <c r="E1282" s="985"/>
      <c r="F1282" s="974"/>
      <c r="G1282" s="969"/>
      <c r="H1282" s="930"/>
      <c r="I1282" s="970"/>
      <c r="J1282" s="930"/>
      <c r="K1282" s="931"/>
      <c r="L1282" s="971"/>
      <c r="M1282" s="954"/>
      <c r="N1282" s="954"/>
      <c r="O1282" s="954"/>
      <c r="P1282" s="954"/>
      <c r="Q1282" s="954"/>
      <c r="R1282" s="954"/>
      <c r="S1282" s="954"/>
      <c r="T1282" s="954"/>
      <c r="U1282" s="954"/>
    </row>
    <row r="1283" spans="1:21" s="933" customFormat="1" ht="24" customHeight="1">
      <c r="A1283" s="928"/>
      <c r="B1283" s="1021"/>
      <c r="C1283" s="976"/>
      <c r="D1283" s="976"/>
      <c r="E1283" s="985"/>
      <c r="F1283" s="974"/>
      <c r="G1283" s="969"/>
      <c r="H1283" s="930"/>
      <c r="I1283" s="970"/>
      <c r="J1283" s="930"/>
      <c r="K1283" s="931"/>
      <c r="L1283" s="971"/>
      <c r="M1283" s="954"/>
      <c r="N1283" s="954"/>
      <c r="O1283" s="954"/>
      <c r="P1283" s="954"/>
      <c r="Q1283" s="954"/>
      <c r="R1283" s="954"/>
      <c r="S1283" s="954"/>
      <c r="T1283" s="954"/>
      <c r="U1283" s="954"/>
    </row>
    <row r="1284" spans="1:21" s="933" customFormat="1" ht="24" customHeight="1">
      <c r="A1284" s="928"/>
      <c r="B1284" s="1021"/>
      <c r="C1284" s="976"/>
      <c r="D1284" s="976"/>
      <c r="E1284" s="985"/>
      <c r="F1284" s="974"/>
      <c r="G1284" s="969"/>
      <c r="H1284" s="930"/>
      <c r="I1284" s="970"/>
      <c r="J1284" s="930"/>
      <c r="K1284" s="931"/>
      <c r="L1284" s="971"/>
      <c r="M1284" s="954"/>
      <c r="N1284" s="954"/>
      <c r="O1284" s="954"/>
      <c r="P1284" s="954"/>
      <c r="Q1284" s="954"/>
      <c r="R1284" s="954"/>
      <c r="S1284" s="954"/>
      <c r="T1284" s="954"/>
      <c r="U1284" s="954"/>
    </row>
    <row r="1285" spans="1:21" s="933" customFormat="1" ht="24" customHeight="1">
      <c r="A1285" s="928"/>
      <c r="B1285" s="1021"/>
      <c r="C1285" s="976"/>
      <c r="D1285" s="976"/>
      <c r="E1285" s="985"/>
      <c r="F1285" s="974"/>
      <c r="G1285" s="969"/>
      <c r="H1285" s="930"/>
      <c r="I1285" s="970"/>
      <c r="J1285" s="930"/>
      <c r="K1285" s="931"/>
      <c r="L1285" s="971"/>
      <c r="M1285" s="954"/>
      <c r="N1285" s="954"/>
      <c r="O1285" s="954"/>
      <c r="P1285" s="954"/>
      <c r="Q1285" s="954"/>
      <c r="R1285" s="954"/>
      <c r="S1285" s="954"/>
      <c r="T1285" s="954"/>
      <c r="U1285" s="954"/>
    </row>
    <row r="1286" spans="1:21" s="933" customFormat="1" ht="24" customHeight="1">
      <c r="A1286" s="1026" t="s">
        <v>984</v>
      </c>
      <c r="B1286" s="1030" t="s">
        <v>985</v>
      </c>
      <c r="C1286" s="976"/>
      <c r="D1286" s="976"/>
      <c r="E1286" s="985"/>
      <c r="F1286" s="974"/>
      <c r="G1286" s="969"/>
      <c r="H1286" s="930"/>
      <c r="I1286" s="970"/>
      <c r="J1286" s="930"/>
      <c r="K1286" s="931"/>
      <c r="L1286" s="971"/>
      <c r="M1286" s="954"/>
      <c r="N1286" s="954"/>
      <c r="O1286" s="954"/>
      <c r="P1286" s="954"/>
      <c r="Q1286" s="954"/>
      <c r="R1286" s="954"/>
      <c r="S1286" s="954"/>
      <c r="T1286" s="954"/>
      <c r="U1286" s="954"/>
    </row>
    <row r="1287" spans="1:21" s="933" customFormat="1" ht="24" customHeight="1">
      <c r="A1287" s="928"/>
      <c r="B1287" s="976" t="s">
        <v>864</v>
      </c>
      <c r="C1287" s="977"/>
      <c r="D1287" s="977"/>
      <c r="E1287" s="978">
        <v>342.31</v>
      </c>
      <c r="F1287" s="974" t="s">
        <v>865</v>
      </c>
      <c r="G1287" s="969">
        <v>2516</v>
      </c>
      <c r="H1287" s="930">
        <f t="shared" ref="H1287:H1301" si="264">ROUND(E1287*G1287,2)</f>
        <v>861251.96</v>
      </c>
      <c r="I1287" s="970">
        <v>485</v>
      </c>
      <c r="J1287" s="930">
        <f t="shared" ref="J1287:J1301" si="265">ROUND(E1287*I1287,2)</f>
        <v>166020.35</v>
      </c>
      <c r="K1287" s="931">
        <f t="shared" ref="K1287:K1301" si="266">H1287+J1287</f>
        <v>1027272.3099999999</v>
      </c>
      <c r="L1287" s="971"/>
      <c r="M1287" s="954"/>
      <c r="N1287" s="954"/>
      <c r="O1287" s="954"/>
      <c r="P1287" s="954"/>
      <c r="Q1287" s="954"/>
      <c r="R1287" s="954"/>
      <c r="S1287" s="954"/>
      <c r="T1287" s="954"/>
      <c r="U1287" s="954"/>
    </row>
    <row r="1288" spans="1:21" s="933" customFormat="1" ht="24" customHeight="1">
      <c r="A1288" s="928"/>
      <c r="B1288" s="979" t="s">
        <v>866</v>
      </c>
      <c r="C1288" s="976"/>
      <c r="D1288" s="976"/>
      <c r="E1288" s="978"/>
      <c r="F1288" s="974"/>
      <c r="G1288" s="969"/>
      <c r="H1288" s="930">
        <f t="shared" si="264"/>
        <v>0</v>
      </c>
      <c r="I1288" s="970"/>
      <c r="J1288" s="930">
        <f t="shared" si="265"/>
        <v>0</v>
      </c>
      <c r="K1288" s="931">
        <f t="shared" si="266"/>
        <v>0</v>
      </c>
      <c r="L1288" s="971"/>
      <c r="M1288" s="954"/>
      <c r="N1288" s="954"/>
      <c r="O1288" s="954"/>
      <c r="P1288" s="954"/>
      <c r="Q1288" s="954"/>
      <c r="R1288" s="954"/>
      <c r="S1288" s="954"/>
      <c r="T1288" s="954"/>
      <c r="U1288" s="954"/>
    </row>
    <row r="1289" spans="1:21" s="933" customFormat="1" ht="24" customHeight="1">
      <c r="A1289" s="928"/>
      <c r="B1289" s="979"/>
      <c r="C1289" s="976" t="s">
        <v>867</v>
      </c>
      <c r="D1289" s="976"/>
      <c r="E1289" s="978">
        <f>E1290/2</f>
        <v>772.39</v>
      </c>
      <c r="F1289" s="974" t="s">
        <v>34</v>
      </c>
      <c r="G1289" s="969">
        <v>661.62</v>
      </c>
      <c r="H1289" s="930">
        <f t="shared" si="264"/>
        <v>511028.67</v>
      </c>
      <c r="I1289" s="970"/>
      <c r="J1289" s="930">
        <f t="shared" si="265"/>
        <v>0</v>
      </c>
      <c r="K1289" s="931">
        <f t="shared" si="266"/>
        <v>511028.67</v>
      </c>
      <c r="L1289" s="971"/>
      <c r="M1289" s="954"/>
      <c r="N1289" s="954"/>
      <c r="O1289" s="954"/>
      <c r="P1289" s="954"/>
      <c r="Q1289" s="954"/>
      <c r="R1289" s="954"/>
      <c r="S1289" s="954"/>
      <c r="T1289" s="954"/>
      <c r="U1289" s="954"/>
    </row>
    <row r="1290" spans="1:21" s="933" customFormat="1" ht="24" customHeight="1">
      <c r="A1290" s="928"/>
      <c r="B1290" s="979"/>
      <c r="C1290" s="976" t="s">
        <v>868</v>
      </c>
      <c r="D1290" s="976"/>
      <c r="E1290" s="978">
        <v>1544.78</v>
      </c>
      <c r="F1290" s="974" t="s">
        <v>34</v>
      </c>
      <c r="G1290" s="969"/>
      <c r="H1290" s="930">
        <f t="shared" si="264"/>
        <v>0</v>
      </c>
      <c r="I1290" s="970">
        <v>154</v>
      </c>
      <c r="J1290" s="930">
        <f t="shared" si="265"/>
        <v>237896.12</v>
      </c>
      <c r="K1290" s="931">
        <f t="shared" si="266"/>
        <v>237896.12</v>
      </c>
      <c r="L1290" s="971"/>
      <c r="M1290" s="954"/>
      <c r="N1290" s="954"/>
      <c r="O1290" s="954"/>
      <c r="P1290" s="954"/>
      <c r="Q1290" s="954"/>
      <c r="R1290" s="954"/>
      <c r="S1290" s="954"/>
      <c r="T1290" s="954"/>
      <c r="U1290" s="954"/>
    </row>
    <row r="1291" spans="1:21" s="933" customFormat="1" ht="24" customHeight="1">
      <c r="A1291" s="928"/>
      <c r="B1291" s="976" t="s">
        <v>869</v>
      </c>
      <c r="C1291" s="976"/>
      <c r="D1291" s="976"/>
      <c r="E1291" s="978">
        <f>(E1290*0.25)</f>
        <v>386.19499999999999</v>
      </c>
      <c r="F1291" s="974" t="s">
        <v>870</v>
      </c>
      <c r="G1291" s="969">
        <f t="shared" ref="G1291" si="267">VLOOKUP(B1291,$O$43:$P$53,2,FALSE)</f>
        <v>29.94</v>
      </c>
      <c r="H1291" s="930">
        <f t="shared" si="264"/>
        <v>11562.68</v>
      </c>
      <c r="I1291" s="970"/>
      <c r="J1291" s="930">
        <f t="shared" si="265"/>
        <v>0</v>
      </c>
      <c r="K1291" s="931">
        <f t="shared" si="266"/>
        <v>11562.68</v>
      </c>
      <c r="L1291" s="971"/>
      <c r="M1291" s="954"/>
      <c r="N1291" s="954"/>
      <c r="O1291" s="954"/>
      <c r="P1291" s="954"/>
      <c r="Q1291" s="954"/>
      <c r="R1291" s="954"/>
      <c r="S1291" s="954"/>
      <c r="T1291" s="954"/>
      <c r="U1291" s="954"/>
    </row>
    <row r="1292" spans="1:21" s="933" customFormat="1" ht="24" customHeight="1">
      <c r="A1292" s="928"/>
      <c r="B1292" s="976" t="s">
        <v>871</v>
      </c>
      <c r="C1292" s="976"/>
      <c r="D1292" s="976"/>
      <c r="E1292" s="978"/>
      <c r="F1292" s="982"/>
      <c r="G1292" s="983"/>
      <c r="H1292" s="930">
        <f t="shared" si="264"/>
        <v>0</v>
      </c>
      <c r="I1292" s="970"/>
      <c r="J1292" s="930">
        <f t="shared" si="265"/>
        <v>0</v>
      </c>
      <c r="K1292" s="931">
        <f t="shared" si="266"/>
        <v>0</v>
      </c>
      <c r="L1292" s="971"/>
      <c r="M1292" s="954"/>
      <c r="N1292" s="954"/>
      <c r="O1292" s="954"/>
      <c r="P1292" s="954"/>
      <c r="Q1292" s="954"/>
      <c r="R1292" s="954"/>
      <c r="S1292" s="954"/>
      <c r="T1292" s="954"/>
      <c r="U1292" s="954"/>
    </row>
    <row r="1293" spans="1:21" s="933" customFormat="1" ht="24" customHeight="1">
      <c r="A1293" s="928"/>
      <c r="B1293" s="976" t="s">
        <v>872</v>
      </c>
      <c r="C1293" s="976"/>
      <c r="D1293" s="976"/>
      <c r="E1293" s="978">
        <v>0</v>
      </c>
      <c r="F1293" s="974" t="s">
        <v>870</v>
      </c>
      <c r="G1293" s="969">
        <f t="shared" ref="G1293:G1301" si="268">VLOOKUP(B1293,$O$43:$P$53,2,FALSE)</f>
        <v>25.73</v>
      </c>
      <c r="H1293" s="930">
        <f t="shared" si="264"/>
        <v>0</v>
      </c>
      <c r="I1293" s="984">
        <v>4.0999999999999996</v>
      </c>
      <c r="J1293" s="930">
        <f t="shared" si="265"/>
        <v>0</v>
      </c>
      <c r="K1293" s="931">
        <f t="shared" si="266"/>
        <v>0</v>
      </c>
      <c r="L1293" s="971"/>
      <c r="M1293" s="954"/>
      <c r="N1293" s="954"/>
      <c r="O1293" s="954"/>
      <c r="P1293" s="954"/>
      <c r="Q1293" s="954"/>
      <c r="R1293" s="954"/>
      <c r="S1293" s="954"/>
      <c r="T1293" s="954"/>
      <c r="U1293" s="954"/>
    </row>
    <row r="1294" spans="1:21" s="933" customFormat="1" ht="24" customHeight="1">
      <c r="A1294" s="928"/>
      <c r="B1294" s="976" t="s">
        <v>873</v>
      </c>
      <c r="C1294" s="976"/>
      <c r="D1294" s="976"/>
      <c r="E1294" s="978">
        <v>9357.83</v>
      </c>
      <c r="F1294" s="974" t="s">
        <v>870</v>
      </c>
      <c r="G1294" s="969">
        <f t="shared" si="268"/>
        <v>24.97</v>
      </c>
      <c r="H1294" s="930">
        <f t="shared" si="264"/>
        <v>233665.02</v>
      </c>
      <c r="I1294" s="970">
        <v>4.0999999999999996</v>
      </c>
      <c r="J1294" s="930">
        <f t="shared" si="265"/>
        <v>38367.1</v>
      </c>
      <c r="K1294" s="931">
        <f t="shared" si="266"/>
        <v>272032.12</v>
      </c>
      <c r="L1294" s="971"/>
      <c r="M1294" s="954"/>
      <c r="N1294" s="954"/>
      <c r="O1294" s="954"/>
      <c r="P1294" s="954"/>
      <c r="Q1294" s="954"/>
      <c r="R1294" s="954"/>
      <c r="S1294" s="954"/>
      <c r="T1294" s="954"/>
      <c r="U1294" s="954"/>
    </row>
    <row r="1295" spans="1:21" s="933" customFormat="1" ht="24" customHeight="1">
      <c r="A1295" s="928"/>
      <c r="B1295" s="976" t="s">
        <v>874</v>
      </c>
      <c r="C1295" s="976"/>
      <c r="D1295" s="976"/>
      <c r="E1295" s="978">
        <v>9771.9</v>
      </c>
      <c r="F1295" s="974" t="s">
        <v>870</v>
      </c>
      <c r="G1295" s="969">
        <f t="shared" si="268"/>
        <v>24.47</v>
      </c>
      <c r="H1295" s="930">
        <f t="shared" si="264"/>
        <v>239118.39</v>
      </c>
      <c r="I1295" s="970">
        <v>3.3</v>
      </c>
      <c r="J1295" s="930">
        <f t="shared" si="265"/>
        <v>32247.27</v>
      </c>
      <c r="K1295" s="931">
        <f t="shared" si="266"/>
        <v>271365.66000000003</v>
      </c>
      <c r="L1295" s="971"/>
      <c r="M1295" s="954"/>
      <c r="N1295" s="954"/>
      <c r="O1295" s="954"/>
      <c r="P1295" s="954"/>
      <c r="Q1295" s="954"/>
      <c r="R1295" s="954"/>
      <c r="S1295" s="954"/>
      <c r="T1295" s="954"/>
      <c r="U1295" s="954"/>
    </row>
    <row r="1296" spans="1:21" s="933" customFormat="1" ht="24" customHeight="1">
      <c r="A1296" s="928"/>
      <c r="B1296" s="976" t="s">
        <v>875</v>
      </c>
      <c r="C1296" s="976"/>
      <c r="D1296" s="976"/>
      <c r="E1296" s="978">
        <v>56.129999999999995</v>
      </c>
      <c r="F1296" s="982" t="s">
        <v>870</v>
      </c>
      <c r="G1296" s="969">
        <f t="shared" si="268"/>
        <v>24.27</v>
      </c>
      <c r="H1296" s="930">
        <f t="shared" si="264"/>
        <v>1362.28</v>
      </c>
      <c r="I1296" s="970">
        <v>3.3</v>
      </c>
      <c r="J1296" s="930">
        <f t="shared" si="265"/>
        <v>185.23</v>
      </c>
      <c r="K1296" s="931">
        <f t="shared" si="266"/>
        <v>1547.51</v>
      </c>
      <c r="L1296" s="971"/>
      <c r="M1296" s="954"/>
      <c r="N1296" s="954"/>
      <c r="O1296" s="954"/>
      <c r="P1296" s="954"/>
      <c r="Q1296" s="954"/>
      <c r="R1296" s="954"/>
      <c r="S1296" s="954"/>
      <c r="T1296" s="954"/>
      <c r="U1296" s="954"/>
    </row>
    <row r="1297" spans="1:21" s="933" customFormat="1" ht="24" customHeight="1">
      <c r="A1297" s="928"/>
      <c r="B1297" s="976" t="s">
        <v>876</v>
      </c>
      <c r="C1297" s="976"/>
      <c r="D1297" s="976"/>
      <c r="E1297" s="978">
        <v>0</v>
      </c>
      <c r="F1297" s="974" t="s">
        <v>870</v>
      </c>
      <c r="G1297" s="969">
        <f t="shared" si="268"/>
        <v>24.27</v>
      </c>
      <c r="H1297" s="930">
        <f t="shared" si="264"/>
        <v>0</v>
      </c>
      <c r="I1297" s="970">
        <v>2.9</v>
      </c>
      <c r="J1297" s="930">
        <f t="shared" si="265"/>
        <v>0</v>
      </c>
      <c r="K1297" s="931">
        <f t="shared" si="266"/>
        <v>0</v>
      </c>
      <c r="L1297" s="971"/>
      <c r="M1297" s="954"/>
      <c r="N1297" s="954"/>
      <c r="O1297" s="954"/>
      <c r="P1297" s="954"/>
      <c r="Q1297" s="954"/>
      <c r="R1297" s="954"/>
      <c r="S1297" s="954"/>
      <c r="T1297" s="954"/>
      <c r="U1297" s="954"/>
    </row>
    <row r="1298" spans="1:21" s="933" customFormat="1" ht="24" customHeight="1">
      <c r="A1298" s="928"/>
      <c r="B1298" s="976" t="s">
        <v>877</v>
      </c>
      <c r="C1298" s="976"/>
      <c r="D1298" s="976"/>
      <c r="E1298" s="978">
        <v>40803.839999999997</v>
      </c>
      <c r="F1298" s="974" t="s">
        <v>870</v>
      </c>
      <c r="G1298" s="969">
        <f t="shared" si="268"/>
        <v>24.27</v>
      </c>
      <c r="H1298" s="930">
        <f t="shared" si="264"/>
        <v>990309.2</v>
      </c>
      <c r="I1298" s="970">
        <v>2.9</v>
      </c>
      <c r="J1298" s="930">
        <f t="shared" si="265"/>
        <v>118331.14</v>
      </c>
      <c r="K1298" s="931">
        <f t="shared" si="266"/>
        <v>1108640.3399999999</v>
      </c>
      <c r="L1298" s="971"/>
      <c r="M1298" s="954"/>
      <c r="N1298" s="954"/>
      <c r="O1298" s="954"/>
      <c r="P1298" s="954"/>
      <c r="Q1298" s="954"/>
      <c r="R1298" s="954"/>
      <c r="S1298" s="954"/>
      <c r="T1298" s="954"/>
      <c r="U1298" s="954"/>
    </row>
    <row r="1299" spans="1:21" s="933" customFormat="1" ht="24" customHeight="1">
      <c r="A1299" s="928"/>
      <c r="B1299" s="976" t="s">
        <v>878</v>
      </c>
      <c r="C1299" s="976"/>
      <c r="D1299" s="976"/>
      <c r="E1299" s="978">
        <v>0</v>
      </c>
      <c r="F1299" s="974" t="s">
        <v>870</v>
      </c>
      <c r="G1299" s="969">
        <f t="shared" si="268"/>
        <v>24.27</v>
      </c>
      <c r="H1299" s="930">
        <f t="shared" si="264"/>
        <v>0</v>
      </c>
      <c r="I1299" s="970">
        <v>2.9</v>
      </c>
      <c r="J1299" s="930">
        <f t="shared" si="265"/>
        <v>0</v>
      </c>
      <c r="K1299" s="931">
        <f t="shared" si="266"/>
        <v>0</v>
      </c>
      <c r="L1299" s="971"/>
      <c r="M1299" s="954"/>
      <c r="N1299" s="954"/>
      <c r="O1299" s="954"/>
      <c r="P1299" s="954"/>
      <c r="Q1299" s="954"/>
      <c r="R1299" s="954"/>
      <c r="S1299" s="954"/>
      <c r="T1299" s="954"/>
      <c r="U1299" s="954"/>
    </row>
    <row r="1300" spans="1:21" s="933" customFormat="1" ht="24" customHeight="1">
      <c r="A1300" s="928"/>
      <c r="B1300" s="976" t="s">
        <v>879</v>
      </c>
      <c r="C1300" s="976"/>
      <c r="D1300" s="976"/>
      <c r="E1300" s="978">
        <v>0</v>
      </c>
      <c r="F1300" s="974" t="s">
        <v>870</v>
      </c>
      <c r="G1300" s="969">
        <f t="shared" si="268"/>
        <v>23.8</v>
      </c>
      <c r="H1300" s="930">
        <f t="shared" si="264"/>
        <v>0</v>
      </c>
      <c r="I1300" s="970">
        <v>2.9</v>
      </c>
      <c r="J1300" s="930">
        <f t="shared" si="265"/>
        <v>0</v>
      </c>
      <c r="K1300" s="931">
        <f t="shared" si="266"/>
        <v>0</v>
      </c>
      <c r="L1300" s="971"/>
      <c r="M1300" s="954"/>
      <c r="N1300" s="954"/>
      <c r="O1300" s="954"/>
      <c r="P1300" s="954"/>
      <c r="Q1300" s="954"/>
      <c r="R1300" s="954"/>
      <c r="S1300" s="954"/>
      <c r="T1300" s="954"/>
      <c r="U1300" s="954"/>
    </row>
    <row r="1301" spans="1:21" s="933" customFormat="1" ht="24" customHeight="1">
      <c r="A1301" s="928"/>
      <c r="B1301" s="976" t="s">
        <v>880</v>
      </c>
      <c r="C1301" s="976"/>
      <c r="D1301" s="976"/>
      <c r="E1301" s="978">
        <f>(SUM(E1293:E1300)/1000)*30</f>
        <v>1799.691</v>
      </c>
      <c r="F1301" s="974" t="s">
        <v>870</v>
      </c>
      <c r="G1301" s="969">
        <f t="shared" si="268"/>
        <v>29.92</v>
      </c>
      <c r="H1301" s="930">
        <f t="shared" si="264"/>
        <v>53846.75</v>
      </c>
      <c r="I1301" s="970"/>
      <c r="J1301" s="930">
        <f t="shared" si="265"/>
        <v>0</v>
      </c>
      <c r="K1301" s="931">
        <f t="shared" si="266"/>
        <v>53846.75</v>
      </c>
      <c r="L1301" s="971"/>
      <c r="M1301" s="954"/>
      <c r="N1301" s="954"/>
      <c r="O1301" s="954"/>
      <c r="P1301" s="954"/>
      <c r="Q1301" s="954"/>
      <c r="R1301" s="954"/>
      <c r="S1301" s="954"/>
      <c r="T1301" s="954"/>
      <c r="U1301" s="954"/>
    </row>
    <row r="1302" spans="1:21" s="933" customFormat="1" ht="24" customHeight="1">
      <c r="A1302" s="928"/>
      <c r="B1302" s="976" t="s">
        <v>881</v>
      </c>
      <c r="C1302" s="976"/>
      <c r="D1302" s="976"/>
      <c r="E1302" s="978"/>
      <c r="F1302" s="974"/>
      <c r="G1302" s="969"/>
      <c r="H1302" s="930"/>
      <c r="I1302" s="970"/>
      <c r="J1302" s="930"/>
      <c r="K1302" s="931"/>
      <c r="L1302" s="971"/>
      <c r="M1302" s="954"/>
      <c r="N1302" s="954"/>
      <c r="O1302" s="954"/>
      <c r="P1302" s="954"/>
      <c r="Q1302" s="954"/>
      <c r="R1302" s="954"/>
      <c r="S1302" s="954"/>
      <c r="T1302" s="954"/>
      <c r="U1302" s="954"/>
    </row>
    <row r="1303" spans="1:21" s="933" customFormat="1" ht="24" customHeight="1">
      <c r="A1303" s="928"/>
      <c r="B1303" s="1021"/>
      <c r="C1303" s="976"/>
      <c r="D1303" s="976"/>
      <c r="E1303" s="978"/>
      <c r="F1303" s="974"/>
      <c r="G1303" s="969"/>
      <c r="H1303" s="930"/>
      <c r="I1303" s="970"/>
      <c r="J1303" s="930"/>
      <c r="K1303" s="931"/>
      <c r="L1303" s="971"/>
      <c r="M1303" s="954"/>
      <c r="N1303" s="954"/>
      <c r="O1303" s="954"/>
      <c r="P1303" s="954"/>
      <c r="Q1303" s="954"/>
      <c r="R1303" s="954"/>
      <c r="S1303" s="954"/>
      <c r="T1303" s="954"/>
      <c r="U1303" s="954"/>
    </row>
    <row r="1304" spans="1:21" s="933" customFormat="1" ht="24" customHeight="1">
      <c r="A1304" s="928"/>
      <c r="B1304" s="1021"/>
      <c r="C1304" s="976"/>
      <c r="D1304" s="976"/>
      <c r="E1304" s="978"/>
      <c r="F1304" s="974"/>
      <c r="G1304" s="969"/>
      <c r="H1304" s="930"/>
      <c r="I1304" s="970"/>
      <c r="J1304" s="930"/>
      <c r="K1304" s="931"/>
      <c r="L1304" s="971"/>
      <c r="M1304" s="954"/>
      <c r="N1304" s="954"/>
      <c r="O1304" s="954"/>
      <c r="P1304" s="954"/>
      <c r="Q1304" s="954"/>
      <c r="R1304" s="954"/>
      <c r="S1304" s="954"/>
      <c r="T1304" s="954"/>
      <c r="U1304" s="954"/>
    </row>
    <row r="1305" spans="1:21" s="933" customFormat="1" ht="24" customHeight="1">
      <c r="A1305" s="928"/>
      <c r="B1305" s="1021"/>
      <c r="C1305" s="976"/>
      <c r="D1305" s="976"/>
      <c r="E1305" s="978"/>
      <c r="F1305" s="974"/>
      <c r="G1305" s="969"/>
      <c r="H1305" s="930"/>
      <c r="I1305" s="970"/>
      <c r="J1305" s="930"/>
      <c r="K1305" s="931"/>
      <c r="L1305" s="971"/>
      <c r="M1305" s="954"/>
      <c r="N1305" s="954"/>
      <c r="O1305" s="954"/>
      <c r="P1305" s="954"/>
      <c r="Q1305" s="954"/>
      <c r="R1305" s="954"/>
      <c r="S1305" s="954"/>
      <c r="T1305" s="954"/>
      <c r="U1305" s="954"/>
    </row>
    <row r="1306" spans="1:21" s="933" customFormat="1" ht="24" customHeight="1">
      <c r="A1306" s="928"/>
      <c r="B1306" s="1021"/>
      <c r="C1306" s="976"/>
      <c r="D1306" s="976"/>
      <c r="E1306" s="978"/>
      <c r="F1306" s="974"/>
      <c r="G1306" s="969"/>
      <c r="H1306" s="930"/>
      <c r="I1306" s="970"/>
      <c r="J1306" s="930"/>
      <c r="K1306" s="931"/>
      <c r="L1306" s="971"/>
      <c r="M1306" s="954"/>
      <c r="N1306" s="954"/>
      <c r="O1306" s="954"/>
      <c r="P1306" s="954"/>
      <c r="Q1306" s="954"/>
      <c r="R1306" s="954"/>
      <c r="S1306" s="954"/>
      <c r="T1306" s="954"/>
      <c r="U1306" s="954"/>
    </row>
    <row r="1307" spans="1:21" s="933" customFormat="1" ht="24" customHeight="1">
      <c r="A1307" s="928"/>
      <c r="B1307" s="1021"/>
      <c r="C1307" s="976"/>
      <c r="D1307" s="976"/>
      <c r="E1307" s="978"/>
      <c r="F1307" s="974"/>
      <c r="G1307" s="969"/>
      <c r="H1307" s="930"/>
      <c r="I1307" s="970"/>
      <c r="J1307" s="930"/>
      <c r="K1307" s="931"/>
      <c r="L1307" s="971"/>
      <c r="M1307" s="954"/>
      <c r="N1307" s="954"/>
      <c r="O1307" s="954"/>
      <c r="P1307" s="954"/>
      <c r="Q1307" s="954"/>
      <c r="R1307" s="954"/>
      <c r="S1307" s="954"/>
      <c r="T1307" s="954"/>
      <c r="U1307" s="954"/>
    </row>
    <row r="1308" spans="1:21" s="933" customFormat="1" ht="24" customHeight="1">
      <c r="A1308" s="928"/>
      <c r="B1308" s="1021"/>
      <c r="C1308" s="976"/>
      <c r="D1308" s="976"/>
      <c r="E1308" s="978"/>
      <c r="F1308" s="974"/>
      <c r="G1308" s="969"/>
      <c r="H1308" s="930"/>
      <c r="I1308" s="970"/>
      <c r="J1308" s="930"/>
      <c r="K1308" s="931"/>
      <c r="L1308" s="971"/>
      <c r="M1308" s="954"/>
      <c r="N1308" s="954"/>
      <c r="O1308" s="954"/>
      <c r="P1308" s="954"/>
      <c r="Q1308" s="954"/>
      <c r="R1308" s="954"/>
      <c r="S1308" s="954"/>
      <c r="T1308" s="954"/>
      <c r="U1308" s="954"/>
    </row>
    <row r="1309" spans="1:21" s="933" customFormat="1" ht="24" customHeight="1">
      <c r="A1309" s="928"/>
      <c r="B1309" s="1021"/>
      <c r="C1309" s="976"/>
      <c r="D1309" s="976"/>
      <c r="E1309" s="978"/>
      <c r="F1309" s="974"/>
      <c r="G1309" s="969"/>
      <c r="H1309" s="930"/>
      <c r="I1309" s="970"/>
      <c r="J1309" s="930"/>
      <c r="K1309" s="931"/>
      <c r="L1309" s="971"/>
      <c r="M1309" s="954"/>
      <c r="N1309" s="954"/>
      <c r="O1309" s="954"/>
      <c r="P1309" s="954"/>
      <c r="Q1309" s="954"/>
      <c r="R1309" s="954"/>
      <c r="S1309" s="954"/>
      <c r="T1309" s="954"/>
      <c r="U1309" s="954"/>
    </row>
    <row r="1310" spans="1:21" s="933" customFormat="1" ht="24" customHeight="1">
      <c r="A1310" s="928"/>
      <c r="B1310" s="1021"/>
      <c r="C1310" s="976"/>
      <c r="D1310" s="976"/>
      <c r="E1310" s="978"/>
      <c r="F1310" s="974"/>
      <c r="G1310" s="969"/>
      <c r="H1310" s="930"/>
      <c r="I1310" s="970"/>
      <c r="J1310" s="930"/>
      <c r="K1310" s="931"/>
      <c r="L1310" s="971"/>
      <c r="M1310" s="954"/>
      <c r="N1310" s="954"/>
      <c r="O1310" s="954"/>
      <c r="P1310" s="954"/>
      <c r="Q1310" s="954"/>
      <c r="R1310" s="954"/>
      <c r="S1310" s="954"/>
      <c r="T1310" s="954"/>
      <c r="U1310" s="954"/>
    </row>
    <row r="1311" spans="1:21" s="933" customFormat="1" ht="24" customHeight="1">
      <c r="A1311" s="1026" t="s">
        <v>986</v>
      </c>
      <c r="B1311" s="1030" t="s">
        <v>1037</v>
      </c>
      <c r="C1311" s="976"/>
      <c r="D1311" s="976"/>
      <c r="E1311" s="978"/>
      <c r="F1311" s="974"/>
      <c r="G1311" s="969"/>
      <c r="H1311" s="930"/>
      <c r="I1311" s="970"/>
      <c r="J1311" s="930"/>
      <c r="K1311" s="931"/>
      <c r="L1311" s="971"/>
      <c r="M1311" s="954"/>
      <c r="N1311" s="954"/>
      <c r="O1311" s="954"/>
      <c r="P1311" s="954"/>
      <c r="Q1311" s="954"/>
      <c r="R1311" s="954"/>
      <c r="S1311" s="954"/>
      <c r="T1311" s="954"/>
      <c r="U1311" s="954"/>
    </row>
    <row r="1312" spans="1:21" s="933" customFormat="1" ht="24" customHeight="1">
      <c r="A1312" s="928"/>
      <c r="B1312" s="976" t="s">
        <v>864</v>
      </c>
      <c r="C1312" s="977"/>
      <c r="D1312" s="977"/>
      <c r="E1312" s="978">
        <v>185</v>
      </c>
      <c r="F1312" s="974" t="s">
        <v>865</v>
      </c>
      <c r="G1312" s="969">
        <v>2516</v>
      </c>
      <c r="H1312" s="930">
        <f t="shared" ref="H1312:H1326" si="269">ROUND(E1312*G1312,2)</f>
        <v>465460</v>
      </c>
      <c r="I1312" s="970">
        <v>485</v>
      </c>
      <c r="J1312" s="930">
        <f t="shared" ref="J1312:J1326" si="270">ROUND(E1312*I1312,2)</f>
        <v>89725</v>
      </c>
      <c r="K1312" s="931">
        <f t="shared" ref="K1312:K1326" si="271">H1312+J1312</f>
        <v>555185</v>
      </c>
      <c r="L1312" s="971"/>
      <c r="M1312" s="954"/>
      <c r="N1312" s="954"/>
      <c r="O1312" s="954"/>
      <c r="P1312" s="954"/>
      <c r="Q1312" s="954"/>
      <c r="R1312" s="954"/>
      <c r="S1312" s="954"/>
      <c r="T1312" s="954"/>
      <c r="U1312" s="954"/>
    </row>
    <row r="1313" spans="1:21" s="933" customFormat="1" ht="24" customHeight="1">
      <c r="A1313" s="928"/>
      <c r="B1313" s="979" t="s">
        <v>866</v>
      </c>
      <c r="C1313" s="976"/>
      <c r="D1313" s="976"/>
      <c r="E1313" s="978"/>
      <c r="F1313" s="974"/>
      <c r="G1313" s="969"/>
      <c r="H1313" s="930">
        <f t="shared" si="269"/>
        <v>0</v>
      </c>
      <c r="I1313" s="970"/>
      <c r="J1313" s="930">
        <f t="shared" si="270"/>
        <v>0</v>
      </c>
      <c r="K1313" s="931">
        <f t="shared" si="271"/>
        <v>0</v>
      </c>
      <c r="L1313" s="971"/>
      <c r="M1313" s="954"/>
      <c r="N1313" s="954"/>
      <c r="O1313" s="954"/>
      <c r="P1313" s="954"/>
      <c r="Q1313" s="954"/>
      <c r="R1313" s="954"/>
      <c r="S1313" s="954"/>
      <c r="T1313" s="954"/>
      <c r="U1313" s="954"/>
    </row>
    <row r="1314" spans="1:21" s="933" customFormat="1" ht="24" customHeight="1">
      <c r="A1314" s="928"/>
      <c r="B1314" s="979"/>
      <c r="C1314" s="976" t="s">
        <v>867</v>
      </c>
      <c r="D1314" s="976"/>
      <c r="E1314" s="978">
        <f>E1315/2</f>
        <v>549.245</v>
      </c>
      <c r="F1314" s="974" t="s">
        <v>34</v>
      </c>
      <c r="G1314" s="969">
        <v>661.62</v>
      </c>
      <c r="H1314" s="930">
        <f t="shared" si="269"/>
        <v>363391.48</v>
      </c>
      <c r="I1314" s="970"/>
      <c r="J1314" s="930">
        <f t="shared" si="270"/>
        <v>0</v>
      </c>
      <c r="K1314" s="931">
        <f t="shared" si="271"/>
        <v>363391.48</v>
      </c>
      <c r="L1314" s="971"/>
      <c r="M1314" s="954"/>
      <c r="N1314" s="954"/>
      <c r="O1314" s="954"/>
      <c r="P1314" s="954"/>
      <c r="Q1314" s="954"/>
      <c r="R1314" s="954"/>
      <c r="S1314" s="954"/>
      <c r="T1314" s="954"/>
      <c r="U1314" s="954"/>
    </row>
    <row r="1315" spans="1:21" s="933" customFormat="1" ht="24" customHeight="1">
      <c r="A1315" s="928"/>
      <c r="B1315" s="979"/>
      <c r="C1315" s="976" t="s">
        <v>868</v>
      </c>
      <c r="D1315" s="976"/>
      <c r="E1315" s="978">
        <v>1098.49</v>
      </c>
      <c r="F1315" s="974" t="s">
        <v>34</v>
      </c>
      <c r="G1315" s="969"/>
      <c r="H1315" s="930">
        <f t="shared" si="269"/>
        <v>0</v>
      </c>
      <c r="I1315" s="970">
        <v>154</v>
      </c>
      <c r="J1315" s="930">
        <f t="shared" si="270"/>
        <v>169167.46</v>
      </c>
      <c r="K1315" s="931">
        <f t="shared" si="271"/>
        <v>169167.46</v>
      </c>
      <c r="L1315" s="971"/>
      <c r="M1315" s="954"/>
      <c r="N1315" s="954"/>
      <c r="O1315" s="954"/>
      <c r="P1315" s="954"/>
      <c r="Q1315" s="954"/>
      <c r="R1315" s="954"/>
      <c r="S1315" s="954"/>
      <c r="T1315" s="954"/>
      <c r="U1315" s="954"/>
    </row>
    <row r="1316" spans="1:21" s="933" customFormat="1" ht="24" customHeight="1">
      <c r="A1316" s="928"/>
      <c r="B1316" s="976" t="s">
        <v>869</v>
      </c>
      <c r="C1316" s="976"/>
      <c r="D1316" s="976"/>
      <c r="E1316" s="978">
        <f>(E1315*0.25)</f>
        <v>274.6225</v>
      </c>
      <c r="F1316" s="974" t="s">
        <v>870</v>
      </c>
      <c r="G1316" s="969">
        <f t="shared" ref="G1316" si="272">VLOOKUP(B1316,$O$43:$P$53,2,FALSE)</f>
        <v>29.94</v>
      </c>
      <c r="H1316" s="930">
        <f t="shared" si="269"/>
        <v>8222.2000000000007</v>
      </c>
      <c r="I1316" s="970"/>
      <c r="J1316" s="930">
        <f t="shared" si="270"/>
        <v>0</v>
      </c>
      <c r="K1316" s="931">
        <f t="shared" si="271"/>
        <v>8222.2000000000007</v>
      </c>
      <c r="L1316" s="971"/>
      <c r="M1316" s="954"/>
      <c r="N1316" s="954"/>
      <c r="O1316" s="954"/>
      <c r="P1316" s="954"/>
      <c r="Q1316" s="954"/>
      <c r="R1316" s="954"/>
      <c r="S1316" s="954"/>
      <c r="T1316" s="954"/>
      <c r="U1316" s="954"/>
    </row>
    <row r="1317" spans="1:21" s="933" customFormat="1" ht="24" customHeight="1">
      <c r="A1317" s="928"/>
      <c r="B1317" s="976" t="s">
        <v>871</v>
      </c>
      <c r="C1317" s="976"/>
      <c r="D1317" s="976"/>
      <c r="E1317" s="978"/>
      <c r="F1317" s="982"/>
      <c r="G1317" s="983"/>
      <c r="H1317" s="930">
        <f t="shared" si="269"/>
        <v>0</v>
      </c>
      <c r="I1317" s="970"/>
      <c r="J1317" s="930">
        <f t="shared" si="270"/>
        <v>0</v>
      </c>
      <c r="K1317" s="931">
        <f t="shared" si="271"/>
        <v>0</v>
      </c>
      <c r="L1317" s="971"/>
      <c r="M1317" s="954"/>
      <c r="N1317" s="954"/>
      <c r="O1317" s="954"/>
      <c r="P1317" s="954"/>
      <c r="Q1317" s="954"/>
      <c r="R1317" s="954"/>
      <c r="S1317" s="954"/>
      <c r="T1317" s="954"/>
      <c r="U1317" s="954"/>
    </row>
    <row r="1318" spans="1:21" s="933" customFormat="1" ht="24" customHeight="1">
      <c r="A1318" s="928"/>
      <c r="B1318" s="976" t="s">
        <v>872</v>
      </c>
      <c r="C1318" s="976"/>
      <c r="D1318" s="976"/>
      <c r="E1318" s="978"/>
      <c r="F1318" s="974" t="s">
        <v>870</v>
      </c>
      <c r="G1318" s="969">
        <f t="shared" ref="G1318:G1326" si="273">VLOOKUP(B1318,$O$43:$P$53,2,FALSE)</f>
        <v>25.73</v>
      </c>
      <c r="H1318" s="930">
        <f t="shared" si="269"/>
        <v>0</v>
      </c>
      <c r="I1318" s="984">
        <v>4.0999999999999996</v>
      </c>
      <c r="J1318" s="930">
        <f t="shared" si="270"/>
        <v>0</v>
      </c>
      <c r="K1318" s="931">
        <f t="shared" si="271"/>
        <v>0</v>
      </c>
      <c r="L1318" s="971"/>
      <c r="M1318" s="954"/>
      <c r="N1318" s="954"/>
      <c r="O1318" s="954"/>
      <c r="P1318" s="954"/>
      <c r="Q1318" s="954"/>
      <c r="R1318" s="954"/>
      <c r="S1318" s="954"/>
      <c r="T1318" s="954"/>
      <c r="U1318" s="954"/>
    </row>
    <row r="1319" spans="1:21" s="933" customFormat="1" ht="24" customHeight="1">
      <c r="A1319" s="928"/>
      <c r="B1319" s="976" t="s">
        <v>873</v>
      </c>
      <c r="C1319" s="976"/>
      <c r="D1319" s="976"/>
      <c r="E1319" s="978"/>
      <c r="F1319" s="974" t="s">
        <v>870</v>
      </c>
      <c r="G1319" s="969">
        <f t="shared" si="273"/>
        <v>24.97</v>
      </c>
      <c r="H1319" s="930">
        <f t="shared" si="269"/>
        <v>0</v>
      </c>
      <c r="I1319" s="970">
        <v>4.0999999999999996</v>
      </c>
      <c r="J1319" s="930">
        <f t="shared" si="270"/>
        <v>0</v>
      </c>
      <c r="K1319" s="931">
        <f t="shared" si="271"/>
        <v>0</v>
      </c>
      <c r="L1319" s="971"/>
      <c r="M1319" s="954"/>
      <c r="N1319" s="954"/>
      <c r="O1319" s="954"/>
      <c r="P1319" s="954"/>
      <c r="Q1319" s="954"/>
      <c r="R1319" s="954"/>
      <c r="S1319" s="954"/>
      <c r="T1319" s="954"/>
      <c r="U1319" s="954"/>
    </row>
    <row r="1320" spans="1:21" s="933" customFormat="1" ht="24" customHeight="1">
      <c r="A1320" s="928"/>
      <c r="B1320" s="976" t="s">
        <v>874</v>
      </c>
      <c r="C1320" s="976"/>
      <c r="D1320" s="976"/>
      <c r="E1320" s="978">
        <v>5496.43</v>
      </c>
      <c r="F1320" s="974" t="s">
        <v>870</v>
      </c>
      <c r="G1320" s="969">
        <f t="shared" si="273"/>
        <v>24.47</v>
      </c>
      <c r="H1320" s="930">
        <f t="shared" si="269"/>
        <v>134497.64000000001</v>
      </c>
      <c r="I1320" s="970">
        <v>3.3</v>
      </c>
      <c r="J1320" s="930">
        <f t="shared" si="270"/>
        <v>18138.22</v>
      </c>
      <c r="K1320" s="931">
        <f t="shared" si="271"/>
        <v>152635.86000000002</v>
      </c>
      <c r="L1320" s="971"/>
      <c r="M1320" s="954"/>
      <c r="N1320" s="954"/>
      <c r="O1320" s="954"/>
      <c r="P1320" s="954"/>
      <c r="Q1320" s="954"/>
      <c r="R1320" s="954"/>
      <c r="S1320" s="954"/>
      <c r="T1320" s="954"/>
      <c r="U1320" s="954"/>
    </row>
    <row r="1321" spans="1:21" s="933" customFormat="1" ht="24" customHeight="1">
      <c r="A1321" s="928"/>
      <c r="B1321" s="976" t="s">
        <v>875</v>
      </c>
      <c r="C1321" s="976"/>
      <c r="D1321" s="976"/>
      <c r="E1321" s="978">
        <v>15634.71</v>
      </c>
      <c r="F1321" s="982" t="s">
        <v>870</v>
      </c>
      <c r="G1321" s="969">
        <f t="shared" si="273"/>
        <v>24.27</v>
      </c>
      <c r="H1321" s="930">
        <f t="shared" si="269"/>
        <v>379454.41</v>
      </c>
      <c r="I1321" s="970">
        <v>3.3</v>
      </c>
      <c r="J1321" s="930">
        <f t="shared" si="270"/>
        <v>51594.54</v>
      </c>
      <c r="K1321" s="931">
        <f t="shared" si="271"/>
        <v>431048.94999999995</v>
      </c>
      <c r="L1321" s="971"/>
      <c r="M1321" s="954"/>
      <c r="N1321" s="954"/>
      <c r="O1321" s="954"/>
      <c r="P1321" s="954"/>
      <c r="Q1321" s="954"/>
      <c r="R1321" s="954"/>
      <c r="S1321" s="954"/>
      <c r="T1321" s="954"/>
      <c r="U1321" s="954"/>
    </row>
    <row r="1322" spans="1:21" s="933" customFormat="1" ht="24" customHeight="1">
      <c r="A1322" s="928"/>
      <c r="B1322" s="976" t="s">
        <v>876</v>
      </c>
      <c r="C1322" s="976"/>
      <c r="D1322" s="976"/>
      <c r="E1322" s="978">
        <v>15860.98</v>
      </c>
      <c r="F1322" s="974" t="s">
        <v>870</v>
      </c>
      <c r="G1322" s="969">
        <f t="shared" si="273"/>
        <v>24.27</v>
      </c>
      <c r="H1322" s="930">
        <f t="shared" si="269"/>
        <v>384945.98</v>
      </c>
      <c r="I1322" s="970">
        <v>2.9</v>
      </c>
      <c r="J1322" s="930">
        <f t="shared" si="270"/>
        <v>45996.84</v>
      </c>
      <c r="K1322" s="931">
        <f t="shared" si="271"/>
        <v>430942.81999999995</v>
      </c>
      <c r="L1322" s="971"/>
      <c r="M1322" s="954"/>
      <c r="N1322" s="954"/>
      <c r="O1322" s="954"/>
      <c r="P1322" s="954"/>
      <c r="Q1322" s="954"/>
      <c r="R1322" s="954"/>
      <c r="S1322" s="954"/>
      <c r="T1322" s="954"/>
      <c r="U1322" s="954"/>
    </row>
    <row r="1323" spans="1:21" s="933" customFormat="1" ht="24" customHeight="1">
      <c r="A1323" s="928"/>
      <c r="B1323" s="976" t="s">
        <v>877</v>
      </c>
      <c r="C1323" s="976"/>
      <c r="D1323" s="976"/>
      <c r="E1323" s="978">
        <v>9634.24</v>
      </c>
      <c r="F1323" s="974" t="s">
        <v>870</v>
      </c>
      <c r="G1323" s="969">
        <f t="shared" si="273"/>
        <v>24.27</v>
      </c>
      <c r="H1323" s="930">
        <f t="shared" si="269"/>
        <v>233823</v>
      </c>
      <c r="I1323" s="970">
        <v>2.9</v>
      </c>
      <c r="J1323" s="930">
        <f t="shared" si="270"/>
        <v>27939.3</v>
      </c>
      <c r="K1323" s="931">
        <f t="shared" si="271"/>
        <v>261762.3</v>
      </c>
      <c r="L1323" s="971"/>
      <c r="M1323" s="954"/>
      <c r="N1323" s="954"/>
      <c r="O1323" s="954"/>
      <c r="P1323" s="954"/>
      <c r="Q1323" s="954"/>
      <c r="R1323" s="954"/>
      <c r="S1323" s="954"/>
      <c r="T1323" s="954"/>
      <c r="U1323" s="954"/>
    </row>
    <row r="1324" spans="1:21" s="933" customFormat="1" ht="24" customHeight="1">
      <c r="A1324" s="928"/>
      <c r="B1324" s="976" t="s">
        <v>878</v>
      </c>
      <c r="C1324" s="976"/>
      <c r="D1324" s="976"/>
      <c r="E1324" s="978"/>
      <c r="F1324" s="974" t="s">
        <v>870</v>
      </c>
      <c r="G1324" s="969">
        <f t="shared" si="273"/>
        <v>24.27</v>
      </c>
      <c r="H1324" s="930">
        <f t="shared" si="269"/>
        <v>0</v>
      </c>
      <c r="I1324" s="970">
        <v>2.9</v>
      </c>
      <c r="J1324" s="930">
        <f t="shared" si="270"/>
        <v>0</v>
      </c>
      <c r="K1324" s="931">
        <f t="shared" si="271"/>
        <v>0</v>
      </c>
      <c r="L1324" s="971"/>
      <c r="M1324" s="954"/>
      <c r="N1324" s="954"/>
      <c r="O1324" s="954"/>
      <c r="P1324" s="954"/>
      <c r="Q1324" s="954"/>
      <c r="R1324" s="954"/>
      <c r="S1324" s="954"/>
      <c r="T1324" s="954"/>
      <c r="U1324" s="954"/>
    </row>
    <row r="1325" spans="1:21" s="933" customFormat="1" ht="24" customHeight="1">
      <c r="A1325" s="928"/>
      <c r="B1325" s="976" t="s">
        <v>879</v>
      </c>
      <c r="C1325" s="976"/>
      <c r="D1325" s="976"/>
      <c r="E1325" s="978"/>
      <c r="F1325" s="974" t="s">
        <v>870</v>
      </c>
      <c r="G1325" s="969">
        <f t="shared" si="273"/>
        <v>23.8</v>
      </c>
      <c r="H1325" s="930">
        <f t="shared" si="269"/>
        <v>0</v>
      </c>
      <c r="I1325" s="970">
        <v>2.9</v>
      </c>
      <c r="J1325" s="930">
        <f t="shared" si="270"/>
        <v>0</v>
      </c>
      <c r="K1325" s="931">
        <f t="shared" si="271"/>
        <v>0</v>
      </c>
      <c r="L1325" s="971"/>
      <c r="M1325" s="954"/>
      <c r="N1325" s="954"/>
      <c r="O1325" s="954"/>
      <c r="P1325" s="954"/>
      <c r="Q1325" s="954"/>
      <c r="R1325" s="954"/>
      <c r="S1325" s="954"/>
      <c r="T1325" s="954"/>
      <c r="U1325" s="954"/>
    </row>
    <row r="1326" spans="1:21" s="933" customFormat="1" ht="24" customHeight="1">
      <c r="A1326" s="928"/>
      <c r="B1326" s="976" t="s">
        <v>880</v>
      </c>
      <c r="C1326" s="976"/>
      <c r="D1326" s="976"/>
      <c r="E1326" s="978">
        <f>(SUM(E1318:E1325)/1000)*30</f>
        <v>1398.7907999999998</v>
      </c>
      <c r="F1326" s="974" t="s">
        <v>870</v>
      </c>
      <c r="G1326" s="969">
        <f t="shared" si="273"/>
        <v>29.92</v>
      </c>
      <c r="H1326" s="930">
        <f t="shared" si="269"/>
        <v>41851.82</v>
      </c>
      <c r="I1326" s="970"/>
      <c r="J1326" s="930">
        <f t="shared" si="270"/>
        <v>0</v>
      </c>
      <c r="K1326" s="931">
        <f t="shared" si="271"/>
        <v>41851.82</v>
      </c>
      <c r="L1326" s="971"/>
      <c r="M1326" s="954"/>
      <c r="N1326" s="954"/>
      <c r="O1326" s="954"/>
      <c r="P1326" s="954"/>
      <c r="Q1326" s="954"/>
      <c r="R1326" s="954"/>
      <c r="S1326" s="954"/>
      <c r="T1326" s="954"/>
      <c r="U1326" s="954"/>
    </row>
    <row r="1327" spans="1:21" s="933" customFormat="1" ht="24" customHeight="1">
      <c r="A1327" s="928"/>
      <c r="B1327" s="976" t="s">
        <v>881</v>
      </c>
      <c r="C1327" s="976"/>
      <c r="D1327" s="976"/>
      <c r="E1327" s="978"/>
      <c r="F1327" s="974"/>
      <c r="G1327" s="969"/>
      <c r="H1327" s="930"/>
      <c r="I1327" s="970"/>
      <c r="J1327" s="930"/>
      <c r="K1327" s="931"/>
      <c r="L1327" s="971"/>
      <c r="M1327" s="954"/>
      <c r="N1327" s="954"/>
      <c r="O1327" s="954"/>
      <c r="P1327" s="954"/>
      <c r="Q1327" s="954"/>
      <c r="R1327" s="954"/>
      <c r="S1327" s="954"/>
      <c r="T1327" s="954"/>
      <c r="U1327" s="954"/>
    </row>
    <row r="1328" spans="1:21" s="933" customFormat="1" ht="24" customHeight="1">
      <c r="A1328" s="928"/>
      <c r="B1328" s="1021"/>
      <c r="C1328" s="976"/>
      <c r="D1328" s="976"/>
      <c r="E1328" s="978"/>
      <c r="F1328" s="974"/>
      <c r="G1328" s="969"/>
      <c r="H1328" s="930"/>
      <c r="I1328" s="970"/>
      <c r="J1328" s="930"/>
      <c r="K1328" s="931"/>
      <c r="L1328" s="971"/>
      <c r="M1328" s="954"/>
      <c r="N1328" s="954"/>
      <c r="O1328" s="954"/>
      <c r="P1328" s="954"/>
      <c r="Q1328" s="954"/>
      <c r="R1328" s="954"/>
      <c r="S1328" s="954"/>
      <c r="T1328" s="954"/>
      <c r="U1328" s="954"/>
    </row>
    <row r="1329" spans="1:21" s="933" customFormat="1" ht="24" customHeight="1">
      <c r="A1329" s="928"/>
      <c r="B1329" s="1021"/>
      <c r="C1329" s="976"/>
      <c r="D1329" s="976"/>
      <c r="E1329" s="978"/>
      <c r="F1329" s="974"/>
      <c r="G1329" s="969"/>
      <c r="H1329" s="930"/>
      <c r="I1329" s="970"/>
      <c r="J1329" s="930"/>
      <c r="K1329" s="931"/>
      <c r="L1329" s="971"/>
      <c r="M1329" s="954"/>
      <c r="N1329" s="954"/>
      <c r="O1329" s="954"/>
      <c r="P1329" s="954"/>
      <c r="Q1329" s="954"/>
      <c r="R1329" s="954"/>
      <c r="S1329" s="954"/>
      <c r="T1329" s="954"/>
      <c r="U1329" s="954"/>
    </row>
    <row r="1330" spans="1:21" s="933" customFormat="1" ht="24" customHeight="1">
      <c r="A1330" s="928"/>
      <c r="B1330" s="1021"/>
      <c r="C1330" s="976"/>
      <c r="D1330" s="976"/>
      <c r="E1330" s="978"/>
      <c r="F1330" s="974"/>
      <c r="G1330" s="969"/>
      <c r="H1330" s="930"/>
      <c r="I1330" s="970"/>
      <c r="J1330" s="930"/>
      <c r="K1330" s="931"/>
      <c r="L1330" s="971"/>
      <c r="M1330" s="954"/>
      <c r="N1330" s="954"/>
      <c r="O1330" s="954"/>
      <c r="P1330" s="954"/>
      <c r="Q1330" s="954"/>
      <c r="R1330" s="954"/>
      <c r="S1330" s="954"/>
      <c r="T1330" s="954"/>
      <c r="U1330" s="954"/>
    </row>
    <row r="1331" spans="1:21" s="933" customFormat="1" ht="24" customHeight="1">
      <c r="A1331" s="928"/>
      <c r="B1331" s="1021"/>
      <c r="C1331" s="976"/>
      <c r="D1331" s="976"/>
      <c r="E1331" s="978"/>
      <c r="F1331" s="974"/>
      <c r="G1331" s="969"/>
      <c r="H1331" s="930"/>
      <c r="I1331" s="970"/>
      <c r="J1331" s="930"/>
      <c r="K1331" s="931"/>
      <c r="L1331" s="971"/>
      <c r="M1331" s="954"/>
      <c r="N1331" s="954"/>
      <c r="O1331" s="954"/>
      <c r="P1331" s="954"/>
      <c r="Q1331" s="954"/>
      <c r="R1331" s="954"/>
      <c r="S1331" s="954"/>
      <c r="T1331" s="954"/>
      <c r="U1331" s="954"/>
    </row>
    <row r="1332" spans="1:21" s="933" customFormat="1" ht="24" customHeight="1">
      <c r="A1332" s="928"/>
      <c r="B1332" s="1021"/>
      <c r="C1332" s="976"/>
      <c r="D1332" s="976"/>
      <c r="E1332" s="978"/>
      <c r="F1332" s="974"/>
      <c r="G1332" s="969"/>
      <c r="H1332" s="930"/>
      <c r="I1332" s="970"/>
      <c r="J1332" s="930"/>
      <c r="K1332" s="931"/>
      <c r="L1332" s="971"/>
      <c r="M1332" s="954"/>
      <c r="N1332" s="954"/>
      <c r="O1332" s="954"/>
      <c r="P1332" s="954"/>
      <c r="Q1332" s="954"/>
      <c r="R1332" s="954"/>
      <c r="S1332" s="954"/>
      <c r="T1332" s="954"/>
      <c r="U1332" s="954"/>
    </row>
    <row r="1333" spans="1:21" s="933" customFormat="1" ht="24" customHeight="1">
      <c r="A1333" s="928"/>
      <c r="B1333" s="1021"/>
      <c r="C1333" s="976"/>
      <c r="D1333" s="976"/>
      <c r="E1333" s="978"/>
      <c r="F1333" s="974"/>
      <c r="G1333" s="969"/>
      <c r="H1333" s="930"/>
      <c r="I1333" s="970"/>
      <c r="J1333" s="930"/>
      <c r="K1333" s="931"/>
      <c r="L1333" s="971"/>
      <c r="M1333" s="954"/>
      <c r="N1333" s="954"/>
      <c r="O1333" s="954"/>
      <c r="P1333" s="954"/>
      <c r="Q1333" s="954"/>
      <c r="R1333" s="954"/>
      <c r="S1333" s="954"/>
      <c r="T1333" s="954"/>
      <c r="U1333" s="954"/>
    </row>
    <row r="1334" spans="1:21" s="933" customFormat="1" ht="24" customHeight="1">
      <c r="A1334" s="928"/>
      <c r="B1334" s="1021"/>
      <c r="C1334" s="976"/>
      <c r="D1334" s="976"/>
      <c r="E1334" s="978"/>
      <c r="F1334" s="974"/>
      <c r="G1334" s="969"/>
      <c r="H1334" s="930"/>
      <c r="I1334" s="970"/>
      <c r="J1334" s="930"/>
      <c r="K1334" s="931"/>
      <c r="L1334" s="971"/>
      <c r="M1334" s="954"/>
      <c r="N1334" s="954"/>
      <c r="O1334" s="954"/>
      <c r="P1334" s="954"/>
      <c r="Q1334" s="954"/>
      <c r="R1334" s="954"/>
      <c r="S1334" s="954"/>
      <c r="T1334" s="954"/>
      <c r="U1334" s="954"/>
    </row>
    <row r="1335" spans="1:21" s="933" customFormat="1" ht="24" customHeight="1">
      <c r="A1335" s="928"/>
      <c r="B1335" s="1021"/>
      <c r="C1335" s="976"/>
      <c r="D1335" s="976"/>
      <c r="E1335" s="978"/>
      <c r="F1335" s="974"/>
      <c r="G1335" s="969"/>
      <c r="H1335" s="930"/>
      <c r="I1335" s="970"/>
      <c r="J1335" s="930"/>
      <c r="K1335" s="931"/>
      <c r="L1335" s="971"/>
      <c r="M1335" s="954"/>
      <c r="N1335" s="954"/>
      <c r="O1335" s="954"/>
      <c r="P1335" s="954"/>
      <c r="Q1335" s="954"/>
      <c r="R1335" s="954"/>
      <c r="S1335" s="954"/>
      <c r="T1335" s="954"/>
      <c r="U1335" s="954"/>
    </row>
    <row r="1336" spans="1:21" s="933" customFormat="1" ht="24" customHeight="1">
      <c r="A1336" s="1026" t="s">
        <v>987</v>
      </c>
      <c r="B1336" s="1030" t="s">
        <v>988</v>
      </c>
      <c r="C1336" s="976"/>
      <c r="D1336" s="976"/>
      <c r="E1336" s="978"/>
      <c r="F1336" s="974"/>
      <c r="G1336" s="969"/>
      <c r="H1336" s="930"/>
      <c r="I1336" s="970"/>
      <c r="J1336" s="930"/>
      <c r="K1336" s="931"/>
      <c r="L1336" s="971"/>
      <c r="M1336" s="954"/>
      <c r="N1336" s="954"/>
      <c r="O1336" s="954"/>
      <c r="P1336" s="954"/>
      <c r="Q1336" s="954"/>
      <c r="R1336" s="954"/>
      <c r="S1336" s="954"/>
      <c r="T1336" s="954"/>
      <c r="U1336" s="954"/>
    </row>
    <row r="1337" spans="1:21" s="933" customFormat="1" ht="24" customHeight="1">
      <c r="A1337" s="928"/>
      <c r="B1337" s="976" t="s">
        <v>864</v>
      </c>
      <c r="C1337" s="977"/>
      <c r="D1337" s="977"/>
      <c r="E1337" s="978">
        <v>17.427000000000003</v>
      </c>
      <c r="F1337" s="974" t="s">
        <v>865</v>
      </c>
      <c r="G1337" s="969">
        <v>2516</v>
      </c>
      <c r="H1337" s="930">
        <f t="shared" ref="H1337:H1351" si="274">ROUND(E1337*G1337,2)</f>
        <v>43846.33</v>
      </c>
      <c r="I1337" s="970">
        <v>485</v>
      </c>
      <c r="J1337" s="930">
        <f t="shared" ref="J1337:J1351" si="275">ROUND(E1337*I1337,2)</f>
        <v>8452.1</v>
      </c>
      <c r="K1337" s="931">
        <f t="shared" ref="K1337:K1351" si="276">H1337+J1337</f>
        <v>52298.43</v>
      </c>
      <c r="L1337" s="971"/>
      <c r="M1337" s="954"/>
      <c r="N1337" s="954"/>
      <c r="O1337" s="954"/>
      <c r="P1337" s="954"/>
      <c r="Q1337" s="954"/>
      <c r="R1337" s="954"/>
      <c r="S1337" s="954"/>
      <c r="T1337" s="954"/>
      <c r="U1337" s="954"/>
    </row>
    <row r="1338" spans="1:21" s="933" customFormat="1" ht="24" customHeight="1">
      <c r="A1338" s="928"/>
      <c r="B1338" s="979" t="s">
        <v>866</v>
      </c>
      <c r="C1338" s="976"/>
      <c r="D1338" s="976"/>
      <c r="E1338" s="978"/>
      <c r="F1338" s="974"/>
      <c r="G1338" s="969"/>
      <c r="H1338" s="930">
        <f t="shared" si="274"/>
        <v>0</v>
      </c>
      <c r="I1338" s="970"/>
      <c r="J1338" s="930">
        <f t="shared" si="275"/>
        <v>0</v>
      </c>
      <c r="K1338" s="931">
        <f t="shared" si="276"/>
        <v>0</v>
      </c>
      <c r="L1338" s="971"/>
      <c r="M1338" s="954"/>
      <c r="N1338" s="954"/>
      <c r="O1338" s="954"/>
      <c r="P1338" s="954"/>
      <c r="Q1338" s="954"/>
      <c r="R1338" s="954"/>
      <c r="S1338" s="954"/>
      <c r="T1338" s="954"/>
      <c r="U1338" s="954"/>
    </row>
    <row r="1339" spans="1:21" s="933" customFormat="1" ht="24" customHeight="1">
      <c r="A1339" s="928"/>
      <c r="B1339" s="979"/>
      <c r="C1339" s="976" t="s">
        <v>867</v>
      </c>
      <c r="D1339" s="976"/>
      <c r="E1339" s="978">
        <f>E1340/2</f>
        <v>58.978000000000009</v>
      </c>
      <c r="F1339" s="974" t="s">
        <v>34</v>
      </c>
      <c r="G1339" s="969">
        <v>661.62</v>
      </c>
      <c r="H1339" s="930">
        <f t="shared" si="274"/>
        <v>39021.019999999997</v>
      </c>
      <c r="I1339" s="970"/>
      <c r="J1339" s="930">
        <f t="shared" si="275"/>
        <v>0</v>
      </c>
      <c r="K1339" s="931">
        <f t="shared" si="276"/>
        <v>39021.019999999997</v>
      </c>
      <c r="L1339" s="971"/>
      <c r="M1339" s="954"/>
      <c r="N1339" s="954"/>
      <c r="O1339" s="954"/>
      <c r="P1339" s="954"/>
      <c r="Q1339" s="954"/>
      <c r="R1339" s="954"/>
      <c r="S1339" s="954"/>
      <c r="T1339" s="954"/>
      <c r="U1339" s="954"/>
    </row>
    <row r="1340" spans="1:21" s="933" customFormat="1" ht="24" customHeight="1">
      <c r="A1340" s="928"/>
      <c r="B1340" s="979"/>
      <c r="C1340" s="976" t="s">
        <v>868</v>
      </c>
      <c r="D1340" s="976"/>
      <c r="E1340" s="978">
        <v>117.95600000000002</v>
      </c>
      <c r="F1340" s="974" t="s">
        <v>34</v>
      </c>
      <c r="G1340" s="969"/>
      <c r="H1340" s="930">
        <f t="shared" si="274"/>
        <v>0</v>
      </c>
      <c r="I1340" s="970">
        <v>154</v>
      </c>
      <c r="J1340" s="930">
        <f t="shared" si="275"/>
        <v>18165.22</v>
      </c>
      <c r="K1340" s="931">
        <f t="shared" si="276"/>
        <v>18165.22</v>
      </c>
      <c r="L1340" s="971"/>
      <c r="M1340" s="954"/>
      <c r="N1340" s="954"/>
      <c r="O1340" s="954"/>
      <c r="P1340" s="954"/>
      <c r="Q1340" s="954"/>
      <c r="R1340" s="954"/>
      <c r="S1340" s="954"/>
      <c r="T1340" s="954"/>
      <c r="U1340" s="954"/>
    </row>
    <row r="1341" spans="1:21" s="933" customFormat="1" ht="24" customHeight="1">
      <c r="A1341" s="928"/>
      <c r="B1341" s="976" t="s">
        <v>869</v>
      </c>
      <c r="C1341" s="976"/>
      <c r="D1341" s="976"/>
      <c r="E1341" s="978">
        <f>(E1340*0.25)</f>
        <v>29.489000000000004</v>
      </c>
      <c r="F1341" s="974" t="s">
        <v>870</v>
      </c>
      <c r="G1341" s="969">
        <f t="shared" ref="G1341" si="277">VLOOKUP(B1341,$O$43:$P$53,2,FALSE)</f>
        <v>29.94</v>
      </c>
      <c r="H1341" s="930">
        <f t="shared" si="274"/>
        <v>882.9</v>
      </c>
      <c r="I1341" s="970"/>
      <c r="J1341" s="930">
        <f t="shared" si="275"/>
        <v>0</v>
      </c>
      <c r="K1341" s="931">
        <f t="shared" si="276"/>
        <v>882.9</v>
      </c>
      <c r="L1341" s="971"/>
      <c r="M1341" s="954"/>
      <c r="N1341" s="954"/>
      <c r="O1341" s="954"/>
      <c r="P1341" s="954"/>
      <c r="Q1341" s="954"/>
      <c r="R1341" s="954"/>
      <c r="S1341" s="954"/>
      <c r="T1341" s="954"/>
      <c r="U1341" s="954"/>
    </row>
    <row r="1342" spans="1:21" s="933" customFormat="1" ht="24" customHeight="1">
      <c r="A1342" s="928"/>
      <c r="B1342" s="976" t="s">
        <v>871</v>
      </c>
      <c r="C1342" s="976"/>
      <c r="D1342" s="976"/>
      <c r="E1342" s="978"/>
      <c r="F1342" s="982"/>
      <c r="G1342" s="983"/>
      <c r="H1342" s="930">
        <f t="shared" si="274"/>
        <v>0</v>
      </c>
      <c r="I1342" s="970"/>
      <c r="J1342" s="930">
        <f t="shared" si="275"/>
        <v>0</v>
      </c>
      <c r="K1342" s="931">
        <f t="shared" si="276"/>
        <v>0</v>
      </c>
      <c r="L1342" s="971"/>
      <c r="M1342" s="954"/>
      <c r="N1342" s="954"/>
      <c r="O1342" s="954"/>
      <c r="P1342" s="954"/>
      <c r="Q1342" s="954"/>
      <c r="R1342" s="954"/>
      <c r="S1342" s="954"/>
      <c r="T1342" s="954"/>
      <c r="U1342" s="954"/>
    </row>
    <row r="1343" spans="1:21" s="933" customFormat="1" ht="24" customHeight="1">
      <c r="A1343" s="928"/>
      <c r="B1343" s="976" t="s">
        <v>872</v>
      </c>
      <c r="C1343" s="976"/>
      <c r="D1343" s="976"/>
      <c r="E1343" s="978"/>
      <c r="F1343" s="974" t="s">
        <v>870</v>
      </c>
      <c r="G1343" s="969">
        <f t="shared" ref="G1343:G1351" si="278">VLOOKUP(B1343,$O$43:$P$53,2,FALSE)</f>
        <v>25.73</v>
      </c>
      <c r="H1343" s="930">
        <f t="shared" si="274"/>
        <v>0</v>
      </c>
      <c r="I1343" s="984">
        <v>4.0999999999999996</v>
      </c>
      <c r="J1343" s="930">
        <f t="shared" si="275"/>
        <v>0</v>
      </c>
      <c r="K1343" s="931">
        <f t="shared" si="276"/>
        <v>0</v>
      </c>
      <c r="L1343" s="971"/>
      <c r="M1343" s="954"/>
      <c r="N1343" s="954"/>
      <c r="O1343" s="954"/>
      <c r="P1343" s="954"/>
      <c r="Q1343" s="954"/>
      <c r="R1343" s="954"/>
      <c r="S1343" s="954"/>
      <c r="T1343" s="954"/>
      <c r="U1343" s="954"/>
    </row>
    <row r="1344" spans="1:21" s="933" customFormat="1" ht="24" customHeight="1">
      <c r="A1344" s="928"/>
      <c r="B1344" s="976" t="s">
        <v>873</v>
      </c>
      <c r="C1344" s="976"/>
      <c r="D1344" s="976"/>
      <c r="E1344" s="978">
        <v>884.53</v>
      </c>
      <c r="F1344" s="974" t="s">
        <v>870</v>
      </c>
      <c r="G1344" s="969">
        <f t="shared" si="278"/>
        <v>24.97</v>
      </c>
      <c r="H1344" s="930">
        <f t="shared" si="274"/>
        <v>22086.71</v>
      </c>
      <c r="I1344" s="970">
        <v>4.0999999999999996</v>
      </c>
      <c r="J1344" s="930">
        <f t="shared" si="275"/>
        <v>3626.57</v>
      </c>
      <c r="K1344" s="931">
        <f t="shared" si="276"/>
        <v>25713.279999999999</v>
      </c>
      <c r="L1344" s="971"/>
      <c r="M1344" s="954"/>
      <c r="N1344" s="954"/>
      <c r="O1344" s="954"/>
      <c r="P1344" s="954"/>
      <c r="Q1344" s="954"/>
      <c r="R1344" s="954"/>
      <c r="S1344" s="954"/>
      <c r="T1344" s="954"/>
      <c r="U1344" s="954"/>
    </row>
    <row r="1345" spans="1:21" s="933" customFormat="1" ht="24" customHeight="1">
      <c r="A1345" s="928"/>
      <c r="B1345" s="976" t="s">
        <v>874</v>
      </c>
      <c r="C1345" s="976"/>
      <c r="D1345" s="976"/>
      <c r="E1345" s="978">
        <v>1011.72</v>
      </c>
      <c r="F1345" s="974" t="s">
        <v>870</v>
      </c>
      <c r="G1345" s="969">
        <f t="shared" si="278"/>
        <v>24.47</v>
      </c>
      <c r="H1345" s="930">
        <f t="shared" si="274"/>
        <v>24756.79</v>
      </c>
      <c r="I1345" s="970">
        <v>3.3</v>
      </c>
      <c r="J1345" s="930">
        <f t="shared" si="275"/>
        <v>3338.68</v>
      </c>
      <c r="K1345" s="931">
        <f t="shared" si="276"/>
        <v>28095.47</v>
      </c>
      <c r="L1345" s="971"/>
      <c r="M1345" s="954"/>
      <c r="N1345" s="954"/>
      <c r="O1345" s="954"/>
      <c r="P1345" s="954"/>
      <c r="Q1345" s="954"/>
      <c r="R1345" s="954"/>
      <c r="S1345" s="954"/>
      <c r="T1345" s="954"/>
      <c r="U1345" s="954"/>
    </row>
    <row r="1346" spans="1:21" s="933" customFormat="1" ht="24" customHeight="1">
      <c r="A1346" s="928"/>
      <c r="B1346" s="976" t="s">
        <v>875</v>
      </c>
      <c r="C1346" s="976"/>
      <c r="D1346" s="976"/>
      <c r="E1346" s="978">
        <v>584.02</v>
      </c>
      <c r="F1346" s="982" t="s">
        <v>870</v>
      </c>
      <c r="G1346" s="969">
        <f t="shared" si="278"/>
        <v>24.27</v>
      </c>
      <c r="H1346" s="930">
        <f t="shared" si="274"/>
        <v>14174.17</v>
      </c>
      <c r="I1346" s="970">
        <v>3.3</v>
      </c>
      <c r="J1346" s="930">
        <f t="shared" si="275"/>
        <v>1927.27</v>
      </c>
      <c r="K1346" s="931">
        <f t="shared" si="276"/>
        <v>16101.44</v>
      </c>
      <c r="L1346" s="971"/>
      <c r="M1346" s="954"/>
      <c r="N1346" s="954"/>
      <c r="O1346" s="954"/>
      <c r="P1346" s="954"/>
      <c r="Q1346" s="954"/>
      <c r="R1346" s="954"/>
      <c r="S1346" s="954"/>
      <c r="T1346" s="954"/>
      <c r="U1346" s="954"/>
    </row>
    <row r="1347" spans="1:21" s="933" customFormat="1" ht="24" customHeight="1">
      <c r="A1347" s="928"/>
      <c r="B1347" s="976" t="s">
        <v>876</v>
      </c>
      <c r="C1347" s="976"/>
      <c r="D1347" s="976"/>
      <c r="E1347" s="978"/>
      <c r="F1347" s="974" t="s">
        <v>870</v>
      </c>
      <c r="G1347" s="969">
        <f t="shared" si="278"/>
        <v>24.27</v>
      </c>
      <c r="H1347" s="930">
        <f t="shared" si="274"/>
        <v>0</v>
      </c>
      <c r="I1347" s="970">
        <v>2.9</v>
      </c>
      <c r="J1347" s="930">
        <f t="shared" si="275"/>
        <v>0</v>
      </c>
      <c r="K1347" s="931">
        <f t="shared" si="276"/>
        <v>0</v>
      </c>
      <c r="L1347" s="971"/>
      <c r="M1347" s="954"/>
      <c r="N1347" s="954"/>
      <c r="O1347" s="954"/>
      <c r="P1347" s="954"/>
      <c r="Q1347" s="954"/>
      <c r="R1347" s="954"/>
      <c r="S1347" s="954"/>
      <c r="T1347" s="954"/>
      <c r="U1347" s="954"/>
    </row>
    <row r="1348" spans="1:21" s="933" customFormat="1" ht="24" customHeight="1">
      <c r="A1348" s="928"/>
      <c r="B1348" s="976" t="s">
        <v>877</v>
      </c>
      <c r="C1348" s="976"/>
      <c r="D1348" s="976"/>
      <c r="E1348" s="978"/>
      <c r="F1348" s="974" t="s">
        <v>870</v>
      </c>
      <c r="G1348" s="969">
        <f t="shared" si="278"/>
        <v>24.27</v>
      </c>
      <c r="H1348" s="930">
        <f t="shared" si="274"/>
        <v>0</v>
      </c>
      <c r="I1348" s="970">
        <v>2.9</v>
      </c>
      <c r="J1348" s="930">
        <f t="shared" si="275"/>
        <v>0</v>
      </c>
      <c r="K1348" s="931">
        <f t="shared" si="276"/>
        <v>0</v>
      </c>
      <c r="L1348" s="971"/>
      <c r="M1348" s="954"/>
      <c r="N1348" s="954"/>
      <c r="O1348" s="954"/>
      <c r="P1348" s="954"/>
      <c r="Q1348" s="954"/>
      <c r="R1348" s="954"/>
      <c r="S1348" s="954"/>
      <c r="T1348" s="954"/>
      <c r="U1348" s="954"/>
    </row>
    <row r="1349" spans="1:21" s="933" customFormat="1" ht="24" customHeight="1">
      <c r="A1349" s="928"/>
      <c r="B1349" s="976" t="s">
        <v>878</v>
      </c>
      <c r="C1349" s="976"/>
      <c r="D1349" s="976"/>
      <c r="E1349" s="978"/>
      <c r="F1349" s="974" t="s">
        <v>870</v>
      </c>
      <c r="G1349" s="969">
        <f t="shared" si="278"/>
        <v>24.27</v>
      </c>
      <c r="H1349" s="930">
        <f t="shared" si="274"/>
        <v>0</v>
      </c>
      <c r="I1349" s="970">
        <v>2.9</v>
      </c>
      <c r="J1349" s="930">
        <f t="shared" si="275"/>
        <v>0</v>
      </c>
      <c r="K1349" s="931">
        <f t="shared" si="276"/>
        <v>0</v>
      </c>
      <c r="L1349" s="971"/>
      <c r="M1349" s="954"/>
      <c r="N1349" s="954"/>
      <c r="O1349" s="954"/>
      <c r="P1349" s="954"/>
      <c r="Q1349" s="954"/>
      <c r="R1349" s="954"/>
      <c r="S1349" s="954"/>
      <c r="T1349" s="954"/>
      <c r="U1349" s="954"/>
    </row>
    <row r="1350" spans="1:21" s="933" customFormat="1" ht="24" customHeight="1">
      <c r="A1350" s="928"/>
      <c r="B1350" s="976" t="s">
        <v>879</v>
      </c>
      <c r="C1350" s="976"/>
      <c r="D1350" s="976"/>
      <c r="E1350" s="978"/>
      <c r="F1350" s="974" t="s">
        <v>870</v>
      </c>
      <c r="G1350" s="969">
        <f t="shared" si="278"/>
        <v>23.8</v>
      </c>
      <c r="H1350" s="930">
        <f t="shared" si="274"/>
        <v>0</v>
      </c>
      <c r="I1350" s="970">
        <v>2.9</v>
      </c>
      <c r="J1350" s="930">
        <f t="shared" si="275"/>
        <v>0</v>
      </c>
      <c r="K1350" s="931">
        <f t="shared" si="276"/>
        <v>0</v>
      </c>
      <c r="L1350" s="971"/>
      <c r="M1350" s="954"/>
      <c r="N1350" s="954"/>
      <c r="O1350" s="954"/>
      <c r="P1350" s="954"/>
      <c r="Q1350" s="954"/>
      <c r="R1350" s="954"/>
      <c r="S1350" s="954"/>
      <c r="T1350" s="954"/>
      <c r="U1350" s="954"/>
    </row>
    <row r="1351" spans="1:21" s="933" customFormat="1" ht="24" customHeight="1">
      <c r="A1351" s="928"/>
      <c r="B1351" s="976" t="s">
        <v>880</v>
      </c>
      <c r="C1351" s="976"/>
      <c r="D1351" s="976"/>
      <c r="E1351" s="978">
        <f>(SUM(E1343:E1350)/1000)*30</f>
        <v>74.408100000000005</v>
      </c>
      <c r="F1351" s="974" t="s">
        <v>870</v>
      </c>
      <c r="G1351" s="969">
        <f t="shared" si="278"/>
        <v>29.92</v>
      </c>
      <c r="H1351" s="930">
        <f t="shared" si="274"/>
        <v>2226.29</v>
      </c>
      <c r="I1351" s="970"/>
      <c r="J1351" s="930">
        <f t="shared" si="275"/>
        <v>0</v>
      </c>
      <c r="K1351" s="931">
        <f t="shared" si="276"/>
        <v>2226.29</v>
      </c>
      <c r="L1351" s="971"/>
      <c r="M1351" s="954"/>
      <c r="N1351" s="954"/>
      <c r="O1351" s="954"/>
      <c r="P1351" s="954"/>
      <c r="Q1351" s="954"/>
      <c r="R1351" s="954"/>
      <c r="S1351" s="954"/>
      <c r="T1351" s="954"/>
      <c r="U1351" s="954"/>
    </row>
    <row r="1352" spans="1:21" s="933" customFormat="1" ht="24" customHeight="1">
      <c r="A1352" s="928"/>
      <c r="B1352" s="976" t="s">
        <v>881</v>
      </c>
      <c r="C1352" s="976"/>
      <c r="D1352" s="976"/>
      <c r="E1352" s="978"/>
      <c r="F1352" s="974"/>
      <c r="G1352" s="969"/>
      <c r="H1352" s="930"/>
      <c r="I1352" s="970"/>
      <c r="J1352" s="930"/>
      <c r="K1352" s="931"/>
      <c r="L1352" s="971"/>
      <c r="M1352" s="954"/>
      <c r="N1352" s="954"/>
      <c r="O1352" s="954"/>
      <c r="P1352" s="954"/>
      <c r="Q1352" s="954"/>
      <c r="R1352" s="954"/>
      <c r="S1352" s="954"/>
      <c r="T1352" s="954"/>
      <c r="U1352" s="954"/>
    </row>
    <row r="1353" spans="1:21" s="933" customFormat="1" ht="24" customHeight="1">
      <c r="A1353" s="928"/>
      <c r="B1353" s="1021"/>
      <c r="C1353" s="976"/>
      <c r="D1353" s="976"/>
      <c r="E1353" s="978"/>
      <c r="F1353" s="974"/>
      <c r="G1353" s="969"/>
      <c r="H1353" s="930"/>
      <c r="I1353" s="970"/>
      <c r="J1353" s="930"/>
      <c r="K1353" s="931"/>
      <c r="L1353" s="971"/>
      <c r="M1353" s="954"/>
      <c r="N1353" s="954"/>
      <c r="O1353" s="954"/>
      <c r="P1353" s="954"/>
      <c r="Q1353" s="954"/>
      <c r="R1353" s="954"/>
      <c r="S1353" s="954"/>
      <c r="T1353" s="954"/>
      <c r="U1353" s="954"/>
    </row>
    <row r="1354" spans="1:21" s="933" customFormat="1" ht="24" customHeight="1">
      <c r="A1354" s="928"/>
      <c r="B1354" s="1021"/>
      <c r="C1354" s="976"/>
      <c r="D1354" s="976"/>
      <c r="E1354" s="978"/>
      <c r="F1354" s="974"/>
      <c r="G1354" s="969"/>
      <c r="H1354" s="930"/>
      <c r="I1354" s="970"/>
      <c r="J1354" s="930"/>
      <c r="K1354" s="931"/>
      <c r="L1354" s="971"/>
      <c r="M1354" s="954"/>
      <c r="N1354" s="954"/>
      <c r="O1354" s="954"/>
      <c r="P1354" s="954"/>
      <c r="Q1354" s="954"/>
      <c r="R1354" s="954"/>
      <c r="S1354" s="954"/>
      <c r="T1354" s="954"/>
      <c r="U1354" s="954"/>
    </row>
    <row r="1355" spans="1:21" s="933" customFormat="1" ht="24" customHeight="1">
      <c r="A1355" s="928"/>
      <c r="B1355" s="1021"/>
      <c r="C1355" s="976"/>
      <c r="D1355" s="976"/>
      <c r="E1355" s="978"/>
      <c r="F1355" s="974"/>
      <c r="G1355" s="969"/>
      <c r="H1355" s="930"/>
      <c r="I1355" s="970"/>
      <c r="J1355" s="930"/>
      <c r="K1355" s="931"/>
      <c r="L1355" s="971"/>
      <c r="M1355" s="954"/>
      <c r="N1355" s="954"/>
      <c r="O1355" s="954"/>
      <c r="P1355" s="954"/>
      <c r="Q1355" s="954"/>
      <c r="R1355" s="954"/>
      <c r="S1355" s="954"/>
      <c r="T1355" s="954"/>
      <c r="U1355" s="954"/>
    </row>
    <row r="1356" spans="1:21" s="933" customFormat="1" ht="24" customHeight="1">
      <c r="A1356" s="928"/>
      <c r="B1356" s="1021"/>
      <c r="C1356" s="976"/>
      <c r="D1356" s="976"/>
      <c r="E1356" s="978"/>
      <c r="F1356" s="974"/>
      <c r="G1356" s="969"/>
      <c r="H1356" s="930"/>
      <c r="I1356" s="970"/>
      <c r="J1356" s="930"/>
      <c r="K1356" s="931"/>
      <c r="L1356" s="971"/>
      <c r="M1356" s="954"/>
      <c r="N1356" s="954"/>
      <c r="O1356" s="954"/>
      <c r="P1356" s="954"/>
      <c r="Q1356" s="954"/>
      <c r="R1356" s="954"/>
      <c r="S1356" s="954"/>
      <c r="T1356" s="954"/>
      <c r="U1356" s="954"/>
    </row>
    <row r="1357" spans="1:21" s="933" customFormat="1" ht="24" customHeight="1">
      <c r="A1357" s="928"/>
      <c r="B1357" s="1021"/>
      <c r="C1357" s="976"/>
      <c r="D1357" s="976"/>
      <c r="E1357" s="978"/>
      <c r="F1357" s="974"/>
      <c r="G1357" s="969"/>
      <c r="H1357" s="930"/>
      <c r="I1357" s="970"/>
      <c r="J1357" s="930"/>
      <c r="K1357" s="931"/>
      <c r="L1357" s="971"/>
      <c r="M1357" s="954"/>
      <c r="N1357" s="954"/>
      <c r="O1357" s="954"/>
      <c r="P1357" s="954"/>
      <c r="Q1357" s="954"/>
      <c r="R1357" s="954"/>
      <c r="S1357" s="954"/>
      <c r="T1357" s="954"/>
      <c r="U1357" s="954"/>
    </row>
    <row r="1358" spans="1:21" s="933" customFormat="1" ht="24" customHeight="1">
      <c r="A1358" s="928"/>
      <c r="B1358" s="1021"/>
      <c r="C1358" s="976"/>
      <c r="D1358" s="976"/>
      <c r="E1358" s="978"/>
      <c r="F1358" s="974"/>
      <c r="G1358" s="969"/>
      <c r="H1358" s="930"/>
      <c r="I1358" s="970"/>
      <c r="J1358" s="930"/>
      <c r="K1358" s="931"/>
      <c r="L1358" s="971"/>
      <c r="M1358" s="954"/>
      <c r="N1358" s="954"/>
      <c r="O1358" s="954"/>
      <c r="P1358" s="954"/>
      <c r="Q1358" s="954"/>
      <c r="R1358" s="954"/>
      <c r="S1358" s="954"/>
      <c r="T1358" s="954"/>
      <c r="U1358" s="954"/>
    </row>
    <row r="1359" spans="1:21" s="933" customFormat="1" ht="24" customHeight="1">
      <c r="A1359" s="993"/>
      <c r="B1359" s="987"/>
      <c r="C1359" s="987"/>
      <c r="D1359" s="987"/>
      <c r="E1359" s="978"/>
      <c r="F1359" s="989"/>
      <c r="G1359" s="983"/>
      <c r="H1359" s="990"/>
      <c r="I1359" s="984"/>
      <c r="J1359" s="990"/>
      <c r="K1359" s="991"/>
      <c r="L1359" s="992"/>
      <c r="M1359" s="954"/>
      <c r="N1359" s="954"/>
      <c r="O1359" s="954"/>
      <c r="P1359" s="954"/>
      <c r="Q1359" s="954"/>
      <c r="R1359" s="954"/>
      <c r="S1359" s="954"/>
      <c r="T1359" s="954"/>
      <c r="U1359" s="954"/>
    </row>
    <row r="1360" spans="1:21" s="933" customFormat="1" ht="24" customHeight="1">
      <c r="A1360" s="1014"/>
      <c r="B1360" s="2226" t="str">
        <f>"รวมราคารายการที่ "&amp;A1236</f>
        <v>รวมราคารายการที่ 1.11</v>
      </c>
      <c r="C1360" s="2226"/>
      <c r="D1360" s="2226"/>
      <c r="E1360" s="1015"/>
      <c r="F1360" s="1016"/>
      <c r="G1360" s="1017"/>
      <c r="H1360" s="1018">
        <f>ROUND(SUBTOTAL(9,H1239:H1359),2)</f>
        <v>16306554.51</v>
      </c>
      <c r="I1360" s="1019"/>
      <c r="J1360" s="1018">
        <f>ROUND(SUBTOTAL(9,J1239:J1359),2)</f>
        <v>3268273.22</v>
      </c>
      <c r="K1360" s="1018">
        <f>ROUND(SUBTOTAL(9,K1239:K1359),2)</f>
        <v>19574827.73</v>
      </c>
      <c r="L1360" s="1018"/>
      <c r="M1360" s="954"/>
      <c r="N1360" s="954"/>
      <c r="O1360" s="954"/>
      <c r="P1360" s="954"/>
      <c r="Q1360" s="954"/>
      <c r="R1360" s="954"/>
      <c r="S1360" s="954"/>
      <c r="T1360" s="954"/>
      <c r="U1360" s="954"/>
    </row>
    <row r="1361" spans="1:21" s="933" customFormat="1" ht="24" customHeight="1">
      <c r="A1361" s="1033" t="s">
        <v>989</v>
      </c>
      <c r="B1361" s="957" t="s">
        <v>990</v>
      </c>
      <c r="C1361" s="987"/>
      <c r="D1361" s="987"/>
      <c r="E1361" s="988"/>
      <c r="F1361" s="989"/>
      <c r="G1361" s="983"/>
      <c r="H1361" s="990"/>
      <c r="I1361" s="984"/>
      <c r="J1361" s="990"/>
      <c r="K1361" s="991"/>
      <c r="L1361" s="992"/>
      <c r="M1361" s="954"/>
      <c r="N1361" s="954"/>
      <c r="O1361" s="954"/>
      <c r="P1361" s="954"/>
      <c r="Q1361" s="954"/>
      <c r="R1361" s="954"/>
      <c r="S1361" s="954"/>
      <c r="T1361" s="954"/>
      <c r="U1361" s="954"/>
    </row>
    <row r="1362" spans="1:21" s="933" customFormat="1" ht="24" customHeight="1">
      <c r="A1362" s="928"/>
      <c r="B1362" s="966"/>
      <c r="C1362" s="976"/>
      <c r="D1362" s="976"/>
      <c r="E1362" s="985"/>
      <c r="F1362" s="974"/>
      <c r="G1362" s="969"/>
      <c r="H1362" s="930"/>
      <c r="I1362" s="970"/>
      <c r="J1362" s="930"/>
      <c r="K1362" s="931"/>
      <c r="L1362" s="971"/>
      <c r="M1362" s="954"/>
      <c r="N1362" s="954"/>
      <c r="O1362" s="954"/>
      <c r="P1362" s="954"/>
      <c r="Q1362" s="954"/>
      <c r="R1362" s="954"/>
      <c r="S1362" s="954"/>
      <c r="T1362" s="954"/>
      <c r="U1362" s="954"/>
    </row>
    <row r="1363" spans="1:21" s="933" customFormat="1" ht="24" customHeight="1">
      <c r="A1363" s="1026" t="s">
        <v>991</v>
      </c>
      <c r="B1363" s="1030" t="s">
        <v>992</v>
      </c>
      <c r="C1363" s="976"/>
      <c r="D1363" s="976"/>
      <c r="E1363" s="985"/>
      <c r="F1363" s="974"/>
      <c r="G1363" s="969"/>
      <c r="H1363" s="930"/>
      <c r="I1363" s="970"/>
      <c r="J1363" s="930"/>
      <c r="K1363" s="931"/>
      <c r="L1363" s="971"/>
      <c r="M1363" s="954"/>
      <c r="N1363" s="954"/>
      <c r="O1363" s="954"/>
      <c r="P1363" s="954"/>
      <c r="Q1363" s="954"/>
      <c r="R1363" s="954"/>
      <c r="S1363" s="954"/>
      <c r="T1363" s="954"/>
      <c r="U1363" s="954"/>
    </row>
    <row r="1364" spans="1:21" s="933" customFormat="1" ht="24" customHeight="1">
      <c r="A1364" s="928"/>
      <c r="B1364" s="979" t="s">
        <v>993</v>
      </c>
      <c r="C1364" s="977"/>
      <c r="D1364" s="977"/>
      <c r="E1364" s="978">
        <v>1661.55</v>
      </c>
      <c r="F1364" s="974" t="s">
        <v>865</v>
      </c>
      <c r="G1364" s="969">
        <v>3190</v>
      </c>
      <c r="H1364" s="930">
        <f t="shared" ref="H1364:H1378" si="279">ROUND(E1364*G1364,2)</f>
        <v>5300344.5</v>
      </c>
      <c r="I1364" s="970">
        <v>485</v>
      </c>
      <c r="J1364" s="930">
        <f t="shared" ref="J1364:J1378" si="280">ROUND(E1364*I1364,2)</f>
        <v>805851.75</v>
      </c>
      <c r="K1364" s="931">
        <f t="shared" ref="K1364:K1378" si="281">H1364+J1364</f>
        <v>6106196.25</v>
      </c>
      <c r="L1364" s="971"/>
      <c r="M1364" s="954"/>
      <c r="N1364" s="954"/>
      <c r="O1364" s="954"/>
      <c r="P1364" s="954"/>
      <c r="Q1364" s="954"/>
      <c r="R1364" s="954"/>
      <c r="S1364" s="954"/>
      <c r="T1364" s="954"/>
      <c r="U1364" s="954"/>
    </row>
    <row r="1365" spans="1:21" s="933" customFormat="1" ht="24" customHeight="1">
      <c r="A1365" s="928"/>
      <c r="B1365" s="979" t="s">
        <v>866</v>
      </c>
      <c r="C1365" s="976"/>
      <c r="D1365" s="976"/>
      <c r="E1365" s="978"/>
      <c r="F1365" s="974"/>
      <c r="G1365" s="969"/>
      <c r="H1365" s="930">
        <f t="shared" si="279"/>
        <v>0</v>
      </c>
      <c r="I1365" s="970"/>
      <c r="J1365" s="930">
        <f t="shared" si="280"/>
        <v>0</v>
      </c>
      <c r="K1365" s="931">
        <f t="shared" si="281"/>
        <v>0</v>
      </c>
      <c r="L1365" s="971"/>
      <c r="M1365" s="954"/>
      <c r="N1365" s="954"/>
      <c r="O1365" s="954"/>
      <c r="P1365" s="954"/>
      <c r="Q1365" s="954"/>
      <c r="R1365" s="954"/>
      <c r="S1365" s="954"/>
      <c r="T1365" s="954"/>
      <c r="U1365" s="954"/>
    </row>
    <row r="1366" spans="1:21" s="933" customFormat="1" ht="24" customHeight="1">
      <c r="A1366" s="928"/>
      <c r="B1366" s="979"/>
      <c r="C1366" s="976" t="s">
        <v>867</v>
      </c>
      <c r="D1366" s="976"/>
      <c r="E1366" s="978">
        <f>E1367/2</f>
        <v>3272.59</v>
      </c>
      <c r="F1366" s="974" t="s">
        <v>34</v>
      </c>
      <c r="G1366" s="969">
        <v>661.62</v>
      </c>
      <c r="H1366" s="930">
        <f t="shared" si="279"/>
        <v>2165211</v>
      </c>
      <c r="I1366" s="970"/>
      <c r="J1366" s="930">
        <f t="shared" si="280"/>
        <v>0</v>
      </c>
      <c r="K1366" s="931">
        <f t="shared" si="281"/>
        <v>2165211</v>
      </c>
      <c r="L1366" s="971"/>
      <c r="M1366" s="954"/>
      <c r="N1366" s="954"/>
      <c r="O1366" s="954"/>
      <c r="P1366" s="954"/>
      <c r="Q1366" s="954"/>
      <c r="R1366" s="954"/>
      <c r="S1366" s="954"/>
      <c r="T1366" s="954"/>
      <c r="U1366" s="954"/>
    </row>
    <row r="1367" spans="1:21" s="933" customFormat="1" ht="24" customHeight="1">
      <c r="A1367" s="928"/>
      <c r="B1367" s="979"/>
      <c r="C1367" s="976" t="s">
        <v>868</v>
      </c>
      <c r="D1367" s="976"/>
      <c r="E1367" s="978">
        <v>6545.18</v>
      </c>
      <c r="F1367" s="974" t="s">
        <v>34</v>
      </c>
      <c r="G1367" s="969"/>
      <c r="H1367" s="930">
        <f t="shared" si="279"/>
        <v>0</v>
      </c>
      <c r="I1367" s="970">
        <v>154</v>
      </c>
      <c r="J1367" s="930">
        <f t="shared" si="280"/>
        <v>1007957.72</v>
      </c>
      <c r="K1367" s="931">
        <f t="shared" si="281"/>
        <v>1007957.72</v>
      </c>
      <c r="L1367" s="971"/>
      <c r="M1367" s="954"/>
      <c r="N1367" s="954"/>
      <c r="O1367" s="954"/>
      <c r="P1367" s="954"/>
      <c r="Q1367" s="954"/>
      <c r="R1367" s="954"/>
      <c r="S1367" s="954"/>
      <c r="T1367" s="954"/>
      <c r="U1367" s="954"/>
    </row>
    <row r="1368" spans="1:21" s="933" customFormat="1" ht="24" customHeight="1">
      <c r="A1368" s="928"/>
      <c r="B1368" s="976" t="s">
        <v>869</v>
      </c>
      <c r="C1368" s="976"/>
      <c r="D1368" s="976"/>
      <c r="E1368" s="978">
        <f>(E1367*0.25)</f>
        <v>1636.2950000000001</v>
      </c>
      <c r="F1368" s="974" t="s">
        <v>870</v>
      </c>
      <c r="G1368" s="969">
        <f t="shared" ref="G1368" si="282">VLOOKUP(B1368,$O$43:$P$53,2,FALSE)</f>
        <v>29.94</v>
      </c>
      <c r="H1368" s="930">
        <f t="shared" si="279"/>
        <v>48990.67</v>
      </c>
      <c r="I1368" s="970"/>
      <c r="J1368" s="930">
        <f t="shared" si="280"/>
        <v>0</v>
      </c>
      <c r="K1368" s="931">
        <f t="shared" si="281"/>
        <v>48990.67</v>
      </c>
      <c r="L1368" s="971"/>
      <c r="M1368" s="954"/>
      <c r="N1368" s="954"/>
      <c r="O1368" s="954"/>
      <c r="P1368" s="954"/>
      <c r="Q1368" s="954"/>
      <c r="R1368" s="954"/>
      <c r="S1368" s="954"/>
      <c r="T1368" s="954"/>
      <c r="U1368" s="954"/>
    </row>
    <row r="1369" spans="1:21" s="933" customFormat="1" ht="24" customHeight="1">
      <c r="A1369" s="928"/>
      <c r="B1369" s="976" t="s">
        <v>871</v>
      </c>
      <c r="C1369" s="976"/>
      <c r="D1369" s="976"/>
      <c r="E1369" s="978"/>
      <c r="F1369" s="982"/>
      <c r="G1369" s="983"/>
      <c r="H1369" s="930">
        <f t="shared" si="279"/>
        <v>0</v>
      </c>
      <c r="I1369" s="970"/>
      <c r="J1369" s="930">
        <f t="shared" si="280"/>
        <v>0</v>
      </c>
      <c r="K1369" s="931">
        <f t="shared" si="281"/>
        <v>0</v>
      </c>
      <c r="L1369" s="971"/>
      <c r="M1369" s="954"/>
      <c r="N1369" s="954"/>
      <c r="O1369" s="954"/>
      <c r="P1369" s="954"/>
      <c r="Q1369" s="954"/>
      <c r="R1369" s="954"/>
      <c r="S1369" s="954"/>
      <c r="T1369" s="954"/>
      <c r="U1369" s="954"/>
    </row>
    <row r="1370" spans="1:21" s="933" customFormat="1" ht="24" customHeight="1">
      <c r="A1370" s="928"/>
      <c r="B1370" s="976" t="s">
        <v>872</v>
      </c>
      <c r="C1370" s="976"/>
      <c r="D1370" s="976"/>
      <c r="E1370" s="978"/>
      <c r="F1370" s="974" t="s">
        <v>870</v>
      </c>
      <c r="G1370" s="969">
        <f t="shared" ref="G1370:G1378" si="283">VLOOKUP(B1370,$O$43:$P$53,2,FALSE)</f>
        <v>25.73</v>
      </c>
      <c r="H1370" s="930">
        <f t="shared" si="279"/>
        <v>0</v>
      </c>
      <c r="I1370" s="984">
        <v>4.0999999999999996</v>
      </c>
      <c r="J1370" s="930">
        <f t="shared" si="280"/>
        <v>0</v>
      </c>
      <c r="K1370" s="931">
        <f t="shared" si="281"/>
        <v>0</v>
      </c>
      <c r="L1370" s="971"/>
      <c r="M1370" s="954"/>
      <c r="N1370" s="954"/>
      <c r="O1370" s="954"/>
      <c r="P1370" s="954"/>
      <c r="Q1370" s="954"/>
      <c r="R1370" s="954"/>
      <c r="S1370" s="954"/>
      <c r="T1370" s="954"/>
      <c r="U1370" s="954"/>
    </row>
    <row r="1371" spans="1:21" s="933" customFormat="1" ht="24" customHeight="1">
      <c r="A1371" s="928"/>
      <c r="B1371" s="976" t="s">
        <v>873</v>
      </c>
      <c r="C1371" s="976"/>
      <c r="D1371" s="976"/>
      <c r="E1371" s="978">
        <v>0</v>
      </c>
      <c r="F1371" s="974" t="s">
        <v>870</v>
      </c>
      <c r="G1371" s="969">
        <f t="shared" si="283"/>
        <v>24.97</v>
      </c>
      <c r="H1371" s="930">
        <f t="shared" si="279"/>
        <v>0</v>
      </c>
      <c r="I1371" s="970">
        <v>4.0999999999999996</v>
      </c>
      <c r="J1371" s="930">
        <f t="shared" si="280"/>
        <v>0</v>
      </c>
      <c r="K1371" s="931">
        <f t="shared" si="281"/>
        <v>0</v>
      </c>
      <c r="L1371" s="971"/>
      <c r="M1371" s="954"/>
      <c r="N1371" s="954"/>
      <c r="O1371" s="954"/>
      <c r="P1371" s="954"/>
      <c r="Q1371" s="954"/>
      <c r="R1371" s="954"/>
      <c r="S1371" s="954"/>
      <c r="T1371" s="954"/>
      <c r="U1371" s="954"/>
    </row>
    <row r="1372" spans="1:21" s="933" customFormat="1" ht="24" customHeight="1">
      <c r="A1372" s="928"/>
      <c r="B1372" s="976" t="s">
        <v>874</v>
      </c>
      <c r="C1372" s="976"/>
      <c r="D1372" s="976"/>
      <c r="E1372" s="978">
        <v>45236.03</v>
      </c>
      <c r="F1372" s="974" t="s">
        <v>870</v>
      </c>
      <c r="G1372" s="969">
        <f t="shared" si="283"/>
        <v>24.47</v>
      </c>
      <c r="H1372" s="930">
        <f t="shared" si="279"/>
        <v>1106925.6499999999</v>
      </c>
      <c r="I1372" s="970">
        <v>3.3</v>
      </c>
      <c r="J1372" s="930">
        <f t="shared" si="280"/>
        <v>149278.9</v>
      </c>
      <c r="K1372" s="931">
        <f t="shared" si="281"/>
        <v>1256204.5499999998</v>
      </c>
      <c r="L1372" s="971"/>
      <c r="M1372" s="954"/>
      <c r="N1372" s="954"/>
      <c r="O1372" s="954"/>
      <c r="P1372" s="954"/>
      <c r="Q1372" s="954"/>
      <c r="R1372" s="954"/>
      <c r="S1372" s="954"/>
      <c r="T1372" s="954"/>
      <c r="U1372" s="954"/>
    </row>
    <row r="1373" spans="1:21" s="933" customFormat="1" ht="24" customHeight="1">
      <c r="A1373" s="928"/>
      <c r="B1373" s="976" t="s">
        <v>875</v>
      </c>
      <c r="C1373" s="976"/>
      <c r="D1373" s="976"/>
      <c r="E1373" s="978">
        <v>157435.24</v>
      </c>
      <c r="F1373" s="982" t="s">
        <v>870</v>
      </c>
      <c r="G1373" s="969">
        <f t="shared" si="283"/>
        <v>24.27</v>
      </c>
      <c r="H1373" s="930">
        <f t="shared" si="279"/>
        <v>3820953.27</v>
      </c>
      <c r="I1373" s="970">
        <v>3.3</v>
      </c>
      <c r="J1373" s="930">
        <f t="shared" si="280"/>
        <v>519536.29</v>
      </c>
      <c r="K1373" s="931">
        <f t="shared" si="281"/>
        <v>4340489.5599999996</v>
      </c>
      <c r="L1373" s="971"/>
      <c r="M1373" s="954"/>
      <c r="N1373" s="954"/>
      <c r="O1373" s="954"/>
      <c r="P1373" s="954"/>
      <c r="Q1373" s="954"/>
      <c r="R1373" s="954"/>
      <c r="S1373" s="954"/>
      <c r="T1373" s="954"/>
      <c r="U1373" s="954"/>
    </row>
    <row r="1374" spans="1:21" s="933" customFormat="1" ht="24" customHeight="1">
      <c r="A1374" s="928"/>
      <c r="B1374" s="976" t="s">
        <v>876</v>
      </c>
      <c r="C1374" s="976"/>
      <c r="D1374" s="976"/>
      <c r="E1374" s="978"/>
      <c r="F1374" s="974" t="s">
        <v>870</v>
      </c>
      <c r="G1374" s="969">
        <f t="shared" si="283"/>
        <v>24.27</v>
      </c>
      <c r="H1374" s="930">
        <f t="shared" si="279"/>
        <v>0</v>
      </c>
      <c r="I1374" s="970">
        <v>2.9</v>
      </c>
      <c r="J1374" s="930">
        <f t="shared" si="280"/>
        <v>0</v>
      </c>
      <c r="K1374" s="931">
        <f t="shared" si="281"/>
        <v>0</v>
      </c>
      <c r="L1374" s="971"/>
      <c r="M1374" s="954"/>
      <c r="N1374" s="954"/>
      <c r="O1374" s="954"/>
      <c r="P1374" s="954"/>
      <c r="Q1374" s="954"/>
      <c r="R1374" s="954"/>
      <c r="S1374" s="954"/>
      <c r="T1374" s="954"/>
      <c r="U1374" s="954"/>
    </row>
    <row r="1375" spans="1:21" s="933" customFormat="1" ht="24" customHeight="1">
      <c r="A1375" s="928"/>
      <c r="B1375" s="976" t="s">
        <v>877</v>
      </c>
      <c r="C1375" s="976"/>
      <c r="D1375" s="976"/>
      <c r="E1375" s="978"/>
      <c r="F1375" s="974" t="s">
        <v>870</v>
      </c>
      <c r="G1375" s="969">
        <f t="shared" si="283"/>
        <v>24.27</v>
      </c>
      <c r="H1375" s="930">
        <f t="shared" si="279"/>
        <v>0</v>
      </c>
      <c r="I1375" s="970">
        <v>2.9</v>
      </c>
      <c r="J1375" s="930">
        <f t="shared" si="280"/>
        <v>0</v>
      </c>
      <c r="K1375" s="931">
        <f t="shared" si="281"/>
        <v>0</v>
      </c>
      <c r="L1375" s="971"/>
      <c r="M1375" s="954"/>
      <c r="N1375" s="954"/>
      <c r="O1375" s="954"/>
      <c r="P1375" s="954"/>
      <c r="Q1375" s="954"/>
      <c r="R1375" s="954"/>
      <c r="S1375" s="954"/>
      <c r="T1375" s="954"/>
      <c r="U1375" s="954"/>
    </row>
    <row r="1376" spans="1:21" s="933" customFormat="1" ht="24" customHeight="1">
      <c r="A1376" s="928"/>
      <c r="B1376" s="976" t="s">
        <v>878</v>
      </c>
      <c r="C1376" s="976"/>
      <c r="D1376" s="976"/>
      <c r="E1376" s="978"/>
      <c r="F1376" s="974" t="s">
        <v>870</v>
      </c>
      <c r="G1376" s="969">
        <f t="shared" si="283"/>
        <v>24.27</v>
      </c>
      <c r="H1376" s="930">
        <f t="shared" si="279"/>
        <v>0</v>
      </c>
      <c r="I1376" s="970">
        <v>2.9</v>
      </c>
      <c r="J1376" s="930">
        <f t="shared" si="280"/>
        <v>0</v>
      </c>
      <c r="K1376" s="931">
        <f t="shared" si="281"/>
        <v>0</v>
      </c>
      <c r="L1376" s="971"/>
      <c r="M1376" s="954"/>
      <c r="N1376" s="954"/>
      <c r="O1376" s="954"/>
      <c r="P1376" s="954"/>
      <c r="Q1376" s="954"/>
      <c r="R1376" s="954"/>
      <c r="S1376" s="954"/>
      <c r="T1376" s="954"/>
      <c r="U1376" s="954"/>
    </row>
    <row r="1377" spans="1:21" s="933" customFormat="1" ht="24" customHeight="1">
      <c r="A1377" s="928"/>
      <c r="B1377" s="976" t="s">
        <v>879</v>
      </c>
      <c r="C1377" s="976"/>
      <c r="D1377" s="976"/>
      <c r="E1377" s="978"/>
      <c r="F1377" s="974" t="s">
        <v>870</v>
      </c>
      <c r="G1377" s="969">
        <f t="shared" si="283"/>
        <v>23.8</v>
      </c>
      <c r="H1377" s="930">
        <f t="shared" si="279"/>
        <v>0</v>
      </c>
      <c r="I1377" s="970">
        <v>2.9</v>
      </c>
      <c r="J1377" s="930">
        <f t="shared" si="280"/>
        <v>0</v>
      </c>
      <c r="K1377" s="931">
        <f t="shared" si="281"/>
        <v>0</v>
      </c>
      <c r="L1377" s="971"/>
      <c r="M1377" s="954"/>
      <c r="N1377" s="954"/>
      <c r="O1377" s="954"/>
      <c r="P1377" s="954"/>
      <c r="Q1377" s="954"/>
      <c r="R1377" s="954"/>
      <c r="S1377" s="954"/>
      <c r="T1377" s="954"/>
      <c r="U1377" s="954"/>
    </row>
    <row r="1378" spans="1:21" s="933" customFormat="1" ht="24" customHeight="1">
      <c r="A1378" s="928"/>
      <c r="B1378" s="976" t="s">
        <v>880</v>
      </c>
      <c r="C1378" s="976"/>
      <c r="D1378" s="976"/>
      <c r="E1378" s="978">
        <f>(SUM(E1370:E1377)/1000)*30</f>
        <v>6080.1381000000001</v>
      </c>
      <c r="F1378" s="974" t="s">
        <v>870</v>
      </c>
      <c r="G1378" s="969">
        <f t="shared" si="283"/>
        <v>29.92</v>
      </c>
      <c r="H1378" s="930">
        <f t="shared" si="279"/>
        <v>181917.73</v>
      </c>
      <c r="I1378" s="970"/>
      <c r="J1378" s="930">
        <f t="shared" si="280"/>
        <v>0</v>
      </c>
      <c r="K1378" s="931">
        <f t="shared" si="281"/>
        <v>181917.73</v>
      </c>
      <c r="L1378" s="971"/>
      <c r="M1378" s="954"/>
      <c r="N1378" s="954"/>
      <c r="O1378" s="954"/>
      <c r="P1378" s="954"/>
      <c r="Q1378" s="954"/>
      <c r="R1378" s="954"/>
      <c r="S1378" s="954"/>
      <c r="T1378" s="954"/>
      <c r="U1378" s="954"/>
    </row>
    <row r="1379" spans="1:21" s="933" customFormat="1" ht="24" customHeight="1">
      <c r="A1379" s="928"/>
      <c r="B1379" s="976" t="s">
        <v>881</v>
      </c>
      <c r="C1379" s="976"/>
      <c r="D1379" s="976"/>
      <c r="E1379" s="978"/>
      <c r="F1379" s="974"/>
      <c r="G1379" s="969"/>
      <c r="H1379" s="930"/>
      <c r="I1379" s="970"/>
      <c r="J1379" s="930"/>
      <c r="K1379" s="931"/>
      <c r="L1379" s="971"/>
      <c r="M1379" s="954"/>
      <c r="N1379" s="954"/>
      <c r="O1379" s="954"/>
      <c r="P1379" s="954"/>
      <c r="Q1379" s="954"/>
      <c r="R1379" s="954"/>
      <c r="S1379" s="954"/>
      <c r="T1379" s="954"/>
      <c r="U1379" s="954"/>
    </row>
    <row r="1380" spans="1:21" s="933" customFormat="1" ht="24" customHeight="1">
      <c r="A1380" s="928"/>
      <c r="B1380" s="976"/>
      <c r="C1380" s="976"/>
      <c r="D1380" s="976"/>
      <c r="E1380" s="978"/>
      <c r="F1380" s="974"/>
      <c r="G1380" s="969"/>
      <c r="H1380" s="930"/>
      <c r="I1380" s="970"/>
      <c r="J1380" s="930"/>
      <c r="K1380" s="931"/>
      <c r="L1380" s="971"/>
      <c r="M1380" s="954"/>
      <c r="N1380" s="954"/>
      <c r="O1380" s="954"/>
      <c r="P1380" s="954"/>
      <c r="Q1380" s="954"/>
      <c r="R1380" s="954"/>
      <c r="S1380" s="954"/>
      <c r="T1380" s="954"/>
      <c r="U1380" s="954"/>
    </row>
    <row r="1381" spans="1:21" s="933" customFormat="1" ht="24" customHeight="1">
      <c r="A1381" s="928"/>
      <c r="B1381" s="976"/>
      <c r="C1381" s="976"/>
      <c r="D1381" s="976"/>
      <c r="E1381" s="978"/>
      <c r="F1381" s="974"/>
      <c r="G1381" s="969"/>
      <c r="H1381" s="930"/>
      <c r="I1381" s="970"/>
      <c r="J1381" s="930"/>
      <c r="K1381" s="931"/>
      <c r="L1381" s="971"/>
      <c r="M1381" s="954"/>
      <c r="N1381" s="954"/>
      <c r="O1381" s="954"/>
      <c r="P1381" s="954"/>
      <c r="Q1381" s="954"/>
      <c r="R1381" s="954"/>
      <c r="S1381" s="954"/>
      <c r="T1381" s="954"/>
      <c r="U1381" s="954"/>
    </row>
    <row r="1382" spans="1:21" s="933" customFormat="1" ht="24" customHeight="1">
      <c r="A1382" s="928"/>
      <c r="B1382" s="976"/>
      <c r="C1382" s="976"/>
      <c r="D1382" s="976"/>
      <c r="E1382" s="978"/>
      <c r="F1382" s="974"/>
      <c r="G1382" s="969"/>
      <c r="H1382" s="930"/>
      <c r="I1382" s="970"/>
      <c r="J1382" s="930"/>
      <c r="K1382" s="931"/>
      <c r="L1382" s="971"/>
      <c r="M1382" s="954"/>
      <c r="N1382" s="954"/>
      <c r="O1382" s="954"/>
      <c r="P1382" s="954"/>
      <c r="Q1382" s="954"/>
      <c r="R1382" s="954"/>
      <c r="S1382" s="954"/>
      <c r="T1382" s="954"/>
      <c r="U1382" s="954"/>
    </row>
    <row r="1383" spans="1:21" s="933" customFormat="1" ht="24" customHeight="1">
      <c r="A1383" s="928"/>
      <c r="B1383" s="1021"/>
      <c r="C1383" s="976"/>
      <c r="D1383" s="976"/>
      <c r="E1383" s="978"/>
      <c r="F1383" s="974"/>
      <c r="G1383" s="969"/>
      <c r="H1383" s="930"/>
      <c r="I1383" s="970"/>
      <c r="J1383" s="930"/>
      <c r="K1383" s="931"/>
      <c r="L1383" s="971"/>
      <c r="M1383" s="954"/>
      <c r="N1383" s="954"/>
      <c r="O1383" s="954"/>
      <c r="P1383" s="954"/>
      <c r="Q1383" s="954"/>
      <c r="R1383" s="954"/>
      <c r="S1383" s="954"/>
      <c r="T1383" s="954"/>
      <c r="U1383" s="954"/>
    </row>
    <row r="1384" spans="1:21" s="933" customFormat="1" ht="24" customHeight="1">
      <c r="A1384" s="928"/>
      <c r="B1384" s="1021"/>
      <c r="C1384" s="976"/>
      <c r="D1384" s="976"/>
      <c r="E1384" s="978"/>
      <c r="F1384" s="974"/>
      <c r="G1384" s="969"/>
      <c r="H1384" s="930"/>
      <c r="I1384" s="970"/>
      <c r="J1384" s="930"/>
      <c r="K1384" s="931"/>
      <c r="L1384" s="971"/>
      <c r="M1384" s="954"/>
      <c r="N1384" s="954"/>
      <c r="O1384" s="954"/>
      <c r="P1384" s="954"/>
      <c r="Q1384" s="954"/>
      <c r="R1384" s="954"/>
      <c r="S1384" s="954"/>
      <c r="T1384" s="954"/>
      <c r="U1384" s="954"/>
    </row>
    <row r="1385" spans="1:21" s="933" customFormat="1" ht="24" customHeight="1">
      <c r="A1385" s="928"/>
      <c r="B1385" s="1021"/>
      <c r="C1385" s="976"/>
      <c r="D1385" s="976"/>
      <c r="E1385" s="978"/>
      <c r="F1385" s="974"/>
      <c r="G1385" s="969"/>
      <c r="H1385" s="930"/>
      <c r="I1385" s="970"/>
      <c r="J1385" s="930"/>
      <c r="K1385" s="931"/>
      <c r="L1385" s="971"/>
      <c r="M1385" s="954"/>
      <c r="N1385" s="954"/>
      <c r="O1385" s="954"/>
      <c r="P1385" s="954"/>
      <c r="Q1385" s="954"/>
      <c r="R1385" s="954"/>
      <c r="S1385" s="954"/>
      <c r="T1385" s="954"/>
      <c r="U1385" s="954"/>
    </row>
    <row r="1386" spans="1:21" s="933" customFormat="1" ht="24" customHeight="1">
      <c r="A1386" s="1026" t="s">
        <v>994</v>
      </c>
      <c r="B1386" s="1030" t="s">
        <v>995</v>
      </c>
      <c r="C1386" s="976"/>
      <c r="D1386" s="976"/>
      <c r="E1386" s="978"/>
      <c r="F1386" s="974"/>
      <c r="G1386" s="969"/>
      <c r="H1386" s="930"/>
      <c r="I1386" s="970"/>
      <c r="J1386" s="930"/>
      <c r="K1386" s="931"/>
      <c r="L1386" s="971"/>
      <c r="M1386" s="954"/>
      <c r="N1386" s="954"/>
      <c r="O1386" s="954"/>
      <c r="P1386" s="954"/>
      <c r="Q1386" s="954"/>
      <c r="R1386" s="954"/>
      <c r="S1386" s="954"/>
      <c r="T1386" s="954"/>
      <c r="U1386" s="954"/>
    </row>
    <row r="1387" spans="1:21" s="933" customFormat="1" ht="24" customHeight="1">
      <c r="A1387" s="928"/>
      <c r="B1387" s="976" t="s">
        <v>864</v>
      </c>
      <c r="C1387" s="977"/>
      <c r="D1387" s="977"/>
      <c r="E1387" s="978">
        <v>877.35</v>
      </c>
      <c r="F1387" s="974" t="s">
        <v>865</v>
      </c>
      <c r="G1387" s="969">
        <v>3190</v>
      </c>
      <c r="H1387" s="930">
        <f t="shared" ref="H1387:H1401" si="284">ROUND(E1387*G1387,2)</f>
        <v>2798746.5</v>
      </c>
      <c r="I1387" s="970">
        <v>485</v>
      </c>
      <c r="J1387" s="930">
        <f t="shared" ref="J1387:J1401" si="285">ROUND(E1387*I1387,2)</f>
        <v>425514.75</v>
      </c>
      <c r="K1387" s="931">
        <f t="shared" ref="K1387:K1401" si="286">H1387+J1387</f>
        <v>3224261.25</v>
      </c>
      <c r="L1387" s="971"/>
      <c r="M1387" s="954"/>
      <c r="N1387" s="954"/>
      <c r="O1387" s="954"/>
      <c r="P1387" s="954"/>
      <c r="Q1387" s="954"/>
      <c r="R1387" s="954"/>
      <c r="S1387" s="954"/>
      <c r="T1387" s="954"/>
      <c r="U1387" s="954"/>
    </row>
    <row r="1388" spans="1:21" s="933" customFormat="1" ht="24" customHeight="1">
      <c r="A1388" s="928"/>
      <c r="B1388" s="979" t="s">
        <v>866</v>
      </c>
      <c r="C1388" s="976"/>
      <c r="D1388" s="976"/>
      <c r="E1388" s="978"/>
      <c r="F1388" s="974"/>
      <c r="G1388" s="969"/>
      <c r="H1388" s="930">
        <f t="shared" si="284"/>
        <v>0</v>
      </c>
      <c r="I1388" s="970"/>
      <c r="J1388" s="930">
        <f t="shared" si="285"/>
        <v>0</v>
      </c>
      <c r="K1388" s="931">
        <f t="shared" si="286"/>
        <v>0</v>
      </c>
      <c r="L1388" s="971"/>
      <c r="M1388" s="954"/>
      <c r="N1388" s="954"/>
      <c r="O1388" s="954"/>
      <c r="P1388" s="954"/>
      <c r="Q1388" s="954"/>
      <c r="R1388" s="954"/>
      <c r="S1388" s="954"/>
      <c r="T1388" s="954"/>
      <c r="U1388" s="954"/>
    </row>
    <row r="1389" spans="1:21" s="933" customFormat="1" ht="24" customHeight="1">
      <c r="A1389" s="928"/>
      <c r="B1389" s="979"/>
      <c r="C1389" s="976" t="s">
        <v>867</v>
      </c>
      <c r="D1389" s="976"/>
      <c r="E1389" s="978">
        <f>E1390/2</f>
        <v>1528.75</v>
      </c>
      <c r="F1389" s="974" t="s">
        <v>34</v>
      </c>
      <c r="G1389" s="969">
        <v>661.62</v>
      </c>
      <c r="H1389" s="930">
        <f t="shared" si="284"/>
        <v>1011451.58</v>
      </c>
      <c r="I1389" s="970"/>
      <c r="J1389" s="930">
        <f t="shared" si="285"/>
        <v>0</v>
      </c>
      <c r="K1389" s="931">
        <f t="shared" si="286"/>
        <v>1011451.58</v>
      </c>
      <c r="L1389" s="971"/>
      <c r="M1389" s="954"/>
      <c r="N1389" s="954"/>
      <c r="O1389" s="954"/>
      <c r="P1389" s="954"/>
      <c r="Q1389" s="954"/>
      <c r="R1389" s="954"/>
      <c r="S1389" s="954"/>
      <c r="T1389" s="954"/>
      <c r="U1389" s="954"/>
    </row>
    <row r="1390" spans="1:21" s="933" customFormat="1" ht="24" customHeight="1">
      <c r="A1390" s="928"/>
      <c r="B1390" s="979"/>
      <c r="C1390" s="976" t="s">
        <v>868</v>
      </c>
      <c r="D1390" s="976"/>
      <c r="E1390" s="978">
        <v>3057.5</v>
      </c>
      <c r="F1390" s="974" t="s">
        <v>34</v>
      </c>
      <c r="G1390" s="969"/>
      <c r="H1390" s="930">
        <f t="shared" si="284"/>
        <v>0</v>
      </c>
      <c r="I1390" s="970">
        <v>154</v>
      </c>
      <c r="J1390" s="930">
        <f t="shared" si="285"/>
        <v>470855</v>
      </c>
      <c r="K1390" s="931">
        <f t="shared" si="286"/>
        <v>470855</v>
      </c>
      <c r="L1390" s="971"/>
      <c r="M1390" s="954"/>
      <c r="N1390" s="954"/>
      <c r="O1390" s="954"/>
      <c r="P1390" s="954"/>
      <c r="Q1390" s="954"/>
      <c r="R1390" s="954"/>
      <c r="S1390" s="954"/>
      <c r="T1390" s="954"/>
      <c r="U1390" s="954"/>
    </row>
    <row r="1391" spans="1:21" s="933" customFormat="1" ht="24" customHeight="1">
      <c r="A1391" s="928"/>
      <c r="B1391" s="976" t="s">
        <v>869</v>
      </c>
      <c r="C1391" s="976"/>
      <c r="D1391" s="976"/>
      <c r="E1391" s="978">
        <f>(E1390*0.25)</f>
        <v>764.375</v>
      </c>
      <c r="F1391" s="974" t="s">
        <v>870</v>
      </c>
      <c r="G1391" s="969">
        <f t="shared" ref="G1391" si="287">VLOOKUP(B1391,$O$43:$P$53,2,FALSE)</f>
        <v>29.94</v>
      </c>
      <c r="H1391" s="930">
        <f t="shared" si="284"/>
        <v>22885.39</v>
      </c>
      <c r="I1391" s="970"/>
      <c r="J1391" s="930">
        <f t="shared" si="285"/>
        <v>0</v>
      </c>
      <c r="K1391" s="931">
        <f t="shared" si="286"/>
        <v>22885.39</v>
      </c>
      <c r="L1391" s="971"/>
      <c r="M1391" s="954"/>
      <c r="N1391" s="954"/>
      <c r="O1391" s="954"/>
      <c r="P1391" s="954"/>
      <c r="Q1391" s="954"/>
      <c r="R1391" s="954"/>
      <c r="S1391" s="954"/>
      <c r="T1391" s="954"/>
      <c r="U1391" s="954"/>
    </row>
    <row r="1392" spans="1:21" s="933" customFormat="1" ht="24" customHeight="1">
      <c r="A1392" s="928"/>
      <c r="B1392" s="976" t="s">
        <v>871</v>
      </c>
      <c r="C1392" s="976"/>
      <c r="D1392" s="976"/>
      <c r="E1392" s="978"/>
      <c r="F1392" s="982"/>
      <c r="G1392" s="983"/>
      <c r="H1392" s="930">
        <f t="shared" si="284"/>
        <v>0</v>
      </c>
      <c r="I1392" s="970"/>
      <c r="J1392" s="930">
        <f t="shared" si="285"/>
        <v>0</v>
      </c>
      <c r="K1392" s="931">
        <f t="shared" si="286"/>
        <v>0</v>
      </c>
      <c r="L1392" s="971"/>
      <c r="M1392" s="954"/>
      <c r="N1392" s="954"/>
      <c r="O1392" s="954"/>
      <c r="P1392" s="954"/>
      <c r="Q1392" s="954"/>
      <c r="R1392" s="954"/>
      <c r="S1392" s="954"/>
      <c r="T1392" s="954"/>
      <c r="U1392" s="954"/>
    </row>
    <row r="1393" spans="1:21" s="933" customFormat="1" ht="24" customHeight="1">
      <c r="A1393" s="928"/>
      <c r="B1393" s="976" t="s">
        <v>872</v>
      </c>
      <c r="C1393" s="976"/>
      <c r="D1393" s="976"/>
      <c r="E1393" s="978"/>
      <c r="F1393" s="974" t="s">
        <v>870</v>
      </c>
      <c r="G1393" s="969">
        <f t="shared" ref="G1393:G1401" si="288">VLOOKUP(B1393,$O$43:$P$53,2,FALSE)</f>
        <v>25.73</v>
      </c>
      <c r="H1393" s="930">
        <f t="shared" si="284"/>
        <v>0</v>
      </c>
      <c r="I1393" s="984">
        <v>4.0999999999999996</v>
      </c>
      <c r="J1393" s="930">
        <f t="shared" si="285"/>
        <v>0</v>
      </c>
      <c r="K1393" s="931">
        <f t="shared" si="286"/>
        <v>0</v>
      </c>
      <c r="L1393" s="971"/>
      <c r="M1393" s="954"/>
      <c r="N1393" s="954"/>
      <c r="O1393" s="954"/>
      <c r="P1393" s="954"/>
      <c r="Q1393" s="954"/>
      <c r="R1393" s="954"/>
      <c r="S1393" s="954"/>
      <c r="T1393" s="954"/>
      <c r="U1393" s="954"/>
    </row>
    <row r="1394" spans="1:21" s="933" customFormat="1" ht="24" customHeight="1">
      <c r="A1394" s="928"/>
      <c r="B1394" s="976" t="s">
        <v>873</v>
      </c>
      <c r="C1394" s="976"/>
      <c r="D1394" s="976"/>
      <c r="E1394" s="978">
        <v>2884.25</v>
      </c>
      <c r="F1394" s="974" t="s">
        <v>870</v>
      </c>
      <c r="G1394" s="969">
        <f t="shared" si="288"/>
        <v>24.97</v>
      </c>
      <c r="H1394" s="930">
        <f t="shared" si="284"/>
        <v>72019.72</v>
      </c>
      <c r="I1394" s="970">
        <v>4.0999999999999996</v>
      </c>
      <c r="J1394" s="930">
        <f t="shared" si="285"/>
        <v>11825.43</v>
      </c>
      <c r="K1394" s="931">
        <f t="shared" si="286"/>
        <v>83845.149999999994</v>
      </c>
      <c r="L1394" s="971"/>
      <c r="M1394" s="954"/>
      <c r="N1394" s="954"/>
      <c r="O1394" s="954"/>
      <c r="P1394" s="954"/>
      <c r="Q1394" s="954"/>
      <c r="R1394" s="954"/>
      <c r="S1394" s="954"/>
      <c r="T1394" s="954"/>
      <c r="U1394" s="954"/>
    </row>
    <row r="1395" spans="1:21" s="933" customFormat="1" ht="24" customHeight="1">
      <c r="A1395" s="928"/>
      <c r="B1395" s="976" t="s">
        <v>874</v>
      </c>
      <c r="C1395" s="976"/>
      <c r="D1395" s="976"/>
      <c r="E1395" s="978">
        <v>65643.28</v>
      </c>
      <c r="F1395" s="974" t="s">
        <v>870</v>
      </c>
      <c r="G1395" s="969">
        <f t="shared" si="288"/>
        <v>24.47</v>
      </c>
      <c r="H1395" s="930">
        <f t="shared" si="284"/>
        <v>1606291.06</v>
      </c>
      <c r="I1395" s="970">
        <v>3.3</v>
      </c>
      <c r="J1395" s="930">
        <f t="shared" si="285"/>
        <v>216622.82</v>
      </c>
      <c r="K1395" s="931">
        <f t="shared" si="286"/>
        <v>1822913.8800000001</v>
      </c>
      <c r="L1395" s="971"/>
      <c r="M1395" s="954"/>
      <c r="N1395" s="954"/>
      <c r="O1395" s="954"/>
      <c r="P1395" s="954"/>
      <c r="Q1395" s="954"/>
      <c r="R1395" s="954"/>
      <c r="S1395" s="954"/>
      <c r="T1395" s="954"/>
      <c r="U1395" s="954"/>
    </row>
    <row r="1396" spans="1:21" s="933" customFormat="1" ht="24" customHeight="1">
      <c r="A1396" s="928"/>
      <c r="B1396" s="976" t="s">
        <v>875</v>
      </c>
      <c r="C1396" s="976"/>
      <c r="D1396" s="976"/>
      <c r="E1396" s="978">
        <v>6707.07</v>
      </c>
      <c r="F1396" s="982" t="s">
        <v>870</v>
      </c>
      <c r="G1396" s="969">
        <f t="shared" si="288"/>
        <v>24.27</v>
      </c>
      <c r="H1396" s="930">
        <f t="shared" si="284"/>
        <v>162780.59</v>
      </c>
      <c r="I1396" s="970">
        <v>3.3</v>
      </c>
      <c r="J1396" s="930">
        <f t="shared" si="285"/>
        <v>22133.33</v>
      </c>
      <c r="K1396" s="931">
        <f t="shared" si="286"/>
        <v>184913.91999999998</v>
      </c>
      <c r="L1396" s="971"/>
      <c r="M1396" s="954"/>
      <c r="N1396" s="954"/>
      <c r="O1396" s="954"/>
      <c r="P1396" s="954"/>
      <c r="Q1396" s="954"/>
      <c r="R1396" s="954"/>
      <c r="S1396" s="954"/>
      <c r="T1396" s="954"/>
      <c r="U1396" s="954"/>
    </row>
    <row r="1397" spans="1:21" s="933" customFormat="1" ht="24" customHeight="1">
      <c r="A1397" s="928"/>
      <c r="B1397" s="976" t="s">
        <v>876</v>
      </c>
      <c r="C1397" s="976"/>
      <c r="D1397" s="976"/>
      <c r="E1397" s="978">
        <v>2913.02</v>
      </c>
      <c r="F1397" s="974" t="s">
        <v>870</v>
      </c>
      <c r="G1397" s="969">
        <f t="shared" si="288"/>
        <v>24.27</v>
      </c>
      <c r="H1397" s="930">
        <f t="shared" si="284"/>
        <v>70699</v>
      </c>
      <c r="I1397" s="970">
        <v>2.9</v>
      </c>
      <c r="J1397" s="930">
        <f t="shared" si="285"/>
        <v>8447.76</v>
      </c>
      <c r="K1397" s="931">
        <f t="shared" si="286"/>
        <v>79146.759999999995</v>
      </c>
      <c r="L1397" s="971"/>
      <c r="M1397" s="954"/>
      <c r="N1397" s="954"/>
      <c r="O1397" s="954"/>
      <c r="P1397" s="954"/>
      <c r="Q1397" s="954"/>
      <c r="R1397" s="954"/>
      <c r="S1397" s="954"/>
      <c r="T1397" s="954"/>
      <c r="U1397" s="954"/>
    </row>
    <row r="1398" spans="1:21" s="933" customFormat="1" ht="24" customHeight="1">
      <c r="A1398" s="928"/>
      <c r="B1398" s="976" t="s">
        <v>877</v>
      </c>
      <c r="C1398" s="976"/>
      <c r="D1398" s="976"/>
      <c r="E1398" s="978">
        <v>4487.25</v>
      </c>
      <c r="F1398" s="974" t="s">
        <v>870</v>
      </c>
      <c r="G1398" s="969">
        <f t="shared" si="288"/>
        <v>24.27</v>
      </c>
      <c r="H1398" s="930">
        <f t="shared" si="284"/>
        <v>108905.56</v>
      </c>
      <c r="I1398" s="970">
        <v>2.9</v>
      </c>
      <c r="J1398" s="930">
        <f t="shared" si="285"/>
        <v>13013.03</v>
      </c>
      <c r="K1398" s="931">
        <f t="shared" si="286"/>
        <v>121918.59</v>
      </c>
      <c r="L1398" s="971"/>
      <c r="M1398" s="954"/>
      <c r="N1398" s="954"/>
      <c r="O1398" s="954"/>
      <c r="P1398" s="954"/>
      <c r="Q1398" s="954"/>
      <c r="R1398" s="954"/>
      <c r="S1398" s="954"/>
      <c r="T1398" s="954"/>
      <c r="U1398" s="954"/>
    </row>
    <row r="1399" spans="1:21" s="933" customFormat="1" ht="24" customHeight="1">
      <c r="A1399" s="928"/>
      <c r="B1399" s="976" t="s">
        <v>878</v>
      </c>
      <c r="C1399" s="976"/>
      <c r="D1399" s="976"/>
      <c r="E1399" s="978">
        <v>30152.62</v>
      </c>
      <c r="F1399" s="974" t="s">
        <v>870</v>
      </c>
      <c r="G1399" s="969">
        <f t="shared" si="288"/>
        <v>24.27</v>
      </c>
      <c r="H1399" s="930">
        <f t="shared" si="284"/>
        <v>731804.09</v>
      </c>
      <c r="I1399" s="970">
        <v>2.9</v>
      </c>
      <c r="J1399" s="930">
        <f t="shared" si="285"/>
        <v>87442.6</v>
      </c>
      <c r="K1399" s="931">
        <f t="shared" si="286"/>
        <v>819246.69</v>
      </c>
      <c r="L1399" s="971"/>
      <c r="M1399" s="954"/>
      <c r="N1399" s="954"/>
      <c r="O1399" s="954"/>
      <c r="P1399" s="954"/>
      <c r="Q1399" s="954"/>
      <c r="R1399" s="954"/>
      <c r="S1399" s="954"/>
      <c r="T1399" s="954"/>
      <c r="U1399" s="954"/>
    </row>
    <row r="1400" spans="1:21" s="933" customFormat="1" ht="24" customHeight="1">
      <c r="A1400" s="928"/>
      <c r="B1400" s="976" t="s">
        <v>879</v>
      </c>
      <c r="C1400" s="976"/>
      <c r="D1400" s="976"/>
      <c r="E1400" s="978"/>
      <c r="F1400" s="974" t="s">
        <v>870</v>
      </c>
      <c r="G1400" s="969">
        <f t="shared" si="288"/>
        <v>23.8</v>
      </c>
      <c r="H1400" s="930">
        <f t="shared" si="284"/>
        <v>0</v>
      </c>
      <c r="I1400" s="970">
        <v>2.9</v>
      </c>
      <c r="J1400" s="930">
        <f t="shared" si="285"/>
        <v>0</v>
      </c>
      <c r="K1400" s="931">
        <f t="shared" si="286"/>
        <v>0</v>
      </c>
      <c r="L1400" s="971"/>
      <c r="M1400" s="954"/>
      <c r="N1400" s="954"/>
      <c r="O1400" s="954"/>
      <c r="P1400" s="954"/>
      <c r="Q1400" s="954"/>
      <c r="R1400" s="954"/>
      <c r="S1400" s="954"/>
      <c r="T1400" s="954"/>
      <c r="U1400" s="954"/>
    </row>
    <row r="1401" spans="1:21" s="933" customFormat="1" ht="24" customHeight="1">
      <c r="A1401" s="928"/>
      <c r="B1401" s="976" t="s">
        <v>880</v>
      </c>
      <c r="C1401" s="976"/>
      <c r="D1401" s="976"/>
      <c r="E1401" s="978">
        <f>(SUM(E1393:E1400)/1000)*30</f>
        <v>3383.6247000000003</v>
      </c>
      <c r="F1401" s="974" t="s">
        <v>870</v>
      </c>
      <c r="G1401" s="969">
        <f t="shared" si="288"/>
        <v>29.92</v>
      </c>
      <c r="H1401" s="930">
        <f t="shared" si="284"/>
        <v>101238.05</v>
      </c>
      <c r="I1401" s="970"/>
      <c r="J1401" s="930">
        <f t="shared" si="285"/>
        <v>0</v>
      </c>
      <c r="K1401" s="931">
        <f t="shared" si="286"/>
        <v>101238.05</v>
      </c>
      <c r="L1401" s="971"/>
      <c r="M1401" s="954"/>
      <c r="N1401" s="954"/>
      <c r="O1401" s="954"/>
      <c r="P1401" s="954"/>
      <c r="Q1401" s="954"/>
      <c r="R1401" s="954"/>
      <c r="S1401" s="954"/>
      <c r="T1401" s="954"/>
      <c r="U1401" s="954"/>
    </row>
    <row r="1402" spans="1:21" s="933" customFormat="1" ht="24" customHeight="1">
      <c r="A1402" s="928"/>
      <c r="B1402" s="976" t="s">
        <v>881</v>
      </c>
      <c r="C1402" s="976"/>
      <c r="D1402" s="976"/>
      <c r="E1402" s="978"/>
      <c r="F1402" s="974"/>
      <c r="G1402" s="969"/>
      <c r="H1402" s="930"/>
      <c r="I1402" s="970"/>
      <c r="J1402" s="930"/>
      <c r="K1402" s="931"/>
      <c r="L1402" s="971"/>
      <c r="M1402" s="954"/>
      <c r="N1402" s="954"/>
      <c r="O1402" s="954"/>
      <c r="P1402" s="954"/>
      <c r="Q1402" s="954"/>
      <c r="R1402" s="954"/>
      <c r="S1402" s="954"/>
      <c r="T1402" s="954"/>
      <c r="U1402" s="954"/>
    </row>
    <row r="1403" spans="1:21" s="933" customFormat="1" ht="24" customHeight="1">
      <c r="A1403" s="928"/>
      <c r="B1403" s="1021"/>
      <c r="C1403" s="976"/>
      <c r="D1403" s="976"/>
      <c r="E1403" s="978"/>
      <c r="F1403" s="974"/>
      <c r="G1403" s="969"/>
      <c r="H1403" s="930"/>
      <c r="I1403" s="970"/>
      <c r="J1403" s="930"/>
      <c r="K1403" s="931"/>
      <c r="L1403" s="971"/>
      <c r="M1403" s="954"/>
      <c r="N1403" s="954"/>
      <c r="O1403" s="954"/>
      <c r="P1403" s="954"/>
      <c r="Q1403" s="954"/>
      <c r="R1403" s="954"/>
      <c r="S1403" s="954"/>
      <c r="T1403" s="954"/>
      <c r="U1403" s="954"/>
    </row>
    <row r="1404" spans="1:21" s="933" customFormat="1" ht="24" customHeight="1">
      <c r="A1404" s="928"/>
      <c r="B1404" s="1021"/>
      <c r="C1404" s="976"/>
      <c r="D1404" s="976"/>
      <c r="E1404" s="978"/>
      <c r="F1404" s="974"/>
      <c r="G1404" s="969"/>
      <c r="H1404" s="930"/>
      <c r="I1404" s="970"/>
      <c r="J1404" s="930"/>
      <c r="K1404" s="931"/>
      <c r="L1404" s="971"/>
      <c r="M1404" s="954"/>
      <c r="N1404" s="954"/>
      <c r="O1404" s="954"/>
      <c r="P1404" s="954"/>
      <c r="Q1404" s="954"/>
      <c r="R1404" s="954"/>
      <c r="S1404" s="954"/>
      <c r="T1404" s="954"/>
      <c r="U1404" s="954"/>
    </row>
    <row r="1405" spans="1:21" s="933" customFormat="1" ht="24" customHeight="1">
      <c r="A1405" s="928"/>
      <c r="B1405" s="1021"/>
      <c r="C1405" s="976"/>
      <c r="D1405" s="976"/>
      <c r="E1405" s="978"/>
      <c r="F1405" s="974"/>
      <c r="G1405" s="969"/>
      <c r="H1405" s="930"/>
      <c r="I1405" s="970"/>
      <c r="J1405" s="930"/>
      <c r="K1405" s="931"/>
      <c r="L1405" s="971"/>
      <c r="M1405" s="954"/>
      <c r="N1405" s="954"/>
      <c r="O1405" s="954"/>
      <c r="P1405" s="954"/>
      <c r="Q1405" s="954"/>
      <c r="R1405" s="954"/>
      <c r="S1405" s="954"/>
      <c r="T1405" s="954"/>
      <c r="U1405" s="954"/>
    </row>
    <row r="1406" spans="1:21" s="933" customFormat="1" ht="24" customHeight="1">
      <c r="A1406" s="928"/>
      <c r="B1406" s="1021"/>
      <c r="C1406" s="976"/>
      <c r="D1406" s="976"/>
      <c r="E1406" s="978"/>
      <c r="F1406" s="974"/>
      <c r="G1406" s="969"/>
      <c r="H1406" s="930"/>
      <c r="I1406" s="970"/>
      <c r="J1406" s="930"/>
      <c r="K1406" s="931"/>
      <c r="L1406" s="971"/>
      <c r="M1406" s="954"/>
      <c r="N1406" s="954"/>
      <c r="O1406" s="954"/>
      <c r="P1406" s="954"/>
      <c r="Q1406" s="954"/>
      <c r="R1406" s="954"/>
      <c r="S1406" s="954"/>
      <c r="T1406" s="954"/>
      <c r="U1406" s="954"/>
    </row>
    <row r="1407" spans="1:21" s="933" customFormat="1" ht="24" customHeight="1">
      <c r="A1407" s="928"/>
      <c r="B1407" s="1021"/>
      <c r="C1407" s="976"/>
      <c r="D1407" s="976"/>
      <c r="E1407" s="978"/>
      <c r="F1407" s="974"/>
      <c r="G1407" s="969"/>
      <c r="H1407" s="930"/>
      <c r="I1407" s="970"/>
      <c r="J1407" s="930"/>
      <c r="K1407" s="931"/>
      <c r="L1407" s="971"/>
      <c r="M1407" s="954"/>
      <c r="N1407" s="954"/>
      <c r="O1407" s="954"/>
      <c r="P1407" s="954"/>
      <c r="Q1407" s="954"/>
      <c r="R1407" s="954"/>
      <c r="S1407" s="954"/>
      <c r="T1407" s="954"/>
      <c r="U1407" s="954"/>
    </row>
    <row r="1408" spans="1:21" s="933" customFormat="1" ht="24" customHeight="1">
      <c r="A1408" s="928"/>
      <c r="B1408" s="1021"/>
      <c r="C1408" s="976"/>
      <c r="D1408" s="976"/>
      <c r="E1408" s="978"/>
      <c r="F1408" s="974"/>
      <c r="G1408" s="969"/>
      <c r="H1408" s="930"/>
      <c r="I1408" s="970"/>
      <c r="J1408" s="930"/>
      <c r="K1408" s="931"/>
      <c r="L1408" s="971"/>
      <c r="M1408" s="954"/>
      <c r="N1408" s="954"/>
      <c r="O1408" s="954"/>
      <c r="P1408" s="954"/>
      <c r="Q1408" s="954"/>
      <c r="R1408" s="954"/>
      <c r="S1408" s="954"/>
      <c r="T1408" s="954"/>
      <c r="U1408" s="954"/>
    </row>
    <row r="1409" spans="1:21" s="933" customFormat="1" ht="24" customHeight="1">
      <c r="A1409" s="928"/>
      <c r="B1409" s="1021"/>
      <c r="C1409" s="976"/>
      <c r="D1409" s="976"/>
      <c r="E1409" s="978"/>
      <c r="F1409" s="974"/>
      <c r="G1409" s="969"/>
      <c r="H1409" s="930"/>
      <c r="I1409" s="970"/>
      <c r="J1409" s="930"/>
      <c r="K1409" s="931"/>
      <c r="L1409" s="971"/>
      <c r="M1409" s="954"/>
      <c r="N1409" s="954"/>
      <c r="O1409" s="954"/>
      <c r="P1409" s="954"/>
      <c r="Q1409" s="954"/>
      <c r="R1409" s="954"/>
      <c r="S1409" s="954"/>
      <c r="T1409" s="954"/>
      <c r="U1409" s="954"/>
    </row>
    <row r="1410" spans="1:21" s="933" customFormat="1" ht="24" customHeight="1">
      <c r="A1410" s="928"/>
      <c r="B1410" s="1021"/>
      <c r="C1410" s="976"/>
      <c r="D1410" s="976"/>
      <c r="E1410" s="978"/>
      <c r="F1410" s="974"/>
      <c r="G1410" s="969"/>
      <c r="H1410" s="930"/>
      <c r="I1410" s="970"/>
      <c r="J1410" s="930"/>
      <c r="K1410" s="931"/>
      <c r="L1410" s="971"/>
      <c r="M1410" s="954"/>
      <c r="N1410" s="954"/>
      <c r="O1410" s="954"/>
      <c r="P1410" s="954"/>
      <c r="Q1410" s="954"/>
      <c r="R1410" s="954"/>
      <c r="S1410" s="954"/>
      <c r="T1410" s="954"/>
      <c r="U1410" s="954"/>
    </row>
    <row r="1411" spans="1:21" s="933" customFormat="1" ht="24" customHeight="1">
      <c r="A1411" s="1026" t="s">
        <v>996</v>
      </c>
      <c r="B1411" s="1030" t="s">
        <v>997</v>
      </c>
      <c r="C1411" s="976"/>
      <c r="D1411" s="976"/>
      <c r="E1411" s="978"/>
      <c r="F1411" s="974"/>
      <c r="G1411" s="969"/>
      <c r="H1411" s="930"/>
      <c r="I1411" s="970"/>
      <c r="J1411" s="930"/>
      <c r="K1411" s="931"/>
      <c r="L1411" s="971"/>
      <c r="M1411" s="954"/>
      <c r="N1411" s="954"/>
      <c r="O1411" s="954"/>
      <c r="P1411" s="954"/>
      <c r="Q1411" s="954"/>
      <c r="R1411" s="954"/>
      <c r="S1411" s="954"/>
      <c r="T1411" s="954"/>
      <c r="U1411" s="954"/>
    </row>
    <row r="1412" spans="1:21" s="933" customFormat="1" ht="24" customHeight="1">
      <c r="A1412" s="928"/>
      <c r="B1412" s="976" t="s">
        <v>864</v>
      </c>
      <c r="C1412" s="977"/>
      <c r="D1412" s="977"/>
      <c r="E1412" s="978">
        <v>116.37</v>
      </c>
      <c r="F1412" s="974" t="s">
        <v>865</v>
      </c>
      <c r="G1412" s="969">
        <v>2516</v>
      </c>
      <c r="H1412" s="930">
        <f t="shared" ref="H1412:H1426" si="289">ROUND(E1412*G1412,2)</f>
        <v>292786.92</v>
      </c>
      <c r="I1412" s="970">
        <v>485</v>
      </c>
      <c r="J1412" s="930">
        <f t="shared" ref="J1412:J1426" si="290">ROUND(E1412*I1412,2)</f>
        <v>56439.45</v>
      </c>
      <c r="K1412" s="931">
        <f t="shared" ref="K1412:K1426" si="291">H1412+J1412</f>
        <v>349226.37</v>
      </c>
      <c r="L1412" s="971"/>
      <c r="M1412" s="954"/>
      <c r="N1412" s="954"/>
      <c r="O1412" s="954"/>
      <c r="P1412" s="954"/>
      <c r="Q1412" s="954"/>
      <c r="R1412" s="954"/>
      <c r="S1412" s="954"/>
      <c r="T1412" s="954"/>
      <c r="U1412" s="954"/>
    </row>
    <row r="1413" spans="1:21" s="933" customFormat="1" ht="24" customHeight="1">
      <c r="A1413" s="928"/>
      <c r="B1413" s="979" t="s">
        <v>866</v>
      </c>
      <c r="C1413" s="976"/>
      <c r="D1413" s="976"/>
      <c r="E1413" s="978"/>
      <c r="F1413" s="974"/>
      <c r="G1413" s="969"/>
      <c r="H1413" s="930">
        <f t="shared" si="289"/>
        <v>0</v>
      </c>
      <c r="I1413" s="970"/>
      <c r="J1413" s="930">
        <f t="shared" si="290"/>
        <v>0</v>
      </c>
      <c r="K1413" s="931">
        <f t="shared" si="291"/>
        <v>0</v>
      </c>
      <c r="L1413" s="971"/>
      <c r="M1413" s="954"/>
      <c r="N1413" s="954"/>
      <c r="O1413" s="954"/>
      <c r="P1413" s="954"/>
      <c r="Q1413" s="954"/>
      <c r="R1413" s="954"/>
      <c r="S1413" s="954"/>
      <c r="T1413" s="954"/>
      <c r="U1413" s="954"/>
    </row>
    <row r="1414" spans="1:21" s="933" customFormat="1" ht="24" customHeight="1">
      <c r="A1414" s="928"/>
      <c r="B1414" s="979"/>
      <c r="C1414" s="976" t="s">
        <v>867</v>
      </c>
      <c r="D1414" s="976"/>
      <c r="E1414" s="978">
        <f>E1415/2</f>
        <v>308.58</v>
      </c>
      <c r="F1414" s="974" t="s">
        <v>34</v>
      </c>
      <c r="G1414" s="969">
        <v>661.62</v>
      </c>
      <c r="H1414" s="930">
        <f t="shared" si="289"/>
        <v>204162.7</v>
      </c>
      <c r="I1414" s="970"/>
      <c r="J1414" s="930">
        <f t="shared" si="290"/>
        <v>0</v>
      </c>
      <c r="K1414" s="931">
        <f t="shared" si="291"/>
        <v>204162.7</v>
      </c>
      <c r="L1414" s="971"/>
      <c r="M1414" s="954"/>
      <c r="N1414" s="954"/>
      <c r="O1414" s="954"/>
      <c r="P1414" s="954"/>
      <c r="Q1414" s="954"/>
      <c r="R1414" s="954"/>
      <c r="S1414" s="954"/>
      <c r="T1414" s="954"/>
      <c r="U1414" s="954"/>
    </row>
    <row r="1415" spans="1:21" s="933" customFormat="1" ht="24" customHeight="1">
      <c r="A1415" s="928"/>
      <c r="B1415" s="979"/>
      <c r="C1415" s="976" t="s">
        <v>868</v>
      </c>
      <c r="D1415" s="976"/>
      <c r="E1415" s="978">
        <v>617.16</v>
      </c>
      <c r="F1415" s="974" t="s">
        <v>34</v>
      </c>
      <c r="G1415" s="969"/>
      <c r="H1415" s="930">
        <f t="shared" si="289"/>
        <v>0</v>
      </c>
      <c r="I1415" s="970">
        <v>154</v>
      </c>
      <c r="J1415" s="930">
        <f t="shared" si="290"/>
        <v>95042.64</v>
      </c>
      <c r="K1415" s="931">
        <f t="shared" si="291"/>
        <v>95042.64</v>
      </c>
      <c r="L1415" s="971"/>
      <c r="M1415" s="954"/>
      <c r="N1415" s="954"/>
      <c r="O1415" s="954"/>
      <c r="P1415" s="954"/>
      <c r="Q1415" s="954"/>
      <c r="R1415" s="954"/>
      <c r="S1415" s="954"/>
      <c r="T1415" s="954"/>
      <c r="U1415" s="954"/>
    </row>
    <row r="1416" spans="1:21" s="933" customFormat="1" ht="24" customHeight="1">
      <c r="A1416" s="928"/>
      <c r="B1416" s="976" t="s">
        <v>869</v>
      </c>
      <c r="C1416" s="976"/>
      <c r="D1416" s="976"/>
      <c r="E1416" s="978">
        <f>(E1415*0.25)</f>
        <v>154.29</v>
      </c>
      <c r="F1416" s="974" t="s">
        <v>870</v>
      </c>
      <c r="G1416" s="969">
        <f t="shared" ref="G1416" si="292">VLOOKUP(B1416,$O$43:$P$53,2,FALSE)</f>
        <v>29.94</v>
      </c>
      <c r="H1416" s="930">
        <f t="shared" si="289"/>
        <v>4619.4399999999996</v>
      </c>
      <c r="I1416" s="970"/>
      <c r="J1416" s="930">
        <f t="shared" si="290"/>
        <v>0</v>
      </c>
      <c r="K1416" s="931">
        <f t="shared" si="291"/>
        <v>4619.4399999999996</v>
      </c>
      <c r="L1416" s="971"/>
      <c r="M1416" s="954"/>
      <c r="N1416" s="954"/>
      <c r="O1416" s="954"/>
      <c r="P1416" s="954"/>
      <c r="Q1416" s="954"/>
      <c r="R1416" s="954"/>
      <c r="S1416" s="954"/>
      <c r="T1416" s="954"/>
      <c r="U1416" s="954"/>
    </row>
    <row r="1417" spans="1:21" s="933" customFormat="1" ht="24" customHeight="1">
      <c r="A1417" s="928"/>
      <c r="B1417" s="976" t="s">
        <v>871</v>
      </c>
      <c r="C1417" s="976"/>
      <c r="D1417" s="976"/>
      <c r="E1417" s="978"/>
      <c r="F1417" s="982"/>
      <c r="G1417" s="983"/>
      <c r="H1417" s="930">
        <f t="shared" si="289"/>
        <v>0</v>
      </c>
      <c r="I1417" s="970"/>
      <c r="J1417" s="930">
        <f t="shared" si="290"/>
        <v>0</v>
      </c>
      <c r="K1417" s="931">
        <f t="shared" si="291"/>
        <v>0</v>
      </c>
      <c r="L1417" s="971"/>
      <c r="M1417" s="954"/>
      <c r="N1417" s="954"/>
      <c r="O1417" s="954"/>
      <c r="P1417" s="954"/>
      <c r="Q1417" s="954"/>
      <c r="R1417" s="954"/>
      <c r="S1417" s="954"/>
      <c r="T1417" s="954"/>
      <c r="U1417" s="954"/>
    </row>
    <row r="1418" spans="1:21" s="933" customFormat="1" ht="24" customHeight="1">
      <c r="A1418" s="928"/>
      <c r="B1418" s="976" t="s">
        <v>872</v>
      </c>
      <c r="C1418" s="976"/>
      <c r="D1418" s="976"/>
      <c r="E1418" s="978">
        <v>0</v>
      </c>
      <c r="F1418" s="974" t="s">
        <v>870</v>
      </c>
      <c r="G1418" s="969">
        <f t="shared" ref="G1418:G1426" si="293">VLOOKUP(B1418,$O$43:$P$53,2,FALSE)</f>
        <v>25.73</v>
      </c>
      <c r="H1418" s="930">
        <f t="shared" si="289"/>
        <v>0</v>
      </c>
      <c r="I1418" s="984">
        <v>4.0999999999999996</v>
      </c>
      <c r="J1418" s="930">
        <f t="shared" si="290"/>
        <v>0</v>
      </c>
      <c r="K1418" s="931">
        <f t="shared" si="291"/>
        <v>0</v>
      </c>
      <c r="L1418" s="971"/>
      <c r="M1418" s="954"/>
      <c r="N1418" s="954"/>
      <c r="O1418" s="954"/>
      <c r="P1418" s="954"/>
      <c r="Q1418" s="954"/>
      <c r="R1418" s="954"/>
      <c r="S1418" s="954"/>
      <c r="T1418" s="954"/>
      <c r="U1418" s="954"/>
    </row>
    <row r="1419" spans="1:21" s="933" customFormat="1" ht="24" customHeight="1">
      <c r="A1419" s="928"/>
      <c r="B1419" s="976" t="s">
        <v>873</v>
      </c>
      <c r="C1419" s="976"/>
      <c r="D1419" s="976"/>
      <c r="E1419" s="978">
        <v>4257.63</v>
      </c>
      <c r="F1419" s="974" t="s">
        <v>870</v>
      </c>
      <c r="G1419" s="969">
        <f t="shared" si="293"/>
        <v>24.97</v>
      </c>
      <c r="H1419" s="930">
        <f t="shared" si="289"/>
        <v>106313.02</v>
      </c>
      <c r="I1419" s="970">
        <v>4.0999999999999996</v>
      </c>
      <c r="J1419" s="930">
        <f t="shared" si="290"/>
        <v>17456.28</v>
      </c>
      <c r="K1419" s="931">
        <f t="shared" si="291"/>
        <v>123769.3</v>
      </c>
      <c r="L1419" s="971"/>
      <c r="M1419" s="954"/>
      <c r="N1419" s="954"/>
      <c r="O1419" s="954"/>
      <c r="P1419" s="954"/>
      <c r="Q1419" s="954"/>
      <c r="R1419" s="954"/>
      <c r="S1419" s="954"/>
      <c r="T1419" s="954"/>
      <c r="U1419" s="954"/>
    </row>
    <row r="1420" spans="1:21" s="933" customFormat="1" ht="24" customHeight="1">
      <c r="A1420" s="928"/>
      <c r="B1420" s="976" t="s">
        <v>874</v>
      </c>
      <c r="C1420" s="976"/>
      <c r="D1420" s="976"/>
      <c r="E1420" s="978">
        <v>1246.98</v>
      </c>
      <c r="F1420" s="974" t="s">
        <v>870</v>
      </c>
      <c r="G1420" s="969">
        <f t="shared" si="293"/>
        <v>24.47</v>
      </c>
      <c r="H1420" s="930">
        <f t="shared" si="289"/>
        <v>30513.599999999999</v>
      </c>
      <c r="I1420" s="970">
        <v>3.3</v>
      </c>
      <c r="J1420" s="930">
        <f t="shared" si="290"/>
        <v>4115.03</v>
      </c>
      <c r="K1420" s="931">
        <f t="shared" si="291"/>
        <v>34628.629999999997</v>
      </c>
      <c r="L1420" s="971"/>
      <c r="M1420" s="954"/>
      <c r="N1420" s="954"/>
      <c r="O1420" s="954"/>
      <c r="P1420" s="954"/>
      <c r="Q1420" s="954"/>
      <c r="R1420" s="954"/>
      <c r="S1420" s="954"/>
      <c r="T1420" s="954"/>
      <c r="U1420" s="954"/>
    </row>
    <row r="1421" spans="1:21" s="933" customFormat="1" ht="24" customHeight="1">
      <c r="A1421" s="928"/>
      <c r="B1421" s="976" t="s">
        <v>875</v>
      </c>
      <c r="C1421" s="976"/>
      <c r="D1421" s="976"/>
      <c r="E1421" s="978">
        <v>964.31</v>
      </c>
      <c r="F1421" s="982" t="s">
        <v>870</v>
      </c>
      <c r="G1421" s="969">
        <f t="shared" si="293"/>
        <v>24.27</v>
      </c>
      <c r="H1421" s="930">
        <f t="shared" si="289"/>
        <v>23403.8</v>
      </c>
      <c r="I1421" s="970">
        <v>3.3</v>
      </c>
      <c r="J1421" s="930">
        <f t="shared" si="290"/>
        <v>3182.22</v>
      </c>
      <c r="K1421" s="931">
        <f t="shared" si="291"/>
        <v>26586.02</v>
      </c>
      <c r="L1421" s="971"/>
      <c r="M1421" s="954"/>
      <c r="N1421" s="954"/>
      <c r="O1421" s="954"/>
      <c r="P1421" s="954"/>
      <c r="Q1421" s="954"/>
      <c r="R1421" s="954"/>
      <c r="S1421" s="954"/>
      <c r="T1421" s="954"/>
      <c r="U1421" s="954"/>
    </row>
    <row r="1422" spans="1:21" s="933" customFormat="1" ht="24" customHeight="1">
      <c r="A1422" s="928"/>
      <c r="B1422" s="976" t="s">
        <v>876</v>
      </c>
      <c r="C1422" s="976"/>
      <c r="D1422" s="976"/>
      <c r="E1422" s="978">
        <v>2984.25</v>
      </c>
      <c r="F1422" s="974" t="s">
        <v>870</v>
      </c>
      <c r="G1422" s="969">
        <f t="shared" si="293"/>
        <v>24.27</v>
      </c>
      <c r="H1422" s="930">
        <f t="shared" si="289"/>
        <v>72427.75</v>
      </c>
      <c r="I1422" s="970">
        <v>2.9</v>
      </c>
      <c r="J1422" s="930">
        <f t="shared" si="290"/>
        <v>8654.33</v>
      </c>
      <c r="K1422" s="931">
        <f t="shared" si="291"/>
        <v>81082.080000000002</v>
      </c>
      <c r="L1422" s="971"/>
      <c r="M1422" s="954"/>
      <c r="N1422" s="954"/>
      <c r="O1422" s="954"/>
      <c r="P1422" s="954"/>
      <c r="Q1422" s="954"/>
      <c r="R1422" s="954"/>
      <c r="S1422" s="954"/>
      <c r="T1422" s="954"/>
      <c r="U1422" s="954"/>
    </row>
    <row r="1423" spans="1:21" s="933" customFormat="1" ht="24" customHeight="1">
      <c r="A1423" s="928"/>
      <c r="B1423" s="976" t="s">
        <v>877</v>
      </c>
      <c r="C1423" s="976"/>
      <c r="D1423" s="976"/>
      <c r="E1423" s="978">
        <v>9255.25</v>
      </c>
      <c r="F1423" s="974" t="s">
        <v>870</v>
      </c>
      <c r="G1423" s="969">
        <f t="shared" si="293"/>
        <v>24.27</v>
      </c>
      <c r="H1423" s="930">
        <f t="shared" si="289"/>
        <v>224624.92</v>
      </c>
      <c r="I1423" s="970">
        <v>2.9</v>
      </c>
      <c r="J1423" s="930">
        <f t="shared" si="290"/>
        <v>26840.23</v>
      </c>
      <c r="K1423" s="931">
        <f t="shared" si="291"/>
        <v>251465.15000000002</v>
      </c>
      <c r="L1423" s="971"/>
      <c r="M1423" s="954"/>
      <c r="N1423" s="954"/>
      <c r="O1423" s="954"/>
      <c r="P1423" s="954"/>
      <c r="Q1423" s="954"/>
      <c r="R1423" s="954"/>
      <c r="S1423" s="954"/>
      <c r="T1423" s="954"/>
      <c r="U1423" s="954"/>
    </row>
    <row r="1424" spans="1:21" s="933" customFormat="1" ht="24" customHeight="1">
      <c r="A1424" s="928"/>
      <c r="B1424" s="976" t="s">
        <v>878</v>
      </c>
      <c r="C1424" s="976"/>
      <c r="D1424" s="976"/>
      <c r="E1424" s="978">
        <v>0</v>
      </c>
      <c r="F1424" s="974" t="s">
        <v>870</v>
      </c>
      <c r="G1424" s="969">
        <f t="shared" si="293"/>
        <v>24.27</v>
      </c>
      <c r="H1424" s="930">
        <f t="shared" si="289"/>
        <v>0</v>
      </c>
      <c r="I1424" s="970">
        <v>2.9</v>
      </c>
      <c r="J1424" s="930">
        <f t="shared" si="290"/>
        <v>0</v>
      </c>
      <c r="K1424" s="931">
        <f t="shared" si="291"/>
        <v>0</v>
      </c>
      <c r="L1424" s="971"/>
      <c r="M1424" s="954"/>
      <c r="N1424" s="954"/>
      <c r="O1424" s="954"/>
      <c r="P1424" s="954"/>
      <c r="Q1424" s="954"/>
      <c r="R1424" s="954"/>
      <c r="S1424" s="954"/>
      <c r="T1424" s="954"/>
      <c r="U1424" s="954"/>
    </row>
    <row r="1425" spans="1:21" s="933" customFormat="1" ht="24" customHeight="1">
      <c r="A1425" s="928"/>
      <c r="B1425" s="976" t="s">
        <v>879</v>
      </c>
      <c r="C1425" s="976"/>
      <c r="D1425" s="976"/>
      <c r="E1425" s="978">
        <v>0</v>
      </c>
      <c r="F1425" s="974" t="s">
        <v>870</v>
      </c>
      <c r="G1425" s="969">
        <f t="shared" si="293"/>
        <v>23.8</v>
      </c>
      <c r="H1425" s="930">
        <f t="shared" si="289"/>
        <v>0</v>
      </c>
      <c r="I1425" s="970">
        <v>2.9</v>
      </c>
      <c r="J1425" s="930">
        <f t="shared" si="290"/>
        <v>0</v>
      </c>
      <c r="K1425" s="931">
        <f t="shared" si="291"/>
        <v>0</v>
      </c>
      <c r="L1425" s="971"/>
      <c r="M1425" s="954"/>
      <c r="N1425" s="954"/>
      <c r="O1425" s="954"/>
      <c r="P1425" s="954"/>
      <c r="Q1425" s="954"/>
      <c r="R1425" s="954"/>
      <c r="S1425" s="954"/>
      <c r="T1425" s="954"/>
      <c r="U1425" s="954"/>
    </row>
    <row r="1426" spans="1:21" s="933" customFormat="1" ht="24" customHeight="1">
      <c r="A1426" s="928"/>
      <c r="B1426" s="976" t="s">
        <v>880</v>
      </c>
      <c r="C1426" s="976"/>
      <c r="D1426" s="976"/>
      <c r="E1426" s="978">
        <f>(SUM(E1418:E1425)/1000)*30</f>
        <v>561.25259999999992</v>
      </c>
      <c r="F1426" s="974" t="s">
        <v>870</v>
      </c>
      <c r="G1426" s="969">
        <f t="shared" si="293"/>
        <v>29.92</v>
      </c>
      <c r="H1426" s="930">
        <f t="shared" si="289"/>
        <v>16792.68</v>
      </c>
      <c r="I1426" s="970"/>
      <c r="J1426" s="930">
        <f t="shared" si="290"/>
        <v>0</v>
      </c>
      <c r="K1426" s="931">
        <f t="shared" si="291"/>
        <v>16792.68</v>
      </c>
      <c r="L1426" s="971"/>
      <c r="M1426" s="954"/>
      <c r="N1426" s="954"/>
      <c r="O1426" s="954"/>
      <c r="P1426" s="954"/>
      <c r="Q1426" s="954"/>
      <c r="R1426" s="954"/>
      <c r="S1426" s="954"/>
      <c r="T1426" s="954"/>
      <c r="U1426" s="954"/>
    </row>
    <row r="1427" spans="1:21" s="933" customFormat="1" ht="24" customHeight="1">
      <c r="A1427" s="928"/>
      <c r="B1427" s="976" t="s">
        <v>881</v>
      </c>
      <c r="C1427" s="976"/>
      <c r="D1427" s="976"/>
      <c r="E1427" s="978"/>
      <c r="F1427" s="974"/>
      <c r="G1427" s="969"/>
      <c r="H1427" s="930"/>
      <c r="I1427" s="970"/>
      <c r="J1427" s="930"/>
      <c r="K1427" s="931"/>
      <c r="L1427" s="971"/>
      <c r="M1427" s="954"/>
      <c r="N1427" s="954"/>
      <c r="O1427" s="954"/>
      <c r="P1427" s="954"/>
      <c r="Q1427" s="954"/>
      <c r="R1427" s="954"/>
      <c r="S1427" s="954"/>
      <c r="T1427" s="954"/>
      <c r="U1427" s="954"/>
    </row>
    <row r="1428" spans="1:21" s="933" customFormat="1" ht="24" customHeight="1">
      <c r="A1428" s="928"/>
      <c r="B1428" s="1021"/>
      <c r="C1428" s="976"/>
      <c r="D1428" s="976"/>
      <c r="E1428" s="978"/>
      <c r="F1428" s="974"/>
      <c r="G1428" s="969"/>
      <c r="H1428" s="930"/>
      <c r="I1428" s="970"/>
      <c r="J1428" s="930"/>
      <c r="K1428" s="931"/>
      <c r="L1428" s="971"/>
      <c r="M1428" s="954"/>
      <c r="N1428" s="954"/>
      <c r="O1428" s="954"/>
      <c r="P1428" s="954"/>
      <c r="Q1428" s="954"/>
      <c r="R1428" s="954"/>
      <c r="S1428" s="954"/>
      <c r="T1428" s="954"/>
      <c r="U1428" s="954"/>
    </row>
    <row r="1429" spans="1:21" s="933" customFormat="1" ht="24" customHeight="1">
      <c r="A1429" s="928"/>
      <c r="B1429" s="1021"/>
      <c r="C1429" s="976"/>
      <c r="D1429" s="976"/>
      <c r="E1429" s="978"/>
      <c r="F1429" s="974"/>
      <c r="G1429" s="969"/>
      <c r="H1429" s="930"/>
      <c r="I1429" s="970"/>
      <c r="J1429" s="930"/>
      <c r="K1429" s="931"/>
      <c r="L1429" s="971"/>
      <c r="M1429" s="954"/>
      <c r="N1429" s="954"/>
      <c r="O1429" s="954"/>
      <c r="P1429" s="954"/>
      <c r="Q1429" s="954"/>
      <c r="R1429" s="954"/>
      <c r="S1429" s="954"/>
      <c r="T1429" s="954"/>
      <c r="U1429" s="954"/>
    </row>
    <row r="1430" spans="1:21" s="933" customFormat="1" ht="24" customHeight="1">
      <c r="A1430" s="928"/>
      <c r="B1430" s="1021"/>
      <c r="C1430" s="976"/>
      <c r="D1430" s="976"/>
      <c r="E1430" s="978"/>
      <c r="F1430" s="974"/>
      <c r="G1430" s="969"/>
      <c r="H1430" s="930"/>
      <c r="I1430" s="970"/>
      <c r="J1430" s="930"/>
      <c r="K1430" s="931"/>
      <c r="L1430" s="971"/>
      <c r="M1430" s="954"/>
      <c r="N1430" s="954"/>
      <c r="O1430" s="954"/>
      <c r="P1430" s="954"/>
      <c r="Q1430" s="954"/>
      <c r="R1430" s="954"/>
      <c r="S1430" s="954"/>
      <c r="T1430" s="954"/>
      <c r="U1430" s="954"/>
    </row>
    <row r="1431" spans="1:21" s="933" customFormat="1" ht="24" customHeight="1">
      <c r="A1431" s="928"/>
      <c r="B1431" s="1021"/>
      <c r="C1431" s="976"/>
      <c r="D1431" s="976"/>
      <c r="E1431" s="978"/>
      <c r="F1431" s="974"/>
      <c r="G1431" s="969"/>
      <c r="H1431" s="930"/>
      <c r="I1431" s="970"/>
      <c r="J1431" s="930"/>
      <c r="K1431" s="931"/>
      <c r="L1431" s="971"/>
      <c r="M1431" s="954"/>
      <c r="N1431" s="954"/>
      <c r="O1431" s="954"/>
      <c r="P1431" s="954"/>
      <c r="Q1431" s="954"/>
      <c r="R1431" s="954"/>
      <c r="S1431" s="954"/>
      <c r="T1431" s="954"/>
      <c r="U1431" s="954"/>
    </row>
    <row r="1432" spans="1:21" s="933" customFormat="1" ht="24" customHeight="1">
      <c r="A1432" s="928"/>
      <c r="B1432" s="1021"/>
      <c r="C1432" s="976"/>
      <c r="D1432" s="976"/>
      <c r="E1432" s="978"/>
      <c r="F1432" s="974"/>
      <c r="G1432" s="969"/>
      <c r="H1432" s="930"/>
      <c r="I1432" s="970"/>
      <c r="J1432" s="930"/>
      <c r="K1432" s="931"/>
      <c r="L1432" s="971"/>
      <c r="M1432" s="954"/>
      <c r="N1432" s="954"/>
      <c r="O1432" s="954"/>
      <c r="P1432" s="954"/>
      <c r="Q1432" s="954"/>
      <c r="R1432" s="954"/>
      <c r="S1432" s="954"/>
      <c r="T1432" s="954"/>
      <c r="U1432" s="954"/>
    </row>
    <row r="1433" spans="1:21" s="933" customFormat="1" ht="24" customHeight="1">
      <c r="A1433" s="928"/>
      <c r="B1433" s="1021"/>
      <c r="C1433" s="976"/>
      <c r="D1433" s="976"/>
      <c r="E1433" s="978"/>
      <c r="F1433" s="974"/>
      <c r="G1433" s="969"/>
      <c r="H1433" s="930"/>
      <c r="I1433" s="970"/>
      <c r="J1433" s="930"/>
      <c r="K1433" s="931"/>
      <c r="L1433" s="971"/>
      <c r="M1433" s="954"/>
      <c r="N1433" s="954"/>
      <c r="O1433" s="954"/>
      <c r="P1433" s="954"/>
      <c r="Q1433" s="954"/>
      <c r="R1433" s="954"/>
      <c r="S1433" s="954"/>
      <c r="T1433" s="954"/>
      <c r="U1433" s="954"/>
    </row>
    <row r="1434" spans="1:21" s="933" customFormat="1" ht="24" customHeight="1">
      <c r="A1434" s="928"/>
      <c r="B1434" s="1021"/>
      <c r="C1434" s="976"/>
      <c r="D1434" s="976"/>
      <c r="E1434" s="978"/>
      <c r="F1434" s="974"/>
      <c r="G1434" s="969"/>
      <c r="H1434" s="930"/>
      <c r="I1434" s="970"/>
      <c r="J1434" s="930"/>
      <c r="K1434" s="931"/>
      <c r="L1434" s="971"/>
      <c r="M1434" s="954"/>
      <c r="N1434" s="954"/>
      <c r="O1434" s="954"/>
      <c r="P1434" s="954"/>
      <c r="Q1434" s="954"/>
      <c r="R1434" s="954"/>
      <c r="S1434" s="954"/>
      <c r="T1434" s="954"/>
      <c r="U1434" s="954"/>
    </row>
    <row r="1435" spans="1:21" s="933" customFormat="1" ht="24" customHeight="1">
      <c r="A1435" s="928"/>
      <c r="B1435" s="1021"/>
      <c r="C1435" s="976"/>
      <c r="D1435" s="976"/>
      <c r="E1435" s="978"/>
      <c r="F1435" s="974"/>
      <c r="G1435" s="969"/>
      <c r="H1435" s="930"/>
      <c r="I1435" s="970"/>
      <c r="J1435" s="930"/>
      <c r="K1435" s="931"/>
      <c r="L1435" s="971"/>
      <c r="M1435" s="954"/>
      <c r="N1435" s="954"/>
      <c r="O1435" s="954"/>
      <c r="P1435" s="954"/>
      <c r="Q1435" s="954"/>
      <c r="R1435" s="954"/>
      <c r="S1435" s="954"/>
      <c r="T1435" s="954"/>
      <c r="U1435" s="954"/>
    </row>
    <row r="1436" spans="1:21" s="933" customFormat="1" ht="24" customHeight="1">
      <c r="A1436" s="1026" t="s">
        <v>998</v>
      </c>
      <c r="B1436" s="1030" t="s">
        <v>1038</v>
      </c>
      <c r="C1436" s="976"/>
      <c r="D1436" s="976"/>
      <c r="E1436" s="978"/>
      <c r="F1436" s="974"/>
      <c r="G1436" s="969"/>
      <c r="H1436" s="930"/>
      <c r="I1436" s="970"/>
      <c r="J1436" s="930"/>
      <c r="K1436" s="931"/>
      <c r="L1436" s="971"/>
      <c r="M1436" s="954"/>
      <c r="N1436" s="954"/>
      <c r="O1436" s="954"/>
      <c r="P1436" s="954"/>
      <c r="Q1436" s="954"/>
      <c r="R1436" s="954"/>
      <c r="S1436" s="954"/>
      <c r="T1436" s="954"/>
      <c r="U1436" s="954"/>
    </row>
    <row r="1437" spans="1:21" s="933" customFormat="1" ht="24" customHeight="1">
      <c r="A1437" s="928"/>
      <c r="B1437" s="976" t="s">
        <v>864</v>
      </c>
      <c r="C1437" s="977"/>
      <c r="D1437" s="977"/>
      <c r="E1437" s="978">
        <v>134.07</v>
      </c>
      <c r="F1437" s="974" t="s">
        <v>865</v>
      </c>
      <c r="G1437" s="969">
        <v>2516</v>
      </c>
      <c r="H1437" s="930">
        <f t="shared" ref="H1437:H1451" si="294">ROUND(E1437*G1437,2)</f>
        <v>337320.12</v>
      </c>
      <c r="I1437" s="970">
        <v>485</v>
      </c>
      <c r="J1437" s="930">
        <f t="shared" ref="J1437:J1451" si="295">ROUND(E1437*I1437,2)</f>
        <v>65023.95</v>
      </c>
      <c r="K1437" s="931">
        <f t="shared" ref="K1437:K1451" si="296">H1437+J1437</f>
        <v>402344.07</v>
      </c>
      <c r="L1437" s="971"/>
      <c r="M1437" s="954"/>
      <c r="N1437" s="954"/>
      <c r="O1437" s="954"/>
      <c r="P1437" s="954"/>
      <c r="Q1437" s="954"/>
      <c r="R1437" s="954"/>
      <c r="S1437" s="954"/>
      <c r="T1437" s="954"/>
      <c r="U1437" s="954"/>
    </row>
    <row r="1438" spans="1:21" s="933" customFormat="1" ht="24" customHeight="1">
      <c r="A1438" s="928"/>
      <c r="B1438" s="979" t="s">
        <v>866</v>
      </c>
      <c r="C1438" s="976"/>
      <c r="D1438" s="976"/>
      <c r="E1438" s="978"/>
      <c r="F1438" s="974"/>
      <c r="G1438" s="969"/>
      <c r="H1438" s="930">
        <f t="shared" si="294"/>
        <v>0</v>
      </c>
      <c r="I1438" s="970"/>
      <c r="J1438" s="930">
        <f t="shared" si="295"/>
        <v>0</v>
      </c>
      <c r="K1438" s="931">
        <f t="shared" si="296"/>
        <v>0</v>
      </c>
      <c r="L1438" s="971"/>
      <c r="M1438" s="954"/>
      <c r="N1438" s="954"/>
      <c r="O1438" s="954"/>
      <c r="P1438" s="954"/>
      <c r="Q1438" s="954"/>
      <c r="R1438" s="954"/>
      <c r="S1438" s="954"/>
      <c r="T1438" s="954"/>
      <c r="U1438" s="954"/>
    </row>
    <row r="1439" spans="1:21" s="933" customFormat="1" ht="24" customHeight="1">
      <c r="A1439" s="928"/>
      <c r="B1439" s="979"/>
      <c r="C1439" s="976" t="s">
        <v>867</v>
      </c>
      <c r="D1439" s="976"/>
      <c r="E1439" s="978">
        <f>E1440/2</f>
        <v>449.25</v>
      </c>
      <c r="F1439" s="974" t="s">
        <v>34</v>
      </c>
      <c r="G1439" s="969">
        <v>661.62</v>
      </c>
      <c r="H1439" s="930">
        <f t="shared" si="294"/>
        <v>297232.78999999998</v>
      </c>
      <c r="I1439" s="970"/>
      <c r="J1439" s="930">
        <f t="shared" si="295"/>
        <v>0</v>
      </c>
      <c r="K1439" s="931">
        <f t="shared" si="296"/>
        <v>297232.78999999998</v>
      </c>
      <c r="L1439" s="971"/>
      <c r="M1439" s="954"/>
      <c r="N1439" s="954"/>
      <c r="O1439" s="954"/>
      <c r="P1439" s="954"/>
      <c r="Q1439" s="954"/>
      <c r="R1439" s="954"/>
      <c r="S1439" s="954"/>
      <c r="T1439" s="954"/>
      <c r="U1439" s="954"/>
    </row>
    <row r="1440" spans="1:21" s="933" customFormat="1" ht="24" customHeight="1">
      <c r="A1440" s="928"/>
      <c r="B1440" s="979"/>
      <c r="C1440" s="976" t="s">
        <v>868</v>
      </c>
      <c r="D1440" s="976"/>
      <c r="E1440" s="978">
        <v>898.5</v>
      </c>
      <c r="F1440" s="974" t="s">
        <v>34</v>
      </c>
      <c r="G1440" s="969"/>
      <c r="H1440" s="930">
        <f t="shared" si="294"/>
        <v>0</v>
      </c>
      <c r="I1440" s="970">
        <v>154</v>
      </c>
      <c r="J1440" s="930">
        <f t="shared" si="295"/>
        <v>138369</v>
      </c>
      <c r="K1440" s="931">
        <f t="shared" si="296"/>
        <v>138369</v>
      </c>
      <c r="L1440" s="971"/>
      <c r="M1440" s="954"/>
      <c r="N1440" s="954"/>
      <c r="O1440" s="954"/>
      <c r="P1440" s="954"/>
      <c r="Q1440" s="954"/>
      <c r="R1440" s="954"/>
      <c r="S1440" s="954"/>
      <c r="T1440" s="954"/>
      <c r="U1440" s="954"/>
    </row>
    <row r="1441" spans="1:21" s="933" customFormat="1" ht="24" customHeight="1">
      <c r="A1441" s="928"/>
      <c r="B1441" s="976" t="s">
        <v>869</v>
      </c>
      <c r="C1441" s="976"/>
      <c r="D1441" s="976"/>
      <c r="E1441" s="978">
        <f>(E1440*0.25)</f>
        <v>224.625</v>
      </c>
      <c r="F1441" s="974" t="s">
        <v>870</v>
      </c>
      <c r="G1441" s="969">
        <f t="shared" ref="G1441" si="297">VLOOKUP(B1441,$O$43:$P$53,2,FALSE)</f>
        <v>29.94</v>
      </c>
      <c r="H1441" s="930">
        <f t="shared" si="294"/>
        <v>6725.27</v>
      </c>
      <c r="I1441" s="970"/>
      <c r="J1441" s="930">
        <f t="shared" si="295"/>
        <v>0</v>
      </c>
      <c r="K1441" s="931">
        <f t="shared" si="296"/>
        <v>6725.27</v>
      </c>
      <c r="L1441" s="971"/>
      <c r="M1441" s="954"/>
      <c r="N1441" s="954"/>
      <c r="O1441" s="954"/>
      <c r="P1441" s="954"/>
      <c r="Q1441" s="954"/>
      <c r="R1441" s="954"/>
      <c r="S1441" s="954"/>
      <c r="T1441" s="954"/>
      <c r="U1441" s="954"/>
    </row>
    <row r="1442" spans="1:21" s="933" customFormat="1" ht="24" customHeight="1">
      <c r="A1442" s="928"/>
      <c r="B1442" s="976" t="s">
        <v>871</v>
      </c>
      <c r="C1442" s="976"/>
      <c r="D1442" s="976"/>
      <c r="E1442" s="978"/>
      <c r="F1442" s="982"/>
      <c r="G1442" s="983"/>
      <c r="H1442" s="930">
        <f t="shared" si="294"/>
        <v>0</v>
      </c>
      <c r="I1442" s="970"/>
      <c r="J1442" s="930">
        <f t="shared" si="295"/>
        <v>0</v>
      </c>
      <c r="K1442" s="931">
        <f t="shared" si="296"/>
        <v>0</v>
      </c>
      <c r="L1442" s="971"/>
      <c r="M1442" s="954"/>
      <c r="N1442" s="954"/>
      <c r="O1442" s="954"/>
      <c r="P1442" s="954"/>
      <c r="Q1442" s="954"/>
      <c r="R1442" s="954"/>
      <c r="S1442" s="954"/>
      <c r="T1442" s="954"/>
      <c r="U1442" s="954"/>
    </row>
    <row r="1443" spans="1:21" s="933" customFormat="1" ht="24" customHeight="1">
      <c r="A1443" s="928"/>
      <c r="B1443" s="976" t="s">
        <v>872</v>
      </c>
      <c r="C1443" s="976"/>
      <c r="D1443" s="976"/>
      <c r="E1443" s="978"/>
      <c r="F1443" s="974" t="s">
        <v>870</v>
      </c>
      <c r="G1443" s="969">
        <f t="shared" ref="G1443:G1451" si="298">VLOOKUP(B1443,$O$43:$P$53,2,FALSE)</f>
        <v>25.73</v>
      </c>
      <c r="H1443" s="930">
        <f t="shared" si="294"/>
        <v>0</v>
      </c>
      <c r="I1443" s="984">
        <v>4.0999999999999996</v>
      </c>
      <c r="J1443" s="930">
        <f t="shared" si="295"/>
        <v>0</v>
      </c>
      <c r="K1443" s="931">
        <f t="shared" si="296"/>
        <v>0</v>
      </c>
      <c r="L1443" s="971"/>
      <c r="M1443" s="954"/>
      <c r="N1443" s="954"/>
      <c r="O1443" s="954"/>
      <c r="P1443" s="954"/>
      <c r="Q1443" s="954"/>
      <c r="R1443" s="954"/>
      <c r="S1443" s="954"/>
      <c r="T1443" s="954"/>
      <c r="U1443" s="954"/>
    </row>
    <row r="1444" spans="1:21" s="933" customFormat="1" ht="24" customHeight="1">
      <c r="A1444" s="928"/>
      <c r="B1444" s="976" t="s">
        <v>873</v>
      </c>
      <c r="C1444" s="976"/>
      <c r="D1444" s="976"/>
      <c r="E1444" s="978"/>
      <c r="F1444" s="974" t="s">
        <v>870</v>
      </c>
      <c r="G1444" s="969">
        <f t="shared" si="298"/>
        <v>24.97</v>
      </c>
      <c r="H1444" s="930">
        <f t="shared" si="294"/>
        <v>0</v>
      </c>
      <c r="I1444" s="970">
        <v>4.0999999999999996</v>
      </c>
      <c r="J1444" s="930">
        <f t="shared" si="295"/>
        <v>0</v>
      </c>
      <c r="K1444" s="931">
        <f t="shared" si="296"/>
        <v>0</v>
      </c>
      <c r="L1444" s="971"/>
      <c r="M1444" s="954"/>
      <c r="N1444" s="954"/>
      <c r="O1444" s="954"/>
      <c r="P1444" s="954"/>
      <c r="Q1444" s="954"/>
      <c r="R1444" s="954"/>
      <c r="S1444" s="954"/>
      <c r="T1444" s="954"/>
      <c r="U1444" s="954"/>
    </row>
    <row r="1445" spans="1:21" s="933" customFormat="1" ht="24" customHeight="1">
      <c r="A1445" s="928"/>
      <c r="B1445" s="976" t="s">
        <v>874</v>
      </c>
      <c r="C1445" s="976"/>
      <c r="D1445" s="976"/>
      <c r="E1445" s="978">
        <v>4416.8100000000004</v>
      </c>
      <c r="F1445" s="974" t="s">
        <v>870</v>
      </c>
      <c r="G1445" s="969">
        <f t="shared" si="298"/>
        <v>24.47</v>
      </c>
      <c r="H1445" s="930">
        <f t="shared" si="294"/>
        <v>108079.34</v>
      </c>
      <c r="I1445" s="970">
        <v>3.3</v>
      </c>
      <c r="J1445" s="930">
        <f t="shared" si="295"/>
        <v>14575.47</v>
      </c>
      <c r="K1445" s="931">
        <f t="shared" si="296"/>
        <v>122654.81</v>
      </c>
      <c r="L1445" s="971"/>
      <c r="M1445" s="954"/>
      <c r="N1445" s="954"/>
      <c r="O1445" s="954"/>
      <c r="P1445" s="954"/>
      <c r="Q1445" s="954"/>
      <c r="R1445" s="954"/>
      <c r="S1445" s="954"/>
      <c r="T1445" s="954"/>
      <c r="U1445" s="954"/>
    </row>
    <row r="1446" spans="1:21" s="933" customFormat="1" ht="24" customHeight="1">
      <c r="A1446" s="928"/>
      <c r="B1446" s="976" t="s">
        <v>875</v>
      </c>
      <c r="C1446" s="976"/>
      <c r="D1446" s="976"/>
      <c r="E1446" s="978">
        <v>12542.06</v>
      </c>
      <c r="F1446" s="982" t="s">
        <v>870</v>
      </c>
      <c r="G1446" s="969">
        <f t="shared" si="298"/>
        <v>24.27</v>
      </c>
      <c r="H1446" s="930">
        <f t="shared" si="294"/>
        <v>304395.8</v>
      </c>
      <c r="I1446" s="970">
        <v>3.3</v>
      </c>
      <c r="J1446" s="930">
        <f t="shared" si="295"/>
        <v>41388.800000000003</v>
      </c>
      <c r="K1446" s="931">
        <f t="shared" si="296"/>
        <v>345784.6</v>
      </c>
      <c r="L1446" s="971"/>
      <c r="M1446" s="954"/>
      <c r="N1446" s="954"/>
      <c r="O1446" s="954"/>
      <c r="P1446" s="954"/>
      <c r="Q1446" s="954"/>
      <c r="R1446" s="954"/>
      <c r="S1446" s="954"/>
      <c r="T1446" s="954"/>
      <c r="U1446" s="954"/>
    </row>
    <row r="1447" spans="1:21" s="933" customFormat="1" ht="24" customHeight="1">
      <c r="A1447" s="928"/>
      <c r="B1447" s="976" t="s">
        <v>876</v>
      </c>
      <c r="C1447" s="976"/>
      <c r="D1447" s="976"/>
      <c r="E1447" s="978">
        <v>13147.48</v>
      </c>
      <c r="F1447" s="974" t="s">
        <v>870</v>
      </c>
      <c r="G1447" s="969">
        <f t="shared" si="298"/>
        <v>24.27</v>
      </c>
      <c r="H1447" s="930">
        <f t="shared" si="294"/>
        <v>319089.34000000003</v>
      </c>
      <c r="I1447" s="970">
        <v>2.9</v>
      </c>
      <c r="J1447" s="930">
        <f t="shared" si="295"/>
        <v>38127.69</v>
      </c>
      <c r="K1447" s="931">
        <f t="shared" si="296"/>
        <v>357217.03</v>
      </c>
      <c r="L1447" s="971"/>
      <c r="M1447" s="954"/>
      <c r="N1447" s="954"/>
      <c r="O1447" s="954"/>
      <c r="P1447" s="954"/>
      <c r="Q1447" s="954"/>
      <c r="R1447" s="954"/>
      <c r="S1447" s="954"/>
      <c r="T1447" s="954"/>
      <c r="U1447" s="954"/>
    </row>
    <row r="1448" spans="1:21" s="933" customFormat="1" ht="24" customHeight="1">
      <c r="A1448" s="928"/>
      <c r="B1448" s="976" t="s">
        <v>877</v>
      </c>
      <c r="C1448" s="976"/>
      <c r="D1448" s="976"/>
      <c r="E1448" s="978">
        <v>7948.25</v>
      </c>
      <c r="F1448" s="974" t="s">
        <v>870</v>
      </c>
      <c r="G1448" s="969">
        <f t="shared" si="298"/>
        <v>24.27</v>
      </c>
      <c r="H1448" s="930">
        <f t="shared" si="294"/>
        <v>192904.03</v>
      </c>
      <c r="I1448" s="970">
        <v>2.9</v>
      </c>
      <c r="J1448" s="930">
        <f t="shared" si="295"/>
        <v>23049.93</v>
      </c>
      <c r="K1448" s="931">
        <f t="shared" si="296"/>
        <v>215953.96</v>
      </c>
      <c r="L1448" s="971"/>
      <c r="M1448" s="954"/>
      <c r="N1448" s="954"/>
      <c r="O1448" s="954"/>
      <c r="P1448" s="954"/>
      <c r="Q1448" s="954"/>
      <c r="R1448" s="954"/>
      <c r="S1448" s="954"/>
      <c r="T1448" s="954"/>
      <c r="U1448" s="954"/>
    </row>
    <row r="1449" spans="1:21" s="933" customFormat="1" ht="24" customHeight="1">
      <c r="A1449" s="928"/>
      <c r="B1449" s="976" t="s">
        <v>878</v>
      </c>
      <c r="C1449" s="976"/>
      <c r="D1449" s="976"/>
      <c r="E1449" s="978"/>
      <c r="F1449" s="974" t="s">
        <v>870</v>
      </c>
      <c r="G1449" s="969">
        <f t="shared" si="298"/>
        <v>24.27</v>
      </c>
      <c r="H1449" s="930">
        <f t="shared" si="294"/>
        <v>0</v>
      </c>
      <c r="I1449" s="970">
        <v>2.9</v>
      </c>
      <c r="J1449" s="930">
        <f t="shared" si="295"/>
        <v>0</v>
      </c>
      <c r="K1449" s="931">
        <f t="shared" si="296"/>
        <v>0</v>
      </c>
      <c r="L1449" s="971"/>
      <c r="M1449" s="954"/>
      <c r="N1449" s="954"/>
      <c r="O1449" s="954"/>
      <c r="P1449" s="954"/>
      <c r="Q1449" s="954"/>
      <c r="R1449" s="954"/>
      <c r="S1449" s="954"/>
      <c r="T1449" s="954"/>
      <c r="U1449" s="954"/>
    </row>
    <row r="1450" spans="1:21" s="933" customFormat="1" ht="24" customHeight="1">
      <c r="A1450" s="928"/>
      <c r="B1450" s="976" t="s">
        <v>879</v>
      </c>
      <c r="C1450" s="976"/>
      <c r="D1450" s="976"/>
      <c r="E1450" s="978"/>
      <c r="F1450" s="974" t="s">
        <v>870</v>
      </c>
      <c r="G1450" s="969">
        <f t="shared" si="298"/>
        <v>23.8</v>
      </c>
      <c r="H1450" s="930">
        <f t="shared" si="294"/>
        <v>0</v>
      </c>
      <c r="I1450" s="970">
        <v>2.9</v>
      </c>
      <c r="J1450" s="930">
        <f t="shared" si="295"/>
        <v>0</v>
      </c>
      <c r="K1450" s="931">
        <f t="shared" si="296"/>
        <v>0</v>
      </c>
      <c r="L1450" s="971"/>
      <c r="M1450" s="954"/>
      <c r="N1450" s="954"/>
      <c r="O1450" s="954"/>
      <c r="P1450" s="954"/>
      <c r="Q1450" s="954"/>
      <c r="R1450" s="954"/>
      <c r="S1450" s="954"/>
      <c r="T1450" s="954"/>
      <c r="U1450" s="954"/>
    </row>
    <row r="1451" spans="1:21" s="933" customFormat="1" ht="24" customHeight="1">
      <c r="A1451" s="928"/>
      <c r="B1451" s="976" t="s">
        <v>880</v>
      </c>
      <c r="C1451" s="976"/>
      <c r="D1451" s="976"/>
      <c r="E1451" s="978">
        <f>(SUM(E1443:E1450)/1000)*30</f>
        <v>1141.6379999999999</v>
      </c>
      <c r="F1451" s="974" t="s">
        <v>870</v>
      </c>
      <c r="G1451" s="969">
        <f t="shared" si="298"/>
        <v>29.92</v>
      </c>
      <c r="H1451" s="930">
        <f t="shared" si="294"/>
        <v>34157.81</v>
      </c>
      <c r="I1451" s="970"/>
      <c r="J1451" s="930">
        <f t="shared" si="295"/>
        <v>0</v>
      </c>
      <c r="K1451" s="931">
        <f t="shared" si="296"/>
        <v>34157.81</v>
      </c>
      <c r="L1451" s="971"/>
      <c r="M1451" s="954"/>
      <c r="N1451" s="954"/>
      <c r="O1451" s="954"/>
      <c r="P1451" s="954"/>
      <c r="Q1451" s="954"/>
      <c r="R1451" s="954"/>
      <c r="S1451" s="954"/>
      <c r="T1451" s="954"/>
      <c r="U1451" s="954"/>
    </row>
    <row r="1452" spans="1:21" s="933" customFormat="1" ht="24" customHeight="1">
      <c r="A1452" s="928"/>
      <c r="B1452" s="976" t="s">
        <v>881</v>
      </c>
      <c r="C1452" s="976"/>
      <c r="D1452" s="976"/>
      <c r="E1452" s="978"/>
      <c r="F1452" s="974"/>
      <c r="G1452" s="969"/>
      <c r="H1452" s="930"/>
      <c r="I1452" s="970"/>
      <c r="J1452" s="930"/>
      <c r="K1452" s="931"/>
      <c r="L1452" s="971"/>
      <c r="M1452" s="954"/>
      <c r="N1452" s="954"/>
      <c r="O1452" s="954"/>
      <c r="P1452" s="954"/>
      <c r="Q1452" s="954"/>
      <c r="R1452" s="954"/>
      <c r="S1452" s="954"/>
      <c r="T1452" s="954"/>
      <c r="U1452" s="954"/>
    </row>
    <row r="1453" spans="1:21" s="933" customFormat="1" ht="24" customHeight="1">
      <c r="A1453" s="928"/>
      <c r="B1453" s="1021"/>
      <c r="C1453" s="976"/>
      <c r="D1453" s="976"/>
      <c r="E1453" s="978"/>
      <c r="F1453" s="974"/>
      <c r="G1453" s="969"/>
      <c r="H1453" s="930"/>
      <c r="I1453" s="970"/>
      <c r="J1453" s="930"/>
      <c r="K1453" s="931"/>
      <c r="L1453" s="971"/>
      <c r="M1453" s="954"/>
      <c r="N1453" s="954"/>
      <c r="O1453" s="954"/>
      <c r="P1453" s="954"/>
      <c r="Q1453" s="954"/>
      <c r="R1453" s="954"/>
      <c r="S1453" s="954"/>
      <c r="T1453" s="954"/>
      <c r="U1453" s="954"/>
    </row>
    <row r="1454" spans="1:21" s="933" customFormat="1" ht="24" customHeight="1">
      <c r="A1454" s="928"/>
      <c r="B1454" s="1021"/>
      <c r="C1454" s="976"/>
      <c r="D1454" s="976"/>
      <c r="E1454" s="978"/>
      <c r="F1454" s="974"/>
      <c r="G1454" s="969"/>
      <c r="H1454" s="930"/>
      <c r="I1454" s="970"/>
      <c r="J1454" s="930"/>
      <c r="K1454" s="931"/>
      <c r="L1454" s="971"/>
      <c r="M1454" s="954"/>
      <c r="N1454" s="954"/>
      <c r="O1454" s="954"/>
      <c r="P1454" s="954"/>
      <c r="Q1454" s="954"/>
      <c r="R1454" s="954"/>
      <c r="S1454" s="954"/>
      <c r="T1454" s="954"/>
      <c r="U1454" s="954"/>
    </row>
    <row r="1455" spans="1:21" s="933" customFormat="1" ht="24" customHeight="1">
      <c r="A1455" s="928"/>
      <c r="B1455" s="1021"/>
      <c r="C1455" s="976"/>
      <c r="D1455" s="976"/>
      <c r="E1455" s="978"/>
      <c r="F1455" s="974"/>
      <c r="G1455" s="969"/>
      <c r="H1455" s="930"/>
      <c r="I1455" s="970"/>
      <c r="J1455" s="930"/>
      <c r="K1455" s="931"/>
      <c r="L1455" s="971"/>
      <c r="M1455" s="954"/>
      <c r="N1455" s="954"/>
      <c r="O1455" s="954"/>
      <c r="P1455" s="954"/>
      <c r="Q1455" s="954"/>
      <c r="R1455" s="954"/>
      <c r="S1455" s="954"/>
      <c r="T1455" s="954"/>
      <c r="U1455" s="954"/>
    </row>
    <row r="1456" spans="1:21" s="933" customFormat="1" ht="24" customHeight="1">
      <c r="A1456" s="928"/>
      <c r="B1456" s="1021"/>
      <c r="C1456" s="976"/>
      <c r="D1456" s="976"/>
      <c r="E1456" s="978"/>
      <c r="F1456" s="974"/>
      <c r="G1456" s="969"/>
      <c r="H1456" s="930"/>
      <c r="I1456" s="970"/>
      <c r="J1456" s="930"/>
      <c r="K1456" s="931"/>
      <c r="L1456" s="971"/>
      <c r="M1456" s="954"/>
      <c r="N1456" s="954"/>
      <c r="O1456" s="954"/>
      <c r="P1456" s="954"/>
      <c r="Q1456" s="954"/>
      <c r="R1456" s="954"/>
      <c r="S1456" s="954"/>
      <c r="T1456" s="954"/>
      <c r="U1456" s="954"/>
    </row>
    <row r="1457" spans="1:21" s="933" customFormat="1" ht="24" customHeight="1">
      <c r="A1457" s="928"/>
      <c r="B1457" s="1021"/>
      <c r="C1457" s="976"/>
      <c r="D1457" s="976"/>
      <c r="E1457" s="978"/>
      <c r="F1457" s="974"/>
      <c r="G1457" s="969"/>
      <c r="H1457" s="930"/>
      <c r="I1457" s="970"/>
      <c r="J1457" s="930"/>
      <c r="K1457" s="931"/>
      <c r="L1457" s="971"/>
      <c r="M1457" s="954"/>
      <c r="N1457" s="954"/>
      <c r="O1457" s="954"/>
      <c r="P1457" s="954"/>
      <c r="Q1457" s="954"/>
      <c r="R1457" s="954"/>
      <c r="S1457" s="954"/>
      <c r="T1457" s="954"/>
      <c r="U1457" s="954"/>
    </row>
    <row r="1458" spans="1:21" s="933" customFormat="1" ht="24" customHeight="1">
      <c r="A1458" s="928"/>
      <c r="B1458" s="1021"/>
      <c r="C1458" s="976"/>
      <c r="D1458" s="976"/>
      <c r="E1458" s="978"/>
      <c r="F1458" s="974"/>
      <c r="G1458" s="969"/>
      <c r="H1458" s="930"/>
      <c r="I1458" s="970"/>
      <c r="J1458" s="930"/>
      <c r="K1458" s="931"/>
      <c r="L1458" s="971"/>
      <c r="M1458" s="954"/>
      <c r="N1458" s="954"/>
      <c r="O1458" s="954"/>
      <c r="P1458" s="954"/>
      <c r="Q1458" s="954"/>
      <c r="R1458" s="954"/>
      <c r="S1458" s="954"/>
      <c r="T1458" s="954"/>
      <c r="U1458" s="954"/>
    </row>
    <row r="1459" spans="1:21" s="933" customFormat="1" ht="24" customHeight="1">
      <c r="A1459" s="928"/>
      <c r="B1459" s="1021"/>
      <c r="C1459" s="976"/>
      <c r="D1459" s="976"/>
      <c r="E1459" s="978"/>
      <c r="F1459" s="974"/>
      <c r="G1459" s="969"/>
      <c r="H1459" s="930"/>
      <c r="I1459" s="970"/>
      <c r="J1459" s="930"/>
      <c r="K1459" s="931"/>
      <c r="L1459" s="971"/>
      <c r="M1459" s="954"/>
      <c r="N1459" s="954"/>
      <c r="O1459" s="954"/>
      <c r="P1459" s="954"/>
      <c r="Q1459" s="954"/>
      <c r="R1459" s="954"/>
      <c r="S1459" s="954"/>
      <c r="T1459" s="954"/>
      <c r="U1459" s="954"/>
    </row>
    <row r="1460" spans="1:21" s="933" customFormat="1" ht="24" customHeight="1">
      <c r="A1460" s="928"/>
      <c r="B1460" s="1021"/>
      <c r="C1460" s="976"/>
      <c r="D1460" s="976"/>
      <c r="E1460" s="978"/>
      <c r="F1460" s="974"/>
      <c r="G1460" s="969"/>
      <c r="H1460" s="930"/>
      <c r="I1460" s="970"/>
      <c r="J1460" s="930"/>
      <c r="K1460" s="931"/>
      <c r="L1460" s="971"/>
      <c r="M1460" s="954"/>
      <c r="N1460" s="954"/>
      <c r="O1460" s="954"/>
      <c r="P1460" s="954"/>
      <c r="Q1460" s="954"/>
      <c r="R1460" s="954"/>
      <c r="S1460" s="954"/>
      <c r="T1460" s="954"/>
      <c r="U1460" s="954"/>
    </row>
    <row r="1461" spans="1:21" s="933" customFormat="1" ht="24" customHeight="1">
      <c r="A1461" s="1026" t="s">
        <v>998</v>
      </c>
      <c r="B1461" s="1030" t="s">
        <v>999</v>
      </c>
      <c r="C1461" s="976"/>
      <c r="D1461" s="976"/>
      <c r="E1461" s="978"/>
      <c r="F1461" s="974"/>
      <c r="G1461" s="969"/>
      <c r="H1461" s="930"/>
      <c r="I1461" s="970"/>
      <c r="J1461" s="930"/>
      <c r="K1461" s="931"/>
      <c r="L1461" s="971"/>
      <c r="M1461" s="954"/>
      <c r="N1461" s="954"/>
      <c r="O1461" s="954"/>
      <c r="P1461" s="954"/>
      <c r="Q1461" s="954"/>
      <c r="R1461" s="954"/>
      <c r="S1461" s="954"/>
      <c r="T1461" s="954"/>
      <c r="U1461" s="954"/>
    </row>
    <row r="1462" spans="1:21" s="933" customFormat="1" ht="24" customHeight="1">
      <c r="A1462" s="928"/>
      <c r="B1462" s="979" t="s">
        <v>993</v>
      </c>
      <c r="C1462" s="977"/>
      <c r="D1462" s="977"/>
      <c r="E1462" s="978">
        <f>118.29+48.39</f>
        <v>166.68</v>
      </c>
      <c r="F1462" s="974" t="s">
        <v>865</v>
      </c>
      <c r="G1462" s="969">
        <v>3190</v>
      </c>
      <c r="H1462" s="930">
        <f t="shared" ref="H1462:H1476" si="299">ROUND(E1462*G1462,2)</f>
        <v>531709.19999999995</v>
      </c>
      <c r="I1462" s="970">
        <v>485</v>
      </c>
      <c r="J1462" s="930">
        <f t="shared" ref="J1462:J1476" si="300">ROUND(E1462*I1462,2)</f>
        <v>80839.8</v>
      </c>
      <c r="K1462" s="931">
        <f t="shared" ref="K1462:K1476" si="301">H1462+J1462</f>
        <v>612549</v>
      </c>
      <c r="L1462" s="971"/>
      <c r="M1462" s="954"/>
      <c r="N1462" s="954"/>
      <c r="O1462" s="954"/>
      <c r="P1462" s="954"/>
      <c r="Q1462" s="954"/>
      <c r="R1462" s="954"/>
      <c r="S1462" s="954"/>
      <c r="T1462" s="954"/>
      <c r="U1462" s="954"/>
    </row>
    <row r="1463" spans="1:21" s="933" customFormat="1" ht="24" customHeight="1">
      <c r="A1463" s="928"/>
      <c r="B1463" s="979" t="s">
        <v>866</v>
      </c>
      <c r="C1463" s="976"/>
      <c r="D1463" s="976"/>
      <c r="E1463" s="978"/>
      <c r="F1463" s="974"/>
      <c r="G1463" s="969"/>
      <c r="H1463" s="930">
        <f t="shared" si="299"/>
        <v>0</v>
      </c>
      <c r="I1463" s="970"/>
      <c r="J1463" s="930">
        <f t="shared" si="300"/>
        <v>0</v>
      </c>
      <c r="K1463" s="931">
        <f t="shared" si="301"/>
        <v>0</v>
      </c>
      <c r="L1463" s="971"/>
      <c r="M1463" s="954"/>
      <c r="N1463" s="954"/>
      <c r="O1463" s="954"/>
      <c r="P1463" s="954"/>
      <c r="Q1463" s="954"/>
      <c r="R1463" s="954"/>
      <c r="S1463" s="954"/>
      <c r="T1463" s="954"/>
      <c r="U1463" s="954"/>
    </row>
    <row r="1464" spans="1:21" s="933" customFormat="1" ht="24" customHeight="1">
      <c r="A1464" s="928"/>
      <c r="B1464" s="979"/>
      <c r="C1464" s="976" t="s">
        <v>867</v>
      </c>
      <c r="D1464" s="976"/>
      <c r="E1464" s="978">
        <f>E1465/2</f>
        <v>728.05500000000006</v>
      </c>
      <c r="F1464" s="974" t="s">
        <v>34</v>
      </c>
      <c r="G1464" s="969">
        <v>661.62</v>
      </c>
      <c r="H1464" s="930">
        <f t="shared" si="299"/>
        <v>481695.75</v>
      </c>
      <c r="I1464" s="970"/>
      <c r="J1464" s="930">
        <f t="shared" si="300"/>
        <v>0</v>
      </c>
      <c r="K1464" s="931">
        <f t="shared" si="301"/>
        <v>481695.75</v>
      </c>
      <c r="L1464" s="971"/>
      <c r="M1464" s="954"/>
      <c r="N1464" s="954"/>
      <c r="O1464" s="954"/>
      <c r="P1464" s="954"/>
      <c r="Q1464" s="954"/>
      <c r="R1464" s="954"/>
      <c r="S1464" s="954"/>
      <c r="T1464" s="954"/>
      <c r="U1464" s="954"/>
    </row>
    <row r="1465" spans="1:21" s="933" customFormat="1" ht="24" customHeight="1">
      <c r="A1465" s="928"/>
      <c r="B1465" s="979"/>
      <c r="C1465" s="976" t="s">
        <v>868</v>
      </c>
      <c r="D1465" s="976"/>
      <c r="E1465" s="978">
        <f>972.2+483.91</f>
        <v>1456.1100000000001</v>
      </c>
      <c r="F1465" s="974" t="s">
        <v>34</v>
      </c>
      <c r="G1465" s="969"/>
      <c r="H1465" s="930">
        <f t="shared" si="299"/>
        <v>0</v>
      </c>
      <c r="I1465" s="970">
        <v>154</v>
      </c>
      <c r="J1465" s="930">
        <f t="shared" si="300"/>
        <v>224240.94</v>
      </c>
      <c r="K1465" s="931">
        <f t="shared" si="301"/>
        <v>224240.94</v>
      </c>
      <c r="L1465" s="971"/>
      <c r="M1465" s="954"/>
      <c r="N1465" s="954"/>
      <c r="O1465" s="954"/>
      <c r="P1465" s="954"/>
      <c r="Q1465" s="954"/>
      <c r="R1465" s="954"/>
      <c r="S1465" s="954"/>
      <c r="T1465" s="954"/>
      <c r="U1465" s="954"/>
    </row>
    <row r="1466" spans="1:21" s="933" customFormat="1" ht="24" customHeight="1">
      <c r="A1466" s="928"/>
      <c r="B1466" s="976" t="s">
        <v>869</v>
      </c>
      <c r="C1466" s="976"/>
      <c r="D1466" s="976"/>
      <c r="E1466" s="978">
        <f>(E1465*0.25)</f>
        <v>364.02750000000003</v>
      </c>
      <c r="F1466" s="974" t="s">
        <v>870</v>
      </c>
      <c r="G1466" s="969">
        <f t="shared" ref="G1466" si="302">VLOOKUP(B1466,$O$43:$P$53,2,FALSE)</f>
        <v>29.94</v>
      </c>
      <c r="H1466" s="930">
        <f t="shared" si="299"/>
        <v>10898.98</v>
      </c>
      <c r="I1466" s="970"/>
      <c r="J1466" s="930">
        <f t="shared" si="300"/>
        <v>0</v>
      </c>
      <c r="K1466" s="931">
        <f t="shared" si="301"/>
        <v>10898.98</v>
      </c>
      <c r="L1466" s="971"/>
      <c r="M1466" s="954"/>
      <c r="N1466" s="954"/>
      <c r="O1466" s="954"/>
      <c r="P1466" s="954"/>
      <c r="Q1466" s="954"/>
      <c r="R1466" s="954"/>
      <c r="S1466" s="954"/>
      <c r="T1466" s="954"/>
      <c r="U1466" s="954"/>
    </row>
    <row r="1467" spans="1:21" s="933" customFormat="1" ht="24" customHeight="1">
      <c r="A1467" s="928"/>
      <c r="B1467" s="976" t="s">
        <v>871</v>
      </c>
      <c r="C1467" s="976"/>
      <c r="D1467" s="976"/>
      <c r="E1467" s="978"/>
      <c r="F1467" s="982"/>
      <c r="G1467" s="983"/>
      <c r="H1467" s="930">
        <f t="shared" si="299"/>
        <v>0</v>
      </c>
      <c r="I1467" s="970"/>
      <c r="J1467" s="930">
        <f t="shared" si="300"/>
        <v>0</v>
      </c>
      <c r="K1467" s="931">
        <f t="shared" si="301"/>
        <v>0</v>
      </c>
      <c r="L1467" s="971"/>
      <c r="M1467" s="954"/>
      <c r="N1467" s="954"/>
      <c r="O1467" s="954"/>
      <c r="P1467" s="954"/>
      <c r="Q1467" s="954"/>
      <c r="R1467" s="954"/>
      <c r="S1467" s="954"/>
      <c r="T1467" s="954"/>
      <c r="U1467" s="954"/>
    </row>
    <row r="1468" spans="1:21" s="933" customFormat="1" ht="24" customHeight="1">
      <c r="A1468" s="928"/>
      <c r="B1468" s="976" t="s">
        <v>872</v>
      </c>
      <c r="C1468" s="976"/>
      <c r="D1468" s="976"/>
      <c r="E1468" s="978"/>
      <c r="F1468" s="974" t="s">
        <v>870</v>
      </c>
      <c r="G1468" s="969">
        <f t="shared" ref="G1468:G1476" si="303">VLOOKUP(B1468,$O$43:$P$53,2,FALSE)</f>
        <v>25.73</v>
      </c>
      <c r="H1468" s="930">
        <f t="shared" si="299"/>
        <v>0</v>
      </c>
      <c r="I1468" s="984">
        <v>4.0999999999999996</v>
      </c>
      <c r="J1468" s="930">
        <f t="shared" si="300"/>
        <v>0</v>
      </c>
      <c r="K1468" s="931">
        <f t="shared" si="301"/>
        <v>0</v>
      </c>
      <c r="L1468" s="971"/>
      <c r="M1468" s="954"/>
      <c r="N1468" s="954"/>
      <c r="O1468" s="954"/>
      <c r="P1468" s="954"/>
      <c r="Q1468" s="954"/>
      <c r="R1468" s="954"/>
      <c r="S1468" s="954"/>
      <c r="T1468" s="954"/>
      <c r="U1468" s="954"/>
    </row>
    <row r="1469" spans="1:21" s="933" customFormat="1" ht="24" customHeight="1">
      <c r="A1469" s="928"/>
      <c r="B1469" s="976" t="s">
        <v>873</v>
      </c>
      <c r="C1469" s="976"/>
      <c r="D1469" s="976"/>
      <c r="E1469" s="978">
        <v>4436.3599999999997</v>
      </c>
      <c r="F1469" s="974" t="s">
        <v>870</v>
      </c>
      <c r="G1469" s="969">
        <f t="shared" si="303"/>
        <v>24.97</v>
      </c>
      <c r="H1469" s="930">
        <f t="shared" si="299"/>
        <v>110775.91</v>
      </c>
      <c r="I1469" s="970">
        <v>4.0999999999999996</v>
      </c>
      <c r="J1469" s="930">
        <f t="shared" si="300"/>
        <v>18189.080000000002</v>
      </c>
      <c r="K1469" s="931">
        <f t="shared" si="301"/>
        <v>128964.99</v>
      </c>
      <c r="L1469" s="971"/>
      <c r="M1469" s="954"/>
      <c r="N1469" s="954"/>
      <c r="O1469" s="954"/>
      <c r="P1469" s="954"/>
      <c r="Q1469" s="954"/>
      <c r="R1469" s="954"/>
      <c r="S1469" s="954"/>
      <c r="T1469" s="954"/>
      <c r="U1469" s="954"/>
    </row>
    <row r="1470" spans="1:21" s="933" customFormat="1" ht="24" customHeight="1">
      <c r="A1470" s="928"/>
      <c r="B1470" s="976" t="s">
        <v>874</v>
      </c>
      <c r="C1470" s="976"/>
      <c r="D1470" s="976"/>
      <c r="E1470" s="978">
        <v>7943.07</v>
      </c>
      <c r="F1470" s="974" t="s">
        <v>870</v>
      </c>
      <c r="G1470" s="969">
        <f t="shared" si="303"/>
        <v>24.47</v>
      </c>
      <c r="H1470" s="930">
        <f t="shared" si="299"/>
        <v>194366.92</v>
      </c>
      <c r="I1470" s="970">
        <v>3.3</v>
      </c>
      <c r="J1470" s="930">
        <f t="shared" si="300"/>
        <v>26212.13</v>
      </c>
      <c r="K1470" s="931">
        <f t="shared" si="301"/>
        <v>220579.05000000002</v>
      </c>
      <c r="L1470" s="971"/>
      <c r="M1470" s="954"/>
      <c r="N1470" s="954"/>
      <c r="O1470" s="954"/>
      <c r="P1470" s="954"/>
      <c r="Q1470" s="954"/>
      <c r="R1470" s="954"/>
      <c r="S1470" s="954"/>
      <c r="T1470" s="954"/>
      <c r="U1470" s="954"/>
    </row>
    <row r="1471" spans="1:21" s="933" customFormat="1" ht="24" customHeight="1">
      <c r="A1471" s="928"/>
      <c r="B1471" s="976" t="s">
        <v>875</v>
      </c>
      <c r="C1471" s="976"/>
      <c r="D1471" s="976"/>
      <c r="E1471" s="978"/>
      <c r="F1471" s="982" t="s">
        <v>870</v>
      </c>
      <c r="G1471" s="969">
        <f t="shared" si="303"/>
        <v>24.27</v>
      </c>
      <c r="H1471" s="930">
        <f t="shared" si="299"/>
        <v>0</v>
      </c>
      <c r="I1471" s="970">
        <v>3.3</v>
      </c>
      <c r="J1471" s="930">
        <f t="shared" si="300"/>
        <v>0</v>
      </c>
      <c r="K1471" s="931">
        <f t="shared" si="301"/>
        <v>0</v>
      </c>
      <c r="L1471" s="971"/>
      <c r="M1471" s="954"/>
      <c r="N1471" s="954"/>
      <c r="O1471" s="954"/>
      <c r="P1471" s="954"/>
      <c r="Q1471" s="954"/>
      <c r="R1471" s="954"/>
      <c r="S1471" s="954"/>
      <c r="T1471" s="954"/>
      <c r="U1471" s="954"/>
    </row>
    <row r="1472" spans="1:21" s="933" customFormat="1" ht="24" customHeight="1">
      <c r="A1472" s="928"/>
      <c r="B1472" s="976" t="s">
        <v>876</v>
      </c>
      <c r="C1472" s="976"/>
      <c r="D1472" s="976"/>
      <c r="E1472" s="978"/>
      <c r="F1472" s="974" t="s">
        <v>870</v>
      </c>
      <c r="G1472" s="969">
        <f t="shared" si="303"/>
        <v>24.27</v>
      </c>
      <c r="H1472" s="930">
        <f t="shared" si="299"/>
        <v>0</v>
      </c>
      <c r="I1472" s="970">
        <v>2.9</v>
      </c>
      <c r="J1472" s="930">
        <f t="shared" si="300"/>
        <v>0</v>
      </c>
      <c r="K1472" s="931">
        <f t="shared" si="301"/>
        <v>0</v>
      </c>
      <c r="L1472" s="971"/>
      <c r="M1472" s="954"/>
      <c r="N1472" s="954"/>
      <c r="O1472" s="954"/>
      <c r="P1472" s="954"/>
      <c r="Q1472" s="954"/>
      <c r="R1472" s="954"/>
      <c r="S1472" s="954"/>
      <c r="T1472" s="954"/>
      <c r="U1472" s="954"/>
    </row>
    <row r="1473" spans="1:21" s="933" customFormat="1" ht="24" customHeight="1">
      <c r="A1473" s="928"/>
      <c r="B1473" s="976" t="s">
        <v>877</v>
      </c>
      <c r="C1473" s="976"/>
      <c r="D1473" s="976"/>
      <c r="E1473" s="978"/>
      <c r="F1473" s="974" t="s">
        <v>870</v>
      </c>
      <c r="G1473" s="969">
        <f t="shared" si="303"/>
        <v>24.27</v>
      </c>
      <c r="H1473" s="930">
        <f t="shared" si="299"/>
        <v>0</v>
      </c>
      <c r="I1473" s="970">
        <v>2.9</v>
      </c>
      <c r="J1473" s="930">
        <f t="shared" si="300"/>
        <v>0</v>
      </c>
      <c r="K1473" s="931">
        <f t="shared" si="301"/>
        <v>0</v>
      </c>
      <c r="L1473" s="971"/>
      <c r="M1473" s="954"/>
      <c r="N1473" s="954"/>
      <c r="O1473" s="954"/>
      <c r="P1473" s="954"/>
      <c r="Q1473" s="954"/>
      <c r="R1473" s="954"/>
      <c r="S1473" s="954"/>
      <c r="T1473" s="954"/>
      <c r="U1473" s="954"/>
    </row>
    <row r="1474" spans="1:21" s="933" customFormat="1" ht="24" customHeight="1">
      <c r="A1474" s="928"/>
      <c r="B1474" s="976" t="s">
        <v>878</v>
      </c>
      <c r="C1474" s="976"/>
      <c r="D1474" s="976"/>
      <c r="E1474" s="978"/>
      <c r="F1474" s="974" t="s">
        <v>870</v>
      </c>
      <c r="G1474" s="969">
        <f t="shared" si="303"/>
        <v>24.27</v>
      </c>
      <c r="H1474" s="930">
        <f t="shared" si="299"/>
        <v>0</v>
      </c>
      <c r="I1474" s="970">
        <v>2.9</v>
      </c>
      <c r="J1474" s="930">
        <f t="shared" si="300"/>
        <v>0</v>
      </c>
      <c r="K1474" s="931">
        <f t="shared" si="301"/>
        <v>0</v>
      </c>
      <c r="L1474" s="971"/>
      <c r="M1474" s="954"/>
      <c r="N1474" s="954"/>
      <c r="O1474" s="954"/>
      <c r="P1474" s="954"/>
      <c r="Q1474" s="954"/>
      <c r="R1474" s="954"/>
      <c r="S1474" s="954"/>
      <c r="T1474" s="954"/>
      <c r="U1474" s="954"/>
    </row>
    <row r="1475" spans="1:21" s="933" customFormat="1" ht="24" customHeight="1">
      <c r="A1475" s="928"/>
      <c r="B1475" s="976" t="s">
        <v>879</v>
      </c>
      <c r="C1475" s="976"/>
      <c r="D1475" s="976"/>
      <c r="E1475" s="978"/>
      <c r="F1475" s="974" t="s">
        <v>870</v>
      </c>
      <c r="G1475" s="969">
        <f t="shared" si="303"/>
        <v>23.8</v>
      </c>
      <c r="H1475" s="930">
        <f t="shared" si="299"/>
        <v>0</v>
      </c>
      <c r="I1475" s="970">
        <v>2.9</v>
      </c>
      <c r="J1475" s="930">
        <f t="shared" si="300"/>
        <v>0</v>
      </c>
      <c r="K1475" s="931">
        <f t="shared" si="301"/>
        <v>0</v>
      </c>
      <c r="L1475" s="971"/>
      <c r="M1475" s="954"/>
      <c r="N1475" s="954"/>
      <c r="O1475" s="954"/>
      <c r="P1475" s="954"/>
      <c r="Q1475" s="954"/>
      <c r="R1475" s="954"/>
      <c r="S1475" s="954"/>
      <c r="T1475" s="954"/>
      <c r="U1475" s="954"/>
    </row>
    <row r="1476" spans="1:21" s="933" customFormat="1" ht="24" customHeight="1">
      <c r="A1476" s="928"/>
      <c r="B1476" s="976" t="s">
        <v>880</v>
      </c>
      <c r="C1476" s="976"/>
      <c r="D1476" s="976"/>
      <c r="E1476" s="978">
        <f>(SUM(E1468:E1475)/1000)*30</f>
        <v>371.38290000000001</v>
      </c>
      <c r="F1476" s="974" t="s">
        <v>870</v>
      </c>
      <c r="G1476" s="969">
        <f t="shared" si="303"/>
        <v>29.92</v>
      </c>
      <c r="H1476" s="930">
        <f t="shared" si="299"/>
        <v>11111.78</v>
      </c>
      <c r="I1476" s="970"/>
      <c r="J1476" s="930">
        <f t="shared" si="300"/>
        <v>0</v>
      </c>
      <c r="K1476" s="931">
        <f t="shared" si="301"/>
        <v>11111.78</v>
      </c>
      <c r="L1476" s="971"/>
      <c r="M1476" s="954"/>
      <c r="N1476" s="954"/>
      <c r="O1476" s="954"/>
      <c r="P1476" s="954"/>
      <c r="Q1476" s="954"/>
      <c r="R1476" s="954"/>
      <c r="S1476" s="954"/>
      <c r="T1476" s="954"/>
      <c r="U1476" s="954"/>
    </row>
    <row r="1477" spans="1:21" s="933" customFormat="1" ht="24" customHeight="1">
      <c r="A1477" s="928"/>
      <c r="B1477" s="976" t="s">
        <v>881</v>
      </c>
      <c r="C1477" s="976"/>
      <c r="D1477" s="976"/>
      <c r="E1477" s="978"/>
      <c r="F1477" s="974"/>
      <c r="G1477" s="969"/>
      <c r="H1477" s="930"/>
      <c r="I1477" s="970"/>
      <c r="J1477" s="930"/>
      <c r="K1477" s="931"/>
      <c r="L1477" s="971"/>
      <c r="M1477" s="954"/>
      <c r="N1477" s="954"/>
      <c r="O1477" s="954"/>
      <c r="P1477" s="954"/>
      <c r="Q1477" s="954"/>
      <c r="R1477" s="954"/>
      <c r="S1477" s="954"/>
      <c r="T1477" s="954"/>
      <c r="U1477" s="954"/>
    </row>
    <row r="1478" spans="1:21" s="933" customFormat="1" ht="24" customHeight="1">
      <c r="A1478" s="928"/>
      <c r="B1478" s="1021"/>
      <c r="C1478" s="976"/>
      <c r="D1478" s="976"/>
      <c r="E1478" s="978"/>
      <c r="F1478" s="974"/>
      <c r="G1478" s="969"/>
      <c r="H1478" s="930"/>
      <c r="I1478" s="970"/>
      <c r="J1478" s="930"/>
      <c r="K1478" s="931"/>
      <c r="L1478" s="971"/>
      <c r="M1478" s="954"/>
      <c r="N1478" s="954"/>
      <c r="O1478" s="954"/>
      <c r="P1478" s="954"/>
      <c r="Q1478" s="954"/>
      <c r="R1478" s="954"/>
      <c r="S1478" s="954"/>
      <c r="T1478" s="954"/>
      <c r="U1478" s="954"/>
    </row>
    <row r="1479" spans="1:21" s="933" customFormat="1" ht="24" customHeight="1">
      <c r="A1479" s="928"/>
      <c r="B1479" s="1021"/>
      <c r="C1479" s="976"/>
      <c r="D1479" s="976"/>
      <c r="E1479" s="978"/>
      <c r="F1479" s="974"/>
      <c r="G1479" s="969"/>
      <c r="H1479" s="930"/>
      <c r="I1479" s="970"/>
      <c r="J1479" s="930"/>
      <c r="K1479" s="931"/>
      <c r="L1479" s="971"/>
      <c r="M1479" s="954"/>
      <c r="N1479" s="954"/>
      <c r="O1479" s="954"/>
      <c r="P1479" s="954"/>
      <c r="Q1479" s="954"/>
      <c r="R1479" s="954"/>
      <c r="S1479" s="954"/>
      <c r="T1479" s="954"/>
      <c r="U1479" s="954"/>
    </row>
    <row r="1480" spans="1:21" s="933" customFormat="1" ht="24" customHeight="1">
      <c r="A1480" s="928"/>
      <c r="B1480" s="1021"/>
      <c r="C1480" s="976"/>
      <c r="D1480" s="976"/>
      <c r="E1480" s="978"/>
      <c r="F1480" s="974"/>
      <c r="G1480" s="969"/>
      <c r="H1480" s="930"/>
      <c r="I1480" s="970"/>
      <c r="J1480" s="930"/>
      <c r="K1480" s="931"/>
      <c r="L1480" s="971"/>
      <c r="M1480" s="954"/>
      <c r="N1480" s="954"/>
      <c r="O1480" s="954"/>
      <c r="P1480" s="954"/>
      <c r="Q1480" s="954"/>
      <c r="R1480" s="954"/>
      <c r="S1480" s="954"/>
      <c r="T1480" s="954"/>
      <c r="U1480" s="954"/>
    </row>
    <row r="1481" spans="1:21" s="933" customFormat="1" ht="24" customHeight="1">
      <c r="A1481" s="928"/>
      <c r="B1481" s="1021"/>
      <c r="C1481" s="976"/>
      <c r="D1481" s="976"/>
      <c r="E1481" s="978"/>
      <c r="F1481" s="974"/>
      <c r="G1481" s="969"/>
      <c r="H1481" s="930"/>
      <c r="I1481" s="970"/>
      <c r="J1481" s="930"/>
      <c r="K1481" s="931"/>
      <c r="L1481" s="971"/>
      <c r="M1481" s="954"/>
      <c r="N1481" s="954"/>
      <c r="O1481" s="954"/>
      <c r="P1481" s="954"/>
      <c r="Q1481" s="954"/>
      <c r="R1481" s="954"/>
      <c r="S1481" s="954"/>
      <c r="T1481" s="954"/>
      <c r="U1481" s="954"/>
    </row>
    <row r="1482" spans="1:21" s="933" customFormat="1" ht="24" customHeight="1">
      <c r="A1482" s="928"/>
      <c r="B1482" s="1021"/>
      <c r="C1482" s="976"/>
      <c r="D1482" s="976"/>
      <c r="E1482" s="978"/>
      <c r="F1482" s="974"/>
      <c r="G1482" s="969"/>
      <c r="H1482" s="930"/>
      <c r="I1482" s="970"/>
      <c r="J1482" s="930"/>
      <c r="K1482" s="931"/>
      <c r="L1482" s="971"/>
      <c r="M1482" s="954"/>
      <c r="N1482" s="954"/>
      <c r="O1482" s="954"/>
      <c r="P1482" s="954"/>
      <c r="Q1482" s="954"/>
      <c r="R1482" s="954"/>
      <c r="S1482" s="954"/>
      <c r="T1482" s="954"/>
      <c r="U1482" s="954"/>
    </row>
    <row r="1483" spans="1:21" s="933" customFormat="1" ht="24" customHeight="1">
      <c r="A1483" s="928"/>
      <c r="B1483" s="1021"/>
      <c r="C1483" s="976"/>
      <c r="D1483" s="976"/>
      <c r="E1483" s="978"/>
      <c r="F1483" s="974"/>
      <c r="G1483" s="969"/>
      <c r="H1483" s="930"/>
      <c r="I1483" s="970"/>
      <c r="J1483" s="930"/>
      <c r="K1483" s="931"/>
      <c r="L1483" s="971"/>
      <c r="M1483" s="954"/>
      <c r="N1483" s="954"/>
      <c r="O1483" s="954"/>
      <c r="P1483" s="954"/>
      <c r="Q1483" s="954"/>
      <c r="R1483" s="954"/>
      <c r="S1483" s="954"/>
      <c r="T1483" s="954"/>
      <c r="U1483" s="954"/>
    </row>
    <row r="1484" spans="1:21" s="933" customFormat="1" ht="24" customHeight="1">
      <c r="A1484" s="1034"/>
      <c r="B1484" s="1031"/>
      <c r="C1484" s="987"/>
      <c r="D1484" s="987"/>
      <c r="E1484" s="1035"/>
      <c r="F1484" s="989"/>
      <c r="G1484" s="983"/>
      <c r="H1484" s="990"/>
      <c r="I1484" s="984"/>
      <c r="J1484" s="990"/>
      <c r="K1484" s="991"/>
      <c r="L1484" s="992"/>
      <c r="M1484" s="954"/>
      <c r="N1484" s="954"/>
      <c r="O1484" s="954"/>
      <c r="P1484" s="954"/>
      <c r="Q1484" s="954"/>
      <c r="R1484" s="954"/>
      <c r="S1484" s="954"/>
      <c r="T1484" s="954"/>
      <c r="U1484" s="954"/>
    </row>
    <row r="1485" spans="1:21" s="933" customFormat="1" ht="24" customHeight="1">
      <c r="A1485" s="1014"/>
      <c r="B1485" s="2226" t="str">
        <f>"รวมราคารายการที่ "&amp;A1361</f>
        <v>รวมราคารายการที่ 1.12</v>
      </c>
      <c r="C1485" s="2226"/>
      <c r="D1485" s="2226"/>
      <c r="E1485" s="1015"/>
      <c r="F1485" s="1016"/>
      <c r="G1485" s="1017"/>
      <c r="H1485" s="1018">
        <f>ROUND(SUBTOTAL(9,H1364:H1484),2)</f>
        <v>23227272.23</v>
      </c>
      <c r="I1485" s="1019"/>
      <c r="J1485" s="1018">
        <f>ROUND(SUBTOTAL(9,J1364:J1484),2)</f>
        <v>4620226.3499999996</v>
      </c>
      <c r="K1485" s="1018">
        <f>ROUND(SUBTOTAL(9,K1364:K1484),2)</f>
        <v>27847498.579999998</v>
      </c>
      <c r="L1485" s="1018"/>
      <c r="M1485" s="954"/>
      <c r="N1485" s="954"/>
      <c r="O1485" s="954"/>
      <c r="P1485" s="954"/>
      <c r="Q1485" s="954"/>
      <c r="R1485" s="954"/>
      <c r="S1485" s="954"/>
      <c r="T1485" s="954"/>
      <c r="U1485" s="954"/>
    </row>
    <row r="1486" spans="1:21" s="933" customFormat="1" ht="24" customHeight="1">
      <c r="A1486" s="1033" t="s">
        <v>1000</v>
      </c>
      <c r="B1486" s="957" t="s">
        <v>1001</v>
      </c>
      <c r="C1486" s="987"/>
      <c r="D1486" s="987"/>
      <c r="E1486" s="988"/>
      <c r="F1486" s="989"/>
      <c r="G1486" s="983"/>
      <c r="H1486" s="990"/>
      <c r="I1486" s="984"/>
      <c r="J1486" s="990"/>
      <c r="K1486" s="991"/>
      <c r="L1486" s="992"/>
      <c r="M1486" s="954"/>
      <c r="N1486" s="954"/>
      <c r="O1486" s="954"/>
      <c r="P1486" s="954"/>
      <c r="Q1486" s="954"/>
      <c r="R1486" s="954"/>
      <c r="S1486" s="954"/>
      <c r="T1486" s="954"/>
      <c r="U1486" s="954"/>
    </row>
    <row r="1487" spans="1:21" s="933" customFormat="1" ht="24" customHeight="1">
      <c r="A1487" s="928"/>
      <c r="B1487" s="966"/>
      <c r="C1487" s="976"/>
      <c r="D1487" s="976"/>
      <c r="E1487" s="985"/>
      <c r="F1487" s="974"/>
      <c r="G1487" s="969"/>
      <c r="H1487" s="930"/>
      <c r="I1487" s="970"/>
      <c r="J1487" s="930"/>
      <c r="K1487" s="931"/>
      <c r="L1487" s="971"/>
      <c r="M1487" s="954"/>
      <c r="N1487" s="954"/>
      <c r="O1487" s="954"/>
      <c r="P1487" s="954"/>
      <c r="Q1487" s="954"/>
      <c r="R1487" s="954"/>
      <c r="S1487" s="954"/>
      <c r="T1487" s="954"/>
      <c r="U1487" s="954"/>
    </row>
    <row r="1488" spans="1:21" s="933" customFormat="1" ht="24" customHeight="1">
      <c r="A1488" s="1026" t="s">
        <v>1002</v>
      </c>
      <c r="B1488" s="1030" t="s">
        <v>1003</v>
      </c>
      <c r="C1488" s="976"/>
      <c r="D1488" s="976"/>
      <c r="E1488" s="985"/>
      <c r="F1488" s="974"/>
      <c r="G1488" s="969"/>
      <c r="H1488" s="930"/>
      <c r="I1488" s="970"/>
      <c r="J1488" s="930"/>
      <c r="K1488" s="931"/>
      <c r="L1488" s="971"/>
      <c r="M1488" s="954"/>
      <c r="N1488" s="954"/>
      <c r="O1488" s="954"/>
      <c r="P1488" s="954"/>
      <c r="Q1488" s="954"/>
      <c r="R1488" s="954"/>
      <c r="S1488" s="954"/>
      <c r="T1488" s="954"/>
      <c r="U1488" s="954"/>
    </row>
    <row r="1489" spans="1:21" s="933" customFormat="1" ht="24" customHeight="1">
      <c r="A1489" s="928"/>
      <c r="B1489" s="979" t="s">
        <v>993</v>
      </c>
      <c r="C1489" s="977"/>
      <c r="D1489" s="977"/>
      <c r="E1489" s="978">
        <v>216.6</v>
      </c>
      <c r="F1489" s="974" t="s">
        <v>865</v>
      </c>
      <c r="G1489" s="969">
        <v>3190</v>
      </c>
      <c r="H1489" s="930">
        <f t="shared" ref="H1489:H1503" si="304">ROUND(E1489*G1489,2)</f>
        <v>690954</v>
      </c>
      <c r="I1489" s="970">
        <v>485</v>
      </c>
      <c r="J1489" s="930">
        <f t="shared" ref="J1489:J1503" si="305">ROUND(E1489*I1489,2)</f>
        <v>105051</v>
      </c>
      <c r="K1489" s="931">
        <f t="shared" ref="K1489:K1503" si="306">H1489+J1489</f>
        <v>796005</v>
      </c>
      <c r="L1489" s="971"/>
      <c r="M1489" s="954"/>
      <c r="N1489" s="954"/>
      <c r="O1489" s="954"/>
      <c r="P1489" s="954"/>
      <c r="Q1489" s="954"/>
      <c r="R1489" s="954"/>
      <c r="S1489" s="954"/>
      <c r="T1489" s="954"/>
      <c r="U1489" s="954"/>
    </row>
    <row r="1490" spans="1:21" s="933" customFormat="1" ht="24" customHeight="1">
      <c r="A1490" s="928"/>
      <c r="B1490" s="979" t="s">
        <v>866</v>
      </c>
      <c r="C1490" s="976"/>
      <c r="D1490" s="976"/>
      <c r="E1490" s="978"/>
      <c r="F1490" s="974"/>
      <c r="G1490" s="969"/>
      <c r="H1490" s="930">
        <f t="shared" si="304"/>
        <v>0</v>
      </c>
      <c r="I1490" s="970"/>
      <c r="J1490" s="930">
        <f t="shared" si="305"/>
        <v>0</v>
      </c>
      <c r="K1490" s="931">
        <f t="shared" si="306"/>
        <v>0</v>
      </c>
      <c r="L1490" s="971"/>
      <c r="M1490" s="954"/>
      <c r="N1490" s="954"/>
      <c r="O1490" s="954"/>
      <c r="P1490" s="954"/>
      <c r="Q1490" s="954"/>
      <c r="R1490" s="954"/>
      <c r="S1490" s="954"/>
      <c r="T1490" s="954"/>
      <c r="U1490" s="954"/>
    </row>
    <row r="1491" spans="1:21" s="933" customFormat="1" ht="24" customHeight="1">
      <c r="A1491" s="928"/>
      <c r="B1491" s="979"/>
      <c r="C1491" s="976" t="s">
        <v>867</v>
      </c>
      <c r="D1491" s="976"/>
      <c r="E1491" s="978">
        <f>E1492/2</f>
        <v>722</v>
      </c>
      <c r="F1491" s="974" t="s">
        <v>34</v>
      </c>
      <c r="G1491" s="969">
        <v>661.62</v>
      </c>
      <c r="H1491" s="930">
        <f t="shared" si="304"/>
        <v>477689.64</v>
      </c>
      <c r="I1491" s="970"/>
      <c r="J1491" s="930">
        <f t="shared" si="305"/>
        <v>0</v>
      </c>
      <c r="K1491" s="931">
        <f t="shared" si="306"/>
        <v>477689.64</v>
      </c>
      <c r="L1491" s="971"/>
      <c r="M1491" s="954"/>
      <c r="N1491" s="954"/>
      <c r="O1491" s="954"/>
      <c r="P1491" s="954"/>
      <c r="Q1491" s="954"/>
      <c r="R1491" s="954"/>
      <c r="S1491" s="954"/>
      <c r="T1491" s="954"/>
      <c r="U1491" s="954"/>
    </row>
    <row r="1492" spans="1:21" s="933" customFormat="1" ht="24" customHeight="1">
      <c r="A1492" s="928"/>
      <c r="B1492" s="979"/>
      <c r="C1492" s="976" t="s">
        <v>868</v>
      </c>
      <c r="D1492" s="976"/>
      <c r="E1492" s="978">
        <v>1444</v>
      </c>
      <c r="F1492" s="974" t="s">
        <v>34</v>
      </c>
      <c r="G1492" s="969"/>
      <c r="H1492" s="930">
        <f t="shared" si="304"/>
        <v>0</v>
      </c>
      <c r="I1492" s="970">
        <v>154</v>
      </c>
      <c r="J1492" s="930">
        <f t="shared" si="305"/>
        <v>222376</v>
      </c>
      <c r="K1492" s="931">
        <f t="shared" si="306"/>
        <v>222376</v>
      </c>
      <c r="L1492" s="971"/>
      <c r="M1492" s="954"/>
      <c r="N1492" s="954"/>
      <c r="O1492" s="954"/>
      <c r="P1492" s="954"/>
      <c r="Q1492" s="954"/>
      <c r="R1492" s="954"/>
      <c r="S1492" s="954"/>
      <c r="T1492" s="954"/>
      <c r="U1492" s="954"/>
    </row>
    <row r="1493" spans="1:21" s="933" customFormat="1" ht="24" customHeight="1">
      <c r="A1493" s="928"/>
      <c r="B1493" s="976" t="s">
        <v>869</v>
      </c>
      <c r="C1493" s="976"/>
      <c r="D1493" s="976"/>
      <c r="E1493" s="978">
        <f>(E1492*0.25)</f>
        <v>361</v>
      </c>
      <c r="F1493" s="974" t="s">
        <v>870</v>
      </c>
      <c r="G1493" s="969">
        <f t="shared" ref="G1493" si="307">VLOOKUP(B1493,$O$43:$P$53,2,FALSE)</f>
        <v>29.94</v>
      </c>
      <c r="H1493" s="930">
        <f t="shared" si="304"/>
        <v>10808.34</v>
      </c>
      <c r="I1493" s="970"/>
      <c r="J1493" s="930">
        <f t="shared" si="305"/>
        <v>0</v>
      </c>
      <c r="K1493" s="931">
        <f t="shared" si="306"/>
        <v>10808.34</v>
      </c>
      <c r="L1493" s="971"/>
      <c r="M1493" s="954"/>
      <c r="N1493" s="954"/>
      <c r="O1493" s="954"/>
      <c r="P1493" s="954"/>
      <c r="Q1493" s="954"/>
      <c r="R1493" s="954"/>
      <c r="S1493" s="954"/>
      <c r="T1493" s="954"/>
      <c r="U1493" s="954"/>
    </row>
    <row r="1494" spans="1:21" s="933" customFormat="1" ht="24" customHeight="1">
      <c r="A1494" s="928"/>
      <c r="B1494" s="976" t="s">
        <v>871</v>
      </c>
      <c r="C1494" s="976"/>
      <c r="D1494" s="976"/>
      <c r="E1494" s="978"/>
      <c r="F1494" s="982"/>
      <c r="G1494" s="983"/>
      <c r="H1494" s="930">
        <f t="shared" si="304"/>
        <v>0</v>
      </c>
      <c r="I1494" s="970"/>
      <c r="J1494" s="930">
        <f t="shared" si="305"/>
        <v>0</v>
      </c>
      <c r="K1494" s="931">
        <f t="shared" si="306"/>
        <v>0</v>
      </c>
      <c r="L1494" s="971"/>
      <c r="M1494" s="954"/>
      <c r="N1494" s="954"/>
      <c r="O1494" s="954"/>
      <c r="P1494" s="954"/>
      <c r="Q1494" s="954"/>
      <c r="R1494" s="954"/>
      <c r="S1494" s="954"/>
      <c r="T1494" s="954"/>
      <c r="U1494" s="954"/>
    </row>
    <row r="1495" spans="1:21" s="933" customFormat="1" ht="24" customHeight="1">
      <c r="A1495" s="928"/>
      <c r="B1495" s="976" t="s">
        <v>872</v>
      </c>
      <c r="C1495" s="976"/>
      <c r="D1495" s="976"/>
      <c r="E1495" s="978"/>
      <c r="F1495" s="974" t="s">
        <v>870</v>
      </c>
      <c r="G1495" s="969">
        <f t="shared" ref="G1495:G1503" si="308">VLOOKUP(B1495,$O$43:$P$53,2,FALSE)</f>
        <v>25.73</v>
      </c>
      <c r="H1495" s="930">
        <f t="shared" si="304"/>
        <v>0</v>
      </c>
      <c r="I1495" s="984">
        <v>4.0999999999999996</v>
      </c>
      <c r="J1495" s="930">
        <f t="shared" si="305"/>
        <v>0</v>
      </c>
      <c r="K1495" s="931">
        <f t="shared" si="306"/>
        <v>0</v>
      </c>
      <c r="L1495" s="971"/>
      <c r="M1495" s="954"/>
      <c r="N1495" s="954"/>
      <c r="O1495" s="954"/>
      <c r="P1495" s="954"/>
      <c r="Q1495" s="954"/>
      <c r="R1495" s="954"/>
      <c r="S1495" s="954"/>
      <c r="T1495" s="954"/>
      <c r="U1495" s="954"/>
    </row>
    <row r="1496" spans="1:21" s="933" customFormat="1" ht="24" customHeight="1">
      <c r="A1496" s="928"/>
      <c r="B1496" s="976" t="s">
        <v>873</v>
      </c>
      <c r="C1496" s="976"/>
      <c r="D1496" s="976"/>
      <c r="E1496" s="978">
        <v>10279.93</v>
      </c>
      <c r="F1496" s="974" t="s">
        <v>870</v>
      </c>
      <c r="G1496" s="969">
        <f t="shared" si="308"/>
        <v>24.97</v>
      </c>
      <c r="H1496" s="930">
        <f t="shared" si="304"/>
        <v>256689.85</v>
      </c>
      <c r="I1496" s="970">
        <v>4.0999999999999996</v>
      </c>
      <c r="J1496" s="930">
        <f t="shared" si="305"/>
        <v>42147.71</v>
      </c>
      <c r="K1496" s="931">
        <f t="shared" si="306"/>
        <v>298837.56</v>
      </c>
      <c r="L1496" s="971"/>
      <c r="M1496" s="954"/>
      <c r="N1496" s="954"/>
      <c r="O1496" s="954"/>
      <c r="P1496" s="954"/>
      <c r="Q1496" s="954"/>
      <c r="R1496" s="954"/>
      <c r="S1496" s="954"/>
      <c r="T1496" s="954"/>
      <c r="U1496" s="954"/>
    </row>
    <row r="1497" spans="1:21" s="933" customFormat="1" ht="24" customHeight="1">
      <c r="A1497" s="928"/>
      <c r="B1497" s="976" t="s">
        <v>874</v>
      </c>
      <c r="C1497" s="976"/>
      <c r="D1497" s="976"/>
      <c r="E1497" s="978">
        <v>12317.1</v>
      </c>
      <c r="F1497" s="974" t="s">
        <v>870</v>
      </c>
      <c r="G1497" s="969">
        <f t="shared" si="308"/>
        <v>24.47</v>
      </c>
      <c r="H1497" s="930">
        <f t="shared" si="304"/>
        <v>301399.44</v>
      </c>
      <c r="I1497" s="970">
        <v>3.3</v>
      </c>
      <c r="J1497" s="930">
        <f t="shared" si="305"/>
        <v>40646.43</v>
      </c>
      <c r="K1497" s="931">
        <f t="shared" si="306"/>
        <v>342045.87</v>
      </c>
      <c r="L1497" s="971"/>
      <c r="M1497" s="954"/>
      <c r="N1497" s="954"/>
      <c r="O1497" s="954"/>
      <c r="P1497" s="954"/>
      <c r="Q1497" s="954"/>
      <c r="R1497" s="954"/>
      <c r="S1497" s="954"/>
      <c r="T1497" s="954"/>
      <c r="U1497" s="954"/>
    </row>
    <row r="1498" spans="1:21" s="933" customFormat="1" ht="24" customHeight="1">
      <c r="A1498" s="928"/>
      <c r="B1498" s="976" t="s">
        <v>875</v>
      </c>
      <c r="C1498" s="976"/>
      <c r="D1498" s="976"/>
      <c r="E1498" s="978"/>
      <c r="F1498" s="982" t="s">
        <v>870</v>
      </c>
      <c r="G1498" s="969">
        <f t="shared" si="308"/>
        <v>24.27</v>
      </c>
      <c r="H1498" s="930">
        <f t="shared" si="304"/>
        <v>0</v>
      </c>
      <c r="I1498" s="970">
        <v>3.3</v>
      </c>
      <c r="J1498" s="930">
        <f t="shared" si="305"/>
        <v>0</v>
      </c>
      <c r="K1498" s="931">
        <f t="shared" si="306"/>
        <v>0</v>
      </c>
      <c r="L1498" s="971"/>
      <c r="M1498" s="954"/>
      <c r="N1498" s="954"/>
      <c r="O1498" s="954"/>
      <c r="P1498" s="954"/>
      <c r="Q1498" s="954"/>
      <c r="R1498" s="954"/>
      <c r="S1498" s="954"/>
      <c r="T1498" s="954"/>
      <c r="U1498" s="954"/>
    </row>
    <row r="1499" spans="1:21" s="933" customFormat="1" ht="24" customHeight="1">
      <c r="A1499" s="928"/>
      <c r="B1499" s="976" t="s">
        <v>876</v>
      </c>
      <c r="C1499" s="976"/>
      <c r="D1499" s="976"/>
      <c r="E1499" s="978"/>
      <c r="F1499" s="974" t="s">
        <v>870</v>
      </c>
      <c r="G1499" s="969">
        <f t="shared" si="308"/>
        <v>24.27</v>
      </c>
      <c r="H1499" s="930">
        <f t="shared" si="304"/>
        <v>0</v>
      </c>
      <c r="I1499" s="970">
        <v>2.9</v>
      </c>
      <c r="J1499" s="930">
        <f t="shared" si="305"/>
        <v>0</v>
      </c>
      <c r="K1499" s="931">
        <f t="shared" si="306"/>
        <v>0</v>
      </c>
      <c r="L1499" s="971"/>
      <c r="M1499" s="954"/>
      <c r="N1499" s="954"/>
      <c r="O1499" s="954"/>
      <c r="P1499" s="954"/>
      <c r="Q1499" s="954"/>
      <c r="R1499" s="954"/>
      <c r="S1499" s="954"/>
      <c r="T1499" s="954"/>
      <c r="U1499" s="954"/>
    </row>
    <row r="1500" spans="1:21" s="933" customFormat="1" ht="24" customHeight="1">
      <c r="A1500" s="928"/>
      <c r="B1500" s="976" t="s">
        <v>877</v>
      </c>
      <c r="C1500" s="976"/>
      <c r="D1500" s="976"/>
      <c r="E1500" s="978"/>
      <c r="F1500" s="974" t="s">
        <v>870</v>
      </c>
      <c r="G1500" s="969">
        <f t="shared" si="308"/>
        <v>24.27</v>
      </c>
      <c r="H1500" s="930">
        <f t="shared" si="304"/>
        <v>0</v>
      </c>
      <c r="I1500" s="970">
        <v>2.9</v>
      </c>
      <c r="J1500" s="930">
        <f t="shared" si="305"/>
        <v>0</v>
      </c>
      <c r="K1500" s="931">
        <f t="shared" si="306"/>
        <v>0</v>
      </c>
      <c r="L1500" s="971"/>
      <c r="M1500" s="954"/>
      <c r="N1500" s="954"/>
      <c r="O1500" s="954"/>
      <c r="P1500" s="954"/>
      <c r="Q1500" s="954"/>
      <c r="R1500" s="954"/>
      <c r="S1500" s="954"/>
      <c r="T1500" s="954"/>
      <c r="U1500" s="954"/>
    </row>
    <row r="1501" spans="1:21" s="933" customFormat="1" ht="24" customHeight="1">
      <c r="A1501" s="928"/>
      <c r="B1501" s="976" t="s">
        <v>878</v>
      </c>
      <c r="C1501" s="976"/>
      <c r="D1501" s="976"/>
      <c r="E1501" s="978"/>
      <c r="F1501" s="974" t="s">
        <v>870</v>
      </c>
      <c r="G1501" s="969">
        <f t="shared" si="308"/>
        <v>24.27</v>
      </c>
      <c r="H1501" s="930">
        <f t="shared" si="304"/>
        <v>0</v>
      </c>
      <c r="I1501" s="970">
        <v>2.9</v>
      </c>
      <c r="J1501" s="930">
        <f t="shared" si="305"/>
        <v>0</v>
      </c>
      <c r="K1501" s="931">
        <f t="shared" si="306"/>
        <v>0</v>
      </c>
      <c r="L1501" s="971"/>
      <c r="M1501" s="954"/>
      <c r="N1501" s="954"/>
      <c r="O1501" s="954"/>
      <c r="P1501" s="954"/>
      <c r="Q1501" s="954"/>
      <c r="R1501" s="954"/>
      <c r="S1501" s="954"/>
      <c r="T1501" s="954"/>
      <c r="U1501" s="954"/>
    </row>
    <row r="1502" spans="1:21" s="933" customFormat="1" ht="24" customHeight="1">
      <c r="A1502" s="928"/>
      <c r="B1502" s="976" t="s">
        <v>879</v>
      </c>
      <c r="C1502" s="976"/>
      <c r="D1502" s="976"/>
      <c r="E1502" s="978"/>
      <c r="F1502" s="974" t="s">
        <v>870</v>
      </c>
      <c r="G1502" s="969">
        <f t="shared" si="308"/>
        <v>23.8</v>
      </c>
      <c r="H1502" s="930">
        <f t="shared" si="304"/>
        <v>0</v>
      </c>
      <c r="I1502" s="970">
        <v>2.9</v>
      </c>
      <c r="J1502" s="930">
        <f t="shared" si="305"/>
        <v>0</v>
      </c>
      <c r="K1502" s="931">
        <f t="shared" si="306"/>
        <v>0</v>
      </c>
      <c r="L1502" s="971"/>
      <c r="M1502" s="954"/>
      <c r="N1502" s="954"/>
      <c r="O1502" s="954"/>
      <c r="P1502" s="954"/>
      <c r="Q1502" s="954"/>
      <c r="R1502" s="954"/>
      <c r="S1502" s="954"/>
      <c r="T1502" s="954"/>
      <c r="U1502" s="954"/>
    </row>
    <row r="1503" spans="1:21" s="933" customFormat="1" ht="24" customHeight="1">
      <c r="A1503" s="928"/>
      <c r="B1503" s="976" t="s">
        <v>880</v>
      </c>
      <c r="C1503" s="976"/>
      <c r="D1503" s="976"/>
      <c r="E1503" s="978">
        <f>(SUM(E1495:E1502)/1000)*30</f>
        <v>677.91089999999997</v>
      </c>
      <c r="F1503" s="974" t="s">
        <v>870</v>
      </c>
      <c r="G1503" s="969">
        <f t="shared" si="308"/>
        <v>29.92</v>
      </c>
      <c r="H1503" s="930">
        <f t="shared" si="304"/>
        <v>20283.09</v>
      </c>
      <c r="I1503" s="970"/>
      <c r="J1503" s="930">
        <f t="shared" si="305"/>
        <v>0</v>
      </c>
      <c r="K1503" s="931">
        <f t="shared" si="306"/>
        <v>20283.09</v>
      </c>
      <c r="L1503" s="971"/>
      <c r="M1503" s="954"/>
      <c r="N1503" s="954"/>
      <c r="O1503" s="954"/>
      <c r="P1503" s="954"/>
      <c r="Q1503" s="954"/>
      <c r="R1503" s="954"/>
      <c r="S1503" s="954"/>
      <c r="T1503" s="954"/>
      <c r="U1503" s="954"/>
    </row>
    <row r="1504" spans="1:21" s="933" customFormat="1" ht="24" customHeight="1">
      <c r="A1504" s="928"/>
      <c r="B1504" s="976" t="s">
        <v>881</v>
      </c>
      <c r="C1504" s="976"/>
      <c r="D1504" s="976"/>
      <c r="E1504" s="978"/>
      <c r="F1504" s="974"/>
      <c r="G1504" s="969"/>
      <c r="H1504" s="930"/>
      <c r="I1504" s="970"/>
      <c r="J1504" s="930"/>
      <c r="K1504" s="931"/>
      <c r="L1504" s="971"/>
      <c r="M1504" s="954"/>
      <c r="N1504" s="954"/>
      <c r="O1504" s="954"/>
      <c r="P1504" s="954"/>
      <c r="Q1504" s="954"/>
      <c r="R1504" s="954"/>
      <c r="S1504" s="954"/>
      <c r="T1504" s="954"/>
      <c r="U1504" s="954"/>
    </row>
    <row r="1505" spans="1:21" s="933" customFormat="1" ht="24" customHeight="1">
      <c r="A1505" s="928"/>
      <c r="B1505" s="976"/>
      <c r="C1505" s="976"/>
      <c r="D1505" s="976"/>
      <c r="E1505" s="978"/>
      <c r="F1505" s="974"/>
      <c r="G1505" s="969"/>
      <c r="H1505" s="930"/>
      <c r="I1505" s="970"/>
      <c r="J1505" s="930"/>
      <c r="K1505" s="931"/>
      <c r="L1505" s="971"/>
      <c r="M1505" s="954"/>
      <c r="N1505" s="954"/>
      <c r="O1505" s="954"/>
      <c r="P1505" s="954"/>
      <c r="Q1505" s="954"/>
      <c r="R1505" s="954"/>
      <c r="S1505" s="954"/>
      <c r="T1505" s="954"/>
      <c r="U1505" s="954"/>
    </row>
    <row r="1506" spans="1:21" s="933" customFormat="1" ht="24" customHeight="1">
      <c r="A1506" s="928"/>
      <c r="B1506" s="976"/>
      <c r="C1506" s="976"/>
      <c r="D1506" s="976"/>
      <c r="E1506" s="978"/>
      <c r="F1506" s="974"/>
      <c r="G1506" s="969"/>
      <c r="H1506" s="930"/>
      <c r="I1506" s="970"/>
      <c r="J1506" s="930"/>
      <c r="K1506" s="931"/>
      <c r="L1506" s="971"/>
      <c r="M1506" s="954"/>
      <c r="N1506" s="954"/>
      <c r="O1506" s="954"/>
      <c r="P1506" s="954"/>
      <c r="Q1506" s="954"/>
      <c r="R1506" s="954"/>
      <c r="S1506" s="954"/>
      <c r="T1506" s="954"/>
      <c r="U1506" s="954"/>
    </row>
    <row r="1507" spans="1:21" s="933" customFormat="1" ht="24" customHeight="1">
      <c r="A1507" s="928"/>
      <c r="B1507" s="976"/>
      <c r="C1507" s="976"/>
      <c r="D1507" s="976"/>
      <c r="E1507" s="978"/>
      <c r="F1507" s="974"/>
      <c r="G1507" s="969"/>
      <c r="H1507" s="930"/>
      <c r="I1507" s="970"/>
      <c r="J1507" s="930"/>
      <c r="K1507" s="931"/>
      <c r="L1507" s="971"/>
      <c r="M1507" s="954"/>
      <c r="N1507" s="954"/>
      <c r="O1507" s="954"/>
      <c r="P1507" s="954"/>
      <c r="Q1507" s="954"/>
      <c r="R1507" s="954"/>
      <c r="S1507" s="954"/>
      <c r="T1507" s="954"/>
      <c r="U1507" s="954"/>
    </row>
    <row r="1508" spans="1:21" s="933" customFormat="1" ht="24" customHeight="1">
      <c r="A1508" s="928"/>
      <c r="B1508" s="1021"/>
      <c r="C1508" s="976"/>
      <c r="D1508" s="976"/>
      <c r="E1508" s="978"/>
      <c r="F1508" s="974"/>
      <c r="G1508" s="969"/>
      <c r="H1508" s="930"/>
      <c r="I1508" s="970"/>
      <c r="J1508" s="930"/>
      <c r="K1508" s="931"/>
      <c r="L1508" s="971"/>
      <c r="M1508" s="954"/>
      <c r="N1508" s="954"/>
      <c r="O1508" s="954"/>
      <c r="P1508" s="954"/>
      <c r="Q1508" s="954"/>
      <c r="R1508" s="954"/>
      <c r="S1508" s="954"/>
      <c r="T1508" s="954"/>
      <c r="U1508" s="954"/>
    </row>
    <row r="1509" spans="1:21" s="933" customFormat="1" ht="24" customHeight="1">
      <c r="A1509" s="928"/>
      <c r="B1509" s="1021"/>
      <c r="C1509" s="976"/>
      <c r="D1509" s="976"/>
      <c r="E1509" s="978"/>
      <c r="F1509" s="974"/>
      <c r="G1509" s="969"/>
      <c r="H1509" s="930"/>
      <c r="I1509" s="970"/>
      <c r="J1509" s="930"/>
      <c r="K1509" s="931"/>
      <c r="L1509" s="971"/>
      <c r="M1509" s="954"/>
      <c r="N1509" s="954"/>
      <c r="O1509" s="954"/>
      <c r="P1509" s="954"/>
      <c r="Q1509" s="954"/>
      <c r="R1509" s="954"/>
      <c r="S1509" s="954"/>
      <c r="T1509" s="954"/>
      <c r="U1509" s="954"/>
    </row>
    <row r="1510" spans="1:21" s="933" customFormat="1" ht="24" customHeight="1">
      <c r="A1510" s="928"/>
      <c r="B1510" s="1021"/>
      <c r="C1510" s="976"/>
      <c r="D1510" s="976"/>
      <c r="E1510" s="978"/>
      <c r="F1510" s="974"/>
      <c r="G1510" s="969"/>
      <c r="H1510" s="930"/>
      <c r="I1510" s="970"/>
      <c r="J1510" s="930"/>
      <c r="K1510" s="931"/>
      <c r="L1510" s="971"/>
      <c r="M1510" s="954"/>
      <c r="N1510" s="954"/>
      <c r="O1510" s="954"/>
      <c r="P1510" s="954"/>
      <c r="Q1510" s="954"/>
      <c r="R1510" s="954"/>
      <c r="S1510" s="954"/>
      <c r="T1510" s="954"/>
      <c r="U1510" s="954"/>
    </row>
    <row r="1511" spans="1:21" s="933" customFormat="1" ht="24" customHeight="1">
      <c r="A1511" s="1026" t="s">
        <v>1004</v>
      </c>
      <c r="B1511" s="1030" t="s">
        <v>1005</v>
      </c>
      <c r="C1511" s="976"/>
      <c r="D1511" s="976"/>
      <c r="E1511" s="978"/>
      <c r="F1511" s="974"/>
      <c r="G1511" s="969"/>
      <c r="H1511" s="930"/>
      <c r="I1511" s="970"/>
      <c r="J1511" s="930"/>
      <c r="K1511" s="931"/>
      <c r="L1511" s="971"/>
      <c r="M1511" s="954"/>
      <c r="N1511" s="954"/>
      <c r="O1511" s="954"/>
      <c r="P1511" s="954"/>
      <c r="Q1511" s="954"/>
      <c r="R1511" s="954"/>
      <c r="S1511" s="954"/>
      <c r="T1511" s="954"/>
      <c r="U1511" s="954"/>
    </row>
    <row r="1512" spans="1:21" s="933" customFormat="1" ht="24" customHeight="1">
      <c r="A1512" s="928"/>
      <c r="B1512" s="979" t="s">
        <v>993</v>
      </c>
      <c r="C1512" s="977"/>
      <c r="D1512" s="977"/>
      <c r="E1512" s="978">
        <v>158.75</v>
      </c>
      <c r="F1512" s="974" t="s">
        <v>865</v>
      </c>
      <c r="G1512" s="969">
        <v>3190</v>
      </c>
      <c r="H1512" s="930">
        <f t="shared" ref="H1512:H1526" si="309">ROUND(E1512*G1512,2)</f>
        <v>506412.5</v>
      </c>
      <c r="I1512" s="970">
        <v>485</v>
      </c>
      <c r="J1512" s="930">
        <f t="shared" ref="J1512:J1526" si="310">ROUND(E1512*I1512,2)</f>
        <v>76993.75</v>
      </c>
      <c r="K1512" s="931">
        <f t="shared" ref="K1512:K1526" si="311">H1512+J1512</f>
        <v>583406.25</v>
      </c>
      <c r="L1512" s="971"/>
      <c r="M1512" s="954"/>
      <c r="N1512" s="954"/>
      <c r="O1512" s="954"/>
      <c r="P1512" s="954"/>
      <c r="Q1512" s="954"/>
      <c r="R1512" s="954"/>
      <c r="S1512" s="954"/>
      <c r="T1512" s="954"/>
      <c r="U1512" s="954"/>
    </row>
    <row r="1513" spans="1:21" s="933" customFormat="1" ht="24" customHeight="1">
      <c r="A1513" s="928"/>
      <c r="B1513" s="979" t="s">
        <v>866</v>
      </c>
      <c r="C1513" s="976"/>
      <c r="D1513" s="976"/>
      <c r="E1513" s="978"/>
      <c r="F1513" s="974"/>
      <c r="G1513" s="969"/>
      <c r="H1513" s="930">
        <f t="shared" si="309"/>
        <v>0</v>
      </c>
      <c r="I1513" s="970"/>
      <c r="J1513" s="930">
        <f t="shared" si="310"/>
        <v>0</v>
      </c>
      <c r="K1513" s="931">
        <f t="shared" si="311"/>
        <v>0</v>
      </c>
      <c r="L1513" s="971"/>
      <c r="M1513" s="954"/>
      <c r="N1513" s="954"/>
      <c r="O1513" s="954"/>
      <c r="P1513" s="954"/>
      <c r="Q1513" s="954"/>
      <c r="R1513" s="954"/>
      <c r="S1513" s="954"/>
      <c r="T1513" s="954"/>
      <c r="U1513" s="954"/>
    </row>
    <row r="1514" spans="1:21" s="933" customFormat="1" ht="24" customHeight="1">
      <c r="A1514" s="928"/>
      <c r="B1514" s="979"/>
      <c r="C1514" s="976" t="s">
        <v>867</v>
      </c>
      <c r="D1514" s="976"/>
      <c r="E1514" s="978">
        <f>E1515/2</f>
        <v>68.38</v>
      </c>
      <c r="F1514" s="974" t="s">
        <v>34</v>
      </c>
      <c r="G1514" s="969">
        <v>661.62</v>
      </c>
      <c r="H1514" s="930">
        <f t="shared" si="309"/>
        <v>45241.58</v>
      </c>
      <c r="I1514" s="970"/>
      <c r="J1514" s="930">
        <f t="shared" si="310"/>
        <v>0</v>
      </c>
      <c r="K1514" s="931">
        <f t="shared" si="311"/>
        <v>45241.58</v>
      </c>
      <c r="L1514" s="971"/>
      <c r="M1514" s="954"/>
      <c r="N1514" s="954"/>
      <c r="O1514" s="954"/>
      <c r="P1514" s="954"/>
      <c r="Q1514" s="954"/>
      <c r="R1514" s="954"/>
      <c r="S1514" s="954"/>
      <c r="T1514" s="954"/>
      <c r="U1514" s="954"/>
    </row>
    <row r="1515" spans="1:21" s="933" customFormat="1" ht="24" customHeight="1">
      <c r="A1515" s="928"/>
      <c r="B1515" s="979"/>
      <c r="C1515" s="976" t="s">
        <v>868</v>
      </c>
      <c r="D1515" s="976"/>
      <c r="E1515" s="978">
        <v>136.76</v>
      </c>
      <c r="F1515" s="974" t="s">
        <v>34</v>
      </c>
      <c r="G1515" s="969"/>
      <c r="H1515" s="930">
        <f t="shared" si="309"/>
        <v>0</v>
      </c>
      <c r="I1515" s="970">
        <v>154</v>
      </c>
      <c r="J1515" s="930">
        <f t="shared" si="310"/>
        <v>21061.040000000001</v>
      </c>
      <c r="K1515" s="931">
        <f t="shared" si="311"/>
        <v>21061.040000000001</v>
      </c>
      <c r="L1515" s="971"/>
      <c r="M1515" s="954"/>
      <c r="N1515" s="954"/>
      <c r="O1515" s="954"/>
      <c r="P1515" s="954"/>
      <c r="Q1515" s="954"/>
      <c r="R1515" s="954"/>
      <c r="S1515" s="954"/>
      <c r="T1515" s="954"/>
      <c r="U1515" s="954"/>
    </row>
    <row r="1516" spans="1:21" s="933" customFormat="1" ht="24" customHeight="1">
      <c r="A1516" s="928"/>
      <c r="B1516" s="976" t="s">
        <v>869</v>
      </c>
      <c r="C1516" s="976"/>
      <c r="D1516" s="976"/>
      <c r="E1516" s="978">
        <f>(E1515*0.25)</f>
        <v>34.19</v>
      </c>
      <c r="F1516" s="974" t="s">
        <v>870</v>
      </c>
      <c r="G1516" s="969">
        <f t="shared" ref="G1516" si="312">VLOOKUP(B1516,$O$43:$P$53,2,FALSE)</f>
        <v>29.94</v>
      </c>
      <c r="H1516" s="930">
        <f t="shared" si="309"/>
        <v>1023.65</v>
      </c>
      <c r="I1516" s="970"/>
      <c r="J1516" s="930">
        <f t="shared" si="310"/>
        <v>0</v>
      </c>
      <c r="K1516" s="931">
        <f t="shared" si="311"/>
        <v>1023.65</v>
      </c>
      <c r="L1516" s="971"/>
      <c r="M1516" s="954"/>
      <c r="N1516" s="954"/>
      <c r="O1516" s="954"/>
      <c r="P1516" s="954"/>
      <c r="Q1516" s="954"/>
      <c r="R1516" s="954"/>
      <c r="S1516" s="954"/>
      <c r="T1516" s="954"/>
      <c r="U1516" s="954"/>
    </row>
    <row r="1517" spans="1:21" s="933" customFormat="1" ht="24" customHeight="1">
      <c r="A1517" s="928"/>
      <c r="B1517" s="976" t="s">
        <v>871</v>
      </c>
      <c r="C1517" s="976"/>
      <c r="D1517" s="976"/>
      <c r="E1517" s="978"/>
      <c r="F1517" s="982"/>
      <c r="G1517" s="983"/>
      <c r="H1517" s="930">
        <f t="shared" si="309"/>
        <v>0</v>
      </c>
      <c r="I1517" s="970"/>
      <c r="J1517" s="930">
        <f t="shared" si="310"/>
        <v>0</v>
      </c>
      <c r="K1517" s="931">
        <f t="shared" si="311"/>
        <v>0</v>
      </c>
      <c r="L1517" s="971"/>
      <c r="M1517" s="954"/>
      <c r="N1517" s="954"/>
      <c r="O1517" s="954"/>
      <c r="P1517" s="954"/>
      <c r="Q1517" s="954"/>
      <c r="R1517" s="954"/>
      <c r="S1517" s="954"/>
      <c r="T1517" s="954"/>
      <c r="U1517" s="954"/>
    </row>
    <row r="1518" spans="1:21" s="933" customFormat="1" ht="24" customHeight="1">
      <c r="A1518" s="928"/>
      <c r="B1518" s="976" t="s">
        <v>872</v>
      </c>
      <c r="C1518" s="976"/>
      <c r="D1518" s="976"/>
      <c r="E1518" s="978"/>
      <c r="F1518" s="974" t="s">
        <v>870</v>
      </c>
      <c r="G1518" s="969">
        <f t="shared" ref="G1518:G1526" si="313">VLOOKUP(B1518,$O$43:$P$53,2,FALSE)</f>
        <v>25.73</v>
      </c>
      <c r="H1518" s="930">
        <f t="shared" si="309"/>
        <v>0</v>
      </c>
      <c r="I1518" s="984">
        <v>4.0999999999999996</v>
      </c>
      <c r="J1518" s="930">
        <f t="shared" si="310"/>
        <v>0</v>
      </c>
      <c r="K1518" s="931">
        <f t="shared" si="311"/>
        <v>0</v>
      </c>
      <c r="L1518" s="971"/>
      <c r="M1518" s="954"/>
      <c r="N1518" s="954"/>
      <c r="O1518" s="954"/>
      <c r="P1518" s="954"/>
      <c r="Q1518" s="954"/>
      <c r="R1518" s="954"/>
      <c r="S1518" s="954"/>
      <c r="T1518" s="954"/>
      <c r="U1518" s="954"/>
    </row>
    <row r="1519" spans="1:21" s="933" customFormat="1" ht="24" customHeight="1">
      <c r="A1519" s="928"/>
      <c r="B1519" s="976" t="s">
        <v>873</v>
      </c>
      <c r="C1519" s="976"/>
      <c r="D1519" s="976"/>
      <c r="E1519" s="978">
        <v>0</v>
      </c>
      <c r="F1519" s="974" t="s">
        <v>870</v>
      </c>
      <c r="G1519" s="969">
        <f t="shared" si="313"/>
        <v>24.97</v>
      </c>
      <c r="H1519" s="930">
        <f t="shared" si="309"/>
        <v>0</v>
      </c>
      <c r="I1519" s="970">
        <v>4.0999999999999996</v>
      </c>
      <c r="J1519" s="930">
        <f t="shared" si="310"/>
        <v>0</v>
      </c>
      <c r="K1519" s="931">
        <f t="shared" si="311"/>
        <v>0</v>
      </c>
      <c r="L1519" s="971"/>
      <c r="M1519" s="954"/>
      <c r="N1519" s="954"/>
      <c r="O1519" s="954"/>
      <c r="P1519" s="954"/>
      <c r="Q1519" s="954"/>
      <c r="R1519" s="954"/>
      <c r="S1519" s="954"/>
      <c r="T1519" s="954"/>
      <c r="U1519" s="954"/>
    </row>
    <row r="1520" spans="1:21" s="933" customFormat="1" ht="24" customHeight="1">
      <c r="A1520" s="928"/>
      <c r="B1520" s="976" t="s">
        <v>874</v>
      </c>
      <c r="C1520" s="976"/>
      <c r="D1520" s="976"/>
      <c r="E1520" s="978">
        <v>38482.93</v>
      </c>
      <c r="F1520" s="974" t="s">
        <v>870</v>
      </c>
      <c r="G1520" s="969">
        <f t="shared" si="313"/>
        <v>24.47</v>
      </c>
      <c r="H1520" s="930">
        <f t="shared" si="309"/>
        <v>941677.3</v>
      </c>
      <c r="I1520" s="970">
        <v>3.3</v>
      </c>
      <c r="J1520" s="930">
        <f t="shared" si="310"/>
        <v>126993.67</v>
      </c>
      <c r="K1520" s="931">
        <f t="shared" si="311"/>
        <v>1068670.97</v>
      </c>
      <c r="L1520" s="971"/>
      <c r="M1520" s="954"/>
      <c r="N1520" s="954"/>
      <c r="O1520" s="954"/>
      <c r="P1520" s="954"/>
      <c r="Q1520" s="954"/>
      <c r="R1520" s="954"/>
      <c r="S1520" s="954"/>
      <c r="T1520" s="954"/>
      <c r="U1520" s="954"/>
    </row>
    <row r="1521" spans="1:21" s="933" customFormat="1" ht="24" customHeight="1">
      <c r="A1521" s="928"/>
      <c r="B1521" s="976" t="s">
        <v>875</v>
      </c>
      <c r="C1521" s="976"/>
      <c r="D1521" s="976"/>
      <c r="E1521" s="978">
        <v>4249.07</v>
      </c>
      <c r="F1521" s="982" t="s">
        <v>870</v>
      </c>
      <c r="G1521" s="969">
        <f t="shared" si="313"/>
        <v>24.27</v>
      </c>
      <c r="H1521" s="930">
        <f t="shared" si="309"/>
        <v>103124.93</v>
      </c>
      <c r="I1521" s="970">
        <v>3.3</v>
      </c>
      <c r="J1521" s="930">
        <f t="shared" si="310"/>
        <v>14021.93</v>
      </c>
      <c r="K1521" s="931">
        <f t="shared" si="311"/>
        <v>117146.85999999999</v>
      </c>
      <c r="L1521" s="971"/>
      <c r="M1521" s="954"/>
      <c r="N1521" s="954"/>
      <c r="O1521" s="954"/>
      <c r="P1521" s="954"/>
      <c r="Q1521" s="954"/>
      <c r="R1521" s="954"/>
      <c r="S1521" s="954"/>
      <c r="T1521" s="954"/>
      <c r="U1521" s="954"/>
    </row>
    <row r="1522" spans="1:21" s="933" customFormat="1" ht="24" customHeight="1">
      <c r="A1522" s="928"/>
      <c r="B1522" s="976" t="s">
        <v>876</v>
      </c>
      <c r="C1522" s="976"/>
      <c r="D1522" s="976"/>
      <c r="E1522" s="978">
        <v>0</v>
      </c>
      <c r="F1522" s="974" t="s">
        <v>870</v>
      </c>
      <c r="G1522" s="969">
        <f t="shared" si="313"/>
        <v>24.27</v>
      </c>
      <c r="H1522" s="930">
        <f t="shared" si="309"/>
        <v>0</v>
      </c>
      <c r="I1522" s="970">
        <v>2.9</v>
      </c>
      <c r="J1522" s="930">
        <f t="shared" si="310"/>
        <v>0</v>
      </c>
      <c r="K1522" s="931">
        <f t="shared" si="311"/>
        <v>0</v>
      </c>
      <c r="L1522" s="971"/>
      <c r="M1522" s="954"/>
      <c r="N1522" s="954"/>
      <c r="O1522" s="954"/>
      <c r="P1522" s="954"/>
      <c r="Q1522" s="954"/>
      <c r="R1522" s="954"/>
      <c r="S1522" s="954"/>
      <c r="T1522" s="954"/>
      <c r="U1522" s="954"/>
    </row>
    <row r="1523" spans="1:21" s="933" customFormat="1" ht="24" customHeight="1">
      <c r="A1523" s="928"/>
      <c r="B1523" s="976" t="s">
        <v>877</v>
      </c>
      <c r="C1523" s="976"/>
      <c r="D1523" s="976"/>
      <c r="E1523" s="978">
        <v>0</v>
      </c>
      <c r="F1523" s="974" t="s">
        <v>870</v>
      </c>
      <c r="G1523" s="969">
        <f t="shared" si="313"/>
        <v>24.27</v>
      </c>
      <c r="H1523" s="930">
        <f t="shared" si="309"/>
        <v>0</v>
      </c>
      <c r="I1523" s="970">
        <v>2.9</v>
      </c>
      <c r="J1523" s="930">
        <f t="shared" si="310"/>
        <v>0</v>
      </c>
      <c r="K1523" s="931">
        <f t="shared" si="311"/>
        <v>0</v>
      </c>
      <c r="L1523" s="971"/>
      <c r="M1523" s="954"/>
      <c r="N1523" s="954"/>
      <c r="O1523" s="954"/>
      <c r="P1523" s="954"/>
      <c r="Q1523" s="954"/>
      <c r="R1523" s="954"/>
      <c r="S1523" s="954"/>
      <c r="T1523" s="954"/>
      <c r="U1523" s="954"/>
    </row>
    <row r="1524" spans="1:21" s="933" customFormat="1" ht="24" customHeight="1">
      <c r="A1524" s="928"/>
      <c r="B1524" s="976" t="s">
        <v>878</v>
      </c>
      <c r="C1524" s="976"/>
      <c r="D1524" s="976"/>
      <c r="E1524" s="978">
        <v>45418.04</v>
      </c>
      <c r="F1524" s="974" t="s">
        <v>870</v>
      </c>
      <c r="G1524" s="969">
        <f t="shared" si="313"/>
        <v>24.27</v>
      </c>
      <c r="H1524" s="930">
        <f t="shared" si="309"/>
        <v>1102295.83</v>
      </c>
      <c r="I1524" s="970">
        <v>2.9</v>
      </c>
      <c r="J1524" s="930">
        <f t="shared" si="310"/>
        <v>131712.32000000001</v>
      </c>
      <c r="K1524" s="931">
        <f t="shared" si="311"/>
        <v>1234008.1500000001</v>
      </c>
      <c r="L1524" s="971"/>
      <c r="M1524" s="954"/>
      <c r="N1524" s="954"/>
      <c r="O1524" s="954"/>
      <c r="P1524" s="954"/>
      <c r="Q1524" s="954"/>
      <c r="R1524" s="954"/>
      <c r="S1524" s="954"/>
      <c r="T1524" s="954"/>
      <c r="U1524" s="954"/>
    </row>
    <row r="1525" spans="1:21" s="933" customFormat="1" ht="24" customHeight="1">
      <c r="A1525" s="928"/>
      <c r="B1525" s="976" t="s">
        <v>879</v>
      </c>
      <c r="C1525" s="976"/>
      <c r="D1525" s="976"/>
      <c r="E1525" s="978"/>
      <c r="F1525" s="974" t="s">
        <v>870</v>
      </c>
      <c r="G1525" s="969">
        <f t="shared" si="313"/>
        <v>23.8</v>
      </c>
      <c r="H1525" s="930">
        <f t="shared" si="309"/>
        <v>0</v>
      </c>
      <c r="I1525" s="970">
        <v>2.9</v>
      </c>
      <c r="J1525" s="930">
        <f t="shared" si="310"/>
        <v>0</v>
      </c>
      <c r="K1525" s="931">
        <f t="shared" si="311"/>
        <v>0</v>
      </c>
      <c r="L1525" s="971"/>
      <c r="M1525" s="954"/>
      <c r="N1525" s="954"/>
      <c r="O1525" s="954"/>
      <c r="P1525" s="954"/>
      <c r="Q1525" s="954"/>
      <c r="R1525" s="954"/>
      <c r="S1525" s="954"/>
      <c r="T1525" s="954"/>
      <c r="U1525" s="954"/>
    </row>
    <row r="1526" spans="1:21" s="933" customFormat="1" ht="24" customHeight="1">
      <c r="A1526" s="928"/>
      <c r="B1526" s="976" t="s">
        <v>880</v>
      </c>
      <c r="C1526" s="976"/>
      <c r="D1526" s="976"/>
      <c r="E1526" s="978">
        <f>(SUM(E1518:E1525)/1000)*30</f>
        <v>2644.5012000000002</v>
      </c>
      <c r="F1526" s="974" t="s">
        <v>870</v>
      </c>
      <c r="G1526" s="969">
        <f t="shared" si="313"/>
        <v>29.92</v>
      </c>
      <c r="H1526" s="930">
        <f t="shared" si="309"/>
        <v>79123.48</v>
      </c>
      <c r="I1526" s="970"/>
      <c r="J1526" s="930">
        <f t="shared" si="310"/>
        <v>0</v>
      </c>
      <c r="K1526" s="931">
        <f t="shared" si="311"/>
        <v>79123.48</v>
      </c>
      <c r="L1526" s="971"/>
      <c r="M1526" s="954"/>
      <c r="N1526" s="954"/>
      <c r="O1526" s="954"/>
      <c r="P1526" s="954"/>
      <c r="Q1526" s="954"/>
      <c r="R1526" s="954"/>
      <c r="S1526" s="954"/>
      <c r="T1526" s="954"/>
      <c r="U1526" s="954"/>
    </row>
    <row r="1527" spans="1:21" s="933" customFormat="1" ht="24" customHeight="1">
      <c r="A1527" s="928"/>
      <c r="B1527" s="976" t="s">
        <v>881</v>
      </c>
      <c r="C1527" s="976"/>
      <c r="D1527" s="976"/>
      <c r="E1527" s="978"/>
      <c r="F1527" s="974"/>
      <c r="G1527" s="969"/>
      <c r="H1527" s="930"/>
      <c r="I1527" s="970"/>
      <c r="J1527" s="930"/>
      <c r="K1527" s="931"/>
      <c r="L1527" s="971"/>
      <c r="M1527" s="954"/>
      <c r="N1527" s="954"/>
      <c r="O1527" s="954"/>
      <c r="P1527" s="954"/>
      <c r="Q1527" s="954"/>
      <c r="R1527" s="954"/>
      <c r="S1527" s="954"/>
      <c r="T1527" s="954"/>
      <c r="U1527" s="954"/>
    </row>
    <row r="1528" spans="1:21" s="933" customFormat="1" ht="24" customHeight="1">
      <c r="A1528" s="928"/>
      <c r="B1528" s="1021"/>
      <c r="C1528" s="976"/>
      <c r="D1528" s="976"/>
      <c r="E1528" s="978"/>
      <c r="F1528" s="974"/>
      <c r="G1528" s="969"/>
      <c r="H1528" s="930"/>
      <c r="I1528" s="970"/>
      <c r="J1528" s="930"/>
      <c r="K1528" s="931"/>
      <c r="L1528" s="971"/>
      <c r="M1528" s="954"/>
      <c r="N1528" s="954"/>
      <c r="O1528" s="954"/>
      <c r="P1528" s="954"/>
      <c r="Q1528" s="954"/>
      <c r="R1528" s="954"/>
      <c r="S1528" s="954"/>
      <c r="T1528" s="954"/>
      <c r="U1528" s="954"/>
    </row>
    <row r="1529" spans="1:21" s="933" customFormat="1" ht="24" customHeight="1">
      <c r="A1529" s="928"/>
      <c r="B1529" s="1021"/>
      <c r="C1529" s="976"/>
      <c r="D1529" s="976"/>
      <c r="E1529" s="978"/>
      <c r="F1529" s="974"/>
      <c r="G1529" s="969"/>
      <c r="H1529" s="930"/>
      <c r="I1529" s="970"/>
      <c r="J1529" s="930"/>
      <c r="K1529" s="931"/>
      <c r="L1529" s="971"/>
      <c r="M1529" s="954"/>
      <c r="N1529" s="954"/>
      <c r="O1529" s="954"/>
      <c r="P1529" s="954"/>
      <c r="Q1529" s="954"/>
      <c r="R1529" s="954"/>
      <c r="S1529" s="954"/>
      <c r="T1529" s="954"/>
      <c r="U1529" s="954"/>
    </row>
    <row r="1530" spans="1:21" s="933" customFormat="1" ht="24" customHeight="1">
      <c r="A1530" s="928"/>
      <c r="B1530" s="1021"/>
      <c r="C1530" s="976"/>
      <c r="D1530" s="976"/>
      <c r="E1530" s="978"/>
      <c r="F1530" s="974"/>
      <c r="G1530" s="969"/>
      <c r="H1530" s="930"/>
      <c r="I1530" s="970"/>
      <c r="J1530" s="930"/>
      <c r="K1530" s="931"/>
      <c r="L1530" s="971"/>
      <c r="M1530" s="954"/>
      <c r="N1530" s="954"/>
      <c r="O1530" s="954"/>
      <c r="P1530" s="954"/>
      <c r="Q1530" s="954"/>
      <c r="R1530" s="954"/>
      <c r="S1530" s="954"/>
      <c r="T1530" s="954"/>
      <c r="U1530" s="954"/>
    </row>
    <row r="1531" spans="1:21" s="933" customFormat="1" ht="24" customHeight="1">
      <c r="A1531" s="928"/>
      <c r="B1531" s="1021"/>
      <c r="C1531" s="976"/>
      <c r="D1531" s="976"/>
      <c r="E1531" s="978"/>
      <c r="F1531" s="974"/>
      <c r="G1531" s="969"/>
      <c r="H1531" s="930"/>
      <c r="I1531" s="970"/>
      <c r="J1531" s="930"/>
      <c r="K1531" s="931"/>
      <c r="L1531" s="971"/>
      <c r="M1531" s="954"/>
      <c r="N1531" s="954"/>
      <c r="O1531" s="954"/>
      <c r="P1531" s="954"/>
      <c r="Q1531" s="954"/>
      <c r="R1531" s="954"/>
      <c r="S1531" s="954"/>
      <c r="T1531" s="954"/>
      <c r="U1531" s="954"/>
    </row>
    <row r="1532" spans="1:21" s="933" customFormat="1" ht="24" customHeight="1">
      <c r="A1532" s="928"/>
      <c r="B1532" s="1021"/>
      <c r="C1532" s="976"/>
      <c r="D1532" s="976"/>
      <c r="E1532" s="978"/>
      <c r="F1532" s="974"/>
      <c r="G1532" s="969"/>
      <c r="H1532" s="930"/>
      <c r="I1532" s="970"/>
      <c r="J1532" s="930"/>
      <c r="K1532" s="931"/>
      <c r="L1532" s="971"/>
      <c r="M1532" s="954"/>
      <c r="N1532" s="954"/>
      <c r="O1532" s="954"/>
      <c r="P1532" s="954"/>
      <c r="Q1532" s="954"/>
      <c r="R1532" s="954"/>
      <c r="S1532" s="954"/>
      <c r="T1532" s="954"/>
      <c r="U1532" s="954"/>
    </row>
    <row r="1533" spans="1:21" s="933" customFormat="1" ht="24" customHeight="1">
      <c r="A1533" s="928"/>
      <c r="B1533" s="1021"/>
      <c r="C1533" s="976"/>
      <c r="D1533" s="976"/>
      <c r="E1533" s="978"/>
      <c r="F1533" s="974"/>
      <c r="G1533" s="969"/>
      <c r="H1533" s="930"/>
      <c r="I1533" s="970"/>
      <c r="J1533" s="930"/>
      <c r="K1533" s="931"/>
      <c r="L1533" s="971"/>
      <c r="M1533" s="954"/>
      <c r="N1533" s="954"/>
      <c r="O1533" s="954"/>
      <c r="P1533" s="954"/>
      <c r="Q1533" s="954"/>
      <c r="R1533" s="954"/>
      <c r="S1533" s="954"/>
      <c r="T1533" s="954"/>
      <c r="U1533" s="954"/>
    </row>
    <row r="1534" spans="1:21" s="933" customFormat="1" ht="24" customHeight="1">
      <c r="A1534" s="928"/>
      <c r="B1534" s="1021"/>
      <c r="C1534" s="976"/>
      <c r="D1534" s="976"/>
      <c r="E1534" s="978"/>
      <c r="F1534" s="974"/>
      <c r="G1534" s="969"/>
      <c r="H1534" s="930"/>
      <c r="I1534" s="970"/>
      <c r="J1534" s="930"/>
      <c r="K1534" s="931"/>
      <c r="L1534" s="971"/>
      <c r="M1534" s="954"/>
      <c r="N1534" s="954"/>
      <c r="O1534" s="954"/>
      <c r="P1534" s="954"/>
      <c r="Q1534" s="954"/>
      <c r="R1534" s="954"/>
      <c r="S1534" s="954"/>
      <c r="T1534" s="954"/>
      <c r="U1534" s="954"/>
    </row>
    <row r="1535" spans="1:21" s="933" customFormat="1" ht="24" customHeight="1">
      <c r="A1535" s="1014"/>
      <c r="B1535" s="2226" t="str">
        <f>"รวมราคารายการที่ "&amp;A1486</f>
        <v>รวมราคารายการที่ 1.13</v>
      </c>
      <c r="C1535" s="2226"/>
      <c r="D1535" s="2226"/>
      <c r="E1535" s="1015"/>
      <c r="F1535" s="1016"/>
      <c r="G1535" s="1017"/>
      <c r="H1535" s="1018">
        <f>ROUND(SUBTOTAL(9,H1486:H1534),2)</f>
        <v>4536723.63</v>
      </c>
      <c r="I1535" s="1019"/>
      <c r="J1535" s="1018">
        <f>ROUND(SUBTOTAL(9,J1486:J1534),2)</f>
        <v>781003.85</v>
      </c>
      <c r="K1535" s="1018">
        <f>ROUND(SUBTOTAL(9,K1486:K1534),2)</f>
        <v>5317727.4800000004</v>
      </c>
      <c r="L1535" s="1018"/>
      <c r="M1535" s="954"/>
      <c r="N1535" s="954"/>
      <c r="O1535" s="954"/>
      <c r="P1535" s="954"/>
      <c r="Q1535" s="954"/>
      <c r="R1535" s="954"/>
      <c r="S1535" s="954"/>
      <c r="T1535" s="954"/>
      <c r="U1535" s="954"/>
    </row>
    <row r="1536" spans="1:21" s="933" customFormat="1" ht="24" customHeight="1">
      <c r="A1536" s="1036" t="s">
        <v>1006</v>
      </c>
      <c r="B1536" s="1037" t="s">
        <v>1007</v>
      </c>
      <c r="C1536" s="1038"/>
      <c r="D1536" s="1038"/>
      <c r="E1536" s="1039"/>
      <c r="F1536" s="982"/>
      <c r="G1536" s="961"/>
      <c r="H1536" s="962"/>
      <c r="I1536" s="963"/>
      <c r="J1536" s="962"/>
      <c r="K1536" s="964"/>
      <c r="L1536" s="1004"/>
      <c r="M1536" s="954"/>
      <c r="N1536" s="954"/>
      <c r="O1536" s="954"/>
      <c r="P1536" s="954"/>
      <c r="Q1536" s="954"/>
      <c r="R1536" s="954"/>
      <c r="S1536" s="954"/>
      <c r="T1536" s="954"/>
      <c r="U1536" s="954"/>
    </row>
    <row r="1537" spans="1:21" s="933" customFormat="1" ht="24" customHeight="1">
      <c r="A1537" s="1040"/>
      <c r="B1537" s="1041" t="s">
        <v>1008</v>
      </c>
      <c r="C1537" s="59"/>
      <c r="D1537" s="59"/>
      <c r="E1537" s="978"/>
      <c r="F1537" s="974"/>
      <c r="G1537" s="969"/>
      <c r="H1537" s="930"/>
      <c r="I1537" s="970"/>
      <c r="J1537" s="930"/>
      <c r="K1537" s="931"/>
      <c r="L1537" s="971"/>
      <c r="M1537" s="954"/>
      <c r="N1537" s="954"/>
      <c r="O1537" s="954"/>
      <c r="P1537" s="954"/>
      <c r="Q1537" s="954"/>
      <c r="R1537" s="954"/>
      <c r="S1537" s="954"/>
      <c r="T1537" s="954"/>
      <c r="U1537" s="954"/>
    </row>
    <row r="1538" spans="1:21" s="933" customFormat="1" ht="24" customHeight="1">
      <c r="A1538" s="1040"/>
      <c r="B1538" s="1041"/>
      <c r="C1538" s="1042" t="s">
        <v>1009</v>
      </c>
      <c r="D1538" s="1042"/>
      <c r="E1538" s="978">
        <v>9544.26</v>
      </c>
      <c r="F1538" s="974" t="s">
        <v>870</v>
      </c>
      <c r="G1538" s="969">
        <v>32.549999999999997</v>
      </c>
      <c r="H1538" s="930">
        <f t="shared" ref="H1538:H1551" si="314">ROUND(E1538*G1538,2)</f>
        <v>310665.65999999997</v>
      </c>
      <c r="I1538" s="970">
        <v>14</v>
      </c>
      <c r="J1538" s="930">
        <f t="shared" ref="J1538:J1551" si="315">ROUND(E1538*I1538,2)</f>
        <v>133619.64000000001</v>
      </c>
      <c r="K1538" s="931">
        <f t="shared" ref="K1538:K1539" si="316">H1538+J1538</f>
        <v>444285.3</v>
      </c>
      <c r="L1538" s="971"/>
      <c r="M1538" s="954"/>
      <c r="N1538" s="954"/>
      <c r="O1538" s="954"/>
      <c r="P1538" s="954"/>
      <c r="Q1538" s="954"/>
      <c r="R1538" s="954"/>
      <c r="S1538" s="954"/>
      <c r="T1538" s="954"/>
      <c r="U1538" s="954"/>
    </row>
    <row r="1539" spans="1:21" s="933" customFormat="1" ht="24" customHeight="1">
      <c r="A1539" s="1040"/>
      <c r="B1539" s="1041"/>
      <c r="C1539" s="1042" t="s">
        <v>1010</v>
      </c>
      <c r="D1539" s="1042"/>
      <c r="E1539" s="978">
        <v>24288.969999999998</v>
      </c>
      <c r="F1539" s="974" t="s">
        <v>870</v>
      </c>
      <c r="G1539" s="969">
        <v>32.950000000000003</v>
      </c>
      <c r="H1539" s="930">
        <f t="shared" si="314"/>
        <v>800321.56</v>
      </c>
      <c r="I1539" s="970">
        <v>14</v>
      </c>
      <c r="J1539" s="930">
        <f t="shared" si="315"/>
        <v>340045.58</v>
      </c>
      <c r="K1539" s="931">
        <f t="shared" si="316"/>
        <v>1140367.1400000001</v>
      </c>
      <c r="L1539" s="971"/>
      <c r="M1539" s="954"/>
      <c r="N1539" s="954"/>
      <c r="O1539" s="954"/>
      <c r="P1539" s="954"/>
      <c r="Q1539" s="954"/>
      <c r="R1539" s="954"/>
      <c r="S1539" s="954"/>
      <c r="T1539" s="954"/>
      <c r="U1539" s="954"/>
    </row>
    <row r="1540" spans="1:21" s="933" customFormat="1" ht="24" customHeight="1">
      <c r="A1540" s="1043"/>
      <c r="B1540" s="1041"/>
      <c r="C1540" s="59" t="s">
        <v>1011</v>
      </c>
      <c r="D1540" s="59"/>
      <c r="E1540" s="1044">
        <v>3905.82</v>
      </c>
      <c r="F1540" s="974" t="s">
        <v>870</v>
      </c>
      <c r="G1540" s="969">
        <v>33.1</v>
      </c>
      <c r="H1540" s="930">
        <f t="shared" si="314"/>
        <v>129282.64</v>
      </c>
      <c r="I1540" s="970">
        <v>14</v>
      </c>
      <c r="J1540" s="930">
        <f t="shared" si="315"/>
        <v>54681.48</v>
      </c>
      <c r="K1540" s="931">
        <f>H1540+J1540</f>
        <v>183964.12</v>
      </c>
      <c r="L1540" s="971"/>
      <c r="M1540" s="954"/>
      <c r="N1540" s="954"/>
      <c r="O1540" s="954"/>
      <c r="P1540" s="954"/>
      <c r="Q1540" s="954"/>
      <c r="R1540" s="954"/>
      <c r="S1540" s="954"/>
      <c r="T1540" s="954"/>
      <c r="U1540" s="954"/>
    </row>
    <row r="1541" spans="1:21" s="933" customFormat="1" ht="24" customHeight="1">
      <c r="A1541" s="1040"/>
      <c r="B1541" s="1041"/>
      <c r="C1541" s="59" t="s">
        <v>1012</v>
      </c>
      <c r="D1541" s="59"/>
      <c r="E1541" s="1044">
        <v>5882.4</v>
      </c>
      <c r="F1541" s="974" t="s">
        <v>870</v>
      </c>
      <c r="G1541" s="969">
        <v>33</v>
      </c>
      <c r="H1541" s="930">
        <f t="shared" si="314"/>
        <v>194119.2</v>
      </c>
      <c r="I1541" s="970">
        <v>14</v>
      </c>
      <c r="J1541" s="930">
        <f t="shared" si="315"/>
        <v>82353.600000000006</v>
      </c>
      <c r="K1541" s="931">
        <f t="shared" ref="K1541:K1551" si="317">H1541+J1541</f>
        <v>276472.80000000005</v>
      </c>
      <c r="L1541" s="971"/>
      <c r="M1541" s="954"/>
      <c r="N1541" s="954"/>
      <c r="O1541" s="954"/>
      <c r="P1541" s="954"/>
      <c r="Q1541" s="954"/>
      <c r="R1541" s="954"/>
      <c r="S1541" s="954"/>
      <c r="T1541" s="954"/>
      <c r="U1541" s="954"/>
    </row>
    <row r="1542" spans="1:21" s="933" customFormat="1" ht="24" customHeight="1">
      <c r="A1542" s="1040"/>
      <c r="B1542" s="1041"/>
      <c r="C1542" s="59" t="s">
        <v>1013</v>
      </c>
      <c r="D1542" s="59"/>
      <c r="E1542" s="1044">
        <v>12551.400000000001</v>
      </c>
      <c r="F1542" s="974" t="s">
        <v>870</v>
      </c>
      <c r="G1542" s="969">
        <v>33.5</v>
      </c>
      <c r="H1542" s="930">
        <f t="shared" si="314"/>
        <v>420471.9</v>
      </c>
      <c r="I1542" s="970">
        <v>14</v>
      </c>
      <c r="J1542" s="930">
        <f t="shared" si="315"/>
        <v>175719.6</v>
      </c>
      <c r="K1542" s="931">
        <f t="shared" si="317"/>
        <v>596191.5</v>
      </c>
      <c r="L1542" s="971"/>
      <c r="M1542" s="954"/>
      <c r="N1542" s="954"/>
      <c r="O1542" s="954"/>
      <c r="P1542" s="954"/>
      <c r="Q1542" s="954"/>
      <c r="R1542" s="954"/>
      <c r="S1542" s="954"/>
      <c r="T1542" s="954"/>
      <c r="U1542" s="954"/>
    </row>
    <row r="1543" spans="1:21" s="933" customFormat="1" ht="24" customHeight="1">
      <c r="A1543" s="1040"/>
      <c r="B1543" s="1041"/>
      <c r="C1543" s="59" t="s">
        <v>1014</v>
      </c>
      <c r="D1543" s="59"/>
      <c r="E1543" s="1044">
        <v>4229.7</v>
      </c>
      <c r="F1543" s="974" t="s">
        <v>870</v>
      </c>
      <c r="G1543" s="969">
        <v>33.15</v>
      </c>
      <c r="H1543" s="930">
        <f t="shared" si="314"/>
        <v>140214.56</v>
      </c>
      <c r="I1543" s="970">
        <v>14</v>
      </c>
      <c r="J1543" s="930">
        <f t="shared" si="315"/>
        <v>59215.8</v>
      </c>
      <c r="K1543" s="931">
        <f t="shared" si="317"/>
        <v>199430.36</v>
      </c>
      <c r="L1543" s="971"/>
      <c r="M1543" s="954"/>
      <c r="N1543" s="954"/>
      <c r="O1543" s="954"/>
      <c r="P1543" s="954"/>
      <c r="Q1543" s="954"/>
      <c r="R1543" s="954"/>
      <c r="S1543" s="954"/>
      <c r="T1543" s="954"/>
      <c r="U1543" s="954"/>
    </row>
    <row r="1544" spans="1:21" s="933" customFormat="1" ht="24" customHeight="1">
      <c r="A1544" s="1040"/>
      <c r="B1544" s="1041"/>
      <c r="C1544" s="59" t="s">
        <v>1015</v>
      </c>
      <c r="D1544" s="59"/>
      <c r="E1544" s="1044">
        <v>6111.84</v>
      </c>
      <c r="F1544" s="974" t="s">
        <v>870</v>
      </c>
      <c r="G1544" s="969">
        <v>31.84</v>
      </c>
      <c r="H1544" s="930">
        <f t="shared" si="314"/>
        <v>194600.99</v>
      </c>
      <c r="I1544" s="970">
        <v>14</v>
      </c>
      <c r="J1544" s="930">
        <f t="shared" si="315"/>
        <v>85565.759999999995</v>
      </c>
      <c r="K1544" s="931">
        <f t="shared" si="317"/>
        <v>280166.75</v>
      </c>
      <c r="L1544" s="971"/>
      <c r="M1544" s="954"/>
      <c r="N1544" s="954"/>
      <c r="O1544" s="954"/>
      <c r="P1544" s="954"/>
      <c r="Q1544" s="954"/>
      <c r="R1544" s="954"/>
      <c r="S1544" s="954"/>
      <c r="T1544" s="954"/>
      <c r="U1544" s="954"/>
    </row>
    <row r="1545" spans="1:21" s="933" customFormat="1" ht="24" customHeight="1">
      <c r="A1545" s="1040"/>
      <c r="B1545" s="1041"/>
      <c r="C1545" s="59" t="s">
        <v>1016</v>
      </c>
      <c r="D1545" s="59"/>
      <c r="E1545" s="1044">
        <v>475.02</v>
      </c>
      <c r="F1545" s="974" t="s">
        <v>870</v>
      </c>
      <c r="G1545" s="969">
        <v>22.81</v>
      </c>
      <c r="H1545" s="930">
        <f t="shared" si="314"/>
        <v>10835.21</v>
      </c>
      <c r="I1545" s="970">
        <v>14</v>
      </c>
      <c r="J1545" s="930">
        <f t="shared" si="315"/>
        <v>6650.28</v>
      </c>
      <c r="K1545" s="931">
        <f t="shared" si="317"/>
        <v>17485.489999999998</v>
      </c>
      <c r="L1545" s="971"/>
      <c r="M1545" s="954"/>
      <c r="N1545" s="954"/>
      <c r="O1545" s="954"/>
      <c r="P1545" s="954"/>
      <c r="Q1545" s="954"/>
      <c r="R1545" s="954"/>
      <c r="S1545" s="954"/>
      <c r="T1545" s="954"/>
      <c r="U1545" s="954"/>
    </row>
    <row r="1546" spans="1:21" s="933" customFormat="1" ht="24" customHeight="1">
      <c r="A1546" s="1040"/>
      <c r="B1546" s="1041"/>
      <c r="C1546" s="59" t="s">
        <v>1017</v>
      </c>
      <c r="D1546" s="59"/>
      <c r="E1546" s="1044">
        <v>192.6</v>
      </c>
      <c r="F1546" s="974" t="s">
        <v>870</v>
      </c>
      <c r="G1546" s="969">
        <v>25.61</v>
      </c>
      <c r="H1546" s="930">
        <f t="shared" si="314"/>
        <v>4932.49</v>
      </c>
      <c r="I1546" s="970">
        <v>14</v>
      </c>
      <c r="J1546" s="930">
        <f t="shared" si="315"/>
        <v>2696.4</v>
      </c>
      <c r="K1546" s="931">
        <f t="shared" si="317"/>
        <v>7628.8899999999994</v>
      </c>
      <c r="L1546" s="971"/>
      <c r="M1546" s="954"/>
      <c r="N1546" s="954"/>
      <c r="O1546" s="954"/>
      <c r="P1546" s="954"/>
      <c r="Q1546" s="954"/>
      <c r="R1546" s="954"/>
      <c r="S1546" s="954"/>
      <c r="T1546" s="954"/>
      <c r="U1546" s="954"/>
    </row>
    <row r="1547" spans="1:21" s="933" customFormat="1" ht="24" customHeight="1">
      <c r="A1547" s="1040"/>
      <c r="B1547" s="1041"/>
      <c r="C1547" s="59" t="s">
        <v>1040</v>
      </c>
      <c r="D1547" s="59"/>
      <c r="E1547" s="1044">
        <v>576.82000000000005</v>
      </c>
      <c r="F1547" s="974" t="s">
        <v>870</v>
      </c>
      <c r="G1547" s="969">
        <v>32.630000000000003</v>
      </c>
      <c r="H1547" s="930">
        <f t="shared" si="314"/>
        <v>18821.64</v>
      </c>
      <c r="I1547" s="970">
        <v>14</v>
      </c>
      <c r="J1547" s="930">
        <f t="shared" si="315"/>
        <v>8075.48</v>
      </c>
      <c r="K1547" s="931">
        <f t="shared" si="317"/>
        <v>26897.119999999999</v>
      </c>
      <c r="L1547" s="971"/>
      <c r="M1547" s="954"/>
      <c r="N1547" s="954"/>
      <c r="O1547" s="954"/>
      <c r="P1547" s="954"/>
      <c r="Q1547" s="954"/>
      <c r="R1547" s="954"/>
      <c r="S1547" s="954"/>
      <c r="T1547" s="954"/>
      <c r="U1547" s="954"/>
    </row>
    <row r="1548" spans="1:21" s="933" customFormat="1" ht="24" customHeight="1">
      <c r="A1548" s="1040"/>
      <c r="B1548" s="1041"/>
      <c r="C1548" s="59" t="s">
        <v>1041</v>
      </c>
      <c r="D1548" s="59"/>
      <c r="E1548" s="1044">
        <v>769.31</v>
      </c>
      <c r="F1548" s="974" t="s">
        <v>870</v>
      </c>
      <c r="G1548" s="969">
        <v>33.6</v>
      </c>
      <c r="H1548" s="930">
        <f t="shared" si="314"/>
        <v>25848.82</v>
      </c>
      <c r="I1548" s="970">
        <v>14</v>
      </c>
      <c r="J1548" s="930">
        <f t="shared" si="315"/>
        <v>10770.34</v>
      </c>
      <c r="K1548" s="931">
        <f t="shared" si="317"/>
        <v>36619.160000000003</v>
      </c>
      <c r="L1548" s="971"/>
      <c r="M1548" s="954"/>
      <c r="N1548" s="954"/>
      <c r="O1548" s="954"/>
      <c r="P1548" s="954"/>
      <c r="Q1548" s="954"/>
      <c r="R1548" s="954"/>
      <c r="S1548" s="954"/>
      <c r="T1548" s="954"/>
      <c r="U1548" s="954"/>
    </row>
    <row r="1549" spans="1:21" s="933" customFormat="1" ht="24" customHeight="1">
      <c r="A1549" s="1040"/>
      <c r="B1549" s="1041"/>
      <c r="C1549" s="59" t="s">
        <v>1042</v>
      </c>
      <c r="D1549" s="59"/>
      <c r="E1549" s="1044">
        <v>481.23</v>
      </c>
      <c r="F1549" s="974" t="s">
        <v>870</v>
      </c>
      <c r="G1549" s="969">
        <v>33.659999999999997</v>
      </c>
      <c r="H1549" s="930">
        <f t="shared" si="314"/>
        <v>16198.2</v>
      </c>
      <c r="I1549" s="970">
        <v>14</v>
      </c>
      <c r="J1549" s="930">
        <f t="shared" si="315"/>
        <v>6737.22</v>
      </c>
      <c r="K1549" s="931">
        <f t="shared" si="317"/>
        <v>22935.420000000002</v>
      </c>
      <c r="L1549" s="971"/>
      <c r="M1549" s="954"/>
      <c r="N1549" s="954"/>
      <c r="O1549" s="954"/>
      <c r="P1549" s="954"/>
      <c r="Q1549" s="954"/>
      <c r="R1549" s="954"/>
      <c r="S1549" s="954"/>
      <c r="T1549" s="954"/>
      <c r="U1549" s="954"/>
    </row>
    <row r="1550" spans="1:21" s="933" customFormat="1" ht="24" customHeight="1">
      <c r="A1550" s="1040"/>
      <c r="B1550" s="1041"/>
      <c r="C1550" s="59" t="s">
        <v>1018</v>
      </c>
      <c r="D1550" s="59"/>
      <c r="E1550" s="985">
        <v>384</v>
      </c>
      <c r="F1550" s="974" t="s">
        <v>174</v>
      </c>
      <c r="G1550" s="969">
        <v>2.72</v>
      </c>
      <c r="H1550" s="930">
        <f t="shared" si="314"/>
        <v>1044.48</v>
      </c>
      <c r="I1550" s="970"/>
      <c r="J1550" s="930">
        <f t="shared" si="315"/>
        <v>0</v>
      </c>
      <c r="K1550" s="931">
        <f t="shared" si="317"/>
        <v>1044.48</v>
      </c>
      <c r="L1550" s="971"/>
      <c r="M1550" s="954"/>
      <c r="N1550" s="954"/>
      <c r="O1550" s="954"/>
      <c r="P1550" s="954"/>
      <c r="Q1550" s="954"/>
      <c r="R1550" s="954"/>
      <c r="S1550" s="954"/>
      <c r="T1550" s="954"/>
      <c r="U1550" s="954"/>
    </row>
    <row r="1551" spans="1:21" s="933" customFormat="1" ht="24" customHeight="1">
      <c r="A1551" s="1040"/>
      <c r="B1551" s="1041"/>
      <c r="C1551" s="59" t="s">
        <v>1019</v>
      </c>
      <c r="D1551" s="59"/>
      <c r="E1551" s="985">
        <v>304</v>
      </c>
      <c r="F1551" s="974" t="s">
        <v>174</v>
      </c>
      <c r="G1551" s="969">
        <v>78</v>
      </c>
      <c r="H1551" s="930">
        <f t="shared" si="314"/>
        <v>23712</v>
      </c>
      <c r="I1551" s="970"/>
      <c r="J1551" s="930">
        <f t="shared" si="315"/>
        <v>0</v>
      </c>
      <c r="K1551" s="931">
        <f t="shared" si="317"/>
        <v>23712</v>
      </c>
      <c r="L1551" s="971"/>
      <c r="M1551" s="954"/>
      <c r="N1551" s="954"/>
      <c r="O1551" s="954"/>
      <c r="P1551" s="954"/>
      <c r="Q1551" s="954"/>
      <c r="R1551" s="954"/>
      <c r="S1551" s="954"/>
      <c r="T1551" s="954"/>
      <c r="U1551" s="954"/>
    </row>
    <row r="1552" spans="1:21" s="933" customFormat="1" ht="24" customHeight="1">
      <c r="A1552" s="1040"/>
      <c r="B1552" s="1041"/>
      <c r="C1552" s="59"/>
      <c r="D1552" s="59"/>
      <c r="E1552" s="985"/>
      <c r="F1552" s="974"/>
      <c r="G1552" s="969"/>
      <c r="H1552" s="930"/>
      <c r="I1552" s="970"/>
      <c r="J1552" s="930"/>
      <c r="K1552" s="931"/>
      <c r="L1552" s="971"/>
      <c r="M1552" s="954"/>
      <c r="N1552" s="954"/>
      <c r="O1552" s="954"/>
      <c r="P1552" s="954"/>
      <c r="Q1552" s="954"/>
      <c r="R1552" s="954"/>
      <c r="S1552" s="954"/>
      <c r="T1552" s="954"/>
      <c r="U1552" s="954"/>
    </row>
    <row r="1553" spans="1:21" s="933" customFormat="1" ht="24" customHeight="1">
      <c r="A1553" s="1040"/>
      <c r="B1553" s="1041"/>
      <c r="C1553" s="59"/>
      <c r="D1553" s="59"/>
      <c r="E1553" s="985"/>
      <c r="F1553" s="974"/>
      <c r="G1553" s="969"/>
      <c r="H1553" s="930"/>
      <c r="I1553" s="970"/>
      <c r="J1553" s="930"/>
      <c r="K1553" s="931"/>
      <c r="L1553" s="971"/>
      <c r="M1553" s="954"/>
      <c r="N1553" s="954"/>
      <c r="O1553" s="954"/>
      <c r="P1553" s="954"/>
      <c r="Q1553" s="954"/>
      <c r="R1553" s="954"/>
      <c r="S1553" s="954"/>
      <c r="T1553" s="954"/>
      <c r="U1553" s="954"/>
    </row>
    <row r="1554" spans="1:21" s="933" customFormat="1" ht="24" customHeight="1">
      <c r="A1554" s="1040"/>
      <c r="B1554" s="1041"/>
      <c r="C1554" s="59"/>
      <c r="D1554" s="59"/>
      <c r="E1554" s="985"/>
      <c r="F1554" s="974"/>
      <c r="G1554" s="969"/>
      <c r="H1554" s="930"/>
      <c r="I1554" s="970"/>
      <c r="J1554" s="930"/>
      <c r="K1554" s="931"/>
      <c r="L1554" s="971"/>
      <c r="M1554" s="954"/>
      <c r="N1554" s="954"/>
      <c r="O1554" s="954"/>
      <c r="P1554" s="954"/>
      <c r="Q1554" s="954"/>
      <c r="R1554" s="954"/>
      <c r="S1554" s="954"/>
      <c r="T1554" s="954"/>
      <c r="U1554" s="954"/>
    </row>
    <row r="1555" spans="1:21" s="933" customFormat="1" ht="24" customHeight="1">
      <c r="A1555" s="1040"/>
      <c r="B1555" s="1041"/>
      <c r="C1555" s="59"/>
      <c r="D1555" s="59"/>
      <c r="E1555" s="985"/>
      <c r="F1555" s="974"/>
      <c r="G1555" s="969"/>
      <c r="H1555" s="930"/>
      <c r="I1555" s="970"/>
      <c r="J1555" s="930"/>
      <c r="K1555" s="931"/>
      <c r="L1555" s="971"/>
      <c r="M1555" s="954"/>
      <c r="N1555" s="954"/>
      <c r="O1555" s="954"/>
      <c r="P1555" s="954"/>
      <c r="Q1555" s="954"/>
      <c r="R1555" s="954"/>
      <c r="S1555" s="954"/>
      <c r="T1555" s="954"/>
      <c r="U1555" s="954"/>
    </row>
    <row r="1556" spans="1:21" s="933" customFormat="1" ht="24" customHeight="1">
      <c r="A1556" s="1040"/>
      <c r="B1556" s="1041"/>
      <c r="C1556" s="59"/>
      <c r="D1556" s="59"/>
      <c r="E1556" s="985"/>
      <c r="F1556" s="974"/>
      <c r="G1556" s="969"/>
      <c r="H1556" s="930"/>
      <c r="I1556" s="970"/>
      <c r="J1556" s="930"/>
      <c r="K1556" s="931"/>
      <c r="L1556" s="971"/>
      <c r="M1556" s="954"/>
      <c r="N1556" s="954"/>
      <c r="O1556" s="954"/>
      <c r="P1556" s="954"/>
      <c r="Q1556" s="954"/>
      <c r="R1556" s="954"/>
      <c r="S1556" s="954"/>
      <c r="T1556" s="954"/>
      <c r="U1556" s="954"/>
    </row>
    <row r="1557" spans="1:21" s="933" customFormat="1" ht="24" customHeight="1">
      <c r="A1557" s="1040"/>
      <c r="B1557" s="1041"/>
      <c r="C1557" s="59"/>
      <c r="D1557" s="59"/>
      <c r="E1557" s="985"/>
      <c r="F1557" s="974"/>
      <c r="G1557" s="969"/>
      <c r="H1557" s="930"/>
      <c r="I1557" s="970"/>
      <c r="J1557" s="930"/>
      <c r="K1557" s="931"/>
      <c r="L1557" s="971"/>
      <c r="M1557" s="954"/>
      <c r="N1557" s="954"/>
      <c r="O1557" s="954"/>
      <c r="P1557" s="954"/>
      <c r="Q1557" s="954"/>
      <c r="R1557" s="954"/>
      <c r="S1557" s="954"/>
      <c r="T1557" s="954"/>
      <c r="U1557" s="954"/>
    </row>
    <row r="1558" spans="1:21" s="933" customFormat="1" ht="24" customHeight="1">
      <c r="A1558" s="1040"/>
      <c r="B1558" s="1041"/>
      <c r="C1558" s="59"/>
      <c r="D1558" s="59"/>
      <c r="E1558" s="985"/>
      <c r="F1558" s="974"/>
      <c r="G1558" s="969"/>
      <c r="H1558" s="930"/>
      <c r="I1558" s="970"/>
      <c r="J1558" s="930"/>
      <c r="K1558" s="931"/>
      <c r="L1558" s="971"/>
      <c r="M1558" s="954"/>
      <c r="N1558" s="954"/>
      <c r="O1558" s="954"/>
      <c r="P1558" s="954"/>
      <c r="Q1558" s="954"/>
      <c r="R1558" s="954"/>
      <c r="S1558" s="954"/>
      <c r="T1558" s="954"/>
      <c r="U1558" s="954"/>
    </row>
    <row r="1559" spans="1:21" s="933" customFormat="1" ht="24" customHeight="1">
      <c r="A1559" s="1040"/>
      <c r="B1559" s="1041"/>
      <c r="C1559" s="59"/>
      <c r="D1559" s="59"/>
      <c r="E1559" s="985"/>
      <c r="F1559" s="974"/>
      <c r="G1559" s="969"/>
      <c r="H1559" s="930"/>
      <c r="I1559" s="970"/>
      <c r="J1559" s="930"/>
      <c r="K1559" s="931"/>
      <c r="L1559" s="971"/>
      <c r="M1559" s="954"/>
      <c r="N1559" s="954"/>
      <c r="O1559" s="954"/>
      <c r="P1559" s="954"/>
      <c r="Q1559" s="954"/>
      <c r="R1559" s="954"/>
      <c r="S1559" s="954"/>
      <c r="T1559" s="954"/>
      <c r="U1559" s="954"/>
    </row>
    <row r="1560" spans="1:21" s="933" customFormat="1" ht="24" customHeight="1">
      <c r="A1560" s="1045"/>
      <c r="B1560" s="2227" t="str">
        <f>"รวมราคารายการที่ "&amp;A1536</f>
        <v>รวมราคารายการที่ 1.14</v>
      </c>
      <c r="C1560" s="2227"/>
      <c r="D1560" s="2227"/>
      <c r="E1560" s="1046"/>
      <c r="F1560" s="1047"/>
      <c r="G1560" s="1048"/>
      <c r="H1560" s="1049">
        <f>ROUND(SUBTOTAL(9,H1537:H1559),2)</f>
        <v>2291069.35</v>
      </c>
      <c r="I1560" s="1050"/>
      <c r="J1560" s="1049">
        <f>ROUND(SUBTOTAL(9,J1537:J1559),2)</f>
        <v>966131.18</v>
      </c>
      <c r="K1560" s="1049">
        <f>ROUND(SUBTOTAL(9,K1537:K1559),2)</f>
        <v>3257200.53</v>
      </c>
      <c r="L1560" s="1049"/>
      <c r="M1560" s="954"/>
      <c r="N1560" s="954"/>
      <c r="O1560" s="954"/>
      <c r="P1560" s="954"/>
      <c r="Q1560" s="954"/>
      <c r="R1560" s="954"/>
      <c r="S1560" s="954"/>
      <c r="T1560" s="954"/>
      <c r="U1560" s="954"/>
    </row>
    <row r="1561" spans="1:21" s="933" customFormat="1" ht="24" customHeight="1">
      <c r="A1561" s="1036" t="s">
        <v>1020</v>
      </c>
      <c r="B1561" s="1037" t="s">
        <v>37</v>
      </c>
      <c r="C1561" s="1038"/>
      <c r="D1561" s="1038"/>
      <c r="E1561" s="988"/>
      <c r="F1561" s="989"/>
      <c r="G1561" s="983"/>
      <c r="H1561" s="990"/>
      <c r="I1561" s="984"/>
      <c r="J1561" s="990"/>
      <c r="K1561" s="991"/>
      <c r="L1561" s="992"/>
      <c r="M1561" s="954"/>
      <c r="N1561" s="954"/>
      <c r="O1561" s="954"/>
      <c r="P1561" s="954"/>
      <c r="Q1561" s="954"/>
      <c r="R1561" s="954"/>
      <c r="S1561" s="954"/>
      <c r="T1561" s="954"/>
      <c r="U1561" s="954"/>
    </row>
    <row r="1562" spans="1:21" s="933" customFormat="1" ht="24" customHeight="1">
      <c r="A1562" s="1026" t="s">
        <v>1021</v>
      </c>
      <c r="B1562" s="1030" t="s">
        <v>1022</v>
      </c>
      <c r="C1562" s="976"/>
      <c r="D1562" s="976"/>
      <c r="E1562" s="978"/>
      <c r="F1562" s="974"/>
      <c r="G1562" s="969"/>
      <c r="H1562" s="930"/>
      <c r="I1562" s="970"/>
      <c r="J1562" s="930"/>
      <c r="K1562" s="931"/>
      <c r="L1562" s="971"/>
      <c r="M1562" s="954"/>
      <c r="N1562" s="954"/>
      <c r="O1562" s="954"/>
      <c r="P1562" s="954"/>
      <c r="Q1562" s="954"/>
      <c r="R1562" s="954"/>
      <c r="S1562" s="954"/>
      <c r="T1562" s="954"/>
      <c r="U1562" s="954"/>
    </row>
    <row r="1563" spans="1:21" s="933" customFormat="1" ht="24" customHeight="1">
      <c r="A1563" s="928"/>
      <c r="B1563" s="976" t="s">
        <v>864</v>
      </c>
      <c r="C1563" s="977"/>
      <c r="D1563" s="977"/>
      <c r="E1563" s="978">
        <v>117.04</v>
      </c>
      <c r="F1563" s="974" t="s">
        <v>865</v>
      </c>
      <c r="G1563" s="969">
        <v>2516</v>
      </c>
      <c r="H1563" s="930">
        <f t="shared" ref="H1563:H1577" si="318">ROUND(E1563*G1563,2)</f>
        <v>294472.64</v>
      </c>
      <c r="I1563" s="970">
        <v>485</v>
      </c>
      <c r="J1563" s="930">
        <f t="shared" ref="J1563:J1577" si="319">ROUND(E1563*I1563,2)</f>
        <v>56764.4</v>
      </c>
      <c r="K1563" s="931">
        <f t="shared" ref="K1563:K1577" si="320">H1563+J1563</f>
        <v>351237.04000000004</v>
      </c>
      <c r="L1563" s="971"/>
      <c r="M1563" s="954"/>
      <c r="N1563" s="954"/>
      <c r="O1563" s="954"/>
      <c r="P1563" s="954"/>
      <c r="Q1563" s="954"/>
      <c r="R1563" s="954"/>
      <c r="S1563" s="954"/>
      <c r="T1563" s="954"/>
      <c r="U1563" s="954"/>
    </row>
    <row r="1564" spans="1:21" s="933" customFormat="1" ht="24" customHeight="1">
      <c r="A1564" s="928"/>
      <c r="B1564" s="979" t="s">
        <v>866</v>
      </c>
      <c r="C1564" s="976"/>
      <c r="D1564" s="976"/>
      <c r="E1564" s="978"/>
      <c r="F1564" s="974"/>
      <c r="G1564" s="969"/>
      <c r="H1564" s="930">
        <f t="shared" si="318"/>
        <v>0</v>
      </c>
      <c r="I1564" s="970"/>
      <c r="J1564" s="930">
        <f t="shared" si="319"/>
        <v>0</v>
      </c>
      <c r="K1564" s="931">
        <f t="shared" si="320"/>
        <v>0</v>
      </c>
      <c r="L1564" s="971"/>
      <c r="M1564" s="954"/>
      <c r="N1564" s="954"/>
      <c r="O1564" s="954"/>
      <c r="P1564" s="954"/>
      <c r="Q1564" s="954"/>
      <c r="R1564" s="954"/>
      <c r="S1564" s="954"/>
      <c r="T1564" s="954"/>
      <c r="U1564" s="954"/>
    </row>
    <row r="1565" spans="1:21" s="933" customFormat="1" ht="24" customHeight="1">
      <c r="A1565" s="928"/>
      <c r="B1565" s="979"/>
      <c r="C1565" s="976" t="s">
        <v>867</v>
      </c>
      <c r="D1565" s="976"/>
      <c r="E1565" s="978">
        <f>E1566/2</f>
        <v>595.53</v>
      </c>
      <c r="F1565" s="974" t="s">
        <v>34</v>
      </c>
      <c r="G1565" s="969">
        <v>661.62</v>
      </c>
      <c r="H1565" s="930">
        <f t="shared" si="318"/>
        <v>394014.56</v>
      </c>
      <c r="I1565" s="970"/>
      <c r="J1565" s="930">
        <f t="shared" si="319"/>
        <v>0</v>
      </c>
      <c r="K1565" s="931">
        <f t="shared" si="320"/>
        <v>394014.56</v>
      </c>
      <c r="L1565" s="971"/>
      <c r="M1565" s="954"/>
      <c r="N1565" s="954"/>
      <c r="O1565" s="954"/>
      <c r="P1565" s="954"/>
      <c r="Q1565" s="954"/>
      <c r="R1565" s="954"/>
      <c r="S1565" s="954"/>
      <c r="T1565" s="954"/>
      <c r="U1565" s="954"/>
    </row>
    <row r="1566" spans="1:21" s="933" customFormat="1" ht="24" customHeight="1">
      <c r="A1566" s="928"/>
      <c r="B1566" s="979"/>
      <c r="C1566" s="976" t="s">
        <v>868</v>
      </c>
      <c r="D1566" s="976"/>
      <c r="E1566" s="978">
        <v>1191.06</v>
      </c>
      <c r="F1566" s="974" t="s">
        <v>34</v>
      </c>
      <c r="G1566" s="969"/>
      <c r="H1566" s="930">
        <f t="shared" si="318"/>
        <v>0</v>
      </c>
      <c r="I1566" s="970">
        <v>154</v>
      </c>
      <c r="J1566" s="930">
        <f t="shared" si="319"/>
        <v>183423.24</v>
      </c>
      <c r="K1566" s="931">
        <f t="shared" si="320"/>
        <v>183423.24</v>
      </c>
      <c r="L1566" s="971"/>
      <c r="M1566" s="954"/>
      <c r="N1566" s="954"/>
      <c r="O1566" s="954"/>
      <c r="P1566" s="954"/>
      <c r="Q1566" s="954"/>
      <c r="R1566" s="954"/>
      <c r="S1566" s="954"/>
      <c r="T1566" s="954"/>
      <c r="U1566" s="954"/>
    </row>
    <row r="1567" spans="1:21" s="933" customFormat="1" ht="24" customHeight="1">
      <c r="A1567" s="928"/>
      <c r="B1567" s="976" t="s">
        <v>869</v>
      </c>
      <c r="C1567" s="976"/>
      <c r="D1567" s="976"/>
      <c r="E1567" s="978">
        <f>(E1566*0.25)</f>
        <v>297.76499999999999</v>
      </c>
      <c r="F1567" s="974" t="s">
        <v>870</v>
      </c>
      <c r="G1567" s="969">
        <f t="shared" ref="G1567" si="321">VLOOKUP(B1567,$O$43:$P$53,2,FALSE)</f>
        <v>29.94</v>
      </c>
      <c r="H1567" s="930">
        <f t="shared" si="318"/>
        <v>8915.08</v>
      </c>
      <c r="I1567" s="970"/>
      <c r="J1567" s="930">
        <f t="shared" si="319"/>
        <v>0</v>
      </c>
      <c r="K1567" s="931">
        <f t="shared" si="320"/>
        <v>8915.08</v>
      </c>
      <c r="L1567" s="971"/>
      <c r="M1567" s="954"/>
      <c r="N1567" s="954"/>
      <c r="O1567" s="954"/>
      <c r="P1567" s="954"/>
      <c r="Q1567" s="954"/>
      <c r="R1567" s="954"/>
      <c r="S1567" s="954"/>
      <c r="T1567" s="954"/>
      <c r="U1567" s="954"/>
    </row>
    <row r="1568" spans="1:21" s="933" customFormat="1" ht="24" customHeight="1">
      <c r="A1568" s="928"/>
      <c r="B1568" s="976" t="s">
        <v>871</v>
      </c>
      <c r="C1568" s="976"/>
      <c r="D1568" s="976"/>
      <c r="E1568" s="978"/>
      <c r="F1568" s="982"/>
      <c r="G1568" s="983"/>
      <c r="H1568" s="930">
        <f t="shared" si="318"/>
        <v>0</v>
      </c>
      <c r="I1568" s="970"/>
      <c r="J1568" s="930">
        <f t="shared" si="319"/>
        <v>0</v>
      </c>
      <c r="K1568" s="931">
        <f t="shared" si="320"/>
        <v>0</v>
      </c>
      <c r="L1568" s="971"/>
      <c r="M1568" s="954"/>
      <c r="N1568" s="954"/>
      <c r="O1568" s="954"/>
      <c r="P1568" s="954"/>
      <c r="Q1568" s="954"/>
      <c r="R1568" s="954"/>
      <c r="S1568" s="954"/>
      <c r="T1568" s="954"/>
      <c r="U1568" s="954"/>
    </row>
    <row r="1569" spans="1:21" s="933" customFormat="1" ht="24" customHeight="1">
      <c r="A1569" s="928"/>
      <c r="B1569" s="976" t="s">
        <v>872</v>
      </c>
      <c r="C1569" s="976"/>
      <c r="D1569" s="976"/>
      <c r="E1569" s="978"/>
      <c r="F1569" s="974" t="s">
        <v>870</v>
      </c>
      <c r="G1569" s="969">
        <f t="shared" ref="G1569:G1577" si="322">VLOOKUP(B1569,$O$43:$P$53,2,FALSE)</f>
        <v>25.73</v>
      </c>
      <c r="H1569" s="930">
        <f t="shared" si="318"/>
        <v>0</v>
      </c>
      <c r="I1569" s="984">
        <v>4.0999999999999996</v>
      </c>
      <c r="J1569" s="930">
        <f t="shared" si="319"/>
        <v>0</v>
      </c>
      <c r="K1569" s="931">
        <f t="shared" si="320"/>
        <v>0</v>
      </c>
      <c r="L1569" s="971"/>
      <c r="M1569" s="954"/>
      <c r="N1569" s="954"/>
      <c r="O1569" s="954"/>
      <c r="P1569" s="954"/>
      <c r="Q1569" s="954"/>
      <c r="R1569" s="954"/>
      <c r="S1569" s="954"/>
      <c r="T1569" s="954"/>
      <c r="U1569" s="954"/>
    </row>
    <row r="1570" spans="1:21" s="933" customFormat="1" ht="24" customHeight="1">
      <c r="A1570" s="928"/>
      <c r="B1570" s="976" t="s">
        <v>873</v>
      </c>
      <c r="C1570" s="976"/>
      <c r="D1570" s="976"/>
      <c r="E1570" s="978">
        <v>8557.0499999999993</v>
      </c>
      <c r="F1570" s="974" t="s">
        <v>870</v>
      </c>
      <c r="G1570" s="969">
        <f t="shared" si="322"/>
        <v>24.97</v>
      </c>
      <c r="H1570" s="930">
        <f t="shared" si="318"/>
        <v>213669.54</v>
      </c>
      <c r="I1570" s="970">
        <v>4.0999999999999996</v>
      </c>
      <c r="J1570" s="930">
        <f t="shared" si="319"/>
        <v>35083.910000000003</v>
      </c>
      <c r="K1570" s="931">
        <f t="shared" si="320"/>
        <v>248753.45</v>
      </c>
      <c r="L1570" s="971"/>
      <c r="M1570" s="954"/>
      <c r="N1570" s="954"/>
      <c r="O1570" s="954"/>
      <c r="P1570" s="954"/>
      <c r="Q1570" s="954"/>
      <c r="R1570" s="954"/>
      <c r="S1570" s="954"/>
      <c r="T1570" s="954"/>
      <c r="U1570" s="954"/>
    </row>
    <row r="1571" spans="1:21" s="933" customFormat="1" ht="24" customHeight="1">
      <c r="A1571" s="928"/>
      <c r="B1571" s="976" t="s">
        <v>874</v>
      </c>
      <c r="C1571" s="976"/>
      <c r="D1571" s="976"/>
      <c r="E1571" s="978"/>
      <c r="F1571" s="974" t="s">
        <v>870</v>
      </c>
      <c r="G1571" s="969">
        <f t="shared" si="322"/>
        <v>24.47</v>
      </c>
      <c r="H1571" s="930">
        <f t="shared" si="318"/>
        <v>0</v>
      </c>
      <c r="I1571" s="970">
        <v>3.3</v>
      </c>
      <c r="J1571" s="930">
        <f t="shared" si="319"/>
        <v>0</v>
      </c>
      <c r="K1571" s="931">
        <f t="shared" si="320"/>
        <v>0</v>
      </c>
      <c r="L1571" s="971"/>
      <c r="M1571" s="954"/>
      <c r="N1571" s="954"/>
      <c r="O1571" s="954"/>
      <c r="P1571" s="954"/>
      <c r="Q1571" s="954"/>
      <c r="R1571" s="954"/>
      <c r="S1571" s="954"/>
      <c r="T1571" s="954"/>
      <c r="U1571" s="954"/>
    </row>
    <row r="1572" spans="1:21" s="933" customFormat="1" ht="24" customHeight="1">
      <c r="A1572" s="928"/>
      <c r="B1572" s="976" t="s">
        <v>875</v>
      </c>
      <c r="C1572" s="976"/>
      <c r="D1572" s="976"/>
      <c r="E1572" s="978"/>
      <c r="F1572" s="982" t="s">
        <v>870</v>
      </c>
      <c r="G1572" s="969">
        <f t="shared" si="322"/>
        <v>24.27</v>
      </c>
      <c r="H1572" s="930">
        <f t="shared" si="318"/>
        <v>0</v>
      </c>
      <c r="I1572" s="970">
        <v>3.3</v>
      </c>
      <c r="J1572" s="930">
        <f t="shared" si="319"/>
        <v>0</v>
      </c>
      <c r="K1572" s="931">
        <f t="shared" si="320"/>
        <v>0</v>
      </c>
      <c r="L1572" s="971"/>
      <c r="M1572" s="954"/>
      <c r="N1572" s="954"/>
      <c r="O1572" s="954"/>
      <c r="P1572" s="954"/>
      <c r="Q1572" s="954"/>
      <c r="R1572" s="954"/>
      <c r="S1572" s="954"/>
      <c r="T1572" s="954"/>
      <c r="U1572" s="954"/>
    </row>
    <row r="1573" spans="1:21" s="933" customFormat="1" ht="24" customHeight="1">
      <c r="A1573" s="928"/>
      <c r="B1573" s="976" t="s">
        <v>876</v>
      </c>
      <c r="C1573" s="976"/>
      <c r="D1573" s="976"/>
      <c r="E1573" s="978"/>
      <c r="F1573" s="974" t="s">
        <v>870</v>
      </c>
      <c r="G1573" s="969">
        <f t="shared" si="322"/>
        <v>24.27</v>
      </c>
      <c r="H1573" s="930">
        <f t="shared" si="318"/>
        <v>0</v>
      </c>
      <c r="I1573" s="970">
        <v>2.9</v>
      </c>
      <c r="J1573" s="930">
        <f t="shared" si="319"/>
        <v>0</v>
      </c>
      <c r="K1573" s="931">
        <f t="shared" si="320"/>
        <v>0</v>
      </c>
      <c r="L1573" s="971"/>
      <c r="M1573" s="954"/>
      <c r="N1573" s="954"/>
      <c r="O1573" s="954"/>
      <c r="P1573" s="954"/>
      <c r="Q1573" s="954"/>
      <c r="R1573" s="954"/>
      <c r="S1573" s="954"/>
      <c r="T1573" s="954"/>
      <c r="U1573" s="954"/>
    </row>
    <row r="1574" spans="1:21" s="933" customFormat="1" ht="24" customHeight="1">
      <c r="A1574" s="928"/>
      <c r="B1574" s="976" t="s">
        <v>877</v>
      </c>
      <c r="C1574" s="976"/>
      <c r="D1574" s="976"/>
      <c r="E1574" s="978"/>
      <c r="F1574" s="974" t="s">
        <v>870</v>
      </c>
      <c r="G1574" s="969">
        <f t="shared" si="322"/>
        <v>24.27</v>
      </c>
      <c r="H1574" s="930">
        <f t="shared" si="318"/>
        <v>0</v>
      </c>
      <c r="I1574" s="970">
        <v>2.9</v>
      </c>
      <c r="J1574" s="930">
        <f t="shared" si="319"/>
        <v>0</v>
      </c>
      <c r="K1574" s="931">
        <f t="shared" si="320"/>
        <v>0</v>
      </c>
      <c r="L1574" s="971"/>
      <c r="M1574" s="954"/>
      <c r="N1574" s="954"/>
      <c r="O1574" s="954"/>
      <c r="P1574" s="954"/>
      <c r="Q1574" s="954"/>
      <c r="R1574" s="954"/>
      <c r="S1574" s="954"/>
      <c r="T1574" s="954"/>
      <c r="U1574" s="954"/>
    </row>
    <row r="1575" spans="1:21" s="933" customFormat="1" ht="24" customHeight="1">
      <c r="A1575" s="928"/>
      <c r="B1575" s="976" t="s">
        <v>878</v>
      </c>
      <c r="C1575" s="976"/>
      <c r="D1575" s="976"/>
      <c r="E1575" s="978"/>
      <c r="F1575" s="974" t="s">
        <v>870</v>
      </c>
      <c r="G1575" s="969">
        <f t="shared" si="322"/>
        <v>24.27</v>
      </c>
      <c r="H1575" s="930">
        <f t="shared" si="318"/>
        <v>0</v>
      </c>
      <c r="I1575" s="970">
        <v>2.9</v>
      </c>
      <c r="J1575" s="930">
        <f t="shared" si="319"/>
        <v>0</v>
      </c>
      <c r="K1575" s="931">
        <f t="shared" si="320"/>
        <v>0</v>
      </c>
      <c r="L1575" s="971"/>
      <c r="M1575" s="954"/>
      <c r="N1575" s="954"/>
      <c r="O1575" s="954"/>
      <c r="P1575" s="954"/>
      <c r="Q1575" s="954"/>
      <c r="R1575" s="954"/>
      <c r="S1575" s="954"/>
      <c r="T1575" s="954"/>
      <c r="U1575" s="954"/>
    </row>
    <row r="1576" spans="1:21" s="933" customFormat="1" ht="24" customHeight="1">
      <c r="A1576" s="928"/>
      <c r="B1576" s="976" t="s">
        <v>879</v>
      </c>
      <c r="C1576" s="976"/>
      <c r="D1576" s="976"/>
      <c r="E1576" s="978"/>
      <c r="F1576" s="974" t="s">
        <v>870</v>
      </c>
      <c r="G1576" s="969">
        <f t="shared" si="322"/>
        <v>23.8</v>
      </c>
      <c r="H1576" s="930">
        <f t="shared" si="318"/>
        <v>0</v>
      </c>
      <c r="I1576" s="970">
        <v>2.9</v>
      </c>
      <c r="J1576" s="930">
        <f t="shared" si="319"/>
        <v>0</v>
      </c>
      <c r="K1576" s="931">
        <f t="shared" si="320"/>
        <v>0</v>
      </c>
      <c r="L1576" s="971"/>
      <c r="M1576" s="954"/>
      <c r="N1576" s="954"/>
      <c r="O1576" s="954"/>
      <c r="P1576" s="954"/>
      <c r="Q1576" s="954"/>
      <c r="R1576" s="954"/>
      <c r="S1576" s="954"/>
      <c r="T1576" s="954"/>
      <c r="U1576" s="954"/>
    </row>
    <row r="1577" spans="1:21" s="933" customFormat="1" ht="24" customHeight="1">
      <c r="A1577" s="928"/>
      <c r="B1577" s="976" t="s">
        <v>880</v>
      </c>
      <c r="C1577" s="976"/>
      <c r="D1577" s="976"/>
      <c r="E1577" s="978">
        <f>(SUM(E1569:E1576)/1000)*30</f>
        <v>256.71149999999994</v>
      </c>
      <c r="F1577" s="974" t="s">
        <v>870</v>
      </c>
      <c r="G1577" s="969">
        <f t="shared" si="322"/>
        <v>29.92</v>
      </c>
      <c r="H1577" s="930">
        <f t="shared" si="318"/>
        <v>7680.81</v>
      </c>
      <c r="I1577" s="970"/>
      <c r="J1577" s="930">
        <f t="shared" si="319"/>
        <v>0</v>
      </c>
      <c r="K1577" s="931">
        <f t="shared" si="320"/>
        <v>7680.81</v>
      </c>
      <c r="L1577" s="971"/>
      <c r="M1577" s="954"/>
      <c r="N1577" s="954"/>
      <c r="O1577" s="954"/>
      <c r="P1577" s="954"/>
      <c r="Q1577" s="954"/>
      <c r="R1577" s="954"/>
      <c r="S1577" s="954"/>
      <c r="T1577" s="954"/>
      <c r="U1577" s="954"/>
    </row>
    <row r="1578" spans="1:21" s="933" customFormat="1" ht="24" customHeight="1">
      <c r="A1578" s="928"/>
      <c r="B1578" s="976" t="s">
        <v>881</v>
      </c>
      <c r="C1578" s="976"/>
      <c r="D1578" s="976"/>
      <c r="E1578" s="978"/>
      <c r="F1578" s="974"/>
      <c r="G1578" s="969"/>
      <c r="H1578" s="930"/>
      <c r="I1578" s="970"/>
      <c r="J1578" s="930"/>
      <c r="K1578" s="931"/>
      <c r="L1578" s="971"/>
      <c r="M1578" s="954"/>
      <c r="N1578" s="954"/>
      <c r="O1578" s="954"/>
      <c r="P1578" s="954"/>
      <c r="Q1578" s="954"/>
      <c r="R1578" s="954"/>
      <c r="S1578" s="954"/>
      <c r="T1578" s="954"/>
      <c r="U1578" s="954"/>
    </row>
    <row r="1579" spans="1:21" s="933" customFormat="1" ht="24" customHeight="1">
      <c r="A1579" s="928"/>
      <c r="B1579" s="1021"/>
      <c r="C1579" s="976"/>
      <c r="D1579" s="976"/>
      <c r="E1579" s="978"/>
      <c r="F1579" s="974"/>
      <c r="G1579" s="969"/>
      <c r="H1579" s="930"/>
      <c r="I1579" s="970"/>
      <c r="J1579" s="930"/>
      <c r="K1579" s="931"/>
      <c r="L1579" s="971"/>
      <c r="M1579" s="954"/>
      <c r="N1579" s="954"/>
      <c r="O1579" s="954"/>
      <c r="P1579" s="954"/>
      <c r="Q1579" s="954"/>
      <c r="R1579" s="954"/>
      <c r="S1579" s="954"/>
      <c r="T1579" s="954"/>
      <c r="U1579" s="954"/>
    </row>
    <row r="1580" spans="1:21" s="933" customFormat="1" ht="24" customHeight="1">
      <c r="A1580" s="928"/>
      <c r="B1580" s="1021"/>
      <c r="C1580" s="976"/>
      <c r="D1580" s="976"/>
      <c r="E1580" s="978"/>
      <c r="F1580" s="974"/>
      <c r="G1580" s="969"/>
      <c r="H1580" s="930"/>
      <c r="I1580" s="970"/>
      <c r="J1580" s="930"/>
      <c r="K1580" s="931"/>
      <c r="L1580" s="971"/>
      <c r="M1580" s="954"/>
      <c r="N1580" s="954"/>
      <c r="O1580" s="954"/>
      <c r="P1580" s="954"/>
      <c r="Q1580" s="954"/>
      <c r="R1580" s="954"/>
      <c r="S1580" s="954"/>
      <c r="T1580" s="954"/>
      <c r="U1580" s="954"/>
    </row>
    <row r="1581" spans="1:21" s="933" customFormat="1" ht="24" customHeight="1">
      <c r="A1581" s="928"/>
      <c r="B1581" s="1021"/>
      <c r="C1581" s="976"/>
      <c r="D1581" s="976"/>
      <c r="E1581" s="978"/>
      <c r="F1581" s="974"/>
      <c r="G1581" s="969"/>
      <c r="H1581" s="930"/>
      <c r="I1581" s="970"/>
      <c r="J1581" s="930"/>
      <c r="K1581" s="931"/>
      <c r="L1581" s="971"/>
      <c r="M1581" s="954"/>
      <c r="N1581" s="954"/>
      <c r="O1581" s="954"/>
      <c r="P1581" s="954"/>
      <c r="Q1581" s="954"/>
      <c r="R1581" s="954"/>
      <c r="S1581" s="954"/>
      <c r="T1581" s="954"/>
      <c r="U1581" s="954"/>
    </row>
    <row r="1582" spans="1:21" s="933" customFormat="1" ht="24" customHeight="1">
      <c r="A1582" s="928"/>
      <c r="B1582" s="1021"/>
      <c r="C1582" s="976"/>
      <c r="D1582" s="976"/>
      <c r="E1582" s="978"/>
      <c r="F1582" s="974"/>
      <c r="G1582" s="969"/>
      <c r="H1582" s="930"/>
      <c r="I1582" s="970"/>
      <c r="J1582" s="930"/>
      <c r="K1582" s="931"/>
      <c r="L1582" s="971"/>
      <c r="M1582" s="954"/>
      <c r="N1582" s="954"/>
      <c r="O1582" s="954"/>
      <c r="P1582" s="954"/>
      <c r="Q1582" s="954"/>
      <c r="R1582" s="954"/>
      <c r="S1582" s="954"/>
      <c r="T1582" s="954"/>
      <c r="U1582" s="954"/>
    </row>
    <row r="1583" spans="1:21" s="933" customFormat="1" ht="24" customHeight="1">
      <c r="A1583" s="928"/>
      <c r="B1583" s="1021"/>
      <c r="C1583" s="976"/>
      <c r="D1583" s="976"/>
      <c r="E1583" s="978"/>
      <c r="F1583" s="974"/>
      <c r="G1583" s="969"/>
      <c r="H1583" s="930"/>
      <c r="I1583" s="970"/>
      <c r="J1583" s="930"/>
      <c r="K1583" s="931"/>
      <c r="L1583" s="971"/>
      <c r="M1583" s="954"/>
      <c r="N1583" s="954"/>
      <c r="O1583" s="954"/>
      <c r="P1583" s="954"/>
      <c r="Q1583" s="954"/>
      <c r="R1583" s="954"/>
      <c r="S1583" s="954"/>
      <c r="T1583" s="954"/>
      <c r="U1583" s="954"/>
    </row>
    <row r="1584" spans="1:21" s="933" customFormat="1" ht="24" customHeight="1">
      <c r="A1584" s="928"/>
      <c r="B1584" s="1021"/>
      <c r="C1584" s="976"/>
      <c r="D1584" s="976"/>
      <c r="E1584" s="978"/>
      <c r="F1584" s="974"/>
      <c r="G1584" s="969"/>
      <c r="H1584" s="930"/>
      <c r="I1584" s="970"/>
      <c r="J1584" s="930"/>
      <c r="K1584" s="931"/>
      <c r="L1584" s="971"/>
      <c r="M1584" s="954"/>
      <c r="N1584" s="954"/>
      <c r="O1584" s="954"/>
      <c r="P1584" s="954"/>
      <c r="Q1584" s="954"/>
      <c r="R1584" s="954"/>
      <c r="S1584" s="954"/>
      <c r="T1584" s="954"/>
      <c r="U1584" s="954"/>
    </row>
    <row r="1585" spans="1:21" s="933" customFormat="1" ht="24" customHeight="1">
      <c r="A1585" s="928"/>
      <c r="B1585" s="1021"/>
      <c r="C1585" s="976"/>
      <c r="D1585" s="976"/>
      <c r="E1585" s="978"/>
      <c r="F1585" s="974"/>
      <c r="G1585" s="969"/>
      <c r="H1585" s="930"/>
      <c r="I1585" s="970"/>
      <c r="J1585" s="930"/>
      <c r="K1585" s="931"/>
      <c r="L1585" s="971"/>
      <c r="M1585" s="954"/>
      <c r="N1585" s="954"/>
      <c r="O1585" s="954"/>
      <c r="P1585" s="954"/>
      <c r="Q1585" s="954"/>
      <c r="R1585" s="954"/>
      <c r="S1585" s="954"/>
      <c r="T1585" s="954"/>
      <c r="U1585" s="954"/>
    </row>
    <row r="1586" spans="1:21" s="933" customFormat="1" ht="24" customHeight="1">
      <c r="A1586" s="1026" t="s">
        <v>2545</v>
      </c>
      <c r="B1586" s="1030" t="s">
        <v>2544</v>
      </c>
      <c r="C1586" s="976"/>
      <c r="D1586" s="976"/>
      <c r="E1586" s="978"/>
      <c r="F1586" s="974"/>
      <c r="G1586" s="969"/>
      <c r="H1586" s="930"/>
      <c r="I1586" s="970"/>
      <c r="J1586" s="930"/>
      <c r="K1586" s="931"/>
      <c r="L1586" s="971"/>
      <c r="M1586" s="954"/>
      <c r="N1586" s="954"/>
      <c r="O1586" s="954"/>
      <c r="P1586" s="954"/>
      <c r="Q1586" s="954"/>
      <c r="R1586" s="954"/>
      <c r="S1586" s="954"/>
      <c r="T1586" s="954"/>
      <c r="U1586" s="954"/>
    </row>
    <row r="1587" spans="1:21" s="933" customFormat="1" ht="24" customHeight="1">
      <c r="A1587" s="928"/>
      <c r="B1587" s="976" t="s">
        <v>864</v>
      </c>
      <c r="C1587" s="977"/>
      <c r="D1587" s="977"/>
      <c r="E1587" s="978">
        <v>226.61</v>
      </c>
      <c r="F1587" s="974" t="s">
        <v>865</v>
      </c>
      <c r="G1587" s="969">
        <v>2516</v>
      </c>
      <c r="H1587" s="930">
        <f t="shared" ref="H1587:H1601" si="323">ROUND(E1587*G1587,2)</f>
        <v>570150.76</v>
      </c>
      <c r="I1587" s="970">
        <v>485</v>
      </c>
      <c r="J1587" s="930">
        <f t="shared" ref="J1587:J1601" si="324">ROUND(E1587*I1587,2)</f>
        <v>109905.85</v>
      </c>
      <c r="K1587" s="931">
        <f t="shared" ref="K1587:K1601" si="325">H1587+J1587</f>
        <v>680056.61</v>
      </c>
      <c r="L1587" s="971"/>
      <c r="M1587" s="954"/>
      <c r="N1587" s="954"/>
      <c r="O1587" s="954"/>
      <c r="P1587" s="954"/>
      <c r="Q1587" s="954"/>
      <c r="R1587" s="954"/>
      <c r="S1587" s="954"/>
      <c r="T1587" s="954"/>
      <c r="U1587" s="954"/>
    </row>
    <row r="1588" spans="1:21" s="933" customFormat="1" ht="24" customHeight="1">
      <c r="A1588" s="928"/>
      <c r="B1588" s="979" t="s">
        <v>866</v>
      </c>
      <c r="C1588" s="976"/>
      <c r="D1588" s="976"/>
      <c r="E1588" s="978"/>
      <c r="F1588" s="974"/>
      <c r="G1588" s="969"/>
      <c r="H1588" s="930">
        <f t="shared" si="323"/>
        <v>0</v>
      </c>
      <c r="I1588" s="970"/>
      <c r="J1588" s="930">
        <f t="shared" si="324"/>
        <v>0</v>
      </c>
      <c r="K1588" s="931">
        <f t="shared" si="325"/>
        <v>0</v>
      </c>
      <c r="L1588" s="971"/>
      <c r="M1588" s="954"/>
      <c r="N1588" s="954"/>
      <c r="O1588" s="954"/>
      <c r="P1588" s="954"/>
      <c r="Q1588" s="954"/>
      <c r="R1588" s="954"/>
      <c r="S1588" s="954"/>
      <c r="T1588" s="954"/>
      <c r="U1588" s="954"/>
    </row>
    <row r="1589" spans="1:21" s="933" customFormat="1" ht="24" customHeight="1">
      <c r="A1589" s="928"/>
      <c r="B1589" s="979"/>
      <c r="C1589" s="976" t="s">
        <v>867</v>
      </c>
      <c r="D1589" s="976"/>
      <c r="E1589" s="978">
        <f>E1590/2</f>
        <v>757.77</v>
      </c>
      <c r="F1589" s="974" t="s">
        <v>34</v>
      </c>
      <c r="G1589" s="969">
        <v>661.62</v>
      </c>
      <c r="H1589" s="930">
        <f t="shared" si="323"/>
        <v>501355.79</v>
      </c>
      <c r="I1589" s="970"/>
      <c r="J1589" s="930">
        <f t="shared" si="324"/>
        <v>0</v>
      </c>
      <c r="K1589" s="931">
        <f t="shared" si="325"/>
        <v>501355.79</v>
      </c>
      <c r="L1589" s="971"/>
      <c r="M1589" s="954"/>
      <c r="N1589" s="954"/>
      <c r="O1589" s="954"/>
      <c r="P1589" s="954"/>
      <c r="Q1589" s="954"/>
      <c r="R1589" s="954"/>
      <c r="S1589" s="954"/>
      <c r="T1589" s="954"/>
      <c r="U1589" s="954"/>
    </row>
    <row r="1590" spans="1:21" s="933" customFormat="1" ht="24" customHeight="1">
      <c r="A1590" s="928"/>
      <c r="B1590" s="979"/>
      <c r="C1590" s="976" t="s">
        <v>868</v>
      </c>
      <c r="D1590" s="976"/>
      <c r="E1590" s="978">
        <v>1515.54</v>
      </c>
      <c r="F1590" s="974" t="s">
        <v>34</v>
      </c>
      <c r="G1590" s="969"/>
      <c r="H1590" s="930">
        <f t="shared" si="323"/>
        <v>0</v>
      </c>
      <c r="I1590" s="970">
        <v>154</v>
      </c>
      <c r="J1590" s="930">
        <f t="shared" si="324"/>
        <v>233393.16</v>
      </c>
      <c r="K1590" s="931">
        <f t="shared" si="325"/>
        <v>233393.16</v>
      </c>
      <c r="L1590" s="971"/>
      <c r="M1590" s="954"/>
      <c r="N1590" s="954"/>
      <c r="O1590" s="954"/>
      <c r="P1590" s="954"/>
      <c r="Q1590" s="954"/>
      <c r="R1590" s="954"/>
      <c r="S1590" s="954"/>
      <c r="T1590" s="954"/>
      <c r="U1590" s="954"/>
    </row>
    <row r="1591" spans="1:21" s="933" customFormat="1" ht="24" customHeight="1">
      <c r="A1591" s="928"/>
      <c r="B1591" s="976" t="s">
        <v>869</v>
      </c>
      <c r="C1591" s="976"/>
      <c r="D1591" s="976"/>
      <c r="E1591" s="978">
        <f>(E1590*0.25)</f>
        <v>378.88499999999999</v>
      </c>
      <c r="F1591" s="974" t="s">
        <v>870</v>
      </c>
      <c r="G1591" s="969">
        <f t="shared" ref="G1591" si="326">VLOOKUP(B1591,$O$43:$P$53,2,FALSE)</f>
        <v>29.94</v>
      </c>
      <c r="H1591" s="930">
        <f t="shared" si="323"/>
        <v>11343.82</v>
      </c>
      <c r="I1591" s="970"/>
      <c r="J1591" s="930">
        <f t="shared" si="324"/>
        <v>0</v>
      </c>
      <c r="K1591" s="931">
        <f t="shared" si="325"/>
        <v>11343.82</v>
      </c>
      <c r="L1591" s="971"/>
      <c r="M1591" s="954"/>
      <c r="N1591" s="954"/>
      <c r="O1591" s="954"/>
      <c r="P1591" s="954"/>
      <c r="Q1591" s="954"/>
      <c r="R1591" s="954"/>
      <c r="S1591" s="954"/>
      <c r="T1591" s="954"/>
      <c r="U1591" s="954"/>
    </row>
    <row r="1592" spans="1:21" s="933" customFormat="1" ht="24" customHeight="1">
      <c r="A1592" s="928"/>
      <c r="B1592" s="976" t="s">
        <v>871</v>
      </c>
      <c r="C1592" s="976"/>
      <c r="D1592" s="976"/>
      <c r="E1592" s="978"/>
      <c r="F1592" s="982"/>
      <c r="G1592" s="983"/>
      <c r="H1592" s="930">
        <f t="shared" si="323"/>
        <v>0</v>
      </c>
      <c r="I1592" s="970"/>
      <c r="J1592" s="930">
        <f t="shared" si="324"/>
        <v>0</v>
      </c>
      <c r="K1592" s="931">
        <f t="shared" si="325"/>
        <v>0</v>
      </c>
      <c r="L1592" s="971"/>
      <c r="M1592" s="954"/>
      <c r="N1592" s="954"/>
      <c r="O1592" s="954"/>
      <c r="P1592" s="954"/>
      <c r="Q1592" s="954"/>
      <c r="R1592" s="954"/>
      <c r="S1592" s="954"/>
      <c r="T1592" s="954"/>
      <c r="U1592" s="954"/>
    </row>
    <row r="1593" spans="1:21" s="933" customFormat="1" ht="24" customHeight="1">
      <c r="A1593" s="928"/>
      <c r="B1593" s="976" t="s">
        <v>872</v>
      </c>
      <c r="C1593" s="976"/>
      <c r="D1593" s="976"/>
      <c r="E1593" s="978"/>
      <c r="F1593" s="974" t="s">
        <v>870</v>
      </c>
      <c r="G1593" s="969">
        <f t="shared" ref="G1593:G1601" si="327">VLOOKUP(B1593,$O$43:$P$53,2,FALSE)</f>
        <v>25.73</v>
      </c>
      <c r="H1593" s="930">
        <f t="shared" si="323"/>
        <v>0</v>
      </c>
      <c r="I1593" s="984">
        <v>4.0999999999999996</v>
      </c>
      <c r="J1593" s="930">
        <f t="shared" si="324"/>
        <v>0</v>
      </c>
      <c r="K1593" s="931">
        <f t="shared" si="325"/>
        <v>0</v>
      </c>
      <c r="L1593" s="971"/>
      <c r="M1593" s="954"/>
      <c r="N1593" s="954"/>
      <c r="O1593" s="954"/>
      <c r="P1593" s="954"/>
      <c r="Q1593" s="954"/>
      <c r="R1593" s="954"/>
      <c r="S1593" s="954"/>
      <c r="T1593" s="954"/>
      <c r="U1593" s="954"/>
    </row>
    <row r="1594" spans="1:21" s="933" customFormat="1" ht="24" customHeight="1">
      <c r="A1594" s="928"/>
      <c r="B1594" s="976" t="s">
        <v>873</v>
      </c>
      <c r="C1594" s="976"/>
      <c r="D1594" s="976"/>
      <c r="E1594" s="978"/>
      <c r="F1594" s="974" t="s">
        <v>870</v>
      </c>
      <c r="G1594" s="969">
        <f t="shared" si="327"/>
        <v>24.97</v>
      </c>
      <c r="H1594" s="930">
        <f t="shared" si="323"/>
        <v>0</v>
      </c>
      <c r="I1594" s="970">
        <v>4.0999999999999996</v>
      </c>
      <c r="J1594" s="930">
        <f t="shared" si="324"/>
        <v>0</v>
      </c>
      <c r="K1594" s="931">
        <f t="shared" si="325"/>
        <v>0</v>
      </c>
      <c r="L1594" s="971"/>
      <c r="M1594" s="954"/>
      <c r="N1594" s="954"/>
      <c r="O1594" s="954"/>
      <c r="P1594" s="954"/>
      <c r="Q1594" s="954"/>
      <c r="R1594" s="954"/>
      <c r="S1594" s="954"/>
      <c r="T1594" s="954"/>
      <c r="U1594" s="954"/>
    </row>
    <row r="1595" spans="1:21" s="933" customFormat="1" ht="24" customHeight="1">
      <c r="A1595" s="928"/>
      <c r="B1595" s="976" t="s">
        <v>874</v>
      </c>
      <c r="C1595" s="976"/>
      <c r="D1595" s="976"/>
      <c r="E1595" s="978">
        <v>14797.17</v>
      </c>
      <c r="F1595" s="974" t="s">
        <v>870</v>
      </c>
      <c r="G1595" s="969">
        <f t="shared" si="327"/>
        <v>24.47</v>
      </c>
      <c r="H1595" s="930">
        <f t="shared" si="323"/>
        <v>362086.75</v>
      </c>
      <c r="I1595" s="970">
        <v>3.3</v>
      </c>
      <c r="J1595" s="930">
        <f t="shared" si="324"/>
        <v>48830.66</v>
      </c>
      <c r="K1595" s="931">
        <f t="shared" si="325"/>
        <v>410917.41000000003</v>
      </c>
      <c r="L1595" s="971"/>
      <c r="M1595" s="954"/>
      <c r="N1595" s="954"/>
      <c r="O1595" s="954"/>
      <c r="P1595" s="954"/>
      <c r="Q1595" s="954"/>
      <c r="R1595" s="954"/>
      <c r="S1595" s="954"/>
      <c r="T1595" s="954"/>
      <c r="U1595" s="954"/>
    </row>
    <row r="1596" spans="1:21" s="933" customFormat="1" ht="24" customHeight="1">
      <c r="A1596" s="928"/>
      <c r="B1596" s="976" t="s">
        <v>875</v>
      </c>
      <c r="C1596" s="976"/>
      <c r="D1596" s="976"/>
      <c r="E1596" s="978">
        <v>6702.85</v>
      </c>
      <c r="F1596" s="982" t="s">
        <v>870</v>
      </c>
      <c r="G1596" s="969">
        <f t="shared" si="327"/>
        <v>24.27</v>
      </c>
      <c r="H1596" s="930">
        <f t="shared" si="323"/>
        <v>162678.17000000001</v>
      </c>
      <c r="I1596" s="970">
        <v>3.3</v>
      </c>
      <c r="J1596" s="930">
        <f t="shared" si="324"/>
        <v>22119.41</v>
      </c>
      <c r="K1596" s="931">
        <f t="shared" si="325"/>
        <v>184797.58000000002</v>
      </c>
      <c r="L1596" s="971"/>
      <c r="M1596" s="954"/>
      <c r="N1596" s="954"/>
      <c r="O1596" s="954"/>
      <c r="P1596" s="954"/>
      <c r="Q1596" s="954"/>
      <c r="R1596" s="954"/>
      <c r="S1596" s="954"/>
      <c r="T1596" s="954"/>
      <c r="U1596" s="954"/>
    </row>
    <row r="1597" spans="1:21" s="933" customFormat="1" ht="24" customHeight="1">
      <c r="A1597" s="928"/>
      <c r="B1597" s="976" t="s">
        <v>876</v>
      </c>
      <c r="C1597" s="976"/>
      <c r="D1597" s="976"/>
      <c r="E1597" s="978"/>
      <c r="F1597" s="974" t="s">
        <v>870</v>
      </c>
      <c r="G1597" s="969">
        <f t="shared" si="327"/>
        <v>24.27</v>
      </c>
      <c r="H1597" s="930">
        <f t="shared" si="323"/>
        <v>0</v>
      </c>
      <c r="I1597" s="970">
        <v>2.9</v>
      </c>
      <c r="J1597" s="930">
        <f t="shared" si="324"/>
        <v>0</v>
      </c>
      <c r="K1597" s="931">
        <f t="shared" si="325"/>
        <v>0</v>
      </c>
      <c r="L1597" s="971"/>
      <c r="M1597" s="954"/>
      <c r="N1597" s="954"/>
      <c r="O1597" s="954"/>
      <c r="P1597" s="954"/>
      <c r="Q1597" s="954"/>
      <c r="R1597" s="954"/>
      <c r="S1597" s="954"/>
      <c r="T1597" s="954"/>
      <c r="U1597" s="954"/>
    </row>
    <row r="1598" spans="1:21" s="933" customFormat="1" ht="24" customHeight="1">
      <c r="A1598" s="928"/>
      <c r="B1598" s="976" t="s">
        <v>877</v>
      </c>
      <c r="C1598" s="976"/>
      <c r="D1598" s="976"/>
      <c r="E1598" s="978"/>
      <c r="F1598" s="974" t="s">
        <v>870</v>
      </c>
      <c r="G1598" s="969">
        <f t="shared" si="327"/>
        <v>24.27</v>
      </c>
      <c r="H1598" s="930">
        <f t="shared" si="323"/>
        <v>0</v>
      </c>
      <c r="I1598" s="970">
        <v>2.9</v>
      </c>
      <c r="J1598" s="930">
        <f t="shared" si="324"/>
        <v>0</v>
      </c>
      <c r="K1598" s="931">
        <f t="shared" si="325"/>
        <v>0</v>
      </c>
      <c r="L1598" s="971"/>
      <c r="M1598" s="954"/>
      <c r="N1598" s="954"/>
      <c r="O1598" s="955"/>
      <c r="P1598" s="954"/>
      <c r="Q1598" s="954"/>
      <c r="R1598" s="954"/>
      <c r="S1598" s="954"/>
      <c r="T1598" s="954"/>
      <c r="U1598" s="954"/>
    </row>
    <row r="1599" spans="1:21" s="933" customFormat="1" ht="24" customHeight="1">
      <c r="A1599" s="928"/>
      <c r="B1599" s="976" t="s">
        <v>878</v>
      </c>
      <c r="C1599" s="976"/>
      <c r="D1599" s="976"/>
      <c r="E1599" s="978">
        <v>9523.52</v>
      </c>
      <c r="F1599" s="974" t="s">
        <v>870</v>
      </c>
      <c r="G1599" s="969">
        <f t="shared" si="327"/>
        <v>24.27</v>
      </c>
      <c r="H1599" s="930">
        <f t="shared" si="323"/>
        <v>231135.83</v>
      </c>
      <c r="I1599" s="970">
        <v>2.9</v>
      </c>
      <c r="J1599" s="930">
        <f t="shared" si="324"/>
        <v>27618.21</v>
      </c>
      <c r="K1599" s="931">
        <f t="shared" si="325"/>
        <v>258754.03999999998</v>
      </c>
      <c r="L1599" s="971"/>
      <c r="M1599" s="954"/>
      <c r="N1599" s="954"/>
      <c r="O1599" s="954"/>
      <c r="P1599" s="954"/>
      <c r="Q1599" s="954"/>
      <c r="R1599" s="954"/>
      <c r="S1599" s="954"/>
      <c r="T1599" s="954"/>
      <c r="U1599" s="954"/>
    </row>
    <row r="1600" spans="1:21" s="933" customFormat="1" ht="24" customHeight="1">
      <c r="A1600" s="928"/>
      <c r="B1600" s="976" t="s">
        <v>879</v>
      </c>
      <c r="C1600" s="976"/>
      <c r="D1600" s="976"/>
      <c r="E1600" s="978"/>
      <c r="F1600" s="974" t="s">
        <v>870</v>
      </c>
      <c r="G1600" s="969">
        <f t="shared" si="327"/>
        <v>23.8</v>
      </c>
      <c r="H1600" s="930">
        <f t="shared" si="323"/>
        <v>0</v>
      </c>
      <c r="I1600" s="970">
        <v>2.9</v>
      </c>
      <c r="J1600" s="930">
        <f t="shared" si="324"/>
        <v>0</v>
      </c>
      <c r="K1600" s="931">
        <f t="shared" si="325"/>
        <v>0</v>
      </c>
      <c r="L1600" s="971"/>
      <c r="M1600" s="954"/>
      <c r="N1600" s="954"/>
      <c r="O1600" s="954"/>
      <c r="P1600" s="954"/>
      <c r="Q1600" s="954"/>
      <c r="R1600" s="954"/>
      <c r="S1600" s="954"/>
      <c r="T1600" s="954"/>
      <c r="U1600" s="954"/>
    </row>
    <row r="1601" spans="1:21" s="933" customFormat="1" ht="24" customHeight="1">
      <c r="A1601" s="928"/>
      <c r="B1601" s="976" t="s">
        <v>880</v>
      </c>
      <c r="C1601" s="976"/>
      <c r="D1601" s="976"/>
      <c r="E1601" s="978">
        <f>(SUM(E1593:E1600)/1000)*30</f>
        <v>930.70619999999997</v>
      </c>
      <c r="F1601" s="974" t="s">
        <v>870</v>
      </c>
      <c r="G1601" s="969">
        <f t="shared" si="327"/>
        <v>29.92</v>
      </c>
      <c r="H1601" s="930">
        <f t="shared" si="323"/>
        <v>27846.73</v>
      </c>
      <c r="I1601" s="970"/>
      <c r="J1601" s="930">
        <f t="shared" si="324"/>
        <v>0</v>
      </c>
      <c r="K1601" s="931">
        <f t="shared" si="325"/>
        <v>27846.73</v>
      </c>
      <c r="L1601" s="971"/>
      <c r="M1601" s="954"/>
      <c r="N1601" s="954"/>
      <c r="O1601" s="954"/>
      <c r="P1601" s="954"/>
      <c r="Q1601" s="954"/>
      <c r="R1601" s="954"/>
      <c r="S1601" s="954"/>
      <c r="T1601" s="954"/>
      <c r="U1601" s="954"/>
    </row>
    <row r="1602" spans="1:21" s="933" customFormat="1" ht="24" customHeight="1">
      <c r="A1602" s="928"/>
      <c r="B1602" s="976" t="s">
        <v>881</v>
      </c>
      <c r="C1602" s="976"/>
      <c r="D1602" s="976"/>
      <c r="E1602" s="978"/>
      <c r="F1602" s="974"/>
      <c r="G1602" s="969"/>
      <c r="H1602" s="930"/>
      <c r="I1602" s="970"/>
      <c r="J1602" s="930"/>
      <c r="K1602" s="931"/>
      <c r="L1602" s="971"/>
      <c r="M1602" s="954"/>
      <c r="N1602" s="954"/>
      <c r="O1602" s="954"/>
      <c r="P1602" s="954"/>
      <c r="Q1602" s="954"/>
      <c r="R1602" s="954"/>
      <c r="S1602" s="954"/>
      <c r="T1602" s="954"/>
      <c r="U1602" s="954"/>
    </row>
    <row r="1603" spans="1:21" s="933" customFormat="1" ht="24" customHeight="1">
      <c r="A1603" s="928"/>
      <c r="B1603" s="1021"/>
      <c r="C1603" s="976"/>
      <c r="D1603" s="976"/>
      <c r="E1603" s="978"/>
      <c r="F1603" s="974"/>
      <c r="G1603" s="969"/>
      <c r="H1603" s="930"/>
      <c r="I1603" s="970"/>
      <c r="J1603" s="930"/>
      <c r="K1603" s="931"/>
      <c r="L1603" s="971"/>
      <c r="M1603" s="954"/>
      <c r="N1603" s="954"/>
      <c r="O1603" s="954"/>
      <c r="P1603" s="954"/>
      <c r="Q1603" s="954"/>
      <c r="R1603" s="954"/>
      <c r="S1603" s="954"/>
      <c r="T1603" s="954"/>
      <c r="U1603" s="954"/>
    </row>
    <row r="1604" spans="1:21" s="933" customFormat="1" ht="24" customHeight="1">
      <c r="A1604" s="928"/>
      <c r="B1604" s="1021"/>
      <c r="C1604" s="976"/>
      <c r="D1604" s="976"/>
      <c r="E1604" s="978"/>
      <c r="F1604" s="974"/>
      <c r="G1604" s="969"/>
      <c r="H1604" s="930"/>
      <c r="I1604" s="970"/>
      <c r="J1604" s="930"/>
      <c r="K1604" s="931"/>
      <c r="L1604" s="971"/>
      <c r="M1604" s="954"/>
      <c r="N1604" s="954"/>
      <c r="O1604" s="954"/>
      <c r="P1604" s="954"/>
      <c r="Q1604" s="954"/>
      <c r="R1604" s="954"/>
      <c r="S1604" s="954"/>
      <c r="T1604" s="954"/>
      <c r="U1604" s="954"/>
    </row>
    <row r="1605" spans="1:21" s="933" customFormat="1" ht="24" customHeight="1">
      <c r="A1605" s="928"/>
      <c r="B1605" s="1021"/>
      <c r="C1605" s="976"/>
      <c r="D1605" s="976"/>
      <c r="E1605" s="978"/>
      <c r="F1605" s="974"/>
      <c r="G1605" s="969"/>
      <c r="H1605" s="930"/>
      <c r="I1605" s="970"/>
      <c r="J1605" s="930"/>
      <c r="K1605" s="931"/>
      <c r="L1605" s="971"/>
      <c r="M1605" s="954"/>
      <c r="N1605" s="954"/>
      <c r="O1605" s="954"/>
      <c r="P1605" s="954"/>
      <c r="Q1605" s="954"/>
      <c r="R1605" s="954"/>
      <c r="S1605" s="954"/>
      <c r="T1605" s="954"/>
      <c r="U1605" s="954"/>
    </row>
    <row r="1606" spans="1:21" s="933" customFormat="1" ht="24" customHeight="1">
      <c r="A1606" s="928"/>
      <c r="B1606" s="1021"/>
      <c r="C1606" s="976"/>
      <c r="D1606" s="976"/>
      <c r="E1606" s="978"/>
      <c r="F1606" s="974"/>
      <c r="G1606" s="969"/>
      <c r="H1606" s="930"/>
      <c r="I1606" s="970"/>
      <c r="J1606" s="930"/>
      <c r="K1606" s="931"/>
      <c r="L1606" s="971"/>
      <c r="M1606" s="954"/>
      <c r="N1606" s="954"/>
      <c r="O1606" s="954"/>
      <c r="P1606" s="954"/>
      <c r="Q1606" s="954"/>
      <c r="R1606" s="954"/>
      <c r="S1606" s="954"/>
      <c r="T1606" s="954"/>
      <c r="U1606" s="954"/>
    </row>
    <row r="1607" spans="1:21" s="933" customFormat="1" ht="24" customHeight="1">
      <c r="A1607" s="928"/>
      <c r="B1607" s="1021"/>
      <c r="C1607" s="976"/>
      <c r="D1607" s="976"/>
      <c r="E1607" s="978"/>
      <c r="F1607" s="974"/>
      <c r="G1607" s="969"/>
      <c r="H1607" s="930"/>
      <c r="I1607" s="970"/>
      <c r="J1607" s="930"/>
      <c r="K1607" s="931"/>
      <c r="L1607" s="971"/>
      <c r="M1607" s="954"/>
      <c r="N1607" s="954"/>
      <c r="O1607" s="954"/>
      <c r="P1607" s="954"/>
      <c r="Q1607" s="954"/>
      <c r="R1607" s="954"/>
      <c r="S1607" s="954"/>
      <c r="T1607" s="954"/>
      <c r="U1607" s="954"/>
    </row>
    <row r="1608" spans="1:21" s="933" customFormat="1" ht="24" customHeight="1">
      <c r="A1608" s="928"/>
      <c r="B1608" s="1021"/>
      <c r="C1608" s="976"/>
      <c r="D1608" s="976"/>
      <c r="E1608" s="978"/>
      <c r="F1608" s="974"/>
      <c r="G1608" s="969"/>
      <c r="H1608" s="930"/>
      <c r="I1608" s="970"/>
      <c r="J1608" s="930"/>
      <c r="K1608" s="931"/>
      <c r="L1608" s="971"/>
      <c r="M1608" s="954"/>
      <c r="N1608" s="954"/>
      <c r="O1608" s="954"/>
      <c r="P1608" s="954"/>
      <c r="Q1608" s="954"/>
      <c r="R1608" s="954"/>
      <c r="S1608" s="954"/>
      <c r="T1608" s="954"/>
      <c r="U1608" s="954"/>
    </row>
    <row r="1609" spans="1:21" s="933" customFormat="1" ht="24" customHeight="1">
      <c r="A1609" s="928"/>
      <c r="B1609" s="1021"/>
      <c r="C1609" s="976"/>
      <c r="D1609" s="976"/>
      <c r="E1609" s="978"/>
      <c r="F1609" s="974"/>
      <c r="G1609" s="969"/>
      <c r="H1609" s="930"/>
      <c r="I1609" s="970"/>
      <c r="J1609" s="930"/>
      <c r="K1609" s="931"/>
      <c r="L1609" s="971"/>
      <c r="M1609" s="954"/>
      <c r="N1609" s="954"/>
      <c r="O1609" s="954"/>
      <c r="P1609" s="954"/>
      <c r="Q1609" s="954"/>
      <c r="R1609" s="954"/>
      <c r="S1609" s="954"/>
      <c r="T1609" s="954"/>
      <c r="U1609" s="954"/>
    </row>
    <row r="1610" spans="1:21" s="933" customFormat="1" ht="24" customHeight="1">
      <c r="A1610" s="928"/>
      <c r="B1610" s="1021"/>
      <c r="C1610" s="976"/>
      <c r="D1610" s="976"/>
      <c r="E1610" s="978"/>
      <c r="F1610" s="974"/>
      <c r="G1610" s="969"/>
      <c r="H1610" s="930"/>
      <c r="I1610" s="970"/>
      <c r="J1610" s="930"/>
      <c r="K1610" s="931"/>
      <c r="L1610" s="971"/>
      <c r="M1610" s="954"/>
      <c r="N1610" s="954"/>
      <c r="O1610" s="954"/>
      <c r="P1610" s="954"/>
      <c r="Q1610" s="954"/>
      <c r="R1610" s="954"/>
      <c r="S1610" s="954"/>
      <c r="T1610" s="954"/>
      <c r="U1610" s="954"/>
    </row>
    <row r="1611" spans="1:21" s="933" customFormat="1" ht="24" customHeight="1">
      <c r="A1611" s="1026" t="s">
        <v>2545</v>
      </c>
      <c r="B1611" s="1030" t="s">
        <v>2546</v>
      </c>
      <c r="C1611" s="976"/>
      <c r="D1611" s="976"/>
      <c r="E1611" s="978"/>
      <c r="F1611" s="974"/>
      <c r="G1611" s="969"/>
      <c r="H1611" s="930"/>
      <c r="I1611" s="970"/>
      <c r="J1611" s="930"/>
      <c r="K1611" s="931"/>
      <c r="L1611" s="971"/>
      <c r="M1611" s="954"/>
      <c r="N1611" s="954"/>
      <c r="O1611" s="954"/>
      <c r="P1611" s="954"/>
      <c r="Q1611" s="954"/>
      <c r="R1611" s="954"/>
      <c r="S1611" s="954"/>
      <c r="T1611" s="954"/>
      <c r="U1611" s="954"/>
    </row>
    <row r="1612" spans="1:21" s="933" customFormat="1" ht="24" customHeight="1">
      <c r="A1612" s="928"/>
      <c r="B1612" s="976" t="s">
        <v>864</v>
      </c>
      <c r="C1612" s="977"/>
      <c r="D1612" s="977"/>
      <c r="E1612" s="978">
        <v>162.56</v>
      </c>
      <c r="F1612" s="974" t="s">
        <v>865</v>
      </c>
      <c r="G1612" s="969">
        <v>2516</v>
      </c>
      <c r="H1612" s="930">
        <f t="shared" ref="H1612:H1627" si="328">ROUND(E1612*G1612,2)</f>
        <v>409000.96000000002</v>
      </c>
      <c r="I1612" s="970">
        <v>485</v>
      </c>
      <c r="J1612" s="930">
        <f t="shared" ref="J1612:J1627" si="329">ROUND(E1612*I1612,2)</f>
        <v>78841.600000000006</v>
      </c>
      <c r="K1612" s="931">
        <f t="shared" ref="K1612:K1627" si="330">H1612+J1612</f>
        <v>487842.56000000006</v>
      </c>
      <c r="L1612" s="971"/>
      <c r="M1612" s="954"/>
      <c r="N1612" s="954"/>
      <c r="O1612" s="954"/>
      <c r="P1612" s="954"/>
      <c r="Q1612" s="954"/>
      <c r="R1612" s="954"/>
      <c r="S1612" s="954"/>
      <c r="T1612" s="954"/>
      <c r="U1612" s="954"/>
    </row>
    <row r="1613" spans="1:21" s="933" customFormat="1" ht="24" customHeight="1">
      <c r="A1613" s="928"/>
      <c r="B1613" s="979" t="s">
        <v>866</v>
      </c>
      <c r="C1613" s="976"/>
      <c r="D1613" s="976"/>
      <c r="E1613" s="978"/>
      <c r="F1613" s="974"/>
      <c r="G1613" s="969"/>
      <c r="H1613" s="930">
        <f t="shared" si="328"/>
        <v>0</v>
      </c>
      <c r="I1613" s="970"/>
      <c r="J1613" s="930">
        <f t="shared" si="329"/>
        <v>0</v>
      </c>
      <c r="K1613" s="931">
        <f t="shared" si="330"/>
        <v>0</v>
      </c>
      <c r="L1613" s="971"/>
      <c r="M1613" s="954"/>
      <c r="N1613" s="954"/>
      <c r="O1613" s="954"/>
      <c r="P1613" s="954"/>
      <c r="Q1613" s="954"/>
      <c r="R1613" s="954"/>
      <c r="S1613" s="954"/>
      <c r="T1613" s="954"/>
      <c r="U1613" s="954"/>
    </row>
    <row r="1614" spans="1:21" s="933" customFormat="1" ht="24" customHeight="1">
      <c r="A1614" s="928"/>
      <c r="B1614" s="979"/>
      <c r="C1614" s="976" t="s">
        <v>867</v>
      </c>
      <c r="D1614" s="976"/>
      <c r="E1614" s="978">
        <f>E1615/2</f>
        <v>270.935</v>
      </c>
      <c r="F1614" s="974" t="s">
        <v>34</v>
      </c>
      <c r="G1614" s="969">
        <v>661.62</v>
      </c>
      <c r="H1614" s="930">
        <f t="shared" si="328"/>
        <v>179256.01</v>
      </c>
      <c r="I1614" s="970"/>
      <c r="J1614" s="930">
        <f t="shared" si="329"/>
        <v>0</v>
      </c>
      <c r="K1614" s="931">
        <f t="shared" si="330"/>
        <v>179256.01</v>
      </c>
      <c r="L1614" s="971"/>
      <c r="M1614" s="954"/>
      <c r="N1614" s="954"/>
      <c r="O1614" s="954"/>
      <c r="P1614" s="954"/>
      <c r="Q1614" s="954"/>
      <c r="R1614" s="954"/>
      <c r="S1614" s="954"/>
      <c r="T1614" s="954"/>
      <c r="U1614" s="954"/>
    </row>
    <row r="1615" spans="1:21" s="933" customFormat="1" ht="24" customHeight="1">
      <c r="A1615" s="928"/>
      <c r="B1615" s="979"/>
      <c r="C1615" s="976" t="s">
        <v>868</v>
      </c>
      <c r="D1615" s="976"/>
      <c r="E1615" s="978">
        <v>541.87</v>
      </c>
      <c r="F1615" s="974" t="s">
        <v>34</v>
      </c>
      <c r="G1615" s="969"/>
      <c r="H1615" s="930">
        <f t="shared" si="328"/>
        <v>0</v>
      </c>
      <c r="I1615" s="970">
        <v>154</v>
      </c>
      <c r="J1615" s="930">
        <f t="shared" si="329"/>
        <v>83447.98</v>
      </c>
      <c r="K1615" s="931">
        <f t="shared" si="330"/>
        <v>83447.98</v>
      </c>
      <c r="L1615" s="971"/>
      <c r="M1615" s="954"/>
      <c r="N1615" s="954"/>
      <c r="O1615" s="954"/>
      <c r="P1615" s="954"/>
      <c r="Q1615" s="954"/>
      <c r="R1615" s="954"/>
      <c r="S1615" s="954"/>
      <c r="T1615" s="954"/>
      <c r="U1615" s="954"/>
    </row>
    <row r="1616" spans="1:21" s="933" customFormat="1" ht="24" customHeight="1">
      <c r="A1616" s="928"/>
      <c r="B1616" s="976" t="s">
        <v>869</v>
      </c>
      <c r="C1616" s="976"/>
      <c r="D1616" s="976"/>
      <c r="E1616" s="978">
        <f>(E1615*0.25)</f>
        <v>135.4675</v>
      </c>
      <c r="F1616" s="974" t="s">
        <v>870</v>
      </c>
      <c r="G1616" s="969">
        <f t="shared" ref="G1616" si="331">VLOOKUP(B1616,$O$43:$P$53,2,FALSE)</f>
        <v>29.94</v>
      </c>
      <c r="H1616" s="930">
        <f t="shared" si="328"/>
        <v>4055.9</v>
      </c>
      <c r="I1616" s="970"/>
      <c r="J1616" s="930">
        <f t="shared" si="329"/>
        <v>0</v>
      </c>
      <c r="K1616" s="931">
        <f t="shared" si="330"/>
        <v>4055.9</v>
      </c>
      <c r="L1616" s="971"/>
      <c r="M1616" s="954"/>
      <c r="N1616" s="954"/>
      <c r="O1616" s="954"/>
      <c r="P1616" s="954"/>
      <c r="Q1616" s="954"/>
      <c r="R1616" s="954"/>
      <c r="S1616" s="954"/>
      <c r="T1616" s="954"/>
      <c r="U1616" s="954"/>
    </row>
    <row r="1617" spans="1:21" s="933" customFormat="1" ht="24" customHeight="1">
      <c r="A1617" s="928"/>
      <c r="B1617" s="976" t="s">
        <v>871</v>
      </c>
      <c r="C1617" s="976"/>
      <c r="D1617" s="976"/>
      <c r="E1617" s="978"/>
      <c r="F1617" s="982"/>
      <c r="G1617" s="983"/>
      <c r="H1617" s="930">
        <f t="shared" si="328"/>
        <v>0</v>
      </c>
      <c r="I1617" s="970"/>
      <c r="J1617" s="930">
        <f t="shared" si="329"/>
        <v>0</v>
      </c>
      <c r="K1617" s="931">
        <f t="shared" si="330"/>
        <v>0</v>
      </c>
      <c r="L1617" s="971"/>
      <c r="M1617" s="954"/>
      <c r="N1617" s="954"/>
      <c r="O1617" s="954"/>
      <c r="P1617" s="954"/>
      <c r="Q1617" s="954"/>
      <c r="R1617" s="954"/>
      <c r="S1617" s="954"/>
      <c r="T1617" s="954"/>
      <c r="U1617" s="954"/>
    </row>
    <row r="1618" spans="1:21" s="933" customFormat="1" ht="24" customHeight="1">
      <c r="A1618" s="928"/>
      <c r="B1618" s="976" t="s">
        <v>872</v>
      </c>
      <c r="C1618" s="976"/>
      <c r="D1618" s="976"/>
      <c r="E1618" s="978"/>
      <c r="F1618" s="974" t="s">
        <v>870</v>
      </c>
      <c r="G1618" s="969">
        <f t="shared" ref="G1618:G1627" si="332">VLOOKUP(B1618,$O$43:$P$53,2,FALSE)</f>
        <v>25.73</v>
      </c>
      <c r="H1618" s="930">
        <f t="shared" si="328"/>
        <v>0</v>
      </c>
      <c r="I1618" s="984">
        <v>4.0999999999999996</v>
      </c>
      <c r="J1618" s="930">
        <f t="shared" si="329"/>
        <v>0</v>
      </c>
      <c r="K1618" s="931">
        <f t="shared" si="330"/>
        <v>0</v>
      </c>
      <c r="L1618" s="971"/>
      <c r="M1618" s="954"/>
      <c r="N1618" s="954"/>
      <c r="O1618" s="954"/>
      <c r="P1618" s="954"/>
      <c r="Q1618" s="954"/>
      <c r="R1618" s="954"/>
      <c r="S1618" s="954"/>
      <c r="T1618" s="954"/>
      <c r="U1618" s="954"/>
    </row>
    <row r="1619" spans="1:21" s="933" customFormat="1" ht="24" customHeight="1">
      <c r="A1619" s="928"/>
      <c r="B1619" s="976" t="s">
        <v>873</v>
      </c>
      <c r="C1619" s="976"/>
      <c r="D1619" s="976"/>
      <c r="E1619" s="978"/>
      <c r="F1619" s="974" t="s">
        <v>870</v>
      </c>
      <c r="G1619" s="969">
        <f t="shared" si="332"/>
        <v>24.97</v>
      </c>
      <c r="H1619" s="930">
        <f t="shared" si="328"/>
        <v>0</v>
      </c>
      <c r="I1619" s="970">
        <v>4.0999999999999996</v>
      </c>
      <c r="J1619" s="930">
        <f t="shared" si="329"/>
        <v>0</v>
      </c>
      <c r="K1619" s="931">
        <f t="shared" si="330"/>
        <v>0</v>
      </c>
      <c r="L1619" s="971"/>
      <c r="M1619" s="954"/>
      <c r="N1619" s="954"/>
      <c r="O1619" s="954"/>
      <c r="P1619" s="954"/>
      <c r="Q1619" s="954"/>
      <c r="R1619" s="954"/>
      <c r="S1619" s="954"/>
      <c r="T1619" s="954"/>
      <c r="U1619" s="954"/>
    </row>
    <row r="1620" spans="1:21" s="933" customFormat="1" ht="24" customHeight="1">
      <c r="A1620" s="928"/>
      <c r="B1620" s="976" t="s">
        <v>1039</v>
      </c>
      <c r="C1620" s="976"/>
      <c r="D1620" s="976"/>
      <c r="E1620" s="978">
        <v>899.55</v>
      </c>
      <c r="F1620" s="974" t="s">
        <v>870</v>
      </c>
      <c r="G1620" s="969">
        <f t="shared" si="332"/>
        <v>23.5</v>
      </c>
      <c r="H1620" s="930">
        <f t="shared" si="328"/>
        <v>21139.43</v>
      </c>
      <c r="I1620" s="970">
        <v>4.0999999999999996</v>
      </c>
      <c r="J1620" s="930">
        <f t="shared" si="329"/>
        <v>3688.16</v>
      </c>
      <c r="K1620" s="931">
        <f t="shared" si="330"/>
        <v>24827.59</v>
      </c>
      <c r="L1620" s="971"/>
      <c r="M1620" s="954"/>
      <c r="N1620" s="954"/>
      <c r="O1620" s="954"/>
      <c r="P1620" s="954"/>
      <c r="Q1620" s="954"/>
      <c r="R1620" s="954"/>
      <c r="S1620" s="954"/>
      <c r="T1620" s="954"/>
      <c r="U1620" s="954"/>
    </row>
    <row r="1621" spans="1:21" s="933" customFormat="1" ht="24" customHeight="1">
      <c r="A1621" s="928"/>
      <c r="B1621" s="976" t="s">
        <v>874</v>
      </c>
      <c r="C1621" s="976"/>
      <c r="D1621" s="976"/>
      <c r="E1621" s="978">
        <v>12182.59</v>
      </c>
      <c r="F1621" s="974" t="s">
        <v>870</v>
      </c>
      <c r="G1621" s="969">
        <f t="shared" si="332"/>
        <v>24.47</v>
      </c>
      <c r="H1621" s="930">
        <f t="shared" si="328"/>
        <v>298107.98</v>
      </c>
      <c r="I1621" s="970">
        <v>3.3</v>
      </c>
      <c r="J1621" s="930">
        <f t="shared" si="329"/>
        <v>40202.550000000003</v>
      </c>
      <c r="K1621" s="931">
        <f t="shared" si="330"/>
        <v>338310.52999999997</v>
      </c>
      <c r="L1621" s="971"/>
      <c r="M1621" s="954"/>
      <c r="N1621" s="954"/>
      <c r="O1621" s="954"/>
      <c r="P1621" s="954"/>
      <c r="Q1621" s="954"/>
      <c r="R1621" s="954"/>
      <c r="S1621" s="954"/>
      <c r="T1621" s="954"/>
      <c r="U1621" s="954"/>
    </row>
    <row r="1622" spans="1:21" s="933" customFormat="1" ht="24" customHeight="1">
      <c r="A1622" s="928"/>
      <c r="B1622" s="976" t="s">
        <v>875</v>
      </c>
      <c r="C1622" s="976"/>
      <c r="D1622" s="976"/>
      <c r="E1622" s="978"/>
      <c r="F1622" s="982" t="s">
        <v>870</v>
      </c>
      <c r="G1622" s="969">
        <f t="shared" si="332"/>
        <v>24.27</v>
      </c>
      <c r="H1622" s="930">
        <f t="shared" si="328"/>
        <v>0</v>
      </c>
      <c r="I1622" s="970">
        <v>3.3</v>
      </c>
      <c r="J1622" s="930">
        <f t="shared" si="329"/>
        <v>0</v>
      </c>
      <c r="K1622" s="931">
        <f t="shared" si="330"/>
        <v>0</v>
      </c>
      <c r="L1622" s="971"/>
      <c r="M1622" s="954"/>
      <c r="N1622" s="954"/>
      <c r="O1622" s="954"/>
      <c r="P1622" s="954"/>
      <c r="Q1622" s="954"/>
      <c r="R1622" s="954"/>
      <c r="S1622" s="954"/>
      <c r="T1622" s="954"/>
      <c r="U1622" s="954"/>
    </row>
    <row r="1623" spans="1:21" s="933" customFormat="1" ht="24" customHeight="1">
      <c r="A1623" s="928"/>
      <c r="B1623" s="976" t="s">
        <v>876</v>
      </c>
      <c r="C1623" s="976"/>
      <c r="D1623" s="976"/>
      <c r="E1623" s="978"/>
      <c r="F1623" s="974" t="s">
        <v>870</v>
      </c>
      <c r="G1623" s="969">
        <f t="shared" si="332"/>
        <v>24.27</v>
      </c>
      <c r="H1623" s="930">
        <f t="shared" si="328"/>
        <v>0</v>
      </c>
      <c r="I1623" s="970">
        <v>2.9</v>
      </c>
      <c r="J1623" s="930">
        <f t="shared" si="329"/>
        <v>0</v>
      </c>
      <c r="K1623" s="931">
        <f t="shared" si="330"/>
        <v>0</v>
      </c>
      <c r="L1623" s="971"/>
      <c r="M1623" s="954"/>
      <c r="N1623" s="954"/>
      <c r="O1623" s="955"/>
      <c r="P1623" s="954"/>
      <c r="Q1623" s="954"/>
      <c r="R1623" s="954"/>
      <c r="S1623" s="954"/>
      <c r="T1623" s="954"/>
      <c r="U1623" s="954"/>
    </row>
    <row r="1624" spans="1:21" s="933" customFormat="1" ht="24" customHeight="1">
      <c r="A1624" s="928"/>
      <c r="B1624" s="976" t="s">
        <v>877</v>
      </c>
      <c r="C1624" s="976"/>
      <c r="D1624" s="976"/>
      <c r="E1624" s="978">
        <v>2791.34</v>
      </c>
      <c r="F1624" s="974" t="s">
        <v>870</v>
      </c>
      <c r="G1624" s="969">
        <f t="shared" si="332"/>
        <v>24.27</v>
      </c>
      <c r="H1624" s="930">
        <f t="shared" si="328"/>
        <v>67745.820000000007</v>
      </c>
      <c r="I1624" s="970">
        <v>2.9</v>
      </c>
      <c r="J1624" s="930">
        <f t="shared" si="329"/>
        <v>8094.89</v>
      </c>
      <c r="K1624" s="931">
        <f t="shared" si="330"/>
        <v>75840.710000000006</v>
      </c>
      <c r="L1624" s="971"/>
      <c r="M1624" s="954"/>
      <c r="N1624" s="954"/>
      <c r="O1624" s="954"/>
      <c r="P1624" s="954"/>
      <c r="Q1624" s="954"/>
      <c r="R1624" s="954"/>
      <c r="S1624" s="954"/>
      <c r="T1624" s="954"/>
      <c r="U1624" s="954"/>
    </row>
    <row r="1625" spans="1:21" s="933" customFormat="1" ht="24" customHeight="1">
      <c r="A1625" s="928"/>
      <c r="B1625" s="976" t="s">
        <v>878</v>
      </c>
      <c r="C1625" s="976"/>
      <c r="D1625" s="976"/>
      <c r="E1625" s="978">
        <v>9806.11</v>
      </c>
      <c r="F1625" s="974" t="s">
        <v>870</v>
      </c>
      <c r="G1625" s="969">
        <f t="shared" si="332"/>
        <v>24.27</v>
      </c>
      <c r="H1625" s="930">
        <f t="shared" si="328"/>
        <v>237994.29</v>
      </c>
      <c r="I1625" s="970">
        <v>2.9</v>
      </c>
      <c r="J1625" s="930">
        <f t="shared" si="329"/>
        <v>28437.72</v>
      </c>
      <c r="K1625" s="931">
        <f t="shared" si="330"/>
        <v>266432.01</v>
      </c>
      <c r="L1625" s="971"/>
      <c r="M1625" s="954"/>
      <c r="N1625" s="954"/>
      <c r="O1625" s="954"/>
      <c r="P1625" s="954"/>
      <c r="Q1625" s="954"/>
      <c r="R1625" s="954"/>
      <c r="S1625" s="954"/>
      <c r="T1625" s="954"/>
      <c r="U1625" s="954"/>
    </row>
    <row r="1626" spans="1:21" s="933" customFormat="1" ht="24" customHeight="1">
      <c r="A1626" s="928"/>
      <c r="B1626" s="976" t="s">
        <v>879</v>
      </c>
      <c r="C1626" s="976"/>
      <c r="D1626" s="976"/>
      <c r="E1626" s="978"/>
      <c r="F1626" s="974" t="s">
        <v>870</v>
      </c>
      <c r="G1626" s="969">
        <f t="shared" si="332"/>
        <v>23.8</v>
      </c>
      <c r="H1626" s="930">
        <f t="shared" si="328"/>
        <v>0</v>
      </c>
      <c r="I1626" s="970">
        <v>2.9</v>
      </c>
      <c r="J1626" s="930">
        <f t="shared" si="329"/>
        <v>0</v>
      </c>
      <c r="K1626" s="931">
        <f t="shared" si="330"/>
        <v>0</v>
      </c>
      <c r="L1626" s="971"/>
      <c r="M1626" s="954"/>
      <c r="N1626" s="954"/>
      <c r="O1626" s="954"/>
      <c r="P1626" s="954"/>
      <c r="Q1626" s="954"/>
      <c r="R1626" s="954"/>
      <c r="S1626" s="954"/>
      <c r="T1626" s="954"/>
      <c r="U1626" s="954"/>
    </row>
    <row r="1627" spans="1:21" s="933" customFormat="1" ht="24" customHeight="1">
      <c r="A1627" s="928"/>
      <c r="B1627" s="976" t="s">
        <v>880</v>
      </c>
      <c r="C1627" s="976"/>
      <c r="D1627" s="976"/>
      <c r="E1627" s="978">
        <f>(SUM(E1618:E1626)/1000)*30</f>
        <v>770.3877</v>
      </c>
      <c r="F1627" s="974" t="s">
        <v>870</v>
      </c>
      <c r="G1627" s="969">
        <f t="shared" si="332"/>
        <v>29.92</v>
      </c>
      <c r="H1627" s="930">
        <f t="shared" si="328"/>
        <v>23050</v>
      </c>
      <c r="I1627" s="970"/>
      <c r="J1627" s="930">
        <f t="shared" si="329"/>
        <v>0</v>
      </c>
      <c r="K1627" s="931">
        <f t="shared" si="330"/>
        <v>23050</v>
      </c>
      <c r="L1627" s="971"/>
      <c r="M1627" s="954"/>
      <c r="N1627" s="954"/>
      <c r="O1627" s="954"/>
      <c r="P1627" s="954"/>
      <c r="Q1627" s="954"/>
      <c r="R1627" s="954"/>
      <c r="S1627" s="954"/>
      <c r="T1627" s="954"/>
      <c r="U1627" s="954"/>
    </row>
    <row r="1628" spans="1:21" s="933" customFormat="1" ht="24" customHeight="1">
      <c r="A1628" s="928"/>
      <c r="B1628" s="976" t="s">
        <v>881</v>
      </c>
      <c r="C1628" s="976"/>
      <c r="D1628" s="976"/>
      <c r="E1628" s="978"/>
      <c r="F1628" s="974"/>
      <c r="G1628" s="969"/>
      <c r="H1628" s="930"/>
      <c r="I1628" s="970"/>
      <c r="J1628" s="930"/>
      <c r="K1628" s="931"/>
      <c r="L1628" s="971"/>
      <c r="M1628" s="954"/>
      <c r="N1628" s="954"/>
      <c r="O1628" s="954"/>
      <c r="P1628" s="954"/>
      <c r="Q1628" s="954"/>
      <c r="R1628" s="954"/>
      <c r="S1628" s="954"/>
      <c r="T1628" s="954"/>
      <c r="U1628" s="954"/>
    </row>
    <row r="1629" spans="1:21" s="933" customFormat="1" ht="24" customHeight="1">
      <c r="A1629" s="928"/>
      <c r="B1629" s="1021"/>
      <c r="C1629" s="976"/>
      <c r="D1629" s="976"/>
      <c r="E1629" s="978"/>
      <c r="F1629" s="974"/>
      <c r="G1629" s="969"/>
      <c r="H1629" s="930"/>
      <c r="I1629" s="970"/>
      <c r="J1629" s="930"/>
      <c r="K1629" s="931"/>
      <c r="L1629" s="971"/>
      <c r="M1629" s="954"/>
      <c r="N1629" s="954"/>
      <c r="O1629" s="954"/>
      <c r="P1629" s="954"/>
      <c r="Q1629" s="954"/>
      <c r="R1629" s="954"/>
      <c r="S1629" s="954"/>
      <c r="T1629" s="954"/>
      <c r="U1629" s="954"/>
    </row>
    <row r="1630" spans="1:21" s="933" customFormat="1" ht="24" customHeight="1">
      <c r="A1630" s="928"/>
      <c r="B1630" s="1021"/>
      <c r="C1630" s="976"/>
      <c r="D1630" s="976"/>
      <c r="E1630" s="978"/>
      <c r="F1630" s="974"/>
      <c r="G1630" s="969"/>
      <c r="H1630" s="930"/>
      <c r="I1630" s="970"/>
      <c r="J1630" s="930"/>
      <c r="K1630" s="931"/>
      <c r="L1630" s="971"/>
      <c r="M1630" s="954"/>
      <c r="N1630" s="954"/>
      <c r="O1630" s="954"/>
      <c r="P1630" s="954"/>
      <c r="Q1630" s="954"/>
      <c r="R1630" s="954"/>
      <c r="S1630" s="954"/>
      <c r="T1630" s="954"/>
      <c r="U1630" s="954"/>
    </row>
    <row r="1631" spans="1:21" s="933" customFormat="1" ht="24" customHeight="1">
      <c r="A1631" s="928"/>
      <c r="B1631" s="1021"/>
      <c r="C1631" s="976"/>
      <c r="D1631" s="976"/>
      <c r="E1631" s="978"/>
      <c r="F1631" s="974"/>
      <c r="G1631" s="969"/>
      <c r="H1631" s="930"/>
      <c r="I1631" s="970"/>
      <c r="J1631" s="930"/>
      <c r="K1631" s="931"/>
      <c r="L1631" s="971"/>
      <c r="M1631" s="954"/>
      <c r="N1631" s="954"/>
      <c r="O1631" s="954"/>
      <c r="P1631" s="954"/>
      <c r="Q1631" s="954"/>
      <c r="R1631" s="954"/>
      <c r="S1631" s="954"/>
      <c r="T1631" s="954"/>
      <c r="U1631" s="954"/>
    </row>
    <row r="1632" spans="1:21" s="933" customFormat="1" ht="24" customHeight="1">
      <c r="A1632" s="928"/>
      <c r="B1632" s="1021"/>
      <c r="C1632" s="976"/>
      <c r="D1632" s="976"/>
      <c r="E1632" s="978"/>
      <c r="F1632" s="974"/>
      <c r="G1632" s="969"/>
      <c r="H1632" s="930"/>
      <c r="I1632" s="970"/>
      <c r="J1632" s="930"/>
      <c r="K1632" s="931"/>
      <c r="L1632" s="971"/>
      <c r="M1632" s="954"/>
      <c r="N1632" s="954"/>
      <c r="O1632" s="954"/>
      <c r="P1632" s="954"/>
      <c r="Q1632" s="954"/>
      <c r="R1632" s="954"/>
      <c r="S1632" s="954"/>
      <c r="T1632" s="954"/>
      <c r="U1632" s="954"/>
    </row>
    <row r="1633" spans="1:21" s="933" customFormat="1" ht="24" customHeight="1">
      <c r="A1633" s="928"/>
      <c r="B1633" s="1021"/>
      <c r="C1633" s="976"/>
      <c r="D1633" s="976"/>
      <c r="E1633" s="978"/>
      <c r="F1633" s="974"/>
      <c r="G1633" s="969"/>
      <c r="H1633" s="930"/>
      <c r="I1633" s="970"/>
      <c r="J1633" s="930"/>
      <c r="K1633" s="931"/>
      <c r="L1633" s="971"/>
      <c r="M1633" s="954"/>
      <c r="N1633" s="954"/>
      <c r="O1633" s="954"/>
      <c r="P1633" s="954"/>
      <c r="Q1633" s="954"/>
      <c r="R1633" s="954"/>
      <c r="S1633" s="954"/>
      <c r="T1633" s="954"/>
      <c r="U1633" s="954"/>
    </row>
    <row r="1634" spans="1:21" s="933" customFormat="1" ht="24" customHeight="1">
      <c r="A1634" s="1020"/>
      <c r="B1634" s="1021"/>
      <c r="C1634" s="987"/>
      <c r="D1634" s="987"/>
      <c r="E1634" s="978"/>
      <c r="F1634" s="989"/>
      <c r="G1634" s="983"/>
      <c r="H1634" s="990"/>
      <c r="I1634" s="984"/>
      <c r="J1634" s="990"/>
      <c r="K1634" s="991"/>
      <c r="L1634" s="992"/>
      <c r="M1634" s="954"/>
      <c r="N1634" s="954"/>
      <c r="O1634" s="954"/>
      <c r="P1634" s="954"/>
      <c r="Q1634" s="954"/>
      <c r="R1634" s="954"/>
      <c r="S1634" s="954"/>
      <c r="T1634" s="954"/>
      <c r="U1634" s="954"/>
    </row>
    <row r="1635" spans="1:21" s="933" customFormat="1" ht="24" customHeight="1">
      <c r="A1635" s="1014"/>
      <c r="B1635" s="2226" t="str">
        <f>"รวมราคารายการที่ "&amp;A1561</f>
        <v>รวมราคารายการที่ 1.15</v>
      </c>
      <c r="C1635" s="2226"/>
      <c r="D1635" s="2226"/>
      <c r="E1635" s="1015"/>
      <c r="F1635" s="1016"/>
      <c r="G1635" s="1017"/>
      <c r="H1635" s="1018">
        <f>ROUND(SUBTOTAL(9,H1562:H1634),2)</f>
        <v>4025700.87</v>
      </c>
      <c r="I1635" s="1019"/>
      <c r="J1635" s="1018">
        <f>ROUND(SUBTOTAL(9,J1562:J1634),2)</f>
        <v>959851.74</v>
      </c>
      <c r="K1635" s="1018">
        <f>ROUND(SUBTOTAL(9,K1562:K1634),2)</f>
        <v>4985552.6100000003</v>
      </c>
      <c r="L1635" s="1018"/>
      <c r="M1635" s="954"/>
      <c r="N1635" s="954"/>
      <c r="O1635" s="954"/>
      <c r="P1635" s="954"/>
      <c r="Q1635" s="954"/>
      <c r="R1635" s="954"/>
      <c r="S1635" s="954"/>
      <c r="T1635" s="954"/>
      <c r="U1635" s="954"/>
    </row>
  </sheetData>
  <mergeCells count="24">
    <mergeCell ref="B1485:D1485"/>
    <mergeCell ref="B1535:D1535"/>
    <mergeCell ref="B1560:D1560"/>
    <mergeCell ref="B1635:D1635"/>
    <mergeCell ref="B735:D735"/>
    <mergeCell ref="B860:D860"/>
    <mergeCell ref="B985:D985"/>
    <mergeCell ref="B1110:D1110"/>
    <mergeCell ref="B1235:D1235"/>
    <mergeCell ref="B1360:D1360"/>
    <mergeCell ref="B610:D610"/>
    <mergeCell ref="L7:L8"/>
    <mergeCell ref="A9:A10"/>
    <mergeCell ref="B9:D10"/>
    <mergeCell ref="E9:E10"/>
    <mergeCell ref="F9:F10"/>
    <mergeCell ref="G9:H9"/>
    <mergeCell ref="I9:J9"/>
    <mergeCell ref="L9:L10"/>
    <mergeCell ref="B35:D35"/>
    <mergeCell ref="B110:D110"/>
    <mergeCell ref="B235:D235"/>
    <mergeCell ref="B360:D360"/>
    <mergeCell ref="B485:D485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&amp;Rงานโครงสร้าง-อาคารทิศตะวันตก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D45F8-DF74-48BB-9AED-41B2803C5EAA}">
  <sheetPr>
    <tabColor rgb="FF92D050"/>
  </sheetPr>
  <dimension ref="A1:O84"/>
  <sheetViews>
    <sheetView showGridLines="0" view="pageBreakPreview" topLeftCell="A70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29296875" style="1" customWidth="1"/>
    <col min="13" max="71" width="7.703125" style="1" customWidth="1"/>
    <col min="72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1819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627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H51</f>
        <v>39829</v>
      </c>
      <c r="I13" s="1197"/>
      <c r="J13" s="1196">
        <f>J51</f>
        <v>21149</v>
      </c>
      <c r="K13" s="1553">
        <f>SUM(H13:J13)</f>
        <v>60978</v>
      </c>
      <c r="L13" s="1627"/>
    </row>
    <row r="14" spans="1:12" s="1199" customFormat="1" ht="24" customHeight="1">
      <c r="A14" s="1572" t="str">
        <f>A52</f>
        <v>5.2</v>
      </c>
      <c r="B14" s="1573" t="str">
        <f>B52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H66</f>
        <v>115126</v>
      </c>
      <c r="I14" s="1230"/>
      <c r="J14" s="1229">
        <f>J66</f>
        <v>34759</v>
      </c>
      <c r="K14" s="1553">
        <f>SUM(H14:J14)</f>
        <v>149885</v>
      </c>
      <c r="L14" s="1628"/>
    </row>
    <row r="15" spans="1:12" s="1199" customFormat="1" ht="24" customHeight="1">
      <c r="A15" s="1572">
        <f>A67</f>
        <v>5.3</v>
      </c>
      <c r="B15" s="1629" t="str">
        <f>B67</f>
        <v>ระบบระบายน้ำฝนและระบายน้ำในอาคาร (Storm Drain &amp; Building Drain System)</v>
      </c>
      <c r="C15" s="1572"/>
      <c r="D15" s="1572"/>
      <c r="E15" s="1576">
        <v>1</v>
      </c>
      <c r="F15" s="1577" t="s">
        <v>19</v>
      </c>
      <c r="G15" s="1228"/>
      <c r="H15" s="1229">
        <f>H84</f>
        <v>11127</v>
      </c>
      <c r="I15" s="1230"/>
      <c r="J15" s="1229">
        <f>J84</f>
        <v>3840</v>
      </c>
      <c r="K15" s="1553">
        <f>SUM(H15:J15)</f>
        <v>14967</v>
      </c>
      <c r="L15" s="1627"/>
    </row>
    <row r="16" spans="1:12" s="1199" customFormat="1" ht="24" customHeight="1">
      <c r="A16" s="1564"/>
      <c r="B16" s="1565"/>
      <c r="C16" s="1533"/>
      <c r="D16" s="1534"/>
      <c r="E16" s="1566"/>
      <c r="F16" s="1567"/>
      <c r="G16" s="1195"/>
      <c r="H16" s="1196"/>
      <c r="I16" s="1197"/>
      <c r="J16" s="1196"/>
      <c r="K16" s="1553"/>
      <c r="L16" s="1627"/>
    </row>
    <row r="17" spans="1:12" s="1199" customFormat="1" ht="24" customHeight="1">
      <c r="A17" s="1564"/>
      <c r="B17" s="1565"/>
      <c r="C17" s="1533"/>
      <c r="D17" s="1534"/>
      <c r="E17" s="1566"/>
      <c r="F17" s="1567"/>
      <c r="G17" s="1195"/>
      <c r="H17" s="1196"/>
      <c r="I17" s="1197"/>
      <c r="J17" s="1196"/>
      <c r="K17" s="1553"/>
      <c r="L17" s="1627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627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627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2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2" s="1199" customFormat="1" ht="30" customHeight="1">
      <c r="A34" s="1578"/>
      <c r="B34" s="2257" t="str">
        <f>"รวมราคา"&amp;B11</f>
        <v>รวมราคางานระบบสุขาภิบาล ชั้น B2</v>
      </c>
      <c r="C34" s="2258"/>
      <c r="D34" s="2259"/>
      <c r="E34" s="1579"/>
      <c r="F34" s="1579"/>
      <c r="G34" s="1580"/>
      <c r="H34" s="1581">
        <f>SUM(H12:H33)</f>
        <v>166082</v>
      </c>
      <c r="I34" s="1582"/>
      <c r="J34" s="1581">
        <f>SUM(J12:J33)</f>
        <v>59748</v>
      </c>
      <c r="K34" s="1583">
        <f>SUM(K12:K33)</f>
        <v>225830</v>
      </c>
      <c r="L34" s="1630"/>
    </row>
    <row r="35" spans="1:12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631"/>
    </row>
    <row r="36" spans="1:12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632"/>
      <c r="L36" s="1633"/>
    </row>
    <row r="37" spans="1:12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73"/>
      <c r="L37" s="1633"/>
    </row>
    <row r="38" spans="1:12" s="1199" customFormat="1" ht="24" customHeight="1">
      <c r="A38" s="1564"/>
      <c r="B38" s="1597" t="s">
        <v>1731</v>
      </c>
      <c r="C38" s="1533"/>
      <c r="D38" s="1534"/>
      <c r="E38" s="1566">
        <v>439</v>
      </c>
      <c r="F38" s="1567" t="s">
        <v>226</v>
      </c>
      <c r="G38" s="1593">
        <v>35</v>
      </c>
      <c r="H38" s="1264">
        <f t="shared" ref="H38:H43" si="0">ROUND(E38*G38,)</f>
        <v>15365</v>
      </c>
      <c r="I38" s="1595">
        <v>30</v>
      </c>
      <c r="J38" s="1264">
        <f t="shared" ref="J38:J43" si="1">ROUND(E38*I38,)</f>
        <v>13170</v>
      </c>
      <c r="K38" s="1273">
        <f t="shared" ref="K38:K43" si="2">H38+J38</f>
        <v>28535</v>
      </c>
      <c r="L38" s="1633"/>
    </row>
    <row r="39" spans="1:12" s="1199" customFormat="1" ht="24" customHeight="1">
      <c r="A39" s="1564"/>
      <c r="B39" s="1597" t="s">
        <v>1734</v>
      </c>
      <c r="C39" s="1533"/>
      <c r="D39" s="1534"/>
      <c r="E39" s="1566">
        <v>39</v>
      </c>
      <c r="F39" s="1567" t="s">
        <v>226</v>
      </c>
      <c r="G39" s="1593">
        <v>46</v>
      </c>
      <c r="H39" s="1264">
        <f t="shared" si="0"/>
        <v>1794</v>
      </c>
      <c r="I39" s="1595">
        <v>30</v>
      </c>
      <c r="J39" s="1264">
        <f t="shared" si="1"/>
        <v>1170</v>
      </c>
      <c r="K39" s="1273">
        <f t="shared" si="2"/>
        <v>2964</v>
      </c>
      <c r="L39" s="1633"/>
    </row>
    <row r="40" spans="1:12" s="1199" customFormat="1" ht="24" customHeight="1">
      <c r="A40" s="1564"/>
      <c r="B40" s="1597" t="s">
        <v>1821</v>
      </c>
      <c r="C40" s="1533"/>
      <c r="D40" s="1534"/>
      <c r="E40" s="1566">
        <v>5</v>
      </c>
      <c r="F40" s="1567" t="s">
        <v>226</v>
      </c>
      <c r="G40" s="1593">
        <v>76</v>
      </c>
      <c r="H40" s="1264">
        <f t="shared" si="0"/>
        <v>380</v>
      </c>
      <c r="I40" s="1595">
        <v>30</v>
      </c>
      <c r="J40" s="1264">
        <f t="shared" si="1"/>
        <v>150</v>
      </c>
      <c r="K40" s="1273">
        <f t="shared" si="2"/>
        <v>530</v>
      </c>
      <c r="L40" s="1633"/>
    </row>
    <row r="41" spans="1:12" s="1199" customFormat="1" ht="24" customHeight="1">
      <c r="A41" s="1564"/>
      <c r="B41" s="1565" t="s">
        <v>1719</v>
      </c>
      <c r="C41" s="1533"/>
      <c r="D41" s="1534"/>
      <c r="E41" s="1566">
        <v>1</v>
      </c>
      <c r="F41" s="1567" t="s">
        <v>1104</v>
      </c>
      <c r="G41" s="1593">
        <f>ROUND(SUM(H38:H40)*50%,)</f>
        <v>8770</v>
      </c>
      <c r="H41" s="1264">
        <f t="shared" si="0"/>
        <v>8770</v>
      </c>
      <c r="I41" s="1595">
        <f>ROUND(G41*0.3,)</f>
        <v>2631</v>
      </c>
      <c r="J41" s="1264">
        <f t="shared" si="1"/>
        <v>2631</v>
      </c>
      <c r="K41" s="1265">
        <f t="shared" si="2"/>
        <v>11401</v>
      </c>
      <c r="L41" s="1633"/>
    </row>
    <row r="42" spans="1:12" s="1199" customFormat="1" ht="24" customHeight="1">
      <c r="A42" s="1564"/>
      <c r="B42" s="1565" t="s">
        <v>1720</v>
      </c>
      <c r="C42" s="1533"/>
      <c r="D42" s="1534"/>
      <c r="E42" s="1566">
        <v>1</v>
      </c>
      <c r="F42" s="1567" t="s">
        <v>1104</v>
      </c>
      <c r="G42" s="1593">
        <f>ROUND(SUM(H38:H40)*20%,)</f>
        <v>3508</v>
      </c>
      <c r="H42" s="1264">
        <f t="shared" si="0"/>
        <v>3508</v>
      </c>
      <c r="I42" s="1595">
        <f>ROUND(G42*0.3,)</f>
        <v>1052</v>
      </c>
      <c r="J42" s="1264">
        <f t="shared" si="1"/>
        <v>1052</v>
      </c>
      <c r="K42" s="1265">
        <f t="shared" si="2"/>
        <v>4560</v>
      </c>
      <c r="L42" s="1633"/>
    </row>
    <row r="43" spans="1:12" s="1199" customFormat="1" ht="24" customHeight="1">
      <c r="A43" s="1564"/>
      <c r="B43" s="1565" t="s">
        <v>1721</v>
      </c>
      <c r="C43" s="1533"/>
      <c r="D43" s="1534"/>
      <c r="E43" s="1566">
        <v>1</v>
      </c>
      <c r="F43" s="1567" t="s">
        <v>1104</v>
      </c>
      <c r="G43" s="1593">
        <f>ROUND(SUM(H38:H40)*10%,)</f>
        <v>1754</v>
      </c>
      <c r="H43" s="1264">
        <f t="shared" si="0"/>
        <v>1754</v>
      </c>
      <c r="I43" s="1595">
        <f>ROUND(G43*0.3,)</f>
        <v>526</v>
      </c>
      <c r="J43" s="1264">
        <f t="shared" si="1"/>
        <v>526</v>
      </c>
      <c r="K43" s="1265">
        <f t="shared" si="2"/>
        <v>2280</v>
      </c>
      <c r="L43" s="1633"/>
    </row>
    <row r="44" spans="1:12" s="1199" customFormat="1" ht="24" customHeight="1">
      <c r="A44" s="1564" t="s">
        <v>1722</v>
      </c>
      <c r="B44" s="1597" t="s">
        <v>1725</v>
      </c>
      <c r="C44" s="1533"/>
      <c r="D44" s="1534"/>
      <c r="E44" s="1566"/>
      <c r="F44" s="1567"/>
      <c r="G44" s="1593"/>
      <c r="H44" s="1264"/>
      <c r="I44" s="1595"/>
      <c r="J44" s="1264"/>
      <c r="K44" s="1273"/>
      <c r="L44" s="1633"/>
    </row>
    <row r="45" spans="1:12" s="1199" customFormat="1" ht="24" customHeight="1">
      <c r="A45" s="1564"/>
      <c r="B45" s="1597" t="s">
        <v>1821</v>
      </c>
      <c r="C45" s="1533"/>
      <c r="D45" s="1534"/>
      <c r="E45" s="1566">
        <v>2</v>
      </c>
      <c r="F45" s="1567" t="s">
        <v>363</v>
      </c>
      <c r="G45" s="1593">
        <v>1984</v>
      </c>
      <c r="H45" s="1264">
        <f>ROUND(E45*G45,)</f>
        <v>3968</v>
      </c>
      <c r="I45" s="1595">
        <v>250</v>
      </c>
      <c r="J45" s="1264">
        <f>ROUND(E45*I45,)</f>
        <v>500</v>
      </c>
      <c r="K45" s="1273">
        <f>H45+J45</f>
        <v>4468</v>
      </c>
      <c r="L45" s="2082" t="s">
        <v>2667</v>
      </c>
    </row>
    <row r="46" spans="1:12" s="1199" customFormat="1" ht="24" customHeight="1">
      <c r="A46" s="1564" t="s">
        <v>1727</v>
      </c>
      <c r="B46" s="1565" t="s">
        <v>1822</v>
      </c>
      <c r="C46" s="1533"/>
      <c r="D46" s="1534"/>
      <c r="E46" s="1566"/>
      <c r="F46" s="1567"/>
      <c r="G46" s="1593"/>
      <c r="H46" s="1264"/>
      <c r="I46" s="1595"/>
      <c r="J46" s="1264"/>
      <c r="K46" s="1265"/>
      <c r="L46" s="1633"/>
    </row>
    <row r="47" spans="1:12" s="1199" customFormat="1" ht="24" customHeight="1">
      <c r="A47" s="1564"/>
      <c r="B47" s="1565" t="s">
        <v>1823</v>
      </c>
      <c r="C47" s="1533"/>
      <c r="D47" s="1534"/>
      <c r="E47" s="1566">
        <v>13</v>
      </c>
      <c r="F47" s="1567" t="s">
        <v>363</v>
      </c>
      <c r="G47" s="1603">
        <v>210</v>
      </c>
      <c r="H47" s="1264">
        <f>ROUND(E47*G47,)</f>
        <v>2730</v>
      </c>
      <c r="I47" s="1595">
        <v>100</v>
      </c>
      <c r="J47" s="1264">
        <f>ROUND(E47*I47,)</f>
        <v>1300</v>
      </c>
      <c r="K47" s="1265">
        <f>H47+J47</f>
        <v>4030</v>
      </c>
      <c r="L47" s="1633"/>
    </row>
    <row r="48" spans="1:12" s="1199" customFormat="1" ht="24" customHeight="1">
      <c r="A48" s="1564" t="s">
        <v>1729</v>
      </c>
      <c r="B48" s="1597" t="s">
        <v>1824</v>
      </c>
      <c r="C48" s="1533"/>
      <c r="D48" s="1534"/>
      <c r="E48" s="1566"/>
      <c r="F48" s="1567"/>
      <c r="G48" s="1593"/>
      <c r="H48" s="1264"/>
      <c r="I48" s="1595"/>
      <c r="J48" s="1264"/>
      <c r="K48" s="1273"/>
      <c r="L48" s="1633"/>
    </row>
    <row r="49" spans="1:12" s="1199" customFormat="1" ht="24" customHeight="1">
      <c r="A49" s="1564"/>
      <c r="B49" s="1597" t="s">
        <v>1823</v>
      </c>
      <c r="C49" s="1533"/>
      <c r="D49" s="1534"/>
      <c r="E49" s="1566">
        <v>13</v>
      </c>
      <c r="F49" s="1567" t="s">
        <v>363</v>
      </c>
      <c r="G49" s="1593">
        <v>120</v>
      </c>
      <c r="H49" s="1264">
        <f>ROUND(E49*G49,)</f>
        <v>1560</v>
      </c>
      <c r="I49" s="1595">
        <v>50</v>
      </c>
      <c r="J49" s="1264">
        <f>ROUND(I49*E49,)</f>
        <v>650</v>
      </c>
      <c r="K49" s="1273">
        <f>H49+J49</f>
        <v>2210</v>
      </c>
      <c r="L49" s="1633"/>
    </row>
    <row r="50" spans="1:12" s="1199" customFormat="1" ht="24" customHeight="1">
      <c r="A50" s="1564"/>
      <c r="B50" s="1597"/>
      <c r="C50" s="1533"/>
      <c r="D50" s="1534"/>
      <c r="E50" s="1566"/>
      <c r="F50" s="1567"/>
      <c r="G50" s="1593"/>
      <c r="H50" s="1264"/>
      <c r="I50" s="1595"/>
      <c r="J50" s="1264"/>
      <c r="K50" s="1273"/>
      <c r="L50" s="1633"/>
    </row>
    <row r="51" spans="1:12" s="1199" customFormat="1" ht="24" customHeight="1">
      <c r="A51" s="1578"/>
      <c r="B51" s="2257" t="str">
        <f>"รวมราคารายการที่ "&amp;A36</f>
        <v>รวมราคารายการที่ 5.1</v>
      </c>
      <c r="C51" s="2258"/>
      <c r="D51" s="2259"/>
      <c r="E51" s="1579"/>
      <c r="F51" s="1579"/>
      <c r="G51" s="1580"/>
      <c r="H51" s="1581">
        <f>SUM(H37:H50)</f>
        <v>39829</v>
      </c>
      <c r="I51" s="1582"/>
      <c r="J51" s="1581">
        <f>SUM(J36:J50)</f>
        <v>21149</v>
      </c>
      <c r="K51" s="1583">
        <f>SUM(K36:K50)</f>
        <v>60978</v>
      </c>
      <c r="L51" s="1630"/>
    </row>
    <row r="52" spans="1:12" s="1199" customFormat="1" ht="24" customHeight="1">
      <c r="A52" s="1605" t="s">
        <v>1744</v>
      </c>
      <c r="B52" s="1606" t="s">
        <v>1745</v>
      </c>
      <c r="C52" s="1607"/>
      <c r="D52" s="1608"/>
      <c r="E52" s="1609"/>
      <c r="F52" s="1610"/>
      <c r="G52" s="1611"/>
      <c r="H52" s="1612"/>
      <c r="I52" s="1613"/>
      <c r="J52" s="1612"/>
      <c r="K52" s="1614"/>
      <c r="L52" s="1634"/>
    </row>
    <row r="53" spans="1:12" s="1199" customFormat="1" ht="24" customHeight="1">
      <c r="A53" s="1564" t="s">
        <v>1746</v>
      </c>
      <c r="B53" s="1565" t="s">
        <v>1825</v>
      </c>
      <c r="C53" s="1533"/>
      <c r="D53" s="1534"/>
      <c r="E53" s="1566"/>
      <c r="F53" s="1567"/>
      <c r="G53" s="1516"/>
      <c r="H53" s="1264"/>
      <c r="I53" s="1265"/>
      <c r="J53" s="1264"/>
      <c r="K53" s="1273"/>
      <c r="L53" s="1635"/>
    </row>
    <row r="54" spans="1:12" s="1199" customFormat="1" ht="24" customHeight="1">
      <c r="A54" s="1564"/>
      <c r="B54" s="1565" t="s">
        <v>1759</v>
      </c>
      <c r="C54" s="1533"/>
      <c r="D54" s="1534"/>
      <c r="E54" s="1566">
        <v>96</v>
      </c>
      <c r="F54" s="1567" t="s">
        <v>226</v>
      </c>
      <c r="G54" s="1516">
        <v>395</v>
      </c>
      <c r="H54" s="1264">
        <f t="shared" ref="H54:H59" si="3">ROUND(E54*G54,)</f>
        <v>37920</v>
      </c>
      <c r="I54" s="1265">
        <v>120</v>
      </c>
      <c r="J54" s="1264">
        <f t="shared" ref="J54:J59" si="4">ROUND(I54*E54,)</f>
        <v>11520</v>
      </c>
      <c r="K54" s="1273">
        <f t="shared" ref="K54:K59" si="5">H54+J54</f>
        <v>49440</v>
      </c>
      <c r="L54" s="1635"/>
    </row>
    <row r="55" spans="1:12" s="1199" customFormat="1" ht="24" customHeight="1">
      <c r="A55" s="1564"/>
      <c r="B55" s="1597" t="s">
        <v>1754</v>
      </c>
      <c r="C55" s="1533"/>
      <c r="D55" s="1534"/>
      <c r="E55" s="1566">
        <v>4</v>
      </c>
      <c r="F55" s="1567" t="s">
        <v>226</v>
      </c>
      <c r="G55" s="1516">
        <v>789</v>
      </c>
      <c r="H55" s="1264">
        <f t="shared" si="3"/>
        <v>3156</v>
      </c>
      <c r="I55" s="1265">
        <v>250</v>
      </c>
      <c r="J55" s="1264">
        <f t="shared" si="4"/>
        <v>1000</v>
      </c>
      <c r="K55" s="1273">
        <f t="shared" si="5"/>
        <v>4156</v>
      </c>
      <c r="L55" s="1635"/>
    </row>
    <row r="56" spans="1:12" s="1199" customFormat="1" ht="24" customHeight="1">
      <c r="A56" s="1564"/>
      <c r="B56" s="1597" t="s">
        <v>1755</v>
      </c>
      <c r="C56" s="1533"/>
      <c r="D56" s="1534"/>
      <c r="E56" s="1566">
        <v>15</v>
      </c>
      <c r="F56" s="1567" t="s">
        <v>226</v>
      </c>
      <c r="G56" s="1516">
        <v>1385</v>
      </c>
      <c r="H56" s="1264">
        <f t="shared" si="3"/>
        <v>20775</v>
      </c>
      <c r="I56" s="1265">
        <v>350</v>
      </c>
      <c r="J56" s="1264">
        <f t="shared" si="4"/>
        <v>5250</v>
      </c>
      <c r="K56" s="1273">
        <f t="shared" si="5"/>
        <v>26025</v>
      </c>
      <c r="L56" s="1635"/>
    </row>
    <row r="57" spans="1:12" s="1199" customFormat="1" ht="24" customHeight="1">
      <c r="A57" s="1564"/>
      <c r="B57" s="1636" t="s">
        <v>1719</v>
      </c>
      <c r="C57" s="1622"/>
      <c r="D57" s="1623"/>
      <c r="E57" s="1566">
        <v>1</v>
      </c>
      <c r="F57" s="1625" t="s">
        <v>1104</v>
      </c>
      <c r="G57" s="1516">
        <f>ROUND(SUM(H54:H56)*40%,)</f>
        <v>24740</v>
      </c>
      <c r="H57" s="1264">
        <f t="shared" si="3"/>
        <v>24740</v>
      </c>
      <c r="I57" s="1595">
        <f>ROUND(G57*0.3,)</f>
        <v>7422</v>
      </c>
      <c r="J57" s="1264">
        <f t="shared" si="4"/>
        <v>7422</v>
      </c>
      <c r="K57" s="1273">
        <f t="shared" si="5"/>
        <v>32162</v>
      </c>
      <c r="L57" s="1635"/>
    </row>
    <row r="58" spans="1:12" s="1199" customFormat="1" ht="24" customHeight="1">
      <c r="A58" s="1564"/>
      <c r="B58" s="1565" t="s">
        <v>1720</v>
      </c>
      <c r="C58" s="1533"/>
      <c r="D58" s="1534"/>
      <c r="E58" s="1566">
        <v>1</v>
      </c>
      <c r="F58" s="1567" t="s">
        <v>1104</v>
      </c>
      <c r="G58" s="1516">
        <f>ROUND(SUM(H54:H56)*20%,)</f>
        <v>12370</v>
      </c>
      <c r="H58" s="1264">
        <f t="shared" si="3"/>
        <v>12370</v>
      </c>
      <c r="I58" s="1595">
        <f>ROUND(G58*0.3,)</f>
        <v>3711</v>
      </c>
      <c r="J58" s="1264">
        <f t="shared" si="4"/>
        <v>3711</v>
      </c>
      <c r="K58" s="1273">
        <f t="shared" si="5"/>
        <v>16081</v>
      </c>
      <c r="L58" s="1635"/>
    </row>
    <row r="59" spans="1:12" s="1199" customFormat="1" ht="24" customHeight="1">
      <c r="A59" s="1564"/>
      <c r="B59" s="1565" t="s">
        <v>1756</v>
      </c>
      <c r="C59" s="1533"/>
      <c r="D59" s="1534"/>
      <c r="E59" s="1566">
        <v>1</v>
      </c>
      <c r="F59" s="1567" t="s">
        <v>1104</v>
      </c>
      <c r="G59" s="1516">
        <f>ROUND(SUM(H54:H56)*10%,)</f>
        <v>6185</v>
      </c>
      <c r="H59" s="1264">
        <f t="shared" si="3"/>
        <v>6185</v>
      </c>
      <c r="I59" s="1595">
        <f>ROUND(G59*0.3,)</f>
        <v>1856</v>
      </c>
      <c r="J59" s="1264">
        <f t="shared" si="4"/>
        <v>1856</v>
      </c>
      <c r="K59" s="1273">
        <f t="shared" si="5"/>
        <v>8041</v>
      </c>
      <c r="L59" s="1635"/>
    </row>
    <row r="60" spans="1:12" s="1199" customFormat="1" ht="24" customHeight="1">
      <c r="A60" s="1564" t="s">
        <v>1752</v>
      </c>
      <c r="B60" s="1597" t="s">
        <v>1780</v>
      </c>
      <c r="C60" s="1533"/>
      <c r="D60" s="1534"/>
      <c r="E60" s="1566"/>
      <c r="F60" s="1567"/>
      <c r="G60" s="1516"/>
      <c r="H60" s="1264"/>
      <c r="I60" s="1265"/>
      <c r="J60" s="1264"/>
      <c r="K60" s="1273"/>
      <c r="L60" s="1635"/>
    </row>
    <row r="61" spans="1:12" s="1199" customFormat="1" ht="24" customHeight="1">
      <c r="A61" s="1637"/>
      <c r="B61" s="1597" t="s">
        <v>1759</v>
      </c>
      <c r="C61" s="1533"/>
      <c r="D61" s="1534"/>
      <c r="E61" s="1566">
        <v>4</v>
      </c>
      <c r="F61" s="1567" t="s">
        <v>363</v>
      </c>
      <c r="G61" s="1516">
        <f>ROUND(500*0.75,)</f>
        <v>375</v>
      </c>
      <c r="H61" s="1264">
        <f>ROUND(E61*G61,)</f>
        <v>1500</v>
      </c>
      <c r="I61" s="1265">
        <v>200</v>
      </c>
      <c r="J61" s="1264">
        <f>ROUND(I61*E61,)</f>
        <v>800</v>
      </c>
      <c r="K61" s="1273">
        <f>H61+J61</f>
        <v>2300</v>
      </c>
      <c r="L61" s="1638"/>
    </row>
    <row r="62" spans="1:12" s="1199" customFormat="1" ht="24" customHeight="1">
      <c r="A62" s="1564"/>
      <c r="B62" s="1597" t="s">
        <v>1754</v>
      </c>
      <c r="C62" s="1533"/>
      <c r="D62" s="1534"/>
      <c r="E62" s="1566">
        <v>8</v>
      </c>
      <c r="F62" s="1567" t="s">
        <v>363</v>
      </c>
      <c r="G62" s="1516">
        <f>ROUND(950*0.75,)</f>
        <v>713</v>
      </c>
      <c r="H62" s="1264">
        <f>ROUND(E62*G62,)</f>
        <v>5704</v>
      </c>
      <c r="I62" s="1265">
        <v>300</v>
      </c>
      <c r="J62" s="1264">
        <f>ROUND(I62*E62,)</f>
        <v>2400</v>
      </c>
      <c r="K62" s="1273">
        <f>H62+J62</f>
        <v>8104</v>
      </c>
      <c r="L62" s="1635"/>
    </row>
    <row r="63" spans="1:12" s="1199" customFormat="1" ht="24" customHeight="1">
      <c r="A63" s="1564"/>
      <c r="B63" s="1597" t="s">
        <v>1755</v>
      </c>
      <c r="C63" s="1533"/>
      <c r="D63" s="1534"/>
      <c r="E63" s="1566">
        <v>2</v>
      </c>
      <c r="F63" s="1567" t="s">
        <v>363</v>
      </c>
      <c r="G63" s="1516">
        <f>ROUND(1850*0.75,)</f>
        <v>1388</v>
      </c>
      <c r="H63" s="1264">
        <f>ROUND(E63*G63,)</f>
        <v>2776</v>
      </c>
      <c r="I63" s="1265">
        <v>400</v>
      </c>
      <c r="J63" s="1264">
        <f>ROUND(I63*E63,)</f>
        <v>800</v>
      </c>
      <c r="K63" s="1273">
        <f>H63+J63</f>
        <v>3576</v>
      </c>
      <c r="L63" s="1635"/>
    </row>
    <row r="64" spans="1:12" s="1199" customFormat="1" ht="24" customHeight="1">
      <c r="A64" s="1572"/>
      <c r="B64" s="1597"/>
      <c r="C64" s="1533"/>
      <c r="D64" s="1604"/>
      <c r="E64" s="1566"/>
      <c r="F64" s="1534"/>
      <c r="G64" s="1516"/>
      <c r="H64" s="1264"/>
      <c r="I64" s="1265"/>
      <c r="J64" s="1264"/>
      <c r="K64" s="1273"/>
      <c r="L64" s="1639"/>
    </row>
    <row r="65" spans="1:15" s="1199" customFormat="1" ht="24" customHeight="1">
      <c r="A65" s="1349"/>
      <c r="B65" s="1615"/>
      <c r="C65" s="1375"/>
      <c r="D65" s="1375"/>
      <c r="E65" s="1616"/>
      <c r="F65" s="1395"/>
      <c r="G65" s="1617"/>
      <c r="H65" s="1618"/>
      <c r="I65" s="1600"/>
      <c r="J65" s="1618"/>
      <c r="K65" s="1619"/>
      <c r="L65" s="1640"/>
    </row>
    <row r="66" spans="1:15" s="1199" customFormat="1" ht="24" customHeight="1">
      <c r="A66" s="1578"/>
      <c r="B66" s="2257" t="str">
        <f>"รวมราคารายการที่ "&amp;A52</f>
        <v>รวมราคารายการที่ 5.2</v>
      </c>
      <c r="C66" s="2258"/>
      <c r="D66" s="2259"/>
      <c r="E66" s="1579"/>
      <c r="F66" s="1579"/>
      <c r="G66" s="1580"/>
      <c r="H66" s="1581">
        <f>SUM(H53:H65)</f>
        <v>115126</v>
      </c>
      <c r="I66" s="1582"/>
      <c r="J66" s="1581">
        <f>SUM(J53:J65)</f>
        <v>34759</v>
      </c>
      <c r="K66" s="1583">
        <f>SUM(K53:K65)</f>
        <v>149885</v>
      </c>
      <c r="L66" s="1630"/>
    </row>
    <row r="67" spans="1:15" s="1199" customFormat="1" ht="24" customHeight="1">
      <c r="A67" s="1605">
        <v>5.3</v>
      </c>
      <c r="B67" s="1606" t="s">
        <v>1768</v>
      </c>
      <c r="C67" s="1607"/>
      <c r="D67" s="1608"/>
      <c r="E67" s="1609"/>
      <c r="F67" s="1610"/>
      <c r="G67" s="1611"/>
      <c r="H67" s="1612"/>
      <c r="I67" s="1613"/>
      <c r="J67" s="1612"/>
      <c r="K67" s="1614"/>
      <c r="L67" s="1614"/>
    </row>
    <row r="68" spans="1:15" s="1199" customFormat="1" ht="24" customHeight="1">
      <c r="A68" s="1572" t="s">
        <v>1769</v>
      </c>
      <c r="B68" s="1573" t="s">
        <v>1778</v>
      </c>
      <c r="C68" s="1574"/>
      <c r="D68" s="1575"/>
      <c r="E68" s="1598"/>
      <c r="F68" s="1577"/>
      <c r="G68" s="1351"/>
      <c r="H68" s="1281"/>
      <c r="I68" s="1282"/>
      <c r="J68" s="1281"/>
      <c r="K68" s="1405"/>
      <c r="L68" s="1273"/>
    </row>
    <row r="69" spans="1:15" s="1199" customFormat="1" ht="24" customHeight="1">
      <c r="A69" s="1564"/>
      <c r="B69" s="1565" t="s">
        <v>1342</v>
      </c>
      <c r="C69" s="1533"/>
      <c r="D69" s="1534"/>
      <c r="E69" s="1566">
        <v>17</v>
      </c>
      <c r="F69" s="1567" t="s">
        <v>226</v>
      </c>
      <c r="G69" s="1516">
        <v>385</v>
      </c>
      <c r="H69" s="1264">
        <f>ROUND(E69*G69,)</f>
        <v>6545</v>
      </c>
      <c r="I69" s="1265">
        <v>145</v>
      </c>
      <c r="J69" s="1264">
        <f>ROUND(I69*E69,)</f>
        <v>2465</v>
      </c>
      <c r="K69" s="1273">
        <f>H69+J69</f>
        <v>9010</v>
      </c>
      <c r="L69" s="2082" t="s">
        <v>2667</v>
      </c>
      <c r="N69" s="1199">
        <v>2308.9499999999998</v>
      </c>
      <c r="O69" s="1199">
        <f t="shared" ref="O69" si="6">ROUND(N69/6,)</f>
        <v>385</v>
      </c>
    </row>
    <row r="70" spans="1:15" s="1199" customFormat="1" ht="24" customHeight="1">
      <c r="A70" s="1564"/>
      <c r="B70" s="1565" t="s">
        <v>1719</v>
      </c>
      <c r="C70" s="1533"/>
      <c r="D70" s="1534"/>
      <c r="E70" s="1566">
        <v>1</v>
      </c>
      <c r="F70" s="1567" t="s">
        <v>1104</v>
      </c>
      <c r="G70" s="1516">
        <f>ROUND(SUM(H69:H69)*40%,)</f>
        <v>2618</v>
      </c>
      <c r="H70" s="1264">
        <f>ROUND(E70*G70,)</f>
        <v>2618</v>
      </c>
      <c r="I70" s="1595">
        <f>ROUND(G70*0.3,)</f>
        <v>785</v>
      </c>
      <c r="J70" s="1264">
        <f>ROUND(I70*E70,)</f>
        <v>785</v>
      </c>
      <c r="K70" s="1273">
        <f>H70+J70</f>
        <v>3403</v>
      </c>
      <c r="L70" s="1273"/>
    </row>
    <row r="71" spans="1:15" s="1199" customFormat="1" ht="24" customHeight="1">
      <c r="A71" s="1564"/>
      <c r="B71" s="1565" t="s">
        <v>1720</v>
      </c>
      <c r="C71" s="1533"/>
      <c r="D71" s="1534"/>
      <c r="E71" s="1566">
        <v>1</v>
      </c>
      <c r="F71" s="1567" t="s">
        <v>1104</v>
      </c>
      <c r="G71" s="1516">
        <f>ROUND(SUM(H69:H69)*20%,)</f>
        <v>1309</v>
      </c>
      <c r="H71" s="1264">
        <f>ROUND(E71*G71,)</f>
        <v>1309</v>
      </c>
      <c r="I71" s="1595">
        <f>ROUND(G71*0.3,)</f>
        <v>393</v>
      </c>
      <c r="J71" s="1264">
        <f>ROUND(I71*E71,)</f>
        <v>393</v>
      </c>
      <c r="K71" s="1273">
        <f>H71+J71</f>
        <v>1702</v>
      </c>
      <c r="L71" s="1273"/>
    </row>
    <row r="72" spans="1:15" s="1199" customFormat="1" ht="24" customHeight="1">
      <c r="A72" s="1564"/>
      <c r="B72" s="1565" t="s">
        <v>1756</v>
      </c>
      <c r="C72" s="1533"/>
      <c r="D72" s="1534"/>
      <c r="E72" s="1566">
        <v>1</v>
      </c>
      <c r="F72" s="1567" t="s">
        <v>1104</v>
      </c>
      <c r="G72" s="1516">
        <f>ROUND(SUM(H69:H69)*10%,)</f>
        <v>655</v>
      </c>
      <c r="H72" s="1264">
        <f>ROUND(E72*G72,)</f>
        <v>655</v>
      </c>
      <c r="I72" s="1595">
        <f>ROUND(G72*0.3,)</f>
        <v>197</v>
      </c>
      <c r="J72" s="1264">
        <f>ROUND(I72*E72,)</f>
        <v>197</v>
      </c>
      <c r="K72" s="1273">
        <f>H72+J72</f>
        <v>852</v>
      </c>
      <c r="L72" s="1273"/>
    </row>
    <row r="73" spans="1:15" s="1199" customFormat="1" ht="24" customHeight="1">
      <c r="A73" s="1564"/>
      <c r="B73" s="1597"/>
      <c r="C73" s="1533"/>
      <c r="D73" s="1534"/>
      <c r="E73" s="1566"/>
      <c r="F73" s="1567"/>
      <c r="G73" s="1516"/>
      <c r="H73" s="1264"/>
      <c r="I73" s="1265"/>
      <c r="J73" s="1264"/>
      <c r="K73" s="1273"/>
      <c r="L73" s="1635"/>
    </row>
    <row r="74" spans="1:15" s="1199" customFormat="1" ht="24" customHeight="1">
      <c r="A74" s="1564"/>
      <c r="B74" s="1636"/>
      <c r="C74" s="1622"/>
      <c r="D74" s="1623"/>
      <c r="E74" s="1566"/>
      <c r="F74" s="1625"/>
      <c r="G74" s="1516"/>
      <c r="H74" s="1264"/>
      <c r="I74" s="1265"/>
      <c r="J74" s="1264"/>
      <c r="K74" s="1273"/>
      <c r="L74" s="1635"/>
    </row>
    <row r="75" spans="1:15" s="1199" customFormat="1" ht="24" customHeight="1">
      <c r="A75" s="1564"/>
      <c r="B75" s="1565"/>
      <c r="C75" s="1533"/>
      <c r="D75" s="1534"/>
      <c r="E75" s="1566"/>
      <c r="F75" s="1567"/>
      <c r="G75" s="1516"/>
      <c r="H75" s="1264"/>
      <c r="I75" s="1265"/>
      <c r="J75" s="1264"/>
      <c r="K75" s="1273"/>
      <c r="L75" s="1635"/>
    </row>
    <row r="76" spans="1:15" s="1199" customFormat="1" ht="24" customHeight="1">
      <c r="A76" s="1564"/>
      <c r="B76" s="1565"/>
      <c r="C76" s="1533"/>
      <c r="D76" s="1534"/>
      <c r="E76" s="1566"/>
      <c r="F76" s="1567"/>
      <c r="G76" s="1516"/>
      <c r="H76" s="1264"/>
      <c r="I76" s="1265"/>
      <c r="J76" s="1264"/>
      <c r="K76" s="1273"/>
      <c r="L76" s="1635"/>
    </row>
    <row r="77" spans="1:15" s="1199" customFormat="1" ht="24" customHeight="1">
      <c r="A77" s="1572"/>
      <c r="B77" s="1597"/>
      <c r="C77" s="1533"/>
      <c r="D77" s="1534"/>
      <c r="E77" s="1566"/>
      <c r="F77" s="1567"/>
      <c r="G77" s="1516"/>
      <c r="H77" s="1264"/>
      <c r="I77" s="1265"/>
      <c r="J77" s="1264"/>
      <c r="K77" s="1273"/>
      <c r="L77" s="1639"/>
    </row>
    <row r="78" spans="1:15" s="1199" customFormat="1" ht="24" customHeight="1">
      <c r="A78" s="1564"/>
      <c r="B78" s="1597"/>
      <c r="C78" s="1533"/>
      <c r="D78" s="1534"/>
      <c r="E78" s="1566"/>
      <c r="F78" s="1567"/>
      <c r="G78" s="1516"/>
      <c r="H78" s="1264"/>
      <c r="I78" s="1265"/>
      <c r="J78" s="1264"/>
      <c r="K78" s="1273"/>
      <c r="L78" s="1635"/>
    </row>
    <row r="79" spans="1:15" s="1199" customFormat="1" ht="24" customHeight="1">
      <c r="A79" s="1564"/>
      <c r="B79" s="1565"/>
      <c r="C79" s="1533"/>
      <c r="D79" s="1534"/>
      <c r="E79" s="1566"/>
      <c r="F79" s="1567"/>
      <c r="G79" s="1516"/>
      <c r="H79" s="1264"/>
      <c r="I79" s="1265"/>
      <c r="J79" s="1264"/>
      <c r="K79" s="1273"/>
      <c r="L79" s="1635"/>
    </row>
    <row r="80" spans="1:15" s="1199" customFormat="1" ht="24" customHeight="1">
      <c r="A80" s="1564"/>
      <c r="B80" s="1565"/>
      <c r="C80" s="1533"/>
      <c r="D80" s="1534"/>
      <c r="E80" s="1566"/>
      <c r="F80" s="1567"/>
      <c r="G80" s="1516"/>
      <c r="H80" s="1264"/>
      <c r="I80" s="1265"/>
      <c r="J80" s="1264"/>
      <c r="K80" s="1273"/>
      <c r="L80" s="1635"/>
    </row>
    <row r="81" spans="1:12" s="1199" customFormat="1" ht="24" customHeight="1">
      <c r="A81" s="1564"/>
      <c r="B81" s="1565"/>
      <c r="C81" s="1533"/>
      <c r="D81" s="1534"/>
      <c r="E81" s="1566"/>
      <c r="F81" s="1567"/>
      <c r="G81" s="1516"/>
      <c r="H81" s="1264"/>
      <c r="I81" s="1265"/>
      <c r="J81" s="1264"/>
      <c r="K81" s="1273"/>
      <c r="L81" s="1635"/>
    </row>
    <row r="82" spans="1:12" s="1199" customFormat="1" ht="24" customHeight="1">
      <c r="A82" s="1564"/>
      <c r="B82" s="1565"/>
      <c r="C82" s="1533"/>
      <c r="D82" s="1534"/>
      <c r="E82" s="1566"/>
      <c r="F82" s="1567"/>
      <c r="G82" s="1516"/>
      <c r="H82" s="1264"/>
      <c r="I82" s="1265"/>
      <c r="J82" s="1264"/>
      <c r="K82" s="1273"/>
      <c r="L82" s="1635"/>
    </row>
    <row r="83" spans="1:12" s="1199" customFormat="1" ht="24" customHeight="1">
      <c r="A83" s="1564"/>
      <c r="B83" s="1597"/>
      <c r="C83" s="1533"/>
      <c r="D83" s="1534"/>
      <c r="E83" s="1566"/>
      <c r="F83" s="1567"/>
      <c r="G83" s="1593"/>
      <c r="H83" s="1264"/>
      <c r="I83" s="1595"/>
      <c r="J83" s="1264"/>
      <c r="K83" s="1273"/>
      <c r="L83" s="1382"/>
    </row>
    <row r="84" spans="1:12" s="1199" customFormat="1" ht="24" customHeight="1">
      <c r="A84" s="1578"/>
      <c r="B84" s="2257" t="str">
        <f>"รวมราคารายการที่ "&amp;A67</f>
        <v>รวมราคารายการที่ 5.3</v>
      </c>
      <c r="C84" s="2258"/>
      <c r="D84" s="2259"/>
      <c r="E84" s="1579"/>
      <c r="F84" s="1579"/>
      <c r="G84" s="1580"/>
      <c r="H84" s="1581">
        <f>SUM(H68:H83)</f>
        <v>11127</v>
      </c>
      <c r="I84" s="1582"/>
      <c r="J84" s="1581">
        <f>SUM(J68:J83)</f>
        <v>3840</v>
      </c>
      <c r="K84" s="1583">
        <f>SUM(K68:K83)</f>
        <v>14967</v>
      </c>
      <c r="L84" s="1583"/>
    </row>
  </sheetData>
  <mergeCells count="12">
    <mergeCell ref="A9:A10"/>
    <mergeCell ref="B9:D10"/>
    <mergeCell ref="E9:E10"/>
    <mergeCell ref="F9:F10"/>
    <mergeCell ref="G9:H9"/>
    <mergeCell ref="B34:D34"/>
    <mergeCell ref="B51:D51"/>
    <mergeCell ref="B66:D66"/>
    <mergeCell ref="B84:D84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B2-อาคารด้านทิศตะวันตก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C03C7-13E1-4C1D-BCA1-9C69712B1678}">
  <sheetPr>
    <tabColor rgb="FF92D050"/>
  </sheetPr>
  <dimension ref="A1:O128"/>
  <sheetViews>
    <sheetView showGridLines="0" view="pageBreakPreview" topLeftCell="A91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1171875" style="1" customWidth="1"/>
    <col min="13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1826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627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H59</f>
        <v>80741</v>
      </c>
      <c r="I13" s="1197"/>
      <c r="J13" s="1196">
        <f>J59</f>
        <v>31568</v>
      </c>
      <c r="K13" s="1553">
        <f>SUM(H13:J13)</f>
        <v>112309</v>
      </c>
      <c r="L13" s="1627"/>
    </row>
    <row r="14" spans="1:12" s="1199" customFormat="1" ht="24" customHeight="1">
      <c r="A14" s="1572" t="str">
        <f>A60</f>
        <v>5.2</v>
      </c>
      <c r="B14" s="1573" t="str">
        <f>B60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H84</f>
        <v>57689</v>
      </c>
      <c r="I14" s="1230"/>
      <c r="J14" s="1229">
        <f>J84</f>
        <v>21051</v>
      </c>
      <c r="K14" s="1553">
        <f>SUM(H14:J14)</f>
        <v>78740</v>
      </c>
      <c r="L14" s="1628"/>
    </row>
    <row r="15" spans="1:12" s="1199" customFormat="1" ht="24" customHeight="1">
      <c r="A15" s="1564">
        <f>A85</f>
        <v>5.3</v>
      </c>
      <c r="B15" s="1565" t="str">
        <f>B85</f>
        <v>ระบบระบายน้ำฝนและระบายน้ำในอาคาร (Storm Drain &amp; Building Drain System)</v>
      </c>
      <c r="C15" s="1533"/>
      <c r="D15" s="1534"/>
      <c r="E15" s="1576">
        <v>1</v>
      </c>
      <c r="F15" s="1567" t="s">
        <v>19</v>
      </c>
      <c r="G15" s="1195"/>
      <c r="H15" s="1196">
        <f>H111</f>
        <v>39449</v>
      </c>
      <c r="I15" s="1197"/>
      <c r="J15" s="1196">
        <f>J111</f>
        <v>15412</v>
      </c>
      <c r="K15" s="1553">
        <f>SUM(H15:J15)</f>
        <v>54861</v>
      </c>
      <c r="L15" s="1627"/>
    </row>
    <row r="16" spans="1:12" s="1199" customFormat="1" ht="24" customHeight="1">
      <c r="A16" s="1641"/>
      <c r="B16" s="1573"/>
      <c r="C16" s="1574"/>
      <c r="D16" s="1575"/>
      <c r="E16" s="1598"/>
      <c r="F16" s="1577"/>
      <c r="G16" s="1228"/>
      <c r="H16" s="1229"/>
      <c r="I16" s="1230"/>
      <c r="J16" s="1229"/>
      <c r="K16" s="1553"/>
      <c r="L16" s="1628"/>
    </row>
    <row r="17" spans="1:12" s="1199" customFormat="1" ht="24" customHeight="1">
      <c r="A17" s="1641"/>
      <c r="B17" s="1573"/>
      <c r="C17" s="1574"/>
      <c r="D17" s="1575"/>
      <c r="E17" s="1598"/>
      <c r="F17" s="1577"/>
      <c r="G17" s="1228"/>
      <c r="H17" s="1229"/>
      <c r="I17" s="1230"/>
      <c r="J17" s="1229"/>
      <c r="K17" s="1553"/>
      <c r="L17" s="1628"/>
    </row>
    <row r="18" spans="1:12" s="1199" customFormat="1" ht="24" customHeight="1">
      <c r="A18" s="1641"/>
      <c r="B18" s="1573"/>
      <c r="C18" s="1574"/>
      <c r="D18" s="1575"/>
      <c r="E18" s="1598"/>
      <c r="F18" s="1577"/>
      <c r="G18" s="1228"/>
      <c r="H18" s="1229"/>
      <c r="I18" s="1230"/>
      <c r="J18" s="1229"/>
      <c r="K18" s="1553"/>
      <c r="L18" s="1628"/>
    </row>
    <row r="19" spans="1:12" s="1199" customFormat="1" ht="24" customHeight="1">
      <c r="A19" s="1641"/>
      <c r="B19" s="1573"/>
      <c r="C19" s="1574"/>
      <c r="D19" s="1575"/>
      <c r="E19" s="1598"/>
      <c r="F19" s="1577"/>
      <c r="G19" s="1228"/>
      <c r="H19" s="1229"/>
      <c r="I19" s="1230"/>
      <c r="J19" s="1229"/>
      <c r="K19" s="1553"/>
      <c r="L19" s="1628"/>
    </row>
    <row r="20" spans="1:12" s="1199" customFormat="1" ht="24" customHeight="1">
      <c r="A20" s="1641"/>
      <c r="B20" s="1573"/>
      <c r="C20" s="1574"/>
      <c r="D20" s="1575"/>
      <c r="E20" s="1598"/>
      <c r="F20" s="1577"/>
      <c r="G20" s="1228"/>
      <c r="H20" s="1229"/>
      <c r="I20" s="1230"/>
      <c r="J20" s="1229"/>
      <c r="K20" s="1553"/>
      <c r="L20" s="1628"/>
    </row>
    <row r="21" spans="1:12" s="1199" customFormat="1" ht="24" customHeight="1">
      <c r="A21" s="1641"/>
      <c r="B21" s="1573"/>
      <c r="C21" s="1574"/>
      <c r="D21" s="1575"/>
      <c r="E21" s="1598"/>
      <c r="F21" s="1577"/>
      <c r="G21" s="1228"/>
      <c r="H21" s="1229"/>
      <c r="I21" s="1230"/>
      <c r="J21" s="1229"/>
      <c r="K21" s="1553"/>
      <c r="L21" s="1628"/>
    </row>
    <row r="22" spans="1:12" s="1199" customFormat="1" ht="24" customHeight="1">
      <c r="A22" s="1641"/>
      <c r="B22" s="1573"/>
      <c r="C22" s="1574"/>
      <c r="D22" s="1575"/>
      <c r="E22" s="1598"/>
      <c r="F22" s="1577"/>
      <c r="G22" s="1228"/>
      <c r="H22" s="1229"/>
      <c r="I22" s="1230"/>
      <c r="J22" s="1229"/>
      <c r="K22" s="1553"/>
      <c r="L22" s="1628"/>
    </row>
    <row r="23" spans="1:12" s="1199" customFormat="1" ht="24" customHeight="1">
      <c r="A23" s="1641"/>
      <c r="B23" s="1573"/>
      <c r="C23" s="1574"/>
      <c r="D23" s="1575"/>
      <c r="E23" s="1598"/>
      <c r="F23" s="1577"/>
      <c r="G23" s="1228"/>
      <c r="H23" s="1229"/>
      <c r="I23" s="1230"/>
      <c r="J23" s="1229"/>
      <c r="K23" s="1553"/>
      <c r="L23" s="1628"/>
    </row>
    <row r="24" spans="1:12" s="1199" customFormat="1" ht="24" customHeight="1">
      <c r="A24" s="1641"/>
      <c r="B24" s="1573"/>
      <c r="C24" s="1574"/>
      <c r="D24" s="1575"/>
      <c r="E24" s="1598"/>
      <c r="F24" s="1577"/>
      <c r="G24" s="1228"/>
      <c r="H24" s="1229"/>
      <c r="I24" s="1230"/>
      <c r="J24" s="1229"/>
      <c r="K24" s="1553"/>
      <c r="L24" s="1628"/>
    </row>
    <row r="25" spans="1:12" s="1199" customFormat="1" ht="24" customHeight="1">
      <c r="A25" s="1641"/>
      <c r="B25" s="1573"/>
      <c r="C25" s="1574"/>
      <c r="D25" s="1575"/>
      <c r="E25" s="1598"/>
      <c r="F25" s="1577"/>
      <c r="G25" s="1228"/>
      <c r="H25" s="1229"/>
      <c r="I25" s="1230"/>
      <c r="J25" s="1229"/>
      <c r="K25" s="1553"/>
      <c r="L25" s="1628"/>
    </row>
    <row r="26" spans="1:12" s="1199" customFormat="1" ht="24" customHeight="1">
      <c r="A26" s="1641"/>
      <c r="B26" s="1573"/>
      <c r="C26" s="1574"/>
      <c r="D26" s="1575"/>
      <c r="E26" s="1598"/>
      <c r="F26" s="1577"/>
      <c r="G26" s="1228"/>
      <c r="H26" s="1229"/>
      <c r="I26" s="1230"/>
      <c r="J26" s="1229"/>
      <c r="K26" s="1553"/>
      <c r="L26" s="1628"/>
    </row>
    <row r="27" spans="1:12" s="1199" customFormat="1" ht="24" customHeight="1">
      <c r="A27" s="1641"/>
      <c r="B27" s="1573"/>
      <c r="C27" s="1574"/>
      <c r="D27" s="1575"/>
      <c r="E27" s="1598"/>
      <c r="F27" s="1577"/>
      <c r="G27" s="1228"/>
      <c r="H27" s="1229"/>
      <c r="I27" s="1230"/>
      <c r="J27" s="1229"/>
      <c r="K27" s="1553"/>
      <c r="L27" s="1628"/>
    </row>
    <row r="28" spans="1:12" s="1199" customFormat="1" ht="24" customHeight="1">
      <c r="A28" s="1641"/>
      <c r="B28" s="1573"/>
      <c r="C28" s="1574"/>
      <c r="D28" s="1575"/>
      <c r="E28" s="1598"/>
      <c r="F28" s="1577"/>
      <c r="G28" s="1228"/>
      <c r="H28" s="1229"/>
      <c r="I28" s="1230"/>
      <c r="J28" s="1229"/>
      <c r="K28" s="1553"/>
      <c r="L28" s="1628"/>
    </row>
    <row r="29" spans="1:12" s="1199" customFormat="1" ht="24" customHeight="1">
      <c r="A29" s="1641"/>
      <c r="B29" s="1573"/>
      <c r="C29" s="1574"/>
      <c r="D29" s="1575"/>
      <c r="E29" s="1598"/>
      <c r="F29" s="1577"/>
      <c r="G29" s="1228"/>
      <c r="H29" s="1229"/>
      <c r="I29" s="1230"/>
      <c r="J29" s="1229"/>
      <c r="K29" s="1553"/>
      <c r="L29" s="1628"/>
    </row>
    <row r="30" spans="1:12" s="1199" customFormat="1" ht="24" customHeight="1">
      <c r="A30" s="1641"/>
      <c r="B30" s="1573"/>
      <c r="C30" s="1574"/>
      <c r="D30" s="1575"/>
      <c r="E30" s="1598"/>
      <c r="F30" s="1577"/>
      <c r="G30" s="1228"/>
      <c r="H30" s="1229"/>
      <c r="I30" s="1230"/>
      <c r="J30" s="1229"/>
      <c r="K30" s="1553"/>
      <c r="L30" s="1628"/>
    </row>
    <row r="31" spans="1:12" s="1199" customFormat="1" ht="24" customHeight="1">
      <c r="A31" s="1641"/>
      <c r="B31" s="1573"/>
      <c r="C31" s="1574"/>
      <c r="D31" s="1575"/>
      <c r="E31" s="1598"/>
      <c r="F31" s="1577"/>
      <c r="G31" s="1228"/>
      <c r="H31" s="1229"/>
      <c r="I31" s="1230"/>
      <c r="J31" s="1229"/>
      <c r="K31" s="1553"/>
      <c r="L31" s="1628"/>
    </row>
    <row r="32" spans="1:12" s="1199" customFormat="1" ht="24" customHeight="1">
      <c r="A32" s="1641"/>
      <c r="B32" s="1573"/>
      <c r="C32" s="1574"/>
      <c r="D32" s="1575"/>
      <c r="E32" s="1598"/>
      <c r="F32" s="1577"/>
      <c r="G32" s="1228"/>
      <c r="H32" s="1229"/>
      <c r="I32" s="1230"/>
      <c r="J32" s="1229"/>
      <c r="K32" s="1553"/>
      <c r="L32" s="1628"/>
    </row>
    <row r="33" spans="1:15" s="1199" customFormat="1" ht="24" customHeight="1">
      <c r="A33" s="1641"/>
      <c r="B33" s="1573"/>
      <c r="C33" s="1574"/>
      <c r="D33" s="1575"/>
      <c r="E33" s="1598"/>
      <c r="F33" s="1577"/>
      <c r="G33" s="1228"/>
      <c r="H33" s="1229"/>
      <c r="I33" s="1230"/>
      <c r="J33" s="1229"/>
      <c r="K33" s="1553"/>
      <c r="L33" s="1628"/>
    </row>
    <row r="34" spans="1:15" s="1199" customFormat="1" ht="30" customHeight="1">
      <c r="A34" s="1578"/>
      <c r="B34" s="2257" t="str">
        <f>"รวมราคา"&amp;B11</f>
        <v>รวมราคางานระบบสุขาภิบาล ชั้น B1</v>
      </c>
      <c r="C34" s="2258"/>
      <c r="D34" s="2259"/>
      <c r="E34" s="1579"/>
      <c r="F34" s="1579"/>
      <c r="G34" s="1580"/>
      <c r="H34" s="1581">
        <f>SUM(H12:H33)</f>
        <v>177879</v>
      </c>
      <c r="I34" s="1582"/>
      <c r="J34" s="1581">
        <f>SUM(J12:J33)</f>
        <v>68031</v>
      </c>
      <c r="K34" s="1583">
        <f>SUM(K12:K33)</f>
        <v>245910</v>
      </c>
      <c r="L34" s="1630"/>
    </row>
    <row r="35" spans="1:15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631"/>
    </row>
    <row r="36" spans="1:15" s="1199" customFormat="1" ht="24" customHeight="1">
      <c r="A36" s="1590" t="s">
        <v>1710</v>
      </c>
      <c r="B36" s="1568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633"/>
    </row>
    <row r="37" spans="1:15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73"/>
      <c r="L37" s="1633"/>
    </row>
    <row r="38" spans="1:15" s="1199" customFormat="1" ht="24" customHeight="1">
      <c r="A38" s="1564"/>
      <c r="B38" s="1597" t="s">
        <v>1731</v>
      </c>
      <c r="C38" s="1533"/>
      <c r="D38" s="1534"/>
      <c r="E38" s="1566">
        <v>490</v>
      </c>
      <c r="F38" s="1567" t="s">
        <v>226</v>
      </c>
      <c r="G38" s="1593">
        <v>35</v>
      </c>
      <c r="H38" s="1264">
        <f t="shared" ref="H38:H44" si="0">ROUND(E38*G38,)</f>
        <v>17150</v>
      </c>
      <c r="I38" s="1595">
        <v>30</v>
      </c>
      <c r="J38" s="1264">
        <f t="shared" ref="J38:J44" si="1">ROUND(E38*I38,)</f>
        <v>14700</v>
      </c>
      <c r="K38" s="1273">
        <f t="shared" ref="K38:K44" si="2">H38+J38</f>
        <v>31850</v>
      </c>
      <c r="L38" s="1633"/>
      <c r="N38" s="1532"/>
      <c r="O38" s="1532"/>
    </row>
    <row r="39" spans="1:15" s="1199" customFormat="1" ht="24" customHeight="1">
      <c r="A39" s="1564"/>
      <c r="B39" s="1597" t="s">
        <v>1734</v>
      </c>
      <c r="C39" s="1533"/>
      <c r="D39" s="1534"/>
      <c r="E39" s="1566">
        <v>106</v>
      </c>
      <c r="F39" s="1567" t="s">
        <v>226</v>
      </c>
      <c r="G39" s="1593">
        <v>46</v>
      </c>
      <c r="H39" s="1264">
        <f t="shared" si="0"/>
        <v>4876</v>
      </c>
      <c r="I39" s="1595">
        <v>30</v>
      </c>
      <c r="J39" s="1264">
        <f t="shared" si="1"/>
        <v>3180</v>
      </c>
      <c r="K39" s="1273">
        <f t="shared" si="2"/>
        <v>8056</v>
      </c>
      <c r="L39" s="1633"/>
      <c r="N39" s="1532"/>
    </row>
    <row r="40" spans="1:15" s="1199" customFormat="1" ht="24" customHeight="1">
      <c r="A40" s="1564"/>
      <c r="B40" s="1597" t="s">
        <v>1821</v>
      </c>
      <c r="C40" s="1533"/>
      <c r="D40" s="1534"/>
      <c r="E40" s="1566">
        <v>4</v>
      </c>
      <c r="F40" s="1567" t="s">
        <v>226</v>
      </c>
      <c r="G40" s="1593">
        <v>76</v>
      </c>
      <c r="H40" s="1264">
        <f t="shared" si="0"/>
        <v>304</v>
      </c>
      <c r="I40" s="1595">
        <v>30</v>
      </c>
      <c r="J40" s="1264">
        <f t="shared" si="1"/>
        <v>120</v>
      </c>
      <c r="K40" s="1273">
        <f t="shared" si="2"/>
        <v>424</v>
      </c>
      <c r="L40" s="1633"/>
      <c r="N40" s="1532"/>
    </row>
    <row r="41" spans="1:15" s="1199" customFormat="1" ht="24" customHeight="1">
      <c r="A41" s="1564"/>
      <c r="B41" s="1597" t="s">
        <v>1827</v>
      </c>
      <c r="C41" s="1533"/>
      <c r="D41" s="1534"/>
      <c r="E41" s="1566">
        <v>22</v>
      </c>
      <c r="F41" s="1567" t="s">
        <v>226</v>
      </c>
      <c r="G41" s="1593">
        <v>193</v>
      </c>
      <c r="H41" s="1264">
        <f t="shared" si="0"/>
        <v>4246</v>
      </c>
      <c r="I41" s="1595">
        <v>75</v>
      </c>
      <c r="J41" s="1264">
        <f t="shared" si="1"/>
        <v>1650</v>
      </c>
      <c r="K41" s="1273">
        <f t="shared" si="2"/>
        <v>5896</v>
      </c>
      <c r="L41" s="1633"/>
    </row>
    <row r="42" spans="1:15" s="1199" customFormat="1" ht="24" customHeight="1">
      <c r="A42" s="1564"/>
      <c r="B42" s="1565" t="s">
        <v>1719</v>
      </c>
      <c r="C42" s="1533"/>
      <c r="D42" s="1534"/>
      <c r="E42" s="1566">
        <v>1</v>
      </c>
      <c r="F42" s="1567" t="s">
        <v>1104</v>
      </c>
      <c r="G42" s="1593">
        <f>SUM(H38:H41)*50%</f>
        <v>13288</v>
      </c>
      <c r="H42" s="1264">
        <f t="shared" si="0"/>
        <v>13288</v>
      </c>
      <c r="I42" s="1595">
        <f>ROUND(G42*0.3,)</f>
        <v>3986</v>
      </c>
      <c r="J42" s="1264">
        <f t="shared" si="1"/>
        <v>3986</v>
      </c>
      <c r="K42" s="1265">
        <f t="shared" si="2"/>
        <v>17274</v>
      </c>
      <c r="L42" s="1633"/>
    </row>
    <row r="43" spans="1:15" s="1199" customFormat="1" ht="24" customHeight="1">
      <c r="A43" s="1564"/>
      <c r="B43" s="1565" t="s">
        <v>1720</v>
      </c>
      <c r="C43" s="1533"/>
      <c r="D43" s="1534"/>
      <c r="E43" s="1566">
        <v>1</v>
      </c>
      <c r="F43" s="1567" t="s">
        <v>1104</v>
      </c>
      <c r="G43" s="1593">
        <f>SUM(H38:H41)*20%</f>
        <v>5315.2000000000007</v>
      </c>
      <c r="H43" s="1264">
        <f t="shared" si="0"/>
        <v>5315</v>
      </c>
      <c r="I43" s="1595">
        <f>ROUND(G43*0.3,)</f>
        <v>1595</v>
      </c>
      <c r="J43" s="1264">
        <f t="shared" si="1"/>
        <v>1595</v>
      </c>
      <c r="K43" s="1265">
        <f t="shared" si="2"/>
        <v>6910</v>
      </c>
      <c r="L43" s="1633"/>
    </row>
    <row r="44" spans="1:15" s="1199" customFormat="1" ht="24" customHeight="1">
      <c r="A44" s="1564"/>
      <c r="B44" s="1565" t="s">
        <v>1721</v>
      </c>
      <c r="C44" s="1533"/>
      <c r="D44" s="1534"/>
      <c r="E44" s="1566">
        <v>1</v>
      </c>
      <c r="F44" s="1567" t="s">
        <v>1104</v>
      </c>
      <c r="G44" s="1593">
        <f>SUM(H38:H41)*10%</f>
        <v>2657.6000000000004</v>
      </c>
      <c r="H44" s="1264">
        <f t="shared" si="0"/>
        <v>2658</v>
      </c>
      <c r="I44" s="1595">
        <f>ROUND(G44*0.3,)</f>
        <v>797</v>
      </c>
      <c r="J44" s="1264">
        <f t="shared" si="1"/>
        <v>797</v>
      </c>
      <c r="K44" s="1265">
        <f t="shared" si="2"/>
        <v>3455</v>
      </c>
      <c r="L44" s="1633"/>
    </row>
    <row r="45" spans="1:15" s="1199" customFormat="1" ht="24" customHeight="1">
      <c r="A45" s="1564" t="s">
        <v>1722</v>
      </c>
      <c r="B45" s="1597" t="s">
        <v>1725</v>
      </c>
      <c r="C45" s="1533"/>
      <c r="D45" s="1534"/>
      <c r="E45" s="1566"/>
      <c r="F45" s="1567"/>
      <c r="G45" s="1593"/>
      <c r="H45" s="1264"/>
      <c r="I45" s="1595"/>
      <c r="J45" s="1264"/>
      <c r="K45" s="1273"/>
      <c r="L45" s="1633"/>
    </row>
    <row r="46" spans="1:15" s="1199" customFormat="1" ht="24" customHeight="1">
      <c r="A46" s="1564"/>
      <c r="B46" s="1565" t="s">
        <v>1731</v>
      </c>
      <c r="C46" s="1533"/>
      <c r="D46" s="1534"/>
      <c r="E46" s="1566">
        <v>2</v>
      </c>
      <c r="F46" s="1567" t="s">
        <v>363</v>
      </c>
      <c r="G46" s="1593">
        <v>880</v>
      </c>
      <c r="H46" s="1264">
        <f t="shared" ref="H46:H47" si="3">ROUND(E46*G46,)</f>
        <v>1760</v>
      </c>
      <c r="I46" s="1595">
        <v>150</v>
      </c>
      <c r="J46" s="1264">
        <f t="shared" ref="J46:J47" si="4">ROUND(E46*I46,)</f>
        <v>300</v>
      </c>
      <c r="K46" s="1265">
        <f t="shared" ref="K46:K47" si="5">H46+J46</f>
        <v>2060</v>
      </c>
      <c r="L46" s="2082" t="s">
        <v>2667</v>
      </c>
    </row>
    <row r="47" spans="1:15" s="1199" customFormat="1" ht="24" customHeight="1">
      <c r="A47" s="1564"/>
      <c r="B47" s="1597" t="s">
        <v>1734</v>
      </c>
      <c r="C47" s="1533"/>
      <c r="D47" s="1534"/>
      <c r="E47" s="1566">
        <v>4</v>
      </c>
      <c r="F47" s="1567" t="s">
        <v>363</v>
      </c>
      <c r="G47" s="1593">
        <v>1316</v>
      </c>
      <c r="H47" s="1264">
        <f t="shared" si="3"/>
        <v>5264</v>
      </c>
      <c r="I47" s="1595">
        <v>200</v>
      </c>
      <c r="J47" s="1264">
        <f t="shared" si="4"/>
        <v>800</v>
      </c>
      <c r="K47" s="1265">
        <f t="shared" si="5"/>
        <v>6064</v>
      </c>
      <c r="L47" s="2082" t="s">
        <v>2667</v>
      </c>
    </row>
    <row r="48" spans="1:15" s="1199" customFormat="1" ht="24" customHeight="1">
      <c r="A48" s="1564"/>
      <c r="B48" s="1597" t="s">
        <v>1827</v>
      </c>
      <c r="C48" s="1533"/>
      <c r="D48" s="1534"/>
      <c r="E48" s="1566">
        <v>4</v>
      </c>
      <c r="F48" s="1567" t="s">
        <v>363</v>
      </c>
      <c r="G48" s="1593">
        <v>4040</v>
      </c>
      <c r="H48" s="1264">
        <f>ROUND(E48*G48,)</f>
        <v>16160</v>
      </c>
      <c r="I48" s="1595">
        <v>400</v>
      </c>
      <c r="J48" s="1264">
        <f>ROUND(E48*I48,)</f>
        <v>1600</v>
      </c>
      <c r="K48" s="1273">
        <f>H48+J48</f>
        <v>17760</v>
      </c>
      <c r="L48" s="2082" t="s">
        <v>2667</v>
      </c>
    </row>
    <row r="49" spans="1:12" s="1199" customFormat="1" ht="24" customHeight="1">
      <c r="A49" s="1564" t="s">
        <v>1727</v>
      </c>
      <c r="B49" s="1565" t="s">
        <v>1822</v>
      </c>
      <c r="C49" s="1533"/>
      <c r="D49" s="1534"/>
      <c r="E49" s="1566"/>
      <c r="F49" s="1567"/>
      <c r="G49" s="1593"/>
      <c r="H49" s="1264"/>
      <c r="I49" s="1595"/>
      <c r="J49" s="1264"/>
      <c r="K49" s="1265"/>
      <c r="L49" s="1633"/>
    </row>
    <row r="50" spans="1:12" s="1199" customFormat="1" ht="24" customHeight="1">
      <c r="A50" s="1564"/>
      <c r="B50" s="1565" t="s">
        <v>1823</v>
      </c>
      <c r="C50" s="1533"/>
      <c r="D50" s="1534"/>
      <c r="E50" s="1566">
        <v>14</v>
      </c>
      <c r="F50" s="1567" t="s">
        <v>363</v>
      </c>
      <c r="G50" s="1603">
        <v>210</v>
      </c>
      <c r="H50" s="1264">
        <f>ROUND(E50*G50,)</f>
        <v>2940</v>
      </c>
      <c r="I50" s="1595">
        <v>100</v>
      </c>
      <c r="J50" s="1264">
        <f>ROUND(E50*I50,)</f>
        <v>1400</v>
      </c>
      <c r="K50" s="1265">
        <f>H50+J50</f>
        <v>4340</v>
      </c>
      <c r="L50" s="1633"/>
    </row>
    <row r="51" spans="1:12" s="1199" customFormat="1" ht="24" customHeight="1">
      <c r="A51" s="1564" t="s">
        <v>1729</v>
      </c>
      <c r="B51" s="1597" t="s">
        <v>1824</v>
      </c>
      <c r="C51" s="1533"/>
      <c r="D51" s="1534"/>
      <c r="E51" s="1566"/>
      <c r="F51" s="1567"/>
      <c r="G51" s="1593"/>
      <c r="H51" s="1264"/>
      <c r="I51" s="1595"/>
      <c r="J51" s="1264"/>
      <c r="K51" s="1273"/>
      <c r="L51" s="1633"/>
    </row>
    <row r="52" spans="1:12" s="1199" customFormat="1" ht="24" customHeight="1">
      <c r="A52" s="1564"/>
      <c r="B52" s="1597" t="s">
        <v>1823</v>
      </c>
      <c r="C52" s="1533"/>
      <c r="D52" s="1534"/>
      <c r="E52" s="1566">
        <v>20</v>
      </c>
      <c r="F52" s="1567" t="s">
        <v>363</v>
      </c>
      <c r="G52" s="1593">
        <v>120</v>
      </c>
      <c r="H52" s="1264">
        <f>ROUND(E52*G52,)</f>
        <v>2400</v>
      </c>
      <c r="I52" s="1595">
        <v>50</v>
      </c>
      <c r="J52" s="1264">
        <f>ROUND(I52*E52,)</f>
        <v>1000</v>
      </c>
      <c r="K52" s="1273">
        <f>H52+J52</f>
        <v>3400</v>
      </c>
      <c r="L52" s="1633"/>
    </row>
    <row r="53" spans="1:12" s="1199" customFormat="1" ht="24" customHeight="1">
      <c r="A53" s="1564" t="s">
        <v>1732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73"/>
      <c r="L53" s="1633"/>
    </row>
    <row r="54" spans="1:12" s="1199" customFormat="1" ht="24" customHeight="1">
      <c r="A54" s="1564"/>
      <c r="B54" s="1597" t="s">
        <v>1829</v>
      </c>
      <c r="C54" s="1533"/>
      <c r="D54" s="1534"/>
      <c r="E54" s="1566">
        <v>4</v>
      </c>
      <c r="F54" s="1567" t="s">
        <v>363</v>
      </c>
      <c r="G54" s="1593">
        <v>1095</v>
      </c>
      <c r="H54" s="1264">
        <f>ROUND(E54*G54,)</f>
        <v>4380</v>
      </c>
      <c r="I54" s="1595">
        <v>110</v>
      </c>
      <c r="J54" s="1264">
        <f>ROUND(I54*E54,)</f>
        <v>440</v>
      </c>
      <c r="K54" s="1273">
        <f>H54+J54</f>
        <v>4820</v>
      </c>
      <c r="L54" s="1633"/>
    </row>
    <row r="55" spans="1:12" s="1199" customFormat="1" ht="24" customHeight="1">
      <c r="A55" s="1564" t="s">
        <v>1735</v>
      </c>
      <c r="B55" s="1597" t="s">
        <v>1830</v>
      </c>
      <c r="C55" s="1533"/>
      <c r="D55" s="1534"/>
      <c r="E55" s="1566"/>
      <c r="F55" s="1567"/>
      <c r="G55" s="1593"/>
      <c r="H55" s="1264"/>
      <c r="I55" s="1595"/>
      <c r="J55" s="1264"/>
      <c r="K55" s="1273"/>
      <c r="L55" s="1633"/>
    </row>
    <row r="56" spans="1:12" s="1199" customFormat="1" ht="24" customHeight="1">
      <c r="A56" s="1564"/>
      <c r="B56" s="1597" t="s">
        <v>1827</v>
      </c>
      <c r="C56" s="1533"/>
      <c r="D56" s="1534"/>
      <c r="E56" s="1566">
        <v>2</v>
      </c>
      <c r="F56" s="1567" t="s">
        <v>226</v>
      </c>
      <c r="G56" s="1593">
        <v>7944</v>
      </c>
      <c r="H56" s="1264">
        <f t="shared" ref="H56" si="6">ROUND(E56*G56,)</f>
        <v>15888</v>
      </c>
      <c r="I56" s="1595">
        <v>400</v>
      </c>
      <c r="J56" s="1264">
        <f t="shared" ref="J56" si="7">ROUND(E56*I56,)</f>
        <v>800</v>
      </c>
      <c r="K56" s="1273">
        <f t="shared" ref="K56" si="8">H56+J56</f>
        <v>16688</v>
      </c>
      <c r="L56" s="1633"/>
    </row>
    <row r="57" spans="1:12" s="1199" customFormat="1" ht="24" customHeight="1">
      <c r="A57" s="1564"/>
      <c r="B57" s="1597"/>
      <c r="C57" s="1533"/>
      <c r="D57" s="1534"/>
      <c r="E57" s="1566"/>
      <c r="F57" s="1567"/>
      <c r="G57" s="1593"/>
      <c r="H57" s="1264"/>
      <c r="I57" s="1595"/>
      <c r="J57" s="1264"/>
      <c r="K57" s="1273"/>
      <c r="L57" s="1633"/>
    </row>
    <row r="58" spans="1:12" s="1199" customFormat="1" ht="24" customHeight="1">
      <c r="A58" s="1564"/>
      <c r="B58" s="1597"/>
      <c r="C58" s="1533"/>
      <c r="D58" s="1534"/>
      <c r="E58" s="1566"/>
      <c r="F58" s="1567"/>
      <c r="G58" s="1593"/>
      <c r="H58" s="1264"/>
      <c r="I58" s="1595"/>
      <c r="J58" s="1264"/>
      <c r="K58" s="1273"/>
      <c r="L58" s="1633"/>
    </row>
    <row r="59" spans="1:12" s="1199" customFormat="1" ht="24" customHeight="1">
      <c r="A59" s="1578"/>
      <c r="B59" s="2257" t="str">
        <f>"รวมราคารายการที่ "&amp;A36</f>
        <v>รวมราคารายการที่ 5.1</v>
      </c>
      <c r="C59" s="2258"/>
      <c r="D59" s="2259"/>
      <c r="E59" s="1579"/>
      <c r="F59" s="1579"/>
      <c r="G59" s="1580"/>
      <c r="H59" s="1581">
        <f>SUM(H37:H54)</f>
        <v>80741</v>
      </c>
      <c r="I59" s="1582"/>
      <c r="J59" s="1581">
        <f>SUM(J36:J54)</f>
        <v>31568</v>
      </c>
      <c r="K59" s="1583">
        <f>SUM(K36:K54)</f>
        <v>112309</v>
      </c>
      <c r="L59" s="1630"/>
    </row>
    <row r="60" spans="1:12" s="1199" customFormat="1" ht="24" customHeight="1">
      <c r="A60" s="1605" t="s">
        <v>1744</v>
      </c>
      <c r="B60" s="1606" t="s">
        <v>1745</v>
      </c>
      <c r="C60" s="1607"/>
      <c r="D60" s="1608"/>
      <c r="E60" s="1609"/>
      <c r="F60" s="1610"/>
      <c r="G60" s="1611"/>
      <c r="H60" s="1612"/>
      <c r="I60" s="1613"/>
      <c r="J60" s="1612"/>
      <c r="K60" s="1614"/>
      <c r="L60" s="1634"/>
    </row>
    <row r="61" spans="1:12" s="1199" customFormat="1" ht="24" customHeight="1">
      <c r="A61" s="1564" t="s">
        <v>1746</v>
      </c>
      <c r="B61" s="1597" t="s">
        <v>1825</v>
      </c>
      <c r="C61" s="1533"/>
      <c r="D61" s="1534"/>
      <c r="E61" s="1566"/>
      <c r="F61" s="1567"/>
      <c r="G61" s="1516"/>
      <c r="H61" s="1264"/>
      <c r="I61" s="1265"/>
      <c r="J61" s="1264"/>
      <c r="K61" s="1273"/>
      <c r="L61" s="1635"/>
    </row>
    <row r="62" spans="1:12" s="1199" customFormat="1" ht="24" customHeight="1">
      <c r="A62" s="1564"/>
      <c r="B62" s="1597" t="s">
        <v>1340</v>
      </c>
      <c r="C62" s="1533"/>
      <c r="D62" s="1534"/>
      <c r="E62" s="1566">
        <v>157</v>
      </c>
      <c r="F62" s="1567" t="s">
        <v>226</v>
      </c>
      <c r="G62" s="1516">
        <v>127</v>
      </c>
      <c r="H62" s="1264">
        <f t="shared" ref="H62:H67" si="9">ROUND(E62*G62,)</f>
        <v>19939</v>
      </c>
      <c r="I62" s="1265">
        <v>40</v>
      </c>
      <c r="J62" s="1264">
        <f t="shared" ref="J62:J67" si="10">ROUND(I62*E62,)</f>
        <v>6280</v>
      </c>
      <c r="K62" s="1273">
        <f t="shared" ref="K62:K67" si="11">H62+J62</f>
        <v>26219</v>
      </c>
      <c r="L62" s="1635"/>
    </row>
    <row r="63" spans="1:12" s="1199" customFormat="1" ht="24" customHeight="1">
      <c r="A63" s="1564"/>
      <c r="B63" s="1565" t="s">
        <v>1342</v>
      </c>
      <c r="C63" s="1533"/>
      <c r="D63" s="1534"/>
      <c r="E63" s="1566">
        <v>6</v>
      </c>
      <c r="F63" s="1567" t="s">
        <v>226</v>
      </c>
      <c r="G63" s="1516">
        <v>258</v>
      </c>
      <c r="H63" s="1264">
        <f t="shared" si="9"/>
        <v>1548</v>
      </c>
      <c r="I63" s="1265">
        <v>75</v>
      </c>
      <c r="J63" s="1264">
        <f t="shared" si="10"/>
        <v>450</v>
      </c>
      <c r="K63" s="1273">
        <f t="shared" si="11"/>
        <v>1998</v>
      </c>
      <c r="L63" s="1635"/>
    </row>
    <row r="64" spans="1:12" s="1199" customFormat="1" ht="24" customHeight="1">
      <c r="A64" s="1564"/>
      <c r="B64" s="1597" t="s">
        <v>1759</v>
      </c>
      <c r="C64" s="1533"/>
      <c r="D64" s="1534"/>
      <c r="E64" s="1566">
        <v>10</v>
      </c>
      <c r="F64" s="1567" t="s">
        <v>226</v>
      </c>
      <c r="G64" s="1516">
        <v>395</v>
      </c>
      <c r="H64" s="1264">
        <f t="shared" si="9"/>
        <v>3950</v>
      </c>
      <c r="I64" s="1265">
        <v>120</v>
      </c>
      <c r="J64" s="1264">
        <f t="shared" si="10"/>
        <v>1200</v>
      </c>
      <c r="K64" s="1273">
        <f t="shared" si="11"/>
        <v>5150</v>
      </c>
      <c r="L64" s="1635"/>
    </row>
    <row r="65" spans="1:15" s="1199" customFormat="1" ht="24" customHeight="1">
      <c r="A65" s="1637"/>
      <c r="B65" s="1597" t="s">
        <v>1719</v>
      </c>
      <c r="C65" s="1533"/>
      <c r="D65" s="1534"/>
      <c r="E65" s="1566">
        <v>1</v>
      </c>
      <c r="F65" s="1567" t="s">
        <v>1104</v>
      </c>
      <c r="G65" s="1516">
        <f>ROUND(SUM(H62:H64)*40%,)</f>
        <v>10175</v>
      </c>
      <c r="H65" s="1264">
        <f t="shared" si="9"/>
        <v>10175</v>
      </c>
      <c r="I65" s="1595">
        <f>ROUND(G65*0.3,)</f>
        <v>3053</v>
      </c>
      <c r="J65" s="1264">
        <f t="shared" si="10"/>
        <v>3053</v>
      </c>
      <c r="K65" s="1273">
        <f t="shared" si="11"/>
        <v>13228</v>
      </c>
      <c r="L65" s="1635"/>
    </row>
    <row r="66" spans="1:15" s="1199" customFormat="1" ht="24" customHeight="1">
      <c r="A66" s="1564"/>
      <c r="B66" s="1597" t="s">
        <v>1720</v>
      </c>
      <c r="C66" s="1533"/>
      <c r="D66" s="1534"/>
      <c r="E66" s="1566">
        <v>1</v>
      </c>
      <c r="F66" s="1567" t="s">
        <v>1104</v>
      </c>
      <c r="G66" s="1516">
        <f>ROUND(SUM(H62:H64)*20%,)</f>
        <v>5087</v>
      </c>
      <c r="H66" s="1264">
        <f t="shared" si="9"/>
        <v>5087</v>
      </c>
      <c r="I66" s="1595">
        <f>ROUND(G66*0.3,)</f>
        <v>1526</v>
      </c>
      <c r="J66" s="1264">
        <f t="shared" si="10"/>
        <v>1526</v>
      </c>
      <c r="K66" s="1273">
        <f t="shared" si="11"/>
        <v>6613</v>
      </c>
      <c r="L66" s="1635"/>
    </row>
    <row r="67" spans="1:15" s="1199" customFormat="1" ht="24" customHeight="1">
      <c r="A67" s="1564"/>
      <c r="B67" s="1597" t="s">
        <v>1756</v>
      </c>
      <c r="C67" s="1533"/>
      <c r="D67" s="1534"/>
      <c r="E67" s="1566">
        <v>1</v>
      </c>
      <c r="F67" s="1567" t="s">
        <v>1104</v>
      </c>
      <c r="G67" s="1516">
        <f>ROUND(SUM(H62:H64)*10%,)</f>
        <v>2544</v>
      </c>
      <c r="H67" s="1264">
        <f t="shared" si="9"/>
        <v>2544</v>
      </c>
      <c r="I67" s="1595">
        <f>ROUND(G67*0.3,)</f>
        <v>763</v>
      </c>
      <c r="J67" s="1264">
        <f t="shared" si="10"/>
        <v>763</v>
      </c>
      <c r="K67" s="1273">
        <f t="shared" si="11"/>
        <v>3307</v>
      </c>
      <c r="L67" s="1635"/>
    </row>
    <row r="68" spans="1:15" s="1199" customFormat="1" ht="24" customHeight="1">
      <c r="A68" s="1572" t="s">
        <v>1752</v>
      </c>
      <c r="B68" s="1597" t="s">
        <v>1831</v>
      </c>
      <c r="C68" s="1533"/>
      <c r="D68" s="1534"/>
      <c r="E68" s="1566"/>
      <c r="F68" s="1567"/>
      <c r="G68" s="1516"/>
      <c r="H68" s="1264"/>
      <c r="I68" s="1265"/>
      <c r="J68" s="1264"/>
      <c r="K68" s="1273"/>
      <c r="L68" s="1635"/>
    </row>
    <row r="69" spans="1:15" s="1199" customFormat="1" ht="24" customHeight="1">
      <c r="A69" s="1564"/>
      <c r="B69" s="1597" t="s">
        <v>1338</v>
      </c>
      <c r="C69" s="1533"/>
      <c r="D69" s="1534"/>
      <c r="E69" s="1566">
        <v>13</v>
      </c>
      <c r="F69" s="1567" t="s">
        <v>226</v>
      </c>
      <c r="G69" s="1516">
        <v>20</v>
      </c>
      <c r="H69" s="1264">
        <f t="shared" ref="H69:H75" si="12">ROUND(E69*G69,)</f>
        <v>260</v>
      </c>
      <c r="I69" s="1265">
        <v>30</v>
      </c>
      <c r="J69" s="1264">
        <f t="shared" ref="J69:J75" si="13">ROUND(I69*E69,)</f>
        <v>390</v>
      </c>
      <c r="K69" s="1273">
        <f t="shared" ref="K69:K75" si="14">H69+J69</f>
        <v>650</v>
      </c>
      <c r="L69" s="2082" t="s">
        <v>2667</v>
      </c>
      <c r="N69" s="1199">
        <v>79.17</v>
      </c>
      <c r="O69" s="1199">
        <f>ROUND(N69/4,)</f>
        <v>20</v>
      </c>
    </row>
    <row r="70" spans="1:15" s="1199" customFormat="1" ht="24" customHeight="1">
      <c r="A70" s="1564"/>
      <c r="B70" s="1597" t="s">
        <v>1340</v>
      </c>
      <c r="C70" s="1533"/>
      <c r="D70" s="1534"/>
      <c r="E70" s="1566">
        <v>20</v>
      </c>
      <c r="F70" s="1567" t="s">
        <v>226</v>
      </c>
      <c r="G70" s="1516">
        <v>41</v>
      </c>
      <c r="H70" s="1264">
        <f t="shared" si="12"/>
        <v>820</v>
      </c>
      <c r="I70" s="1265">
        <v>40</v>
      </c>
      <c r="J70" s="1264">
        <f t="shared" si="13"/>
        <v>800</v>
      </c>
      <c r="K70" s="1273">
        <f t="shared" si="14"/>
        <v>1620</v>
      </c>
      <c r="L70" s="2082" t="s">
        <v>2667</v>
      </c>
      <c r="N70" s="1199">
        <v>163.80000000000001</v>
      </c>
      <c r="O70" s="1199">
        <f t="shared" ref="O70:O72" si="15">ROUND(N70/4,)</f>
        <v>41</v>
      </c>
    </row>
    <row r="71" spans="1:15" s="1199" customFormat="1" ht="24" customHeight="1">
      <c r="A71" s="1564"/>
      <c r="B71" s="1597" t="s">
        <v>1341</v>
      </c>
      <c r="C71" s="1533"/>
      <c r="D71" s="1534"/>
      <c r="E71" s="1566">
        <v>9</v>
      </c>
      <c r="F71" s="1567" t="s">
        <v>226</v>
      </c>
      <c r="G71" s="1516">
        <v>65</v>
      </c>
      <c r="H71" s="1264">
        <f t="shared" si="12"/>
        <v>585</v>
      </c>
      <c r="I71" s="1265">
        <v>50</v>
      </c>
      <c r="J71" s="1264">
        <f t="shared" si="13"/>
        <v>450</v>
      </c>
      <c r="K71" s="1273">
        <f t="shared" si="14"/>
        <v>1035</v>
      </c>
      <c r="L71" s="2082" t="s">
        <v>2667</v>
      </c>
      <c r="N71" s="1199">
        <v>259.35000000000002</v>
      </c>
      <c r="O71" s="1199">
        <f t="shared" si="15"/>
        <v>65</v>
      </c>
    </row>
    <row r="72" spans="1:15" s="1199" customFormat="1" ht="24" customHeight="1">
      <c r="A72" s="1564"/>
      <c r="B72" s="1597" t="s">
        <v>1342</v>
      </c>
      <c r="C72" s="1533"/>
      <c r="D72" s="1534"/>
      <c r="E72" s="1566">
        <v>18</v>
      </c>
      <c r="F72" s="1567" t="s">
        <v>226</v>
      </c>
      <c r="G72" s="1516">
        <v>90</v>
      </c>
      <c r="H72" s="1264">
        <f t="shared" si="12"/>
        <v>1620</v>
      </c>
      <c r="I72" s="1265">
        <v>75</v>
      </c>
      <c r="J72" s="1264">
        <f t="shared" si="13"/>
        <v>1350</v>
      </c>
      <c r="K72" s="1273">
        <f t="shared" si="14"/>
        <v>2970</v>
      </c>
      <c r="L72" s="2082" t="s">
        <v>2667</v>
      </c>
      <c r="N72" s="1199">
        <v>359.45</v>
      </c>
      <c r="O72" s="1199">
        <f t="shared" si="15"/>
        <v>90</v>
      </c>
    </row>
    <row r="73" spans="1:15" s="1199" customFormat="1" ht="24" customHeight="1">
      <c r="A73" s="1564"/>
      <c r="B73" s="1565" t="s">
        <v>1719</v>
      </c>
      <c r="C73" s="1533"/>
      <c r="D73" s="1534"/>
      <c r="E73" s="1566">
        <v>1</v>
      </c>
      <c r="F73" s="1567" t="s">
        <v>1104</v>
      </c>
      <c r="G73" s="1516">
        <f>ROUND(SUM(H69:H72)*40%,)</f>
        <v>1314</v>
      </c>
      <c r="H73" s="1264">
        <f t="shared" si="12"/>
        <v>1314</v>
      </c>
      <c r="I73" s="1595">
        <f>ROUND(G73*0.3,)</f>
        <v>394</v>
      </c>
      <c r="J73" s="1264">
        <f t="shared" si="13"/>
        <v>394</v>
      </c>
      <c r="K73" s="1273">
        <f t="shared" si="14"/>
        <v>1708</v>
      </c>
      <c r="L73" s="1635"/>
    </row>
    <row r="74" spans="1:15" s="1199" customFormat="1" ht="24" customHeight="1">
      <c r="A74" s="1564"/>
      <c r="B74" s="1565" t="s">
        <v>1720</v>
      </c>
      <c r="C74" s="1533"/>
      <c r="D74" s="1534"/>
      <c r="E74" s="1566">
        <v>1</v>
      </c>
      <c r="F74" s="1567" t="s">
        <v>1104</v>
      </c>
      <c r="G74" s="1516">
        <f>ROUND(SUM(H69:H72)*30%,)</f>
        <v>986</v>
      </c>
      <c r="H74" s="1264">
        <f t="shared" si="12"/>
        <v>986</v>
      </c>
      <c r="I74" s="1595">
        <f>ROUND(G74*0.3,)</f>
        <v>296</v>
      </c>
      <c r="J74" s="1264">
        <f t="shared" si="13"/>
        <v>296</v>
      </c>
      <c r="K74" s="1273">
        <f t="shared" si="14"/>
        <v>1282</v>
      </c>
      <c r="L74" s="1635"/>
    </row>
    <row r="75" spans="1:15" s="1199" customFormat="1" ht="24" customHeight="1">
      <c r="A75" s="1564"/>
      <c r="B75" s="1565" t="s">
        <v>1756</v>
      </c>
      <c r="C75" s="1533"/>
      <c r="D75" s="1534"/>
      <c r="E75" s="1566">
        <v>1</v>
      </c>
      <c r="F75" s="1567" t="s">
        <v>1104</v>
      </c>
      <c r="G75" s="1516">
        <f>ROUND(SUM(H69:H72)*10%,)</f>
        <v>329</v>
      </c>
      <c r="H75" s="1264">
        <f t="shared" si="12"/>
        <v>329</v>
      </c>
      <c r="I75" s="1595">
        <f>ROUND(G75*0.3,)</f>
        <v>99</v>
      </c>
      <c r="J75" s="1264">
        <f t="shared" si="13"/>
        <v>99</v>
      </c>
      <c r="K75" s="1273">
        <f t="shared" si="14"/>
        <v>428</v>
      </c>
      <c r="L75" s="1635"/>
    </row>
    <row r="76" spans="1:15" s="1199" customFormat="1" ht="24" customHeight="1">
      <c r="A76" s="1564" t="s">
        <v>1757</v>
      </c>
      <c r="B76" s="1597" t="s">
        <v>1832</v>
      </c>
      <c r="C76" s="1533"/>
      <c r="D76" s="1534"/>
      <c r="E76" s="1566"/>
      <c r="F76" s="1567"/>
      <c r="G76" s="1516"/>
      <c r="H76" s="1264"/>
      <c r="I76" s="1265"/>
      <c r="J76" s="1264"/>
      <c r="K76" s="1273"/>
      <c r="L76" s="1635"/>
    </row>
    <row r="77" spans="1:15" s="1199" customFormat="1" ht="24" customHeight="1">
      <c r="A77" s="1564"/>
      <c r="B77" s="1597" t="s">
        <v>1340</v>
      </c>
      <c r="C77" s="1533"/>
      <c r="D77" s="1534"/>
      <c r="E77" s="1566">
        <v>12</v>
      </c>
      <c r="F77" s="1567" t="s">
        <v>363</v>
      </c>
      <c r="G77" s="1516">
        <f>ROUND(665*0.7,)</f>
        <v>466</v>
      </c>
      <c r="H77" s="1264">
        <f>ROUND(E77*G77,)</f>
        <v>5592</v>
      </c>
      <c r="I77" s="1265">
        <v>200</v>
      </c>
      <c r="J77" s="1264">
        <f>ROUND(I77*E77,)</f>
        <v>2400</v>
      </c>
      <c r="K77" s="1273">
        <f>H77+J77</f>
        <v>7992</v>
      </c>
      <c r="L77" s="1635"/>
    </row>
    <row r="78" spans="1:15" s="1199" customFormat="1" ht="24" customHeight="1">
      <c r="A78" s="1564" t="s">
        <v>1760</v>
      </c>
      <c r="B78" s="1565" t="s">
        <v>1780</v>
      </c>
      <c r="C78" s="1533"/>
      <c r="D78" s="1534"/>
      <c r="E78" s="1566"/>
      <c r="F78" s="1567"/>
      <c r="G78" s="1516"/>
      <c r="H78" s="1264"/>
      <c r="I78" s="1265"/>
      <c r="J78" s="1264"/>
      <c r="K78" s="1273"/>
      <c r="L78" s="1635"/>
    </row>
    <row r="79" spans="1:15" s="1199" customFormat="1" ht="24" customHeight="1">
      <c r="A79" s="1564"/>
      <c r="B79" s="1565" t="s">
        <v>1340</v>
      </c>
      <c r="C79" s="1533"/>
      <c r="D79" s="1534"/>
      <c r="E79" s="1566">
        <v>8</v>
      </c>
      <c r="F79" s="1567" t="s">
        <v>363</v>
      </c>
      <c r="G79" s="1516">
        <f>ROUND(240*0.75,)</f>
        <v>180</v>
      </c>
      <c r="H79" s="1264">
        <f>ROUND(E79*G79,)</f>
        <v>1440</v>
      </c>
      <c r="I79" s="1265">
        <v>100</v>
      </c>
      <c r="J79" s="1264">
        <f>ROUND(I79*E79,)</f>
        <v>800</v>
      </c>
      <c r="K79" s="1273">
        <f>H79+J79</f>
        <v>2240</v>
      </c>
      <c r="L79" s="1635"/>
    </row>
    <row r="80" spans="1:15" s="1199" customFormat="1" ht="24" customHeight="1">
      <c r="A80" s="1564"/>
      <c r="B80" s="1597" t="s">
        <v>1759</v>
      </c>
      <c r="C80" s="1533"/>
      <c r="D80" s="1534"/>
      <c r="E80" s="1566">
        <v>4</v>
      </c>
      <c r="F80" s="1567" t="s">
        <v>363</v>
      </c>
      <c r="G80" s="1516">
        <f>ROUND(500*0.75,)</f>
        <v>375</v>
      </c>
      <c r="H80" s="1264">
        <f>ROUND(E80*G80,)</f>
        <v>1500</v>
      </c>
      <c r="I80" s="1265">
        <v>200</v>
      </c>
      <c r="J80" s="1264">
        <f>ROUND(I80*E80,)</f>
        <v>800</v>
      </c>
      <c r="K80" s="1273">
        <f>H80+J80</f>
        <v>2300</v>
      </c>
      <c r="L80" s="1635"/>
    </row>
    <row r="81" spans="1:15" s="1199" customFormat="1" ht="24" customHeight="1">
      <c r="A81" s="1564"/>
      <c r="B81" s="1565"/>
      <c r="C81" s="1533"/>
      <c r="D81" s="1534"/>
      <c r="E81" s="1566"/>
      <c r="F81" s="1567"/>
      <c r="G81" s="1516"/>
      <c r="H81" s="1264"/>
      <c r="I81" s="1265"/>
      <c r="J81" s="1264"/>
      <c r="K81" s="1273"/>
      <c r="L81" s="1635"/>
    </row>
    <row r="82" spans="1:15" s="1199" customFormat="1" ht="24" customHeight="1">
      <c r="A82" s="1564"/>
      <c r="B82" s="1565"/>
      <c r="C82" s="1533"/>
      <c r="D82" s="1534"/>
      <c r="E82" s="1566"/>
      <c r="F82" s="1567"/>
      <c r="G82" s="1516"/>
      <c r="H82" s="1264"/>
      <c r="I82" s="1265"/>
      <c r="J82" s="1264"/>
      <c r="K82" s="1273"/>
      <c r="L82" s="1635"/>
    </row>
    <row r="83" spans="1:15" s="1199" customFormat="1" ht="24" customHeight="1">
      <c r="A83" s="1564"/>
      <c r="B83" s="1597"/>
      <c r="C83" s="1533"/>
      <c r="D83" s="1534"/>
      <c r="E83" s="1566"/>
      <c r="F83" s="1567"/>
      <c r="G83" s="1516"/>
      <c r="H83" s="1264"/>
      <c r="I83" s="1265"/>
      <c r="J83" s="1264"/>
      <c r="K83" s="1273"/>
      <c r="L83" s="1635"/>
    </row>
    <row r="84" spans="1:15" s="1199" customFormat="1" ht="24" customHeight="1">
      <c r="A84" s="1578"/>
      <c r="B84" s="2257" t="str">
        <f>"รวมราคารายการที่ "&amp;A60</f>
        <v>รวมราคารายการที่ 5.2</v>
      </c>
      <c r="C84" s="2258"/>
      <c r="D84" s="2259"/>
      <c r="E84" s="1579"/>
      <c r="F84" s="1579"/>
      <c r="G84" s="1580"/>
      <c r="H84" s="1581">
        <f>SUM(H61:H80)</f>
        <v>57689</v>
      </c>
      <c r="I84" s="1582"/>
      <c r="J84" s="1581">
        <f>SUM(J61:J80)</f>
        <v>21051</v>
      </c>
      <c r="K84" s="1583">
        <f>SUM(K61:K80)</f>
        <v>78740</v>
      </c>
      <c r="L84" s="1630"/>
    </row>
    <row r="85" spans="1:15" s="1199" customFormat="1" ht="24" customHeight="1">
      <c r="A85" s="1584">
        <v>5.3</v>
      </c>
      <c r="B85" s="1606" t="s">
        <v>1768</v>
      </c>
      <c r="C85" s="1294"/>
      <c r="D85" s="1294"/>
      <c r="E85" s="1586"/>
      <c r="F85" s="1296"/>
      <c r="G85" s="1357"/>
      <c r="H85" s="1298"/>
      <c r="I85" s="1299"/>
      <c r="J85" s="1298"/>
      <c r="K85" s="1382"/>
      <c r="L85" s="1638"/>
    </row>
    <row r="86" spans="1:15" s="1199" customFormat="1" ht="24" customHeight="1">
      <c r="A86" s="1572" t="s">
        <v>1769</v>
      </c>
      <c r="B86" s="1573" t="s">
        <v>1778</v>
      </c>
      <c r="C86" s="1574"/>
      <c r="D86" s="1575"/>
      <c r="E86" s="1598"/>
      <c r="F86" s="1577"/>
      <c r="G86" s="1351"/>
      <c r="H86" s="1281"/>
      <c r="I86" s="1282"/>
      <c r="J86" s="1281"/>
      <c r="K86" s="1405"/>
      <c r="L86" s="1635"/>
    </row>
    <row r="87" spans="1:15" s="1199" customFormat="1" ht="24" customHeight="1">
      <c r="A87" s="1564"/>
      <c r="B87" s="1565" t="s">
        <v>1342</v>
      </c>
      <c r="C87" s="1533"/>
      <c r="D87" s="1534"/>
      <c r="E87" s="1566">
        <v>43</v>
      </c>
      <c r="F87" s="1567" t="s">
        <v>226</v>
      </c>
      <c r="G87" s="1516">
        <v>385</v>
      </c>
      <c r="H87" s="1264">
        <f>ROUND(E87*G87,)</f>
        <v>16555</v>
      </c>
      <c r="I87" s="1265">
        <v>145</v>
      </c>
      <c r="J87" s="1264">
        <f>ROUND(I87*E87,)</f>
        <v>6235</v>
      </c>
      <c r="K87" s="1273">
        <f>H87+J87</f>
        <v>22790</v>
      </c>
      <c r="L87" s="2082" t="s">
        <v>2667</v>
      </c>
      <c r="N87" s="1199">
        <v>2308.9499999999998</v>
      </c>
      <c r="O87" s="1199">
        <f t="shared" ref="O87" si="16">ROUND(N87/6,)</f>
        <v>385</v>
      </c>
    </row>
    <row r="88" spans="1:15" s="1199" customFormat="1" ht="24" customHeight="1">
      <c r="A88" s="1564"/>
      <c r="B88" s="1565" t="s">
        <v>1719</v>
      </c>
      <c r="C88" s="1533"/>
      <c r="D88" s="1534"/>
      <c r="E88" s="1566">
        <v>1</v>
      </c>
      <c r="F88" s="1567" t="s">
        <v>1104</v>
      </c>
      <c r="G88" s="1516">
        <f>SUM(H87:H87)*40%</f>
        <v>6622</v>
      </c>
      <c r="H88" s="1264">
        <f>ROUND(E88*G88,)</f>
        <v>6622</v>
      </c>
      <c r="I88" s="1595">
        <f>ROUND(G88*0.3,)</f>
        <v>1987</v>
      </c>
      <c r="J88" s="1264">
        <f>ROUND(I88*E88,)</f>
        <v>1987</v>
      </c>
      <c r="K88" s="1273">
        <f>H88+J88</f>
        <v>8609</v>
      </c>
      <c r="L88" s="1635"/>
    </row>
    <row r="89" spans="1:15" s="1199" customFormat="1" ht="24" customHeight="1">
      <c r="A89" s="1564"/>
      <c r="B89" s="1565" t="s">
        <v>1720</v>
      </c>
      <c r="C89" s="1533"/>
      <c r="D89" s="1534"/>
      <c r="E89" s="1566">
        <v>1</v>
      </c>
      <c r="F89" s="1567" t="s">
        <v>1104</v>
      </c>
      <c r="G89" s="1516">
        <f>SUM(H87:H87)*20%</f>
        <v>3311</v>
      </c>
      <c r="H89" s="1264">
        <f>ROUND(E89*G89,)</f>
        <v>3311</v>
      </c>
      <c r="I89" s="1595">
        <f>ROUND(G89*0.3,)</f>
        <v>993</v>
      </c>
      <c r="J89" s="1264">
        <f>ROUND(I89*E89,)</f>
        <v>993</v>
      </c>
      <c r="K89" s="1273">
        <f>H89+J89</f>
        <v>4304</v>
      </c>
      <c r="L89" s="1635"/>
    </row>
    <row r="90" spans="1:15" s="1199" customFormat="1" ht="21.3">
      <c r="A90" s="1564"/>
      <c r="B90" s="1565" t="s">
        <v>1756</v>
      </c>
      <c r="C90" s="1533"/>
      <c r="D90" s="1534"/>
      <c r="E90" s="1566">
        <v>1</v>
      </c>
      <c r="F90" s="1567" t="s">
        <v>1104</v>
      </c>
      <c r="G90" s="1516">
        <f>ROUND(SUM(H87:H87)*10%,)</f>
        <v>1656</v>
      </c>
      <c r="H90" s="1264">
        <f>ROUND(E90*G90,)</f>
        <v>1656</v>
      </c>
      <c r="I90" s="1595">
        <f>ROUND(G90*0.3,)</f>
        <v>497</v>
      </c>
      <c r="J90" s="1264">
        <f>ROUND(I90*E90,)</f>
        <v>497</v>
      </c>
      <c r="K90" s="1273">
        <f>H90+J90</f>
        <v>2153</v>
      </c>
      <c r="L90" s="1635"/>
    </row>
    <row r="91" spans="1:15" s="1199" customFormat="1" ht="21.3">
      <c r="A91" s="1564" t="s">
        <v>1775</v>
      </c>
      <c r="B91" s="1565" t="s">
        <v>1833</v>
      </c>
      <c r="C91" s="1533"/>
      <c r="D91" s="1534"/>
      <c r="E91" s="1566"/>
      <c r="F91" s="1567"/>
      <c r="G91" s="1516"/>
      <c r="H91" s="1264"/>
      <c r="I91" s="1265"/>
      <c r="J91" s="1264"/>
      <c r="K91" s="1273"/>
      <c r="L91" s="1635"/>
    </row>
    <row r="92" spans="1:15" s="1199" customFormat="1" ht="21.3">
      <c r="A92" s="1564"/>
      <c r="B92" s="1565" t="s">
        <v>1834</v>
      </c>
      <c r="C92" s="1533"/>
      <c r="D92" s="1534"/>
      <c r="E92" s="1566">
        <v>19</v>
      </c>
      <c r="F92" s="1567" t="s">
        <v>363</v>
      </c>
      <c r="G92" s="1516">
        <f>ROUND(850*0.7,)</f>
        <v>595</v>
      </c>
      <c r="H92" s="1264">
        <f>ROUND(E92*G92,)</f>
        <v>11305</v>
      </c>
      <c r="I92" s="1265">
        <v>300</v>
      </c>
      <c r="J92" s="1264">
        <f>ROUND(I92*E92,)</f>
        <v>5700</v>
      </c>
      <c r="K92" s="1273">
        <f>H92+J92</f>
        <v>17005</v>
      </c>
      <c r="L92" s="1635"/>
    </row>
    <row r="93" spans="1:15" s="1199" customFormat="1" ht="21.3">
      <c r="A93" s="1564"/>
      <c r="B93" s="1565"/>
      <c r="C93" s="1533"/>
      <c r="D93" s="1534"/>
      <c r="E93" s="1566"/>
      <c r="F93" s="1567"/>
      <c r="G93" s="1516"/>
      <c r="H93" s="1264"/>
      <c r="I93" s="1265"/>
      <c r="J93" s="1264"/>
      <c r="K93" s="1273"/>
      <c r="L93" s="1635"/>
    </row>
    <row r="94" spans="1:15" s="1199" customFormat="1" ht="21.3">
      <c r="A94" s="1564"/>
      <c r="B94" s="1565"/>
      <c r="C94" s="1533"/>
      <c r="D94" s="1534"/>
      <c r="E94" s="1566"/>
      <c r="F94" s="1567"/>
      <c r="G94" s="1516"/>
      <c r="H94" s="1264"/>
      <c r="I94" s="1265"/>
      <c r="J94" s="1264"/>
      <c r="K94" s="1273"/>
      <c r="L94" s="1635"/>
    </row>
    <row r="95" spans="1:15" s="1199" customFormat="1" ht="21.3">
      <c r="A95" s="1564"/>
      <c r="B95" s="1565"/>
      <c r="C95" s="1533"/>
      <c r="D95" s="1534"/>
      <c r="E95" s="1566"/>
      <c r="F95" s="1567"/>
      <c r="G95" s="1516"/>
      <c r="H95" s="1264"/>
      <c r="I95" s="1265"/>
      <c r="J95" s="1264"/>
      <c r="K95" s="1273"/>
      <c r="L95" s="1635"/>
    </row>
    <row r="96" spans="1:15" s="1199" customFormat="1" ht="21.3">
      <c r="A96" s="1564"/>
      <c r="B96" s="1565"/>
      <c r="C96" s="1533"/>
      <c r="D96" s="1534"/>
      <c r="E96" s="1566"/>
      <c r="F96" s="1567"/>
      <c r="G96" s="1516"/>
      <c r="H96" s="1264"/>
      <c r="I96" s="1265"/>
      <c r="J96" s="1264"/>
      <c r="K96" s="1273"/>
      <c r="L96" s="1635"/>
    </row>
    <row r="97" spans="1:12" s="1199" customFormat="1" ht="21.3">
      <c r="A97" s="1564"/>
      <c r="B97" s="1565"/>
      <c r="C97" s="1533"/>
      <c r="D97" s="1534"/>
      <c r="E97" s="1566"/>
      <c r="F97" s="1567"/>
      <c r="G97" s="1516"/>
      <c r="H97" s="1264"/>
      <c r="I97" s="1265"/>
      <c r="J97" s="1264"/>
      <c r="K97" s="1273"/>
      <c r="L97" s="1635"/>
    </row>
    <row r="98" spans="1:12" s="1199" customFormat="1" ht="21.3">
      <c r="A98" s="1564"/>
      <c r="B98" s="1565"/>
      <c r="C98" s="1533"/>
      <c r="D98" s="1534"/>
      <c r="E98" s="1566"/>
      <c r="F98" s="1567"/>
      <c r="G98" s="1516"/>
      <c r="H98" s="1264"/>
      <c r="I98" s="1265"/>
      <c r="J98" s="1264"/>
      <c r="K98" s="1273"/>
      <c r="L98" s="1635"/>
    </row>
    <row r="99" spans="1:12" s="1199" customFormat="1" ht="21.3">
      <c r="A99" s="1564"/>
      <c r="B99" s="1565"/>
      <c r="C99" s="1533"/>
      <c r="D99" s="1534"/>
      <c r="E99" s="1566"/>
      <c r="F99" s="1567"/>
      <c r="G99" s="1516"/>
      <c r="H99" s="1264"/>
      <c r="I99" s="1265"/>
      <c r="J99" s="1264"/>
      <c r="K99" s="1273"/>
      <c r="L99" s="1635"/>
    </row>
    <row r="100" spans="1:12" s="1199" customFormat="1" ht="21.3">
      <c r="A100" s="1564"/>
      <c r="B100" s="1565"/>
      <c r="C100" s="1533"/>
      <c r="D100" s="1534"/>
      <c r="E100" s="1566"/>
      <c r="F100" s="1567"/>
      <c r="G100" s="1516"/>
      <c r="H100" s="1264"/>
      <c r="I100" s="1265"/>
      <c r="J100" s="1264"/>
      <c r="K100" s="1273"/>
      <c r="L100" s="1635"/>
    </row>
    <row r="101" spans="1:12" s="1199" customFormat="1" ht="21.3">
      <c r="A101" s="1564"/>
      <c r="B101" s="1565"/>
      <c r="C101" s="1533"/>
      <c r="D101" s="1534"/>
      <c r="E101" s="1566"/>
      <c r="F101" s="1567"/>
      <c r="G101" s="1516"/>
      <c r="H101" s="1264"/>
      <c r="I101" s="1265"/>
      <c r="J101" s="1264"/>
      <c r="K101" s="1273"/>
      <c r="L101" s="1635"/>
    </row>
    <row r="102" spans="1:12" s="1199" customFormat="1" ht="21.3">
      <c r="A102" s="1564"/>
      <c r="B102" s="1565"/>
      <c r="C102" s="1533"/>
      <c r="D102" s="1534"/>
      <c r="E102" s="1566"/>
      <c r="F102" s="1567"/>
      <c r="G102" s="1516"/>
      <c r="H102" s="1264"/>
      <c r="I102" s="1265"/>
      <c r="J102" s="1264"/>
      <c r="K102" s="1273"/>
      <c r="L102" s="1635"/>
    </row>
    <row r="103" spans="1:12" s="1199" customFormat="1" ht="21.3">
      <c r="A103" s="1564"/>
      <c r="B103" s="1565"/>
      <c r="C103" s="1533"/>
      <c r="D103" s="1534"/>
      <c r="E103" s="1566"/>
      <c r="F103" s="1567"/>
      <c r="G103" s="1516"/>
      <c r="H103" s="1264"/>
      <c r="I103" s="1265"/>
      <c r="J103" s="1264"/>
      <c r="K103" s="1273"/>
      <c r="L103" s="1635"/>
    </row>
    <row r="104" spans="1:12" s="1199" customFormat="1" ht="21.3">
      <c r="A104" s="1564"/>
      <c r="B104" s="1565"/>
      <c r="C104" s="1533"/>
      <c r="D104" s="1534"/>
      <c r="E104" s="1566"/>
      <c r="F104" s="1567"/>
      <c r="G104" s="1516"/>
      <c r="H104" s="1264"/>
      <c r="I104" s="1265"/>
      <c r="J104" s="1264"/>
      <c r="K104" s="1273"/>
      <c r="L104" s="1635"/>
    </row>
    <row r="105" spans="1:12" s="1199" customFormat="1" ht="21.3">
      <c r="A105" s="1564"/>
      <c r="B105" s="1565"/>
      <c r="C105" s="1533"/>
      <c r="D105" s="1534"/>
      <c r="E105" s="1566"/>
      <c r="F105" s="1567"/>
      <c r="G105" s="1516"/>
      <c r="H105" s="1264"/>
      <c r="I105" s="1265"/>
      <c r="J105" s="1264"/>
      <c r="K105" s="1273"/>
      <c r="L105" s="1635"/>
    </row>
    <row r="106" spans="1:12" s="1199" customFormat="1" ht="21.3">
      <c r="A106" s="1564"/>
      <c r="B106" s="1565"/>
      <c r="C106" s="1533"/>
      <c r="D106" s="1534"/>
      <c r="E106" s="1566"/>
      <c r="F106" s="1567"/>
      <c r="G106" s="1516"/>
      <c r="H106" s="1264"/>
      <c r="I106" s="1265"/>
      <c r="J106" s="1264"/>
      <c r="K106" s="1273"/>
      <c r="L106" s="1635"/>
    </row>
    <row r="107" spans="1:12" s="1199" customFormat="1" ht="21.3">
      <c r="A107" s="1564"/>
      <c r="B107" s="1565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5"/>
    </row>
    <row r="108" spans="1:12" s="1199" customFormat="1" ht="21.3">
      <c r="A108" s="1564"/>
      <c r="B108" s="1565"/>
      <c r="C108" s="1533"/>
      <c r="D108" s="1534"/>
      <c r="E108" s="1566"/>
      <c r="F108" s="1567"/>
      <c r="G108" s="1516"/>
      <c r="H108" s="1264"/>
      <c r="I108" s="1265"/>
      <c r="J108" s="1264"/>
      <c r="K108" s="1273"/>
      <c r="L108" s="1635"/>
    </row>
    <row r="109" spans="1:12" s="1199" customFormat="1" ht="21.3">
      <c r="A109" s="1564"/>
      <c r="B109" s="1565"/>
      <c r="C109" s="1533"/>
      <c r="D109" s="1534"/>
      <c r="E109" s="1566"/>
      <c r="F109" s="1567"/>
      <c r="G109" s="1516"/>
      <c r="H109" s="1264"/>
      <c r="I109" s="1265"/>
      <c r="J109" s="1264"/>
      <c r="K109" s="1273"/>
      <c r="L109" s="1635"/>
    </row>
    <row r="110" spans="1:12" s="1199" customFormat="1" ht="21.3">
      <c r="A110" s="1564"/>
      <c r="B110" s="1565"/>
      <c r="C110" s="1533"/>
      <c r="D110" s="1534"/>
      <c r="E110" s="1566"/>
      <c r="F110" s="1567"/>
      <c r="G110" s="1516"/>
      <c r="H110" s="1264"/>
      <c r="I110" s="1265"/>
      <c r="J110" s="1264"/>
      <c r="K110" s="1273"/>
      <c r="L110" s="1635"/>
    </row>
    <row r="111" spans="1:12" s="1199" customFormat="1" ht="21.3">
      <c r="A111" s="1578"/>
      <c r="B111" s="2257" t="str">
        <f>"รวมราคารายการที่ "&amp;A85</f>
        <v>รวมราคารายการที่ 5.3</v>
      </c>
      <c r="C111" s="2258"/>
      <c r="D111" s="2259"/>
      <c r="E111" s="1579"/>
      <c r="F111" s="1579"/>
      <c r="G111" s="1580"/>
      <c r="H111" s="1581">
        <f>SUM(H86:H92)</f>
        <v>39449</v>
      </c>
      <c r="I111" s="1582"/>
      <c r="J111" s="1581">
        <f>SUM(J86:J92)</f>
        <v>15412</v>
      </c>
      <c r="K111" s="1583">
        <f>SUM(K86:K92)</f>
        <v>54861</v>
      </c>
      <c r="L111" s="1630"/>
    </row>
    <row r="112" spans="1:12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</sheetData>
  <mergeCells count="12">
    <mergeCell ref="A9:A10"/>
    <mergeCell ref="B9:D10"/>
    <mergeCell ref="E9:E10"/>
    <mergeCell ref="F9:F10"/>
    <mergeCell ref="G9:H9"/>
    <mergeCell ref="B34:D34"/>
    <mergeCell ref="B59:D59"/>
    <mergeCell ref="B84:D84"/>
    <mergeCell ref="B111:D111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B1-อาคารด้านทิศตะวันตก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0769-AC4B-4099-9172-C7BF417C0CCE}">
  <sheetPr>
    <tabColor rgb="FF92D050"/>
  </sheetPr>
  <dimension ref="A1:O135"/>
  <sheetViews>
    <sheetView showGridLines="0" view="pageBreakPreview" topLeftCell="A121" zoomScale="85" zoomScaleNormal="60" zoomScaleSheetLayoutView="85" workbookViewId="0">
      <selection activeCell="D127" sqref="D127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5859375" style="1" customWidth="1"/>
    <col min="13" max="13" width="7.703125" style="1" customWidth="1"/>
    <col min="14" max="14" width="9" style="1" bestFit="1" customWidth="1"/>
    <col min="15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1835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627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H65</f>
        <v>181643</v>
      </c>
      <c r="I13" s="1197"/>
      <c r="J13" s="1196">
        <f>J65</f>
        <v>55548</v>
      </c>
      <c r="K13" s="1553">
        <f>SUM(H13:J13)</f>
        <v>237191</v>
      </c>
      <c r="L13" s="1627"/>
    </row>
    <row r="14" spans="1:12" s="1199" customFormat="1" ht="24" customHeight="1">
      <c r="A14" s="1572" t="str">
        <f>A66</f>
        <v>5.2</v>
      </c>
      <c r="B14" s="1573" t="str">
        <f>B66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H93</f>
        <v>1033657</v>
      </c>
      <c r="I14" s="1230"/>
      <c r="J14" s="1229">
        <f>J93</f>
        <v>315387</v>
      </c>
      <c r="K14" s="1553">
        <f>SUM(H14:J14)</f>
        <v>1349044</v>
      </c>
      <c r="L14" s="1628"/>
    </row>
    <row r="15" spans="1:12" s="1199" customFormat="1" ht="24" customHeight="1">
      <c r="A15" s="1572">
        <f>A94</f>
        <v>5.3</v>
      </c>
      <c r="B15" s="1573" t="str">
        <f>B94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H115</f>
        <v>2124817</v>
      </c>
      <c r="I15" s="1230"/>
      <c r="J15" s="1229">
        <f>J115</f>
        <v>655764</v>
      </c>
      <c r="K15" s="1553">
        <f>SUM(H15:J15)</f>
        <v>2780581</v>
      </c>
      <c r="L15" s="1627"/>
    </row>
    <row r="16" spans="1:12" s="1199" customFormat="1" ht="24" customHeight="1">
      <c r="A16" s="1572" t="str">
        <f>A116</f>
        <v>5.4</v>
      </c>
      <c r="B16" s="1573" t="str">
        <f>B116</f>
        <v>ระบบรดน้ำต้นไม้ (Irrigation)</v>
      </c>
      <c r="C16" s="1574"/>
      <c r="D16" s="1575"/>
      <c r="E16" s="1576">
        <v>1</v>
      </c>
      <c r="F16" s="1577" t="s">
        <v>19</v>
      </c>
      <c r="G16" s="1228"/>
      <c r="H16" s="1229">
        <f>H135</f>
        <v>278388</v>
      </c>
      <c r="I16" s="1230"/>
      <c r="J16" s="1229">
        <f>J135</f>
        <v>69494</v>
      </c>
      <c r="K16" s="1553">
        <f>SUM(H16:J16)</f>
        <v>347882</v>
      </c>
      <c r="L16" s="1627"/>
    </row>
    <row r="17" spans="1:12" s="1199" customFormat="1" ht="24" customHeight="1">
      <c r="A17" s="1564"/>
      <c r="B17" s="1565"/>
      <c r="C17" s="1533"/>
      <c r="D17" s="1534"/>
      <c r="E17" s="1566"/>
      <c r="F17" s="1567"/>
      <c r="G17" s="1195"/>
      <c r="H17" s="1196"/>
      <c r="I17" s="1197"/>
      <c r="J17" s="1196"/>
      <c r="K17" s="1553"/>
      <c r="L17" s="1627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627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627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5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5" s="1199" customFormat="1" ht="30" customHeight="1">
      <c r="A34" s="1578"/>
      <c r="B34" s="2257" t="str">
        <f>"รวมราคา"&amp;B11</f>
        <v>รวมราคางานระบบสุขาภิบาล ชั้น 1</v>
      </c>
      <c r="C34" s="2258"/>
      <c r="D34" s="2259"/>
      <c r="E34" s="1579"/>
      <c r="F34" s="1579"/>
      <c r="G34" s="1580"/>
      <c r="H34" s="1581">
        <f>SUM(H12:H33)</f>
        <v>3618505</v>
      </c>
      <c r="I34" s="1582"/>
      <c r="J34" s="1581">
        <f>SUM(J12:J33)</f>
        <v>1096193</v>
      </c>
      <c r="K34" s="1583">
        <f>SUM(K12:K33)</f>
        <v>4714698</v>
      </c>
      <c r="L34" s="1630"/>
    </row>
    <row r="35" spans="1:15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631"/>
    </row>
    <row r="36" spans="1:15" s="1199" customFormat="1" ht="24" customHeight="1">
      <c r="A36" s="1590" t="s">
        <v>1710</v>
      </c>
      <c r="B36" s="1568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633"/>
    </row>
    <row r="37" spans="1:15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73"/>
      <c r="L37" s="1633"/>
    </row>
    <row r="38" spans="1:15" s="1199" customFormat="1" ht="24" customHeight="1">
      <c r="A38" s="1564"/>
      <c r="B38" s="1597" t="s">
        <v>1731</v>
      </c>
      <c r="C38" s="1533"/>
      <c r="D38" s="1534"/>
      <c r="E38" s="1566">
        <v>293</v>
      </c>
      <c r="F38" s="1567" t="s">
        <v>226</v>
      </c>
      <c r="G38" s="1593">
        <v>35</v>
      </c>
      <c r="H38" s="1264">
        <f t="shared" ref="H38:H46" si="0">ROUND(E38*G38,)</f>
        <v>10255</v>
      </c>
      <c r="I38" s="1595">
        <v>30</v>
      </c>
      <c r="J38" s="1264">
        <f t="shared" ref="J38:J46" si="1">ROUND(E38*I38,)</f>
        <v>8790</v>
      </c>
      <c r="K38" s="1273">
        <f t="shared" ref="K38:K46" si="2">H38+J38</f>
        <v>19045</v>
      </c>
      <c r="L38" s="1633"/>
    </row>
    <row r="39" spans="1:15" s="1199" customFormat="1" ht="24" customHeight="1">
      <c r="A39" s="1564"/>
      <c r="B39" s="1597" t="s">
        <v>1734</v>
      </c>
      <c r="C39" s="1533"/>
      <c r="D39" s="1534"/>
      <c r="E39" s="1566">
        <v>184</v>
      </c>
      <c r="F39" s="1567" t="s">
        <v>226</v>
      </c>
      <c r="G39" s="1593">
        <v>46</v>
      </c>
      <c r="H39" s="1264">
        <f t="shared" si="0"/>
        <v>8464</v>
      </c>
      <c r="I39" s="1595">
        <v>30</v>
      </c>
      <c r="J39" s="1264">
        <f t="shared" si="1"/>
        <v>5520</v>
      </c>
      <c r="K39" s="1273">
        <f t="shared" si="2"/>
        <v>13984</v>
      </c>
      <c r="L39" s="1633"/>
      <c r="N39" s="1532"/>
    </row>
    <row r="40" spans="1:15" s="1199" customFormat="1" ht="24" customHeight="1">
      <c r="A40" s="1564"/>
      <c r="B40" s="1597" t="s">
        <v>1836</v>
      </c>
      <c r="C40" s="1533"/>
      <c r="D40" s="1534"/>
      <c r="E40" s="1566">
        <v>14</v>
      </c>
      <c r="F40" s="1567" t="s">
        <v>226</v>
      </c>
      <c r="G40" s="1593">
        <v>113</v>
      </c>
      <c r="H40" s="1264">
        <f t="shared" si="0"/>
        <v>1582</v>
      </c>
      <c r="I40" s="1595">
        <v>50</v>
      </c>
      <c r="J40" s="1264">
        <f t="shared" si="1"/>
        <v>700</v>
      </c>
      <c r="K40" s="1273">
        <f t="shared" si="2"/>
        <v>2282</v>
      </c>
      <c r="L40" s="1633"/>
    </row>
    <row r="41" spans="1:15" s="1199" customFormat="1" ht="24" customHeight="1">
      <c r="A41" s="1564"/>
      <c r="B41" s="1597" t="s">
        <v>1827</v>
      </c>
      <c r="C41" s="1533"/>
      <c r="D41" s="1534"/>
      <c r="E41" s="1566">
        <v>26</v>
      </c>
      <c r="F41" s="1567" t="s">
        <v>226</v>
      </c>
      <c r="G41" s="1593">
        <v>193</v>
      </c>
      <c r="H41" s="1264">
        <f t="shared" si="0"/>
        <v>5018</v>
      </c>
      <c r="I41" s="1595">
        <v>75</v>
      </c>
      <c r="J41" s="1264">
        <f t="shared" si="1"/>
        <v>1950</v>
      </c>
      <c r="K41" s="1273">
        <f t="shared" si="2"/>
        <v>6968</v>
      </c>
      <c r="L41" s="1633"/>
    </row>
    <row r="42" spans="1:15" s="1199" customFormat="1" ht="24" customHeight="1">
      <c r="A42" s="1564"/>
      <c r="B42" s="1597" t="s">
        <v>1715</v>
      </c>
      <c r="C42" s="1533"/>
      <c r="D42" s="1534"/>
      <c r="E42" s="1566">
        <v>67</v>
      </c>
      <c r="F42" s="1567" t="s">
        <v>226</v>
      </c>
      <c r="G42" s="1593">
        <v>287</v>
      </c>
      <c r="H42" s="1264">
        <f t="shared" si="0"/>
        <v>19229</v>
      </c>
      <c r="I42" s="1595">
        <v>100</v>
      </c>
      <c r="J42" s="1264">
        <f t="shared" si="1"/>
        <v>6700</v>
      </c>
      <c r="K42" s="1273">
        <f t="shared" si="2"/>
        <v>25929</v>
      </c>
      <c r="L42" s="1633"/>
      <c r="O42" s="1532"/>
    </row>
    <row r="43" spans="1:15" s="1199" customFormat="1" ht="24" customHeight="1">
      <c r="A43" s="1564"/>
      <c r="B43" s="1597" t="s">
        <v>1716</v>
      </c>
      <c r="C43" s="1533"/>
      <c r="D43" s="1534"/>
      <c r="E43" s="1566">
        <v>30</v>
      </c>
      <c r="F43" s="1567" t="s">
        <v>226</v>
      </c>
      <c r="G43" s="1593">
        <v>562</v>
      </c>
      <c r="H43" s="1264">
        <f t="shared" si="0"/>
        <v>16860</v>
      </c>
      <c r="I43" s="1595">
        <v>120</v>
      </c>
      <c r="J43" s="1264">
        <f t="shared" si="1"/>
        <v>3600</v>
      </c>
      <c r="K43" s="1273">
        <f t="shared" si="2"/>
        <v>20460</v>
      </c>
      <c r="L43" s="1633"/>
    </row>
    <row r="44" spans="1:15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SUM(H38:H43)*50%</f>
        <v>30704</v>
      </c>
      <c r="H44" s="1264">
        <f t="shared" si="0"/>
        <v>30704</v>
      </c>
      <c r="I44" s="1595">
        <f>ROUND(G44*0.3,)</f>
        <v>9211</v>
      </c>
      <c r="J44" s="1264">
        <f t="shared" si="1"/>
        <v>9211</v>
      </c>
      <c r="K44" s="1265">
        <f t="shared" si="2"/>
        <v>39915</v>
      </c>
      <c r="L44" s="1633"/>
    </row>
    <row r="45" spans="1:15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ROUND(SUM(H38:H43)*20%,)</f>
        <v>12282</v>
      </c>
      <c r="H45" s="1264">
        <f t="shared" si="0"/>
        <v>12282</v>
      </c>
      <c r="I45" s="1595">
        <f>ROUND(G45*0.3,)</f>
        <v>3685</v>
      </c>
      <c r="J45" s="1264">
        <f t="shared" si="1"/>
        <v>3685</v>
      </c>
      <c r="K45" s="1265">
        <f t="shared" si="2"/>
        <v>15967</v>
      </c>
      <c r="L45" s="1633"/>
    </row>
    <row r="46" spans="1:15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ROUND(SUM(H38:H43)*10%,)</f>
        <v>6141</v>
      </c>
      <c r="H46" s="1264">
        <f t="shared" si="0"/>
        <v>6141</v>
      </c>
      <c r="I46" s="1595">
        <f>ROUND(G46*0.3,)</f>
        <v>1842</v>
      </c>
      <c r="J46" s="1264">
        <f t="shared" si="1"/>
        <v>1842</v>
      </c>
      <c r="K46" s="1265">
        <f t="shared" si="2"/>
        <v>7983</v>
      </c>
      <c r="L46" s="1633"/>
    </row>
    <row r="47" spans="1:15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73"/>
      <c r="L47" s="1633"/>
    </row>
    <row r="48" spans="1:15" s="1199" customFormat="1" ht="24" customHeight="1">
      <c r="A48" s="1564"/>
      <c r="B48" s="1597" t="s">
        <v>1731</v>
      </c>
      <c r="C48" s="1533"/>
      <c r="D48" s="1534"/>
      <c r="E48" s="1566">
        <v>4</v>
      </c>
      <c r="F48" s="1567" t="s">
        <v>363</v>
      </c>
      <c r="G48" s="1593">
        <v>880</v>
      </c>
      <c r="H48" s="1264">
        <f t="shared" ref="H48:H49" si="3">ROUND(E48*G48,)</f>
        <v>3520</v>
      </c>
      <c r="I48" s="1595">
        <v>150</v>
      </c>
      <c r="J48" s="1264">
        <f t="shared" ref="J48:J49" si="4">ROUND(E48*I48,)</f>
        <v>600</v>
      </c>
      <c r="K48" s="1265">
        <f t="shared" ref="K48:K49" si="5">H48+J48</f>
        <v>4120</v>
      </c>
      <c r="L48" s="2082" t="s">
        <v>2667</v>
      </c>
    </row>
    <row r="49" spans="1:12" s="1199" customFormat="1" ht="24" customHeight="1">
      <c r="A49" s="1564"/>
      <c r="B49" s="1597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</row>
    <row r="50" spans="1:12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73"/>
      <c r="L50" s="1633"/>
    </row>
    <row r="51" spans="1:12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73">
        <f>H51+J51</f>
        <v>24460</v>
      </c>
      <c r="L51" s="1633"/>
    </row>
    <row r="52" spans="1:12" s="1199" customFormat="1" ht="24" customHeight="1">
      <c r="A52" s="1564"/>
      <c r="B52" s="1597" t="s">
        <v>1716</v>
      </c>
      <c r="C52" s="1533"/>
      <c r="D52" s="1534"/>
      <c r="E52" s="1566">
        <v>8</v>
      </c>
      <c r="F52" s="1567" t="s">
        <v>363</v>
      </c>
      <c r="G52" s="1593">
        <v>2218</v>
      </c>
      <c r="H52" s="1264">
        <f>ROUND(E52*G52,)</f>
        <v>17744</v>
      </c>
      <c r="I52" s="1595">
        <v>600</v>
      </c>
      <c r="J52" s="1264">
        <f>ROUND(E52*I52,)</f>
        <v>4800</v>
      </c>
      <c r="K52" s="1273">
        <f>H52+J52</f>
        <v>22544</v>
      </c>
      <c r="L52" s="1596"/>
    </row>
    <row r="53" spans="1:12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73"/>
      <c r="L53" s="1633"/>
    </row>
    <row r="54" spans="1:12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633"/>
    </row>
    <row r="55" spans="1:12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73">
        <f>H55+J55</f>
        <v>23732</v>
      </c>
      <c r="L55" s="1633"/>
    </row>
    <row r="56" spans="1:12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633"/>
    </row>
    <row r="57" spans="1:12" s="1199" customFormat="1" ht="24" customHeight="1">
      <c r="A57" s="1564"/>
      <c r="B57" s="1565" t="s">
        <v>1823</v>
      </c>
      <c r="C57" s="1533"/>
      <c r="D57" s="1534"/>
      <c r="E57" s="1566">
        <v>6</v>
      </c>
      <c r="F57" s="1567" t="s">
        <v>363</v>
      </c>
      <c r="G57" s="1603">
        <v>210</v>
      </c>
      <c r="H57" s="1264">
        <f>ROUND(E57*G57,)</f>
        <v>1260</v>
      </c>
      <c r="I57" s="1595">
        <v>100</v>
      </c>
      <c r="J57" s="1264">
        <f>ROUND(E57*I57,)</f>
        <v>600</v>
      </c>
      <c r="K57" s="1265">
        <f>H57+J57</f>
        <v>1860</v>
      </c>
      <c r="L57" s="1633"/>
    </row>
    <row r="58" spans="1:12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633"/>
    </row>
    <row r="59" spans="1:12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633"/>
    </row>
    <row r="60" spans="1:12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633"/>
    </row>
    <row r="61" spans="1:12" s="1199" customFormat="1" ht="24" customHeight="1">
      <c r="A61" s="1564"/>
      <c r="B61" s="1597" t="s">
        <v>1823</v>
      </c>
      <c r="C61" s="1533"/>
      <c r="D61" s="1534"/>
      <c r="E61" s="1566">
        <v>10</v>
      </c>
      <c r="F61" s="1567" t="s">
        <v>363</v>
      </c>
      <c r="G61" s="1593">
        <v>120</v>
      </c>
      <c r="H61" s="1264">
        <f>ROUND(E61*G61,)</f>
        <v>1200</v>
      </c>
      <c r="I61" s="1595">
        <v>50</v>
      </c>
      <c r="J61" s="1264">
        <f>ROUND(I61*E61,)</f>
        <v>500</v>
      </c>
      <c r="K61" s="1273">
        <f>H61+J61</f>
        <v>1700</v>
      </c>
      <c r="L61" s="1633"/>
    </row>
    <row r="62" spans="1:12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633"/>
    </row>
    <row r="63" spans="1:12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633"/>
    </row>
    <row r="64" spans="1:12" s="1199" customFormat="1" ht="24" customHeight="1">
      <c r="A64" s="1564"/>
      <c r="B64" s="1565"/>
      <c r="C64" s="1533"/>
      <c r="D64" s="1534"/>
      <c r="E64" s="1566"/>
      <c r="F64" s="1567"/>
      <c r="G64" s="1603"/>
      <c r="H64" s="1264"/>
      <c r="I64" s="1595"/>
      <c r="J64" s="1264"/>
      <c r="K64" s="1265"/>
      <c r="L64" s="1633"/>
    </row>
    <row r="65" spans="1:15" s="1199" customFormat="1" ht="24" customHeight="1">
      <c r="A65" s="1578"/>
      <c r="B65" s="2257" t="str">
        <f>"รวมราคารายการที่ "&amp;A36</f>
        <v>รวมราคารายการที่ 5.1</v>
      </c>
      <c r="C65" s="2258"/>
      <c r="D65" s="2259"/>
      <c r="E65" s="1579"/>
      <c r="F65" s="1579"/>
      <c r="G65" s="1580"/>
      <c r="H65" s="1583">
        <f>SUM(H36:H63)</f>
        <v>181643</v>
      </c>
      <c r="I65" s="1582"/>
      <c r="J65" s="1583">
        <f>SUM(J36:J63)</f>
        <v>55548</v>
      </c>
      <c r="K65" s="1583">
        <f>SUM(K36:K63)</f>
        <v>237191</v>
      </c>
      <c r="L65" s="1630"/>
    </row>
    <row r="66" spans="1:15" s="1199" customFormat="1" ht="24" customHeight="1">
      <c r="A66" s="1605" t="s">
        <v>1744</v>
      </c>
      <c r="B66" s="1606" t="s">
        <v>1745</v>
      </c>
      <c r="C66" s="1607"/>
      <c r="D66" s="1608"/>
      <c r="E66" s="1609"/>
      <c r="F66" s="1610"/>
      <c r="G66" s="1611"/>
      <c r="H66" s="1612"/>
      <c r="I66" s="1613"/>
      <c r="J66" s="1612"/>
      <c r="K66" s="1614"/>
      <c r="L66" s="1634"/>
    </row>
    <row r="67" spans="1:15" s="1199" customFormat="1" ht="24" customHeight="1">
      <c r="A67" s="1564" t="s">
        <v>1746</v>
      </c>
      <c r="B67" s="1597" t="s">
        <v>1839</v>
      </c>
      <c r="C67" s="1533"/>
      <c r="D67" s="1534"/>
      <c r="E67" s="1566"/>
      <c r="F67" s="1567"/>
      <c r="G67" s="1516"/>
      <c r="H67" s="1264"/>
      <c r="I67" s="1265"/>
      <c r="J67" s="1264"/>
      <c r="K67" s="1273"/>
      <c r="L67" s="1635"/>
    </row>
    <row r="68" spans="1:15" s="1199" customFormat="1" ht="24" customHeight="1">
      <c r="A68" s="1564"/>
      <c r="B68" s="1597" t="s">
        <v>1340</v>
      </c>
      <c r="C68" s="1533"/>
      <c r="D68" s="1534"/>
      <c r="E68" s="1566">
        <v>187</v>
      </c>
      <c r="F68" s="1567" t="s">
        <v>226</v>
      </c>
      <c r="G68" s="1516">
        <v>127</v>
      </c>
      <c r="H68" s="1264">
        <f t="shared" ref="H68:H75" si="6">ROUND(E68*G68,)</f>
        <v>23749</v>
      </c>
      <c r="I68" s="1265">
        <v>40</v>
      </c>
      <c r="J68" s="1264">
        <f t="shared" ref="J68:J75" si="7">ROUND(I68*E68,)</f>
        <v>7480</v>
      </c>
      <c r="K68" s="1273">
        <f t="shared" ref="K68:K75" si="8">H68+J68</f>
        <v>31229</v>
      </c>
      <c r="L68" s="1635"/>
      <c r="N68" s="1532"/>
    </row>
    <row r="69" spans="1:15" s="1199" customFormat="1" ht="24" customHeight="1">
      <c r="A69" s="1564"/>
      <c r="B69" s="1597" t="s">
        <v>1342</v>
      </c>
      <c r="C69" s="1533"/>
      <c r="D69" s="1534"/>
      <c r="E69" s="1566">
        <v>149</v>
      </c>
      <c r="F69" s="1567" t="s">
        <v>226</v>
      </c>
      <c r="G69" s="1516">
        <v>258</v>
      </c>
      <c r="H69" s="1264">
        <f t="shared" si="6"/>
        <v>38442</v>
      </c>
      <c r="I69" s="1265">
        <v>75</v>
      </c>
      <c r="J69" s="1264">
        <f t="shared" si="7"/>
        <v>11175</v>
      </c>
      <c r="K69" s="1273">
        <f t="shared" si="8"/>
        <v>49617</v>
      </c>
      <c r="L69" s="1635"/>
      <c r="N69" s="1532"/>
    </row>
    <row r="70" spans="1:15" s="1199" customFormat="1" ht="24" customHeight="1">
      <c r="A70" s="1564"/>
      <c r="B70" s="1597" t="s">
        <v>1759</v>
      </c>
      <c r="C70" s="1533"/>
      <c r="D70" s="1534"/>
      <c r="E70" s="1566">
        <v>592</v>
      </c>
      <c r="F70" s="1567" t="s">
        <v>226</v>
      </c>
      <c r="G70" s="1516">
        <v>395</v>
      </c>
      <c r="H70" s="1264">
        <f t="shared" si="6"/>
        <v>233840</v>
      </c>
      <c r="I70" s="1265">
        <v>120</v>
      </c>
      <c r="J70" s="1264">
        <f t="shared" si="7"/>
        <v>71040</v>
      </c>
      <c r="K70" s="1273">
        <f t="shared" si="8"/>
        <v>304880</v>
      </c>
      <c r="L70" s="1635"/>
      <c r="N70" s="1532"/>
    </row>
    <row r="71" spans="1:15" s="1199" customFormat="1" ht="24" customHeight="1">
      <c r="A71" s="1564"/>
      <c r="B71" s="1597" t="s">
        <v>1754</v>
      </c>
      <c r="C71" s="1533"/>
      <c r="D71" s="1534"/>
      <c r="E71" s="1566">
        <v>103</v>
      </c>
      <c r="F71" s="1567" t="s">
        <v>226</v>
      </c>
      <c r="G71" s="1516">
        <v>789</v>
      </c>
      <c r="H71" s="1264">
        <f t="shared" si="6"/>
        <v>81267</v>
      </c>
      <c r="I71" s="1265">
        <v>250</v>
      </c>
      <c r="J71" s="1264">
        <f t="shared" si="7"/>
        <v>25750</v>
      </c>
      <c r="K71" s="1273">
        <f t="shared" si="8"/>
        <v>107017</v>
      </c>
      <c r="L71" s="1635"/>
      <c r="N71" s="1532"/>
    </row>
    <row r="72" spans="1:15" s="1199" customFormat="1" ht="24" customHeight="1">
      <c r="A72" s="1564"/>
      <c r="B72" s="1597" t="s">
        <v>1755</v>
      </c>
      <c r="C72" s="1533"/>
      <c r="D72" s="1534"/>
      <c r="E72" s="1566">
        <v>145</v>
      </c>
      <c r="F72" s="1567" t="s">
        <v>226</v>
      </c>
      <c r="G72" s="1516">
        <v>1385</v>
      </c>
      <c r="H72" s="1264">
        <f t="shared" si="6"/>
        <v>200825</v>
      </c>
      <c r="I72" s="1265">
        <v>350</v>
      </c>
      <c r="J72" s="1264">
        <f t="shared" si="7"/>
        <v>50750</v>
      </c>
      <c r="K72" s="1273">
        <f t="shared" si="8"/>
        <v>251575</v>
      </c>
      <c r="L72" s="1635"/>
      <c r="N72" s="1532"/>
    </row>
    <row r="73" spans="1:15" s="1199" customFormat="1" ht="24" customHeight="1">
      <c r="A73" s="1564"/>
      <c r="B73" s="1597" t="s">
        <v>1719</v>
      </c>
      <c r="C73" s="1533"/>
      <c r="D73" s="1534"/>
      <c r="E73" s="1566">
        <v>1</v>
      </c>
      <c r="F73" s="1567" t="s">
        <v>1104</v>
      </c>
      <c r="G73" s="1516">
        <f>ROUND(SUM(H68:H72)*40%,)</f>
        <v>231249</v>
      </c>
      <c r="H73" s="1264">
        <f t="shared" si="6"/>
        <v>231249</v>
      </c>
      <c r="I73" s="1595">
        <f>ROUND(G73*0.3,)</f>
        <v>69375</v>
      </c>
      <c r="J73" s="1264">
        <f t="shared" si="7"/>
        <v>69375</v>
      </c>
      <c r="K73" s="1273">
        <f t="shared" si="8"/>
        <v>300624</v>
      </c>
      <c r="L73" s="1635"/>
    </row>
    <row r="74" spans="1:15" s="1199" customFormat="1" ht="24" customHeight="1">
      <c r="A74" s="1564"/>
      <c r="B74" s="1597" t="s">
        <v>1720</v>
      </c>
      <c r="C74" s="1533"/>
      <c r="D74" s="1534"/>
      <c r="E74" s="1566">
        <v>1</v>
      </c>
      <c r="F74" s="1567" t="s">
        <v>1104</v>
      </c>
      <c r="G74" s="1516">
        <f>ROUND(SUM(H68:H72)*20%,)</f>
        <v>115625</v>
      </c>
      <c r="H74" s="1264">
        <f t="shared" si="6"/>
        <v>115625</v>
      </c>
      <c r="I74" s="1595">
        <f>ROUND(G74*0.3,)</f>
        <v>34688</v>
      </c>
      <c r="J74" s="1264">
        <f t="shared" si="7"/>
        <v>34688</v>
      </c>
      <c r="K74" s="1273">
        <f t="shared" si="8"/>
        <v>150313</v>
      </c>
      <c r="L74" s="1635"/>
    </row>
    <row r="75" spans="1:15" s="1199" customFormat="1" ht="24" customHeight="1">
      <c r="A75" s="1564"/>
      <c r="B75" s="1597" t="s">
        <v>1756</v>
      </c>
      <c r="C75" s="1533"/>
      <c r="D75" s="1534"/>
      <c r="E75" s="1566">
        <v>1</v>
      </c>
      <c r="F75" s="1567" t="s">
        <v>1104</v>
      </c>
      <c r="G75" s="1516">
        <f>ROUND(SUM(H68:H72)*10%,)</f>
        <v>57812</v>
      </c>
      <c r="H75" s="1264">
        <f t="shared" si="6"/>
        <v>57812</v>
      </c>
      <c r="I75" s="1595">
        <f>ROUND(G75*0.3,)</f>
        <v>17344</v>
      </c>
      <c r="J75" s="1264">
        <f t="shared" si="7"/>
        <v>17344</v>
      </c>
      <c r="K75" s="1273">
        <f t="shared" si="8"/>
        <v>75156</v>
      </c>
      <c r="L75" s="1635"/>
    </row>
    <row r="76" spans="1:15" s="1199" customFormat="1" ht="24" customHeight="1">
      <c r="A76" s="1572" t="s">
        <v>1752</v>
      </c>
      <c r="B76" s="1597" t="s">
        <v>1840</v>
      </c>
      <c r="C76" s="1533"/>
      <c r="D76" s="1534"/>
      <c r="E76" s="1566"/>
      <c r="F76" s="1567"/>
      <c r="G76" s="1516"/>
      <c r="H76" s="1264"/>
      <c r="I76" s="1265"/>
      <c r="J76" s="1264"/>
      <c r="K76" s="1273"/>
      <c r="L76" s="1639"/>
    </row>
    <row r="77" spans="1:15" s="1199" customFormat="1" ht="24" customHeight="1">
      <c r="A77" s="1564"/>
      <c r="B77" s="1597" t="s">
        <v>1338</v>
      </c>
      <c r="C77" s="1533"/>
      <c r="D77" s="1534"/>
      <c r="E77" s="1566">
        <v>118</v>
      </c>
      <c r="F77" s="1567" t="s">
        <v>226</v>
      </c>
      <c r="G77" s="1516">
        <v>20</v>
      </c>
      <c r="H77" s="1264">
        <f t="shared" ref="H77:H84" si="9">ROUND(E77*G77,)</f>
        <v>2360</v>
      </c>
      <c r="I77" s="1265">
        <v>30</v>
      </c>
      <c r="J77" s="1264">
        <f t="shared" ref="J77:J84" si="10">ROUND(I77*E77,)</f>
        <v>3540</v>
      </c>
      <c r="K77" s="1273">
        <f t="shared" ref="K77:K84" si="11">H77+J77</f>
        <v>5900</v>
      </c>
      <c r="L77" s="2082" t="s">
        <v>2667</v>
      </c>
      <c r="N77" s="1199">
        <v>79.17</v>
      </c>
      <c r="O77" s="1199">
        <f>ROUND(N77/4,)</f>
        <v>20</v>
      </c>
    </row>
    <row r="78" spans="1:15" s="1199" customFormat="1" ht="24" customHeight="1">
      <c r="A78" s="1564"/>
      <c r="B78" s="1597" t="s">
        <v>1339</v>
      </c>
      <c r="C78" s="1533"/>
      <c r="D78" s="1534"/>
      <c r="E78" s="1566">
        <v>22</v>
      </c>
      <c r="F78" s="1567" t="s">
        <v>226</v>
      </c>
      <c r="G78" s="1516">
        <v>26</v>
      </c>
      <c r="H78" s="1264">
        <f t="shared" si="9"/>
        <v>572</v>
      </c>
      <c r="I78" s="1265">
        <v>30</v>
      </c>
      <c r="J78" s="1264">
        <f t="shared" si="10"/>
        <v>660</v>
      </c>
      <c r="K78" s="1273">
        <f t="shared" si="11"/>
        <v>1232</v>
      </c>
      <c r="L78" s="2082" t="s">
        <v>2667</v>
      </c>
      <c r="N78" s="1199">
        <v>103.74</v>
      </c>
      <c r="O78" s="1199">
        <f t="shared" ref="O78:O81" si="12">ROUND(N78/4,)</f>
        <v>26</v>
      </c>
    </row>
    <row r="79" spans="1:15" s="1199" customFormat="1" ht="24" customHeight="1">
      <c r="A79" s="1564"/>
      <c r="B79" s="1597" t="s">
        <v>1340</v>
      </c>
      <c r="C79" s="1533"/>
      <c r="D79" s="1534"/>
      <c r="E79" s="1566">
        <v>50</v>
      </c>
      <c r="F79" s="1567" t="s">
        <v>226</v>
      </c>
      <c r="G79" s="1516">
        <v>41</v>
      </c>
      <c r="H79" s="1264">
        <f t="shared" si="9"/>
        <v>2050</v>
      </c>
      <c r="I79" s="1265">
        <v>40</v>
      </c>
      <c r="J79" s="1264">
        <f t="shared" si="10"/>
        <v>2000</v>
      </c>
      <c r="K79" s="1273">
        <f t="shared" si="11"/>
        <v>4050</v>
      </c>
      <c r="L79" s="2082" t="s">
        <v>2667</v>
      </c>
      <c r="N79" s="1199">
        <v>163.80000000000001</v>
      </c>
      <c r="O79" s="1199">
        <f t="shared" si="12"/>
        <v>41</v>
      </c>
    </row>
    <row r="80" spans="1:15" s="1199" customFormat="1" ht="24" customHeight="1">
      <c r="A80" s="1564"/>
      <c r="B80" s="1597" t="s">
        <v>1341</v>
      </c>
      <c r="C80" s="1533"/>
      <c r="D80" s="1534"/>
      <c r="E80" s="1566">
        <v>38</v>
      </c>
      <c r="F80" s="1567" t="s">
        <v>226</v>
      </c>
      <c r="G80" s="1516">
        <v>65</v>
      </c>
      <c r="H80" s="1264">
        <f t="shared" si="9"/>
        <v>2470</v>
      </c>
      <c r="I80" s="1265">
        <v>50</v>
      </c>
      <c r="J80" s="1264">
        <f t="shared" si="10"/>
        <v>1900</v>
      </c>
      <c r="K80" s="1273">
        <f t="shared" si="11"/>
        <v>4370</v>
      </c>
      <c r="L80" s="2082" t="s">
        <v>2667</v>
      </c>
      <c r="N80" s="1199">
        <v>259.35000000000002</v>
      </c>
      <c r="O80" s="1199">
        <f t="shared" si="12"/>
        <v>65</v>
      </c>
    </row>
    <row r="81" spans="1:15" s="1199" customFormat="1" ht="24" customHeight="1">
      <c r="A81" s="1564"/>
      <c r="B81" s="1597" t="s">
        <v>1342</v>
      </c>
      <c r="C81" s="1533"/>
      <c r="D81" s="1534"/>
      <c r="E81" s="1566">
        <v>60</v>
      </c>
      <c r="F81" s="1567" t="s">
        <v>226</v>
      </c>
      <c r="G81" s="1516">
        <v>90</v>
      </c>
      <c r="H81" s="1264">
        <f t="shared" si="9"/>
        <v>5400</v>
      </c>
      <c r="I81" s="1265">
        <v>75</v>
      </c>
      <c r="J81" s="1264">
        <f t="shared" si="10"/>
        <v>4500</v>
      </c>
      <c r="K81" s="1273">
        <f t="shared" si="11"/>
        <v>9900</v>
      </c>
      <c r="L81" s="2082" t="s">
        <v>2667</v>
      </c>
      <c r="N81" s="1199">
        <v>359.45</v>
      </c>
      <c r="O81" s="1199">
        <f t="shared" si="12"/>
        <v>90</v>
      </c>
    </row>
    <row r="82" spans="1:15" s="1199" customFormat="1" ht="24" customHeight="1">
      <c r="A82" s="1564"/>
      <c r="B82" s="1597" t="s">
        <v>1719</v>
      </c>
      <c r="C82" s="1533"/>
      <c r="D82" s="1534"/>
      <c r="E82" s="1566">
        <v>1</v>
      </c>
      <c r="F82" s="1567" t="s">
        <v>1104</v>
      </c>
      <c r="G82" s="1516">
        <f>ROUND(SUM(H77:H81)*40%,)</f>
        <v>5141</v>
      </c>
      <c r="H82" s="1264">
        <f t="shared" si="9"/>
        <v>5141</v>
      </c>
      <c r="I82" s="1595">
        <f>ROUND(G82*0.3,)</f>
        <v>1542</v>
      </c>
      <c r="J82" s="1264">
        <f t="shared" si="10"/>
        <v>1542</v>
      </c>
      <c r="K82" s="1273">
        <f t="shared" si="11"/>
        <v>6683</v>
      </c>
      <c r="L82" s="1635"/>
    </row>
    <row r="83" spans="1:15" s="1199" customFormat="1" ht="24" customHeight="1">
      <c r="A83" s="1564"/>
      <c r="B83" s="1597" t="s">
        <v>1720</v>
      </c>
      <c r="C83" s="1533"/>
      <c r="D83" s="1534"/>
      <c r="E83" s="1566">
        <v>1</v>
      </c>
      <c r="F83" s="1567" t="s">
        <v>1104</v>
      </c>
      <c r="G83" s="1516">
        <f>ROUND(SUM(H77:H81)*30%,)</f>
        <v>3856</v>
      </c>
      <c r="H83" s="1264">
        <f t="shared" si="9"/>
        <v>3856</v>
      </c>
      <c r="I83" s="1595">
        <f>ROUND(G83*0.3,)</f>
        <v>1157</v>
      </c>
      <c r="J83" s="1264">
        <f t="shared" si="10"/>
        <v>1157</v>
      </c>
      <c r="K83" s="1273">
        <f t="shared" si="11"/>
        <v>5013</v>
      </c>
      <c r="L83" s="1635"/>
    </row>
    <row r="84" spans="1:15" s="1199" customFormat="1" ht="24" customHeight="1">
      <c r="A84" s="1564"/>
      <c r="B84" s="1597" t="s">
        <v>1756</v>
      </c>
      <c r="C84" s="1533"/>
      <c r="D84" s="1534"/>
      <c r="E84" s="1566">
        <v>1</v>
      </c>
      <c r="F84" s="1567" t="s">
        <v>1104</v>
      </c>
      <c r="G84" s="1516">
        <f>ROUND(SUM(H77:H81)*10%,)</f>
        <v>1285</v>
      </c>
      <c r="H84" s="1264">
        <f t="shared" si="9"/>
        <v>1285</v>
      </c>
      <c r="I84" s="1595">
        <f>ROUND(G84*0.3,)</f>
        <v>386</v>
      </c>
      <c r="J84" s="1264">
        <f t="shared" si="10"/>
        <v>386</v>
      </c>
      <c r="K84" s="1273">
        <f t="shared" si="11"/>
        <v>1671</v>
      </c>
      <c r="L84" s="1635"/>
    </row>
    <row r="85" spans="1:15" s="1199" customFormat="1" ht="24" customHeight="1">
      <c r="A85" s="1564" t="s">
        <v>1757</v>
      </c>
      <c r="B85" s="1597" t="s">
        <v>1832</v>
      </c>
      <c r="C85" s="1533"/>
      <c r="D85" s="1534"/>
      <c r="E85" s="1566"/>
      <c r="F85" s="1567"/>
      <c r="G85" s="1516"/>
      <c r="H85" s="1264"/>
      <c r="I85" s="1265"/>
      <c r="J85" s="1264"/>
      <c r="K85" s="1273"/>
      <c r="L85" s="1635"/>
    </row>
    <row r="86" spans="1:15" s="1199" customFormat="1" ht="24" customHeight="1">
      <c r="A86" s="1564"/>
      <c r="B86" s="1597" t="s">
        <v>1340</v>
      </c>
      <c r="C86" s="1533"/>
      <c r="D86" s="1534"/>
      <c r="E86" s="1566">
        <v>36</v>
      </c>
      <c r="F86" s="1567" t="s">
        <v>363</v>
      </c>
      <c r="G86" s="1516">
        <f>ROUND(665*0.7,)</f>
        <v>466</v>
      </c>
      <c r="H86" s="1264">
        <f>ROUND(E86*G86,)</f>
        <v>16776</v>
      </c>
      <c r="I86" s="1265">
        <v>200</v>
      </c>
      <c r="J86" s="1264">
        <f>ROUND(I86*E86,)</f>
        <v>7200</v>
      </c>
      <c r="K86" s="1273">
        <f>H86+J86</f>
        <v>23976</v>
      </c>
      <c r="L86" s="1635"/>
    </row>
    <row r="87" spans="1:15" s="1199" customFormat="1" ht="24" customHeight="1">
      <c r="A87" s="1564" t="s">
        <v>1760</v>
      </c>
      <c r="B87" s="1597" t="s">
        <v>1780</v>
      </c>
      <c r="C87" s="1533"/>
      <c r="D87" s="1534"/>
      <c r="E87" s="1566"/>
      <c r="F87" s="1567"/>
      <c r="G87" s="1516"/>
      <c r="H87" s="1264"/>
      <c r="I87" s="1265"/>
      <c r="J87" s="1264"/>
      <c r="K87" s="1273"/>
      <c r="L87" s="1635"/>
    </row>
    <row r="88" spans="1:15" s="1199" customFormat="1" ht="24" customHeight="1">
      <c r="A88" s="1564"/>
      <c r="B88" s="1597" t="s">
        <v>1340</v>
      </c>
      <c r="C88" s="1533"/>
      <c r="D88" s="1534"/>
      <c r="E88" s="1566">
        <v>8</v>
      </c>
      <c r="F88" s="1567" t="s">
        <v>363</v>
      </c>
      <c r="G88" s="1516">
        <f>ROUND(240*0.75,)</f>
        <v>180</v>
      </c>
      <c r="H88" s="1264">
        <f>ROUND(E88*G88,)</f>
        <v>1440</v>
      </c>
      <c r="I88" s="1265">
        <v>100</v>
      </c>
      <c r="J88" s="1264">
        <f>ROUND(I88*E88,)</f>
        <v>800</v>
      </c>
      <c r="K88" s="1273">
        <f>H88+J88</f>
        <v>2240</v>
      </c>
      <c r="L88" s="1635"/>
    </row>
    <row r="89" spans="1:15" s="1199" customFormat="1" ht="24" customHeight="1">
      <c r="A89" s="1564"/>
      <c r="B89" s="1597" t="s">
        <v>1342</v>
      </c>
      <c r="C89" s="1533"/>
      <c r="D89" s="1534"/>
      <c r="E89" s="1566">
        <v>6</v>
      </c>
      <c r="F89" s="1567" t="s">
        <v>363</v>
      </c>
      <c r="G89" s="1516">
        <f>ROUND(360*0.75,)</f>
        <v>270</v>
      </c>
      <c r="H89" s="1264">
        <f>ROUND(E89*G89,)</f>
        <v>1620</v>
      </c>
      <c r="I89" s="1265">
        <v>150</v>
      </c>
      <c r="J89" s="1264">
        <f>ROUND(I89*E89,)</f>
        <v>900</v>
      </c>
      <c r="K89" s="1273">
        <f>H89+J89</f>
        <v>2520</v>
      </c>
      <c r="L89" s="1635"/>
    </row>
    <row r="90" spans="1:15" s="1199" customFormat="1" ht="24" customHeight="1">
      <c r="A90" s="1637"/>
      <c r="B90" s="1597" t="s">
        <v>1759</v>
      </c>
      <c r="C90" s="1533"/>
      <c r="D90" s="1534"/>
      <c r="E90" s="1566">
        <v>6</v>
      </c>
      <c r="F90" s="1567" t="s">
        <v>363</v>
      </c>
      <c r="G90" s="1516">
        <f>ROUND(500*0.75,)</f>
        <v>375</v>
      </c>
      <c r="H90" s="1264">
        <f>ROUND(E90*G90,)</f>
        <v>2250</v>
      </c>
      <c r="I90" s="1265">
        <v>200</v>
      </c>
      <c r="J90" s="1264">
        <f>ROUND(I90*E90,)</f>
        <v>1200</v>
      </c>
      <c r="K90" s="1273">
        <f>H90+J90</f>
        <v>3450</v>
      </c>
      <c r="L90" s="1638"/>
    </row>
    <row r="91" spans="1:15" s="1199" customFormat="1" ht="24" customHeight="1">
      <c r="A91" s="1564"/>
      <c r="B91" s="1597" t="s">
        <v>1754</v>
      </c>
      <c r="C91" s="1533"/>
      <c r="D91" s="1534"/>
      <c r="E91" s="1566">
        <v>4</v>
      </c>
      <c r="F91" s="1567" t="s">
        <v>363</v>
      </c>
      <c r="G91" s="1516">
        <f>ROUND(950*0.75,)</f>
        <v>713</v>
      </c>
      <c r="H91" s="1264">
        <f>ROUND(E91*G91,)</f>
        <v>2852</v>
      </c>
      <c r="I91" s="1265">
        <v>300</v>
      </c>
      <c r="J91" s="1264">
        <f>ROUND(I91*E91,)</f>
        <v>1200</v>
      </c>
      <c r="K91" s="1273">
        <f>H91+J91</f>
        <v>4052</v>
      </c>
      <c r="L91" s="1635"/>
    </row>
    <row r="92" spans="1:15" s="1199" customFormat="1" ht="24" customHeight="1">
      <c r="A92" s="1564"/>
      <c r="B92" s="1597" t="s">
        <v>1755</v>
      </c>
      <c r="C92" s="1533"/>
      <c r="D92" s="1534"/>
      <c r="E92" s="1566">
        <v>2</v>
      </c>
      <c r="F92" s="1567" t="s">
        <v>363</v>
      </c>
      <c r="G92" s="1516">
        <f>ROUND(1850*0.75,)</f>
        <v>1388</v>
      </c>
      <c r="H92" s="1264">
        <f>ROUND(E92*G92,)</f>
        <v>2776</v>
      </c>
      <c r="I92" s="1265">
        <v>400</v>
      </c>
      <c r="J92" s="1264">
        <f>ROUND(I92*E92,)</f>
        <v>800</v>
      </c>
      <c r="K92" s="1273">
        <f>H92+J92</f>
        <v>3576</v>
      </c>
      <c r="L92" s="1635"/>
    </row>
    <row r="93" spans="1:15" s="1199" customFormat="1" ht="24" customHeight="1">
      <c r="A93" s="1578"/>
      <c r="B93" s="2257" t="str">
        <f>"รวมราคารายการที่ "&amp;A66</f>
        <v>รวมราคารายการที่ 5.2</v>
      </c>
      <c r="C93" s="2258"/>
      <c r="D93" s="2259"/>
      <c r="E93" s="1579"/>
      <c r="F93" s="1579"/>
      <c r="G93" s="1580"/>
      <c r="H93" s="1581">
        <f>SUM(H67:H92)</f>
        <v>1033657</v>
      </c>
      <c r="I93" s="1582"/>
      <c r="J93" s="1581">
        <f>SUM(J67:J92)</f>
        <v>315387</v>
      </c>
      <c r="K93" s="1583">
        <f>SUM(K67:K92)</f>
        <v>1349044</v>
      </c>
      <c r="L93" s="1630"/>
    </row>
    <row r="94" spans="1:15" s="1199" customFormat="1" ht="24" customHeight="1">
      <c r="A94" s="1584">
        <v>5.3</v>
      </c>
      <c r="B94" s="1606" t="s">
        <v>1768</v>
      </c>
      <c r="C94" s="1294"/>
      <c r="D94" s="1294"/>
      <c r="E94" s="1586"/>
      <c r="F94" s="1296"/>
      <c r="G94" s="1357"/>
      <c r="H94" s="1298"/>
      <c r="I94" s="1299"/>
      <c r="J94" s="1298"/>
      <c r="K94" s="1382"/>
      <c r="L94" s="1638"/>
    </row>
    <row r="95" spans="1:15" s="1199" customFormat="1" ht="24" customHeight="1">
      <c r="A95" s="1572" t="s">
        <v>1769</v>
      </c>
      <c r="B95" s="1573" t="s">
        <v>1841</v>
      </c>
      <c r="C95" s="1574"/>
      <c r="D95" s="1575"/>
      <c r="E95" s="1598"/>
      <c r="F95" s="1577"/>
      <c r="G95" s="1351"/>
      <c r="H95" s="1281"/>
      <c r="I95" s="1282"/>
      <c r="J95" s="1281"/>
      <c r="K95" s="1405"/>
      <c r="L95" s="1635"/>
    </row>
    <row r="96" spans="1:15" s="1199" customFormat="1" ht="21.3">
      <c r="A96" s="1564"/>
      <c r="B96" s="1565" t="s">
        <v>1759</v>
      </c>
      <c r="C96" s="1533"/>
      <c r="D96" s="1534"/>
      <c r="E96" s="1566">
        <v>133</v>
      </c>
      <c r="F96" s="1567" t="s">
        <v>226</v>
      </c>
      <c r="G96" s="1516">
        <f>ROUND(2456.4/6,)</f>
        <v>409</v>
      </c>
      <c r="H96" s="1264">
        <f>ROUND(E96*G96,)</f>
        <v>54397</v>
      </c>
      <c r="I96" s="1265">
        <v>150</v>
      </c>
      <c r="J96" s="1264">
        <f>ROUND(I96*E96,)</f>
        <v>19950</v>
      </c>
      <c r="K96" s="1273">
        <f>H96+J96</f>
        <v>74347</v>
      </c>
      <c r="L96" s="1635"/>
    </row>
    <row r="97" spans="1:12" s="1199" customFormat="1" ht="21.3">
      <c r="A97" s="1564"/>
      <c r="B97" s="1565" t="s">
        <v>1754</v>
      </c>
      <c r="C97" s="1533"/>
      <c r="D97" s="1534"/>
      <c r="E97" s="1566">
        <v>25</v>
      </c>
      <c r="F97" s="1567" t="s">
        <v>226</v>
      </c>
      <c r="G97" s="1516">
        <v>631</v>
      </c>
      <c r="H97" s="1264">
        <f t="shared" ref="H97" si="13">ROUND(E97*G97,)</f>
        <v>15775</v>
      </c>
      <c r="I97" s="1265">
        <v>250</v>
      </c>
      <c r="J97" s="1264">
        <f t="shared" ref="J97" si="14">ROUND(I97*E97,)</f>
        <v>6250</v>
      </c>
      <c r="K97" s="1273">
        <f t="shared" ref="K97" si="15">H97+J97</f>
        <v>22025</v>
      </c>
      <c r="L97" s="1635"/>
    </row>
    <row r="98" spans="1:12" s="1199" customFormat="1" ht="21.3">
      <c r="A98" s="1564"/>
      <c r="B98" s="1565" t="s">
        <v>1755</v>
      </c>
      <c r="C98" s="1533"/>
      <c r="D98" s="1534"/>
      <c r="E98" s="1566">
        <v>371</v>
      </c>
      <c r="F98" s="1567" t="s">
        <v>226</v>
      </c>
      <c r="G98" s="1516">
        <v>1221</v>
      </c>
      <c r="H98" s="1264">
        <f>ROUND(E98*G98,)</f>
        <v>452991</v>
      </c>
      <c r="I98" s="1265">
        <v>460</v>
      </c>
      <c r="J98" s="1264">
        <f>ROUND(I98*E98,)</f>
        <v>170660</v>
      </c>
      <c r="K98" s="1273">
        <f>H98+J98</f>
        <v>623651</v>
      </c>
      <c r="L98" s="1635"/>
    </row>
    <row r="99" spans="1:12" s="1199" customFormat="1" ht="21.3">
      <c r="A99" s="1564"/>
      <c r="B99" s="1565" t="s">
        <v>1719</v>
      </c>
      <c r="C99" s="1533"/>
      <c r="D99" s="1534"/>
      <c r="E99" s="1566">
        <v>1</v>
      </c>
      <c r="F99" s="1567" t="s">
        <v>1104</v>
      </c>
      <c r="G99" s="1516">
        <f>ROUND(SUM(H96:H98)*40%,)</f>
        <v>209265</v>
      </c>
      <c r="H99" s="1264">
        <f>ROUND(E99*G99,)</f>
        <v>209265</v>
      </c>
      <c r="I99" s="1595">
        <f>ROUND(G99*0.3,)</f>
        <v>62780</v>
      </c>
      <c r="J99" s="1264">
        <f>ROUND(I99*E99,)</f>
        <v>62780</v>
      </c>
      <c r="K99" s="1273">
        <f>H99+J99</f>
        <v>272045</v>
      </c>
      <c r="L99" s="1635"/>
    </row>
    <row r="100" spans="1:12" s="1199" customFormat="1" ht="21.3">
      <c r="A100" s="1564"/>
      <c r="B100" s="1565" t="s">
        <v>1720</v>
      </c>
      <c r="C100" s="1533"/>
      <c r="D100" s="1534"/>
      <c r="E100" s="1566">
        <v>1</v>
      </c>
      <c r="F100" s="1567" t="s">
        <v>1104</v>
      </c>
      <c r="G100" s="1516">
        <f>ROUND(SUM(H96:H98)*20%,)</f>
        <v>104633</v>
      </c>
      <c r="H100" s="1264">
        <f>ROUND(E100*G100,)</f>
        <v>104633</v>
      </c>
      <c r="I100" s="1595">
        <f>ROUND(G100*0.3,)</f>
        <v>31390</v>
      </c>
      <c r="J100" s="1264">
        <f>ROUND(I100*E100,)</f>
        <v>31390</v>
      </c>
      <c r="K100" s="1273">
        <f>H100+J100</f>
        <v>136023</v>
      </c>
      <c r="L100" s="1635"/>
    </row>
    <row r="101" spans="1:12" s="1199" customFormat="1" ht="21.3">
      <c r="A101" s="1564"/>
      <c r="B101" s="1565" t="s">
        <v>1756</v>
      </c>
      <c r="C101" s="1533"/>
      <c r="D101" s="1534"/>
      <c r="E101" s="1566">
        <v>1</v>
      </c>
      <c r="F101" s="1567" t="s">
        <v>1104</v>
      </c>
      <c r="G101" s="1516">
        <f>ROUND(SUM(H96:H98)*10%,)</f>
        <v>52316</v>
      </c>
      <c r="H101" s="1264">
        <f>ROUND(E101*G101,)</f>
        <v>52316</v>
      </c>
      <c r="I101" s="1595">
        <f>ROUND(G101*0.3,)</f>
        <v>15695</v>
      </c>
      <c r="J101" s="1264">
        <f>ROUND(I101*E101,)</f>
        <v>15695</v>
      </c>
      <c r="K101" s="1273">
        <f>H101+J101</f>
        <v>68011</v>
      </c>
      <c r="L101" s="1635"/>
    </row>
    <row r="102" spans="1:12" s="1199" customFormat="1" ht="21.3">
      <c r="A102" s="1572" t="s">
        <v>1775</v>
      </c>
      <c r="B102" s="1573" t="s">
        <v>1778</v>
      </c>
      <c r="C102" s="1574"/>
      <c r="D102" s="1575"/>
      <c r="E102" s="1598"/>
      <c r="F102" s="1577"/>
      <c r="G102" s="1351"/>
      <c r="H102" s="1281"/>
      <c r="I102" s="1282"/>
      <c r="J102" s="1281"/>
      <c r="K102" s="1405"/>
      <c r="L102" s="1639"/>
    </row>
    <row r="103" spans="1:12" s="1199" customFormat="1" ht="21.3">
      <c r="A103" s="1564"/>
      <c r="B103" s="1565" t="s">
        <v>1716</v>
      </c>
      <c r="C103" s="1533"/>
      <c r="D103" s="1534"/>
      <c r="E103" s="1566">
        <v>109</v>
      </c>
      <c r="F103" s="1567" t="s">
        <v>226</v>
      </c>
      <c r="G103" s="1516">
        <v>385</v>
      </c>
      <c r="H103" s="1264">
        <f>ROUND(E103*G103,)</f>
        <v>41965</v>
      </c>
      <c r="I103" s="1265">
        <v>145</v>
      </c>
      <c r="J103" s="1264">
        <f>ROUND(I103*E103,)</f>
        <v>15805</v>
      </c>
      <c r="K103" s="1273">
        <f>H103+J103</f>
        <v>57770</v>
      </c>
      <c r="L103" s="2082" t="s">
        <v>2667</v>
      </c>
    </row>
    <row r="104" spans="1:12" s="1199" customFormat="1" ht="21.3">
      <c r="A104" s="1564"/>
      <c r="B104" s="1565" t="s">
        <v>1759</v>
      </c>
      <c r="C104" s="1533"/>
      <c r="D104" s="1534"/>
      <c r="E104" s="1566">
        <v>13</v>
      </c>
      <c r="F104" s="1567" t="s">
        <v>226</v>
      </c>
      <c r="G104" s="1516">
        <v>561</v>
      </c>
      <c r="H104" s="1264">
        <f t="shared" ref="H104" si="16">ROUND(E104*G104,)</f>
        <v>7293</v>
      </c>
      <c r="I104" s="1265">
        <v>200</v>
      </c>
      <c r="J104" s="1264">
        <f t="shared" ref="J104" si="17">ROUND(I104*E104,)</f>
        <v>2600</v>
      </c>
      <c r="K104" s="1273">
        <f t="shared" ref="K104" si="18">H104+J104</f>
        <v>9893</v>
      </c>
      <c r="L104" s="2082" t="s">
        <v>2667</v>
      </c>
    </row>
    <row r="105" spans="1:12" s="1199" customFormat="1" ht="21.3">
      <c r="A105" s="1564"/>
      <c r="B105" s="1565" t="s">
        <v>1754</v>
      </c>
      <c r="C105" s="1533"/>
      <c r="D105" s="1534"/>
      <c r="E105" s="1566">
        <v>67</v>
      </c>
      <c r="F105" s="1567" t="s">
        <v>226</v>
      </c>
      <c r="G105" s="1516">
        <v>905</v>
      </c>
      <c r="H105" s="1264">
        <f>ROUND(E105*G105,)</f>
        <v>60635</v>
      </c>
      <c r="I105" s="1265">
        <v>330</v>
      </c>
      <c r="J105" s="1264">
        <f>ROUND(I105*E105,)</f>
        <v>22110</v>
      </c>
      <c r="K105" s="1273">
        <f>H105+J105</f>
        <v>82745</v>
      </c>
      <c r="L105" s="2082"/>
    </row>
    <row r="106" spans="1:12" s="1199" customFormat="1" ht="21.3">
      <c r="A106" s="1564"/>
      <c r="B106" s="1565" t="s">
        <v>1755</v>
      </c>
      <c r="C106" s="1533"/>
      <c r="D106" s="1534"/>
      <c r="E106" s="1566">
        <v>362</v>
      </c>
      <c r="F106" s="1567" t="s">
        <v>226</v>
      </c>
      <c r="G106" s="1516">
        <v>1744</v>
      </c>
      <c r="H106" s="1264">
        <f>ROUND(E106*G106,)</f>
        <v>631328</v>
      </c>
      <c r="I106" s="1265">
        <v>440</v>
      </c>
      <c r="J106" s="1264">
        <f>ROUND(I106*E106,)</f>
        <v>159280</v>
      </c>
      <c r="K106" s="1273">
        <f>H106+J106</f>
        <v>790608</v>
      </c>
      <c r="L106" s="1635"/>
    </row>
    <row r="107" spans="1:12" s="1199" customFormat="1" ht="21.3">
      <c r="A107" s="1564"/>
      <c r="B107" s="1565" t="s">
        <v>1719</v>
      </c>
      <c r="C107" s="1533"/>
      <c r="D107" s="1534"/>
      <c r="E107" s="1566">
        <v>1</v>
      </c>
      <c r="F107" s="1567" t="s">
        <v>1104</v>
      </c>
      <c r="G107" s="1516">
        <f>ROUND(SUM(H104:H106)*40%,)</f>
        <v>279702</v>
      </c>
      <c r="H107" s="1264">
        <f>ROUND(E107*G107,)</f>
        <v>279702</v>
      </c>
      <c r="I107" s="1595">
        <f>ROUND(G107*0.3,)</f>
        <v>83911</v>
      </c>
      <c r="J107" s="1264">
        <f>ROUND(I107*E107,)</f>
        <v>83911</v>
      </c>
      <c r="K107" s="1273">
        <f>H107+J107</f>
        <v>363613</v>
      </c>
      <c r="L107" s="1635"/>
    </row>
    <row r="108" spans="1:12" s="1199" customFormat="1" ht="21.3">
      <c r="A108" s="1564"/>
      <c r="B108" s="1565" t="s">
        <v>1720</v>
      </c>
      <c r="C108" s="1533"/>
      <c r="D108" s="1534"/>
      <c r="E108" s="1566">
        <v>1</v>
      </c>
      <c r="F108" s="1567" t="s">
        <v>1104</v>
      </c>
      <c r="G108" s="1516">
        <f>ROUND(SUM(H104:H106)*20%,)</f>
        <v>139851</v>
      </c>
      <c r="H108" s="1264">
        <f>ROUND(E108*G108,)</f>
        <v>139851</v>
      </c>
      <c r="I108" s="1595">
        <f>ROUND(G108*0.3,)</f>
        <v>41955</v>
      </c>
      <c r="J108" s="1264">
        <f>ROUND(I108*E108,)</f>
        <v>41955</v>
      </c>
      <c r="K108" s="1273">
        <f>H108+J108</f>
        <v>181806</v>
      </c>
      <c r="L108" s="1640"/>
    </row>
    <row r="109" spans="1:12" s="1199" customFormat="1" ht="21.3">
      <c r="A109" s="1564"/>
      <c r="B109" s="1565" t="s">
        <v>1756</v>
      </c>
      <c r="C109" s="1533"/>
      <c r="D109" s="1534"/>
      <c r="E109" s="1566">
        <v>1</v>
      </c>
      <c r="F109" s="1567" t="s">
        <v>1104</v>
      </c>
      <c r="G109" s="1516">
        <f>ROUND(SUM(H104:H106)*10%,)</f>
        <v>69926</v>
      </c>
      <c r="H109" s="1264">
        <f>ROUND(E109*G109,)</f>
        <v>69926</v>
      </c>
      <c r="I109" s="1595">
        <f>ROUND(G109*0.3,)</f>
        <v>20978</v>
      </c>
      <c r="J109" s="1264">
        <f>ROUND(I109*E109,)</f>
        <v>20978</v>
      </c>
      <c r="K109" s="1273">
        <f>H109+J109</f>
        <v>90904</v>
      </c>
      <c r="L109" s="1635"/>
    </row>
    <row r="110" spans="1:12" s="1199" customFormat="1" ht="21.3">
      <c r="A110" s="1564"/>
      <c r="B110" s="1565"/>
      <c r="C110" s="1533"/>
      <c r="D110" s="1534"/>
      <c r="E110" s="1566"/>
      <c r="F110" s="1567"/>
      <c r="G110" s="1516"/>
      <c r="H110" s="1264"/>
      <c r="I110" s="1595"/>
      <c r="J110" s="1264"/>
      <c r="K110" s="1273"/>
      <c r="L110" s="1635"/>
    </row>
    <row r="111" spans="1:12" s="1199" customFormat="1" ht="21.3">
      <c r="A111" s="1564" t="s">
        <v>1777</v>
      </c>
      <c r="B111" s="1565" t="s">
        <v>1833</v>
      </c>
      <c r="C111" s="1533"/>
      <c r="D111" s="1534"/>
      <c r="E111" s="1566"/>
      <c r="F111" s="1567"/>
      <c r="G111" s="1516"/>
      <c r="H111" s="1264"/>
      <c r="I111" s="1265"/>
      <c r="J111" s="1264"/>
      <c r="K111" s="1273"/>
      <c r="L111" s="1635"/>
    </row>
    <row r="112" spans="1:12" s="1199" customFormat="1" ht="21.3">
      <c r="A112" s="1564"/>
      <c r="B112" s="1565" t="s">
        <v>1759</v>
      </c>
      <c r="C112" s="1533"/>
      <c r="D112" s="1534"/>
      <c r="E112" s="1566">
        <v>3</v>
      </c>
      <c r="F112" s="1567" t="s">
        <v>363</v>
      </c>
      <c r="G112" s="1516">
        <v>648</v>
      </c>
      <c r="H112" s="1264">
        <f>ROUND(E112*G112,)</f>
        <v>1944</v>
      </c>
      <c r="I112" s="1265">
        <v>400</v>
      </c>
      <c r="J112" s="1264">
        <f>ROUND(I112*E112,)</f>
        <v>1200</v>
      </c>
      <c r="K112" s="1273">
        <f>H112+J112</f>
        <v>3144</v>
      </c>
      <c r="L112" s="1635"/>
    </row>
    <row r="113" spans="1:12">
      <c r="A113" s="1564" t="s">
        <v>1779</v>
      </c>
      <c r="B113" s="1597" t="s">
        <v>1832</v>
      </c>
      <c r="C113" s="1533"/>
      <c r="D113" s="1534"/>
      <c r="E113" s="1566"/>
      <c r="F113" s="1567"/>
      <c r="G113" s="1516"/>
      <c r="H113" s="1264"/>
      <c r="I113" s="1265"/>
      <c r="J113" s="1264"/>
      <c r="K113" s="1273"/>
      <c r="L113" s="1639"/>
    </row>
    <row r="114" spans="1:12" s="1199" customFormat="1" ht="21.3">
      <c r="A114" s="1564"/>
      <c r="B114" s="1597" t="s">
        <v>1340</v>
      </c>
      <c r="C114" s="1533"/>
      <c r="D114" s="1534"/>
      <c r="E114" s="1566">
        <v>6</v>
      </c>
      <c r="F114" s="1567" t="s">
        <v>363</v>
      </c>
      <c r="G114" s="1516">
        <f>ROUND(665*0.7,)</f>
        <v>466</v>
      </c>
      <c r="H114" s="1264">
        <f>ROUND(E114*G114,)</f>
        <v>2796</v>
      </c>
      <c r="I114" s="1265">
        <v>200</v>
      </c>
      <c r="J114" s="1264">
        <f>ROUND(I114*E114,)</f>
        <v>1200</v>
      </c>
      <c r="K114" s="1273">
        <f>H114+J114</f>
        <v>3996</v>
      </c>
      <c r="L114" s="1639"/>
    </row>
    <row r="115" spans="1:12" s="1199" customFormat="1" ht="21.3">
      <c r="A115" s="1578"/>
      <c r="B115" s="2257" t="str">
        <f>"รวมราคารายการที่ "&amp;A94</f>
        <v>รวมราคารายการที่ 5.3</v>
      </c>
      <c r="C115" s="2258"/>
      <c r="D115" s="2259"/>
      <c r="E115" s="1579"/>
      <c r="F115" s="1579"/>
      <c r="G115" s="1580"/>
      <c r="H115" s="1581">
        <f>SUM(H95:H114)</f>
        <v>2124817</v>
      </c>
      <c r="I115" s="1582"/>
      <c r="J115" s="1581">
        <f>SUM(J95:J114)</f>
        <v>655764</v>
      </c>
      <c r="K115" s="1583">
        <f>SUM(K95:K114)</f>
        <v>2780581</v>
      </c>
      <c r="L115" s="1630"/>
    </row>
    <row r="116" spans="1:12" s="1199" customFormat="1" ht="21.3">
      <c r="A116" s="1620" t="s">
        <v>1789</v>
      </c>
      <c r="B116" s="1621" t="s">
        <v>1842</v>
      </c>
      <c r="C116" s="1622"/>
      <c r="D116" s="1623"/>
      <c r="E116" s="1624"/>
      <c r="F116" s="1625"/>
      <c r="G116" s="1357"/>
      <c r="H116" s="1298"/>
      <c r="I116" s="1299"/>
      <c r="J116" s="1298"/>
      <c r="K116" s="1382"/>
      <c r="L116" s="1382"/>
    </row>
    <row r="117" spans="1:12" s="1199" customFormat="1" ht="21.3">
      <c r="A117" s="1564" t="s">
        <v>1791</v>
      </c>
      <c r="B117" s="1573" t="s">
        <v>1792</v>
      </c>
      <c r="C117" s="1533"/>
      <c r="D117" s="1534"/>
      <c r="E117" s="1566"/>
      <c r="F117" s="1567"/>
      <c r="G117" s="1593"/>
      <c r="H117" s="1264"/>
      <c r="I117" s="1595"/>
      <c r="J117" s="1264"/>
      <c r="K117" s="1265"/>
      <c r="L117" s="1596"/>
    </row>
    <row r="118" spans="1:12" s="1199" customFormat="1" ht="21.3">
      <c r="A118" s="1564"/>
      <c r="B118" s="1565" t="s">
        <v>1716</v>
      </c>
      <c r="C118" s="1533"/>
      <c r="D118" s="1534"/>
      <c r="E118" s="1566">
        <v>185</v>
      </c>
      <c r="F118" s="1567" t="s">
        <v>226</v>
      </c>
      <c r="G118" s="1593">
        <v>836</v>
      </c>
      <c r="H118" s="1264">
        <f>ROUND(E118*G118,)</f>
        <v>154660</v>
      </c>
      <c r="I118" s="1595">
        <v>175</v>
      </c>
      <c r="J118" s="1264">
        <f>ROUND(E118*I118,)</f>
        <v>32375</v>
      </c>
      <c r="K118" s="1265">
        <f>H118+J118</f>
        <v>187035</v>
      </c>
      <c r="L118" s="1596"/>
    </row>
    <row r="119" spans="1:12" s="1199" customFormat="1" ht="21.3">
      <c r="A119" s="1564"/>
      <c r="B119" s="1565" t="s">
        <v>1719</v>
      </c>
      <c r="C119" s="1533"/>
      <c r="D119" s="1534"/>
      <c r="E119" s="1566">
        <v>1</v>
      </c>
      <c r="F119" s="1567" t="s">
        <v>1104</v>
      </c>
      <c r="G119" s="1593">
        <f>SUM(H118)*50%</f>
        <v>77330</v>
      </c>
      <c r="H119" s="1264">
        <f>ROUND(E119*G119,)</f>
        <v>77330</v>
      </c>
      <c r="I119" s="1595">
        <f>ROUND(G119*0.3,)</f>
        <v>23199</v>
      </c>
      <c r="J119" s="1264">
        <f>ROUND(E119*I119,)</f>
        <v>23199</v>
      </c>
      <c r="K119" s="1265">
        <f>H119+J119</f>
        <v>100529</v>
      </c>
      <c r="L119" s="1596"/>
    </row>
    <row r="120" spans="1:12" s="1199" customFormat="1" ht="21.3">
      <c r="A120" s="1564"/>
      <c r="B120" s="1565" t="s">
        <v>1720</v>
      </c>
      <c r="C120" s="1533"/>
      <c r="D120" s="1534"/>
      <c r="E120" s="1566">
        <v>1</v>
      </c>
      <c r="F120" s="1567" t="s">
        <v>1104</v>
      </c>
      <c r="G120" s="1593">
        <f>SUM(H118)*20%</f>
        <v>30932</v>
      </c>
      <c r="H120" s="1264">
        <f>ROUND(E120*G120,)</f>
        <v>30932</v>
      </c>
      <c r="I120" s="1595">
        <f>ROUND(G120*0.3,)</f>
        <v>9280</v>
      </c>
      <c r="J120" s="1264">
        <f>ROUND(E120*I120,)</f>
        <v>9280</v>
      </c>
      <c r="K120" s="1265">
        <f>H120+J120</f>
        <v>40212</v>
      </c>
      <c r="L120" s="1596"/>
    </row>
    <row r="121" spans="1:12">
      <c r="A121" s="1564"/>
      <c r="B121" s="1565" t="s">
        <v>1721</v>
      </c>
      <c r="C121" s="1533"/>
      <c r="D121" s="1534"/>
      <c r="E121" s="1566">
        <v>1</v>
      </c>
      <c r="F121" s="1567" t="s">
        <v>1104</v>
      </c>
      <c r="G121" s="1593">
        <f>SUM(H118)*10%</f>
        <v>15466</v>
      </c>
      <c r="H121" s="1264">
        <f>ROUND(E121*G121,)</f>
        <v>15466</v>
      </c>
      <c r="I121" s="1595">
        <f>ROUND(G121*0.3,)</f>
        <v>4640</v>
      </c>
      <c r="J121" s="1264">
        <f>ROUND(E121*I121,)</f>
        <v>4640</v>
      </c>
      <c r="K121" s="1265">
        <f>H121+J121</f>
        <v>20106</v>
      </c>
      <c r="L121" s="1596"/>
    </row>
    <row r="122" spans="1:12">
      <c r="A122" s="1564"/>
      <c r="B122" s="1565"/>
      <c r="C122" s="1533"/>
      <c r="D122" s="1534"/>
      <c r="E122" s="1566"/>
      <c r="F122" s="1567"/>
      <c r="G122" s="1587"/>
      <c r="H122" s="1264"/>
      <c r="I122" s="1589"/>
      <c r="J122" s="1264"/>
      <c r="K122" s="1265"/>
      <c r="L122" s="1596"/>
    </row>
    <row r="123" spans="1:12">
      <c r="A123" s="1564"/>
      <c r="B123" s="1565"/>
      <c r="C123" s="1533"/>
      <c r="D123" s="1534"/>
      <c r="E123" s="1566"/>
      <c r="F123" s="1567"/>
      <c r="G123" s="1587"/>
      <c r="H123" s="1264"/>
      <c r="I123" s="1589"/>
      <c r="J123" s="1264"/>
      <c r="K123" s="1265"/>
      <c r="L123" s="1596"/>
    </row>
    <row r="124" spans="1:12">
      <c r="A124" s="1564"/>
      <c r="B124" s="1565"/>
      <c r="C124" s="1533"/>
      <c r="D124" s="1534"/>
      <c r="E124" s="1566"/>
      <c r="F124" s="1567"/>
      <c r="G124" s="1587"/>
      <c r="H124" s="1264"/>
      <c r="I124" s="1589"/>
      <c r="J124" s="1264"/>
      <c r="K124" s="1265"/>
      <c r="L124" s="1596"/>
    </row>
    <row r="125" spans="1:12">
      <c r="A125" s="1564"/>
      <c r="B125" s="1565"/>
      <c r="C125" s="1533"/>
      <c r="D125" s="1534"/>
      <c r="E125" s="1566"/>
      <c r="F125" s="1567"/>
      <c r="G125" s="1587"/>
      <c r="H125" s="1264"/>
      <c r="I125" s="1589"/>
      <c r="J125" s="1264"/>
      <c r="K125" s="1265"/>
      <c r="L125" s="1596"/>
    </row>
    <row r="126" spans="1:12">
      <c r="A126" s="1564"/>
      <c r="B126" s="1565"/>
      <c r="C126" s="1533"/>
      <c r="D126" s="1534"/>
      <c r="E126" s="1566"/>
      <c r="F126" s="1567"/>
      <c r="G126" s="1587"/>
      <c r="H126" s="1264"/>
      <c r="I126" s="1589"/>
      <c r="J126" s="1264"/>
      <c r="K126" s="1265"/>
      <c r="L126" s="1596"/>
    </row>
    <row r="127" spans="1:12">
      <c r="A127" s="1564"/>
      <c r="B127" s="1565"/>
      <c r="C127" s="1533"/>
      <c r="D127" s="1534"/>
      <c r="E127" s="1566"/>
      <c r="F127" s="1567"/>
      <c r="G127" s="1587"/>
      <c r="H127" s="1264"/>
      <c r="I127" s="1589"/>
      <c r="J127" s="1264"/>
      <c r="K127" s="1265"/>
      <c r="L127" s="1596"/>
    </row>
    <row r="128" spans="1:12">
      <c r="A128" s="1564"/>
      <c r="B128" s="1565"/>
      <c r="C128" s="1533"/>
      <c r="D128" s="1534"/>
      <c r="E128" s="1566"/>
      <c r="F128" s="1567"/>
      <c r="G128" s="1587"/>
      <c r="H128" s="1264"/>
      <c r="I128" s="1589"/>
      <c r="J128" s="1264"/>
      <c r="K128" s="1265"/>
      <c r="L128" s="1596"/>
    </row>
    <row r="129" spans="1:12">
      <c r="A129" s="1564"/>
      <c r="B129" s="1565"/>
      <c r="C129" s="1533"/>
      <c r="D129" s="1534"/>
      <c r="E129" s="1566"/>
      <c r="F129" s="1567"/>
      <c r="G129" s="1587"/>
      <c r="H129" s="1264"/>
      <c r="I129" s="1589"/>
      <c r="J129" s="1264"/>
      <c r="K129" s="1265"/>
      <c r="L129" s="1596"/>
    </row>
    <row r="130" spans="1:12">
      <c r="A130" s="1564"/>
      <c r="B130" s="1565"/>
      <c r="C130" s="1533"/>
      <c r="D130" s="1534"/>
      <c r="E130" s="1566"/>
      <c r="F130" s="1567"/>
      <c r="G130" s="1587"/>
      <c r="H130" s="1264"/>
      <c r="I130" s="1589"/>
      <c r="J130" s="1264"/>
      <c r="K130" s="1265"/>
      <c r="L130" s="1596"/>
    </row>
    <row r="131" spans="1:12">
      <c r="A131" s="1564"/>
      <c r="B131" s="1565"/>
      <c r="C131" s="1533"/>
      <c r="D131" s="1534"/>
      <c r="E131" s="1566"/>
      <c r="F131" s="1567"/>
      <c r="G131" s="1587"/>
      <c r="H131" s="1264"/>
      <c r="I131" s="1589"/>
      <c r="J131" s="1264"/>
      <c r="K131" s="1265"/>
      <c r="L131" s="1596"/>
    </row>
    <row r="132" spans="1:12">
      <c r="A132" s="1564"/>
      <c r="B132" s="1565"/>
      <c r="C132" s="1533"/>
      <c r="D132" s="1534"/>
      <c r="E132" s="1566"/>
      <c r="F132" s="1567"/>
      <c r="G132" s="1587"/>
      <c r="H132" s="1264"/>
      <c r="I132" s="1589"/>
      <c r="J132" s="1264"/>
      <c r="K132" s="1265"/>
      <c r="L132" s="1596"/>
    </row>
    <row r="133" spans="1:12">
      <c r="A133" s="1564"/>
      <c r="B133" s="1565"/>
      <c r="C133" s="1533"/>
      <c r="D133" s="1534"/>
      <c r="E133" s="1566"/>
      <c r="F133" s="1567"/>
      <c r="G133" s="1587"/>
      <c r="H133" s="1264"/>
      <c r="I133" s="1589"/>
      <c r="J133" s="1264"/>
      <c r="K133" s="1265"/>
      <c r="L133" s="1596"/>
    </row>
    <row r="134" spans="1:12">
      <c r="A134" s="1564"/>
      <c r="B134" s="1565"/>
      <c r="C134" s="1533"/>
      <c r="D134" s="1534"/>
      <c r="E134" s="1566"/>
      <c r="F134" s="1567"/>
      <c r="G134" s="1587"/>
      <c r="H134" s="1264"/>
      <c r="I134" s="1589"/>
      <c r="J134" s="1264"/>
      <c r="K134" s="1265"/>
      <c r="L134" s="1596"/>
    </row>
    <row r="135" spans="1:12">
      <c r="A135" s="1578"/>
      <c r="B135" s="2257" t="str">
        <f>"รวมราคารายการที่ "&amp;A116</f>
        <v>รวมราคารายการที่ 5.4</v>
      </c>
      <c r="C135" s="2258"/>
      <c r="D135" s="2259"/>
      <c r="E135" s="1579"/>
      <c r="F135" s="1579"/>
      <c r="G135" s="1580"/>
      <c r="H135" s="1581">
        <f>SUM(H118:H134)</f>
        <v>278388</v>
      </c>
      <c r="I135" s="1582"/>
      <c r="J135" s="1581">
        <f>SUM(J118:J134)</f>
        <v>69494</v>
      </c>
      <c r="K135" s="1583">
        <f>SUM(K118:K134)</f>
        <v>347882</v>
      </c>
      <c r="L135" s="1583"/>
    </row>
  </sheetData>
  <mergeCells count="13"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65:D65"/>
    <mergeCell ref="B93:D93"/>
    <mergeCell ref="B115:D115"/>
    <mergeCell ref="B135:D135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1-อาคารด้านทิศตะวันตก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A1F2F-5D2F-4DC5-AC83-246B367A57D3}">
  <sheetPr>
    <tabColor rgb="FF92D050"/>
  </sheetPr>
  <dimension ref="A1:O131"/>
  <sheetViews>
    <sheetView showGridLines="0" view="pageBreakPreview" topLeftCell="A92" zoomScale="85" zoomScaleNormal="60" zoomScaleSheetLayoutView="85" workbookViewId="0">
      <selection activeCell="D117" sqref="D117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" style="1" customWidth="1"/>
    <col min="13" max="13" width="10.5859375" style="1" customWidth="1"/>
    <col min="14" max="14" width="9" style="1" bestFit="1" customWidth="1"/>
    <col min="15" max="91" width="7.703125" style="1" customWidth="1"/>
    <col min="92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1843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627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H66</f>
        <v>169706</v>
      </c>
      <c r="I13" s="1197"/>
      <c r="J13" s="1196">
        <f>J66</f>
        <v>52065</v>
      </c>
      <c r="K13" s="1553">
        <f>SUM(H13:J13)</f>
        <v>221771</v>
      </c>
      <c r="L13" s="1627"/>
    </row>
    <row r="14" spans="1:12" s="1199" customFormat="1" ht="24" customHeight="1">
      <c r="A14" s="1572" t="str">
        <f>A67</f>
        <v>5.2</v>
      </c>
      <c r="B14" s="1573" t="str">
        <f>B67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H97</f>
        <v>231636</v>
      </c>
      <c r="I14" s="1230"/>
      <c r="J14" s="1229">
        <f>J97</f>
        <v>82911</v>
      </c>
      <c r="K14" s="1553">
        <f>SUM(H14:J14)</f>
        <v>314547</v>
      </c>
      <c r="L14" s="1628"/>
    </row>
    <row r="15" spans="1:12" s="1199" customFormat="1" ht="24" customHeight="1">
      <c r="A15" s="1572">
        <f>A98</f>
        <v>5.3</v>
      </c>
      <c r="B15" s="1573" t="str">
        <f>B98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85918</v>
      </c>
      <c r="I15" s="1230"/>
      <c r="J15" s="1229">
        <f>J109</f>
        <v>29883</v>
      </c>
      <c r="K15" s="1553">
        <f>SUM(H15:J15)</f>
        <v>115801</v>
      </c>
      <c r="L15" s="1628"/>
    </row>
    <row r="16" spans="1:12" s="1199" customFormat="1" ht="24" customHeight="1">
      <c r="A16" s="1564"/>
      <c r="B16" s="1565"/>
      <c r="C16" s="1533"/>
      <c r="D16" s="1534"/>
      <c r="E16" s="1569"/>
      <c r="F16" s="1567"/>
      <c r="G16" s="1195"/>
      <c r="H16" s="1196"/>
      <c r="I16" s="1197"/>
      <c r="J16" s="1196"/>
      <c r="K16" s="1553"/>
      <c r="L16" s="1627"/>
    </row>
    <row r="17" spans="1:12" s="1199" customFormat="1" ht="24" customHeight="1">
      <c r="A17" s="1564"/>
      <c r="B17" s="1565"/>
      <c r="C17" s="1533"/>
      <c r="D17" s="1534"/>
      <c r="E17" s="1569"/>
      <c r="F17" s="1567"/>
      <c r="G17" s="1195"/>
      <c r="H17" s="1196"/>
      <c r="I17" s="1197"/>
      <c r="J17" s="1196"/>
      <c r="K17" s="1553"/>
      <c r="L17" s="1627"/>
    </row>
    <row r="18" spans="1:12" s="1199" customFormat="1" ht="24" customHeight="1">
      <c r="A18" s="1564"/>
      <c r="B18" s="1565"/>
      <c r="C18" s="1533"/>
      <c r="D18" s="1534"/>
      <c r="E18" s="1569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642"/>
      <c r="B19" s="1643"/>
      <c r="C19" s="1607"/>
      <c r="D19" s="1608"/>
      <c r="E19" s="1644"/>
      <c r="F19" s="1610"/>
      <c r="G19" s="1645"/>
      <c r="H19" s="1646"/>
      <c r="I19" s="1647"/>
      <c r="J19" s="1646"/>
      <c r="K19" s="1553"/>
      <c r="L19" s="1648"/>
    </row>
    <row r="20" spans="1:12" s="1199" customFormat="1" ht="24" customHeight="1">
      <c r="A20" s="1641"/>
      <c r="B20" s="1573"/>
      <c r="C20" s="1574"/>
      <c r="D20" s="1575"/>
      <c r="E20" s="1598"/>
      <c r="F20" s="1577"/>
      <c r="G20" s="1228"/>
      <c r="H20" s="1229"/>
      <c r="I20" s="1230"/>
      <c r="J20" s="1229"/>
      <c r="K20" s="1553"/>
      <c r="L20" s="1628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2</v>
      </c>
      <c r="C34" s="2258"/>
      <c r="D34" s="2259"/>
      <c r="E34" s="1579"/>
      <c r="F34" s="1579"/>
      <c r="G34" s="1580"/>
      <c r="H34" s="1581">
        <f>SUM(H12:H33)</f>
        <v>487260</v>
      </c>
      <c r="I34" s="1582"/>
      <c r="J34" s="1581">
        <f>SUM(J12:J33)</f>
        <v>164859</v>
      </c>
      <c r="K34" s="1583">
        <f>SUM(K12:K33)</f>
        <v>652119</v>
      </c>
      <c r="L34" s="1630"/>
      <c r="M34" s="1214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631"/>
      <c r="M35" s="1214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633"/>
      <c r="M36" s="1214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633"/>
      <c r="M37" s="1214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280</v>
      </c>
      <c r="F38" s="1567" t="s">
        <v>226</v>
      </c>
      <c r="G38" s="1593">
        <v>35</v>
      </c>
      <c r="H38" s="1264">
        <f t="shared" ref="H38:H46" si="0">ROUND(E38*G38,)</f>
        <v>9800</v>
      </c>
      <c r="I38" s="1595">
        <v>30</v>
      </c>
      <c r="J38" s="1264">
        <f t="shared" ref="J38:J46" si="1">ROUND(E38*I38,)</f>
        <v>8400</v>
      </c>
      <c r="K38" s="1265">
        <f t="shared" ref="K38:K46" si="2">H38+J38</f>
        <v>18200</v>
      </c>
      <c r="L38" s="1633"/>
      <c r="M38" s="1649"/>
      <c r="N38" s="1532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170</v>
      </c>
      <c r="F39" s="1567" t="s">
        <v>226</v>
      </c>
      <c r="G39" s="1593">
        <v>46</v>
      </c>
      <c r="H39" s="1264">
        <f t="shared" si="0"/>
        <v>7820</v>
      </c>
      <c r="I39" s="1595">
        <v>30</v>
      </c>
      <c r="J39" s="1264">
        <f t="shared" si="1"/>
        <v>5100</v>
      </c>
      <c r="K39" s="1265">
        <f t="shared" si="2"/>
        <v>12920</v>
      </c>
      <c r="L39" s="1633"/>
      <c r="M39" s="1649"/>
      <c r="N39" s="1532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13</v>
      </c>
      <c r="F40" s="1567" t="s">
        <v>226</v>
      </c>
      <c r="G40" s="1593">
        <v>113</v>
      </c>
      <c r="H40" s="1264">
        <f t="shared" si="0"/>
        <v>1469</v>
      </c>
      <c r="I40" s="1595">
        <v>50</v>
      </c>
      <c r="J40" s="1264">
        <f t="shared" si="1"/>
        <v>650</v>
      </c>
      <c r="K40" s="1265">
        <f t="shared" si="2"/>
        <v>2119</v>
      </c>
      <c r="L40" s="1633"/>
      <c r="M40" s="1649"/>
      <c r="N40" s="1532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26</v>
      </c>
      <c r="F41" s="1567" t="s">
        <v>226</v>
      </c>
      <c r="G41" s="1593">
        <v>193</v>
      </c>
      <c r="H41" s="1264">
        <f t="shared" si="0"/>
        <v>5018</v>
      </c>
      <c r="I41" s="1595">
        <v>75</v>
      </c>
      <c r="J41" s="1264">
        <f t="shared" si="1"/>
        <v>1950</v>
      </c>
      <c r="K41" s="1265">
        <f t="shared" si="2"/>
        <v>6968</v>
      </c>
      <c r="L41" s="1633"/>
      <c r="M41" s="1649"/>
      <c r="N41" s="1532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68</v>
      </c>
      <c r="F42" s="1567" t="s">
        <v>226</v>
      </c>
      <c r="G42" s="1593">
        <v>287</v>
      </c>
      <c r="H42" s="1264">
        <f t="shared" si="0"/>
        <v>19516</v>
      </c>
      <c r="I42" s="1595">
        <v>100</v>
      </c>
      <c r="J42" s="1264">
        <f t="shared" si="1"/>
        <v>6800</v>
      </c>
      <c r="K42" s="1265">
        <f t="shared" si="2"/>
        <v>26316</v>
      </c>
      <c r="L42" s="1633"/>
      <c r="M42" s="1649"/>
      <c r="N42" s="1532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30</v>
      </c>
      <c r="F43" s="1567" t="s">
        <v>226</v>
      </c>
      <c r="G43" s="1593">
        <v>562</v>
      </c>
      <c r="H43" s="1264">
        <f t="shared" si="0"/>
        <v>16860</v>
      </c>
      <c r="I43" s="1595">
        <v>120</v>
      </c>
      <c r="J43" s="1264">
        <f t="shared" si="1"/>
        <v>3600</v>
      </c>
      <c r="K43" s="1273">
        <f t="shared" si="2"/>
        <v>20460</v>
      </c>
      <c r="L43" s="1633"/>
      <c r="M43" s="1214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SUM(H38:H43)*50%</f>
        <v>30241.5</v>
      </c>
      <c r="H44" s="1264">
        <f t="shared" si="0"/>
        <v>30242</v>
      </c>
      <c r="I44" s="1595">
        <f>ROUND(G44*0.3,)</f>
        <v>9072</v>
      </c>
      <c r="J44" s="1264">
        <f t="shared" si="1"/>
        <v>9072</v>
      </c>
      <c r="K44" s="1265">
        <f t="shared" si="2"/>
        <v>39314</v>
      </c>
      <c r="L44" s="1633"/>
      <c r="M44" s="1214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ROUND(SUM(H38:H43)*20%,)</f>
        <v>12097</v>
      </c>
      <c r="H45" s="1264">
        <f t="shared" si="0"/>
        <v>12097</v>
      </c>
      <c r="I45" s="1595">
        <f>ROUND(G45*0.3,)</f>
        <v>3629</v>
      </c>
      <c r="J45" s="1264">
        <f t="shared" si="1"/>
        <v>3629</v>
      </c>
      <c r="K45" s="1265">
        <f t="shared" si="2"/>
        <v>15726</v>
      </c>
      <c r="L45" s="1633"/>
      <c r="M45" s="1214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ROUND(SUM(H38:H43)*10%,)</f>
        <v>6048</v>
      </c>
      <c r="H46" s="1264">
        <f t="shared" si="0"/>
        <v>6048</v>
      </c>
      <c r="I46" s="1595">
        <f>ROUND(G46*0.3,)</f>
        <v>1814</v>
      </c>
      <c r="J46" s="1264">
        <f t="shared" si="1"/>
        <v>1814</v>
      </c>
      <c r="K46" s="1265">
        <f t="shared" si="2"/>
        <v>7862</v>
      </c>
      <c r="L46" s="1633"/>
      <c r="M46" s="1214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633"/>
      <c r="M47" s="1214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2</v>
      </c>
      <c r="F48" s="1567" t="s">
        <v>363</v>
      </c>
      <c r="G48" s="1593">
        <v>880</v>
      </c>
      <c r="H48" s="1264">
        <f t="shared" ref="H48:H49" si="3">ROUND(E48*G48,)</f>
        <v>1760</v>
      </c>
      <c r="I48" s="1595">
        <v>150</v>
      </c>
      <c r="J48" s="1264">
        <f t="shared" ref="J48:J49" si="4">ROUND(E48*I48,)</f>
        <v>300</v>
      </c>
      <c r="K48" s="1265">
        <f t="shared" ref="K48:K49" si="5">H48+J48</f>
        <v>2060</v>
      </c>
      <c r="L48" s="2082" t="s">
        <v>2667</v>
      </c>
      <c r="M48" s="1214"/>
    </row>
    <row r="49" spans="1:13" s="1199" customFormat="1" ht="24" customHeight="1">
      <c r="A49" s="1572"/>
      <c r="B49" s="1597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  <c r="M49" s="1214"/>
    </row>
    <row r="50" spans="1:13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633"/>
      <c r="M50" s="1214"/>
    </row>
    <row r="51" spans="1:13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65">
        <f>H51+J51</f>
        <v>24460</v>
      </c>
      <c r="L51" s="1633"/>
      <c r="M51" s="1214"/>
    </row>
    <row r="52" spans="1:13" s="1199" customFormat="1" ht="24" customHeight="1">
      <c r="A52" s="1572"/>
      <c r="B52" s="1597" t="s">
        <v>1716</v>
      </c>
      <c r="C52" s="1533"/>
      <c r="D52" s="1534"/>
      <c r="E52" s="1566">
        <v>4</v>
      </c>
      <c r="F52" s="1567" t="s">
        <v>363</v>
      </c>
      <c r="G52" s="1593">
        <v>2218</v>
      </c>
      <c r="H52" s="1264">
        <f>ROUND(E52*G52,)</f>
        <v>8872</v>
      </c>
      <c r="I52" s="1595">
        <v>600</v>
      </c>
      <c r="J52" s="1264">
        <f>ROUND(E52*I52,)</f>
        <v>2400</v>
      </c>
      <c r="K52" s="1273">
        <f>H52+J52</f>
        <v>11272</v>
      </c>
      <c r="L52" s="1635"/>
      <c r="M52" s="1214"/>
    </row>
    <row r="53" spans="1:13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633"/>
      <c r="M53" s="1214"/>
    </row>
    <row r="54" spans="1:13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633"/>
    </row>
    <row r="55" spans="1:13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633"/>
    </row>
    <row r="56" spans="1:13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633"/>
    </row>
    <row r="57" spans="1:13" s="1199" customFormat="1" ht="24" customHeight="1">
      <c r="A57" s="1564"/>
      <c r="B57" s="1565" t="s">
        <v>1823</v>
      </c>
      <c r="C57" s="1533"/>
      <c r="D57" s="1534"/>
      <c r="E57" s="1566">
        <v>10</v>
      </c>
      <c r="F57" s="1567" t="s">
        <v>363</v>
      </c>
      <c r="G57" s="1603">
        <v>210</v>
      </c>
      <c r="H57" s="1264">
        <f>ROUND(E57*G57,)</f>
        <v>2100</v>
      </c>
      <c r="I57" s="1595">
        <v>100</v>
      </c>
      <c r="J57" s="1264">
        <f>ROUND(E57*I57,)</f>
        <v>1000</v>
      </c>
      <c r="K57" s="1265">
        <f>H57+J57</f>
        <v>3100</v>
      </c>
      <c r="L57" s="1633"/>
    </row>
    <row r="58" spans="1:13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633"/>
    </row>
    <row r="59" spans="1:13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633"/>
    </row>
    <row r="60" spans="1:13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633"/>
      <c r="M60" s="1214"/>
    </row>
    <row r="61" spans="1:13" s="1199" customFormat="1" ht="24" customHeight="1">
      <c r="A61" s="1564"/>
      <c r="B61" s="1597" t="s">
        <v>1823</v>
      </c>
      <c r="C61" s="1533"/>
      <c r="D61" s="1534"/>
      <c r="E61" s="1566">
        <v>6</v>
      </c>
      <c r="F61" s="1567" t="s">
        <v>363</v>
      </c>
      <c r="G61" s="1593">
        <v>120</v>
      </c>
      <c r="H61" s="1264">
        <f>ROUND(E61*G61,)</f>
        <v>720</v>
      </c>
      <c r="I61" s="1595">
        <v>50</v>
      </c>
      <c r="J61" s="1264">
        <f>ROUND(I61*E61,)</f>
        <v>300</v>
      </c>
      <c r="K61" s="1273">
        <f>H61+J61</f>
        <v>1020</v>
      </c>
      <c r="L61" s="1633"/>
      <c r="M61" s="1214"/>
    </row>
    <row r="62" spans="1:13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633"/>
      <c r="M62" s="1214"/>
    </row>
    <row r="63" spans="1:13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633"/>
    </row>
    <row r="64" spans="1:13" s="1199" customFormat="1" ht="24" customHeight="1">
      <c r="A64" s="1564"/>
      <c r="B64" s="1597"/>
      <c r="C64" s="1533"/>
      <c r="D64" s="1604"/>
      <c r="E64" s="1566"/>
      <c r="F64" s="1534"/>
      <c r="G64" s="1593"/>
      <c r="H64" s="1264"/>
      <c r="I64" s="1595"/>
      <c r="J64" s="1264"/>
      <c r="K64" s="1265"/>
      <c r="L64" s="1631"/>
    </row>
    <row r="65" spans="1:15" s="1199" customFormat="1" ht="24" customHeight="1">
      <c r="A65" s="1189"/>
      <c r="B65" s="1650"/>
      <c r="C65" s="1275"/>
      <c r="D65" s="1275"/>
      <c r="E65" s="1651"/>
      <c r="F65" s="1385"/>
      <c r="G65" s="1593"/>
      <c r="H65" s="1264"/>
      <c r="I65" s="1595"/>
      <c r="J65" s="1264"/>
      <c r="K65" s="1265"/>
      <c r="L65" s="1631"/>
      <c r="M65" s="1363"/>
      <c r="N65" s="1532"/>
    </row>
    <row r="66" spans="1:15" s="1199" customFormat="1" ht="24" customHeight="1">
      <c r="A66" s="1578"/>
      <c r="B66" s="2257" t="str">
        <f>"รวมราคารายการที่ "&amp;A36</f>
        <v>รวมราคารายการที่ 5.1</v>
      </c>
      <c r="C66" s="2258"/>
      <c r="D66" s="2259"/>
      <c r="E66" s="1579"/>
      <c r="F66" s="1579"/>
      <c r="G66" s="1580"/>
      <c r="H66" s="1581">
        <f>SUM(H37:H65)</f>
        <v>169706</v>
      </c>
      <c r="I66" s="1582"/>
      <c r="J66" s="1581">
        <f>SUM(J36:J65)</f>
        <v>52065</v>
      </c>
      <c r="K66" s="1583">
        <f>SUM(K36:K65)</f>
        <v>221771</v>
      </c>
      <c r="L66" s="1630"/>
      <c r="M66" s="1363"/>
      <c r="N66" s="1532"/>
    </row>
    <row r="67" spans="1:15" s="1199" customFormat="1" ht="24" customHeight="1">
      <c r="A67" s="1605" t="s">
        <v>1744</v>
      </c>
      <c r="B67" s="1606" t="s">
        <v>1745</v>
      </c>
      <c r="C67" s="1607"/>
      <c r="D67" s="1608"/>
      <c r="E67" s="1609"/>
      <c r="F67" s="1610"/>
      <c r="G67" s="1611"/>
      <c r="H67" s="1612"/>
      <c r="I67" s="1613"/>
      <c r="J67" s="1612"/>
      <c r="K67" s="1614"/>
      <c r="L67" s="1634"/>
      <c r="M67" s="1363"/>
      <c r="N67" s="1532"/>
    </row>
    <row r="68" spans="1:15" s="1199" customFormat="1" ht="24" customHeight="1">
      <c r="A68" s="1564" t="s">
        <v>1746</v>
      </c>
      <c r="B68" s="1597" t="s">
        <v>1839</v>
      </c>
      <c r="C68" s="1533"/>
      <c r="D68" s="1534"/>
      <c r="E68" s="1566"/>
      <c r="F68" s="1567"/>
      <c r="G68" s="1516"/>
      <c r="H68" s="1264"/>
      <c r="I68" s="1265"/>
      <c r="J68" s="1264"/>
      <c r="K68" s="1273"/>
      <c r="L68" s="1635"/>
      <c r="M68" s="1363"/>
      <c r="N68" s="1532"/>
    </row>
    <row r="69" spans="1:15" s="1199" customFormat="1" ht="24" customHeight="1">
      <c r="A69" s="1564"/>
      <c r="B69" s="1597" t="s">
        <v>1340</v>
      </c>
      <c r="C69" s="1533"/>
      <c r="D69" s="1534"/>
      <c r="E69" s="1566">
        <v>192</v>
      </c>
      <c r="F69" s="1567" t="s">
        <v>226</v>
      </c>
      <c r="G69" s="1516">
        <v>127</v>
      </c>
      <c r="H69" s="1264">
        <f t="shared" ref="H69:H75" si="6">ROUND(E69*G69,)</f>
        <v>24384</v>
      </c>
      <c r="I69" s="1265">
        <v>40</v>
      </c>
      <c r="J69" s="1264">
        <f t="shared" ref="J69:J75" si="7">ROUND(I69*E69,)</f>
        <v>7680</v>
      </c>
      <c r="K69" s="1273">
        <f t="shared" ref="K69:K75" si="8">H69+J69</f>
        <v>32064</v>
      </c>
      <c r="L69" s="1635"/>
      <c r="M69" s="1363"/>
    </row>
    <row r="70" spans="1:15" s="1199" customFormat="1" ht="24" customHeight="1">
      <c r="A70" s="1564"/>
      <c r="B70" s="1597" t="s">
        <v>1342</v>
      </c>
      <c r="C70" s="1533"/>
      <c r="D70" s="1534"/>
      <c r="E70" s="1566">
        <v>51</v>
      </c>
      <c r="F70" s="1567" t="s">
        <v>226</v>
      </c>
      <c r="G70" s="1516">
        <v>258</v>
      </c>
      <c r="H70" s="1264">
        <f t="shared" si="6"/>
        <v>13158</v>
      </c>
      <c r="I70" s="1265">
        <v>75</v>
      </c>
      <c r="J70" s="1264">
        <f t="shared" si="7"/>
        <v>3825</v>
      </c>
      <c r="K70" s="1273">
        <f t="shared" si="8"/>
        <v>16983</v>
      </c>
      <c r="L70" s="1635"/>
      <c r="M70" s="1363"/>
    </row>
    <row r="71" spans="1:15" s="1199" customFormat="1" ht="24" customHeight="1">
      <c r="A71" s="1564"/>
      <c r="B71" s="1597" t="s">
        <v>1759</v>
      </c>
      <c r="C71" s="1533"/>
      <c r="D71" s="1534"/>
      <c r="E71" s="1566">
        <v>116</v>
      </c>
      <c r="F71" s="1567" t="s">
        <v>226</v>
      </c>
      <c r="G71" s="1516">
        <v>395</v>
      </c>
      <c r="H71" s="1264">
        <f t="shared" si="6"/>
        <v>45820</v>
      </c>
      <c r="I71" s="1265">
        <v>120</v>
      </c>
      <c r="J71" s="1264">
        <f t="shared" si="7"/>
        <v>13920</v>
      </c>
      <c r="K71" s="1273">
        <f t="shared" si="8"/>
        <v>59740</v>
      </c>
      <c r="L71" s="1635"/>
    </row>
    <row r="72" spans="1:15" s="1199" customFormat="1" ht="24" customHeight="1">
      <c r="A72" s="1564"/>
      <c r="B72" s="1597" t="s">
        <v>1754</v>
      </c>
      <c r="C72" s="1533"/>
      <c r="D72" s="1534"/>
      <c r="E72" s="1566">
        <v>32</v>
      </c>
      <c r="F72" s="1567" t="s">
        <v>226</v>
      </c>
      <c r="G72" s="1516">
        <v>789</v>
      </c>
      <c r="H72" s="1264">
        <f t="shared" si="6"/>
        <v>25248</v>
      </c>
      <c r="I72" s="1265">
        <v>250</v>
      </c>
      <c r="J72" s="1264">
        <f t="shared" si="7"/>
        <v>8000</v>
      </c>
      <c r="K72" s="1273">
        <f t="shared" si="8"/>
        <v>33248</v>
      </c>
      <c r="L72" s="1635"/>
    </row>
    <row r="73" spans="1:15" s="1199" customFormat="1" ht="24" customHeight="1">
      <c r="A73" s="1564"/>
      <c r="B73" s="1597" t="s">
        <v>1719</v>
      </c>
      <c r="C73" s="1533"/>
      <c r="D73" s="1534"/>
      <c r="E73" s="1566">
        <v>1</v>
      </c>
      <c r="F73" s="1567" t="s">
        <v>1104</v>
      </c>
      <c r="G73" s="1516">
        <f>ROUND(SUM(H69:H72)*40%,)</f>
        <v>43444</v>
      </c>
      <c r="H73" s="1264">
        <f t="shared" si="6"/>
        <v>43444</v>
      </c>
      <c r="I73" s="1595">
        <f>ROUND(G73*0.3,)</f>
        <v>13033</v>
      </c>
      <c r="J73" s="1264">
        <f t="shared" si="7"/>
        <v>13033</v>
      </c>
      <c r="K73" s="1273">
        <f t="shared" si="8"/>
        <v>56477</v>
      </c>
      <c r="L73" s="1635"/>
      <c r="M73" s="1363"/>
      <c r="N73" s="1532"/>
    </row>
    <row r="74" spans="1:15" s="1199" customFormat="1" ht="24" customHeight="1">
      <c r="A74" s="1564"/>
      <c r="B74" s="1597" t="s">
        <v>1720</v>
      </c>
      <c r="C74" s="1533"/>
      <c r="D74" s="1534"/>
      <c r="E74" s="1566">
        <v>1</v>
      </c>
      <c r="F74" s="1567" t="s">
        <v>1104</v>
      </c>
      <c r="G74" s="1516">
        <f>ROUND(SUM(H69:H72)*20%,)</f>
        <v>21722</v>
      </c>
      <c r="H74" s="1264">
        <f t="shared" si="6"/>
        <v>21722</v>
      </c>
      <c r="I74" s="1595">
        <f>ROUND(G74*0.3,)</f>
        <v>6517</v>
      </c>
      <c r="J74" s="1264">
        <f t="shared" si="7"/>
        <v>6517</v>
      </c>
      <c r="K74" s="1273">
        <f t="shared" si="8"/>
        <v>28239</v>
      </c>
      <c r="L74" s="1635"/>
      <c r="M74" s="1363"/>
    </row>
    <row r="75" spans="1:15" s="1199" customFormat="1" ht="24" customHeight="1">
      <c r="A75" s="1564"/>
      <c r="B75" s="1597" t="s">
        <v>1756</v>
      </c>
      <c r="C75" s="1533"/>
      <c r="D75" s="1534"/>
      <c r="E75" s="1566">
        <v>1</v>
      </c>
      <c r="F75" s="1567" t="s">
        <v>1104</v>
      </c>
      <c r="G75" s="1516">
        <f>ROUND(SUM(H69:H72)*10%,)</f>
        <v>10861</v>
      </c>
      <c r="H75" s="1264">
        <f t="shared" si="6"/>
        <v>10861</v>
      </c>
      <c r="I75" s="1595">
        <f>ROUND(G75*0.3,)</f>
        <v>3258</v>
      </c>
      <c r="J75" s="1264">
        <f t="shared" si="7"/>
        <v>3258</v>
      </c>
      <c r="K75" s="1273">
        <f t="shared" si="8"/>
        <v>14119</v>
      </c>
      <c r="L75" s="1635"/>
      <c r="M75" s="1363"/>
      <c r="N75" s="1532"/>
    </row>
    <row r="76" spans="1:15" s="1199" customFormat="1" ht="24" customHeight="1">
      <c r="A76" s="1572" t="s">
        <v>1752</v>
      </c>
      <c r="B76" s="1597" t="s">
        <v>1831</v>
      </c>
      <c r="C76" s="1533"/>
      <c r="D76" s="1534"/>
      <c r="E76" s="1566"/>
      <c r="F76" s="1567"/>
      <c r="G76" s="1516"/>
      <c r="H76" s="1264"/>
      <c r="I76" s="1265"/>
      <c r="J76" s="1264"/>
      <c r="K76" s="1273"/>
      <c r="L76" s="1635"/>
      <c r="M76" s="1363"/>
    </row>
    <row r="77" spans="1:15" s="1199" customFormat="1" ht="24" customHeight="1">
      <c r="A77" s="1564"/>
      <c r="B77" s="1597" t="s">
        <v>1338</v>
      </c>
      <c r="C77" s="1533"/>
      <c r="D77" s="1534"/>
      <c r="E77" s="1566">
        <v>110</v>
      </c>
      <c r="F77" s="1567" t="s">
        <v>226</v>
      </c>
      <c r="G77" s="1516">
        <v>20</v>
      </c>
      <c r="H77" s="1264">
        <f t="shared" ref="H77:H84" si="9">ROUND(E77*G77,)</f>
        <v>2200</v>
      </c>
      <c r="I77" s="1265">
        <v>30</v>
      </c>
      <c r="J77" s="1264">
        <f t="shared" ref="J77:J84" si="10">ROUND(I77*E77,)</f>
        <v>3300</v>
      </c>
      <c r="K77" s="1273">
        <f t="shared" ref="K77:K84" si="11">H77+J77</f>
        <v>5500</v>
      </c>
      <c r="L77" s="2082" t="s">
        <v>2667</v>
      </c>
      <c r="N77" s="1199">
        <v>79.17</v>
      </c>
      <c r="O77" s="1199">
        <f>ROUND(N77/4,)</f>
        <v>20</v>
      </c>
    </row>
    <row r="78" spans="1:15" s="1199" customFormat="1" ht="24" customHeight="1">
      <c r="A78" s="1564"/>
      <c r="B78" s="1597" t="s">
        <v>1339</v>
      </c>
      <c r="C78" s="1533"/>
      <c r="D78" s="1534"/>
      <c r="E78" s="1566">
        <v>22</v>
      </c>
      <c r="F78" s="1567" t="s">
        <v>226</v>
      </c>
      <c r="G78" s="1516">
        <v>26</v>
      </c>
      <c r="H78" s="1264">
        <f t="shared" si="9"/>
        <v>572</v>
      </c>
      <c r="I78" s="1265">
        <v>30</v>
      </c>
      <c r="J78" s="1264">
        <f t="shared" si="10"/>
        <v>660</v>
      </c>
      <c r="K78" s="1273">
        <f t="shared" si="11"/>
        <v>1232</v>
      </c>
      <c r="L78" s="2082" t="s">
        <v>2667</v>
      </c>
      <c r="N78" s="1199">
        <v>103.74</v>
      </c>
      <c r="O78" s="1199">
        <f t="shared" ref="O78:O81" si="12">ROUND(N78/4,)</f>
        <v>26</v>
      </c>
    </row>
    <row r="79" spans="1:15" s="1199" customFormat="1" ht="24" customHeight="1">
      <c r="A79" s="1564"/>
      <c r="B79" s="1597" t="s">
        <v>1340</v>
      </c>
      <c r="C79" s="1533"/>
      <c r="D79" s="1534"/>
      <c r="E79" s="1566">
        <v>36</v>
      </c>
      <c r="F79" s="1567" t="s">
        <v>226</v>
      </c>
      <c r="G79" s="1516">
        <v>41</v>
      </c>
      <c r="H79" s="1264">
        <f t="shared" si="9"/>
        <v>1476</v>
      </c>
      <c r="I79" s="1265">
        <v>40</v>
      </c>
      <c r="J79" s="1264">
        <f t="shared" si="10"/>
        <v>1440</v>
      </c>
      <c r="K79" s="1273">
        <f t="shared" si="11"/>
        <v>2916</v>
      </c>
      <c r="L79" s="2082" t="s">
        <v>2667</v>
      </c>
      <c r="N79" s="1199">
        <v>163.80000000000001</v>
      </c>
      <c r="O79" s="1199">
        <f t="shared" si="12"/>
        <v>41</v>
      </c>
    </row>
    <row r="80" spans="1:15" s="1199" customFormat="1" ht="24" customHeight="1">
      <c r="A80" s="1564"/>
      <c r="B80" s="1597" t="s">
        <v>1341</v>
      </c>
      <c r="C80" s="1533"/>
      <c r="D80" s="1534"/>
      <c r="E80" s="1566">
        <v>27</v>
      </c>
      <c r="F80" s="1567" t="s">
        <v>226</v>
      </c>
      <c r="G80" s="1516">
        <v>65</v>
      </c>
      <c r="H80" s="1264">
        <f t="shared" si="9"/>
        <v>1755</v>
      </c>
      <c r="I80" s="1265">
        <v>50</v>
      </c>
      <c r="J80" s="1264">
        <f t="shared" si="10"/>
        <v>1350</v>
      </c>
      <c r="K80" s="1273">
        <f t="shared" si="11"/>
        <v>3105</v>
      </c>
      <c r="L80" s="2082" t="s">
        <v>2667</v>
      </c>
      <c r="N80" s="1199">
        <v>259.35000000000002</v>
      </c>
      <c r="O80" s="1199">
        <f t="shared" si="12"/>
        <v>65</v>
      </c>
    </row>
    <row r="81" spans="1:15" s="1199" customFormat="1" ht="24" customHeight="1">
      <c r="A81" s="1564"/>
      <c r="B81" s="1597" t="s">
        <v>1342</v>
      </c>
      <c r="C81" s="1533"/>
      <c r="D81" s="1534"/>
      <c r="E81" s="1566">
        <v>92</v>
      </c>
      <c r="F81" s="1567" t="s">
        <v>226</v>
      </c>
      <c r="G81" s="1516">
        <v>90</v>
      </c>
      <c r="H81" s="1264">
        <f t="shared" si="9"/>
        <v>8280</v>
      </c>
      <c r="I81" s="1265">
        <v>75</v>
      </c>
      <c r="J81" s="1264">
        <f t="shared" si="10"/>
        <v>6900</v>
      </c>
      <c r="K81" s="1273">
        <f t="shared" si="11"/>
        <v>15180</v>
      </c>
      <c r="L81" s="2082" t="s">
        <v>2667</v>
      </c>
      <c r="N81" s="1199">
        <v>359.45</v>
      </c>
      <c r="O81" s="1199">
        <f t="shared" si="12"/>
        <v>90</v>
      </c>
    </row>
    <row r="82" spans="1:15" s="1199" customFormat="1" ht="24" customHeight="1">
      <c r="A82" s="1564"/>
      <c r="B82" s="1597" t="s">
        <v>1719</v>
      </c>
      <c r="C82" s="1533"/>
      <c r="D82" s="1534"/>
      <c r="E82" s="1566">
        <v>1</v>
      </c>
      <c r="F82" s="1567" t="s">
        <v>1104</v>
      </c>
      <c r="G82" s="1516">
        <f>ROUND(SUM(H77:H81)*40%,)</f>
        <v>5713</v>
      </c>
      <c r="H82" s="1264">
        <f t="shared" si="9"/>
        <v>5713</v>
      </c>
      <c r="I82" s="1595">
        <f>ROUND(G82*0.3,)</f>
        <v>1714</v>
      </c>
      <c r="J82" s="1264">
        <f t="shared" si="10"/>
        <v>1714</v>
      </c>
      <c r="K82" s="1273">
        <f t="shared" si="11"/>
        <v>7427</v>
      </c>
      <c r="L82" s="1635"/>
    </row>
    <row r="83" spans="1:15" s="1199" customFormat="1" ht="24" customHeight="1">
      <c r="A83" s="1564"/>
      <c r="B83" s="1597" t="s">
        <v>1720</v>
      </c>
      <c r="C83" s="1533"/>
      <c r="D83" s="1534"/>
      <c r="E83" s="1566">
        <v>1</v>
      </c>
      <c r="F83" s="1567" t="s">
        <v>1104</v>
      </c>
      <c r="G83" s="1516">
        <f>ROUND(SUM(H77:H81)*30%,)</f>
        <v>4285</v>
      </c>
      <c r="H83" s="1264">
        <f t="shared" si="9"/>
        <v>4285</v>
      </c>
      <c r="I83" s="1595">
        <f>ROUND(G83*0.3,)</f>
        <v>1286</v>
      </c>
      <c r="J83" s="1264">
        <f t="shared" si="10"/>
        <v>1286</v>
      </c>
      <c r="K83" s="1273">
        <f t="shared" si="11"/>
        <v>5571</v>
      </c>
      <c r="L83" s="1635"/>
    </row>
    <row r="84" spans="1:15" s="1199" customFormat="1" ht="24" customHeight="1">
      <c r="A84" s="1564"/>
      <c r="B84" s="1597" t="s">
        <v>1756</v>
      </c>
      <c r="C84" s="1533"/>
      <c r="D84" s="1534"/>
      <c r="E84" s="1566">
        <v>1</v>
      </c>
      <c r="F84" s="1567" t="s">
        <v>1104</v>
      </c>
      <c r="G84" s="1516">
        <f>ROUND(SUM(H77:H81)*10%,)</f>
        <v>1428</v>
      </c>
      <c r="H84" s="1264">
        <f t="shared" si="9"/>
        <v>1428</v>
      </c>
      <c r="I84" s="1595">
        <f>ROUND(G84*0.3,)</f>
        <v>428</v>
      </c>
      <c r="J84" s="1264">
        <f t="shared" si="10"/>
        <v>428</v>
      </c>
      <c r="K84" s="1273">
        <f t="shared" si="11"/>
        <v>1856</v>
      </c>
      <c r="L84" s="1635"/>
    </row>
    <row r="85" spans="1:15" s="1199" customFormat="1" ht="24" customHeight="1">
      <c r="A85" s="1564" t="s">
        <v>1757</v>
      </c>
      <c r="B85" s="1597" t="s">
        <v>1832</v>
      </c>
      <c r="C85" s="1533"/>
      <c r="D85" s="1534"/>
      <c r="E85" s="1566"/>
      <c r="F85" s="1567"/>
      <c r="G85" s="1516"/>
      <c r="H85" s="1264"/>
      <c r="I85" s="1265"/>
      <c r="J85" s="1264"/>
      <c r="K85" s="1273"/>
      <c r="L85" s="1635"/>
    </row>
    <row r="86" spans="1:15" s="1199" customFormat="1" ht="24" customHeight="1">
      <c r="A86" s="1564"/>
      <c r="B86" s="1597" t="s">
        <v>1340</v>
      </c>
      <c r="C86" s="1533"/>
      <c r="D86" s="1534"/>
      <c r="E86" s="1566">
        <v>34</v>
      </c>
      <c r="F86" s="1567" t="s">
        <v>363</v>
      </c>
      <c r="G86" s="1516">
        <f>ROUND(665*0.7,)</f>
        <v>466</v>
      </c>
      <c r="H86" s="1264">
        <f>ROUND(E86*G86,)</f>
        <v>15844</v>
      </c>
      <c r="I86" s="1265">
        <v>200</v>
      </c>
      <c r="J86" s="1264">
        <f>ROUND(I86*E86,)</f>
        <v>6800</v>
      </c>
      <c r="K86" s="1273">
        <f>H86+J86</f>
        <v>22644</v>
      </c>
      <c r="L86" s="1635"/>
    </row>
    <row r="87" spans="1:15" s="1199" customFormat="1" ht="24" customHeight="1">
      <c r="A87" s="1564" t="s">
        <v>1760</v>
      </c>
      <c r="B87" s="1597" t="s">
        <v>1780</v>
      </c>
      <c r="C87" s="1533"/>
      <c r="D87" s="1534"/>
      <c r="E87" s="1566"/>
      <c r="F87" s="1567"/>
      <c r="G87" s="1516"/>
      <c r="H87" s="1264"/>
      <c r="I87" s="1265"/>
      <c r="J87" s="1264"/>
      <c r="K87" s="1273"/>
      <c r="L87" s="1635"/>
    </row>
    <row r="88" spans="1:15" s="1199" customFormat="1" ht="24" customHeight="1">
      <c r="A88" s="1564"/>
      <c r="B88" s="1597" t="s">
        <v>1340</v>
      </c>
      <c r="C88" s="1533"/>
      <c r="D88" s="1534"/>
      <c r="E88" s="1566">
        <v>8</v>
      </c>
      <c r="F88" s="1567" t="s">
        <v>363</v>
      </c>
      <c r="G88" s="1516">
        <f>ROUND(240*0.75,)</f>
        <v>180</v>
      </c>
      <c r="H88" s="1264">
        <f>ROUND(E88*G88,)</f>
        <v>1440</v>
      </c>
      <c r="I88" s="1265">
        <v>100</v>
      </c>
      <c r="J88" s="1264">
        <f>ROUND(I88*E88,)</f>
        <v>800</v>
      </c>
      <c r="K88" s="1273">
        <f>H88+J88</f>
        <v>2240</v>
      </c>
      <c r="L88" s="1635"/>
    </row>
    <row r="89" spans="1:15" s="1199" customFormat="1" ht="24" customHeight="1">
      <c r="A89" s="1564"/>
      <c r="B89" s="1597" t="s">
        <v>1342</v>
      </c>
      <c r="C89" s="1533"/>
      <c r="D89" s="1534"/>
      <c r="E89" s="1566">
        <v>4</v>
      </c>
      <c r="F89" s="1567" t="s">
        <v>363</v>
      </c>
      <c r="G89" s="1516">
        <f>ROUND(360*0.75,)</f>
        <v>270</v>
      </c>
      <c r="H89" s="1264">
        <f>ROUND(E89*G89,)</f>
        <v>1080</v>
      </c>
      <c r="I89" s="1265">
        <v>150</v>
      </c>
      <c r="J89" s="1264">
        <f>ROUND(I89*E89,)</f>
        <v>600</v>
      </c>
      <c r="K89" s="1273">
        <f>H89+J89</f>
        <v>1680</v>
      </c>
      <c r="L89" s="1635"/>
    </row>
    <row r="90" spans="1:15" s="1199" customFormat="1" ht="24" customHeight="1">
      <c r="A90" s="1637"/>
      <c r="B90" s="1597" t="s">
        <v>1759</v>
      </c>
      <c r="C90" s="1533"/>
      <c r="D90" s="1534"/>
      <c r="E90" s="1566">
        <v>4</v>
      </c>
      <c r="F90" s="1567" t="s">
        <v>363</v>
      </c>
      <c r="G90" s="1516">
        <f>ROUND(500*0.75,)</f>
        <v>375</v>
      </c>
      <c r="H90" s="1264">
        <f>ROUND(E90*G90,)</f>
        <v>1500</v>
      </c>
      <c r="I90" s="1265">
        <v>200</v>
      </c>
      <c r="J90" s="1264">
        <f>ROUND(I90*E90,)</f>
        <v>800</v>
      </c>
      <c r="K90" s="1273">
        <f>H90+J90</f>
        <v>2300</v>
      </c>
      <c r="L90" s="1635"/>
    </row>
    <row r="91" spans="1:15" s="1199" customFormat="1" ht="24" customHeight="1">
      <c r="A91" s="1564"/>
      <c r="B91" s="1597" t="s">
        <v>1754</v>
      </c>
      <c r="C91" s="1533"/>
      <c r="D91" s="1534"/>
      <c r="E91" s="1566">
        <v>2</v>
      </c>
      <c r="F91" s="1567" t="s">
        <v>363</v>
      </c>
      <c r="G91" s="1516">
        <f>ROUND(950*0.75,)</f>
        <v>713</v>
      </c>
      <c r="H91" s="1264">
        <f>ROUND(E91*G91,)</f>
        <v>1426</v>
      </c>
      <c r="I91" s="1265">
        <v>300</v>
      </c>
      <c r="J91" s="1264">
        <f>ROUND(I91*E91,)</f>
        <v>600</v>
      </c>
      <c r="K91" s="1273">
        <f>H91+J91</f>
        <v>2026</v>
      </c>
      <c r="L91" s="1635"/>
    </row>
    <row r="92" spans="1:15" s="1199" customFormat="1" ht="24" customHeight="1">
      <c r="A92" s="1572"/>
      <c r="B92" s="1597"/>
      <c r="C92" s="1533"/>
      <c r="D92" s="1604"/>
      <c r="E92" s="1566"/>
      <c r="F92" s="1534"/>
      <c r="G92" s="1516"/>
      <c r="H92" s="1264"/>
      <c r="I92" s="1265"/>
      <c r="J92" s="1264"/>
      <c r="K92" s="1273"/>
      <c r="L92" s="1635"/>
    </row>
    <row r="93" spans="1:15" s="1199" customFormat="1" ht="24" customHeight="1">
      <c r="A93" s="1572"/>
      <c r="B93" s="1597"/>
      <c r="C93" s="1533"/>
      <c r="D93" s="1604"/>
      <c r="E93" s="1566"/>
      <c r="F93" s="1534"/>
      <c r="G93" s="1516"/>
      <c r="H93" s="1264"/>
      <c r="I93" s="1265"/>
      <c r="J93" s="1264"/>
      <c r="K93" s="1273"/>
      <c r="L93" s="1635"/>
    </row>
    <row r="94" spans="1:15" s="1199" customFormat="1" ht="24" customHeight="1">
      <c r="A94" s="1572"/>
      <c r="B94" s="1597"/>
      <c r="C94" s="1533"/>
      <c r="D94" s="1604"/>
      <c r="E94" s="1566"/>
      <c r="F94" s="1534"/>
      <c r="G94" s="1516"/>
      <c r="H94" s="1264"/>
      <c r="I94" s="1265"/>
      <c r="J94" s="1264"/>
      <c r="K94" s="1273"/>
      <c r="L94" s="1635"/>
    </row>
    <row r="95" spans="1:15" s="1199" customFormat="1" ht="24" customHeight="1">
      <c r="A95" s="1572"/>
      <c r="B95" s="1597"/>
      <c r="C95" s="1533"/>
      <c r="D95" s="1604"/>
      <c r="E95" s="1566"/>
      <c r="F95" s="1534"/>
      <c r="G95" s="1516"/>
      <c r="H95" s="1264"/>
      <c r="I95" s="1265"/>
      <c r="J95" s="1264"/>
      <c r="K95" s="1273"/>
      <c r="L95" s="1635"/>
    </row>
    <row r="96" spans="1:15" s="1199" customFormat="1" ht="24" customHeight="1">
      <c r="A96" s="1349"/>
      <c r="B96" s="1615"/>
      <c r="C96" s="1375"/>
      <c r="D96" s="1375"/>
      <c r="E96" s="1616"/>
      <c r="F96" s="1395"/>
      <c r="G96" s="1617"/>
      <c r="H96" s="1618"/>
      <c r="I96" s="1600"/>
      <c r="J96" s="1618"/>
      <c r="K96" s="1619"/>
      <c r="L96" s="1640"/>
    </row>
    <row r="97" spans="1:13" s="1199" customFormat="1" ht="24" customHeight="1">
      <c r="A97" s="1578"/>
      <c r="B97" s="2257" t="str">
        <f>"รวมราคารายการที่ "&amp;A67</f>
        <v>รวมราคารายการที่ 5.2</v>
      </c>
      <c r="C97" s="2258"/>
      <c r="D97" s="2259"/>
      <c r="E97" s="1579"/>
      <c r="F97" s="1579"/>
      <c r="G97" s="1580"/>
      <c r="H97" s="1581">
        <f>SUM(H68:H96)</f>
        <v>231636</v>
      </c>
      <c r="I97" s="1582"/>
      <c r="J97" s="1581">
        <f>SUM(J68:J96)</f>
        <v>82911</v>
      </c>
      <c r="K97" s="1583">
        <f>SUM(K68:K96)</f>
        <v>314547</v>
      </c>
      <c r="L97" s="1630"/>
      <c r="M97" s="1214"/>
    </row>
    <row r="98" spans="1:13" s="1199" customFormat="1" ht="24" customHeight="1">
      <c r="A98" s="1584">
        <v>5.3</v>
      </c>
      <c r="B98" s="1606" t="s">
        <v>1768</v>
      </c>
      <c r="C98" s="1294"/>
      <c r="D98" s="1294"/>
      <c r="E98" s="1586"/>
      <c r="F98" s="1296"/>
      <c r="G98" s="1357"/>
      <c r="H98" s="1298"/>
      <c r="I98" s="1299"/>
      <c r="J98" s="1298"/>
      <c r="K98" s="1382"/>
      <c r="L98" s="1639"/>
    </row>
    <row r="99" spans="1:13" s="1199" customFormat="1" ht="24" customHeight="1">
      <c r="A99" s="1572" t="s">
        <v>1769</v>
      </c>
      <c r="B99" s="1573" t="s">
        <v>1778</v>
      </c>
      <c r="C99" s="1574"/>
      <c r="D99" s="1575"/>
      <c r="E99" s="1598"/>
      <c r="F99" s="1577"/>
      <c r="G99" s="1351"/>
      <c r="H99" s="1281"/>
      <c r="I99" s="1282"/>
      <c r="J99" s="1281"/>
      <c r="K99" s="1405"/>
      <c r="L99" s="1639"/>
    </row>
    <row r="100" spans="1:13" s="1199" customFormat="1" ht="24" customHeight="1">
      <c r="A100" s="1564"/>
      <c r="B100" s="1565" t="s">
        <v>1716</v>
      </c>
      <c r="C100" s="1533"/>
      <c r="D100" s="1534"/>
      <c r="E100" s="1566">
        <v>127</v>
      </c>
      <c r="F100" s="1567" t="s">
        <v>226</v>
      </c>
      <c r="G100" s="1516">
        <v>385</v>
      </c>
      <c r="H100" s="1264">
        <f>ROUND(E100*G100,)</f>
        <v>48895</v>
      </c>
      <c r="I100" s="1265">
        <v>145</v>
      </c>
      <c r="J100" s="1264">
        <f>ROUND(I100*E100,)</f>
        <v>18415</v>
      </c>
      <c r="K100" s="1273">
        <f>H100+J100</f>
        <v>67310</v>
      </c>
      <c r="L100" s="2082" t="s">
        <v>2667</v>
      </c>
    </row>
    <row r="101" spans="1:13" s="1199" customFormat="1" ht="24" customHeight="1">
      <c r="A101" s="1564"/>
      <c r="B101" s="1565" t="s">
        <v>1719</v>
      </c>
      <c r="C101" s="1533"/>
      <c r="D101" s="1534"/>
      <c r="E101" s="1566">
        <v>1</v>
      </c>
      <c r="F101" s="1567" t="s">
        <v>1104</v>
      </c>
      <c r="G101" s="1516">
        <f>SUM(H100:H100)*40%</f>
        <v>19558</v>
      </c>
      <c r="H101" s="1264">
        <f>ROUND(E101*G101,)</f>
        <v>19558</v>
      </c>
      <c r="I101" s="1595">
        <f>ROUND(G101*0.3,)</f>
        <v>5867</v>
      </c>
      <c r="J101" s="1264">
        <f>ROUND(I101*E101,)</f>
        <v>5867</v>
      </c>
      <c r="K101" s="1273">
        <f>H101+J101</f>
        <v>25425</v>
      </c>
      <c r="L101" s="1639"/>
    </row>
    <row r="102" spans="1:13" s="1199" customFormat="1" ht="24" customHeight="1">
      <c r="A102" s="1564"/>
      <c r="B102" s="1565" t="s">
        <v>1720</v>
      </c>
      <c r="C102" s="1533"/>
      <c r="D102" s="1534"/>
      <c r="E102" s="1566">
        <v>1</v>
      </c>
      <c r="F102" s="1567" t="s">
        <v>1104</v>
      </c>
      <c r="G102" s="1516">
        <f>SUM(H100:H100)*20%</f>
        <v>9779</v>
      </c>
      <c r="H102" s="1264">
        <f>ROUND(E102*G102,)</f>
        <v>9779</v>
      </c>
      <c r="I102" s="1595">
        <f>ROUND(G102*0.3,)</f>
        <v>2934</v>
      </c>
      <c r="J102" s="1264">
        <f>ROUND(I102*E102,)</f>
        <v>2934</v>
      </c>
      <c r="K102" s="1273">
        <f>H102+J102</f>
        <v>12713</v>
      </c>
      <c r="L102" s="1639"/>
    </row>
    <row r="103" spans="1:13" s="1199" customFormat="1" ht="24" customHeight="1">
      <c r="A103" s="1564"/>
      <c r="B103" s="1565" t="s">
        <v>1756</v>
      </c>
      <c r="C103" s="1533"/>
      <c r="D103" s="1534"/>
      <c r="E103" s="1566">
        <v>1</v>
      </c>
      <c r="F103" s="1567" t="s">
        <v>1104</v>
      </c>
      <c r="G103" s="1516">
        <f>ROUND(SUM(H100:H100)*10%,)</f>
        <v>4890</v>
      </c>
      <c r="H103" s="1264">
        <f>ROUND(E103*G103,)</f>
        <v>4890</v>
      </c>
      <c r="I103" s="1595">
        <f>ROUND(G103*0.3,)</f>
        <v>1467</v>
      </c>
      <c r="J103" s="1264">
        <f>ROUND(I103*E103,)</f>
        <v>1467</v>
      </c>
      <c r="K103" s="1273">
        <f>H103+J103</f>
        <v>6357</v>
      </c>
      <c r="L103" s="1639"/>
    </row>
    <row r="104" spans="1:13" s="1199" customFormat="1" ht="24" customHeight="1">
      <c r="A104" s="1564" t="s">
        <v>1775</v>
      </c>
      <c r="B104" s="1597" t="s">
        <v>1832</v>
      </c>
      <c r="C104" s="1533"/>
      <c r="E104" s="1566"/>
      <c r="F104" s="1567"/>
      <c r="G104" s="1516"/>
      <c r="H104" s="1264"/>
      <c r="I104" s="1265"/>
      <c r="J104" s="1264"/>
      <c r="K104" s="1273"/>
      <c r="L104" s="1639"/>
    </row>
    <row r="105" spans="1:13" s="1199" customFormat="1" ht="24" customHeight="1">
      <c r="A105" s="1564"/>
      <c r="B105" s="1597" t="s">
        <v>1340</v>
      </c>
      <c r="C105" s="1533"/>
      <c r="D105" s="1534"/>
      <c r="E105" s="1566">
        <v>6</v>
      </c>
      <c r="F105" s="1567" t="s">
        <v>363</v>
      </c>
      <c r="G105" s="1516">
        <f>ROUND(665*0.7,)</f>
        <v>466</v>
      </c>
      <c r="H105" s="1264">
        <f>ROUND(E105*G105,)</f>
        <v>2796</v>
      </c>
      <c r="I105" s="1265">
        <v>200</v>
      </c>
      <c r="J105" s="1264">
        <f>ROUND(I105*E105,)</f>
        <v>1200</v>
      </c>
      <c r="K105" s="1273">
        <f>H105+J105</f>
        <v>3996</v>
      </c>
      <c r="L105" s="1639"/>
    </row>
    <row r="106" spans="1:13" s="1199" customFormat="1" ht="24" customHeight="1">
      <c r="A106" s="1564"/>
      <c r="B106" s="1597"/>
      <c r="C106" s="1533"/>
      <c r="D106" s="1534"/>
      <c r="E106" s="1566"/>
      <c r="F106" s="1567"/>
      <c r="G106" s="1516"/>
      <c r="H106" s="1264"/>
      <c r="I106" s="1265"/>
      <c r="J106" s="1264"/>
      <c r="K106" s="1273"/>
      <c r="L106" s="1639"/>
    </row>
    <row r="107" spans="1:13" s="1199" customFormat="1" ht="24" customHeight="1">
      <c r="A107" s="1564"/>
      <c r="B107" s="1597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9"/>
    </row>
    <row r="108" spans="1:13" s="1199" customFormat="1" ht="24" customHeight="1">
      <c r="A108" s="1564"/>
      <c r="B108" s="1565"/>
      <c r="C108" s="1533"/>
      <c r="D108" s="1534"/>
      <c r="E108" s="1566"/>
      <c r="F108" s="1567"/>
      <c r="G108" s="1516"/>
      <c r="H108" s="1264"/>
      <c r="I108" s="1265"/>
      <c r="J108" s="1264"/>
      <c r="K108" s="1273"/>
      <c r="L108" s="1639"/>
    </row>
    <row r="109" spans="1:13" s="1199" customFormat="1" ht="24" customHeight="1">
      <c r="A109" s="1578"/>
      <c r="B109" s="2257" t="str">
        <f>"รวมราคารายการที่ "&amp;A98</f>
        <v>รวมราคารายการที่ 5.3</v>
      </c>
      <c r="C109" s="2258"/>
      <c r="D109" s="2259"/>
      <c r="E109" s="1579"/>
      <c r="F109" s="1579"/>
      <c r="G109" s="1580"/>
      <c r="H109" s="1581">
        <f>SUM(H99:H108)</f>
        <v>85918</v>
      </c>
      <c r="I109" s="1582"/>
      <c r="J109" s="1581">
        <f>SUM(J99:J108)</f>
        <v>29883</v>
      </c>
      <c r="K109" s="1583">
        <f>SUM(K99:K108)</f>
        <v>115801</v>
      </c>
      <c r="L109" s="1630"/>
    </row>
    <row r="110" spans="1:13" s="1199" customFormat="1" ht="21.3">
      <c r="A110" s="1427"/>
      <c r="E110" s="1570"/>
    </row>
    <row r="111" spans="1:13" s="1199" customFormat="1" ht="21.3">
      <c r="A111" s="1427"/>
      <c r="E111" s="1570"/>
    </row>
    <row r="112" spans="1:13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6:D66"/>
    <mergeCell ref="B97:D97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2-อาคารด้านทิศตะวันตก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C18D9-0A71-4A6D-AEBA-16168DAAA27C}">
  <sheetPr>
    <tabColor rgb="FF92D050"/>
  </sheetPr>
  <dimension ref="A1:O131"/>
  <sheetViews>
    <sheetView showGridLines="0" view="pageBreakPreview" topLeftCell="A82" zoomScale="85" zoomScaleNormal="60" zoomScaleSheetLayoutView="85" workbookViewId="0">
      <selection activeCell="H115" sqref="H11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5859375" style="1" customWidth="1"/>
    <col min="13" max="13" width="7.703125" style="1" customWidth="1"/>
    <col min="14" max="14" width="9" style="1" bestFit="1" customWidth="1"/>
    <col min="15" max="73" width="7.703125" style="1" customWidth="1"/>
    <col min="74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1844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627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H64</f>
        <v>162203</v>
      </c>
      <c r="I13" s="1197"/>
      <c r="J13" s="1196">
        <f>J64</f>
        <v>49022</v>
      </c>
      <c r="K13" s="1553">
        <f>SUM(H13:J13)</f>
        <v>211225</v>
      </c>
      <c r="L13" s="1627"/>
    </row>
    <row r="14" spans="1:12" s="1199" customFormat="1" ht="24" customHeight="1">
      <c r="A14" s="1572" t="str">
        <f>A65</f>
        <v>5.2</v>
      </c>
      <c r="B14" s="1573" t="str">
        <f>B65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H95</f>
        <v>235065</v>
      </c>
      <c r="I14" s="1230"/>
      <c r="J14" s="1229">
        <f>J95</f>
        <v>84288</v>
      </c>
      <c r="K14" s="1553">
        <f>SUM(H14:J14)</f>
        <v>319353</v>
      </c>
      <c r="L14" s="1628"/>
    </row>
    <row r="15" spans="1:12" s="1199" customFormat="1" ht="24" customHeight="1">
      <c r="A15" s="1572">
        <f>A96</f>
        <v>5.3</v>
      </c>
      <c r="B15" s="1573" t="str">
        <f>B96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129000</v>
      </c>
      <c r="I15" s="1230"/>
      <c r="J15" s="1229">
        <f>J109</f>
        <v>45919</v>
      </c>
      <c r="K15" s="1553">
        <f>SUM(H15:J15)</f>
        <v>174919</v>
      </c>
      <c r="L15" s="1627"/>
    </row>
    <row r="16" spans="1:12" s="1199" customFormat="1" ht="24" customHeight="1">
      <c r="A16" s="1564"/>
      <c r="B16" s="1565"/>
      <c r="C16" s="1533"/>
      <c r="D16" s="1534"/>
      <c r="E16" s="1569"/>
      <c r="F16" s="1567"/>
      <c r="G16" s="1195"/>
      <c r="H16" s="1196"/>
      <c r="I16" s="1197"/>
      <c r="J16" s="1196"/>
      <c r="K16" s="1553"/>
      <c r="L16" s="1627"/>
    </row>
    <row r="17" spans="1:12" s="1199" customFormat="1" ht="24" customHeight="1">
      <c r="A17" s="1564"/>
      <c r="B17" s="1565"/>
      <c r="C17" s="1533"/>
      <c r="D17" s="1534"/>
      <c r="E17" s="1569"/>
      <c r="F17" s="1567"/>
      <c r="G17" s="1195"/>
      <c r="H17" s="1196"/>
      <c r="I17" s="1197"/>
      <c r="J17" s="1196"/>
      <c r="K17" s="1553"/>
      <c r="L17" s="1627"/>
    </row>
    <row r="18" spans="1:12" s="1199" customFormat="1" ht="24" customHeight="1">
      <c r="A18" s="1564"/>
      <c r="B18" s="1565"/>
      <c r="C18" s="1533"/>
      <c r="D18" s="1534"/>
      <c r="E18" s="1569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642"/>
      <c r="B19" s="1643"/>
      <c r="C19" s="1607"/>
      <c r="D19" s="1608"/>
      <c r="E19" s="1644"/>
      <c r="F19" s="1610"/>
      <c r="G19" s="1645"/>
      <c r="H19" s="1646"/>
      <c r="I19" s="1647"/>
      <c r="J19" s="1646"/>
      <c r="K19" s="1553"/>
      <c r="L19" s="1648"/>
    </row>
    <row r="20" spans="1:12" s="1199" customFormat="1" ht="24" customHeight="1">
      <c r="A20" s="1641"/>
      <c r="B20" s="1573"/>
      <c r="C20" s="1574"/>
      <c r="D20" s="1575"/>
      <c r="E20" s="1598"/>
      <c r="F20" s="1577"/>
      <c r="G20" s="1228"/>
      <c r="H20" s="1229"/>
      <c r="I20" s="1230"/>
      <c r="J20" s="1229"/>
      <c r="K20" s="1553"/>
      <c r="L20" s="1628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3</v>
      </c>
      <c r="C34" s="2258"/>
      <c r="D34" s="2259"/>
      <c r="E34" s="1579"/>
      <c r="F34" s="1579"/>
      <c r="G34" s="1580"/>
      <c r="H34" s="1581">
        <f>SUM(H12:H33)</f>
        <v>526268</v>
      </c>
      <c r="I34" s="1582"/>
      <c r="J34" s="1581">
        <f>SUM(J12:J33)</f>
        <v>179229</v>
      </c>
      <c r="K34" s="1583">
        <f>SUM(K12:K33)</f>
        <v>705497</v>
      </c>
      <c r="L34" s="1630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631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633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633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287</v>
      </c>
      <c r="F38" s="1567" t="s">
        <v>226</v>
      </c>
      <c r="G38" s="1593">
        <v>35</v>
      </c>
      <c r="H38" s="1264">
        <f t="shared" ref="H38:H46" si="0">ROUND(E38*G38,)</f>
        <v>10045</v>
      </c>
      <c r="I38" s="1595">
        <v>30</v>
      </c>
      <c r="J38" s="1264">
        <f t="shared" ref="J38:J46" si="1">ROUND(E38*I38,)</f>
        <v>8610</v>
      </c>
      <c r="K38" s="1265">
        <f t="shared" ref="K38:K46" si="2">H38+J38</f>
        <v>18655</v>
      </c>
      <c r="L38" s="1633"/>
      <c r="N38" s="1532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170</v>
      </c>
      <c r="F39" s="1567" t="s">
        <v>226</v>
      </c>
      <c r="G39" s="1593">
        <v>46</v>
      </c>
      <c r="H39" s="1264">
        <f t="shared" si="0"/>
        <v>7820</v>
      </c>
      <c r="I39" s="1595">
        <v>30</v>
      </c>
      <c r="J39" s="1264">
        <f t="shared" si="1"/>
        <v>5100</v>
      </c>
      <c r="K39" s="1265">
        <f t="shared" si="2"/>
        <v>12920</v>
      </c>
      <c r="L39" s="1633"/>
      <c r="N39" s="1532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13</v>
      </c>
      <c r="F40" s="1567" t="s">
        <v>226</v>
      </c>
      <c r="G40" s="1593">
        <v>113</v>
      </c>
      <c r="H40" s="1264">
        <f t="shared" si="0"/>
        <v>1469</v>
      </c>
      <c r="I40" s="1595">
        <v>50</v>
      </c>
      <c r="J40" s="1264">
        <f t="shared" si="1"/>
        <v>650</v>
      </c>
      <c r="K40" s="1265">
        <f t="shared" si="2"/>
        <v>2119</v>
      </c>
      <c r="L40" s="1633"/>
      <c r="N40" s="1532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26</v>
      </c>
      <c r="F41" s="1567" t="s">
        <v>226</v>
      </c>
      <c r="G41" s="1593">
        <v>193</v>
      </c>
      <c r="H41" s="1264">
        <f t="shared" si="0"/>
        <v>5018</v>
      </c>
      <c r="I41" s="1595">
        <v>75</v>
      </c>
      <c r="J41" s="1264">
        <f t="shared" si="1"/>
        <v>1950</v>
      </c>
      <c r="K41" s="1265">
        <f t="shared" si="2"/>
        <v>6968</v>
      </c>
      <c r="L41" s="1633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70</v>
      </c>
      <c r="F42" s="1567" t="s">
        <v>226</v>
      </c>
      <c r="G42" s="1593">
        <v>287</v>
      </c>
      <c r="H42" s="1264">
        <f t="shared" si="0"/>
        <v>20090</v>
      </c>
      <c r="I42" s="1595">
        <v>100</v>
      </c>
      <c r="J42" s="1264">
        <f t="shared" si="1"/>
        <v>7000</v>
      </c>
      <c r="K42" s="1265">
        <f t="shared" si="2"/>
        <v>27090</v>
      </c>
      <c r="L42" s="1633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30</v>
      </c>
      <c r="F43" s="1567" t="s">
        <v>226</v>
      </c>
      <c r="G43" s="1593">
        <v>562</v>
      </c>
      <c r="H43" s="1264">
        <f>ROUND(E43*G43,)</f>
        <v>16860</v>
      </c>
      <c r="I43" s="1595">
        <v>120</v>
      </c>
      <c r="J43" s="1264">
        <f t="shared" si="1"/>
        <v>3600</v>
      </c>
      <c r="K43" s="1273">
        <f t="shared" si="2"/>
        <v>20460</v>
      </c>
      <c r="L43" s="1633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SUM(H38:H43)*50%</f>
        <v>30651</v>
      </c>
      <c r="H44" s="1264">
        <f t="shared" si="0"/>
        <v>30651</v>
      </c>
      <c r="I44" s="1595">
        <f>ROUND(G44*0.3,)</f>
        <v>9195</v>
      </c>
      <c r="J44" s="1264">
        <f t="shared" si="1"/>
        <v>9195</v>
      </c>
      <c r="K44" s="1265">
        <f t="shared" si="2"/>
        <v>39846</v>
      </c>
      <c r="L44" s="1633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ROUND(SUM(H38:H43)*20%,)</f>
        <v>12260</v>
      </c>
      <c r="H45" s="1264">
        <f t="shared" si="0"/>
        <v>12260</v>
      </c>
      <c r="I45" s="1595">
        <f>ROUND(G45*0.3,)</f>
        <v>3678</v>
      </c>
      <c r="J45" s="1264">
        <f t="shared" si="1"/>
        <v>3678</v>
      </c>
      <c r="K45" s="1265">
        <f t="shared" si="2"/>
        <v>15938</v>
      </c>
      <c r="L45" s="1633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ROUND(SUM(H38:H43)*10%,)</f>
        <v>6130</v>
      </c>
      <c r="H46" s="1264">
        <f t="shared" si="0"/>
        <v>6130</v>
      </c>
      <c r="I46" s="1595">
        <f>ROUND(G46*0.3,)</f>
        <v>1839</v>
      </c>
      <c r="J46" s="1264">
        <f t="shared" si="1"/>
        <v>1839</v>
      </c>
      <c r="K46" s="1265">
        <f t="shared" si="2"/>
        <v>7969</v>
      </c>
      <c r="L46" s="1633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633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11</v>
      </c>
      <c r="F48" s="1567" t="s">
        <v>363</v>
      </c>
      <c r="G48" s="1593">
        <v>880</v>
      </c>
      <c r="H48" s="1264">
        <f t="shared" ref="H48:H49" si="3">ROUND(E48*G48,)</f>
        <v>9680</v>
      </c>
      <c r="I48" s="1595">
        <v>150</v>
      </c>
      <c r="J48" s="1264">
        <f t="shared" ref="J48:J49" si="4">ROUND(E48*I48,)</f>
        <v>1650</v>
      </c>
      <c r="K48" s="1265">
        <f t="shared" ref="K48:K49" si="5">H48+J48</f>
        <v>11330</v>
      </c>
      <c r="L48" s="2082" t="s">
        <v>2667</v>
      </c>
    </row>
    <row r="49" spans="1:14" s="1199" customFormat="1" ht="24" customHeight="1">
      <c r="A49" s="1564"/>
      <c r="B49" s="1597" t="s">
        <v>1734</v>
      </c>
      <c r="C49" s="1533"/>
      <c r="D49" s="1534"/>
      <c r="E49" s="1566">
        <v>5</v>
      </c>
      <c r="F49" s="1567" t="s">
        <v>363</v>
      </c>
      <c r="G49" s="1593">
        <v>1316</v>
      </c>
      <c r="H49" s="1264">
        <f t="shared" si="3"/>
        <v>6580</v>
      </c>
      <c r="I49" s="1595">
        <v>200</v>
      </c>
      <c r="J49" s="1264">
        <f t="shared" si="4"/>
        <v>1000</v>
      </c>
      <c r="K49" s="1265">
        <f t="shared" si="5"/>
        <v>7580</v>
      </c>
      <c r="L49" s="2082" t="s">
        <v>2667</v>
      </c>
    </row>
    <row r="50" spans="1:14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633"/>
    </row>
    <row r="51" spans="1:14" s="1199" customFormat="1" ht="24" customHeight="1">
      <c r="A51" s="1564"/>
      <c r="B51" s="1597" t="s">
        <v>1715</v>
      </c>
      <c r="C51" s="1533"/>
      <c r="D51" s="1534"/>
      <c r="E51" s="1566">
        <v>2</v>
      </c>
      <c r="F51" s="1567" t="s">
        <v>363</v>
      </c>
      <c r="G51" s="1593">
        <v>1946</v>
      </c>
      <c r="H51" s="1264">
        <f>ROUND(E51*G51,)</f>
        <v>3892</v>
      </c>
      <c r="I51" s="1595">
        <v>500</v>
      </c>
      <c r="J51" s="1264">
        <f>ROUND(E51*I51,)</f>
        <v>1000</v>
      </c>
      <c r="K51" s="1265">
        <f>H51+J51</f>
        <v>4892</v>
      </c>
      <c r="L51" s="1633"/>
    </row>
    <row r="52" spans="1:14" s="1199" customFormat="1" ht="24" customHeight="1">
      <c r="A52" s="1564"/>
      <c r="B52" s="1597" t="s">
        <v>1716</v>
      </c>
      <c r="C52" s="1533"/>
      <c r="D52" s="1534"/>
      <c r="E52" s="1566">
        <v>2</v>
      </c>
      <c r="F52" s="1567" t="s">
        <v>363</v>
      </c>
      <c r="G52" s="1593">
        <v>2218</v>
      </c>
      <c r="H52" s="1264">
        <f>ROUND(E52*G52,)</f>
        <v>4436</v>
      </c>
      <c r="I52" s="1595">
        <v>600</v>
      </c>
      <c r="J52" s="1264">
        <f>ROUND(E52*I52,)</f>
        <v>1200</v>
      </c>
      <c r="K52" s="1273">
        <f>H52+J52</f>
        <v>5636</v>
      </c>
      <c r="L52" s="1635"/>
    </row>
    <row r="53" spans="1:14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633"/>
    </row>
    <row r="54" spans="1:14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633"/>
    </row>
    <row r="55" spans="1:14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633"/>
    </row>
    <row r="56" spans="1:14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633"/>
    </row>
    <row r="57" spans="1:14" s="1199" customFormat="1" ht="24" customHeight="1">
      <c r="A57" s="1564"/>
      <c r="B57" s="1565" t="s">
        <v>1823</v>
      </c>
      <c r="C57" s="1533"/>
      <c r="D57" s="1534"/>
      <c r="E57" s="1566">
        <v>6</v>
      </c>
      <c r="F57" s="1567" t="s">
        <v>363</v>
      </c>
      <c r="G57" s="1603">
        <v>210</v>
      </c>
      <c r="H57" s="1264">
        <f>ROUND(E57*G57,)</f>
        <v>1260</v>
      </c>
      <c r="I57" s="1595">
        <v>100</v>
      </c>
      <c r="J57" s="1264">
        <f>ROUND(E57*I57,)</f>
        <v>600</v>
      </c>
      <c r="K57" s="1265">
        <f>H57+J57</f>
        <v>1860</v>
      </c>
      <c r="L57" s="1633"/>
    </row>
    <row r="58" spans="1:14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633"/>
    </row>
    <row r="59" spans="1:14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633"/>
    </row>
    <row r="60" spans="1:14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633"/>
    </row>
    <row r="61" spans="1:14" s="1199" customFormat="1" ht="24" customHeight="1">
      <c r="A61" s="1564"/>
      <c r="B61" s="1597" t="s">
        <v>1823</v>
      </c>
      <c r="C61" s="1533"/>
      <c r="D61" s="1534"/>
      <c r="E61" s="1566">
        <v>6</v>
      </c>
      <c r="F61" s="1567" t="s">
        <v>363</v>
      </c>
      <c r="G61" s="1593">
        <v>120</v>
      </c>
      <c r="H61" s="1264">
        <f>ROUND(E61*G61,)</f>
        <v>720</v>
      </c>
      <c r="I61" s="1595">
        <v>50</v>
      </c>
      <c r="J61" s="1264">
        <f>ROUND(I61*E61,)</f>
        <v>300</v>
      </c>
      <c r="K61" s="1273">
        <f>H61+J61</f>
        <v>1020</v>
      </c>
      <c r="L61" s="1633"/>
    </row>
    <row r="62" spans="1:14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633"/>
    </row>
    <row r="63" spans="1:14" s="1199" customFormat="1" ht="24" customHeight="1">
      <c r="A63" s="1564"/>
      <c r="B63" s="1597"/>
      <c r="C63" s="1533"/>
      <c r="D63" s="1604"/>
      <c r="E63" s="1566"/>
      <c r="F63" s="1534"/>
      <c r="G63" s="1593"/>
      <c r="H63" s="1264"/>
      <c r="I63" s="1595"/>
      <c r="J63" s="1264"/>
      <c r="K63" s="1265"/>
      <c r="L63" s="1633"/>
      <c r="N63" s="1532"/>
    </row>
    <row r="64" spans="1:14" s="1199" customFormat="1" ht="24" customHeight="1">
      <c r="A64" s="1578"/>
      <c r="B64" s="2257" t="str">
        <f>"รวมราคารายการที่ "&amp;A36</f>
        <v>รวมราคารายการที่ 5.1</v>
      </c>
      <c r="C64" s="2258"/>
      <c r="D64" s="2259"/>
      <c r="E64" s="1579"/>
      <c r="F64" s="1579"/>
      <c r="G64" s="1580"/>
      <c r="H64" s="1581">
        <f>SUM(H37:H63)</f>
        <v>162203</v>
      </c>
      <c r="I64" s="1582"/>
      <c r="J64" s="1581">
        <f>SUM(J36:J63)</f>
        <v>49022</v>
      </c>
      <c r="K64" s="1583">
        <f>SUM(K36:K63)</f>
        <v>211225</v>
      </c>
      <c r="L64" s="1630"/>
      <c r="N64" s="1532"/>
    </row>
    <row r="65" spans="1:15" s="1199" customFormat="1" ht="24" customHeight="1">
      <c r="A65" s="1605" t="s">
        <v>1744</v>
      </c>
      <c r="B65" s="1606" t="s">
        <v>1745</v>
      </c>
      <c r="C65" s="1607"/>
      <c r="D65" s="1608"/>
      <c r="E65" s="1609"/>
      <c r="F65" s="1610"/>
      <c r="G65" s="1611"/>
      <c r="H65" s="1612"/>
      <c r="I65" s="1613"/>
      <c r="J65" s="1612"/>
      <c r="K65" s="1614"/>
      <c r="L65" s="1634"/>
      <c r="N65" s="1532"/>
    </row>
    <row r="66" spans="1:15" s="1199" customFormat="1" ht="24" customHeight="1">
      <c r="A66" s="1564" t="s">
        <v>1746</v>
      </c>
      <c r="B66" s="1597" t="s">
        <v>1839</v>
      </c>
      <c r="C66" s="1533"/>
      <c r="D66" s="1534"/>
      <c r="E66" s="1566"/>
      <c r="F66" s="1567"/>
      <c r="G66" s="1516"/>
      <c r="H66" s="1264"/>
      <c r="I66" s="1265"/>
      <c r="J66" s="1264"/>
      <c r="K66" s="1273"/>
      <c r="L66" s="1635"/>
    </row>
    <row r="67" spans="1:15" s="1199" customFormat="1" ht="24" customHeight="1">
      <c r="A67" s="1564"/>
      <c r="B67" s="1597" t="s">
        <v>1340</v>
      </c>
      <c r="C67" s="1533"/>
      <c r="D67" s="1534"/>
      <c r="E67" s="1566">
        <v>193</v>
      </c>
      <c r="F67" s="1567" t="s">
        <v>226</v>
      </c>
      <c r="G67" s="1516">
        <v>127</v>
      </c>
      <c r="H67" s="1264">
        <f t="shared" ref="H67:H73" si="6">ROUND(E67*G67,)</f>
        <v>24511</v>
      </c>
      <c r="I67" s="1265">
        <v>40</v>
      </c>
      <c r="J67" s="1264">
        <f t="shared" ref="J67:J73" si="7">ROUND(I67*E67,)</f>
        <v>7720</v>
      </c>
      <c r="K67" s="1273">
        <f t="shared" ref="K67:K73" si="8">H67+J67</f>
        <v>32231</v>
      </c>
      <c r="L67" s="1635"/>
    </row>
    <row r="68" spans="1:15" s="1199" customFormat="1" ht="24" customHeight="1">
      <c r="A68" s="1564"/>
      <c r="B68" s="1597" t="s">
        <v>1342</v>
      </c>
      <c r="C68" s="1533"/>
      <c r="D68" s="1534"/>
      <c r="E68" s="1566">
        <v>52</v>
      </c>
      <c r="F68" s="1567" t="s">
        <v>226</v>
      </c>
      <c r="G68" s="1516">
        <v>258</v>
      </c>
      <c r="H68" s="1264">
        <f t="shared" si="6"/>
        <v>13416</v>
      </c>
      <c r="I68" s="1265">
        <v>75</v>
      </c>
      <c r="J68" s="1264">
        <f t="shared" si="7"/>
        <v>3900</v>
      </c>
      <c r="K68" s="1273">
        <f t="shared" si="8"/>
        <v>17316</v>
      </c>
      <c r="L68" s="1635"/>
    </row>
    <row r="69" spans="1:15" s="1199" customFormat="1" ht="24" customHeight="1">
      <c r="A69" s="1564"/>
      <c r="B69" s="1597" t="s">
        <v>1759</v>
      </c>
      <c r="C69" s="1533"/>
      <c r="D69" s="1534"/>
      <c r="E69" s="1566">
        <v>118</v>
      </c>
      <c r="F69" s="1567" t="s">
        <v>226</v>
      </c>
      <c r="G69" s="1516">
        <v>395</v>
      </c>
      <c r="H69" s="1264">
        <f t="shared" si="6"/>
        <v>46610</v>
      </c>
      <c r="I69" s="1265">
        <v>120</v>
      </c>
      <c r="J69" s="1264">
        <f t="shared" si="7"/>
        <v>14160</v>
      </c>
      <c r="K69" s="1273">
        <f t="shared" si="8"/>
        <v>60770</v>
      </c>
      <c r="L69" s="1635"/>
    </row>
    <row r="70" spans="1:15" s="1199" customFormat="1" ht="24" customHeight="1">
      <c r="A70" s="1564"/>
      <c r="B70" s="1597" t="s">
        <v>1754</v>
      </c>
      <c r="C70" s="1533"/>
      <c r="D70" s="1534"/>
      <c r="E70" s="1566">
        <v>32</v>
      </c>
      <c r="F70" s="1567" t="s">
        <v>226</v>
      </c>
      <c r="G70" s="1516">
        <v>789</v>
      </c>
      <c r="H70" s="1264">
        <f t="shared" si="6"/>
        <v>25248</v>
      </c>
      <c r="I70" s="1265">
        <v>250</v>
      </c>
      <c r="J70" s="1264">
        <f t="shared" si="7"/>
        <v>8000</v>
      </c>
      <c r="K70" s="1273">
        <f t="shared" si="8"/>
        <v>33248</v>
      </c>
      <c r="L70" s="1635"/>
    </row>
    <row r="71" spans="1:15" s="1199" customFormat="1" ht="24" customHeight="1">
      <c r="A71" s="1564"/>
      <c r="B71" s="1597" t="s">
        <v>1719</v>
      </c>
      <c r="C71" s="1533"/>
      <c r="D71" s="1534"/>
      <c r="E71" s="1566">
        <v>1</v>
      </c>
      <c r="F71" s="1567" t="s">
        <v>1104</v>
      </c>
      <c r="G71" s="1516">
        <f>ROUND(SUM(H67:H70)*40%,)</f>
        <v>43914</v>
      </c>
      <c r="H71" s="1264">
        <f t="shared" si="6"/>
        <v>43914</v>
      </c>
      <c r="I71" s="1595">
        <f>ROUND(G71*0.3,)</f>
        <v>13174</v>
      </c>
      <c r="J71" s="1264">
        <f t="shared" si="7"/>
        <v>13174</v>
      </c>
      <c r="K71" s="1273">
        <f t="shared" si="8"/>
        <v>57088</v>
      </c>
      <c r="L71" s="1635"/>
      <c r="N71" s="1532"/>
    </row>
    <row r="72" spans="1:15" s="1199" customFormat="1" ht="24" customHeight="1">
      <c r="A72" s="1564"/>
      <c r="B72" s="1597" t="s">
        <v>1720</v>
      </c>
      <c r="C72" s="1533"/>
      <c r="D72" s="1534"/>
      <c r="E72" s="1566">
        <v>1</v>
      </c>
      <c r="F72" s="1567" t="s">
        <v>1104</v>
      </c>
      <c r="G72" s="1516">
        <f>ROUND(SUM(H67:H70)*20%,)</f>
        <v>21957</v>
      </c>
      <c r="H72" s="1264">
        <f t="shared" si="6"/>
        <v>21957</v>
      </c>
      <c r="I72" s="1595">
        <f>ROUND(G72*0.3,)</f>
        <v>6587</v>
      </c>
      <c r="J72" s="1264">
        <f t="shared" si="7"/>
        <v>6587</v>
      </c>
      <c r="K72" s="1273">
        <f t="shared" si="8"/>
        <v>28544</v>
      </c>
      <c r="L72" s="1635"/>
    </row>
    <row r="73" spans="1:15" s="1199" customFormat="1" ht="24" customHeight="1">
      <c r="A73" s="1564"/>
      <c r="B73" s="1597" t="s">
        <v>1756</v>
      </c>
      <c r="C73" s="1533"/>
      <c r="D73" s="1534"/>
      <c r="E73" s="1566">
        <v>1</v>
      </c>
      <c r="F73" s="1567" t="s">
        <v>1104</v>
      </c>
      <c r="G73" s="1516">
        <f>ROUND(SUM(H67:H70)*10%,)</f>
        <v>10979</v>
      </c>
      <c r="H73" s="1264">
        <f t="shared" si="6"/>
        <v>10979</v>
      </c>
      <c r="I73" s="1595">
        <f>ROUND(G73*0.3,)</f>
        <v>3294</v>
      </c>
      <c r="J73" s="1264">
        <f t="shared" si="7"/>
        <v>3294</v>
      </c>
      <c r="K73" s="1273">
        <f t="shared" si="8"/>
        <v>14273</v>
      </c>
      <c r="L73" s="1635"/>
      <c r="N73" s="1532"/>
    </row>
    <row r="74" spans="1:15" s="1199" customFormat="1" ht="24" customHeight="1">
      <c r="A74" s="1572" t="s">
        <v>1752</v>
      </c>
      <c r="B74" s="1597" t="s">
        <v>1831</v>
      </c>
      <c r="C74" s="1533"/>
      <c r="D74" s="1534"/>
      <c r="E74" s="1566"/>
      <c r="F74" s="1567"/>
      <c r="G74" s="1516"/>
      <c r="H74" s="1264"/>
      <c r="I74" s="1265"/>
      <c r="J74" s="1264"/>
      <c r="K74" s="1273"/>
      <c r="L74" s="1635"/>
      <c r="N74" s="1532"/>
    </row>
    <row r="75" spans="1:15" s="1199" customFormat="1" ht="24" customHeight="1">
      <c r="A75" s="1564"/>
      <c r="B75" s="1597" t="s">
        <v>1338</v>
      </c>
      <c r="C75" s="1533"/>
      <c r="D75" s="1534"/>
      <c r="E75" s="1566">
        <v>110</v>
      </c>
      <c r="F75" s="1567" t="s">
        <v>226</v>
      </c>
      <c r="G75" s="1516">
        <v>20</v>
      </c>
      <c r="H75" s="1264">
        <f t="shared" ref="H75:H82" si="9">ROUND(E75*G75,)</f>
        <v>2200</v>
      </c>
      <c r="I75" s="1265">
        <v>30</v>
      </c>
      <c r="J75" s="1264">
        <f t="shared" ref="J75:J82" si="10">ROUND(I75*E75,)</f>
        <v>3300</v>
      </c>
      <c r="K75" s="1273">
        <f t="shared" ref="K75:K82" si="11">H75+J75</f>
        <v>5500</v>
      </c>
      <c r="L75" s="2082" t="s">
        <v>2667</v>
      </c>
      <c r="N75" s="1199">
        <v>79.17</v>
      </c>
      <c r="O75" s="1199">
        <f>ROUND(N75/4,)</f>
        <v>20</v>
      </c>
    </row>
    <row r="76" spans="1:15" s="1199" customFormat="1" ht="24" customHeight="1">
      <c r="A76" s="1564"/>
      <c r="B76" s="1597" t="s">
        <v>1339</v>
      </c>
      <c r="C76" s="1533"/>
      <c r="D76" s="1534"/>
      <c r="E76" s="1566">
        <v>22</v>
      </c>
      <c r="F76" s="1567" t="s">
        <v>226</v>
      </c>
      <c r="G76" s="1516">
        <v>26</v>
      </c>
      <c r="H76" s="1264">
        <f t="shared" si="9"/>
        <v>572</v>
      </c>
      <c r="I76" s="1265">
        <v>30</v>
      </c>
      <c r="J76" s="1264">
        <f t="shared" si="10"/>
        <v>660</v>
      </c>
      <c r="K76" s="1273">
        <f t="shared" si="11"/>
        <v>1232</v>
      </c>
      <c r="L76" s="2082" t="s">
        <v>2667</v>
      </c>
      <c r="N76" s="1199">
        <v>103.74</v>
      </c>
      <c r="O76" s="1199">
        <f t="shared" ref="O76:O79" si="12">ROUND(N76/4,)</f>
        <v>26</v>
      </c>
    </row>
    <row r="77" spans="1:15" s="1199" customFormat="1" ht="24" customHeight="1">
      <c r="A77" s="1564"/>
      <c r="B77" s="1597" t="s">
        <v>1340</v>
      </c>
      <c r="C77" s="1533"/>
      <c r="D77" s="1534"/>
      <c r="E77" s="1566">
        <v>36</v>
      </c>
      <c r="F77" s="1567" t="s">
        <v>226</v>
      </c>
      <c r="G77" s="1516">
        <v>41</v>
      </c>
      <c r="H77" s="1264">
        <f t="shared" si="9"/>
        <v>1476</v>
      </c>
      <c r="I77" s="1265">
        <v>40</v>
      </c>
      <c r="J77" s="1264">
        <f t="shared" si="10"/>
        <v>1440</v>
      </c>
      <c r="K77" s="1273">
        <f t="shared" si="11"/>
        <v>2916</v>
      </c>
      <c r="L77" s="2082" t="s">
        <v>2667</v>
      </c>
      <c r="N77" s="1199">
        <v>163.80000000000001</v>
      </c>
      <c r="O77" s="1199">
        <f t="shared" si="12"/>
        <v>41</v>
      </c>
    </row>
    <row r="78" spans="1:15" s="1199" customFormat="1" ht="24" customHeight="1">
      <c r="A78" s="1564"/>
      <c r="B78" s="1597" t="s">
        <v>1341</v>
      </c>
      <c r="C78" s="1533"/>
      <c r="D78" s="1534"/>
      <c r="E78" s="1566">
        <v>28</v>
      </c>
      <c r="F78" s="1567" t="s">
        <v>226</v>
      </c>
      <c r="G78" s="1516">
        <v>65</v>
      </c>
      <c r="H78" s="1264">
        <f t="shared" si="9"/>
        <v>1820</v>
      </c>
      <c r="I78" s="1265">
        <v>50</v>
      </c>
      <c r="J78" s="1264">
        <f t="shared" si="10"/>
        <v>1400</v>
      </c>
      <c r="K78" s="1273">
        <f t="shared" si="11"/>
        <v>3220</v>
      </c>
      <c r="L78" s="2082" t="s">
        <v>2667</v>
      </c>
      <c r="N78" s="1199">
        <v>259.35000000000002</v>
      </c>
      <c r="O78" s="1199">
        <f t="shared" si="12"/>
        <v>65</v>
      </c>
    </row>
    <row r="79" spans="1:15" s="1199" customFormat="1" ht="24" customHeight="1">
      <c r="A79" s="1564"/>
      <c r="B79" s="1597" t="s">
        <v>1342</v>
      </c>
      <c r="C79" s="1533"/>
      <c r="D79" s="1534"/>
      <c r="E79" s="1566">
        <v>89</v>
      </c>
      <c r="F79" s="1567" t="s">
        <v>226</v>
      </c>
      <c r="G79" s="1516">
        <v>90</v>
      </c>
      <c r="H79" s="1264">
        <f t="shared" si="9"/>
        <v>8010</v>
      </c>
      <c r="I79" s="1265">
        <v>75</v>
      </c>
      <c r="J79" s="1264">
        <f t="shared" si="10"/>
        <v>6675</v>
      </c>
      <c r="K79" s="1273">
        <f t="shared" si="11"/>
        <v>14685</v>
      </c>
      <c r="L79" s="2082" t="s">
        <v>2667</v>
      </c>
      <c r="N79" s="1199">
        <v>359.45</v>
      </c>
      <c r="O79" s="1199">
        <f t="shared" si="12"/>
        <v>90</v>
      </c>
    </row>
    <row r="80" spans="1:15" s="1199" customFormat="1" ht="24" customHeight="1">
      <c r="A80" s="1564"/>
      <c r="B80" s="1597" t="s">
        <v>1719</v>
      </c>
      <c r="C80" s="1533"/>
      <c r="D80" s="1534"/>
      <c r="E80" s="1566">
        <v>1</v>
      </c>
      <c r="F80" s="1567" t="s">
        <v>1104</v>
      </c>
      <c r="G80" s="1516">
        <f>ROUND(SUM(H75:H79)*40%,)</f>
        <v>5631</v>
      </c>
      <c r="H80" s="1264">
        <f t="shared" si="9"/>
        <v>5631</v>
      </c>
      <c r="I80" s="1595">
        <f>ROUND(G80*0.3,)</f>
        <v>1689</v>
      </c>
      <c r="J80" s="1264">
        <f t="shared" si="10"/>
        <v>1689</v>
      </c>
      <c r="K80" s="1273">
        <f t="shared" si="11"/>
        <v>7320</v>
      </c>
      <c r="L80" s="1635"/>
    </row>
    <row r="81" spans="1:12" s="1199" customFormat="1" ht="24" customHeight="1">
      <c r="A81" s="1564"/>
      <c r="B81" s="1597" t="s">
        <v>1720</v>
      </c>
      <c r="C81" s="1533"/>
      <c r="D81" s="1534"/>
      <c r="E81" s="1566">
        <v>1</v>
      </c>
      <c r="F81" s="1567" t="s">
        <v>1104</v>
      </c>
      <c r="G81" s="1516">
        <f>ROUND(SUM(H75:H79)*30%,)</f>
        <v>4223</v>
      </c>
      <c r="H81" s="1264">
        <f t="shared" si="9"/>
        <v>4223</v>
      </c>
      <c r="I81" s="1595">
        <f>ROUND(G81*0.3,)</f>
        <v>1267</v>
      </c>
      <c r="J81" s="1264">
        <f t="shared" si="10"/>
        <v>1267</v>
      </c>
      <c r="K81" s="1273">
        <f t="shared" si="11"/>
        <v>5490</v>
      </c>
      <c r="L81" s="1635"/>
    </row>
    <row r="82" spans="1:12" s="1199" customFormat="1" ht="24" customHeight="1">
      <c r="A82" s="1564"/>
      <c r="B82" s="1597" t="s">
        <v>1756</v>
      </c>
      <c r="C82" s="1533"/>
      <c r="D82" s="1534"/>
      <c r="E82" s="1566">
        <v>1</v>
      </c>
      <c r="F82" s="1567" t="s">
        <v>1104</v>
      </c>
      <c r="G82" s="1516">
        <f>ROUND(SUM(H75:H79)*10%,)</f>
        <v>1408</v>
      </c>
      <c r="H82" s="1264">
        <f t="shared" si="9"/>
        <v>1408</v>
      </c>
      <c r="I82" s="1595">
        <f>ROUND(G82*0.3,)</f>
        <v>422</v>
      </c>
      <c r="J82" s="1264">
        <f t="shared" si="10"/>
        <v>422</v>
      </c>
      <c r="K82" s="1273">
        <f t="shared" si="11"/>
        <v>1830</v>
      </c>
      <c r="L82" s="1635"/>
    </row>
    <row r="83" spans="1:12" s="1199" customFormat="1" ht="24" customHeight="1">
      <c r="A83" s="1564" t="s">
        <v>1757</v>
      </c>
      <c r="B83" s="1597" t="s">
        <v>1832</v>
      </c>
      <c r="C83" s="1533"/>
      <c r="D83" s="1534"/>
      <c r="E83" s="1566"/>
      <c r="F83" s="1567"/>
      <c r="G83" s="1516"/>
      <c r="H83" s="1264"/>
      <c r="I83" s="1265"/>
      <c r="J83" s="1264"/>
      <c r="K83" s="1273"/>
      <c r="L83" s="1635"/>
    </row>
    <row r="84" spans="1:12" s="1199" customFormat="1" ht="24" customHeight="1">
      <c r="A84" s="1564"/>
      <c r="B84" s="1597" t="s">
        <v>1340</v>
      </c>
      <c r="C84" s="1533"/>
      <c r="D84" s="1534"/>
      <c r="E84" s="1566">
        <v>34</v>
      </c>
      <c r="F84" s="1567" t="s">
        <v>363</v>
      </c>
      <c r="G84" s="1516">
        <f>ROUND(665*0.7,)</f>
        <v>466</v>
      </c>
      <c r="H84" s="1264">
        <f>ROUND(E84*G84,)</f>
        <v>15844</v>
      </c>
      <c r="I84" s="1265">
        <v>200</v>
      </c>
      <c r="J84" s="1264">
        <f>ROUND(I84*E84,)</f>
        <v>6800</v>
      </c>
      <c r="K84" s="1273">
        <f>H84+J84</f>
        <v>22644</v>
      </c>
      <c r="L84" s="1635"/>
    </row>
    <row r="85" spans="1:12" s="1199" customFormat="1" ht="24" customHeight="1">
      <c r="A85" s="1564"/>
      <c r="B85" s="1597"/>
      <c r="C85" s="1533"/>
      <c r="D85" s="1534"/>
      <c r="E85" s="1566"/>
      <c r="F85" s="1567"/>
      <c r="G85" s="1516"/>
      <c r="H85" s="1264"/>
      <c r="I85" s="1265"/>
      <c r="J85" s="1264"/>
      <c r="K85" s="1273"/>
      <c r="L85" s="1635"/>
    </row>
    <row r="86" spans="1:12" s="1199" customFormat="1" ht="24" customHeight="1">
      <c r="A86" s="1564" t="s">
        <v>1760</v>
      </c>
      <c r="B86" s="1597" t="s">
        <v>1780</v>
      </c>
      <c r="C86" s="1533"/>
      <c r="D86" s="1534"/>
      <c r="E86" s="1566"/>
      <c r="F86" s="1567"/>
      <c r="G86" s="1516"/>
      <c r="H86" s="1264"/>
      <c r="I86" s="1265"/>
      <c r="J86" s="1264"/>
      <c r="K86" s="1273"/>
      <c r="L86" s="1635"/>
    </row>
    <row r="87" spans="1:12" s="1199" customFormat="1" ht="24" customHeight="1">
      <c r="A87" s="1564"/>
      <c r="B87" s="1597" t="s">
        <v>1340</v>
      </c>
      <c r="C87" s="1533"/>
      <c r="D87" s="1534"/>
      <c r="E87" s="1566">
        <v>18</v>
      </c>
      <c r="F87" s="1567" t="s">
        <v>363</v>
      </c>
      <c r="G87" s="1516">
        <f>ROUND(240*0.75,)</f>
        <v>180</v>
      </c>
      <c r="H87" s="1264">
        <f>ROUND(E87*G87,)</f>
        <v>3240</v>
      </c>
      <c r="I87" s="1265">
        <v>100</v>
      </c>
      <c r="J87" s="1264">
        <f>ROUND(I87*E87,)</f>
        <v>1800</v>
      </c>
      <c r="K87" s="1273">
        <f>H87+J87</f>
        <v>5040</v>
      </c>
      <c r="L87" s="1635"/>
    </row>
    <row r="88" spans="1:12" s="1199" customFormat="1" ht="24" customHeight="1">
      <c r="A88" s="1564"/>
      <c r="B88" s="1597" t="s">
        <v>1342</v>
      </c>
      <c r="C88" s="1533"/>
      <c r="D88" s="1534"/>
      <c r="E88" s="1566">
        <v>4</v>
      </c>
      <c r="F88" s="1567" t="s">
        <v>363</v>
      </c>
      <c r="G88" s="1516">
        <f>ROUND(360*0.75,)</f>
        <v>270</v>
      </c>
      <c r="H88" s="1264">
        <f>ROUND(E88*G88,)</f>
        <v>1080</v>
      </c>
      <c r="I88" s="1265">
        <v>150</v>
      </c>
      <c r="J88" s="1264">
        <f>ROUND(I88*E88,)</f>
        <v>600</v>
      </c>
      <c r="K88" s="1273">
        <f>H88+J88</f>
        <v>1680</v>
      </c>
      <c r="L88" s="1635"/>
    </row>
    <row r="89" spans="1:12" s="1199" customFormat="1" ht="24" customHeight="1">
      <c r="A89" s="1637"/>
      <c r="B89" s="1597" t="s">
        <v>1759</v>
      </c>
      <c r="C89" s="1533"/>
      <c r="D89" s="1534"/>
      <c r="E89" s="1566">
        <v>4</v>
      </c>
      <c r="F89" s="1567" t="s">
        <v>363</v>
      </c>
      <c r="G89" s="1516">
        <f>ROUND(500*0.75,)</f>
        <v>375</v>
      </c>
      <c r="H89" s="1264">
        <f>ROUND(E89*G89,)</f>
        <v>1500</v>
      </c>
      <c r="I89" s="1265">
        <v>200</v>
      </c>
      <c r="J89" s="1264">
        <f>ROUND(I89*E89,)</f>
        <v>800</v>
      </c>
      <c r="K89" s="1273">
        <f>H89+J89</f>
        <v>2300</v>
      </c>
      <c r="L89" s="1635"/>
    </row>
    <row r="90" spans="1:12" s="1199" customFormat="1" ht="24" customHeight="1">
      <c r="A90" s="1564"/>
      <c r="B90" s="1597" t="s">
        <v>1754</v>
      </c>
      <c r="C90" s="1533"/>
      <c r="D90" s="1534"/>
      <c r="E90" s="1566">
        <v>2</v>
      </c>
      <c r="F90" s="1567" t="s">
        <v>363</v>
      </c>
      <c r="G90" s="1516">
        <f>ROUND(950*0.75,)</f>
        <v>713</v>
      </c>
      <c r="H90" s="1264">
        <f>ROUND(E90*G90,)</f>
        <v>1426</v>
      </c>
      <c r="I90" s="1265">
        <v>300</v>
      </c>
      <c r="J90" s="1264">
        <f>ROUND(I90*E90,)</f>
        <v>600</v>
      </c>
      <c r="K90" s="1273">
        <f>H90+J90</f>
        <v>2026</v>
      </c>
      <c r="L90" s="1635"/>
    </row>
    <row r="91" spans="1:12" s="1199" customFormat="1" ht="24" customHeight="1">
      <c r="A91" s="1564"/>
      <c r="B91" s="1597"/>
      <c r="C91" s="1533"/>
      <c r="D91" s="1534"/>
      <c r="E91" s="1566"/>
      <c r="F91" s="1567"/>
      <c r="G91" s="1516"/>
      <c r="H91" s="1264"/>
      <c r="I91" s="1265"/>
      <c r="J91" s="1264"/>
      <c r="K91" s="1273"/>
      <c r="L91" s="1635"/>
    </row>
    <row r="92" spans="1:12" s="1199" customFormat="1" ht="24" customHeight="1">
      <c r="A92" s="1564"/>
      <c r="B92" s="1597"/>
      <c r="C92" s="1533"/>
      <c r="D92" s="1534"/>
      <c r="E92" s="1566"/>
      <c r="F92" s="1567"/>
      <c r="G92" s="1516"/>
      <c r="H92" s="1264"/>
      <c r="I92" s="1265"/>
      <c r="J92" s="1264"/>
      <c r="K92" s="1273"/>
      <c r="L92" s="1635"/>
    </row>
    <row r="93" spans="1:12" s="1199" customFormat="1" ht="24" customHeight="1">
      <c r="A93" s="1572"/>
      <c r="B93" s="1597"/>
      <c r="C93" s="1533"/>
      <c r="D93" s="1604"/>
      <c r="E93" s="1566"/>
      <c r="F93" s="1534"/>
      <c r="G93" s="1516"/>
      <c r="H93" s="1264"/>
      <c r="I93" s="1265"/>
      <c r="J93" s="1264"/>
      <c r="K93" s="1273"/>
      <c r="L93" s="1635"/>
    </row>
    <row r="94" spans="1:12" s="1199" customFormat="1" ht="24" customHeight="1">
      <c r="A94" s="1572"/>
      <c r="B94" s="1652"/>
      <c r="C94" s="1574"/>
      <c r="D94" s="1653"/>
      <c r="E94" s="1598"/>
      <c r="F94" s="1575"/>
      <c r="G94" s="1351"/>
      <c r="H94" s="1281"/>
      <c r="I94" s="1282"/>
      <c r="J94" s="1281"/>
      <c r="K94" s="1405"/>
      <c r="L94" s="1639"/>
    </row>
    <row r="95" spans="1:12" s="1199" customFormat="1" ht="24" customHeight="1">
      <c r="A95" s="1578"/>
      <c r="B95" s="2257" t="str">
        <f>"รวมราคารายการที่ "&amp;A65</f>
        <v>รวมราคารายการที่ 5.2</v>
      </c>
      <c r="C95" s="2258"/>
      <c r="D95" s="2259"/>
      <c r="E95" s="1579"/>
      <c r="F95" s="1579"/>
      <c r="G95" s="1580"/>
      <c r="H95" s="1581">
        <f>SUM(H66:H94)</f>
        <v>235065</v>
      </c>
      <c r="I95" s="1582"/>
      <c r="J95" s="1581">
        <f>SUM(J66:J94)</f>
        <v>84288</v>
      </c>
      <c r="K95" s="1583">
        <f>SUM(K66:K94)</f>
        <v>319353</v>
      </c>
      <c r="L95" s="1630"/>
    </row>
    <row r="96" spans="1:12" s="1199" customFormat="1" ht="24" customHeight="1">
      <c r="A96" s="1584">
        <v>5.3</v>
      </c>
      <c r="B96" s="1606" t="s">
        <v>1768</v>
      </c>
      <c r="C96" s="1294"/>
      <c r="D96" s="1294"/>
      <c r="E96" s="1586"/>
      <c r="F96" s="1296"/>
      <c r="G96" s="1357"/>
      <c r="H96" s="1298"/>
      <c r="I96" s="1299"/>
      <c r="J96" s="1298"/>
      <c r="K96" s="1382"/>
      <c r="L96" s="1638"/>
    </row>
    <row r="97" spans="1:15" s="1199" customFormat="1" ht="24" customHeight="1">
      <c r="A97" s="1572" t="s">
        <v>1769</v>
      </c>
      <c r="B97" s="1573" t="s">
        <v>1778</v>
      </c>
      <c r="C97" s="1574"/>
      <c r="D97" s="1575"/>
      <c r="E97" s="1598"/>
      <c r="F97" s="1577"/>
      <c r="G97" s="1351"/>
      <c r="H97" s="1281"/>
      <c r="I97" s="1282"/>
      <c r="J97" s="1281"/>
      <c r="K97" s="1405"/>
      <c r="L97" s="1639"/>
    </row>
    <row r="98" spans="1:15" s="1199" customFormat="1" ht="24" customHeight="1">
      <c r="A98" s="1564"/>
      <c r="B98" s="1565" t="s">
        <v>1716</v>
      </c>
      <c r="C98" s="1533"/>
      <c r="D98" s="1534"/>
      <c r="E98" s="1566">
        <v>130</v>
      </c>
      <c r="F98" s="1567" t="s">
        <v>226</v>
      </c>
      <c r="G98" s="1516">
        <v>385</v>
      </c>
      <c r="H98" s="1264">
        <f>ROUND(E98*G98,)</f>
        <v>50050</v>
      </c>
      <c r="I98" s="1265">
        <v>145</v>
      </c>
      <c r="J98" s="1264">
        <f>ROUND(I98*E98,)</f>
        <v>18850</v>
      </c>
      <c r="K98" s="1273">
        <f>H98+J98</f>
        <v>68900</v>
      </c>
      <c r="L98" s="2082" t="s">
        <v>2667</v>
      </c>
      <c r="N98" s="1199">
        <v>3364.2</v>
      </c>
      <c r="O98" s="1199">
        <f>ROUND(N98/6,)</f>
        <v>561</v>
      </c>
    </row>
    <row r="99" spans="1:15" s="1199" customFormat="1" ht="24" customHeight="1">
      <c r="A99" s="1564"/>
      <c r="B99" s="1565" t="s">
        <v>1759</v>
      </c>
      <c r="C99" s="1533"/>
      <c r="D99" s="1534"/>
      <c r="E99" s="1566">
        <v>37</v>
      </c>
      <c r="F99" s="1567" t="s">
        <v>226</v>
      </c>
      <c r="G99" s="1516">
        <v>561</v>
      </c>
      <c r="H99" s="1264">
        <f t="shared" ref="H99" si="13">ROUND(E99*G99,)</f>
        <v>20757</v>
      </c>
      <c r="I99" s="1265">
        <v>200</v>
      </c>
      <c r="J99" s="1264">
        <f t="shared" ref="J99" si="14">ROUND(I99*E99,)</f>
        <v>7400</v>
      </c>
      <c r="K99" s="1273">
        <f t="shared" ref="K99" si="15">H99+J99</f>
        <v>28157</v>
      </c>
      <c r="L99" s="1635"/>
    </row>
    <row r="100" spans="1:15" s="1199" customFormat="1" ht="24" customHeight="1">
      <c r="A100" s="1564"/>
      <c r="B100" s="1565" t="s">
        <v>1719</v>
      </c>
      <c r="C100" s="1533"/>
      <c r="D100" s="1534"/>
      <c r="E100" s="1566">
        <v>1</v>
      </c>
      <c r="F100" s="1567" t="s">
        <v>1104</v>
      </c>
      <c r="G100" s="1516">
        <f>ROUND(SUM(H98:H99)*40%,)</f>
        <v>28323</v>
      </c>
      <c r="H100" s="1264">
        <f>ROUND(E100*G100,)</f>
        <v>28323</v>
      </c>
      <c r="I100" s="1595">
        <f>ROUND(G100*0.3,)</f>
        <v>8497</v>
      </c>
      <c r="J100" s="1264">
        <f>ROUND(I100*E100,)</f>
        <v>8497</v>
      </c>
      <c r="K100" s="1273">
        <f>H100+J100</f>
        <v>36820</v>
      </c>
      <c r="L100" s="1635"/>
    </row>
    <row r="101" spans="1:15" s="1199" customFormat="1" ht="24" customHeight="1">
      <c r="A101" s="1564"/>
      <c r="B101" s="1565" t="s">
        <v>1720</v>
      </c>
      <c r="C101" s="1533"/>
      <c r="D101" s="1534"/>
      <c r="E101" s="1566">
        <v>1</v>
      </c>
      <c r="F101" s="1567" t="s">
        <v>1104</v>
      </c>
      <c r="G101" s="1516">
        <f>ROUND(SUM(H98:H99)*20%,)</f>
        <v>14161</v>
      </c>
      <c r="H101" s="1264">
        <f>ROUND(E101*G101,)</f>
        <v>14161</v>
      </c>
      <c r="I101" s="1595">
        <f>ROUND(G101*0.3,)</f>
        <v>4248</v>
      </c>
      <c r="J101" s="1264">
        <f>ROUND(I101*E101,)</f>
        <v>4248</v>
      </c>
      <c r="K101" s="1273">
        <f>H101+J101</f>
        <v>18409</v>
      </c>
      <c r="L101" s="1640"/>
    </row>
    <row r="102" spans="1:15" s="1199" customFormat="1" ht="24" customHeight="1">
      <c r="A102" s="1564"/>
      <c r="B102" s="1565" t="s">
        <v>1756</v>
      </c>
      <c r="C102" s="1533"/>
      <c r="D102" s="1534"/>
      <c r="E102" s="1566">
        <v>1</v>
      </c>
      <c r="F102" s="1567" t="s">
        <v>1104</v>
      </c>
      <c r="G102" s="1516">
        <f>ROUND(SUM(H98:H99)*10%,)</f>
        <v>7081</v>
      </c>
      <c r="H102" s="1264">
        <f>ROUND(E102*G102,)</f>
        <v>7081</v>
      </c>
      <c r="I102" s="1595">
        <f>ROUND(G102*0.3,)</f>
        <v>2124</v>
      </c>
      <c r="J102" s="1264">
        <f>ROUND(I102*E102,)</f>
        <v>2124</v>
      </c>
      <c r="K102" s="1273">
        <f>H102+J102</f>
        <v>9205</v>
      </c>
      <c r="L102" s="1635"/>
    </row>
    <row r="103" spans="1:15" s="1199" customFormat="1" ht="24" customHeight="1">
      <c r="A103" s="1564" t="s">
        <v>1775</v>
      </c>
      <c r="B103" s="1565" t="s">
        <v>1833</v>
      </c>
      <c r="C103" s="1533"/>
      <c r="D103" s="1534"/>
      <c r="E103" s="1566"/>
      <c r="F103" s="1567"/>
      <c r="G103" s="1516"/>
      <c r="H103" s="1264"/>
      <c r="I103" s="1265"/>
      <c r="J103" s="1264"/>
      <c r="K103" s="1273"/>
      <c r="L103" s="1635"/>
    </row>
    <row r="104" spans="1:15" s="1199" customFormat="1" ht="24" customHeight="1">
      <c r="A104" s="1564"/>
      <c r="B104" s="1565" t="s">
        <v>1759</v>
      </c>
      <c r="C104" s="1533"/>
      <c r="D104" s="1534"/>
      <c r="E104" s="1566">
        <v>9</v>
      </c>
      <c r="F104" s="1567" t="s">
        <v>363</v>
      </c>
      <c r="G104" s="1516">
        <v>648</v>
      </c>
      <c r="H104" s="1264">
        <f>ROUND(E104*G104,)</f>
        <v>5832</v>
      </c>
      <c r="I104" s="1265">
        <v>400</v>
      </c>
      <c r="J104" s="1264">
        <f>ROUND(I104*E104,)</f>
        <v>3600</v>
      </c>
      <c r="K104" s="1273">
        <f>H104+J104</f>
        <v>9432</v>
      </c>
      <c r="L104" s="1635"/>
    </row>
    <row r="105" spans="1:15" s="1199" customFormat="1" ht="24" customHeight="1">
      <c r="A105" s="1564" t="s">
        <v>1777</v>
      </c>
      <c r="B105" s="1597" t="s">
        <v>1832</v>
      </c>
      <c r="C105" s="1533"/>
      <c r="E105" s="1566"/>
      <c r="F105" s="1567"/>
      <c r="G105" s="1516"/>
      <c r="H105" s="1264"/>
      <c r="I105" s="1265"/>
      <c r="J105" s="1264"/>
      <c r="K105" s="1273"/>
      <c r="L105" s="1635"/>
    </row>
    <row r="106" spans="1:15" s="1199" customFormat="1" ht="24" customHeight="1">
      <c r="A106" s="1564"/>
      <c r="B106" s="1597" t="s">
        <v>1340</v>
      </c>
      <c r="C106" s="1533"/>
      <c r="D106" s="1534"/>
      <c r="E106" s="1566">
        <v>6</v>
      </c>
      <c r="F106" s="1567" t="s">
        <v>363</v>
      </c>
      <c r="G106" s="1516">
        <f>ROUND(665*0.7,)</f>
        <v>466</v>
      </c>
      <c r="H106" s="1264">
        <f>ROUND(E106*G106,)</f>
        <v>2796</v>
      </c>
      <c r="I106" s="1265">
        <v>200</v>
      </c>
      <c r="J106" s="1264">
        <f>ROUND(I106*E106,)</f>
        <v>1200</v>
      </c>
      <c r="K106" s="1273">
        <f>H106+J106</f>
        <v>3996</v>
      </c>
      <c r="L106" s="1635"/>
    </row>
    <row r="107" spans="1:15" s="1199" customFormat="1" ht="24" customHeight="1">
      <c r="A107" s="1564"/>
      <c r="B107" s="1565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5"/>
    </row>
    <row r="108" spans="1:15" s="1199" customFormat="1" ht="24" customHeight="1">
      <c r="A108" s="1564"/>
      <c r="B108" s="1565"/>
      <c r="C108" s="1533"/>
      <c r="D108" s="1534"/>
      <c r="E108" s="1566"/>
      <c r="F108" s="1567"/>
      <c r="G108" s="1593"/>
      <c r="H108" s="1264"/>
      <c r="I108" s="1265"/>
      <c r="J108" s="1264"/>
      <c r="K108" s="1273"/>
      <c r="L108" s="1635"/>
    </row>
    <row r="109" spans="1:15" s="1199" customFormat="1" ht="24" customHeight="1">
      <c r="A109" s="1578"/>
      <c r="B109" s="2257" t="str">
        <f>"รวมราคารายการที่ "&amp;A96</f>
        <v>รวมราคารายการที่ 5.3</v>
      </c>
      <c r="C109" s="2258"/>
      <c r="D109" s="2259"/>
      <c r="E109" s="1579"/>
      <c r="F109" s="1579"/>
      <c r="G109" s="1580"/>
      <c r="H109" s="1581">
        <f>SUM(H97:H108)</f>
        <v>129000</v>
      </c>
      <c r="I109" s="1582"/>
      <c r="J109" s="1581">
        <f>SUM(J97:J108)</f>
        <v>45919</v>
      </c>
      <c r="K109" s="1583">
        <f>SUM(K97:K108)</f>
        <v>174919</v>
      </c>
      <c r="L109" s="1630"/>
    </row>
    <row r="110" spans="1:15" s="1199" customFormat="1" ht="21.3">
      <c r="A110" s="1427"/>
      <c r="E110" s="1570"/>
    </row>
    <row r="111" spans="1:15" s="1199" customFormat="1" ht="21.3">
      <c r="A111" s="1427"/>
      <c r="E111" s="1570"/>
    </row>
    <row r="112" spans="1:15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4:D64"/>
    <mergeCell ref="B95:D95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3-อาคารด้านทิศตะวันตก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80D2E-8EBC-488C-B40A-9823B2AF7150}">
  <sheetPr>
    <tabColor rgb="FF92D050"/>
  </sheetPr>
  <dimension ref="A1:O131"/>
  <sheetViews>
    <sheetView showGridLines="0" view="pageBreakPreview" topLeftCell="A88" zoomScale="85" zoomScaleNormal="60" zoomScaleSheetLayoutView="85" workbookViewId="0">
      <selection activeCell="E113" sqref="E113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87890625" style="1" customWidth="1"/>
    <col min="13" max="13" width="12.29296875" style="1" customWidth="1"/>
    <col min="14" max="14" width="9.5859375" style="1" bestFit="1" customWidth="1"/>
    <col min="15" max="88" width="7.703125" style="1" customWidth="1"/>
    <col min="8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1845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627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H64</f>
        <v>186052</v>
      </c>
      <c r="I13" s="1197"/>
      <c r="J13" s="1196">
        <f>J64</f>
        <v>60297</v>
      </c>
      <c r="K13" s="1553">
        <f>SUM(H13:J13)</f>
        <v>246349</v>
      </c>
      <c r="L13" s="1627"/>
    </row>
    <row r="14" spans="1:12" s="1199" customFormat="1" ht="24" customHeight="1">
      <c r="A14" s="1572" t="str">
        <f>A65</f>
        <v>5.2</v>
      </c>
      <c r="B14" s="1573" t="str">
        <f>B65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H97</f>
        <v>234102</v>
      </c>
      <c r="I14" s="1230"/>
      <c r="J14" s="1229">
        <f>J97</f>
        <v>83841</v>
      </c>
      <c r="K14" s="1553">
        <f>SUM(H14:J14)</f>
        <v>317943</v>
      </c>
      <c r="L14" s="1628"/>
    </row>
    <row r="15" spans="1:12" s="1199" customFormat="1" ht="24" customHeight="1">
      <c r="A15" s="1572">
        <f>A98</f>
        <v>5.3</v>
      </c>
      <c r="B15" s="1573" t="str">
        <f>B98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128728</v>
      </c>
      <c r="I15" s="1230"/>
      <c r="J15" s="1229">
        <f>J109</f>
        <v>45299</v>
      </c>
      <c r="K15" s="1553">
        <f>SUM(H15:J15)</f>
        <v>174027</v>
      </c>
      <c r="L15" s="1628"/>
    </row>
    <row r="16" spans="1:12" s="1199" customFormat="1" ht="24" customHeight="1">
      <c r="A16" s="1641"/>
      <c r="B16" s="1573"/>
      <c r="C16" s="1574"/>
      <c r="D16" s="1575"/>
      <c r="E16" s="1598"/>
      <c r="F16" s="1577"/>
      <c r="G16" s="1228"/>
      <c r="H16" s="1229"/>
      <c r="I16" s="1230"/>
      <c r="J16" s="1229"/>
      <c r="K16" s="1553"/>
      <c r="L16" s="1628"/>
    </row>
    <row r="17" spans="1:12" s="1199" customFormat="1" ht="24" customHeight="1">
      <c r="A17" s="1641"/>
      <c r="B17" s="1573"/>
      <c r="C17" s="1574"/>
      <c r="D17" s="1575"/>
      <c r="E17" s="1598"/>
      <c r="F17" s="1577"/>
      <c r="G17" s="1228"/>
      <c r="H17" s="1229"/>
      <c r="I17" s="1230"/>
      <c r="J17" s="1229"/>
      <c r="K17" s="1553"/>
      <c r="L17" s="1628"/>
    </row>
    <row r="18" spans="1:12" s="1199" customFormat="1" ht="24" customHeight="1">
      <c r="A18" s="1641"/>
      <c r="B18" s="1573"/>
      <c r="C18" s="1574"/>
      <c r="D18" s="1575"/>
      <c r="E18" s="1598"/>
      <c r="F18" s="1577"/>
      <c r="G18" s="1228"/>
      <c r="H18" s="1229"/>
      <c r="I18" s="1230"/>
      <c r="J18" s="1229"/>
      <c r="K18" s="1553"/>
      <c r="L18" s="1628"/>
    </row>
    <row r="19" spans="1:12" s="1199" customFormat="1" ht="24" customHeight="1">
      <c r="A19" s="1641"/>
      <c r="B19" s="1573"/>
      <c r="C19" s="1574"/>
      <c r="D19" s="1575"/>
      <c r="E19" s="1598"/>
      <c r="F19" s="1577"/>
      <c r="G19" s="1228"/>
      <c r="H19" s="1229"/>
      <c r="I19" s="1230"/>
      <c r="J19" s="1229"/>
      <c r="K19" s="1553"/>
      <c r="L19" s="1628"/>
    </row>
    <row r="20" spans="1:12" s="1199" customFormat="1" ht="24" customHeight="1">
      <c r="A20" s="1641"/>
      <c r="B20" s="1573"/>
      <c r="C20" s="1574"/>
      <c r="D20" s="1575"/>
      <c r="E20" s="1598"/>
      <c r="F20" s="1577"/>
      <c r="G20" s="1228"/>
      <c r="H20" s="1229"/>
      <c r="I20" s="1230"/>
      <c r="J20" s="1229"/>
      <c r="K20" s="1553"/>
      <c r="L20" s="1628"/>
    </row>
    <row r="21" spans="1:12" s="1199" customFormat="1" ht="24" customHeight="1">
      <c r="A21" s="1641"/>
      <c r="B21" s="1573"/>
      <c r="C21" s="1574"/>
      <c r="D21" s="1575"/>
      <c r="E21" s="1598"/>
      <c r="F21" s="1577"/>
      <c r="G21" s="1228"/>
      <c r="H21" s="1229"/>
      <c r="I21" s="1230"/>
      <c r="J21" s="1229"/>
      <c r="K21" s="1553"/>
      <c r="L21" s="1628"/>
    </row>
    <row r="22" spans="1:12" s="1199" customFormat="1" ht="24" customHeight="1">
      <c r="A22" s="1641"/>
      <c r="B22" s="1573"/>
      <c r="C22" s="1574"/>
      <c r="D22" s="1575"/>
      <c r="E22" s="1598"/>
      <c r="F22" s="1577"/>
      <c r="G22" s="1228"/>
      <c r="H22" s="1229"/>
      <c r="I22" s="1230"/>
      <c r="J22" s="1229"/>
      <c r="K22" s="1553"/>
      <c r="L22" s="1628"/>
    </row>
    <row r="23" spans="1:12" s="1199" customFormat="1" ht="24" customHeight="1">
      <c r="A23" s="1641"/>
      <c r="B23" s="1573"/>
      <c r="C23" s="1574"/>
      <c r="D23" s="1575"/>
      <c r="E23" s="1598"/>
      <c r="F23" s="1577"/>
      <c r="G23" s="1228"/>
      <c r="H23" s="1229"/>
      <c r="I23" s="1230"/>
      <c r="J23" s="1229"/>
      <c r="K23" s="1553"/>
      <c r="L23" s="1628"/>
    </row>
    <row r="24" spans="1:12" s="1199" customFormat="1" ht="24" customHeight="1">
      <c r="A24" s="1641"/>
      <c r="B24" s="1573"/>
      <c r="C24" s="1574"/>
      <c r="D24" s="1575"/>
      <c r="E24" s="1598"/>
      <c r="F24" s="1577"/>
      <c r="G24" s="1228"/>
      <c r="H24" s="1229"/>
      <c r="I24" s="1230"/>
      <c r="J24" s="1229"/>
      <c r="K24" s="1553"/>
      <c r="L24" s="1628"/>
    </row>
    <row r="25" spans="1:12" s="1199" customFormat="1" ht="24" customHeight="1">
      <c r="A25" s="1641"/>
      <c r="B25" s="1573"/>
      <c r="C25" s="1574"/>
      <c r="D25" s="1575"/>
      <c r="E25" s="1598"/>
      <c r="F25" s="1577"/>
      <c r="G25" s="1228"/>
      <c r="H25" s="1229"/>
      <c r="I25" s="1230"/>
      <c r="J25" s="1229"/>
      <c r="K25" s="1553"/>
      <c r="L25" s="1628"/>
    </row>
    <row r="26" spans="1:12" s="1199" customFormat="1" ht="24" customHeight="1">
      <c r="A26" s="1641"/>
      <c r="B26" s="1573"/>
      <c r="C26" s="1574"/>
      <c r="D26" s="1575"/>
      <c r="E26" s="1598"/>
      <c r="F26" s="1577"/>
      <c r="G26" s="1228"/>
      <c r="H26" s="1229"/>
      <c r="I26" s="1230"/>
      <c r="J26" s="1229"/>
      <c r="K26" s="1553"/>
      <c r="L26" s="1628"/>
    </row>
    <row r="27" spans="1:12" s="1199" customFormat="1" ht="24" customHeight="1">
      <c r="A27" s="1641"/>
      <c r="B27" s="1573"/>
      <c r="C27" s="1574"/>
      <c r="D27" s="1575"/>
      <c r="E27" s="1598"/>
      <c r="F27" s="1577"/>
      <c r="G27" s="1228"/>
      <c r="H27" s="1229"/>
      <c r="I27" s="1230"/>
      <c r="J27" s="1229"/>
      <c r="K27" s="1553"/>
      <c r="L27" s="1628"/>
    </row>
    <row r="28" spans="1:12" s="1199" customFormat="1" ht="24" customHeight="1">
      <c r="A28" s="1641"/>
      <c r="B28" s="1573"/>
      <c r="C28" s="1574"/>
      <c r="D28" s="1575"/>
      <c r="E28" s="1598"/>
      <c r="F28" s="1577"/>
      <c r="G28" s="1228"/>
      <c r="H28" s="1229"/>
      <c r="I28" s="1230"/>
      <c r="J28" s="1229"/>
      <c r="K28" s="1553"/>
      <c r="L28" s="1628"/>
    </row>
    <row r="29" spans="1:12" s="1199" customFormat="1" ht="24" customHeight="1">
      <c r="A29" s="1641"/>
      <c r="B29" s="1573"/>
      <c r="C29" s="1574"/>
      <c r="D29" s="1575"/>
      <c r="E29" s="1598"/>
      <c r="F29" s="1577"/>
      <c r="G29" s="1228"/>
      <c r="H29" s="1229"/>
      <c r="I29" s="1230"/>
      <c r="J29" s="1229"/>
      <c r="K29" s="1553"/>
      <c r="L29" s="1628"/>
    </row>
    <row r="30" spans="1:12" s="1199" customFormat="1" ht="24" customHeight="1">
      <c r="A30" s="1641"/>
      <c r="B30" s="1573"/>
      <c r="C30" s="1574"/>
      <c r="D30" s="1575"/>
      <c r="E30" s="1598"/>
      <c r="F30" s="1577"/>
      <c r="G30" s="1228"/>
      <c r="H30" s="1229"/>
      <c r="I30" s="1230"/>
      <c r="J30" s="1229"/>
      <c r="K30" s="1553"/>
      <c r="L30" s="1628"/>
    </row>
    <row r="31" spans="1:12" s="1199" customFormat="1" ht="24" customHeight="1">
      <c r="A31" s="1641"/>
      <c r="B31" s="1573"/>
      <c r="C31" s="1574"/>
      <c r="D31" s="1575"/>
      <c r="E31" s="1598"/>
      <c r="F31" s="1577"/>
      <c r="G31" s="1228"/>
      <c r="H31" s="1229"/>
      <c r="I31" s="1230"/>
      <c r="J31" s="1229"/>
      <c r="K31" s="1553"/>
      <c r="L31" s="1628"/>
    </row>
    <row r="32" spans="1:12" s="1199" customFormat="1" ht="24" customHeight="1">
      <c r="A32" s="1641"/>
      <c r="B32" s="1573"/>
      <c r="C32" s="1574"/>
      <c r="D32" s="1575"/>
      <c r="E32" s="1598"/>
      <c r="F32" s="1577"/>
      <c r="G32" s="1228"/>
      <c r="H32" s="1229"/>
      <c r="I32" s="1230"/>
      <c r="J32" s="1229"/>
      <c r="K32" s="1553"/>
      <c r="L32" s="1628"/>
    </row>
    <row r="33" spans="1:14" s="1199" customFormat="1" ht="24" customHeight="1">
      <c r="A33" s="1641"/>
      <c r="B33" s="1573"/>
      <c r="C33" s="1574"/>
      <c r="D33" s="1575"/>
      <c r="E33" s="1598"/>
      <c r="F33" s="1577"/>
      <c r="G33" s="1228"/>
      <c r="H33" s="1229"/>
      <c r="I33" s="1230"/>
      <c r="J33" s="1229"/>
      <c r="K33" s="1553"/>
      <c r="L33" s="1628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4</v>
      </c>
      <c r="C34" s="2258"/>
      <c r="D34" s="2259"/>
      <c r="E34" s="1579"/>
      <c r="F34" s="1579"/>
      <c r="G34" s="1580"/>
      <c r="H34" s="1581">
        <f>SUM(H12:H33)</f>
        <v>548882</v>
      </c>
      <c r="I34" s="1582"/>
      <c r="J34" s="1581">
        <f>SUM(J12:J33)</f>
        <v>189437</v>
      </c>
      <c r="K34" s="1583">
        <f>SUM(K12:K33)</f>
        <v>738319</v>
      </c>
      <c r="L34" s="1630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631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633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633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473</v>
      </c>
      <c r="F38" s="1567" t="s">
        <v>226</v>
      </c>
      <c r="G38" s="1593">
        <v>35</v>
      </c>
      <c r="H38" s="1264">
        <f t="shared" ref="H38:H46" si="0">ROUND(E38*G38,)</f>
        <v>16555</v>
      </c>
      <c r="I38" s="1595">
        <v>30</v>
      </c>
      <c r="J38" s="1264">
        <f t="shared" ref="J38:J46" si="1">ROUND(E38*I38,)</f>
        <v>14190</v>
      </c>
      <c r="K38" s="1265">
        <f t="shared" ref="K38:K46" si="2">H38+J38</f>
        <v>30745</v>
      </c>
      <c r="L38" s="1633"/>
      <c r="M38" s="1363"/>
      <c r="N38" s="1532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170</v>
      </c>
      <c r="F39" s="1567" t="s">
        <v>226</v>
      </c>
      <c r="G39" s="1593">
        <v>46</v>
      </c>
      <c r="H39" s="1264">
        <f t="shared" si="0"/>
        <v>7820</v>
      </c>
      <c r="I39" s="1595">
        <v>30</v>
      </c>
      <c r="J39" s="1264">
        <f t="shared" si="1"/>
        <v>5100</v>
      </c>
      <c r="K39" s="1265">
        <f t="shared" si="2"/>
        <v>12920</v>
      </c>
      <c r="L39" s="1633"/>
      <c r="M39" s="1363"/>
      <c r="N39" s="1532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13</v>
      </c>
      <c r="F40" s="1567" t="s">
        <v>226</v>
      </c>
      <c r="G40" s="1593">
        <v>113</v>
      </c>
      <c r="H40" s="1264">
        <f t="shared" si="0"/>
        <v>1469</v>
      </c>
      <c r="I40" s="1595">
        <v>50</v>
      </c>
      <c r="J40" s="1264">
        <f t="shared" si="1"/>
        <v>650</v>
      </c>
      <c r="K40" s="1265">
        <f t="shared" si="2"/>
        <v>2119</v>
      </c>
      <c r="L40" s="1633"/>
      <c r="N40" s="1532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26</v>
      </c>
      <c r="F41" s="1567" t="s">
        <v>226</v>
      </c>
      <c r="G41" s="1593">
        <v>193</v>
      </c>
      <c r="H41" s="1264">
        <f t="shared" si="0"/>
        <v>5018</v>
      </c>
      <c r="I41" s="1595">
        <v>75</v>
      </c>
      <c r="J41" s="1264">
        <f t="shared" si="1"/>
        <v>1950</v>
      </c>
      <c r="K41" s="1265">
        <f t="shared" si="2"/>
        <v>6968</v>
      </c>
      <c r="L41" s="1633"/>
      <c r="M41" s="1363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69</v>
      </c>
      <c r="F42" s="1567" t="s">
        <v>226</v>
      </c>
      <c r="G42" s="1593">
        <v>287</v>
      </c>
      <c r="H42" s="1264">
        <f t="shared" si="0"/>
        <v>19803</v>
      </c>
      <c r="I42" s="1595">
        <v>100</v>
      </c>
      <c r="J42" s="1264">
        <f t="shared" si="1"/>
        <v>6900</v>
      </c>
      <c r="K42" s="1265">
        <f t="shared" si="2"/>
        <v>26703</v>
      </c>
      <c r="L42" s="1633"/>
      <c r="M42" s="1363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30</v>
      </c>
      <c r="F43" s="1567" t="s">
        <v>226</v>
      </c>
      <c r="G43" s="1593">
        <v>562</v>
      </c>
      <c r="H43" s="1264">
        <f>ROUND(E43*G43,)</f>
        <v>16860</v>
      </c>
      <c r="I43" s="1595">
        <v>120</v>
      </c>
      <c r="J43" s="1264">
        <f>ROUND(E43*I43,)</f>
        <v>3600</v>
      </c>
      <c r="K43" s="1273">
        <f>H43+J43</f>
        <v>20460</v>
      </c>
      <c r="L43" s="1633"/>
      <c r="M43" s="1363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SUM(H38:H43)*50%</f>
        <v>33762.5</v>
      </c>
      <c r="H44" s="1264">
        <f t="shared" si="0"/>
        <v>33763</v>
      </c>
      <c r="I44" s="1595">
        <f>ROUND(G44*0.3,)</f>
        <v>10129</v>
      </c>
      <c r="J44" s="1264">
        <f t="shared" si="1"/>
        <v>10129</v>
      </c>
      <c r="K44" s="1265">
        <f t="shared" si="2"/>
        <v>43892</v>
      </c>
      <c r="L44" s="1633"/>
      <c r="M44" s="1363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ROUND(SUM(H38:H43)*20%,)</f>
        <v>13505</v>
      </c>
      <c r="H45" s="1264">
        <f t="shared" si="0"/>
        <v>13505</v>
      </c>
      <c r="I45" s="1595">
        <f>ROUND(G45*0.3,)</f>
        <v>4052</v>
      </c>
      <c r="J45" s="1264">
        <f t="shared" si="1"/>
        <v>4052</v>
      </c>
      <c r="K45" s="1265">
        <f t="shared" si="2"/>
        <v>17557</v>
      </c>
      <c r="L45" s="1633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ROUND(SUM(H38:H43)*10%,)</f>
        <v>6753</v>
      </c>
      <c r="H46" s="1264">
        <f t="shared" si="0"/>
        <v>6753</v>
      </c>
      <c r="I46" s="1595">
        <f>ROUND(G46*0.3,)</f>
        <v>2026</v>
      </c>
      <c r="J46" s="1264">
        <f t="shared" si="1"/>
        <v>2026</v>
      </c>
      <c r="K46" s="1265">
        <f t="shared" si="2"/>
        <v>8779</v>
      </c>
      <c r="L46" s="1633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633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6</v>
      </c>
      <c r="F48" s="1567" t="s">
        <v>363</v>
      </c>
      <c r="G48" s="1593">
        <v>880</v>
      </c>
      <c r="H48" s="1264">
        <f t="shared" ref="H48:H49" si="3">ROUND(E48*G48,)</f>
        <v>5280</v>
      </c>
      <c r="I48" s="1595">
        <v>150</v>
      </c>
      <c r="J48" s="1264">
        <f t="shared" ref="J48:J49" si="4">ROUND(E48*I48,)</f>
        <v>900</v>
      </c>
      <c r="K48" s="1265">
        <f t="shared" ref="K48:K49" si="5">H48+J48</f>
        <v>6180</v>
      </c>
      <c r="L48" s="2082" t="s">
        <v>2667</v>
      </c>
    </row>
    <row r="49" spans="1:12" s="1199" customFormat="1" ht="24" customHeight="1">
      <c r="A49" s="1564"/>
      <c r="B49" s="1565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</row>
    <row r="50" spans="1:12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633"/>
    </row>
    <row r="51" spans="1:12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65">
        <f>H51+J51</f>
        <v>24460</v>
      </c>
      <c r="L51" s="1633"/>
    </row>
    <row r="52" spans="1:12" s="1199" customFormat="1" ht="24" customHeight="1">
      <c r="A52" s="1564"/>
      <c r="B52" s="1597" t="s">
        <v>1716</v>
      </c>
      <c r="C52" s="1533"/>
      <c r="D52" s="1534"/>
      <c r="E52" s="1566">
        <v>4</v>
      </c>
      <c r="F52" s="1567" t="s">
        <v>363</v>
      </c>
      <c r="G52" s="1593">
        <v>2218</v>
      </c>
      <c r="H52" s="1264">
        <f>ROUND(E52*G52,)</f>
        <v>8872</v>
      </c>
      <c r="I52" s="1595">
        <v>600</v>
      </c>
      <c r="J52" s="1264">
        <f>ROUND(E52*I52,)</f>
        <v>2400</v>
      </c>
      <c r="K52" s="1273">
        <f>H52+J52</f>
        <v>11272</v>
      </c>
      <c r="L52" s="1635"/>
    </row>
    <row r="53" spans="1:12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633"/>
    </row>
    <row r="54" spans="1:12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633"/>
    </row>
    <row r="55" spans="1:12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633"/>
    </row>
    <row r="56" spans="1:12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633"/>
    </row>
    <row r="57" spans="1:12" s="1199" customFormat="1" ht="24" customHeight="1">
      <c r="A57" s="1564"/>
      <c r="B57" s="1565" t="s">
        <v>1823</v>
      </c>
      <c r="C57" s="1533"/>
      <c r="D57" s="1534"/>
      <c r="E57" s="1566">
        <v>9</v>
      </c>
      <c r="F57" s="1567" t="s">
        <v>363</v>
      </c>
      <c r="G57" s="1603">
        <v>210</v>
      </c>
      <c r="H57" s="1264">
        <f>ROUND(E57*G57,)</f>
        <v>1890</v>
      </c>
      <c r="I57" s="1595">
        <v>100</v>
      </c>
      <c r="J57" s="1264">
        <f>ROUND(E57*I57,)</f>
        <v>900</v>
      </c>
      <c r="K57" s="1265">
        <f>H57+J57</f>
        <v>2790</v>
      </c>
      <c r="L57" s="1633"/>
    </row>
    <row r="58" spans="1:12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633"/>
    </row>
    <row r="59" spans="1:12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633"/>
    </row>
    <row r="60" spans="1:12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633"/>
    </row>
    <row r="61" spans="1:12" s="1199" customFormat="1" ht="24" customHeight="1">
      <c r="A61" s="1564"/>
      <c r="B61" s="1597" t="s">
        <v>1823</v>
      </c>
      <c r="C61" s="1533"/>
      <c r="D61" s="1534"/>
      <c r="E61" s="1566">
        <v>9</v>
      </c>
      <c r="F61" s="1567" t="s">
        <v>363</v>
      </c>
      <c r="G61" s="1593">
        <v>120</v>
      </c>
      <c r="H61" s="1264">
        <f>ROUND(E61*G61,)</f>
        <v>1080</v>
      </c>
      <c r="I61" s="1595">
        <v>50</v>
      </c>
      <c r="J61" s="1264">
        <f>ROUND(I61*E61,)</f>
        <v>450</v>
      </c>
      <c r="K61" s="1273">
        <f>H61+J61</f>
        <v>1530</v>
      </c>
      <c r="L61" s="1633"/>
    </row>
    <row r="62" spans="1:12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633"/>
    </row>
    <row r="63" spans="1:12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633"/>
    </row>
    <row r="64" spans="1:12" s="1199" customFormat="1" ht="24" customHeight="1">
      <c r="A64" s="1578"/>
      <c r="B64" s="2257" t="str">
        <f>"รวมราคารายการที่ "&amp;A36</f>
        <v>รวมราคารายการที่ 5.1</v>
      </c>
      <c r="C64" s="2258"/>
      <c r="D64" s="2259"/>
      <c r="E64" s="1579"/>
      <c r="F64" s="1579"/>
      <c r="G64" s="1580"/>
      <c r="H64" s="1581">
        <f>SUM(H37:H63)</f>
        <v>186052</v>
      </c>
      <c r="I64" s="1582"/>
      <c r="J64" s="1581">
        <f>SUM(J36:J63)</f>
        <v>60297</v>
      </c>
      <c r="K64" s="1583">
        <f>SUM(K36:K63)</f>
        <v>246349</v>
      </c>
      <c r="L64" s="1630"/>
    </row>
    <row r="65" spans="1:15" s="1199" customFormat="1" ht="24" customHeight="1">
      <c r="A65" s="1605" t="s">
        <v>1744</v>
      </c>
      <c r="B65" s="1606" t="s">
        <v>1745</v>
      </c>
      <c r="C65" s="1607"/>
      <c r="D65" s="1608"/>
      <c r="E65" s="1609"/>
      <c r="F65" s="1610"/>
      <c r="G65" s="1611"/>
      <c r="H65" s="1612"/>
      <c r="I65" s="1613"/>
      <c r="J65" s="1612"/>
      <c r="K65" s="1614"/>
      <c r="L65" s="1634"/>
      <c r="M65" s="1532"/>
      <c r="N65" s="1532"/>
    </row>
    <row r="66" spans="1:15" s="1199" customFormat="1" ht="24" customHeight="1">
      <c r="A66" s="1564" t="s">
        <v>1746</v>
      </c>
      <c r="B66" s="1597" t="s">
        <v>1839</v>
      </c>
      <c r="C66" s="1533"/>
      <c r="D66" s="1534"/>
      <c r="E66" s="1566"/>
      <c r="F66" s="1567"/>
      <c r="G66" s="1516"/>
      <c r="H66" s="1264"/>
      <c r="I66" s="1265"/>
      <c r="J66" s="1264"/>
      <c r="K66" s="1273"/>
      <c r="L66" s="1635"/>
      <c r="M66" s="1532"/>
      <c r="N66" s="1532"/>
    </row>
    <row r="67" spans="1:15" s="1199" customFormat="1" ht="24" customHeight="1">
      <c r="A67" s="1564"/>
      <c r="B67" s="1597" t="s">
        <v>1340</v>
      </c>
      <c r="C67" s="1533"/>
      <c r="D67" s="1534"/>
      <c r="E67" s="1566">
        <v>192</v>
      </c>
      <c r="F67" s="1567" t="s">
        <v>226</v>
      </c>
      <c r="G67" s="1516">
        <v>127</v>
      </c>
      <c r="H67" s="1264">
        <f t="shared" ref="H67:H73" si="6">ROUND(E67*G67,)</f>
        <v>24384</v>
      </c>
      <c r="I67" s="1265">
        <v>40</v>
      </c>
      <c r="J67" s="1264">
        <f t="shared" ref="J67:J73" si="7">ROUND(I67*E67,)</f>
        <v>7680</v>
      </c>
      <c r="K67" s="1273">
        <f t="shared" ref="K67:K73" si="8">H67+J67</f>
        <v>32064</v>
      </c>
      <c r="L67" s="1635"/>
      <c r="M67" s="1532"/>
      <c r="N67" s="1532"/>
    </row>
    <row r="68" spans="1:15" s="1199" customFormat="1" ht="24" customHeight="1">
      <c r="A68" s="1564"/>
      <c r="B68" s="1597" t="s">
        <v>1342</v>
      </c>
      <c r="C68" s="1533"/>
      <c r="D68" s="1534"/>
      <c r="E68" s="1566">
        <v>52</v>
      </c>
      <c r="F68" s="1567" t="s">
        <v>226</v>
      </c>
      <c r="G68" s="1516">
        <v>258</v>
      </c>
      <c r="H68" s="1264">
        <f t="shared" si="6"/>
        <v>13416</v>
      </c>
      <c r="I68" s="1265">
        <v>75</v>
      </c>
      <c r="J68" s="1264">
        <f t="shared" si="7"/>
        <v>3900</v>
      </c>
      <c r="K68" s="1273">
        <f t="shared" si="8"/>
        <v>17316</v>
      </c>
      <c r="L68" s="1635"/>
      <c r="M68" s="1532"/>
    </row>
    <row r="69" spans="1:15" s="1199" customFormat="1" ht="24" customHeight="1">
      <c r="A69" s="1564"/>
      <c r="B69" s="1597" t="s">
        <v>1759</v>
      </c>
      <c r="C69" s="1533"/>
      <c r="D69" s="1534"/>
      <c r="E69" s="1566">
        <v>118</v>
      </c>
      <c r="F69" s="1567" t="s">
        <v>226</v>
      </c>
      <c r="G69" s="1516">
        <v>395</v>
      </c>
      <c r="H69" s="1264">
        <f t="shared" si="6"/>
        <v>46610</v>
      </c>
      <c r="I69" s="1265">
        <v>120</v>
      </c>
      <c r="J69" s="1264">
        <f t="shared" si="7"/>
        <v>14160</v>
      </c>
      <c r="K69" s="1273">
        <f t="shared" si="8"/>
        <v>60770</v>
      </c>
      <c r="L69" s="1635"/>
    </row>
    <row r="70" spans="1:15" s="1199" customFormat="1" ht="24" customHeight="1">
      <c r="A70" s="1564"/>
      <c r="B70" s="1597" t="s">
        <v>1754</v>
      </c>
      <c r="C70" s="1533"/>
      <c r="D70" s="1534"/>
      <c r="E70" s="1566">
        <v>32</v>
      </c>
      <c r="F70" s="1567" t="s">
        <v>226</v>
      </c>
      <c r="G70" s="1516">
        <v>789</v>
      </c>
      <c r="H70" s="1264">
        <f t="shared" si="6"/>
        <v>25248</v>
      </c>
      <c r="I70" s="1265">
        <v>250</v>
      </c>
      <c r="J70" s="1264">
        <f t="shared" si="7"/>
        <v>8000</v>
      </c>
      <c r="K70" s="1273">
        <f t="shared" si="8"/>
        <v>33248</v>
      </c>
      <c r="L70" s="1635"/>
    </row>
    <row r="71" spans="1:15" s="1199" customFormat="1" ht="24" customHeight="1">
      <c r="A71" s="1564"/>
      <c r="B71" s="1597" t="s">
        <v>1719</v>
      </c>
      <c r="C71" s="1533"/>
      <c r="D71" s="1534"/>
      <c r="E71" s="1566">
        <v>1</v>
      </c>
      <c r="F71" s="1567" t="s">
        <v>1104</v>
      </c>
      <c r="G71" s="1516">
        <f>ROUND(SUM(H67:H70)*40%,)</f>
        <v>43863</v>
      </c>
      <c r="H71" s="1264">
        <f t="shared" si="6"/>
        <v>43863</v>
      </c>
      <c r="I71" s="1265">
        <f>G71*0.3</f>
        <v>13158.9</v>
      </c>
      <c r="J71" s="1264">
        <f t="shared" si="7"/>
        <v>13159</v>
      </c>
      <c r="K71" s="1273">
        <f t="shared" si="8"/>
        <v>57022</v>
      </c>
      <c r="L71" s="1635"/>
    </row>
    <row r="72" spans="1:15" s="1199" customFormat="1" ht="24" customHeight="1">
      <c r="A72" s="1564"/>
      <c r="B72" s="1597" t="s">
        <v>1720</v>
      </c>
      <c r="C72" s="1533"/>
      <c r="D72" s="1534"/>
      <c r="E72" s="1566">
        <v>1</v>
      </c>
      <c r="F72" s="1567" t="s">
        <v>1104</v>
      </c>
      <c r="G72" s="1516">
        <f>ROUND(SUM(H67:H70)*20%,)</f>
        <v>21932</v>
      </c>
      <c r="H72" s="1264">
        <f t="shared" si="6"/>
        <v>21932</v>
      </c>
      <c r="I72" s="1265">
        <f>G72*0.3</f>
        <v>6579.5999999999995</v>
      </c>
      <c r="J72" s="1264">
        <f t="shared" si="7"/>
        <v>6580</v>
      </c>
      <c r="K72" s="1273">
        <f t="shared" si="8"/>
        <v>28512</v>
      </c>
      <c r="L72" s="1635"/>
    </row>
    <row r="73" spans="1:15" s="1199" customFormat="1" ht="24" customHeight="1">
      <c r="A73" s="1564"/>
      <c r="B73" s="1597" t="s">
        <v>1756</v>
      </c>
      <c r="C73" s="1533"/>
      <c r="D73" s="1534"/>
      <c r="E73" s="1566">
        <v>1</v>
      </c>
      <c r="F73" s="1567" t="s">
        <v>1104</v>
      </c>
      <c r="G73" s="1516">
        <f>ROUND(SUM(H67:H70)*10%,)</f>
        <v>10966</v>
      </c>
      <c r="H73" s="1264">
        <f t="shared" si="6"/>
        <v>10966</v>
      </c>
      <c r="I73" s="1265">
        <f>G73*0.3</f>
        <v>3289.7999999999997</v>
      </c>
      <c r="J73" s="1264">
        <f t="shared" si="7"/>
        <v>3290</v>
      </c>
      <c r="K73" s="1273">
        <f t="shared" si="8"/>
        <v>14256</v>
      </c>
      <c r="L73" s="1635"/>
      <c r="N73" s="1532"/>
    </row>
    <row r="74" spans="1:15" s="1199" customFormat="1" ht="24" customHeight="1">
      <c r="A74" s="1572" t="s">
        <v>1752</v>
      </c>
      <c r="B74" s="1597" t="s">
        <v>1831</v>
      </c>
      <c r="C74" s="1533"/>
      <c r="D74" s="1534"/>
      <c r="E74" s="1566"/>
      <c r="F74" s="1567"/>
      <c r="G74" s="1516"/>
      <c r="H74" s="1264"/>
      <c r="I74" s="1265"/>
      <c r="J74" s="1264"/>
      <c r="K74" s="1273"/>
      <c r="L74" s="1635"/>
    </row>
    <row r="75" spans="1:15" s="1199" customFormat="1" ht="24" customHeight="1">
      <c r="A75" s="1564"/>
      <c r="B75" s="1597" t="s">
        <v>1338</v>
      </c>
      <c r="C75" s="1533"/>
      <c r="D75" s="1534"/>
      <c r="E75" s="1566">
        <v>110</v>
      </c>
      <c r="F75" s="1567" t="s">
        <v>226</v>
      </c>
      <c r="G75" s="1516">
        <v>20</v>
      </c>
      <c r="H75" s="1264">
        <f t="shared" ref="H75:H82" si="9">ROUND(E75*G75,)</f>
        <v>2200</v>
      </c>
      <c r="I75" s="1265">
        <v>30</v>
      </c>
      <c r="J75" s="1264">
        <f t="shared" ref="J75:J82" si="10">ROUND(I75*E75,)</f>
        <v>3300</v>
      </c>
      <c r="K75" s="1273">
        <f t="shared" ref="K75:K82" si="11">H75+J75</f>
        <v>5500</v>
      </c>
      <c r="L75" s="2082" t="s">
        <v>2667</v>
      </c>
      <c r="N75" s="1199">
        <v>79.17</v>
      </c>
      <c r="O75" s="1199">
        <f>ROUND(N75/4,)</f>
        <v>20</v>
      </c>
    </row>
    <row r="76" spans="1:15" s="1199" customFormat="1" ht="24" customHeight="1">
      <c r="A76" s="1564"/>
      <c r="B76" s="1597" t="s">
        <v>1339</v>
      </c>
      <c r="C76" s="1533"/>
      <c r="D76" s="1534"/>
      <c r="E76" s="1566">
        <v>22</v>
      </c>
      <c r="F76" s="1567" t="s">
        <v>226</v>
      </c>
      <c r="G76" s="1516">
        <v>26</v>
      </c>
      <c r="H76" s="1264">
        <f t="shared" si="9"/>
        <v>572</v>
      </c>
      <c r="I76" s="1265">
        <v>30</v>
      </c>
      <c r="J76" s="1264">
        <f t="shared" si="10"/>
        <v>660</v>
      </c>
      <c r="K76" s="1273">
        <f t="shared" si="11"/>
        <v>1232</v>
      </c>
      <c r="L76" s="2082" t="s">
        <v>2667</v>
      </c>
      <c r="N76" s="1199">
        <v>103.74</v>
      </c>
      <c r="O76" s="1199">
        <f t="shared" ref="O76:O79" si="12">ROUND(N76/4,)</f>
        <v>26</v>
      </c>
    </row>
    <row r="77" spans="1:15" s="1199" customFormat="1" ht="24" customHeight="1">
      <c r="A77" s="1564"/>
      <c r="B77" s="1597" t="s">
        <v>1340</v>
      </c>
      <c r="C77" s="1533"/>
      <c r="D77" s="1534"/>
      <c r="E77" s="1566">
        <v>36</v>
      </c>
      <c r="F77" s="1567" t="s">
        <v>226</v>
      </c>
      <c r="G77" s="1516">
        <v>41</v>
      </c>
      <c r="H77" s="1264">
        <f t="shared" si="9"/>
        <v>1476</v>
      </c>
      <c r="I77" s="1265">
        <v>40</v>
      </c>
      <c r="J77" s="1264">
        <f t="shared" si="10"/>
        <v>1440</v>
      </c>
      <c r="K77" s="1273">
        <f t="shared" si="11"/>
        <v>2916</v>
      </c>
      <c r="L77" s="2082" t="s">
        <v>2667</v>
      </c>
      <c r="N77" s="1199">
        <v>163.80000000000001</v>
      </c>
      <c r="O77" s="1199">
        <f t="shared" si="12"/>
        <v>41</v>
      </c>
    </row>
    <row r="78" spans="1:15" s="1199" customFormat="1" ht="24" customHeight="1">
      <c r="A78" s="1564"/>
      <c r="B78" s="1597" t="s">
        <v>1341</v>
      </c>
      <c r="C78" s="1533"/>
      <c r="D78" s="1534"/>
      <c r="E78" s="1566">
        <v>27</v>
      </c>
      <c r="F78" s="1567" t="s">
        <v>226</v>
      </c>
      <c r="G78" s="1516">
        <v>65</v>
      </c>
      <c r="H78" s="1264">
        <f t="shared" si="9"/>
        <v>1755</v>
      </c>
      <c r="I78" s="1265">
        <v>50</v>
      </c>
      <c r="J78" s="1264">
        <f t="shared" si="10"/>
        <v>1350</v>
      </c>
      <c r="K78" s="1273">
        <f t="shared" si="11"/>
        <v>3105</v>
      </c>
      <c r="L78" s="2082" t="s">
        <v>2667</v>
      </c>
      <c r="N78" s="1199">
        <v>259.35000000000002</v>
      </c>
      <c r="O78" s="1199">
        <f t="shared" si="12"/>
        <v>65</v>
      </c>
    </row>
    <row r="79" spans="1:15" s="1199" customFormat="1" ht="24" customHeight="1">
      <c r="A79" s="1564"/>
      <c r="B79" s="1597" t="s">
        <v>1342</v>
      </c>
      <c r="C79" s="1533"/>
      <c r="D79" s="1534"/>
      <c r="E79" s="1566">
        <v>94</v>
      </c>
      <c r="F79" s="1567" t="s">
        <v>226</v>
      </c>
      <c r="G79" s="1516">
        <v>90</v>
      </c>
      <c r="H79" s="1264">
        <f t="shared" si="9"/>
        <v>8460</v>
      </c>
      <c r="I79" s="1265">
        <v>75</v>
      </c>
      <c r="J79" s="1264">
        <f t="shared" si="10"/>
        <v>7050</v>
      </c>
      <c r="K79" s="1273">
        <f t="shared" si="11"/>
        <v>15510</v>
      </c>
      <c r="L79" s="2082" t="s">
        <v>2667</v>
      </c>
      <c r="N79" s="1199">
        <v>359.45</v>
      </c>
      <c r="O79" s="1199">
        <f t="shared" si="12"/>
        <v>90</v>
      </c>
    </row>
    <row r="80" spans="1:15" s="1199" customFormat="1" ht="24" customHeight="1">
      <c r="A80" s="1564"/>
      <c r="B80" s="1597" t="s">
        <v>1719</v>
      </c>
      <c r="C80" s="1533"/>
      <c r="D80" s="1534"/>
      <c r="E80" s="1566">
        <v>1</v>
      </c>
      <c r="F80" s="1567" t="s">
        <v>1104</v>
      </c>
      <c r="G80" s="1516">
        <f>ROUND(SUM(H75:H79)*40%,)</f>
        <v>5785</v>
      </c>
      <c r="H80" s="1264">
        <f t="shared" si="9"/>
        <v>5785</v>
      </c>
      <c r="I80" s="1595">
        <f>ROUND(G80*0.3,)</f>
        <v>1736</v>
      </c>
      <c r="J80" s="1264">
        <f t="shared" si="10"/>
        <v>1736</v>
      </c>
      <c r="K80" s="1273">
        <f t="shared" si="11"/>
        <v>7521</v>
      </c>
      <c r="L80" s="1635"/>
    </row>
    <row r="81" spans="1:12" s="1199" customFormat="1" ht="24" customHeight="1">
      <c r="A81" s="1564"/>
      <c r="B81" s="1597" t="s">
        <v>1720</v>
      </c>
      <c r="C81" s="1533"/>
      <c r="D81" s="1534"/>
      <c r="E81" s="1566">
        <v>1</v>
      </c>
      <c r="F81" s="1567" t="s">
        <v>1104</v>
      </c>
      <c r="G81" s="1516">
        <f>ROUND(SUM(H75:H79)*30%,)</f>
        <v>4339</v>
      </c>
      <c r="H81" s="1264">
        <f t="shared" si="9"/>
        <v>4339</v>
      </c>
      <c r="I81" s="1595">
        <f>ROUND(G81*0.3,)</f>
        <v>1302</v>
      </c>
      <c r="J81" s="1264">
        <f t="shared" si="10"/>
        <v>1302</v>
      </c>
      <c r="K81" s="1273">
        <f t="shared" si="11"/>
        <v>5641</v>
      </c>
      <c r="L81" s="1635"/>
    </row>
    <row r="82" spans="1:12" s="1199" customFormat="1" ht="24" customHeight="1">
      <c r="A82" s="1564"/>
      <c r="B82" s="1597" t="s">
        <v>1756</v>
      </c>
      <c r="C82" s="1533"/>
      <c r="D82" s="1534"/>
      <c r="E82" s="1566">
        <v>1</v>
      </c>
      <c r="F82" s="1567" t="s">
        <v>1104</v>
      </c>
      <c r="G82" s="1516">
        <f>ROUND(SUM(H75:H79)*10%,)</f>
        <v>1446</v>
      </c>
      <c r="H82" s="1264">
        <f t="shared" si="9"/>
        <v>1446</v>
      </c>
      <c r="I82" s="1595">
        <f>ROUND(G82*0.3,)</f>
        <v>434</v>
      </c>
      <c r="J82" s="1264">
        <f t="shared" si="10"/>
        <v>434</v>
      </c>
      <c r="K82" s="1273">
        <f t="shared" si="11"/>
        <v>1880</v>
      </c>
      <c r="L82" s="1635"/>
    </row>
    <row r="83" spans="1:12" s="1199" customFormat="1" ht="24" customHeight="1">
      <c r="A83" s="1564" t="s">
        <v>1757</v>
      </c>
      <c r="B83" s="1597" t="s">
        <v>1832</v>
      </c>
      <c r="C83" s="1533"/>
      <c r="D83" s="1534"/>
      <c r="E83" s="1566"/>
      <c r="F83" s="1567"/>
      <c r="G83" s="1516"/>
      <c r="H83" s="1264"/>
      <c r="I83" s="1265"/>
      <c r="J83" s="1264"/>
      <c r="K83" s="1273"/>
      <c r="L83" s="1635"/>
    </row>
    <row r="84" spans="1:12" s="1199" customFormat="1" ht="24" customHeight="1">
      <c r="A84" s="1564"/>
      <c r="B84" s="1597" t="s">
        <v>1340</v>
      </c>
      <c r="C84" s="1533"/>
      <c r="D84" s="1534"/>
      <c r="E84" s="1566">
        <v>34</v>
      </c>
      <c r="F84" s="1567" t="s">
        <v>363</v>
      </c>
      <c r="G84" s="1516">
        <f>ROUND(665*0.7,)</f>
        <v>466</v>
      </c>
      <c r="H84" s="1264">
        <f>ROUND(E84*G84,)</f>
        <v>15844</v>
      </c>
      <c r="I84" s="1265">
        <v>200</v>
      </c>
      <c r="J84" s="1264">
        <f>ROUND(I84*E84,)</f>
        <v>6800</v>
      </c>
      <c r="K84" s="1273">
        <f>H84+J84</f>
        <v>22644</v>
      </c>
      <c r="L84" s="1635"/>
    </row>
    <row r="85" spans="1:12" s="1199" customFormat="1" ht="24" customHeight="1">
      <c r="A85" s="1564"/>
      <c r="B85" s="1597"/>
      <c r="C85" s="1533"/>
      <c r="D85" s="1534"/>
      <c r="E85" s="1566"/>
      <c r="F85" s="1567"/>
      <c r="G85" s="1516"/>
      <c r="H85" s="1264"/>
      <c r="I85" s="1265"/>
      <c r="J85" s="1264"/>
      <c r="K85" s="1273"/>
      <c r="L85" s="1635"/>
    </row>
    <row r="86" spans="1:12" s="1199" customFormat="1" ht="24" customHeight="1">
      <c r="A86" s="1564"/>
      <c r="B86" s="1597"/>
      <c r="C86" s="1533"/>
      <c r="D86" s="1534"/>
      <c r="E86" s="1566"/>
      <c r="F86" s="1567"/>
      <c r="G86" s="1516"/>
      <c r="H86" s="1264"/>
      <c r="I86" s="1265"/>
      <c r="J86" s="1264"/>
      <c r="K86" s="1273"/>
      <c r="L86" s="1635"/>
    </row>
    <row r="87" spans="1:12" s="1199" customFormat="1" ht="24" customHeight="1">
      <c r="A87" s="1564" t="s">
        <v>1760</v>
      </c>
      <c r="B87" s="1597" t="s">
        <v>1780</v>
      </c>
      <c r="C87" s="1533"/>
      <c r="D87" s="1534"/>
      <c r="E87" s="1566"/>
      <c r="F87" s="1567"/>
      <c r="G87" s="1516"/>
      <c r="H87" s="1264"/>
      <c r="I87" s="1265"/>
      <c r="J87" s="1264"/>
      <c r="K87" s="1273"/>
      <c r="L87" s="1635"/>
    </row>
    <row r="88" spans="1:12" s="1199" customFormat="1" ht="24" customHeight="1">
      <c r="A88" s="1564"/>
      <c r="B88" s="1597" t="s">
        <v>1340</v>
      </c>
      <c r="C88" s="1533"/>
      <c r="D88" s="1534"/>
      <c r="E88" s="1566">
        <v>10</v>
      </c>
      <c r="F88" s="1567" t="s">
        <v>363</v>
      </c>
      <c r="G88" s="1516">
        <f>ROUND(240*0.75,)</f>
        <v>180</v>
      </c>
      <c r="H88" s="1264">
        <f>ROUND(E88*G88,)</f>
        <v>1800</v>
      </c>
      <c r="I88" s="1265">
        <v>100</v>
      </c>
      <c r="J88" s="1264">
        <f>ROUND(I88*E88,)</f>
        <v>1000</v>
      </c>
      <c r="K88" s="1273">
        <f>H88+J88</f>
        <v>2800</v>
      </c>
      <c r="L88" s="1635"/>
    </row>
    <row r="89" spans="1:12" s="1199" customFormat="1" ht="24" customHeight="1">
      <c r="A89" s="1564"/>
      <c r="B89" s="1597" t="s">
        <v>1342</v>
      </c>
      <c r="C89" s="1533"/>
      <c r="D89" s="1534"/>
      <c r="E89" s="1566">
        <v>4</v>
      </c>
      <c r="F89" s="1567" t="s">
        <v>363</v>
      </c>
      <c r="G89" s="1516">
        <f>ROUND(360*0.75,)</f>
        <v>270</v>
      </c>
      <c r="H89" s="1264">
        <f>ROUND(E89*G89,)</f>
        <v>1080</v>
      </c>
      <c r="I89" s="1265">
        <v>150</v>
      </c>
      <c r="J89" s="1264">
        <f>ROUND(I89*E89,)</f>
        <v>600</v>
      </c>
      <c r="K89" s="1273">
        <f>H89+J89</f>
        <v>1680</v>
      </c>
      <c r="L89" s="1635"/>
    </row>
    <row r="90" spans="1:12" s="1199" customFormat="1" ht="24" customHeight="1">
      <c r="A90" s="1637"/>
      <c r="B90" s="1597" t="s">
        <v>1759</v>
      </c>
      <c r="C90" s="1533"/>
      <c r="D90" s="1534"/>
      <c r="E90" s="1566">
        <v>4</v>
      </c>
      <c r="F90" s="1567" t="s">
        <v>363</v>
      </c>
      <c r="G90" s="1516">
        <f>ROUND(500*0.75,)</f>
        <v>375</v>
      </c>
      <c r="H90" s="1264">
        <f>ROUND(E90*G90,)</f>
        <v>1500</v>
      </c>
      <c r="I90" s="1265">
        <v>200</v>
      </c>
      <c r="J90" s="1264">
        <f>ROUND(I90*E90,)</f>
        <v>800</v>
      </c>
      <c r="K90" s="1273">
        <f>H90+J90</f>
        <v>2300</v>
      </c>
      <c r="L90" s="1635"/>
    </row>
    <row r="91" spans="1:12" s="1199" customFormat="1" ht="24" customHeight="1">
      <c r="A91" s="1564"/>
      <c r="B91" s="1597" t="s">
        <v>1754</v>
      </c>
      <c r="C91" s="1533"/>
      <c r="D91" s="1534"/>
      <c r="E91" s="1566">
        <v>2</v>
      </c>
      <c r="F91" s="1567" t="s">
        <v>363</v>
      </c>
      <c r="G91" s="1516">
        <f>ROUND(950*0.75,)</f>
        <v>713</v>
      </c>
      <c r="H91" s="1264">
        <f>ROUND(E91*G91,)</f>
        <v>1426</v>
      </c>
      <c r="I91" s="1265">
        <v>300</v>
      </c>
      <c r="J91" s="1264">
        <f>ROUND(I91*E91,)</f>
        <v>600</v>
      </c>
      <c r="K91" s="1273">
        <f>H91+J91</f>
        <v>2026</v>
      </c>
      <c r="L91" s="1635"/>
    </row>
    <row r="92" spans="1:12" s="1199" customFormat="1" ht="24" customHeight="1">
      <c r="A92" s="1564"/>
      <c r="B92" s="1597"/>
      <c r="C92" s="1533"/>
      <c r="D92" s="1534"/>
      <c r="E92" s="1566"/>
      <c r="F92" s="1567"/>
      <c r="G92" s="1516"/>
      <c r="H92" s="1264"/>
      <c r="I92" s="1265"/>
      <c r="J92" s="1264"/>
      <c r="K92" s="1273"/>
      <c r="L92" s="1635"/>
    </row>
    <row r="93" spans="1:12" s="1199" customFormat="1" ht="24" customHeight="1">
      <c r="A93" s="1564"/>
      <c r="B93" s="1597"/>
      <c r="C93" s="1533"/>
      <c r="D93" s="1534"/>
      <c r="E93" s="1566"/>
      <c r="F93" s="1567"/>
      <c r="G93" s="1516"/>
      <c r="H93" s="1264"/>
      <c r="I93" s="1265"/>
      <c r="J93" s="1264"/>
      <c r="K93" s="1273"/>
      <c r="L93" s="1635"/>
    </row>
    <row r="94" spans="1:12" s="1199" customFormat="1" ht="24" customHeight="1">
      <c r="A94" s="1572"/>
      <c r="B94" s="1573"/>
      <c r="C94" s="1574"/>
      <c r="D94" s="1653"/>
      <c r="E94" s="1598"/>
      <c r="F94" s="1575"/>
      <c r="G94" s="1351"/>
      <c r="H94" s="1281"/>
      <c r="I94" s="1282"/>
      <c r="J94" s="1281"/>
      <c r="K94" s="1405"/>
      <c r="L94" s="1639"/>
    </row>
    <row r="95" spans="1:12" s="1199" customFormat="1" ht="24" customHeight="1">
      <c r="A95" s="1572"/>
      <c r="B95" s="1573"/>
      <c r="C95" s="1574"/>
      <c r="D95" s="1653"/>
      <c r="E95" s="1598"/>
      <c r="F95" s="1575"/>
      <c r="G95" s="1351"/>
      <c r="H95" s="1281"/>
      <c r="I95" s="1282"/>
      <c r="J95" s="1281"/>
      <c r="K95" s="1405"/>
      <c r="L95" s="1639"/>
    </row>
    <row r="96" spans="1:12" s="1199" customFormat="1" ht="24" customHeight="1">
      <c r="A96" s="1349"/>
      <c r="B96" s="1615"/>
      <c r="C96" s="1375"/>
      <c r="D96" s="1375"/>
      <c r="E96" s="1616"/>
      <c r="F96" s="1395"/>
      <c r="G96" s="1617"/>
      <c r="H96" s="1618"/>
      <c r="I96" s="1600"/>
      <c r="J96" s="1618"/>
      <c r="K96" s="1619"/>
      <c r="L96" s="1640"/>
    </row>
    <row r="97" spans="1:15" s="1199" customFormat="1" ht="24" customHeight="1">
      <c r="A97" s="1578"/>
      <c r="B97" s="2257" t="str">
        <f>"รวมราคารายการที่ "&amp;A65</f>
        <v>รวมราคารายการที่ 5.2</v>
      </c>
      <c r="C97" s="2258"/>
      <c r="D97" s="2259"/>
      <c r="E97" s="1579"/>
      <c r="F97" s="1579"/>
      <c r="G97" s="1580"/>
      <c r="H97" s="1581">
        <f>SUM(H66:H96)</f>
        <v>234102</v>
      </c>
      <c r="I97" s="1582"/>
      <c r="J97" s="1581">
        <f>SUM(J66:J96)</f>
        <v>83841</v>
      </c>
      <c r="K97" s="1583">
        <f>SUM(K66:K96)</f>
        <v>317943</v>
      </c>
      <c r="L97" s="1630"/>
    </row>
    <row r="98" spans="1:15" s="1199" customFormat="1" ht="24" customHeight="1">
      <c r="A98" s="1584">
        <v>5.3</v>
      </c>
      <c r="B98" s="1606" t="s">
        <v>1768</v>
      </c>
      <c r="C98" s="1294"/>
      <c r="D98" s="1294"/>
      <c r="E98" s="1586"/>
      <c r="F98" s="1296"/>
      <c r="G98" s="1357"/>
      <c r="H98" s="1298"/>
      <c r="I98" s="1299"/>
      <c r="J98" s="1298"/>
      <c r="K98" s="1382"/>
      <c r="L98" s="1639"/>
    </row>
    <row r="99" spans="1:15" s="1199" customFormat="1" ht="24" customHeight="1">
      <c r="A99" s="1572" t="s">
        <v>1769</v>
      </c>
      <c r="B99" s="1573" t="s">
        <v>1778</v>
      </c>
      <c r="C99" s="1574"/>
      <c r="D99" s="1575"/>
      <c r="E99" s="1598"/>
      <c r="F99" s="1577"/>
      <c r="G99" s="1351"/>
      <c r="H99" s="1281"/>
      <c r="I99" s="1282"/>
      <c r="J99" s="1281"/>
      <c r="K99" s="1405"/>
      <c r="L99" s="1639"/>
    </row>
    <row r="100" spans="1:15" s="1199" customFormat="1" ht="24" customHeight="1">
      <c r="A100" s="1564"/>
      <c r="B100" s="1565" t="s">
        <v>1716</v>
      </c>
      <c r="C100" s="1533"/>
      <c r="D100" s="1534"/>
      <c r="E100" s="1566">
        <v>163</v>
      </c>
      <c r="F100" s="1567" t="s">
        <v>226</v>
      </c>
      <c r="G100" s="1516">
        <v>385</v>
      </c>
      <c r="H100" s="1264">
        <f>ROUND(E100*G100,)</f>
        <v>62755</v>
      </c>
      <c r="I100" s="1265">
        <v>145</v>
      </c>
      <c r="J100" s="1264">
        <f>ROUND(I100*E100,)</f>
        <v>23635</v>
      </c>
      <c r="K100" s="1273">
        <f>H100+J100</f>
        <v>86390</v>
      </c>
      <c r="L100" s="2082" t="s">
        <v>2667</v>
      </c>
      <c r="N100" s="1199">
        <v>1440.18</v>
      </c>
      <c r="O100" s="1199">
        <f t="shared" ref="O100" si="13">ROUND(N100/6,)</f>
        <v>240</v>
      </c>
    </row>
    <row r="101" spans="1:15" s="1199" customFormat="1" ht="24" customHeight="1">
      <c r="A101" s="1564"/>
      <c r="B101" s="1565" t="s">
        <v>1759</v>
      </c>
      <c r="C101" s="1533"/>
      <c r="D101" s="1534"/>
      <c r="E101" s="1566">
        <v>16</v>
      </c>
      <c r="F101" s="1567" t="s">
        <v>226</v>
      </c>
      <c r="G101" s="1516">
        <v>561</v>
      </c>
      <c r="H101" s="1264">
        <f t="shared" ref="H101" si="14">ROUND(E101*G101,)</f>
        <v>8976</v>
      </c>
      <c r="I101" s="1265">
        <v>200</v>
      </c>
      <c r="J101" s="1264">
        <f t="shared" ref="J101" si="15">ROUND(I101*E101,)</f>
        <v>3200</v>
      </c>
      <c r="K101" s="1273">
        <f t="shared" ref="K101" si="16">H101+J101</f>
        <v>12176</v>
      </c>
      <c r="L101" s="2082" t="s">
        <v>2667</v>
      </c>
      <c r="N101" s="1199">
        <v>3364.2</v>
      </c>
      <c r="O101" s="1199">
        <f>ROUND(N101/6,)</f>
        <v>561</v>
      </c>
    </row>
    <row r="102" spans="1:15" s="1199" customFormat="1" ht="24" customHeight="1">
      <c r="A102" s="1564"/>
      <c r="B102" s="1565" t="s">
        <v>1719</v>
      </c>
      <c r="C102" s="1533"/>
      <c r="D102" s="1534"/>
      <c r="E102" s="1566">
        <v>1</v>
      </c>
      <c r="F102" s="1567" t="s">
        <v>1104</v>
      </c>
      <c r="G102" s="1516">
        <f>SUM(H100:H101)*40%</f>
        <v>28692.400000000001</v>
      </c>
      <c r="H102" s="1264">
        <f>ROUND(E102*G102,)</f>
        <v>28692</v>
      </c>
      <c r="I102" s="1595">
        <f>ROUND(G102*0.3,)</f>
        <v>8608</v>
      </c>
      <c r="J102" s="1264">
        <f>ROUND(I102*E102,)</f>
        <v>8608</v>
      </c>
      <c r="K102" s="1273">
        <f>H102+J102</f>
        <v>37300</v>
      </c>
      <c r="L102" s="1639"/>
    </row>
    <row r="103" spans="1:15" s="1199" customFormat="1" ht="24" customHeight="1">
      <c r="A103" s="1564"/>
      <c r="B103" s="1565" t="s">
        <v>1720</v>
      </c>
      <c r="C103" s="1533"/>
      <c r="D103" s="1534"/>
      <c r="E103" s="1566">
        <v>1</v>
      </c>
      <c r="F103" s="1567" t="s">
        <v>1104</v>
      </c>
      <c r="G103" s="1516">
        <f>SUM(H100:H101)*20%</f>
        <v>14346.2</v>
      </c>
      <c r="H103" s="1264">
        <f>ROUND(E103*G103,)</f>
        <v>14346</v>
      </c>
      <c r="I103" s="1595">
        <f>ROUND(G103*0.3,)</f>
        <v>4304</v>
      </c>
      <c r="J103" s="1264">
        <f>ROUND(I103*E103,)</f>
        <v>4304</v>
      </c>
      <c r="K103" s="1273">
        <f>H103+J103</f>
        <v>18650</v>
      </c>
      <c r="L103" s="1639"/>
    </row>
    <row r="104" spans="1:15" s="1199" customFormat="1" ht="24" customHeight="1">
      <c r="A104" s="1564"/>
      <c r="B104" s="1565" t="s">
        <v>1756</v>
      </c>
      <c r="C104" s="1533"/>
      <c r="D104" s="1534"/>
      <c r="E104" s="1566">
        <v>1</v>
      </c>
      <c r="F104" s="1567" t="s">
        <v>1104</v>
      </c>
      <c r="G104" s="1516">
        <f>ROUND(SUM(H100:H101)*10%,)</f>
        <v>7173</v>
      </c>
      <c r="H104" s="1264">
        <f>ROUND(E104*G104,)</f>
        <v>7173</v>
      </c>
      <c r="I104" s="1595">
        <f>ROUND(G104*0.3,)</f>
        <v>2152</v>
      </c>
      <c r="J104" s="1264">
        <f>ROUND(I104*E104,)</f>
        <v>2152</v>
      </c>
      <c r="K104" s="1273">
        <f>H104+J104</f>
        <v>9325</v>
      </c>
      <c r="L104" s="1639"/>
    </row>
    <row r="105" spans="1:15" s="1199" customFormat="1" ht="24" customHeight="1">
      <c r="A105" s="1564" t="s">
        <v>1775</v>
      </c>
      <c r="B105" s="1565" t="s">
        <v>1833</v>
      </c>
      <c r="C105" s="1533"/>
      <c r="D105" s="1534"/>
      <c r="E105" s="1566"/>
      <c r="F105" s="1567"/>
      <c r="G105" s="1516"/>
      <c r="H105" s="1264"/>
      <c r="I105" s="1265"/>
      <c r="J105" s="1264"/>
      <c r="K105" s="1273"/>
      <c r="L105" s="1639"/>
    </row>
    <row r="106" spans="1:15" s="1199" customFormat="1" ht="24" customHeight="1">
      <c r="A106" s="1564"/>
      <c r="B106" s="1565" t="s">
        <v>1759</v>
      </c>
      <c r="C106" s="1533"/>
      <c r="D106" s="1534"/>
      <c r="E106" s="1566">
        <v>4</v>
      </c>
      <c r="F106" s="1567" t="s">
        <v>363</v>
      </c>
      <c r="G106" s="1516">
        <v>648</v>
      </c>
      <c r="H106" s="1264">
        <f>ROUND(E106*G106,)</f>
        <v>2592</v>
      </c>
      <c r="I106" s="1265">
        <v>400</v>
      </c>
      <c r="J106" s="1264">
        <f>ROUND(I106*E106,)</f>
        <v>1600</v>
      </c>
      <c r="K106" s="1273">
        <f>H106+J106</f>
        <v>4192</v>
      </c>
      <c r="L106" s="1639"/>
    </row>
    <row r="107" spans="1:15" s="1199" customFormat="1" ht="24" customHeight="1">
      <c r="A107" s="1564" t="s">
        <v>1777</v>
      </c>
      <c r="B107" s="1597" t="s">
        <v>1832</v>
      </c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9"/>
    </row>
    <row r="108" spans="1:15" s="1199" customFormat="1" ht="24" customHeight="1">
      <c r="A108" s="1564"/>
      <c r="B108" s="1597" t="s">
        <v>1340</v>
      </c>
      <c r="C108" s="1533"/>
      <c r="D108" s="1534"/>
      <c r="E108" s="1566">
        <v>9</v>
      </c>
      <c r="F108" s="1567" t="s">
        <v>363</v>
      </c>
      <c r="G108" s="1516">
        <f>ROUND(665*0.7,)</f>
        <v>466</v>
      </c>
      <c r="H108" s="1264">
        <f>ROUND(E108*G108,)</f>
        <v>4194</v>
      </c>
      <c r="I108" s="1265">
        <v>200</v>
      </c>
      <c r="J108" s="1264">
        <f>ROUND(I108*E108,)</f>
        <v>1800</v>
      </c>
      <c r="K108" s="1273">
        <f>H108+J108</f>
        <v>5994</v>
      </c>
      <c r="L108" s="1639"/>
    </row>
    <row r="109" spans="1:15" s="1199" customFormat="1" ht="24" customHeight="1">
      <c r="A109" s="1578"/>
      <c r="B109" s="2257" t="str">
        <f>"รวมราคารายการที่ "&amp;A98</f>
        <v>รวมราคารายการที่ 5.3</v>
      </c>
      <c r="C109" s="2258"/>
      <c r="D109" s="2259"/>
      <c r="E109" s="1579"/>
      <c r="F109" s="1579"/>
      <c r="G109" s="1580"/>
      <c r="H109" s="1581">
        <f>SUM(H99:H108)</f>
        <v>128728</v>
      </c>
      <c r="I109" s="1582"/>
      <c r="J109" s="1581">
        <f>SUM(J99:J108)</f>
        <v>45299</v>
      </c>
      <c r="K109" s="1583">
        <f>SUM(K99:K108)</f>
        <v>174027</v>
      </c>
      <c r="L109" s="1630"/>
    </row>
    <row r="110" spans="1:15" s="1199" customFormat="1" ht="21.3">
      <c r="A110" s="1427"/>
      <c r="E110" s="1570"/>
    </row>
    <row r="111" spans="1:15" s="1199" customFormat="1" ht="21.3">
      <c r="A111" s="1427"/>
      <c r="E111" s="1570"/>
    </row>
    <row r="112" spans="1:15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4:D64"/>
    <mergeCell ref="B97:D97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4-อาคารด้านทิศตะวันตก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7E9B8-9F62-4C26-A0EB-FD070F96647F}">
  <sheetPr>
    <tabColor rgb="FF92D050"/>
  </sheetPr>
  <dimension ref="A1:O131"/>
  <sheetViews>
    <sheetView showGridLines="0" view="pageBreakPreview" topLeftCell="A85" zoomScale="85" zoomScaleNormal="60" zoomScaleSheetLayoutView="85" workbookViewId="0">
      <selection activeCell="F115" sqref="F11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703125" style="1" customWidth="1"/>
    <col min="13" max="13" width="12.703125" style="1" customWidth="1"/>
    <col min="14" max="15" width="9.5859375" style="1" bestFit="1" customWidth="1"/>
    <col min="16" max="86" width="7.703125" style="1" customWidth="1"/>
    <col min="87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1847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627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H64</f>
        <v>170277</v>
      </c>
      <c r="I13" s="1197"/>
      <c r="J13" s="1196">
        <f>J64</f>
        <v>52234</v>
      </c>
      <c r="K13" s="1553">
        <f>SUM(H13:J13)</f>
        <v>222511</v>
      </c>
      <c r="L13" s="1627"/>
    </row>
    <row r="14" spans="1:12" s="1199" customFormat="1" ht="24" customHeight="1">
      <c r="A14" s="1572" t="str">
        <f>A65</f>
        <v>5.2</v>
      </c>
      <c r="B14" s="1573" t="str">
        <f>B65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H97</f>
        <v>236761</v>
      </c>
      <c r="I14" s="1230"/>
      <c r="J14" s="1229">
        <f>J97</f>
        <v>84548</v>
      </c>
      <c r="K14" s="1553">
        <f>SUM(H14:J14)</f>
        <v>321309</v>
      </c>
      <c r="L14" s="1628"/>
    </row>
    <row r="15" spans="1:12" s="1199" customFormat="1" ht="24" customHeight="1">
      <c r="A15" s="1572">
        <f>A98</f>
        <v>5.3</v>
      </c>
      <c r="B15" s="1573" t="str">
        <f>B98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87881</v>
      </c>
      <c r="I15" s="1230"/>
      <c r="J15" s="1229">
        <f>J109</f>
        <v>30561</v>
      </c>
      <c r="K15" s="1553">
        <f>SUM(H15:J15)</f>
        <v>118442</v>
      </c>
      <c r="L15" s="1628"/>
    </row>
    <row r="16" spans="1:12" s="1199" customFormat="1" ht="24" customHeight="1">
      <c r="A16" s="1564"/>
      <c r="B16" s="1565"/>
      <c r="C16" s="1533"/>
      <c r="D16" s="1534"/>
      <c r="E16" s="1566"/>
      <c r="F16" s="1567"/>
      <c r="G16" s="1195"/>
      <c r="H16" s="1196"/>
      <c r="I16" s="1197"/>
      <c r="J16" s="1196"/>
      <c r="K16" s="1553"/>
      <c r="L16" s="1627"/>
    </row>
    <row r="17" spans="1:12" s="1199" customFormat="1" ht="24" customHeight="1">
      <c r="A17" s="1564"/>
      <c r="B17" s="1565"/>
      <c r="C17" s="1533"/>
      <c r="D17" s="1534"/>
      <c r="E17" s="1566"/>
      <c r="F17" s="1567"/>
      <c r="G17" s="1195"/>
      <c r="H17" s="1196"/>
      <c r="I17" s="1197"/>
      <c r="J17" s="1196"/>
      <c r="K17" s="1553"/>
      <c r="L17" s="1627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627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627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5</v>
      </c>
      <c r="C34" s="2258"/>
      <c r="D34" s="2259"/>
      <c r="E34" s="1579"/>
      <c r="F34" s="1579"/>
      <c r="G34" s="1580"/>
      <c r="H34" s="1581">
        <f>SUM(H12:H33)</f>
        <v>494919</v>
      </c>
      <c r="I34" s="1582"/>
      <c r="J34" s="1581">
        <f>SUM(J12:J33)</f>
        <v>167343</v>
      </c>
      <c r="K34" s="1583">
        <f>SUM(K12:K33)</f>
        <v>662262</v>
      </c>
      <c r="L34" s="1630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631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633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633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286</v>
      </c>
      <c r="F38" s="1567" t="s">
        <v>226</v>
      </c>
      <c r="G38" s="1593">
        <v>35</v>
      </c>
      <c r="H38" s="1264">
        <f t="shared" ref="H38:H46" si="0">ROUND(E38*G38,)</f>
        <v>10010</v>
      </c>
      <c r="I38" s="1595">
        <v>30</v>
      </c>
      <c r="J38" s="1264">
        <f t="shared" ref="J38:J46" si="1">ROUND(E38*I38,)</f>
        <v>8580</v>
      </c>
      <c r="K38" s="1265">
        <f t="shared" ref="K38:K46" si="2">H38+J38</f>
        <v>18590</v>
      </c>
      <c r="L38" s="1633"/>
      <c r="M38" s="1363"/>
      <c r="N38" s="1532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170</v>
      </c>
      <c r="F39" s="1567" t="s">
        <v>226</v>
      </c>
      <c r="G39" s="1593">
        <v>46</v>
      </c>
      <c r="H39" s="1264">
        <f t="shared" si="0"/>
        <v>7820</v>
      </c>
      <c r="I39" s="1595">
        <v>30</v>
      </c>
      <c r="J39" s="1264">
        <f t="shared" si="1"/>
        <v>5100</v>
      </c>
      <c r="K39" s="1265">
        <f t="shared" si="2"/>
        <v>12920</v>
      </c>
      <c r="L39" s="1633"/>
      <c r="M39" s="1363"/>
      <c r="N39" s="1532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13</v>
      </c>
      <c r="F40" s="1567" t="s">
        <v>226</v>
      </c>
      <c r="G40" s="1593">
        <v>113</v>
      </c>
      <c r="H40" s="1264">
        <f t="shared" si="0"/>
        <v>1469</v>
      </c>
      <c r="I40" s="1595">
        <v>50</v>
      </c>
      <c r="J40" s="1264">
        <f t="shared" si="1"/>
        <v>650</v>
      </c>
      <c r="K40" s="1265">
        <f t="shared" si="2"/>
        <v>2119</v>
      </c>
      <c r="L40" s="1633"/>
      <c r="N40" s="1532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26</v>
      </c>
      <c r="F41" s="1567" t="s">
        <v>226</v>
      </c>
      <c r="G41" s="1593">
        <v>193</v>
      </c>
      <c r="H41" s="1264">
        <f t="shared" si="0"/>
        <v>5018</v>
      </c>
      <c r="I41" s="1595">
        <v>75</v>
      </c>
      <c r="J41" s="1264">
        <f t="shared" si="1"/>
        <v>1950</v>
      </c>
      <c r="K41" s="1265">
        <f t="shared" si="2"/>
        <v>6968</v>
      </c>
      <c r="L41" s="1633"/>
      <c r="M41" s="1363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70</v>
      </c>
      <c r="F42" s="1567" t="s">
        <v>226</v>
      </c>
      <c r="G42" s="1593">
        <v>287</v>
      </c>
      <c r="H42" s="1264">
        <f t="shared" si="0"/>
        <v>20090</v>
      </c>
      <c r="I42" s="1595">
        <v>100</v>
      </c>
      <c r="J42" s="1264">
        <f t="shared" si="1"/>
        <v>7000</v>
      </c>
      <c r="K42" s="1265">
        <f t="shared" si="2"/>
        <v>27090</v>
      </c>
      <c r="L42" s="1633"/>
      <c r="M42" s="1363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30</v>
      </c>
      <c r="F43" s="1567" t="s">
        <v>226</v>
      </c>
      <c r="G43" s="1593">
        <v>562</v>
      </c>
      <c r="H43" s="1264">
        <f>ROUND(E43*G43,)</f>
        <v>16860</v>
      </c>
      <c r="I43" s="1595">
        <v>120</v>
      </c>
      <c r="J43" s="1264">
        <f>ROUND(E43*I43,)</f>
        <v>3600</v>
      </c>
      <c r="K43" s="1273">
        <f>H43+J43</f>
        <v>20460</v>
      </c>
      <c r="L43" s="1633"/>
      <c r="M43" s="1363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ROUND(SUM(H38:H43)*50%,)</f>
        <v>30634</v>
      </c>
      <c r="H44" s="1264">
        <f t="shared" si="0"/>
        <v>30634</v>
      </c>
      <c r="I44" s="1595">
        <f>ROUND(G44*0.3,)</f>
        <v>9190</v>
      </c>
      <c r="J44" s="1264">
        <f t="shared" si="1"/>
        <v>9190</v>
      </c>
      <c r="K44" s="1265">
        <f t="shared" si="2"/>
        <v>39824</v>
      </c>
      <c r="L44" s="1633"/>
      <c r="M44" s="1363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ROUND(SUM(H38:H43)*20%,)</f>
        <v>12253</v>
      </c>
      <c r="H45" s="1264">
        <f t="shared" si="0"/>
        <v>12253</v>
      </c>
      <c r="I45" s="1595">
        <f>ROUND(G45*0.3,)</f>
        <v>3676</v>
      </c>
      <c r="J45" s="1264">
        <f t="shared" si="1"/>
        <v>3676</v>
      </c>
      <c r="K45" s="1265">
        <f t="shared" si="2"/>
        <v>15929</v>
      </c>
      <c r="L45" s="1633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ROUND(SUM(H38:H43)*10%,)</f>
        <v>6127</v>
      </c>
      <c r="H46" s="1264">
        <f t="shared" si="0"/>
        <v>6127</v>
      </c>
      <c r="I46" s="1595">
        <f>ROUND(G46*0.3,)</f>
        <v>1838</v>
      </c>
      <c r="J46" s="1264">
        <f t="shared" si="1"/>
        <v>1838</v>
      </c>
      <c r="K46" s="1265">
        <f t="shared" si="2"/>
        <v>7965</v>
      </c>
      <c r="L46" s="1633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633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2</v>
      </c>
      <c r="F48" s="1567" t="s">
        <v>363</v>
      </c>
      <c r="G48" s="1593">
        <v>880</v>
      </c>
      <c r="H48" s="1264">
        <f t="shared" ref="H48:H49" si="3">ROUND(E48*G48,)</f>
        <v>1760</v>
      </c>
      <c r="I48" s="1595">
        <v>150</v>
      </c>
      <c r="J48" s="1264">
        <f t="shared" ref="J48:J49" si="4">ROUND(E48*I48,)</f>
        <v>300</v>
      </c>
      <c r="K48" s="1265">
        <f t="shared" ref="K48:K49" si="5">H48+J48</f>
        <v>2060</v>
      </c>
      <c r="L48" s="2082" t="s">
        <v>2667</v>
      </c>
    </row>
    <row r="49" spans="1:14" s="1199" customFormat="1" ht="24" customHeight="1">
      <c r="A49" s="1564"/>
      <c r="B49" s="1565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</row>
    <row r="50" spans="1:14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633"/>
    </row>
    <row r="51" spans="1:14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65">
        <f>H51+J51</f>
        <v>24460</v>
      </c>
      <c r="L51" s="1633"/>
    </row>
    <row r="52" spans="1:14" s="1199" customFormat="1" ht="24" customHeight="1">
      <c r="A52" s="1564"/>
      <c r="B52" s="1597" t="s">
        <v>1716</v>
      </c>
      <c r="C52" s="1533"/>
      <c r="D52" s="1534"/>
      <c r="E52" s="1566">
        <v>4</v>
      </c>
      <c r="F52" s="1567" t="s">
        <v>363</v>
      </c>
      <c r="G52" s="1593">
        <v>2218</v>
      </c>
      <c r="H52" s="1264">
        <f>ROUND(E52*G52,)</f>
        <v>8872</v>
      </c>
      <c r="I52" s="1595">
        <v>600</v>
      </c>
      <c r="J52" s="1264">
        <f>ROUND(E52*I52,)</f>
        <v>2400</v>
      </c>
      <c r="K52" s="1273">
        <f>H52+J52</f>
        <v>11272</v>
      </c>
      <c r="L52" s="1635"/>
    </row>
    <row r="53" spans="1:14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633"/>
    </row>
    <row r="54" spans="1:14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633"/>
    </row>
    <row r="55" spans="1:14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633"/>
    </row>
    <row r="56" spans="1:14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633"/>
    </row>
    <row r="57" spans="1:14" s="1199" customFormat="1" ht="24" customHeight="1">
      <c r="A57" s="1564"/>
      <c r="B57" s="1565" t="s">
        <v>1823</v>
      </c>
      <c r="C57" s="1533"/>
      <c r="D57" s="1534"/>
      <c r="E57" s="1566">
        <v>6</v>
      </c>
      <c r="F57" s="1567" t="s">
        <v>363</v>
      </c>
      <c r="G57" s="1603">
        <v>210</v>
      </c>
      <c r="H57" s="1264">
        <f>ROUND(E57*G57,)</f>
        <v>1260</v>
      </c>
      <c r="I57" s="1595">
        <v>100</v>
      </c>
      <c r="J57" s="1264">
        <f>ROUND(E57*I57,)</f>
        <v>600</v>
      </c>
      <c r="K57" s="1265">
        <f>H57+J57</f>
        <v>1860</v>
      </c>
      <c r="L57" s="1633"/>
    </row>
    <row r="58" spans="1:14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633"/>
    </row>
    <row r="59" spans="1:14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633"/>
    </row>
    <row r="60" spans="1:14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633"/>
    </row>
    <row r="61" spans="1:14" s="1199" customFormat="1" ht="24" customHeight="1">
      <c r="A61" s="1564"/>
      <c r="B61" s="1597" t="s">
        <v>1823</v>
      </c>
      <c r="C61" s="1533"/>
      <c r="D61" s="1534"/>
      <c r="E61" s="1566">
        <v>6</v>
      </c>
      <c r="F61" s="1567" t="s">
        <v>363</v>
      </c>
      <c r="G61" s="1593">
        <v>120</v>
      </c>
      <c r="H61" s="1264">
        <f>ROUND(E61*G61,)</f>
        <v>720</v>
      </c>
      <c r="I61" s="1595">
        <v>50</v>
      </c>
      <c r="J61" s="1264">
        <f>ROUND(I61*E61,)</f>
        <v>300</v>
      </c>
      <c r="K61" s="1273">
        <f>H61+J61</f>
        <v>1020</v>
      </c>
      <c r="L61" s="1633"/>
    </row>
    <row r="62" spans="1:14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633"/>
    </row>
    <row r="63" spans="1:14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635"/>
    </row>
    <row r="64" spans="1:14" s="1199" customFormat="1" ht="24" customHeight="1">
      <c r="A64" s="1578"/>
      <c r="B64" s="2257" t="str">
        <f>"รวมราคารายการที่ "&amp;A36</f>
        <v>รวมราคารายการที่ 5.1</v>
      </c>
      <c r="C64" s="2258"/>
      <c r="D64" s="2259"/>
      <c r="E64" s="1579"/>
      <c r="F64" s="1579"/>
      <c r="G64" s="1580"/>
      <c r="H64" s="1583">
        <f>SUM(H36:H63)</f>
        <v>170277</v>
      </c>
      <c r="I64" s="1582"/>
      <c r="J64" s="1583">
        <f>SUM(J36:J63)</f>
        <v>52234</v>
      </c>
      <c r="K64" s="1583">
        <f>SUM(K36:K63)</f>
        <v>222511</v>
      </c>
      <c r="L64" s="1630"/>
      <c r="M64" s="1532"/>
      <c r="N64" s="1532"/>
    </row>
    <row r="65" spans="1:15" s="1199" customFormat="1" ht="24" customHeight="1">
      <c r="A65" s="1605" t="s">
        <v>1744</v>
      </c>
      <c r="B65" s="1606" t="s">
        <v>1745</v>
      </c>
      <c r="C65" s="1607"/>
      <c r="D65" s="1608"/>
      <c r="E65" s="1609"/>
      <c r="F65" s="1610"/>
      <c r="G65" s="1611"/>
      <c r="H65" s="1612"/>
      <c r="I65" s="1613"/>
      <c r="J65" s="1612"/>
      <c r="K65" s="1614"/>
      <c r="L65" s="1634"/>
      <c r="M65" s="1532"/>
      <c r="N65" s="1532"/>
    </row>
    <row r="66" spans="1:15" s="1199" customFormat="1" ht="24" customHeight="1">
      <c r="A66" s="1572" t="s">
        <v>1746</v>
      </c>
      <c r="B66" s="1597" t="s">
        <v>1839</v>
      </c>
      <c r="C66" s="1533"/>
      <c r="D66" s="1534"/>
      <c r="E66" s="1566"/>
      <c r="F66" s="1567"/>
      <c r="G66" s="1516"/>
      <c r="H66" s="1264"/>
      <c r="I66" s="1265"/>
      <c r="J66" s="1264"/>
      <c r="K66" s="1273"/>
      <c r="L66" s="1635"/>
      <c r="M66" s="1532"/>
      <c r="N66" s="1532"/>
    </row>
    <row r="67" spans="1:15" s="1199" customFormat="1" ht="24" customHeight="1">
      <c r="A67" s="1564"/>
      <c r="B67" s="1597" t="s">
        <v>1340</v>
      </c>
      <c r="C67" s="1533"/>
      <c r="D67" s="1534"/>
      <c r="E67" s="1566">
        <v>192</v>
      </c>
      <c r="F67" s="1567" t="s">
        <v>226</v>
      </c>
      <c r="G67" s="1516">
        <v>127</v>
      </c>
      <c r="H67" s="1264">
        <f t="shared" ref="H67:H73" si="6">ROUND(E67*G67,)</f>
        <v>24384</v>
      </c>
      <c r="I67" s="1265">
        <v>40</v>
      </c>
      <c r="J67" s="1264">
        <f t="shared" ref="J67:J73" si="7">ROUND(I67*E67,)</f>
        <v>7680</v>
      </c>
      <c r="K67" s="1273">
        <f t="shared" ref="K67:K73" si="8">H67+J67</f>
        <v>32064</v>
      </c>
      <c r="L67" s="1635"/>
      <c r="M67" s="1532"/>
    </row>
    <row r="68" spans="1:15" s="1199" customFormat="1" ht="24" customHeight="1">
      <c r="A68" s="1564"/>
      <c r="B68" s="1597" t="s">
        <v>1342</v>
      </c>
      <c r="C68" s="1533"/>
      <c r="D68" s="1534"/>
      <c r="E68" s="1566">
        <v>50</v>
      </c>
      <c r="F68" s="1567" t="s">
        <v>226</v>
      </c>
      <c r="G68" s="1516">
        <v>258</v>
      </c>
      <c r="H68" s="1264">
        <f t="shared" si="6"/>
        <v>12900</v>
      </c>
      <c r="I68" s="1265">
        <v>75</v>
      </c>
      <c r="J68" s="1264">
        <f t="shared" si="7"/>
        <v>3750</v>
      </c>
      <c r="K68" s="1273">
        <f t="shared" si="8"/>
        <v>16650</v>
      </c>
      <c r="L68" s="1635"/>
    </row>
    <row r="69" spans="1:15" s="1199" customFormat="1" ht="24" customHeight="1">
      <c r="A69" s="1564"/>
      <c r="B69" s="1597" t="s">
        <v>1759</v>
      </c>
      <c r="C69" s="1533"/>
      <c r="D69" s="1534"/>
      <c r="E69" s="1566">
        <v>116</v>
      </c>
      <c r="F69" s="1567" t="s">
        <v>226</v>
      </c>
      <c r="G69" s="1516">
        <v>395</v>
      </c>
      <c r="H69" s="1264">
        <f t="shared" si="6"/>
        <v>45820</v>
      </c>
      <c r="I69" s="1265">
        <v>120</v>
      </c>
      <c r="J69" s="1264">
        <f t="shared" si="7"/>
        <v>13920</v>
      </c>
      <c r="K69" s="1273">
        <f t="shared" si="8"/>
        <v>59740</v>
      </c>
      <c r="L69" s="1635"/>
    </row>
    <row r="70" spans="1:15" s="1199" customFormat="1" ht="24" customHeight="1">
      <c r="A70" s="1564"/>
      <c r="B70" s="1597" t="s">
        <v>1754</v>
      </c>
      <c r="C70" s="1533"/>
      <c r="D70" s="1534"/>
      <c r="E70" s="1566">
        <v>36</v>
      </c>
      <c r="F70" s="1567" t="s">
        <v>226</v>
      </c>
      <c r="G70" s="1516">
        <v>789</v>
      </c>
      <c r="H70" s="1264">
        <f t="shared" si="6"/>
        <v>28404</v>
      </c>
      <c r="I70" s="1265">
        <v>250</v>
      </c>
      <c r="J70" s="1264">
        <f t="shared" si="7"/>
        <v>9000</v>
      </c>
      <c r="K70" s="1273">
        <f t="shared" si="8"/>
        <v>37404</v>
      </c>
      <c r="L70" s="1635"/>
    </row>
    <row r="71" spans="1:15" s="1199" customFormat="1" ht="24" customHeight="1">
      <c r="A71" s="1564"/>
      <c r="B71" s="1597" t="s">
        <v>1719</v>
      </c>
      <c r="C71" s="1533"/>
      <c r="D71" s="1534"/>
      <c r="E71" s="1566">
        <v>1</v>
      </c>
      <c r="F71" s="1567" t="s">
        <v>1104</v>
      </c>
      <c r="G71" s="1516">
        <f>ROUND(SUM(H67:H70)*40%,)</f>
        <v>44603</v>
      </c>
      <c r="H71" s="1264">
        <f t="shared" si="6"/>
        <v>44603</v>
      </c>
      <c r="I71" s="1595">
        <f>ROUND(G71*0.3,)</f>
        <v>13381</v>
      </c>
      <c r="J71" s="1264">
        <f t="shared" si="7"/>
        <v>13381</v>
      </c>
      <c r="K71" s="1273">
        <f t="shared" si="8"/>
        <v>57984</v>
      </c>
      <c r="L71" s="1635"/>
    </row>
    <row r="72" spans="1:15" s="1199" customFormat="1" ht="24" customHeight="1">
      <c r="A72" s="1564"/>
      <c r="B72" s="1597" t="s">
        <v>1720</v>
      </c>
      <c r="C72" s="1533"/>
      <c r="D72" s="1534"/>
      <c r="E72" s="1566">
        <v>1</v>
      </c>
      <c r="F72" s="1567" t="s">
        <v>1104</v>
      </c>
      <c r="G72" s="1516">
        <f>ROUND(SUM(H67:H70)*20%,)</f>
        <v>22302</v>
      </c>
      <c r="H72" s="1264">
        <f t="shared" si="6"/>
        <v>22302</v>
      </c>
      <c r="I72" s="1595">
        <f>ROUND(G72*0.3,)</f>
        <v>6691</v>
      </c>
      <c r="J72" s="1264">
        <f t="shared" si="7"/>
        <v>6691</v>
      </c>
      <c r="K72" s="1273">
        <f t="shared" si="8"/>
        <v>28993</v>
      </c>
      <c r="L72" s="1635"/>
      <c r="O72" s="1532"/>
    </row>
    <row r="73" spans="1:15" s="1199" customFormat="1" ht="24" customHeight="1">
      <c r="A73" s="1564"/>
      <c r="B73" s="1597" t="s">
        <v>1756</v>
      </c>
      <c r="C73" s="1533"/>
      <c r="D73" s="1534"/>
      <c r="E73" s="1566">
        <v>1</v>
      </c>
      <c r="F73" s="1567" t="s">
        <v>1104</v>
      </c>
      <c r="G73" s="1516">
        <f>ROUND(SUM(H67:H70)*10%,)</f>
        <v>11151</v>
      </c>
      <c r="H73" s="1264">
        <f t="shared" si="6"/>
        <v>11151</v>
      </c>
      <c r="I73" s="1595">
        <f>ROUND(G73*0.3,)</f>
        <v>3345</v>
      </c>
      <c r="J73" s="1264">
        <f t="shared" si="7"/>
        <v>3345</v>
      </c>
      <c r="K73" s="1273">
        <f t="shared" si="8"/>
        <v>14496</v>
      </c>
      <c r="L73" s="1635"/>
      <c r="O73" s="1532"/>
    </row>
    <row r="74" spans="1:15" s="1199" customFormat="1" ht="24" customHeight="1">
      <c r="A74" s="1572" t="s">
        <v>1752</v>
      </c>
      <c r="B74" s="1597" t="s">
        <v>1831</v>
      </c>
      <c r="C74" s="1533"/>
      <c r="D74" s="1534"/>
      <c r="E74" s="1566"/>
      <c r="F74" s="1567"/>
      <c r="G74" s="1516"/>
      <c r="H74" s="1264"/>
      <c r="I74" s="1265"/>
      <c r="J74" s="1264"/>
      <c r="K74" s="1273"/>
      <c r="L74" s="1635"/>
      <c r="M74" s="1532"/>
      <c r="O74" s="1532"/>
    </row>
    <row r="75" spans="1:15" s="1199" customFormat="1" ht="24" customHeight="1">
      <c r="A75" s="1564"/>
      <c r="B75" s="1597" t="s">
        <v>1338</v>
      </c>
      <c r="C75" s="1533"/>
      <c r="D75" s="1534"/>
      <c r="E75" s="1566">
        <v>110</v>
      </c>
      <c r="F75" s="1567" t="s">
        <v>226</v>
      </c>
      <c r="G75" s="1516">
        <v>20</v>
      </c>
      <c r="H75" s="1264">
        <f t="shared" ref="H75:H82" si="9">ROUND(E75*G75,)</f>
        <v>2200</v>
      </c>
      <c r="I75" s="1265">
        <v>30</v>
      </c>
      <c r="J75" s="1264">
        <f t="shared" ref="J75:J82" si="10">ROUND(I75*E75,)</f>
        <v>3300</v>
      </c>
      <c r="K75" s="1273">
        <f t="shared" ref="K75:K82" si="11">H75+J75</f>
        <v>5500</v>
      </c>
      <c r="L75" s="2082" t="s">
        <v>2667</v>
      </c>
      <c r="N75" s="1199">
        <v>79.17</v>
      </c>
      <c r="O75" s="1199">
        <f>ROUND(N75/4,)</f>
        <v>20</v>
      </c>
    </row>
    <row r="76" spans="1:15" s="1199" customFormat="1" ht="24" customHeight="1">
      <c r="A76" s="1564"/>
      <c r="B76" s="1597" t="s">
        <v>1339</v>
      </c>
      <c r="C76" s="1533"/>
      <c r="D76" s="1534"/>
      <c r="E76" s="1566">
        <v>22</v>
      </c>
      <c r="F76" s="1567" t="s">
        <v>226</v>
      </c>
      <c r="G76" s="1516">
        <v>26</v>
      </c>
      <c r="H76" s="1264">
        <f t="shared" si="9"/>
        <v>572</v>
      </c>
      <c r="I76" s="1265">
        <v>30</v>
      </c>
      <c r="J76" s="1264">
        <f t="shared" si="10"/>
        <v>660</v>
      </c>
      <c r="K76" s="1273">
        <f t="shared" si="11"/>
        <v>1232</v>
      </c>
      <c r="L76" s="2082" t="s">
        <v>2667</v>
      </c>
      <c r="N76" s="1199">
        <v>103.74</v>
      </c>
      <c r="O76" s="1199">
        <f t="shared" ref="O76:O79" si="12">ROUND(N76/4,)</f>
        <v>26</v>
      </c>
    </row>
    <row r="77" spans="1:15" s="1199" customFormat="1" ht="24" customHeight="1">
      <c r="A77" s="1564"/>
      <c r="B77" s="1597" t="s">
        <v>1340</v>
      </c>
      <c r="C77" s="1533"/>
      <c r="D77" s="1534"/>
      <c r="E77" s="1566">
        <v>36</v>
      </c>
      <c r="F77" s="1567" t="s">
        <v>226</v>
      </c>
      <c r="G77" s="1516">
        <v>41</v>
      </c>
      <c r="H77" s="1264">
        <f t="shared" si="9"/>
        <v>1476</v>
      </c>
      <c r="I77" s="1265">
        <v>40</v>
      </c>
      <c r="J77" s="1264">
        <f t="shared" si="10"/>
        <v>1440</v>
      </c>
      <c r="K77" s="1273">
        <f t="shared" si="11"/>
        <v>2916</v>
      </c>
      <c r="L77" s="2082" t="s">
        <v>2667</v>
      </c>
      <c r="N77" s="1199">
        <v>163.80000000000001</v>
      </c>
      <c r="O77" s="1199">
        <f t="shared" si="12"/>
        <v>41</v>
      </c>
    </row>
    <row r="78" spans="1:15" s="1199" customFormat="1" ht="24" customHeight="1">
      <c r="A78" s="1564"/>
      <c r="B78" s="1597" t="s">
        <v>1341</v>
      </c>
      <c r="C78" s="1533"/>
      <c r="D78" s="1534"/>
      <c r="E78" s="1566">
        <v>27</v>
      </c>
      <c r="F78" s="1567" t="s">
        <v>226</v>
      </c>
      <c r="G78" s="1516">
        <v>65</v>
      </c>
      <c r="H78" s="1264">
        <f t="shared" si="9"/>
        <v>1755</v>
      </c>
      <c r="I78" s="1265">
        <v>50</v>
      </c>
      <c r="J78" s="1264">
        <f t="shared" si="10"/>
        <v>1350</v>
      </c>
      <c r="K78" s="1273">
        <f t="shared" si="11"/>
        <v>3105</v>
      </c>
      <c r="L78" s="2082" t="s">
        <v>2667</v>
      </c>
      <c r="N78" s="1199">
        <v>259.35000000000002</v>
      </c>
      <c r="O78" s="1199">
        <f t="shared" si="12"/>
        <v>65</v>
      </c>
    </row>
    <row r="79" spans="1:15" s="1199" customFormat="1" ht="24" customHeight="1">
      <c r="A79" s="1564"/>
      <c r="B79" s="1597" t="s">
        <v>1342</v>
      </c>
      <c r="C79" s="1533"/>
      <c r="D79" s="1534"/>
      <c r="E79" s="1566">
        <v>91</v>
      </c>
      <c r="F79" s="1567" t="s">
        <v>226</v>
      </c>
      <c r="G79" s="1516">
        <v>90</v>
      </c>
      <c r="H79" s="1264">
        <f t="shared" si="9"/>
        <v>8190</v>
      </c>
      <c r="I79" s="1265">
        <v>75</v>
      </c>
      <c r="J79" s="1264">
        <f t="shared" si="10"/>
        <v>6825</v>
      </c>
      <c r="K79" s="1273">
        <f t="shared" si="11"/>
        <v>15015</v>
      </c>
      <c r="L79" s="2082" t="s">
        <v>2667</v>
      </c>
      <c r="N79" s="1199">
        <v>359.45</v>
      </c>
      <c r="O79" s="1199">
        <f t="shared" si="12"/>
        <v>90</v>
      </c>
    </row>
    <row r="80" spans="1:15" s="1199" customFormat="1" ht="24" customHeight="1">
      <c r="A80" s="1564"/>
      <c r="B80" s="1597" t="s">
        <v>1719</v>
      </c>
      <c r="C80" s="1533"/>
      <c r="D80" s="1534"/>
      <c r="E80" s="1566">
        <v>1</v>
      </c>
      <c r="F80" s="1567" t="s">
        <v>1104</v>
      </c>
      <c r="G80" s="1516">
        <f>SUM(H75:H79)*40%</f>
        <v>5677.2000000000007</v>
      </c>
      <c r="H80" s="1264">
        <f t="shared" si="9"/>
        <v>5677</v>
      </c>
      <c r="I80" s="1595">
        <f>ROUND(G80*0.3,)</f>
        <v>1703</v>
      </c>
      <c r="J80" s="1264">
        <f t="shared" si="10"/>
        <v>1703</v>
      </c>
      <c r="K80" s="1273">
        <f t="shared" si="11"/>
        <v>7380</v>
      </c>
      <c r="L80" s="1635"/>
    </row>
    <row r="81" spans="1:12" s="1199" customFormat="1" ht="24" customHeight="1">
      <c r="A81" s="1564"/>
      <c r="B81" s="1597" t="s">
        <v>1720</v>
      </c>
      <c r="C81" s="1533"/>
      <c r="D81" s="1534"/>
      <c r="E81" s="1566">
        <v>1</v>
      </c>
      <c r="F81" s="1567" t="s">
        <v>1104</v>
      </c>
      <c r="G81" s="1516">
        <f>ROUND(SUM(H75:H79)*30%,)</f>
        <v>4258</v>
      </c>
      <c r="H81" s="1264">
        <f t="shared" si="9"/>
        <v>4258</v>
      </c>
      <c r="I81" s="1595">
        <f>ROUND(G81*0.3,)</f>
        <v>1277</v>
      </c>
      <c r="J81" s="1264">
        <f t="shared" si="10"/>
        <v>1277</v>
      </c>
      <c r="K81" s="1273">
        <f t="shared" si="11"/>
        <v>5535</v>
      </c>
      <c r="L81" s="1635"/>
    </row>
    <row r="82" spans="1:12" s="1199" customFormat="1" ht="24" customHeight="1">
      <c r="A82" s="1564"/>
      <c r="B82" s="1597" t="s">
        <v>1756</v>
      </c>
      <c r="C82" s="1533"/>
      <c r="D82" s="1534"/>
      <c r="E82" s="1566">
        <v>1</v>
      </c>
      <c r="F82" s="1567" t="s">
        <v>1104</v>
      </c>
      <c r="G82" s="1516">
        <f>ROUND(SUM(H75:H79)*10%,)</f>
        <v>1419</v>
      </c>
      <c r="H82" s="1264">
        <f t="shared" si="9"/>
        <v>1419</v>
      </c>
      <c r="I82" s="1595">
        <f>ROUND(G82*0.3,)</f>
        <v>426</v>
      </c>
      <c r="J82" s="1264">
        <f t="shared" si="10"/>
        <v>426</v>
      </c>
      <c r="K82" s="1273">
        <f t="shared" si="11"/>
        <v>1845</v>
      </c>
      <c r="L82" s="1635"/>
    </row>
    <row r="83" spans="1:12" s="1199" customFormat="1" ht="24" customHeight="1">
      <c r="A83" s="1564" t="s">
        <v>1757</v>
      </c>
      <c r="B83" s="1597" t="s">
        <v>1832</v>
      </c>
      <c r="C83" s="1533"/>
      <c r="D83" s="1534"/>
      <c r="E83" s="1566"/>
      <c r="F83" s="1567"/>
      <c r="G83" s="1516"/>
      <c r="H83" s="1264"/>
      <c r="I83" s="1265"/>
      <c r="J83" s="1264"/>
      <c r="K83" s="1273"/>
      <c r="L83" s="1635"/>
    </row>
    <row r="84" spans="1:12" s="1199" customFormat="1" ht="24" customHeight="1">
      <c r="A84" s="1564"/>
      <c r="B84" s="1597" t="s">
        <v>1340</v>
      </c>
      <c r="C84" s="1533"/>
      <c r="D84" s="1534"/>
      <c r="E84" s="1566">
        <v>34</v>
      </c>
      <c r="F84" s="1567" t="s">
        <v>363</v>
      </c>
      <c r="G84" s="1516">
        <f>ROUND(665*0.7,)</f>
        <v>466</v>
      </c>
      <c r="H84" s="1264">
        <f>ROUND(E84*G84,)</f>
        <v>15844</v>
      </c>
      <c r="I84" s="1265">
        <v>200</v>
      </c>
      <c r="J84" s="1264">
        <f>ROUND(I84*E84,)</f>
        <v>6800</v>
      </c>
      <c r="K84" s="1273">
        <f>H84+J84</f>
        <v>22644</v>
      </c>
      <c r="L84" s="1635"/>
    </row>
    <row r="85" spans="1:12" s="1199" customFormat="1" ht="24" customHeight="1">
      <c r="A85" s="1564"/>
      <c r="B85" s="1597"/>
      <c r="C85" s="1533"/>
      <c r="D85" s="1534"/>
      <c r="E85" s="1566"/>
      <c r="F85" s="1567"/>
      <c r="G85" s="1516"/>
      <c r="H85" s="1264"/>
      <c r="I85" s="1265"/>
      <c r="J85" s="1264"/>
      <c r="K85" s="1273"/>
      <c r="L85" s="1635"/>
    </row>
    <row r="86" spans="1:12" s="1199" customFormat="1" ht="24" customHeight="1">
      <c r="A86" s="1564"/>
      <c r="B86" s="1597"/>
      <c r="C86" s="1533"/>
      <c r="D86" s="1534"/>
      <c r="E86" s="1566"/>
      <c r="F86" s="1567"/>
      <c r="G86" s="1516"/>
      <c r="H86" s="1264"/>
      <c r="I86" s="1265"/>
      <c r="J86" s="1264"/>
      <c r="K86" s="1273"/>
      <c r="L86" s="1635"/>
    </row>
    <row r="87" spans="1:12" s="1199" customFormat="1" ht="24" customHeight="1">
      <c r="A87" s="1564" t="s">
        <v>1760</v>
      </c>
      <c r="B87" s="1597" t="s">
        <v>1780</v>
      </c>
      <c r="C87" s="1533"/>
      <c r="D87" s="1534"/>
      <c r="E87" s="1566"/>
      <c r="F87" s="1567"/>
      <c r="G87" s="1516"/>
      <c r="H87" s="1264"/>
      <c r="I87" s="1265"/>
      <c r="J87" s="1264"/>
      <c r="K87" s="1273"/>
      <c r="L87" s="1635"/>
    </row>
    <row r="88" spans="1:12" s="1199" customFormat="1" ht="24" customHeight="1">
      <c r="A88" s="1564"/>
      <c r="B88" s="1597" t="s">
        <v>1340</v>
      </c>
      <c r="C88" s="1533"/>
      <c r="D88" s="1534"/>
      <c r="E88" s="1566">
        <v>10</v>
      </c>
      <c r="F88" s="1567" t="s">
        <v>363</v>
      </c>
      <c r="G88" s="1516">
        <f>ROUND(240*0.75,)</f>
        <v>180</v>
      </c>
      <c r="H88" s="1264">
        <f>ROUND(E88*G88,)</f>
        <v>1800</v>
      </c>
      <c r="I88" s="1265">
        <v>100</v>
      </c>
      <c r="J88" s="1264">
        <f>ROUND(I88*E88,)</f>
        <v>1000</v>
      </c>
      <c r="K88" s="1273">
        <f>H88+J88</f>
        <v>2800</v>
      </c>
      <c r="L88" s="1635"/>
    </row>
    <row r="89" spans="1:12" s="1199" customFormat="1" ht="24" customHeight="1">
      <c r="A89" s="1564"/>
      <c r="B89" s="1597" t="s">
        <v>1342</v>
      </c>
      <c r="C89" s="1533"/>
      <c r="D89" s="1534"/>
      <c r="E89" s="1566">
        <v>4</v>
      </c>
      <c r="F89" s="1567" t="s">
        <v>363</v>
      </c>
      <c r="G89" s="1516">
        <f>ROUND(360*0.75,)</f>
        <v>270</v>
      </c>
      <c r="H89" s="1264">
        <f>ROUND(E89*G89,)</f>
        <v>1080</v>
      </c>
      <c r="I89" s="1265">
        <v>150</v>
      </c>
      <c r="J89" s="1264">
        <f>ROUND(I89*E89,)</f>
        <v>600</v>
      </c>
      <c r="K89" s="1273">
        <f>H89+J89</f>
        <v>1680</v>
      </c>
      <c r="L89" s="1635"/>
    </row>
    <row r="90" spans="1:12" s="1199" customFormat="1" ht="24" customHeight="1">
      <c r="A90" s="1637"/>
      <c r="B90" s="1597" t="s">
        <v>1759</v>
      </c>
      <c r="C90" s="1533"/>
      <c r="D90" s="1534"/>
      <c r="E90" s="1566">
        <v>4</v>
      </c>
      <c r="F90" s="1567" t="s">
        <v>363</v>
      </c>
      <c r="G90" s="1516">
        <f>ROUND(500*0.75,)</f>
        <v>375</v>
      </c>
      <c r="H90" s="1264">
        <f>ROUND(E90*G90,)</f>
        <v>1500</v>
      </c>
      <c r="I90" s="1265">
        <v>200</v>
      </c>
      <c r="J90" s="1264">
        <f>ROUND(I90*E90,)</f>
        <v>800</v>
      </c>
      <c r="K90" s="1273">
        <f>H90+J90</f>
        <v>2300</v>
      </c>
      <c r="L90" s="1635"/>
    </row>
    <row r="91" spans="1:12" s="1199" customFormat="1" ht="24" customHeight="1">
      <c r="A91" s="1564"/>
      <c r="B91" s="1597" t="s">
        <v>1754</v>
      </c>
      <c r="C91" s="1533"/>
      <c r="D91" s="1534"/>
      <c r="E91" s="1566">
        <v>2</v>
      </c>
      <c r="F91" s="1567" t="s">
        <v>363</v>
      </c>
      <c r="G91" s="1516">
        <f>ROUND(950*0.75,)</f>
        <v>713</v>
      </c>
      <c r="H91" s="1264">
        <f>ROUND(E91*G91,)</f>
        <v>1426</v>
      </c>
      <c r="I91" s="1265">
        <v>300</v>
      </c>
      <c r="J91" s="1264">
        <f>ROUND(I91*E91,)</f>
        <v>600</v>
      </c>
      <c r="K91" s="1273">
        <f>H91+J91</f>
        <v>2026</v>
      </c>
      <c r="L91" s="1635"/>
    </row>
    <row r="92" spans="1:12" s="1199" customFormat="1" ht="24" customHeight="1">
      <c r="A92" s="1572"/>
      <c r="B92" s="1573"/>
      <c r="C92" s="1574"/>
      <c r="D92" s="1653"/>
      <c r="E92" s="1598"/>
      <c r="F92" s="1575"/>
      <c r="G92" s="1351"/>
      <c r="H92" s="1281"/>
      <c r="I92" s="1282"/>
      <c r="J92" s="1281"/>
      <c r="K92" s="1405"/>
      <c r="L92" s="1639"/>
    </row>
    <row r="93" spans="1:12" s="1199" customFormat="1" ht="24" customHeight="1">
      <c r="A93" s="1572"/>
      <c r="B93" s="1573"/>
      <c r="C93" s="1574"/>
      <c r="D93" s="1653"/>
      <c r="E93" s="1598"/>
      <c r="F93" s="1575"/>
      <c r="G93" s="1351"/>
      <c r="H93" s="1281"/>
      <c r="I93" s="1282"/>
      <c r="J93" s="1281"/>
      <c r="K93" s="1405"/>
      <c r="L93" s="1639"/>
    </row>
    <row r="94" spans="1:12" s="1199" customFormat="1" ht="24" customHeight="1">
      <c r="A94" s="1572"/>
      <c r="B94" s="1573"/>
      <c r="C94" s="1574"/>
      <c r="D94" s="1653"/>
      <c r="E94" s="1598"/>
      <c r="F94" s="1575"/>
      <c r="G94" s="1351"/>
      <c r="H94" s="1281"/>
      <c r="I94" s="1282"/>
      <c r="J94" s="1281"/>
      <c r="K94" s="1405"/>
      <c r="L94" s="1639"/>
    </row>
    <row r="95" spans="1:12" s="1199" customFormat="1" ht="24" customHeight="1">
      <c r="A95" s="1572"/>
      <c r="B95" s="1573"/>
      <c r="C95" s="1574"/>
      <c r="D95" s="1653"/>
      <c r="E95" s="1598"/>
      <c r="F95" s="1575"/>
      <c r="G95" s="1351"/>
      <c r="H95" s="1281"/>
      <c r="I95" s="1282"/>
      <c r="J95" s="1281"/>
      <c r="K95" s="1405"/>
      <c r="L95" s="1639"/>
    </row>
    <row r="96" spans="1:12" s="1199" customFormat="1" ht="24" customHeight="1">
      <c r="A96" s="1349"/>
      <c r="B96" s="1615"/>
      <c r="C96" s="1375"/>
      <c r="D96" s="1375"/>
      <c r="E96" s="1616"/>
      <c r="F96" s="1395"/>
      <c r="G96" s="1617"/>
      <c r="H96" s="1618"/>
      <c r="I96" s="1600"/>
      <c r="J96" s="1618"/>
      <c r="K96" s="1619"/>
      <c r="L96" s="1640"/>
    </row>
    <row r="97" spans="1:12" s="1199" customFormat="1" ht="24" customHeight="1">
      <c r="A97" s="1578"/>
      <c r="B97" s="2257" t="str">
        <f>"รวมราคารายการที่ "&amp;A65</f>
        <v>รวมราคารายการที่ 5.2</v>
      </c>
      <c r="C97" s="2258"/>
      <c r="D97" s="2259"/>
      <c r="E97" s="1579"/>
      <c r="F97" s="1579"/>
      <c r="G97" s="1580"/>
      <c r="H97" s="1581">
        <f>SUM(H66:H96)</f>
        <v>236761</v>
      </c>
      <c r="I97" s="1582"/>
      <c r="J97" s="1581">
        <f>SUM(J66:J96)</f>
        <v>84548</v>
      </c>
      <c r="K97" s="1583">
        <f>SUM(K66:K96)</f>
        <v>321309</v>
      </c>
      <c r="L97" s="1630"/>
    </row>
    <row r="98" spans="1:12" s="1199" customFormat="1" ht="24" customHeight="1">
      <c r="A98" s="1584">
        <v>5.3</v>
      </c>
      <c r="B98" s="1606" t="s">
        <v>1768</v>
      </c>
      <c r="C98" s="1294"/>
      <c r="D98" s="1294"/>
      <c r="E98" s="1586"/>
      <c r="F98" s="1296"/>
      <c r="G98" s="1357"/>
      <c r="H98" s="1298"/>
      <c r="I98" s="1299"/>
      <c r="J98" s="1298"/>
      <c r="K98" s="1382"/>
      <c r="L98" s="1639"/>
    </row>
    <row r="99" spans="1:12" s="1199" customFormat="1" ht="24" customHeight="1">
      <c r="A99" s="1572" t="s">
        <v>1769</v>
      </c>
      <c r="B99" s="1573" t="s">
        <v>1778</v>
      </c>
      <c r="C99" s="1574"/>
      <c r="D99" s="1575"/>
      <c r="E99" s="1598"/>
      <c r="F99" s="1577"/>
      <c r="G99" s="1351"/>
      <c r="H99" s="1281"/>
      <c r="I99" s="1282"/>
      <c r="J99" s="1281"/>
      <c r="K99" s="1405"/>
      <c r="L99" s="1639"/>
    </row>
    <row r="100" spans="1:12" s="1199" customFormat="1" ht="24" customHeight="1">
      <c r="A100" s="1564"/>
      <c r="B100" s="1565" t="s">
        <v>1716</v>
      </c>
      <c r="C100" s="1533"/>
      <c r="D100" s="1534"/>
      <c r="E100" s="1566">
        <v>130</v>
      </c>
      <c r="F100" s="1567" t="s">
        <v>226</v>
      </c>
      <c r="G100" s="1516">
        <v>385</v>
      </c>
      <c r="H100" s="1264">
        <f>ROUND(E100*G100,)</f>
        <v>50050</v>
      </c>
      <c r="I100" s="1265">
        <v>145</v>
      </c>
      <c r="J100" s="1264">
        <f>ROUND(I100*E100,)</f>
        <v>18850</v>
      </c>
      <c r="K100" s="1273">
        <f>H100+J100</f>
        <v>68900</v>
      </c>
      <c r="L100" s="2082" t="s">
        <v>2667</v>
      </c>
    </row>
    <row r="101" spans="1:12" s="1199" customFormat="1" ht="24" customHeight="1">
      <c r="A101" s="1564"/>
      <c r="B101" s="1565" t="s">
        <v>1719</v>
      </c>
      <c r="C101" s="1533"/>
      <c r="D101" s="1534"/>
      <c r="E101" s="1566">
        <v>1</v>
      </c>
      <c r="F101" s="1567" t="s">
        <v>1104</v>
      </c>
      <c r="G101" s="1516">
        <f>SUM(H100:H100)*40%</f>
        <v>20020</v>
      </c>
      <c r="H101" s="1264">
        <f>ROUND(E101*G101,)</f>
        <v>20020</v>
      </c>
      <c r="I101" s="1595">
        <f>ROUND(G101*0.3,)</f>
        <v>6006</v>
      </c>
      <c r="J101" s="1264">
        <f>ROUND(I101*E101,)</f>
        <v>6006</v>
      </c>
      <c r="K101" s="1273">
        <f>H101+J101</f>
        <v>26026</v>
      </c>
      <c r="L101" s="1639"/>
    </row>
    <row r="102" spans="1:12" s="1199" customFormat="1" ht="24" customHeight="1">
      <c r="A102" s="1564"/>
      <c r="B102" s="1565" t="s">
        <v>1720</v>
      </c>
      <c r="C102" s="1533"/>
      <c r="D102" s="1534"/>
      <c r="E102" s="1566">
        <v>1</v>
      </c>
      <c r="F102" s="1567" t="s">
        <v>1104</v>
      </c>
      <c r="G102" s="1516">
        <f>SUM(H100:H100)*20%</f>
        <v>10010</v>
      </c>
      <c r="H102" s="1264">
        <f>ROUND(E102*G102,)</f>
        <v>10010</v>
      </c>
      <c r="I102" s="1595">
        <f>ROUND(G102*0.3,)</f>
        <v>3003</v>
      </c>
      <c r="J102" s="1264">
        <f>ROUND(I102*E102,)</f>
        <v>3003</v>
      </c>
      <c r="K102" s="1273">
        <f>H102+J102</f>
        <v>13013</v>
      </c>
      <c r="L102" s="1639"/>
    </row>
    <row r="103" spans="1:12" s="1199" customFormat="1" ht="24" customHeight="1">
      <c r="A103" s="1564"/>
      <c r="B103" s="1565" t="s">
        <v>1756</v>
      </c>
      <c r="C103" s="1533"/>
      <c r="D103" s="1534"/>
      <c r="E103" s="1566">
        <v>1</v>
      </c>
      <c r="F103" s="1567" t="s">
        <v>1104</v>
      </c>
      <c r="G103" s="1516">
        <f>ROUND(SUM(H100:H100)*10%,)</f>
        <v>5005</v>
      </c>
      <c r="H103" s="1264">
        <f>ROUND(E103*G103,)</f>
        <v>5005</v>
      </c>
      <c r="I103" s="1595">
        <f>ROUND(G103*0.3,)</f>
        <v>1502</v>
      </c>
      <c r="J103" s="1264">
        <f>ROUND(I103*E103,)</f>
        <v>1502</v>
      </c>
      <c r="K103" s="1273">
        <f>H103+J103</f>
        <v>6507</v>
      </c>
      <c r="L103" s="1639"/>
    </row>
    <row r="104" spans="1:12" s="1199" customFormat="1" ht="24" customHeight="1">
      <c r="A104" s="1564" t="s">
        <v>1775</v>
      </c>
      <c r="B104" s="1597" t="s">
        <v>1832</v>
      </c>
      <c r="C104" s="1533"/>
      <c r="E104" s="1566"/>
      <c r="F104" s="1567"/>
      <c r="G104" s="1516"/>
      <c r="H104" s="1264"/>
      <c r="I104" s="1265"/>
      <c r="J104" s="1264"/>
      <c r="K104" s="1273"/>
      <c r="L104" s="1639"/>
    </row>
    <row r="105" spans="1:12" s="1199" customFormat="1" ht="24" customHeight="1">
      <c r="A105" s="1564"/>
      <c r="B105" s="1597" t="s">
        <v>1340</v>
      </c>
      <c r="C105" s="1533"/>
      <c r="D105" s="1534"/>
      <c r="E105" s="1566">
        <v>6</v>
      </c>
      <c r="F105" s="1567" t="s">
        <v>363</v>
      </c>
      <c r="G105" s="1516">
        <f>ROUND(665*0.7,)</f>
        <v>466</v>
      </c>
      <c r="H105" s="1264">
        <f>ROUND(E105*G105,)</f>
        <v>2796</v>
      </c>
      <c r="I105" s="1265">
        <v>200</v>
      </c>
      <c r="J105" s="1264">
        <f>ROUND(I105*E105,)</f>
        <v>1200</v>
      </c>
      <c r="K105" s="1273">
        <f>H105+J105</f>
        <v>3996</v>
      </c>
      <c r="L105" s="1639"/>
    </row>
    <row r="106" spans="1:12" s="1199" customFormat="1" ht="24" customHeight="1">
      <c r="A106" s="1564"/>
      <c r="B106" s="1597"/>
      <c r="C106" s="1533"/>
      <c r="D106" s="1534"/>
      <c r="E106" s="1566"/>
      <c r="F106" s="1567"/>
      <c r="G106" s="1516"/>
      <c r="H106" s="1264"/>
      <c r="I106" s="1265"/>
      <c r="J106" s="1264"/>
      <c r="K106" s="1273"/>
      <c r="L106" s="1639"/>
    </row>
    <row r="107" spans="1:12" s="1199" customFormat="1" ht="24" customHeight="1">
      <c r="A107" s="1564"/>
      <c r="B107" s="1565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9"/>
    </row>
    <row r="108" spans="1:12" s="1199" customFormat="1" ht="24" customHeight="1">
      <c r="A108" s="1564"/>
      <c r="B108" s="1565"/>
      <c r="C108" s="1533"/>
      <c r="D108" s="1534"/>
      <c r="E108" s="1566"/>
      <c r="F108" s="1567"/>
      <c r="G108" s="1516"/>
      <c r="H108" s="1264"/>
      <c r="I108" s="1265"/>
      <c r="J108" s="1264"/>
      <c r="K108" s="1273"/>
      <c r="L108" s="1639"/>
    </row>
    <row r="109" spans="1:12" s="1199" customFormat="1" ht="24" customHeight="1">
      <c r="A109" s="1578"/>
      <c r="B109" s="2257" t="str">
        <f>"รวมราคารายการที่ "&amp;A98</f>
        <v>รวมราคารายการที่ 5.3</v>
      </c>
      <c r="C109" s="2258"/>
      <c r="D109" s="2259"/>
      <c r="E109" s="1579"/>
      <c r="F109" s="1579"/>
      <c r="G109" s="1580"/>
      <c r="H109" s="1581">
        <f>SUM(H99:H108)</f>
        <v>87881</v>
      </c>
      <c r="I109" s="1582"/>
      <c r="J109" s="1581">
        <f>SUM(J99:J108)</f>
        <v>30561</v>
      </c>
      <c r="K109" s="1583">
        <f>SUM(K99:K108)</f>
        <v>118442</v>
      </c>
      <c r="L109" s="1630"/>
    </row>
    <row r="110" spans="1:12" s="1199" customFormat="1" ht="21.3">
      <c r="A110" s="1427"/>
      <c r="E110" s="1570"/>
    </row>
    <row r="111" spans="1:12" s="1199" customFormat="1" ht="21.3">
      <c r="A111" s="1427"/>
      <c r="E111" s="1570"/>
    </row>
    <row r="112" spans="1:12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4:D64"/>
    <mergeCell ref="B97:D97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5-อาคารด้านทิศตะวันตก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14784-2B40-4BF2-98C1-43D13B85BB8E}">
  <sheetPr>
    <tabColor rgb="FF92D050"/>
  </sheetPr>
  <dimension ref="A1:O131"/>
  <sheetViews>
    <sheetView showGridLines="0" view="pageBreakPreview" topLeftCell="A97" zoomScale="85" zoomScaleNormal="60" zoomScaleSheetLayoutView="85" workbookViewId="0">
      <selection activeCell="G118" sqref="G118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.29296875" style="1" customWidth="1"/>
    <col min="13" max="13" width="14.703125" style="1" customWidth="1"/>
    <col min="14" max="92" width="7.703125" style="1" customWidth="1"/>
    <col min="93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1848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627"/>
    </row>
    <row r="13" spans="1:12" s="1199" customFormat="1" ht="24" customHeight="1">
      <c r="A13" s="1564" t="str">
        <f>A36</f>
        <v>5.1</v>
      </c>
      <c r="B13" s="1597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H64</f>
        <v>168727</v>
      </c>
      <c r="I13" s="1197"/>
      <c r="J13" s="1196">
        <f>J64</f>
        <v>51727</v>
      </c>
      <c r="K13" s="1553">
        <f>SUM(H13:J13)</f>
        <v>220454</v>
      </c>
      <c r="L13" s="1627"/>
    </row>
    <row r="14" spans="1:12" s="1199" customFormat="1" ht="24" customHeight="1">
      <c r="A14" s="1572" t="str">
        <f>A65</f>
        <v>5.2</v>
      </c>
      <c r="B14" s="1597" t="str">
        <f>B65</f>
        <v xml:space="preserve">ระบบระบายน้ำโสโครก น้ำทิ้ง ระบายอากาศ และ ท่อน้ำทิ้งจากห้องครัว </v>
      </c>
      <c r="C14" s="1533"/>
      <c r="D14" s="1534"/>
      <c r="E14" s="1569">
        <v>1</v>
      </c>
      <c r="F14" s="1567" t="s">
        <v>19</v>
      </c>
      <c r="G14" s="1195"/>
      <c r="H14" s="1196">
        <f>H97</f>
        <v>216096</v>
      </c>
      <c r="I14" s="1197"/>
      <c r="J14" s="1196">
        <f>J97</f>
        <v>78375</v>
      </c>
      <c r="K14" s="1553">
        <f>SUM(H14:J14)</f>
        <v>294471</v>
      </c>
      <c r="L14" s="1627"/>
    </row>
    <row r="15" spans="1:12" s="1199" customFormat="1" ht="24" customHeight="1">
      <c r="A15" s="1572">
        <f>A98</f>
        <v>5.3</v>
      </c>
      <c r="B15" s="1573" t="str">
        <f>B98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87881</v>
      </c>
      <c r="I15" s="1230"/>
      <c r="J15" s="1229">
        <f>J109</f>
        <v>30561</v>
      </c>
      <c r="K15" s="1553">
        <f>SUM(H15:J15)</f>
        <v>118442</v>
      </c>
      <c r="L15" s="1628"/>
    </row>
    <row r="16" spans="1:12" s="1199" customFormat="1" ht="24" customHeight="1">
      <c r="A16" s="1564"/>
      <c r="B16" s="1597"/>
      <c r="C16" s="1533"/>
      <c r="D16" s="1534"/>
      <c r="E16" s="1566"/>
      <c r="F16" s="1567"/>
      <c r="G16" s="1195"/>
      <c r="H16" s="1196"/>
      <c r="I16" s="1197"/>
      <c r="J16" s="1196"/>
      <c r="K16" s="1553"/>
      <c r="L16" s="1627"/>
    </row>
    <row r="17" spans="1:12" s="1199" customFormat="1" ht="24" customHeight="1">
      <c r="A17" s="1564"/>
      <c r="B17" s="1597"/>
      <c r="C17" s="1533"/>
      <c r="D17" s="1534"/>
      <c r="E17" s="1566"/>
      <c r="F17" s="1567"/>
      <c r="G17" s="1195"/>
      <c r="H17" s="1196"/>
      <c r="I17" s="1197"/>
      <c r="J17" s="1196"/>
      <c r="K17" s="1553"/>
      <c r="L17" s="1627"/>
    </row>
    <row r="18" spans="1:12" s="1199" customFormat="1" ht="24" customHeight="1">
      <c r="A18" s="1564"/>
      <c r="B18" s="1597"/>
      <c r="C18" s="1533"/>
      <c r="D18" s="1534"/>
      <c r="E18" s="1566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564"/>
      <c r="B19" s="1597"/>
      <c r="C19" s="1533"/>
      <c r="D19" s="1534"/>
      <c r="E19" s="1566"/>
      <c r="F19" s="1567"/>
      <c r="G19" s="1195"/>
      <c r="H19" s="1196"/>
      <c r="I19" s="1197"/>
      <c r="J19" s="1196"/>
      <c r="K19" s="1553"/>
      <c r="L19" s="1627"/>
    </row>
    <row r="20" spans="1:12" s="1199" customFormat="1" ht="24" customHeight="1">
      <c r="A20" s="1564"/>
      <c r="B20" s="1597"/>
      <c r="C20" s="1533"/>
      <c r="D20" s="1534"/>
      <c r="E20" s="1566"/>
      <c r="F20" s="1567"/>
      <c r="G20" s="1195"/>
      <c r="H20" s="1196"/>
      <c r="I20" s="1197"/>
      <c r="J20" s="1196"/>
      <c r="K20" s="1553"/>
      <c r="L20" s="1627"/>
    </row>
    <row r="21" spans="1:12" s="1199" customFormat="1" ht="24" customHeight="1">
      <c r="A21" s="1564"/>
      <c r="B21" s="1597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97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97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97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97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97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97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97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97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97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97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6</v>
      </c>
      <c r="C34" s="2258"/>
      <c r="D34" s="2259"/>
      <c r="E34" s="1579"/>
      <c r="F34" s="1579"/>
      <c r="G34" s="1580"/>
      <c r="H34" s="1581">
        <f>SUM(H12:H33)</f>
        <v>472704</v>
      </c>
      <c r="I34" s="1582"/>
      <c r="J34" s="1581">
        <f>SUM(J12:J33)</f>
        <v>160663</v>
      </c>
      <c r="K34" s="1583">
        <f>SUM(K12:K33)</f>
        <v>633367</v>
      </c>
      <c r="L34" s="1630"/>
      <c r="M34" s="1214"/>
      <c r="N34" s="1214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631"/>
      <c r="M35" s="1214"/>
      <c r="N35" s="1214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633"/>
      <c r="M36" s="1214"/>
      <c r="N36" s="1214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633"/>
      <c r="M37" s="1214"/>
      <c r="N37" s="1214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286</v>
      </c>
      <c r="F38" s="1567" t="s">
        <v>226</v>
      </c>
      <c r="G38" s="1593">
        <v>35</v>
      </c>
      <c r="H38" s="1264">
        <f t="shared" ref="H38:H46" si="0">ROUND(E38*G38,)</f>
        <v>10010</v>
      </c>
      <c r="I38" s="1595">
        <v>30</v>
      </c>
      <c r="J38" s="1264">
        <f t="shared" ref="J38:J46" si="1">ROUND(E38*I38,)</f>
        <v>8580</v>
      </c>
      <c r="K38" s="1265">
        <f t="shared" ref="K38:K46" si="2">H38+J38</f>
        <v>18590</v>
      </c>
      <c r="L38" s="1633"/>
      <c r="M38" s="1540"/>
      <c r="N38" s="1214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170</v>
      </c>
      <c r="F39" s="1567" t="s">
        <v>226</v>
      </c>
      <c r="G39" s="1593">
        <v>46</v>
      </c>
      <c r="H39" s="1264">
        <f t="shared" si="0"/>
        <v>7820</v>
      </c>
      <c r="I39" s="1595">
        <v>30</v>
      </c>
      <c r="J39" s="1264">
        <f t="shared" si="1"/>
        <v>5100</v>
      </c>
      <c r="K39" s="1265">
        <f t="shared" si="2"/>
        <v>12920</v>
      </c>
      <c r="L39" s="1633"/>
      <c r="M39" s="1540"/>
      <c r="N39" s="1214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13</v>
      </c>
      <c r="F40" s="1567" t="s">
        <v>226</v>
      </c>
      <c r="G40" s="1593">
        <v>113</v>
      </c>
      <c r="H40" s="1264">
        <f t="shared" si="0"/>
        <v>1469</v>
      </c>
      <c r="I40" s="1595">
        <v>50</v>
      </c>
      <c r="J40" s="1264">
        <f t="shared" si="1"/>
        <v>650</v>
      </c>
      <c r="K40" s="1265">
        <f t="shared" si="2"/>
        <v>2119</v>
      </c>
      <c r="L40" s="1633"/>
      <c r="M40" s="1540"/>
      <c r="N40" s="1214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26</v>
      </c>
      <c r="F41" s="1567" t="s">
        <v>226</v>
      </c>
      <c r="G41" s="1593">
        <v>193</v>
      </c>
      <c r="H41" s="1264">
        <f t="shared" si="0"/>
        <v>5018</v>
      </c>
      <c r="I41" s="1595">
        <v>75</v>
      </c>
      <c r="J41" s="1264">
        <f t="shared" si="1"/>
        <v>1950</v>
      </c>
      <c r="K41" s="1265">
        <f t="shared" si="2"/>
        <v>6968</v>
      </c>
      <c r="L41" s="1633"/>
      <c r="M41" s="1540"/>
      <c r="N41" s="1214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67</v>
      </c>
      <c r="F42" s="1567" t="s">
        <v>226</v>
      </c>
      <c r="G42" s="1593">
        <v>287</v>
      </c>
      <c r="H42" s="1264">
        <f t="shared" si="0"/>
        <v>19229</v>
      </c>
      <c r="I42" s="1595">
        <v>100</v>
      </c>
      <c r="J42" s="1264">
        <f t="shared" si="1"/>
        <v>6700</v>
      </c>
      <c r="K42" s="1265">
        <f t="shared" si="2"/>
        <v>25929</v>
      </c>
      <c r="L42" s="1633"/>
      <c r="M42" s="1540"/>
      <c r="N42" s="1214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30</v>
      </c>
      <c r="F43" s="1567" t="s">
        <v>226</v>
      </c>
      <c r="G43" s="1593">
        <v>562</v>
      </c>
      <c r="H43" s="1264">
        <f>ROUND(E43*G43,)</f>
        <v>16860</v>
      </c>
      <c r="I43" s="1595">
        <v>120</v>
      </c>
      <c r="J43" s="1264">
        <f>ROUND(E43*I43,)</f>
        <v>3600</v>
      </c>
      <c r="K43" s="1273">
        <f>H43+J43</f>
        <v>20460</v>
      </c>
      <c r="L43" s="1633"/>
      <c r="M43" s="1540"/>
      <c r="N43" s="1214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SUM(H38:H43)*50%</f>
        <v>30203</v>
      </c>
      <c r="H44" s="1264">
        <f t="shared" si="0"/>
        <v>30203</v>
      </c>
      <c r="I44" s="1595">
        <f>ROUND(G44*0.3,)</f>
        <v>9061</v>
      </c>
      <c r="J44" s="1264">
        <f t="shared" si="1"/>
        <v>9061</v>
      </c>
      <c r="K44" s="1265">
        <f t="shared" si="2"/>
        <v>39264</v>
      </c>
      <c r="L44" s="1633"/>
      <c r="M44" s="1540"/>
      <c r="N44" s="1214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SUM(H38:H43)*20%</f>
        <v>12081.2</v>
      </c>
      <c r="H45" s="1264">
        <f t="shared" si="0"/>
        <v>12081</v>
      </c>
      <c r="I45" s="1595">
        <f>ROUND(G45*0.3,)</f>
        <v>3624</v>
      </c>
      <c r="J45" s="1264">
        <f t="shared" si="1"/>
        <v>3624</v>
      </c>
      <c r="K45" s="1265">
        <f t="shared" si="2"/>
        <v>15705</v>
      </c>
      <c r="L45" s="1633"/>
      <c r="M45" s="1214"/>
      <c r="N45" s="1214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SUM(H38:H43)*10%</f>
        <v>6040.6</v>
      </c>
      <c r="H46" s="1264">
        <f t="shared" si="0"/>
        <v>6041</v>
      </c>
      <c r="I46" s="1595">
        <f>ROUND(G46*0.3,)</f>
        <v>1812</v>
      </c>
      <c r="J46" s="1264">
        <f t="shared" si="1"/>
        <v>1812</v>
      </c>
      <c r="K46" s="1265">
        <f t="shared" si="2"/>
        <v>7853</v>
      </c>
      <c r="L46" s="1633"/>
      <c r="M46" s="1214"/>
      <c r="N46" s="1214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633"/>
      <c r="M47" s="1214"/>
      <c r="N47" s="1214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2</v>
      </c>
      <c r="F48" s="1567" t="s">
        <v>363</v>
      </c>
      <c r="G48" s="1593">
        <v>880</v>
      </c>
      <c r="H48" s="1264">
        <f t="shared" ref="H48:H49" si="3">ROUND(E48*G48,)</f>
        <v>1760</v>
      </c>
      <c r="I48" s="1595">
        <v>150</v>
      </c>
      <c r="J48" s="1264">
        <f t="shared" ref="J48:J49" si="4">ROUND(E48*I48,)</f>
        <v>300</v>
      </c>
      <c r="K48" s="1265">
        <f t="shared" ref="K48:K49" si="5">H48+J48</f>
        <v>2060</v>
      </c>
      <c r="L48" s="2082" t="s">
        <v>2667</v>
      </c>
      <c r="M48" s="1214"/>
      <c r="N48" s="1214"/>
    </row>
    <row r="49" spans="1:14" s="1199" customFormat="1" ht="24" customHeight="1">
      <c r="A49" s="1564"/>
      <c r="B49" s="1565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  <c r="M49" s="1214"/>
      <c r="N49" s="1214"/>
    </row>
    <row r="50" spans="1:14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633"/>
      <c r="M50" s="1214"/>
      <c r="N50" s="1214"/>
    </row>
    <row r="51" spans="1:14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65">
        <f>H51+J51</f>
        <v>24460</v>
      </c>
      <c r="L51" s="1633"/>
      <c r="M51" s="1214"/>
      <c r="N51" s="1214"/>
    </row>
    <row r="52" spans="1:14" s="1199" customFormat="1" ht="24" customHeight="1">
      <c r="A52" s="1564"/>
      <c r="B52" s="1597" t="s">
        <v>1716</v>
      </c>
      <c r="C52" s="1533"/>
      <c r="D52" s="1534"/>
      <c r="E52" s="1566">
        <v>4</v>
      </c>
      <c r="F52" s="1567" t="s">
        <v>363</v>
      </c>
      <c r="G52" s="1593">
        <v>2218</v>
      </c>
      <c r="H52" s="1264">
        <f>ROUND(E52*G52,)</f>
        <v>8872</v>
      </c>
      <c r="I52" s="1595">
        <v>600</v>
      </c>
      <c r="J52" s="1264">
        <f>ROUND(E52*I52,)</f>
        <v>2400</v>
      </c>
      <c r="K52" s="1273">
        <f>H52+J52</f>
        <v>11272</v>
      </c>
      <c r="L52" s="1635"/>
      <c r="M52" s="1214"/>
      <c r="N52" s="1214"/>
    </row>
    <row r="53" spans="1:14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633"/>
      <c r="M53" s="1214"/>
      <c r="N53" s="1214"/>
    </row>
    <row r="54" spans="1:14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633"/>
      <c r="M54" s="1214"/>
      <c r="N54" s="1214"/>
    </row>
    <row r="55" spans="1:14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633"/>
      <c r="M55" s="1214"/>
      <c r="N55" s="1214"/>
    </row>
    <row r="56" spans="1:14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633"/>
      <c r="M56" s="1214"/>
      <c r="N56" s="1214"/>
    </row>
    <row r="57" spans="1:14" s="1199" customFormat="1" ht="24" customHeight="1">
      <c r="A57" s="1564"/>
      <c r="B57" s="1565" t="s">
        <v>1823</v>
      </c>
      <c r="C57" s="1533"/>
      <c r="D57" s="1534"/>
      <c r="E57" s="1566">
        <v>6</v>
      </c>
      <c r="F57" s="1567" t="s">
        <v>363</v>
      </c>
      <c r="G57" s="1603">
        <v>210</v>
      </c>
      <c r="H57" s="1264">
        <f>ROUND(E57*G57,)</f>
        <v>1260</v>
      </c>
      <c r="I57" s="1595">
        <v>100</v>
      </c>
      <c r="J57" s="1264">
        <f>ROUND(E57*I57,)</f>
        <v>600</v>
      </c>
      <c r="K57" s="1265">
        <f>H57+J57</f>
        <v>1860</v>
      </c>
      <c r="L57" s="1633"/>
      <c r="M57" s="1214"/>
      <c r="N57" s="1214"/>
    </row>
    <row r="58" spans="1:14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633"/>
      <c r="M58" s="1214"/>
      <c r="N58" s="1214"/>
    </row>
    <row r="59" spans="1:14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633"/>
      <c r="M59" s="1214"/>
      <c r="N59" s="1214"/>
    </row>
    <row r="60" spans="1:14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633"/>
      <c r="M60" s="1214"/>
      <c r="N60" s="1214"/>
    </row>
    <row r="61" spans="1:14" s="1199" customFormat="1" ht="24" customHeight="1">
      <c r="A61" s="1564"/>
      <c r="B61" s="1597" t="s">
        <v>1823</v>
      </c>
      <c r="C61" s="1533"/>
      <c r="D61" s="1534"/>
      <c r="E61" s="1566">
        <v>6</v>
      </c>
      <c r="F61" s="1567" t="s">
        <v>363</v>
      </c>
      <c r="G61" s="1593">
        <v>120</v>
      </c>
      <c r="H61" s="1264">
        <f>ROUND(E61*G61,)</f>
        <v>720</v>
      </c>
      <c r="I61" s="1595">
        <v>50</v>
      </c>
      <c r="J61" s="1264">
        <f>ROUND(I61*E61,)</f>
        <v>300</v>
      </c>
      <c r="K61" s="1273">
        <f>H61+J61</f>
        <v>1020</v>
      </c>
      <c r="L61" s="1633"/>
      <c r="M61" s="1214"/>
      <c r="N61" s="1214"/>
    </row>
    <row r="62" spans="1:14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635"/>
    </row>
    <row r="63" spans="1:14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633"/>
    </row>
    <row r="64" spans="1:14" s="1199" customFormat="1" ht="24" customHeight="1">
      <c r="A64" s="1578"/>
      <c r="B64" s="2257" t="str">
        <f>"รวมราคารายการที่ "&amp;A36</f>
        <v>รวมราคารายการที่ 5.1</v>
      </c>
      <c r="C64" s="2258"/>
      <c r="D64" s="2259"/>
      <c r="E64" s="1579"/>
      <c r="F64" s="1579"/>
      <c r="G64" s="1580"/>
      <c r="H64" s="1583">
        <f>SUM(H36:H63)</f>
        <v>168727</v>
      </c>
      <c r="I64" s="1582"/>
      <c r="J64" s="1583">
        <f>SUM(J36:J63)</f>
        <v>51727</v>
      </c>
      <c r="K64" s="1583">
        <f>SUM(K36:K63)</f>
        <v>220454</v>
      </c>
      <c r="L64" s="1630"/>
      <c r="M64" s="1532"/>
    </row>
    <row r="65" spans="1:15" s="1199" customFormat="1" ht="24" customHeight="1">
      <c r="A65" s="1605" t="s">
        <v>1744</v>
      </c>
      <c r="B65" s="1606" t="s">
        <v>1745</v>
      </c>
      <c r="C65" s="1607"/>
      <c r="D65" s="1608"/>
      <c r="E65" s="1609"/>
      <c r="F65" s="1610"/>
      <c r="G65" s="1611"/>
      <c r="H65" s="1612"/>
      <c r="I65" s="1613"/>
      <c r="J65" s="1612"/>
      <c r="K65" s="1614"/>
      <c r="L65" s="1634"/>
      <c r="M65" s="1532"/>
    </row>
    <row r="66" spans="1:15" s="1199" customFormat="1" ht="24" customHeight="1">
      <c r="A66" s="1572" t="s">
        <v>1746</v>
      </c>
      <c r="B66" s="1597" t="s">
        <v>1839</v>
      </c>
      <c r="C66" s="1533"/>
      <c r="D66" s="1534"/>
      <c r="E66" s="1566"/>
      <c r="F66" s="1567"/>
      <c r="G66" s="1516"/>
      <c r="H66" s="1264"/>
      <c r="I66" s="1265"/>
      <c r="J66" s="1264"/>
      <c r="K66" s="1273"/>
      <c r="L66" s="1635"/>
      <c r="M66" s="1532"/>
    </row>
    <row r="67" spans="1:15" s="1199" customFormat="1" ht="24" customHeight="1">
      <c r="A67" s="1564"/>
      <c r="B67" s="1597" t="s">
        <v>1340</v>
      </c>
      <c r="C67" s="1533"/>
      <c r="D67" s="1534"/>
      <c r="E67" s="1566">
        <v>192</v>
      </c>
      <c r="F67" s="1567" t="s">
        <v>226</v>
      </c>
      <c r="G67" s="1516">
        <v>127</v>
      </c>
      <c r="H67" s="1264">
        <f t="shared" ref="H67:H73" si="6">ROUND(E67*G67,)</f>
        <v>24384</v>
      </c>
      <c r="I67" s="1265">
        <v>40</v>
      </c>
      <c r="J67" s="1264">
        <f t="shared" ref="J67:J73" si="7">ROUND(I67*E67,)</f>
        <v>7680</v>
      </c>
      <c r="K67" s="1273">
        <f t="shared" ref="K67:K73" si="8">H67+J67</f>
        <v>32064</v>
      </c>
      <c r="L67" s="1635"/>
      <c r="M67" s="1532"/>
    </row>
    <row r="68" spans="1:15" s="1199" customFormat="1" ht="24" customHeight="1">
      <c r="A68" s="1564"/>
      <c r="B68" s="1597" t="s">
        <v>1342</v>
      </c>
      <c r="C68" s="1533"/>
      <c r="D68" s="1534"/>
      <c r="E68" s="1566">
        <v>45</v>
      </c>
      <c r="F68" s="1567" t="s">
        <v>226</v>
      </c>
      <c r="G68" s="1516">
        <v>258</v>
      </c>
      <c r="H68" s="1264">
        <f t="shared" si="6"/>
        <v>11610</v>
      </c>
      <c r="I68" s="1265">
        <v>75</v>
      </c>
      <c r="J68" s="1264">
        <f t="shared" si="7"/>
        <v>3375</v>
      </c>
      <c r="K68" s="1273">
        <f t="shared" si="8"/>
        <v>14985</v>
      </c>
      <c r="L68" s="1635"/>
    </row>
    <row r="69" spans="1:15" s="1199" customFormat="1" ht="24" customHeight="1">
      <c r="A69" s="1564"/>
      <c r="B69" s="1597" t="s">
        <v>1759</v>
      </c>
      <c r="C69" s="1533"/>
      <c r="D69" s="1534"/>
      <c r="E69" s="1566">
        <v>96</v>
      </c>
      <c r="F69" s="1567" t="s">
        <v>226</v>
      </c>
      <c r="G69" s="1516">
        <v>395</v>
      </c>
      <c r="H69" s="1264">
        <f t="shared" si="6"/>
        <v>37920</v>
      </c>
      <c r="I69" s="1265">
        <v>120</v>
      </c>
      <c r="J69" s="1264">
        <f t="shared" si="7"/>
        <v>11520</v>
      </c>
      <c r="K69" s="1273">
        <f t="shared" si="8"/>
        <v>49440</v>
      </c>
      <c r="L69" s="1635"/>
    </row>
    <row r="70" spans="1:15" s="1199" customFormat="1" ht="24" customHeight="1">
      <c r="A70" s="1564"/>
      <c r="B70" s="1597" t="s">
        <v>1754</v>
      </c>
      <c r="C70" s="1533"/>
      <c r="D70" s="1534"/>
      <c r="E70" s="1566">
        <v>32</v>
      </c>
      <c r="F70" s="1567" t="s">
        <v>226</v>
      </c>
      <c r="G70" s="1516">
        <v>789</v>
      </c>
      <c r="H70" s="1264">
        <f t="shared" si="6"/>
        <v>25248</v>
      </c>
      <c r="I70" s="1265">
        <v>250</v>
      </c>
      <c r="J70" s="1264">
        <f t="shared" si="7"/>
        <v>8000</v>
      </c>
      <c r="K70" s="1273">
        <f t="shared" si="8"/>
        <v>33248</v>
      </c>
      <c r="L70" s="1635"/>
    </row>
    <row r="71" spans="1:15" s="1199" customFormat="1" ht="24" customHeight="1">
      <c r="A71" s="1564"/>
      <c r="B71" s="1597" t="s">
        <v>1719</v>
      </c>
      <c r="C71" s="1533"/>
      <c r="D71" s="1534"/>
      <c r="E71" s="1566">
        <v>1</v>
      </c>
      <c r="F71" s="1567" t="s">
        <v>1104</v>
      </c>
      <c r="G71" s="1516">
        <f>ROUND(SUM(H67:H70)*40%,)</f>
        <v>39665</v>
      </c>
      <c r="H71" s="1264">
        <f t="shared" si="6"/>
        <v>39665</v>
      </c>
      <c r="I71" s="1595">
        <f>ROUND(G71*0.3,)</f>
        <v>11900</v>
      </c>
      <c r="J71" s="1264">
        <f t="shared" si="7"/>
        <v>11900</v>
      </c>
      <c r="K71" s="1273">
        <f t="shared" si="8"/>
        <v>51565</v>
      </c>
      <c r="L71" s="1635"/>
    </row>
    <row r="72" spans="1:15" s="1199" customFormat="1" ht="24" customHeight="1">
      <c r="A72" s="1564"/>
      <c r="B72" s="1597" t="s">
        <v>1720</v>
      </c>
      <c r="C72" s="1533"/>
      <c r="D72" s="1534"/>
      <c r="E72" s="1566">
        <v>1</v>
      </c>
      <c r="F72" s="1567" t="s">
        <v>1104</v>
      </c>
      <c r="G72" s="1516">
        <f>ROUND(SUM(H67:H70)*20%,)</f>
        <v>19832</v>
      </c>
      <c r="H72" s="1264">
        <f t="shared" si="6"/>
        <v>19832</v>
      </c>
      <c r="I72" s="1595">
        <f>ROUND(G72*0.3,)</f>
        <v>5950</v>
      </c>
      <c r="J72" s="1264">
        <f t="shared" si="7"/>
        <v>5950</v>
      </c>
      <c r="K72" s="1273">
        <f t="shared" si="8"/>
        <v>25782</v>
      </c>
      <c r="L72" s="1635"/>
      <c r="M72" s="1654"/>
    </row>
    <row r="73" spans="1:15" s="1199" customFormat="1" ht="24" customHeight="1">
      <c r="A73" s="1564"/>
      <c r="B73" s="1597" t="s">
        <v>1756</v>
      </c>
      <c r="C73" s="1533"/>
      <c r="D73" s="1534"/>
      <c r="E73" s="1566">
        <v>1</v>
      </c>
      <c r="F73" s="1567" t="s">
        <v>1104</v>
      </c>
      <c r="G73" s="1516">
        <f>ROUND(SUM(H67:H70)*10%,)</f>
        <v>9916</v>
      </c>
      <c r="H73" s="1264">
        <f t="shared" si="6"/>
        <v>9916</v>
      </c>
      <c r="I73" s="1595">
        <f>ROUND(G73*0.3,)</f>
        <v>2975</v>
      </c>
      <c r="J73" s="1264">
        <f t="shared" si="7"/>
        <v>2975</v>
      </c>
      <c r="K73" s="1273">
        <f t="shared" si="8"/>
        <v>12891</v>
      </c>
      <c r="L73" s="1635"/>
      <c r="M73" s="1654"/>
    </row>
    <row r="74" spans="1:15" s="1199" customFormat="1" ht="24" customHeight="1">
      <c r="A74" s="1572" t="s">
        <v>1752</v>
      </c>
      <c r="B74" s="1597" t="s">
        <v>1831</v>
      </c>
      <c r="C74" s="1533"/>
      <c r="D74" s="1534"/>
      <c r="E74" s="1566"/>
      <c r="F74" s="1567"/>
      <c r="G74" s="1516"/>
      <c r="H74" s="1264"/>
      <c r="I74" s="1265"/>
      <c r="J74" s="1264"/>
      <c r="K74" s="1273"/>
      <c r="L74" s="1635"/>
      <c r="M74" s="1654"/>
    </row>
    <row r="75" spans="1:15" s="1199" customFormat="1" ht="24" customHeight="1">
      <c r="A75" s="1564"/>
      <c r="B75" s="1597" t="s">
        <v>1338</v>
      </c>
      <c r="C75" s="1533"/>
      <c r="D75" s="1534"/>
      <c r="E75" s="1566">
        <v>110</v>
      </c>
      <c r="F75" s="1567" t="s">
        <v>226</v>
      </c>
      <c r="G75" s="1516">
        <v>20</v>
      </c>
      <c r="H75" s="1264">
        <f t="shared" ref="H75:H82" si="9">ROUND(E75*G75,)</f>
        <v>2200</v>
      </c>
      <c r="I75" s="1265">
        <v>30</v>
      </c>
      <c r="J75" s="1264">
        <f t="shared" ref="J75:J82" si="10">ROUND(I75*E75,)</f>
        <v>3300</v>
      </c>
      <c r="K75" s="1273">
        <f t="shared" ref="K75:K82" si="11">H75+J75</f>
        <v>5500</v>
      </c>
      <c r="L75" s="2082" t="s">
        <v>2667</v>
      </c>
      <c r="N75" s="1199">
        <v>79.17</v>
      </c>
      <c r="O75" s="1199">
        <f>ROUND(N75/4,)</f>
        <v>20</v>
      </c>
    </row>
    <row r="76" spans="1:15" s="1199" customFormat="1" ht="24" customHeight="1">
      <c r="A76" s="1564"/>
      <c r="B76" s="1597" t="s">
        <v>1339</v>
      </c>
      <c r="C76" s="1533"/>
      <c r="D76" s="1534"/>
      <c r="E76" s="1566">
        <v>22</v>
      </c>
      <c r="F76" s="1567" t="s">
        <v>226</v>
      </c>
      <c r="G76" s="1516">
        <v>26</v>
      </c>
      <c r="H76" s="1264">
        <f t="shared" si="9"/>
        <v>572</v>
      </c>
      <c r="I76" s="1265">
        <v>30</v>
      </c>
      <c r="J76" s="1264">
        <f t="shared" si="10"/>
        <v>660</v>
      </c>
      <c r="K76" s="1273">
        <f t="shared" si="11"/>
        <v>1232</v>
      </c>
      <c r="L76" s="2082" t="s">
        <v>2667</v>
      </c>
      <c r="N76" s="1199">
        <v>103.74</v>
      </c>
      <c r="O76" s="1199">
        <f t="shared" ref="O76:O79" si="12">ROUND(N76/4,)</f>
        <v>26</v>
      </c>
    </row>
    <row r="77" spans="1:15" s="1199" customFormat="1" ht="24" customHeight="1">
      <c r="A77" s="1564"/>
      <c r="B77" s="1597" t="s">
        <v>1340</v>
      </c>
      <c r="C77" s="1533"/>
      <c r="D77" s="1534"/>
      <c r="E77" s="1566">
        <v>36</v>
      </c>
      <c r="F77" s="1567" t="s">
        <v>226</v>
      </c>
      <c r="G77" s="1516">
        <v>41</v>
      </c>
      <c r="H77" s="1264">
        <f t="shared" si="9"/>
        <v>1476</v>
      </c>
      <c r="I77" s="1265">
        <v>40</v>
      </c>
      <c r="J77" s="1264">
        <f t="shared" si="10"/>
        <v>1440</v>
      </c>
      <c r="K77" s="1273">
        <f t="shared" si="11"/>
        <v>2916</v>
      </c>
      <c r="L77" s="2082" t="s">
        <v>2667</v>
      </c>
      <c r="N77" s="1199">
        <v>163.80000000000001</v>
      </c>
      <c r="O77" s="1199">
        <f t="shared" si="12"/>
        <v>41</v>
      </c>
    </row>
    <row r="78" spans="1:15" s="1199" customFormat="1" ht="24" customHeight="1">
      <c r="A78" s="1564"/>
      <c r="B78" s="1597" t="s">
        <v>1341</v>
      </c>
      <c r="C78" s="1533"/>
      <c r="D78" s="1534"/>
      <c r="E78" s="1566">
        <v>27</v>
      </c>
      <c r="F78" s="1567" t="s">
        <v>226</v>
      </c>
      <c r="G78" s="1516">
        <v>65</v>
      </c>
      <c r="H78" s="1264">
        <f t="shared" si="9"/>
        <v>1755</v>
      </c>
      <c r="I78" s="1265">
        <v>50</v>
      </c>
      <c r="J78" s="1264">
        <f t="shared" si="10"/>
        <v>1350</v>
      </c>
      <c r="K78" s="1273">
        <f t="shared" si="11"/>
        <v>3105</v>
      </c>
      <c r="L78" s="2082" t="s">
        <v>2667</v>
      </c>
      <c r="N78" s="1199">
        <v>259.35000000000002</v>
      </c>
      <c r="O78" s="1199">
        <f t="shared" si="12"/>
        <v>65</v>
      </c>
    </row>
    <row r="79" spans="1:15" s="1199" customFormat="1" ht="24" customHeight="1">
      <c r="A79" s="1564"/>
      <c r="B79" s="1597" t="s">
        <v>1342</v>
      </c>
      <c r="C79" s="1533"/>
      <c r="D79" s="1534"/>
      <c r="E79" s="1566">
        <v>93</v>
      </c>
      <c r="F79" s="1567" t="s">
        <v>226</v>
      </c>
      <c r="G79" s="1516">
        <v>90</v>
      </c>
      <c r="H79" s="1264">
        <f t="shared" si="9"/>
        <v>8370</v>
      </c>
      <c r="I79" s="1265">
        <v>75</v>
      </c>
      <c r="J79" s="1264">
        <f t="shared" si="10"/>
        <v>6975</v>
      </c>
      <c r="K79" s="1273">
        <f t="shared" si="11"/>
        <v>15345</v>
      </c>
      <c r="L79" s="2082" t="s">
        <v>2667</v>
      </c>
      <c r="N79" s="1199">
        <v>359.45</v>
      </c>
      <c r="O79" s="1199">
        <f t="shared" si="12"/>
        <v>90</v>
      </c>
    </row>
    <row r="80" spans="1:15" s="1199" customFormat="1" ht="24" customHeight="1">
      <c r="A80" s="1564"/>
      <c r="B80" s="1597" t="s">
        <v>1719</v>
      </c>
      <c r="C80" s="1533"/>
      <c r="D80" s="1534"/>
      <c r="E80" s="1566">
        <v>1</v>
      </c>
      <c r="F80" s="1567" t="s">
        <v>1104</v>
      </c>
      <c r="G80" s="1516">
        <f>ROUND(SUM(H75:H79)*40%,)</f>
        <v>5749</v>
      </c>
      <c r="H80" s="1264">
        <f t="shared" si="9"/>
        <v>5749</v>
      </c>
      <c r="I80" s="1595">
        <f>ROUND(G80*0.3,)</f>
        <v>1725</v>
      </c>
      <c r="J80" s="1264">
        <f t="shared" si="10"/>
        <v>1725</v>
      </c>
      <c r="K80" s="1273">
        <f t="shared" si="11"/>
        <v>7474</v>
      </c>
      <c r="L80" s="1635"/>
    </row>
    <row r="81" spans="1:12" s="1199" customFormat="1" ht="24" customHeight="1">
      <c r="A81" s="1564"/>
      <c r="B81" s="1597" t="s">
        <v>1720</v>
      </c>
      <c r="C81" s="1533"/>
      <c r="D81" s="1534"/>
      <c r="E81" s="1566">
        <v>1</v>
      </c>
      <c r="F81" s="1567" t="s">
        <v>1104</v>
      </c>
      <c r="G81" s="1516">
        <f>ROUND(SUM(H75:H79)*30%,)</f>
        <v>4312</v>
      </c>
      <c r="H81" s="1264">
        <f t="shared" si="9"/>
        <v>4312</v>
      </c>
      <c r="I81" s="1595">
        <f>ROUND(G81*0.3,)</f>
        <v>1294</v>
      </c>
      <c r="J81" s="1264">
        <f t="shared" si="10"/>
        <v>1294</v>
      </c>
      <c r="K81" s="1273">
        <f t="shared" si="11"/>
        <v>5606</v>
      </c>
      <c r="L81" s="1635"/>
    </row>
    <row r="82" spans="1:12" s="1199" customFormat="1" ht="24" customHeight="1">
      <c r="A82" s="1564"/>
      <c r="B82" s="1597" t="s">
        <v>1756</v>
      </c>
      <c r="C82" s="1533"/>
      <c r="D82" s="1534"/>
      <c r="E82" s="1566">
        <v>1</v>
      </c>
      <c r="F82" s="1567" t="s">
        <v>1104</v>
      </c>
      <c r="G82" s="1516">
        <f>ROUND(SUM(H75:H79)*10%,)</f>
        <v>1437</v>
      </c>
      <c r="H82" s="1264">
        <f t="shared" si="9"/>
        <v>1437</v>
      </c>
      <c r="I82" s="1595">
        <f>ROUND(G82*0.3,)</f>
        <v>431</v>
      </c>
      <c r="J82" s="1264">
        <f t="shared" si="10"/>
        <v>431</v>
      </c>
      <c r="K82" s="1273">
        <f t="shared" si="11"/>
        <v>1868</v>
      </c>
      <c r="L82" s="1635"/>
    </row>
    <row r="83" spans="1:12" s="1199" customFormat="1" ht="24" customHeight="1">
      <c r="A83" s="1564" t="s">
        <v>1757</v>
      </c>
      <c r="B83" s="1597" t="s">
        <v>1832</v>
      </c>
      <c r="C83" s="1533"/>
      <c r="D83" s="1534"/>
      <c r="E83" s="1566"/>
      <c r="F83" s="1567"/>
      <c r="G83" s="1516"/>
      <c r="H83" s="1264"/>
      <c r="I83" s="1265"/>
      <c r="J83" s="1264"/>
      <c r="K83" s="1273"/>
      <c r="L83" s="1635"/>
    </row>
    <row r="84" spans="1:12" s="1199" customFormat="1" ht="24" customHeight="1">
      <c r="A84" s="1564"/>
      <c r="B84" s="1597" t="s">
        <v>1340</v>
      </c>
      <c r="C84" s="1533"/>
      <c r="D84" s="1534"/>
      <c r="E84" s="1566">
        <v>34</v>
      </c>
      <c r="F84" s="1567" t="s">
        <v>363</v>
      </c>
      <c r="G84" s="1516">
        <f>ROUND(665*0.7,)</f>
        <v>466</v>
      </c>
      <c r="H84" s="1264">
        <f>ROUND(E84*G84,)</f>
        <v>15844</v>
      </c>
      <c r="I84" s="1265">
        <v>200</v>
      </c>
      <c r="J84" s="1264">
        <f>ROUND(I84*E84,)</f>
        <v>6800</v>
      </c>
      <c r="K84" s="1273">
        <f>H84+J84</f>
        <v>22644</v>
      </c>
      <c r="L84" s="1635"/>
    </row>
    <row r="85" spans="1:12" s="1199" customFormat="1" ht="24" customHeight="1">
      <c r="A85" s="1564"/>
      <c r="B85" s="1597"/>
      <c r="C85" s="1533"/>
      <c r="D85" s="1534"/>
      <c r="E85" s="1566"/>
      <c r="F85" s="1567"/>
      <c r="G85" s="1516"/>
      <c r="H85" s="1264"/>
      <c r="I85" s="1265"/>
      <c r="J85" s="1264"/>
      <c r="K85" s="1273"/>
      <c r="L85" s="1635"/>
    </row>
    <row r="86" spans="1:12" s="1199" customFormat="1" ht="24" customHeight="1">
      <c r="A86" s="1564"/>
      <c r="B86" s="1597"/>
      <c r="C86" s="1533"/>
      <c r="D86" s="1534"/>
      <c r="E86" s="1566"/>
      <c r="F86" s="1567"/>
      <c r="G86" s="1516"/>
      <c r="H86" s="1264"/>
      <c r="I86" s="1265"/>
      <c r="J86" s="1264"/>
      <c r="K86" s="1273"/>
      <c r="L86" s="1635"/>
    </row>
    <row r="87" spans="1:12" s="1199" customFormat="1" ht="24" customHeight="1">
      <c r="A87" s="1564" t="s">
        <v>1760</v>
      </c>
      <c r="B87" s="1597" t="s">
        <v>1780</v>
      </c>
      <c r="C87" s="1533"/>
      <c r="D87" s="1534"/>
      <c r="E87" s="1566"/>
      <c r="F87" s="1567"/>
      <c r="G87" s="1516"/>
      <c r="H87" s="1264"/>
      <c r="I87" s="1265"/>
      <c r="J87" s="1264"/>
      <c r="K87" s="1273"/>
      <c r="L87" s="1635"/>
    </row>
    <row r="88" spans="1:12" s="1199" customFormat="1" ht="24" customHeight="1">
      <c r="A88" s="1564"/>
      <c r="B88" s="1597" t="s">
        <v>1340</v>
      </c>
      <c r="C88" s="1533"/>
      <c r="D88" s="1534"/>
      <c r="E88" s="1566">
        <v>10</v>
      </c>
      <c r="F88" s="1567" t="s">
        <v>363</v>
      </c>
      <c r="G88" s="1516">
        <f>ROUND(240*0.75,)</f>
        <v>180</v>
      </c>
      <c r="H88" s="1264">
        <f>ROUND(E88*G88,)</f>
        <v>1800</v>
      </c>
      <c r="I88" s="1265">
        <v>100</v>
      </c>
      <c r="J88" s="1264">
        <f>ROUND(I88*E88,)</f>
        <v>1000</v>
      </c>
      <c r="K88" s="1273">
        <f>H88+J88</f>
        <v>2800</v>
      </c>
      <c r="L88" s="1635"/>
    </row>
    <row r="89" spans="1:12" s="1199" customFormat="1" ht="24" customHeight="1">
      <c r="A89" s="1564"/>
      <c r="B89" s="1597" t="s">
        <v>1342</v>
      </c>
      <c r="C89" s="1533"/>
      <c r="D89" s="1534"/>
      <c r="E89" s="1566">
        <v>4</v>
      </c>
      <c r="F89" s="1567" t="s">
        <v>363</v>
      </c>
      <c r="G89" s="1516">
        <f>ROUND(360*0.75,)</f>
        <v>270</v>
      </c>
      <c r="H89" s="1264">
        <f>ROUND(E89*G89,)</f>
        <v>1080</v>
      </c>
      <c r="I89" s="1265">
        <v>150</v>
      </c>
      <c r="J89" s="1264">
        <f>ROUND(I89*E89,)</f>
        <v>600</v>
      </c>
      <c r="K89" s="1273">
        <f>H89+J89</f>
        <v>1680</v>
      </c>
      <c r="L89" s="1635"/>
    </row>
    <row r="90" spans="1:12" s="1199" customFormat="1" ht="24" customHeight="1">
      <c r="A90" s="1637"/>
      <c r="B90" s="1597" t="s">
        <v>1759</v>
      </c>
      <c r="C90" s="1533"/>
      <c r="D90" s="1534"/>
      <c r="E90" s="1566">
        <v>4</v>
      </c>
      <c r="F90" s="1567" t="s">
        <v>363</v>
      </c>
      <c r="G90" s="1516">
        <f>ROUND(500*0.75,)</f>
        <v>375</v>
      </c>
      <c r="H90" s="1264">
        <f>ROUND(E90*G90,)</f>
        <v>1500</v>
      </c>
      <c r="I90" s="1265">
        <v>200</v>
      </c>
      <c r="J90" s="1264">
        <f>ROUND(I90*E90,)</f>
        <v>800</v>
      </c>
      <c r="K90" s="1273">
        <f>H90+J90</f>
        <v>2300</v>
      </c>
      <c r="L90" s="1635"/>
    </row>
    <row r="91" spans="1:12" s="1199" customFormat="1" ht="24" customHeight="1">
      <c r="A91" s="1564"/>
      <c r="B91" s="1597" t="s">
        <v>1754</v>
      </c>
      <c r="C91" s="1533"/>
      <c r="D91" s="1534"/>
      <c r="E91" s="1566">
        <v>2</v>
      </c>
      <c r="F91" s="1567" t="s">
        <v>363</v>
      </c>
      <c r="G91" s="1516">
        <f>ROUND(950*0.75,)</f>
        <v>713</v>
      </c>
      <c r="H91" s="1264">
        <f>ROUND(E91*G91,)</f>
        <v>1426</v>
      </c>
      <c r="I91" s="1265">
        <v>300</v>
      </c>
      <c r="J91" s="1264">
        <f>ROUND(I91*E91,)</f>
        <v>600</v>
      </c>
      <c r="K91" s="1273">
        <f>H91+J91</f>
        <v>2026</v>
      </c>
      <c r="L91" s="1635"/>
    </row>
    <row r="92" spans="1:12" s="1199" customFormat="1" ht="24" customHeight="1">
      <c r="A92" s="1564"/>
      <c r="B92" s="1565"/>
      <c r="C92" s="1533"/>
      <c r="D92" s="1604"/>
      <c r="E92" s="1566"/>
      <c r="F92" s="1534"/>
      <c r="G92" s="1516"/>
      <c r="H92" s="1264"/>
      <c r="I92" s="1265"/>
      <c r="J92" s="1264"/>
      <c r="K92" s="1273"/>
      <c r="L92" s="1635"/>
    </row>
    <row r="93" spans="1:12" s="1199" customFormat="1" ht="24" customHeight="1">
      <c r="A93" s="1564"/>
      <c r="B93" s="1565"/>
      <c r="C93" s="1533"/>
      <c r="D93" s="1604"/>
      <c r="E93" s="1566"/>
      <c r="F93" s="1534"/>
      <c r="G93" s="1516"/>
      <c r="H93" s="1264"/>
      <c r="I93" s="1265"/>
      <c r="J93" s="1264"/>
      <c r="K93" s="1273"/>
      <c r="L93" s="1635"/>
    </row>
    <row r="94" spans="1:12" s="1199" customFormat="1" ht="24" customHeight="1">
      <c r="A94" s="1564"/>
      <c r="B94" s="1565"/>
      <c r="C94" s="1533"/>
      <c r="D94" s="1604"/>
      <c r="E94" s="1566"/>
      <c r="F94" s="1534"/>
      <c r="G94" s="1516"/>
      <c r="H94" s="1264"/>
      <c r="I94" s="1265"/>
      <c r="J94" s="1264"/>
      <c r="K94" s="1273"/>
      <c r="L94" s="1635"/>
    </row>
    <row r="95" spans="1:12" s="1199" customFormat="1" ht="24" customHeight="1">
      <c r="A95" s="1564"/>
      <c r="B95" s="1565"/>
      <c r="C95" s="1533"/>
      <c r="D95" s="1604"/>
      <c r="E95" s="1566"/>
      <c r="F95" s="1534"/>
      <c r="G95" s="1516"/>
      <c r="H95" s="1264"/>
      <c r="I95" s="1265"/>
      <c r="J95" s="1264"/>
      <c r="K95" s="1273"/>
      <c r="L95" s="1635"/>
    </row>
    <row r="96" spans="1:12" s="1199" customFormat="1" ht="24" customHeight="1">
      <c r="A96" s="1349"/>
      <c r="B96" s="1615"/>
      <c r="C96" s="1375"/>
      <c r="D96" s="1375"/>
      <c r="E96" s="1616"/>
      <c r="F96" s="1395"/>
      <c r="G96" s="1617"/>
      <c r="H96" s="1618"/>
      <c r="I96" s="1600"/>
      <c r="J96" s="1618"/>
      <c r="K96" s="1619"/>
      <c r="L96" s="1640"/>
    </row>
    <row r="97" spans="1:14" s="1199" customFormat="1" ht="24" customHeight="1">
      <c r="A97" s="1578"/>
      <c r="B97" s="2257" t="str">
        <f>"รวมราคารายการที่ "&amp;A65</f>
        <v>รวมราคารายการที่ 5.2</v>
      </c>
      <c r="C97" s="2258"/>
      <c r="D97" s="2259"/>
      <c r="E97" s="1579"/>
      <c r="F97" s="1579"/>
      <c r="G97" s="1580"/>
      <c r="H97" s="1581">
        <f>SUM(H66:H96)</f>
        <v>216096</v>
      </c>
      <c r="I97" s="1582"/>
      <c r="J97" s="1581">
        <f>SUM(J66:J96)</f>
        <v>78375</v>
      </c>
      <c r="K97" s="1583">
        <f>SUM(K66:K96)</f>
        <v>294471</v>
      </c>
      <c r="L97" s="1630"/>
      <c r="M97" s="1214"/>
      <c r="N97" s="1214"/>
    </row>
    <row r="98" spans="1:14" s="1199" customFormat="1" ht="24" customHeight="1">
      <c r="A98" s="1584">
        <v>5.3</v>
      </c>
      <c r="B98" s="1606" t="s">
        <v>1768</v>
      </c>
      <c r="C98" s="1294"/>
      <c r="D98" s="1294"/>
      <c r="E98" s="1586"/>
      <c r="F98" s="1296"/>
      <c r="G98" s="1357"/>
      <c r="H98" s="1298"/>
      <c r="I98" s="1299"/>
      <c r="J98" s="1298"/>
      <c r="K98" s="1382"/>
      <c r="L98" s="1639"/>
    </row>
    <row r="99" spans="1:14" s="1199" customFormat="1" ht="24" customHeight="1">
      <c r="A99" s="1572" t="s">
        <v>1769</v>
      </c>
      <c r="B99" s="1573" t="s">
        <v>1778</v>
      </c>
      <c r="C99" s="1574"/>
      <c r="D99" s="1575"/>
      <c r="E99" s="1598"/>
      <c r="F99" s="1577"/>
      <c r="G99" s="1351"/>
      <c r="H99" s="1281"/>
      <c r="I99" s="1282"/>
      <c r="J99" s="1281"/>
      <c r="K99" s="1405"/>
      <c r="L99" s="1639"/>
    </row>
    <row r="100" spans="1:14" s="1199" customFormat="1" ht="24" customHeight="1">
      <c r="A100" s="1564"/>
      <c r="B100" s="1565" t="s">
        <v>1716</v>
      </c>
      <c r="C100" s="1533"/>
      <c r="D100" s="1534"/>
      <c r="E100" s="1566">
        <v>130</v>
      </c>
      <c r="F100" s="1567" t="s">
        <v>226</v>
      </c>
      <c r="G100" s="1516">
        <v>385</v>
      </c>
      <c r="H100" s="1264">
        <f>ROUND(E100*G100,)</f>
        <v>50050</v>
      </c>
      <c r="I100" s="1265">
        <v>145</v>
      </c>
      <c r="J100" s="1264">
        <f>ROUND(I100*E100,)</f>
        <v>18850</v>
      </c>
      <c r="K100" s="1273">
        <f>H100+J100</f>
        <v>68900</v>
      </c>
      <c r="L100" s="2082" t="s">
        <v>2667</v>
      </c>
    </row>
    <row r="101" spans="1:14" s="1199" customFormat="1" ht="24" customHeight="1">
      <c r="A101" s="1564"/>
      <c r="B101" s="1565" t="s">
        <v>1719</v>
      </c>
      <c r="C101" s="1533"/>
      <c r="D101" s="1534"/>
      <c r="E101" s="1566">
        <v>1</v>
      </c>
      <c r="F101" s="1567" t="s">
        <v>1104</v>
      </c>
      <c r="G101" s="1516">
        <f>SUM(H100:H100)*40%</f>
        <v>20020</v>
      </c>
      <c r="H101" s="1264">
        <f>ROUND(E101*G101,)</f>
        <v>20020</v>
      </c>
      <c r="I101" s="1595">
        <f>ROUND(G101*0.3,)</f>
        <v>6006</v>
      </c>
      <c r="J101" s="1264">
        <f>ROUND(I101*E101,)</f>
        <v>6006</v>
      </c>
      <c r="K101" s="1273">
        <f>H101+J101</f>
        <v>26026</v>
      </c>
      <c r="L101" s="1639"/>
    </row>
    <row r="102" spans="1:14" s="1199" customFormat="1" ht="24" customHeight="1">
      <c r="A102" s="1564"/>
      <c r="B102" s="1565" t="s">
        <v>1720</v>
      </c>
      <c r="C102" s="1533"/>
      <c r="D102" s="1534"/>
      <c r="E102" s="1566">
        <v>1</v>
      </c>
      <c r="F102" s="1567" t="s">
        <v>1104</v>
      </c>
      <c r="G102" s="1516">
        <f>SUM(H100:H100)*20%</f>
        <v>10010</v>
      </c>
      <c r="H102" s="1264">
        <f>ROUND(E102*G102,)</f>
        <v>10010</v>
      </c>
      <c r="I102" s="1595">
        <f>ROUND(G102*0.3,)</f>
        <v>3003</v>
      </c>
      <c r="J102" s="1264">
        <f>ROUND(I102*E102,)</f>
        <v>3003</v>
      </c>
      <c r="K102" s="1273">
        <f>H102+J102</f>
        <v>13013</v>
      </c>
      <c r="L102" s="1639"/>
    </row>
    <row r="103" spans="1:14" s="1199" customFormat="1" ht="24" customHeight="1">
      <c r="A103" s="1564"/>
      <c r="B103" s="1565" t="s">
        <v>1756</v>
      </c>
      <c r="C103" s="1533"/>
      <c r="D103" s="1534"/>
      <c r="E103" s="1566">
        <v>1</v>
      </c>
      <c r="F103" s="1567" t="s">
        <v>1104</v>
      </c>
      <c r="G103" s="1516">
        <f>ROUND(SUM(H100:H100)*10%,)</f>
        <v>5005</v>
      </c>
      <c r="H103" s="1264">
        <f>ROUND(E103*G103,)</f>
        <v>5005</v>
      </c>
      <c r="I103" s="1595">
        <f>ROUND(G103*0.3,)</f>
        <v>1502</v>
      </c>
      <c r="J103" s="1264">
        <f>ROUND(I103*E103,)</f>
        <v>1502</v>
      </c>
      <c r="K103" s="1273">
        <f>H103+J103</f>
        <v>6507</v>
      </c>
      <c r="L103" s="1639"/>
    </row>
    <row r="104" spans="1:14" s="1199" customFormat="1" ht="24" customHeight="1">
      <c r="A104" s="1564" t="s">
        <v>1775</v>
      </c>
      <c r="B104" s="1597" t="s">
        <v>1832</v>
      </c>
      <c r="C104" s="1533"/>
      <c r="E104" s="1566"/>
      <c r="F104" s="1567"/>
      <c r="G104" s="1516"/>
      <c r="H104" s="1264"/>
      <c r="I104" s="1265"/>
      <c r="J104" s="1264"/>
      <c r="K104" s="1273"/>
      <c r="L104" s="1639"/>
    </row>
    <row r="105" spans="1:14" s="1199" customFormat="1" ht="24" customHeight="1">
      <c r="A105" s="1564"/>
      <c r="B105" s="1597" t="s">
        <v>1340</v>
      </c>
      <c r="C105" s="1533"/>
      <c r="D105" s="1534"/>
      <c r="E105" s="1566">
        <v>6</v>
      </c>
      <c r="F105" s="1567" t="s">
        <v>363</v>
      </c>
      <c r="G105" s="1516">
        <f>ROUND(665*0.7,)</f>
        <v>466</v>
      </c>
      <c r="H105" s="1264">
        <f>ROUND(E105*G105,)</f>
        <v>2796</v>
      </c>
      <c r="I105" s="1265">
        <v>200</v>
      </c>
      <c r="J105" s="1264">
        <f>ROUND(I105*E105,)</f>
        <v>1200</v>
      </c>
      <c r="K105" s="1273">
        <f>H105+J105</f>
        <v>3996</v>
      </c>
      <c r="L105" s="1639"/>
    </row>
    <row r="106" spans="1:14" s="1199" customFormat="1" ht="24" customHeight="1">
      <c r="A106" s="1564"/>
      <c r="B106" s="1597"/>
      <c r="C106" s="1533"/>
      <c r="D106" s="1534"/>
      <c r="E106" s="1566"/>
      <c r="F106" s="1567"/>
      <c r="G106" s="1516"/>
      <c r="H106" s="1264"/>
      <c r="I106" s="1265"/>
      <c r="J106" s="1264"/>
      <c r="K106" s="1273"/>
      <c r="L106" s="1639"/>
    </row>
    <row r="107" spans="1:14" s="1199" customFormat="1" ht="24" customHeight="1">
      <c r="A107" s="1564"/>
      <c r="B107" s="1565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9"/>
    </row>
    <row r="108" spans="1:14" s="1199" customFormat="1" ht="24" customHeight="1">
      <c r="A108" s="1564"/>
      <c r="B108" s="1565"/>
      <c r="C108" s="1533"/>
      <c r="D108" s="1534"/>
      <c r="E108" s="1566"/>
      <c r="F108" s="1567"/>
      <c r="G108" s="1516"/>
      <c r="H108" s="1264"/>
      <c r="I108" s="1265"/>
      <c r="J108" s="1264"/>
      <c r="K108" s="1273"/>
      <c r="L108" s="1639"/>
    </row>
    <row r="109" spans="1:14" s="1199" customFormat="1" ht="24" customHeight="1">
      <c r="A109" s="1578"/>
      <c r="B109" s="2257" t="str">
        <f>"รวมราคารายการที่ "&amp;A98</f>
        <v>รวมราคารายการที่ 5.3</v>
      </c>
      <c r="C109" s="2258"/>
      <c r="D109" s="2259"/>
      <c r="E109" s="1579"/>
      <c r="F109" s="1579"/>
      <c r="G109" s="1580"/>
      <c r="H109" s="1581">
        <f>SUM(H99:H108)</f>
        <v>87881</v>
      </c>
      <c r="I109" s="1582"/>
      <c r="J109" s="1581">
        <f>SUM(J99:J108)</f>
        <v>30561</v>
      </c>
      <c r="K109" s="1583">
        <f>SUM(K99:K108)</f>
        <v>118442</v>
      </c>
      <c r="L109" s="1630"/>
    </row>
    <row r="110" spans="1:14" s="1199" customFormat="1" ht="21.3">
      <c r="A110" s="1427"/>
      <c r="E110" s="1570"/>
    </row>
    <row r="111" spans="1:14" s="1199" customFormat="1" ht="21.3">
      <c r="A111" s="1427"/>
      <c r="E111" s="1570"/>
    </row>
    <row r="112" spans="1:14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4:D64"/>
    <mergeCell ref="B97:D97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6-อาคารด้านทิศตะวันตก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89EE-A3C4-4533-9F6A-A24719957F99}">
  <sheetPr>
    <tabColor rgb="FF92D050"/>
  </sheetPr>
  <dimension ref="A1:O131"/>
  <sheetViews>
    <sheetView showGridLines="0" view="pageBreakPreview" topLeftCell="A85" zoomScale="85" zoomScaleNormal="60" zoomScaleSheetLayoutView="85" workbookViewId="0">
      <selection activeCell="I118" sqref="I118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" style="1" customWidth="1"/>
    <col min="13" max="13" width="11" style="1" customWidth="1"/>
    <col min="14" max="14" width="9.87890625" style="1" customWidth="1"/>
    <col min="15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1849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531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H64</f>
        <v>168952</v>
      </c>
      <c r="I13" s="1197"/>
      <c r="J13" s="1196">
        <f>J64</f>
        <v>51413</v>
      </c>
      <c r="K13" s="1553">
        <f>SUM(H13:J13)</f>
        <v>220365</v>
      </c>
      <c r="L13" s="1531"/>
    </row>
    <row r="14" spans="1:12" s="1199" customFormat="1" ht="24" customHeight="1">
      <c r="A14" s="1572" t="str">
        <f>A65</f>
        <v>5.2</v>
      </c>
      <c r="B14" s="1573" t="str">
        <f>B65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H97</f>
        <v>232668</v>
      </c>
      <c r="I14" s="1230"/>
      <c r="J14" s="1229">
        <f>J97</f>
        <v>83314</v>
      </c>
      <c r="K14" s="1553">
        <f>SUM(H14:J14)</f>
        <v>315982</v>
      </c>
      <c r="L14" s="1430"/>
    </row>
    <row r="15" spans="1:12" s="1199" customFormat="1" ht="24" customHeight="1">
      <c r="A15" s="1572">
        <f>A98</f>
        <v>5.3</v>
      </c>
      <c r="B15" s="1573" t="str">
        <f>B98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87881</v>
      </c>
      <c r="I15" s="1230"/>
      <c r="J15" s="1229">
        <f>J109</f>
        <v>30561</v>
      </c>
      <c r="K15" s="1553">
        <f>SUM(H15:J15)</f>
        <v>118442</v>
      </c>
      <c r="L15" s="1628"/>
    </row>
    <row r="16" spans="1:12" s="1199" customFormat="1" ht="24" customHeight="1">
      <c r="A16" s="1564"/>
      <c r="B16" s="1565"/>
      <c r="C16" s="1533"/>
      <c r="D16" s="1534"/>
      <c r="E16" s="1566"/>
      <c r="F16" s="1567"/>
      <c r="G16" s="1195"/>
      <c r="H16" s="1196"/>
      <c r="I16" s="1197"/>
      <c r="J16" s="1196"/>
      <c r="K16" s="1553"/>
      <c r="L16" s="1531"/>
    </row>
    <row r="17" spans="1:12" s="1199" customFormat="1" ht="24" customHeight="1">
      <c r="A17" s="1564"/>
      <c r="B17" s="1565"/>
      <c r="C17" s="1533"/>
      <c r="D17" s="1534"/>
      <c r="E17" s="1566"/>
      <c r="F17" s="1567"/>
      <c r="G17" s="1195"/>
      <c r="H17" s="1196"/>
      <c r="I17" s="1197"/>
      <c r="J17" s="1196"/>
      <c r="K17" s="1553"/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7</v>
      </c>
      <c r="C34" s="2258"/>
      <c r="D34" s="2259"/>
      <c r="E34" s="1579"/>
      <c r="F34" s="1579"/>
      <c r="G34" s="1580"/>
      <c r="H34" s="1581">
        <f>SUM(H12:H33)</f>
        <v>489501</v>
      </c>
      <c r="I34" s="1582"/>
      <c r="J34" s="1581">
        <f>SUM(J12:J33)</f>
        <v>165288</v>
      </c>
      <c r="K34" s="1583">
        <f>SUM(K12:K33)</f>
        <v>654789</v>
      </c>
      <c r="L34" s="1583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330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596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596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268</v>
      </c>
      <c r="F38" s="1567" t="s">
        <v>226</v>
      </c>
      <c r="G38" s="1593">
        <v>35</v>
      </c>
      <c r="H38" s="1264">
        <f t="shared" ref="H38:H46" si="0">ROUND(E38*G38,)</f>
        <v>9380</v>
      </c>
      <c r="I38" s="1595">
        <v>30</v>
      </c>
      <c r="J38" s="1264">
        <f t="shared" ref="J38:J46" si="1">ROUND(E38*I38,)</f>
        <v>8040</v>
      </c>
      <c r="K38" s="1265">
        <f t="shared" ref="K38:K46" si="2">H38+J38</f>
        <v>17420</v>
      </c>
      <c r="L38" s="1596"/>
      <c r="M38" s="1532"/>
      <c r="N38" s="1532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170</v>
      </c>
      <c r="F39" s="1567" t="s">
        <v>226</v>
      </c>
      <c r="G39" s="1593">
        <v>46</v>
      </c>
      <c r="H39" s="1264">
        <f t="shared" si="0"/>
        <v>7820</v>
      </c>
      <c r="I39" s="1595">
        <v>30</v>
      </c>
      <c r="J39" s="1264">
        <f t="shared" si="1"/>
        <v>5100</v>
      </c>
      <c r="K39" s="1265">
        <f t="shared" si="2"/>
        <v>12920</v>
      </c>
      <c r="L39" s="1596"/>
      <c r="M39" s="1532"/>
      <c r="N39" s="1532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13</v>
      </c>
      <c r="F40" s="1567" t="s">
        <v>226</v>
      </c>
      <c r="G40" s="1593">
        <v>113</v>
      </c>
      <c r="H40" s="1264">
        <f t="shared" si="0"/>
        <v>1469</v>
      </c>
      <c r="I40" s="1595">
        <v>50</v>
      </c>
      <c r="J40" s="1264">
        <f t="shared" si="1"/>
        <v>650</v>
      </c>
      <c r="K40" s="1265">
        <f t="shared" si="2"/>
        <v>2119</v>
      </c>
      <c r="L40" s="1596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27</v>
      </c>
      <c r="F41" s="1567" t="s">
        <v>226</v>
      </c>
      <c r="G41" s="1593">
        <v>193</v>
      </c>
      <c r="H41" s="1264">
        <f t="shared" si="0"/>
        <v>5211</v>
      </c>
      <c r="I41" s="1595">
        <v>75</v>
      </c>
      <c r="J41" s="1264">
        <f t="shared" si="1"/>
        <v>2025</v>
      </c>
      <c r="K41" s="1265">
        <f t="shared" si="2"/>
        <v>7236</v>
      </c>
      <c r="L41" s="1596"/>
      <c r="M41" s="1532"/>
      <c r="N41" s="1532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67</v>
      </c>
      <c r="F42" s="1567" t="s">
        <v>226</v>
      </c>
      <c r="G42" s="1593">
        <v>287</v>
      </c>
      <c r="H42" s="1264">
        <f t="shared" si="0"/>
        <v>19229</v>
      </c>
      <c r="I42" s="1595">
        <v>100</v>
      </c>
      <c r="J42" s="1264">
        <f t="shared" si="1"/>
        <v>6700</v>
      </c>
      <c r="K42" s="1265">
        <f t="shared" si="2"/>
        <v>25929</v>
      </c>
      <c r="L42" s="1596"/>
      <c r="M42" s="1532"/>
      <c r="N42" s="1532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31</v>
      </c>
      <c r="F43" s="1567" t="s">
        <v>226</v>
      </c>
      <c r="G43" s="1593">
        <v>562</v>
      </c>
      <c r="H43" s="1264">
        <f>ROUND(E43*G43,)</f>
        <v>17422</v>
      </c>
      <c r="I43" s="1595">
        <v>120</v>
      </c>
      <c r="J43" s="1264">
        <f>ROUND(E43*I43,)</f>
        <v>3720</v>
      </c>
      <c r="K43" s="1273">
        <f>H43+J43</f>
        <v>21142</v>
      </c>
      <c r="L43" s="1596"/>
      <c r="M43" s="1532"/>
      <c r="N43" s="1532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SUM(H38:H43)*50%</f>
        <v>30265.5</v>
      </c>
      <c r="H44" s="1264">
        <f t="shared" si="0"/>
        <v>30266</v>
      </c>
      <c r="I44" s="1595">
        <f>ROUND(G44*0.3,)</f>
        <v>9080</v>
      </c>
      <c r="J44" s="1264">
        <f t="shared" si="1"/>
        <v>9080</v>
      </c>
      <c r="K44" s="1265">
        <f t="shared" si="2"/>
        <v>39346</v>
      </c>
      <c r="L44" s="1596"/>
      <c r="M44" s="1532"/>
      <c r="N44" s="1532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SUM(H38:H43)*20%</f>
        <v>12106.2</v>
      </c>
      <c r="H45" s="1264">
        <f t="shared" si="0"/>
        <v>12106</v>
      </c>
      <c r="I45" s="1595">
        <f>ROUND(G45*0.3,)</f>
        <v>3632</v>
      </c>
      <c r="J45" s="1264">
        <f t="shared" si="1"/>
        <v>3632</v>
      </c>
      <c r="K45" s="1265">
        <f t="shared" si="2"/>
        <v>15738</v>
      </c>
      <c r="L45" s="1596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SUM(H38:H43)*10%</f>
        <v>6053.1</v>
      </c>
      <c r="H46" s="1264">
        <f t="shared" si="0"/>
        <v>6053</v>
      </c>
      <c r="I46" s="1595">
        <f>ROUND(G46*0.3,)</f>
        <v>1816</v>
      </c>
      <c r="J46" s="1264">
        <f t="shared" si="1"/>
        <v>1816</v>
      </c>
      <c r="K46" s="1265">
        <f t="shared" si="2"/>
        <v>7869</v>
      </c>
      <c r="L46" s="1596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596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2</v>
      </c>
      <c r="F48" s="1567" t="s">
        <v>363</v>
      </c>
      <c r="G48" s="1593">
        <v>880</v>
      </c>
      <c r="H48" s="1264">
        <f t="shared" ref="H48:H49" si="3">ROUND(E48*G48,)</f>
        <v>1760</v>
      </c>
      <c r="I48" s="1595">
        <v>150</v>
      </c>
      <c r="J48" s="1264">
        <f t="shared" ref="J48:J49" si="4">ROUND(E48*I48,)</f>
        <v>300</v>
      </c>
      <c r="K48" s="1265">
        <f t="shared" ref="K48:K49" si="5">H48+J48</f>
        <v>2060</v>
      </c>
      <c r="L48" s="2082" t="s">
        <v>2667</v>
      </c>
    </row>
    <row r="49" spans="1:14" s="1199" customFormat="1" ht="24" customHeight="1">
      <c r="A49" s="1564"/>
      <c r="B49" s="1565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</row>
    <row r="50" spans="1:14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596"/>
    </row>
    <row r="51" spans="1:14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65">
        <f>H51+J51</f>
        <v>24460</v>
      </c>
      <c r="L51" s="1596"/>
    </row>
    <row r="52" spans="1:14" s="1199" customFormat="1" ht="24" customHeight="1">
      <c r="A52" s="1564"/>
      <c r="B52" s="1597" t="s">
        <v>1716</v>
      </c>
      <c r="C52" s="1533"/>
      <c r="D52" s="1534"/>
      <c r="E52" s="1566">
        <v>4</v>
      </c>
      <c r="F52" s="1567" t="s">
        <v>363</v>
      </c>
      <c r="G52" s="1593">
        <v>2218</v>
      </c>
      <c r="H52" s="1264">
        <f>ROUND(E52*G52,)</f>
        <v>8872</v>
      </c>
      <c r="I52" s="1595">
        <v>600</v>
      </c>
      <c r="J52" s="1264">
        <f>ROUND(E52*I52,)</f>
        <v>2400</v>
      </c>
      <c r="K52" s="1273">
        <f>H52+J52</f>
        <v>11272</v>
      </c>
      <c r="L52" s="1273"/>
    </row>
    <row r="53" spans="1:14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596"/>
    </row>
    <row r="54" spans="1:14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596"/>
    </row>
    <row r="55" spans="1:14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596"/>
    </row>
    <row r="56" spans="1:14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596"/>
    </row>
    <row r="57" spans="1:14" s="1199" customFormat="1" ht="24" customHeight="1">
      <c r="A57" s="1564"/>
      <c r="B57" s="1565" t="s">
        <v>1823</v>
      </c>
      <c r="C57" s="1533"/>
      <c r="D57" s="1534"/>
      <c r="E57" s="1566">
        <v>6</v>
      </c>
      <c r="F57" s="1567" t="s">
        <v>363</v>
      </c>
      <c r="G57" s="1603">
        <v>210</v>
      </c>
      <c r="H57" s="1264">
        <f>ROUND(E57*G57,)</f>
        <v>1260</v>
      </c>
      <c r="I57" s="1595">
        <v>100</v>
      </c>
      <c r="J57" s="1264">
        <f>ROUND(E57*I57,)</f>
        <v>600</v>
      </c>
      <c r="K57" s="1265">
        <f>H57+J57</f>
        <v>1860</v>
      </c>
      <c r="L57" s="1596"/>
    </row>
    <row r="58" spans="1:14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596"/>
    </row>
    <row r="59" spans="1:14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596"/>
    </row>
    <row r="60" spans="1:14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596"/>
    </row>
    <row r="61" spans="1:14" s="1199" customFormat="1" ht="24" customHeight="1">
      <c r="A61" s="1564"/>
      <c r="B61" s="1597" t="s">
        <v>1823</v>
      </c>
      <c r="C61" s="1533"/>
      <c r="D61" s="1534"/>
      <c r="E61" s="1566">
        <v>6</v>
      </c>
      <c r="F61" s="1567" t="s">
        <v>363</v>
      </c>
      <c r="G61" s="1593">
        <v>120</v>
      </c>
      <c r="H61" s="1264">
        <f>ROUND(E61*G61,)</f>
        <v>720</v>
      </c>
      <c r="I61" s="1595">
        <v>50</v>
      </c>
      <c r="J61" s="1264">
        <f>ROUND(I61*E61,)</f>
        <v>300</v>
      </c>
      <c r="K61" s="1273">
        <f>H61+J61</f>
        <v>1020</v>
      </c>
      <c r="L61" s="1596"/>
    </row>
    <row r="62" spans="1:14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273"/>
    </row>
    <row r="63" spans="1:14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596"/>
    </row>
    <row r="64" spans="1:14" s="1199" customFormat="1" ht="24" customHeight="1">
      <c r="A64" s="1578"/>
      <c r="B64" s="2257" t="str">
        <f>"รวมราคารายการที่ "&amp;A36</f>
        <v>รวมราคารายการที่ 5.1</v>
      </c>
      <c r="C64" s="2258"/>
      <c r="D64" s="2259"/>
      <c r="E64" s="1579"/>
      <c r="F64" s="1579"/>
      <c r="G64" s="1580"/>
      <c r="H64" s="1583">
        <f>SUM(H36:H63)</f>
        <v>168952</v>
      </c>
      <c r="I64" s="1582"/>
      <c r="J64" s="1583">
        <f>SUM(J36:J63)</f>
        <v>51413</v>
      </c>
      <c r="K64" s="1583">
        <f>SUM(K36:K63)</f>
        <v>220365</v>
      </c>
      <c r="L64" s="1583"/>
      <c r="M64" s="1532"/>
      <c r="N64" s="1532"/>
    </row>
    <row r="65" spans="1:15" s="1199" customFormat="1" ht="24" customHeight="1">
      <c r="A65" s="1605" t="s">
        <v>1744</v>
      </c>
      <c r="B65" s="1606" t="s">
        <v>1745</v>
      </c>
      <c r="C65" s="1607"/>
      <c r="D65" s="1608"/>
      <c r="E65" s="1609"/>
      <c r="F65" s="1610"/>
      <c r="G65" s="1611"/>
      <c r="H65" s="1612"/>
      <c r="I65" s="1613"/>
      <c r="J65" s="1612"/>
      <c r="K65" s="1614"/>
      <c r="L65" s="1614"/>
      <c r="M65" s="1532"/>
      <c r="N65" s="1532"/>
    </row>
    <row r="66" spans="1:15" s="1199" customFormat="1" ht="24" customHeight="1">
      <c r="A66" s="1572" t="s">
        <v>1746</v>
      </c>
      <c r="B66" s="1597" t="s">
        <v>1839</v>
      </c>
      <c r="C66" s="1533"/>
      <c r="D66" s="1534"/>
      <c r="E66" s="1566"/>
      <c r="F66" s="1567"/>
      <c r="G66" s="1516"/>
      <c r="H66" s="1264"/>
      <c r="I66" s="1265"/>
      <c r="J66" s="1264"/>
      <c r="K66" s="1273"/>
      <c r="L66" s="1273"/>
      <c r="M66" s="1532"/>
      <c r="N66" s="1532"/>
    </row>
    <row r="67" spans="1:15" s="1199" customFormat="1" ht="24" customHeight="1">
      <c r="A67" s="1564"/>
      <c r="B67" s="1597" t="s">
        <v>1340</v>
      </c>
      <c r="C67" s="1533"/>
      <c r="D67" s="1534"/>
      <c r="E67" s="1566">
        <v>192</v>
      </c>
      <c r="F67" s="1567" t="s">
        <v>226</v>
      </c>
      <c r="G67" s="1516">
        <v>127</v>
      </c>
      <c r="H67" s="1264">
        <f t="shared" ref="H67:H73" si="6">ROUND(E67*G67,)</f>
        <v>24384</v>
      </c>
      <c r="I67" s="1265">
        <v>40</v>
      </c>
      <c r="J67" s="1264">
        <f t="shared" ref="J67:J73" si="7">ROUND(I67*E67,)</f>
        <v>7680</v>
      </c>
      <c r="K67" s="1273">
        <f t="shared" ref="K67:K73" si="8">H67+J67</f>
        <v>32064</v>
      </c>
      <c r="L67" s="1596"/>
      <c r="M67" s="1532"/>
      <c r="N67" s="1532"/>
    </row>
    <row r="68" spans="1:15" s="1199" customFormat="1" ht="24" customHeight="1">
      <c r="A68" s="1564"/>
      <c r="B68" s="1597" t="s">
        <v>1342</v>
      </c>
      <c r="C68" s="1533"/>
      <c r="D68" s="1534"/>
      <c r="E68" s="1566">
        <v>51</v>
      </c>
      <c r="F68" s="1567" t="s">
        <v>226</v>
      </c>
      <c r="G68" s="1516">
        <v>258</v>
      </c>
      <c r="H68" s="1264">
        <f t="shared" si="6"/>
        <v>13158</v>
      </c>
      <c r="I68" s="1265">
        <v>75</v>
      </c>
      <c r="J68" s="1264">
        <f t="shared" si="7"/>
        <v>3825</v>
      </c>
      <c r="K68" s="1273">
        <f t="shared" si="8"/>
        <v>16983</v>
      </c>
      <c r="L68" s="1596"/>
    </row>
    <row r="69" spans="1:15" s="1199" customFormat="1" ht="24" customHeight="1">
      <c r="A69" s="1564"/>
      <c r="B69" s="1597" t="s">
        <v>1759</v>
      </c>
      <c r="C69" s="1533"/>
      <c r="D69" s="1534"/>
      <c r="E69" s="1566">
        <v>117</v>
      </c>
      <c r="F69" s="1567" t="s">
        <v>226</v>
      </c>
      <c r="G69" s="1516">
        <v>395</v>
      </c>
      <c r="H69" s="1264">
        <f t="shared" si="6"/>
        <v>46215</v>
      </c>
      <c r="I69" s="1265">
        <v>120</v>
      </c>
      <c r="J69" s="1264">
        <f t="shared" si="7"/>
        <v>14040</v>
      </c>
      <c r="K69" s="1273">
        <f t="shared" si="8"/>
        <v>60255</v>
      </c>
      <c r="L69" s="1596"/>
    </row>
    <row r="70" spans="1:15" s="1199" customFormat="1" ht="24" customHeight="1">
      <c r="A70" s="1564"/>
      <c r="B70" s="1597" t="s">
        <v>1754</v>
      </c>
      <c r="C70" s="1533"/>
      <c r="D70" s="1534"/>
      <c r="E70" s="1566">
        <v>32</v>
      </c>
      <c r="F70" s="1567" t="s">
        <v>226</v>
      </c>
      <c r="G70" s="1516">
        <v>789</v>
      </c>
      <c r="H70" s="1264">
        <f t="shared" si="6"/>
        <v>25248</v>
      </c>
      <c r="I70" s="1265">
        <v>250</v>
      </c>
      <c r="J70" s="1264">
        <f t="shared" si="7"/>
        <v>8000</v>
      </c>
      <c r="K70" s="1273">
        <f t="shared" si="8"/>
        <v>33248</v>
      </c>
      <c r="L70" s="1596"/>
    </row>
    <row r="71" spans="1:15" s="1199" customFormat="1" ht="24" customHeight="1">
      <c r="A71" s="1564"/>
      <c r="B71" s="1597" t="s">
        <v>1719</v>
      </c>
      <c r="C71" s="1533"/>
      <c r="D71" s="1534"/>
      <c r="E71" s="1566">
        <v>1</v>
      </c>
      <c r="F71" s="1567" t="s">
        <v>1104</v>
      </c>
      <c r="G71" s="1516">
        <f>ROUND(SUM(H67:H70)*40%,)</f>
        <v>43602</v>
      </c>
      <c r="H71" s="1264">
        <f t="shared" si="6"/>
        <v>43602</v>
      </c>
      <c r="I71" s="1595">
        <f>ROUND(G71*0.3,)</f>
        <v>13081</v>
      </c>
      <c r="J71" s="1264">
        <f t="shared" si="7"/>
        <v>13081</v>
      </c>
      <c r="K71" s="1273">
        <f t="shared" si="8"/>
        <v>56683</v>
      </c>
      <c r="L71" s="1273"/>
    </row>
    <row r="72" spans="1:15" s="1199" customFormat="1" ht="24" customHeight="1">
      <c r="A72" s="1564"/>
      <c r="B72" s="1597" t="s">
        <v>1720</v>
      </c>
      <c r="C72" s="1533"/>
      <c r="D72" s="1534"/>
      <c r="E72" s="1566">
        <v>1</v>
      </c>
      <c r="F72" s="1567" t="s">
        <v>1104</v>
      </c>
      <c r="G72" s="1516">
        <f>ROUND(SUM(H67:H70)*20%,)</f>
        <v>21801</v>
      </c>
      <c r="H72" s="1264">
        <f t="shared" si="6"/>
        <v>21801</v>
      </c>
      <c r="I72" s="1595">
        <f>ROUND(G72*0.3,)</f>
        <v>6540</v>
      </c>
      <c r="J72" s="1264">
        <f t="shared" si="7"/>
        <v>6540</v>
      </c>
      <c r="K72" s="1273">
        <f t="shared" si="8"/>
        <v>28341</v>
      </c>
      <c r="L72" s="1273"/>
    </row>
    <row r="73" spans="1:15" s="1199" customFormat="1" ht="24" customHeight="1">
      <c r="A73" s="1564"/>
      <c r="B73" s="1597" t="s">
        <v>1756</v>
      </c>
      <c r="C73" s="1533"/>
      <c r="D73" s="1534"/>
      <c r="E73" s="1566">
        <v>1</v>
      </c>
      <c r="F73" s="1567" t="s">
        <v>1104</v>
      </c>
      <c r="G73" s="1516">
        <f>ROUND(SUM(H67:H70)*10%,)</f>
        <v>10901</v>
      </c>
      <c r="H73" s="1264">
        <f t="shared" si="6"/>
        <v>10901</v>
      </c>
      <c r="I73" s="1595">
        <f>ROUND(G73*0.3,)</f>
        <v>3270</v>
      </c>
      <c r="J73" s="1264">
        <f t="shared" si="7"/>
        <v>3270</v>
      </c>
      <c r="K73" s="1273">
        <f t="shared" si="8"/>
        <v>14171</v>
      </c>
      <c r="L73" s="1273"/>
    </row>
    <row r="74" spans="1:15" s="1199" customFormat="1" ht="24" customHeight="1">
      <c r="A74" s="1572" t="s">
        <v>1752</v>
      </c>
      <c r="B74" s="1597" t="s">
        <v>1831</v>
      </c>
      <c r="C74" s="1533"/>
      <c r="D74" s="1534"/>
      <c r="E74" s="1566"/>
      <c r="F74" s="1567"/>
      <c r="G74" s="1516"/>
      <c r="H74" s="1264"/>
      <c r="I74" s="1265"/>
      <c r="J74" s="1264"/>
      <c r="K74" s="1273"/>
      <c r="L74" s="1273"/>
      <c r="M74" s="1532"/>
      <c r="N74" s="1532"/>
    </row>
    <row r="75" spans="1:15" s="1199" customFormat="1" ht="24" customHeight="1">
      <c r="A75" s="1564"/>
      <c r="B75" s="1597" t="s">
        <v>1338</v>
      </c>
      <c r="C75" s="1533"/>
      <c r="D75" s="1534"/>
      <c r="E75" s="1566">
        <v>110</v>
      </c>
      <c r="F75" s="1567" t="s">
        <v>226</v>
      </c>
      <c r="G75" s="1516">
        <v>20</v>
      </c>
      <c r="H75" s="1264">
        <f t="shared" ref="H75:H82" si="9">ROUND(E75*G75,)</f>
        <v>2200</v>
      </c>
      <c r="I75" s="1265">
        <v>30</v>
      </c>
      <c r="J75" s="1264">
        <f t="shared" ref="J75:J82" si="10">ROUND(I75*E75,)</f>
        <v>3300</v>
      </c>
      <c r="K75" s="1273">
        <f t="shared" ref="K75:K82" si="11">H75+J75</f>
        <v>5500</v>
      </c>
      <c r="L75" s="2082" t="s">
        <v>2667</v>
      </c>
      <c r="N75" s="1199">
        <v>79.17</v>
      </c>
      <c r="O75" s="1199">
        <f>ROUND(N75/4,)</f>
        <v>20</v>
      </c>
    </row>
    <row r="76" spans="1:15" s="1199" customFormat="1" ht="24" customHeight="1">
      <c r="A76" s="1564"/>
      <c r="B76" s="1597" t="s">
        <v>1339</v>
      </c>
      <c r="C76" s="1533"/>
      <c r="D76" s="1534"/>
      <c r="E76" s="1566">
        <v>22</v>
      </c>
      <c r="F76" s="1567" t="s">
        <v>226</v>
      </c>
      <c r="G76" s="1516">
        <v>26</v>
      </c>
      <c r="H76" s="1264">
        <f t="shared" si="9"/>
        <v>572</v>
      </c>
      <c r="I76" s="1265">
        <v>30</v>
      </c>
      <c r="J76" s="1264">
        <f t="shared" si="10"/>
        <v>660</v>
      </c>
      <c r="K76" s="1273">
        <f t="shared" si="11"/>
        <v>1232</v>
      </c>
      <c r="L76" s="2082" t="s">
        <v>2667</v>
      </c>
      <c r="N76" s="1199">
        <v>103.74</v>
      </c>
      <c r="O76" s="1199">
        <f t="shared" ref="O76:O79" si="12">ROUND(N76/4,)</f>
        <v>26</v>
      </c>
    </row>
    <row r="77" spans="1:15" s="1199" customFormat="1" ht="24" customHeight="1">
      <c r="A77" s="1564"/>
      <c r="B77" s="1597" t="s">
        <v>1340</v>
      </c>
      <c r="C77" s="1533"/>
      <c r="D77" s="1534"/>
      <c r="E77" s="1566">
        <v>36</v>
      </c>
      <c r="F77" s="1567" t="s">
        <v>226</v>
      </c>
      <c r="G77" s="1516">
        <v>41</v>
      </c>
      <c r="H77" s="1264">
        <f t="shared" si="9"/>
        <v>1476</v>
      </c>
      <c r="I77" s="1265">
        <v>40</v>
      </c>
      <c r="J77" s="1264">
        <f t="shared" si="10"/>
        <v>1440</v>
      </c>
      <c r="K77" s="1273">
        <f t="shared" si="11"/>
        <v>2916</v>
      </c>
      <c r="L77" s="2082" t="s">
        <v>2667</v>
      </c>
      <c r="N77" s="1199">
        <v>163.80000000000001</v>
      </c>
      <c r="O77" s="1199">
        <f t="shared" si="12"/>
        <v>41</v>
      </c>
    </row>
    <row r="78" spans="1:15" s="1199" customFormat="1" ht="24" customHeight="1">
      <c r="A78" s="1564"/>
      <c r="B78" s="1597" t="s">
        <v>1341</v>
      </c>
      <c r="C78" s="1533"/>
      <c r="D78" s="1534"/>
      <c r="E78" s="1566">
        <v>27</v>
      </c>
      <c r="F78" s="1567" t="s">
        <v>226</v>
      </c>
      <c r="G78" s="1516">
        <v>65</v>
      </c>
      <c r="H78" s="1264">
        <f t="shared" si="9"/>
        <v>1755</v>
      </c>
      <c r="I78" s="1265">
        <v>50</v>
      </c>
      <c r="J78" s="1264">
        <f t="shared" si="10"/>
        <v>1350</v>
      </c>
      <c r="K78" s="1273">
        <f t="shared" si="11"/>
        <v>3105</v>
      </c>
      <c r="L78" s="2082" t="s">
        <v>2667</v>
      </c>
      <c r="N78" s="1199">
        <v>259.35000000000002</v>
      </c>
      <c r="O78" s="1199">
        <f t="shared" si="12"/>
        <v>65</v>
      </c>
    </row>
    <row r="79" spans="1:15" s="1199" customFormat="1" ht="24" customHeight="1">
      <c r="A79" s="1564"/>
      <c r="B79" s="1597" t="s">
        <v>1342</v>
      </c>
      <c r="C79" s="1533"/>
      <c r="D79" s="1534"/>
      <c r="E79" s="1566">
        <v>92</v>
      </c>
      <c r="F79" s="1567" t="s">
        <v>226</v>
      </c>
      <c r="G79" s="1516">
        <v>90</v>
      </c>
      <c r="H79" s="1264">
        <f t="shared" si="9"/>
        <v>8280</v>
      </c>
      <c r="I79" s="1265">
        <v>75</v>
      </c>
      <c r="J79" s="1264">
        <f t="shared" si="10"/>
        <v>6900</v>
      </c>
      <c r="K79" s="1273">
        <f t="shared" si="11"/>
        <v>15180</v>
      </c>
      <c r="L79" s="2082" t="s">
        <v>2667</v>
      </c>
      <c r="N79" s="1199">
        <v>359.45</v>
      </c>
      <c r="O79" s="1199">
        <f t="shared" si="12"/>
        <v>90</v>
      </c>
    </row>
    <row r="80" spans="1:15" s="1199" customFormat="1" ht="24" customHeight="1">
      <c r="A80" s="1564"/>
      <c r="B80" s="1597" t="s">
        <v>1719</v>
      </c>
      <c r="C80" s="1533"/>
      <c r="D80" s="1534"/>
      <c r="E80" s="1566">
        <v>1</v>
      </c>
      <c r="F80" s="1567" t="s">
        <v>1104</v>
      </c>
      <c r="G80" s="1516">
        <f>ROUND(SUM(H75:H79)*40%,)</f>
        <v>5713</v>
      </c>
      <c r="H80" s="1264">
        <f t="shared" si="9"/>
        <v>5713</v>
      </c>
      <c r="I80" s="1595">
        <f>ROUND(G80*0.3,)</f>
        <v>1714</v>
      </c>
      <c r="J80" s="1264">
        <f t="shared" si="10"/>
        <v>1714</v>
      </c>
      <c r="K80" s="1273">
        <f t="shared" si="11"/>
        <v>7427</v>
      </c>
      <c r="L80" s="1596"/>
    </row>
    <row r="81" spans="1:12" s="1199" customFormat="1" ht="24" customHeight="1">
      <c r="A81" s="1564"/>
      <c r="B81" s="1597" t="s">
        <v>1720</v>
      </c>
      <c r="C81" s="1533"/>
      <c r="D81" s="1534"/>
      <c r="E81" s="1566">
        <v>1</v>
      </c>
      <c r="F81" s="1567" t="s">
        <v>1104</v>
      </c>
      <c r="G81" s="1516">
        <f>ROUND(SUM(H75:H79)*30%,)</f>
        <v>4285</v>
      </c>
      <c r="H81" s="1264">
        <f t="shared" si="9"/>
        <v>4285</v>
      </c>
      <c r="I81" s="1595">
        <f>ROUND(G81*0.3,)</f>
        <v>1286</v>
      </c>
      <c r="J81" s="1264">
        <f t="shared" si="10"/>
        <v>1286</v>
      </c>
      <c r="K81" s="1273">
        <f t="shared" si="11"/>
        <v>5571</v>
      </c>
      <c r="L81" s="1273"/>
    </row>
    <row r="82" spans="1:12" s="1199" customFormat="1" ht="24" customHeight="1">
      <c r="A82" s="1564"/>
      <c r="B82" s="1597" t="s">
        <v>1756</v>
      </c>
      <c r="C82" s="1533"/>
      <c r="D82" s="1534"/>
      <c r="E82" s="1566">
        <v>1</v>
      </c>
      <c r="F82" s="1567" t="s">
        <v>1104</v>
      </c>
      <c r="G82" s="1516">
        <f>ROUND(SUM(H75:H79)*10%,)</f>
        <v>1428</v>
      </c>
      <c r="H82" s="1264">
        <f t="shared" si="9"/>
        <v>1428</v>
      </c>
      <c r="I82" s="1595">
        <f>ROUND(G82*0.3,)</f>
        <v>428</v>
      </c>
      <c r="J82" s="1264">
        <f t="shared" si="10"/>
        <v>428</v>
      </c>
      <c r="K82" s="1273">
        <f t="shared" si="11"/>
        <v>1856</v>
      </c>
      <c r="L82" s="1273"/>
    </row>
    <row r="83" spans="1:12" s="1199" customFormat="1" ht="24" customHeight="1">
      <c r="A83" s="1564" t="s">
        <v>1757</v>
      </c>
      <c r="B83" s="1597" t="s">
        <v>1832</v>
      </c>
      <c r="C83" s="1533"/>
      <c r="D83" s="1534"/>
      <c r="E83" s="1566"/>
      <c r="F83" s="1567"/>
      <c r="G83" s="1516"/>
      <c r="H83" s="1264"/>
      <c r="I83" s="1265"/>
      <c r="J83" s="1264"/>
      <c r="K83" s="1273"/>
      <c r="L83" s="1273"/>
    </row>
    <row r="84" spans="1:12" s="1199" customFormat="1" ht="24" customHeight="1">
      <c r="A84" s="1564"/>
      <c r="B84" s="1597" t="s">
        <v>1340</v>
      </c>
      <c r="C84" s="1533"/>
      <c r="D84" s="1534"/>
      <c r="E84" s="1566">
        <v>34</v>
      </c>
      <c r="F84" s="1567" t="s">
        <v>363</v>
      </c>
      <c r="G84" s="1516">
        <f>ROUND(665*0.7,)</f>
        <v>466</v>
      </c>
      <c r="H84" s="1264">
        <f>ROUND(E84*G84,)</f>
        <v>15844</v>
      </c>
      <c r="I84" s="1265">
        <v>200</v>
      </c>
      <c r="J84" s="1264">
        <f>ROUND(I84*E84,)</f>
        <v>6800</v>
      </c>
      <c r="K84" s="1273">
        <f>H84+J84</f>
        <v>22644</v>
      </c>
      <c r="L84" s="1273"/>
    </row>
    <row r="85" spans="1:12" s="1199" customFormat="1" ht="24" customHeight="1">
      <c r="A85" s="1564"/>
      <c r="B85" s="1597"/>
      <c r="C85" s="1533"/>
      <c r="D85" s="1534"/>
      <c r="E85" s="1566"/>
      <c r="F85" s="1567"/>
      <c r="G85" s="1516"/>
      <c r="H85" s="1264"/>
      <c r="I85" s="1265"/>
      <c r="J85" s="1264"/>
      <c r="K85" s="1273"/>
      <c r="L85" s="1273"/>
    </row>
    <row r="86" spans="1:12" s="1199" customFormat="1" ht="24" customHeight="1">
      <c r="A86" s="1564"/>
      <c r="B86" s="1597"/>
      <c r="C86" s="1533"/>
      <c r="D86" s="1534"/>
      <c r="E86" s="1566"/>
      <c r="F86" s="1567"/>
      <c r="G86" s="1516"/>
      <c r="H86" s="1264"/>
      <c r="I86" s="1265"/>
      <c r="J86" s="1264"/>
      <c r="K86" s="1273"/>
      <c r="L86" s="1273"/>
    </row>
    <row r="87" spans="1:12" s="1199" customFormat="1" ht="24" customHeight="1">
      <c r="A87" s="1564" t="s">
        <v>1760</v>
      </c>
      <c r="B87" s="1597" t="s">
        <v>1780</v>
      </c>
      <c r="C87" s="1533"/>
      <c r="D87" s="1534"/>
      <c r="E87" s="1566"/>
      <c r="F87" s="1567"/>
      <c r="G87" s="1516"/>
      <c r="H87" s="1264"/>
      <c r="I87" s="1265"/>
      <c r="J87" s="1264"/>
      <c r="K87" s="1273"/>
      <c r="L87" s="1273"/>
    </row>
    <row r="88" spans="1:12" s="1199" customFormat="1" ht="24" customHeight="1">
      <c r="A88" s="1564"/>
      <c r="B88" s="1597" t="s">
        <v>1340</v>
      </c>
      <c r="C88" s="1533"/>
      <c r="D88" s="1534"/>
      <c r="E88" s="1566">
        <v>10</v>
      </c>
      <c r="F88" s="1567" t="s">
        <v>363</v>
      </c>
      <c r="G88" s="1516">
        <f>ROUND(240*0.75,)</f>
        <v>180</v>
      </c>
      <c r="H88" s="1264">
        <f>ROUND(E88*G88,)</f>
        <v>1800</v>
      </c>
      <c r="I88" s="1265">
        <v>100</v>
      </c>
      <c r="J88" s="1264">
        <f>ROUND(I88*E88,)</f>
        <v>1000</v>
      </c>
      <c r="K88" s="1273">
        <f>H88+J88</f>
        <v>2800</v>
      </c>
      <c r="L88" s="1273"/>
    </row>
    <row r="89" spans="1:12" s="1199" customFormat="1" ht="24" customHeight="1">
      <c r="A89" s="1564"/>
      <c r="B89" s="1597" t="s">
        <v>1342</v>
      </c>
      <c r="C89" s="1533"/>
      <c r="D89" s="1534"/>
      <c r="E89" s="1566">
        <v>4</v>
      </c>
      <c r="F89" s="1567" t="s">
        <v>363</v>
      </c>
      <c r="G89" s="1516">
        <f>ROUND(360*0.75,)</f>
        <v>270</v>
      </c>
      <c r="H89" s="1264">
        <f>ROUND(E89*G89,)</f>
        <v>1080</v>
      </c>
      <c r="I89" s="1265">
        <v>150</v>
      </c>
      <c r="J89" s="1264">
        <f>ROUND(I89*E89,)</f>
        <v>600</v>
      </c>
      <c r="K89" s="1273">
        <f>H89+J89</f>
        <v>1680</v>
      </c>
      <c r="L89" s="1273"/>
    </row>
    <row r="90" spans="1:12" s="1199" customFormat="1" ht="24" customHeight="1">
      <c r="A90" s="1637"/>
      <c r="B90" s="1597" t="s">
        <v>1759</v>
      </c>
      <c r="C90" s="1533"/>
      <c r="D90" s="1534"/>
      <c r="E90" s="1566">
        <v>4</v>
      </c>
      <c r="F90" s="1567" t="s">
        <v>363</v>
      </c>
      <c r="G90" s="1516">
        <f>ROUND(500*0.75,)</f>
        <v>375</v>
      </c>
      <c r="H90" s="1264">
        <f>ROUND(E90*G90,)</f>
        <v>1500</v>
      </c>
      <c r="I90" s="1265">
        <v>200</v>
      </c>
      <c r="J90" s="1264">
        <f>ROUND(I90*E90,)</f>
        <v>800</v>
      </c>
      <c r="K90" s="1273">
        <f>H90+J90</f>
        <v>2300</v>
      </c>
      <c r="L90" s="1273"/>
    </row>
    <row r="91" spans="1:12" s="1199" customFormat="1" ht="24" customHeight="1">
      <c r="A91" s="1564"/>
      <c r="B91" s="1597" t="s">
        <v>1754</v>
      </c>
      <c r="C91" s="1533"/>
      <c r="D91" s="1534"/>
      <c r="E91" s="1566">
        <v>2</v>
      </c>
      <c r="F91" s="1567" t="s">
        <v>363</v>
      </c>
      <c r="G91" s="1516">
        <f>ROUND(950*0.75,)</f>
        <v>713</v>
      </c>
      <c r="H91" s="1264">
        <f>ROUND(E91*G91,)</f>
        <v>1426</v>
      </c>
      <c r="I91" s="1265">
        <v>300</v>
      </c>
      <c r="J91" s="1264">
        <f>ROUND(I91*E91,)</f>
        <v>600</v>
      </c>
      <c r="K91" s="1273">
        <f>H91+J91</f>
        <v>2026</v>
      </c>
      <c r="L91" s="1273"/>
    </row>
    <row r="92" spans="1:12" s="1199" customFormat="1" ht="24" customHeight="1">
      <c r="A92" s="1572"/>
      <c r="B92" s="1573"/>
      <c r="C92" s="1574"/>
      <c r="D92" s="1653"/>
      <c r="E92" s="1598"/>
      <c r="F92" s="1575"/>
      <c r="G92" s="1351"/>
      <c r="H92" s="1281"/>
      <c r="I92" s="1282"/>
      <c r="J92" s="1281"/>
      <c r="K92" s="1405"/>
      <c r="L92" s="1405"/>
    </row>
    <row r="93" spans="1:12" s="1199" customFormat="1" ht="24" customHeight="1">
      <c r="A93" s="1572"/>
      <c r="B93" s="1573"/>
      <c r="C93" s="1574"/>
      <c r="D93" s="1653"/>
      <c r="E93" s="1598"/>
      <c r="F93" s="1575"/>
      <c r="G93" s="1351"/>
      <c r="H93" s="1281"/>
      <c r="I93" s="1282"/>
      <c r="J93" s="1281"/>
      <c r="K93" s="1405"/>
      <c r="L93" s="1405"/>
    </row>
    <row r="94" spans="1:12" s="1199" customFormat="1" ht="24" customHeight="1">
      <c r="A94" s="1572"/>
      <c r="B94" s="1573"/>
      <c r="C94" s="1574"/>
      <c r="D94" s="1653"/>
      <c r="E94" s="1598"/>
      <c r="F94" s="1575"/>
      <c r="G94" s="1351"/>
      <c r="H94" s="1281"/>
      <c r="I94" s="1282"/>
      <c r="J94" s="1281"/>
      <c r="K94" s="1405"/>
      <c r="L94" s="1405"/>
    </row>
    <row r="95" spans="1:12" s="1199" customFormat="1" ht="24" customHeight="1">
      <c r="A95" s="1572"/>
      <c r="B95" s="1573"/>
      <c r="C95" s="1574"/>
      <c r="D95" s="1653"/>
      <c r="E95" s="1598"/>
      <c r="F95" s="1575"/>
      <c r="G95" s="1351"/>
      <c r="H95" s="1281"/>
      <c r="I95" s="1282"/>
      <c r="J95" s="1281"/>
      <c r="K95" s="1405"/>
      <c r="L95" s="1405"/>
    </row>
    <row r="96" spans="1:12" s="1199" customFormat="1" ht="24" customHeight="1">
      <c r="A96" s="1349"/>
      <c r="B96" s="1615"/>
      <c r="C96" s="1375"/>
      <c r="D96" s="1375"/>
      <c r="E96" s="1616"/>
      <c r="F96" s="1395"/>
      <c r="G96" s="1617"/>
      <c r="H96" s="1618"/>
      <c r="I96" s="1600"/>
      <c r="J96" s="1618"/>
      <c r="K96" s="1619"/>
      <c r="L96" s="1619"/>
    </row>
    <row r="97" spans="1:12" s="1199" customFormat="1" ht="24" customHeight="1">
      <c r="A97" s="1578"/>
      <c r="B97" s="2257" t="str">
        <f>"รวมราคารายการที่ "&amp;A65</f>
        <v>รวมราคารายการที่ 5.2</v>
      </c>
      <c r="C97" s="2258"/>
      <c r="D97" s="2259"/>
      <c r="E97" s="1579"/>
      <c r="F97" s="1579"/>
      <c r="G97" s="1580"/>
      <c r="H97" s="1581">
        <f>SUM(H66:H96)</f>
        <v>232668</v>
      </c>
      <c r="I97" s="1582"/>
      <c r="J97" s="1581">
        <f>SUM(J66:J96)</f>
        <v>83314</v>
      </c>
      <c r="K97" s="1583">
        <f>SUM(K66:K96)</f>
        <v>315982</v>
      </c>
      <c r="L97" s="1583"/>
    </row>
    <row r="98" spans="1:12" s="1199" customFormat="1" ht="24" customHeight="1">
      <c r="A98" s="1584">
        <v>5.3</v>
      </c>
      <c r="B98" s="1606" t="s">
        <v>1768</v>
      </c>
      <c r="C98" s="1294"/>
      <c r="D98" s="1294"/>
      <c r="E98" s="1586"/>
      <c r="F98" s="1296"/>
      <c r="G98" s="1357"/>
      <c r="H98" s="1298"/>
      <c r="I98" s="1299"/>
      <c r="J98" s="1298"/>
      <c r="K98" s="1382"/>
      <c r="L98" s="1639"/>
    </row>
    <row r="99" spans="1:12" s="1199" customFormat="1" ht="24" customHeight="1">
      <c r="A99" s="1572" t="s">
        <v>1769</v>
      </c>
      <c r="B99" s="1573" t="s">
        <v>1778</v>
      </c>
      <c r="C99" s="1574"/>
      <c r="D99" s="1575"/>
      <c r="E99" s="1598"/>
      <c r="F99" s="1577"/>
      <c r="G99" s="1351"/>
      <c r="H99" s="1281"/>
      <c r="I99" s="1282"/>
      <c r="J99" s="1281"/>
      <c r="K99" s="1405"/>
      <c r="L99" s="1639"/>
    </row>
    <row r="100" spans="1:12" s="1199" customFormat="1" ht="24" customHeight="1">
      <c r="A100" s="1564"/>
      <c r="B100" s="1565" t="s">
        <v>1716</v>
      </c>
      <c r="C100" s="1533"/>
      <c r="D100" s="1534"/>
      <c r="E100" s="1566">
        <v>130</v>
      </c>
      <c r="F100" s="1567" t="s">
        <v>226</v>
      </c>
      <c r="G100" s="1516">
        <v>385</v>
      </c>
      <c r="H100" s="1264">
        <f>ROUND(E100*G100,)</f>
        <v>50050</v>
      </c>
      <c r="I100" s="1265">
        <v>145</v>
      </c>
      <c r="J100" s="1264">
        <f>ROUND(I100*E100,)</f>
        <v>18850</v>
      </c>
      <c r="K100" s="1273">
        <f>H100+J100</f>
        <v>68900</v>
      </c>
      <c r="L100" s="2082" t="s">
        <v>2667</v>
      </c>
    </row>
    <row r="101" spans="1:12" s="1199" customFormat="1" ht="24" customHeight="1">
      <c r="A101" s="1564"/>
      <c r="B101" s="1565" t="s">
        <v>1719</v>
      </c>
      <c r="C101" s="1533"/>
      <c r="D101" s="1534"/>
      <c r="E101" s="1566">
        <v>1</v>
      </c>
      <c r="F101" s="1567" t="s">
        <v>1104</v>
      </c>
      <c r="G101" s="1516">
        <f>SUM(H100:H100)*40%</f>
        <v>20020</v>
      </c>
      <c r="H101" s="1264">
        <f>ROUND(E101*G101,)</f>
        <v>20020</v>
      </c>
      <c r="I101" s="1595">
        <f>ROUND(G101*0.3,)</f>
        <v>6006</v>
      </c>
      <c r="J101" s="1264">
        <f>ROUND(I101*E101,)</f>
        <v>6006</v>
      </c>
      <c r="K101" s="1273">
        <f>H101+J101</f>
        <v>26026</v>
      </c>
      <c r="L101" s="1639"/>
    </row>
    <row r="102" spans="1:12" s="1199" customFormat="1" ht="24" customHeight="1">
      <c r="A102" s="1564"/>
      <c r="B102" s="1565" t="s">
        <v>1720</v>
      </c>
      <c r="C102" s="1533"/>
      <c r="D102" s="1534"/>
      <c r="E102" s="1566">
        <v>1</v>
      </c>
      <c r="F102" s="1567" t="s">
        <v>1104</v>
      </c>
      <c r="G102" s="1516">
        <f>SUM(H100:H100)*20%</f>
        <v>10010</v>
      </c>
      <c r="H102" s="1264">
        <f>ROUND(E102*G102,)</f>
        <v>10010</v>
      </c>
      <c r="I102" s="1595">
        <f>ROUND(G102*0.3,)</f>
        <v>3003</v>
      </c>
      <c r="J102" s="1264">
        <f>ROUND(I102*E102,)</f>
        <v>3003</v>
      </c>
      <c r="K102" s="1273">
        <f>H102+J102</f>
        <v>13013</v>
      </c>
      <c r="L102" s="1639"/>
    </row>
    <row r="103" spans="1:12" s="1199" customFormat="1" ht="24" customHeight="1">
      <c r="A103" s="1564"/>
      <c r="B103" s="1565" t="s">
        <v>1756</v>
      </c>
      <c r="C103" s="1533"/>
      <c r="D103" s="1534"/>
      <c r="E103" s="1566">
        <v>1</v>
      </c>
      <c r="F103" s="1567" t="s">
        <v>1104</v>
      </c>
      <c r="G103" s="1516">
        <f>ROUND(SUM(H100:H100)*10%,)</f>
        <v>5005</v>
      </c>
      <c r="H103" s="1264">
        <f>ROUND(E103*G103,)</f>
        <v>5005</v>
      </c>
      <c r="I103" s="1595">
        <f>ROUND(G103*0.3,)</f>
        <v>1502</v>
      </c>
      <c r="J103" s="1264">
        <f>ROUND(I103*E103,)</f>
        <v>1502</v>
      </c>
      <c r="K103" s="1273">
        <f>H103+J103</f>
        <v>6507</v>
      </c>
      <c r="L103" s="1639"/>
    </row>
    <row r="104" spans="1:12" s="1199" customFormat="1" ht="24" customHeight="1">
      <c r="A104" s="1564" t="s">
        <v>1775</v>
      </c>
      <c r="B104" s="1597" t="s">
        <v>1832</v>
      </c>
      <c r="C104" s="1533"/>
      <c r="E104" s="1566"/>
      <c r="F104" s="1567"/>
      <c r="G104" s="1516"/>
      <c r="H104" s="1264"/>
      <c r="I104" s="1265"/>
      <c r="J104" s="1264"/>
      <c r="K104" s="1273"/>
      <c r="L104" s="1639"/>
    </row>
    <row r="105" spans="1:12" s="1199" customFormat="1" ht="24" customHeight="1">
      <c r="A105" s="1564"/>
      <c r="B105" s="1597" t="s">
        <v>1340</v>
      </c>
      <c r="C105" s="1533"/>
      <c r="D105" s="1534"/>
      <c r="E105" s="1566">
        <v>6</v>
      </c>
      <c r="F105" s="1567" t="s">
        <v>363</v>
      </c>
      <c r="G105" s="1516">
        <f>ROUND(665*0.7,)</f>
        <v>466</v>
      </c>
      <c r="H105" s="1264">
        <f>ROUND(E105*G105,)</f>
        <v>2796</v>
      </c>
      <c r="I105" s="1265">
        <v>200</v>
      </c>
      <c r="J105" s="1264">
        <f>ROUND(I105*E105,)</f>
        <v>1200</v>
      </c>
      <c r="K105" s="1273">
        <f>H105+J105</f>
        <v>3996</v>
      </c>
      <c r="L105" s="1639"/>
    </row>
    <row r="106" spans="1:12" s="1199" customFormat="1" ht="24" customHeight="1">
      <c r="A106" s="1564"/>
      <c r="B106" s="1597"/>
      <c r="C106" s="1533"/>
      <c r="D106" s="1534"/>
      <c r="E106" s="1566"/>
      <c r="F106" s="1567"/>
      <c r="G106" s="1516"/>
      <c r="H106" s="1264"/>
      <c r="I106" s="1265"/>
      <c r="J106" s="1264"/>
      <c r="K106" s="1273"/>
      <c r="L106" s="1639"/>
    </row>
    <row r="107" spans="1:12" s="1199" customFormat="1" ht="24" customHeight="1">
      <c r="A107" s="1564"/>
      <c r="B107" s="1565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9"/>
    </row>
    <row r="108" spans="1:12" s="1199" customFormat="1" ht="24" customHeight="1">
      <c r="A108" s="1564"/>
      <c r="B108" s="1565"/>
      <c r="C108" s="1533"/>
      <c r="D108" s="1534"/>
      <c r="E108" s="1566"/>
      <c r="F108" s="1567"/>
      <c r="G108" s="1516"/>
      <c r="H108" s="1264"/>
      <c r="I108" s="1265"/>
      <c r="J108" s="1264"/>
      <c r="K108" s="1273"/>
      <c r="L108" s="1639"/>
    </row>
    <row r="109" spans="1:12" s="1199" customFormat="1" ht="24" customHeight="1">
      <c r="A109" s="1578"/>
      <c r="B109" s="2257" t="str">
        <f>"รวมราคารายการที่ "&amp;A98</f>
        <v>รวมราคารายการที่ 5.3</v>
      </c>
      <c r="C109" s="2258"/>
      <c r="D109" s="2259"/>
      <c r="E109" s="1579"/>
      <c r="F109" s="1579"/>
      <c r="G109" s="1580"/>
      <c r="H109" s="1581">
        <f>SUM(H99:H108)</f>
        <v>87881</v>
      </c>
      <c r="I109" s="1582"/>
      <c r="J109" s="1581">
        <f>SUM(J99:J108)</f>
        <v>30561</v>
      </c>
      <c r="K109" s="1583">
        <f>SUM(K99:K108)</f>
        <v>118442</v>
      </c>
      <c r="L109" s="1630"/>
    </row>
    <row r="110" spans="1:12" s="1199" customFormat="1" ht="21.3">
      <c r="A110" s="1427"/>
      <c r="E110" s="1570"/>
    </row>
    <row r="111" spans="1:12" s="1199" customFormat="1" ht="21.3">
      <c r="A111" s="1427"/>
      <c r="E111" s="1570"/>
    </row>
    <row r="112" spans="1:12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4:D64"/>
    <mergeCell ref="B97:D97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7-อาคารด้านทิศตะวันตก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6E52F-BB68-458E-8BA4-7A7FFBB09EF2}">
  <sheetPr>
    <tabColor rgb="FF92D050"/>
  </sheetPr>
  <dimension ref="A1:O131"/>
  <sheetViews>
    <sheetView showGridLines="0" view="pageBreakPreview" topLeftCell="A97" zoomScale="85" zoomScaleNormal="60" zoomScaleSheetLayoutView="85" workbookViewId="0">
      <selection activeCell="D106" sqref="D10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703125" style="1" customWidth="1"/>
    <col min="13" max="13" width="10.29296875" style="1" customWidth="1"/>
    <col min="14" max="14" width="12.29296875" style="1" customWidth="1"/>
    <col min="15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1850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531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H66</f>
        <v>170027</v>
      </c>
      <c r="I13" s="1197"/>
      <c r="J13" s="1196">
        <f>J66</f>
        <v>51706</v>
      </c>
      <c r="K13" s="1553">
        <f>SUM(H13:J13)</f>
        <v>221733</v>
      </c>
      <c r="L13" s="1531"/>
    </row>
    <row r="14" spans="1:12" s="1199" customFormat="1" ht="24" customHeight="1">
      <c r="A14" s="1564" t="str">
        <f>A67</f>
        <v>5.2</v>
      </c>
      <c r="B14" s="1565" t="str">
        <f>B67</f>
        <v xml:space="preserve">ระบบระบายน้ำโสโครก น้ำทิ้ง ระบายอากาศ และ ท่อน้ำทิ้งจากห้องครัว </v>
      </c>
      <c r="C14" s="1533"/>
      <c r="D14" s="1534"/>
      <c r="E14" s="1569">
        <v>1</v>
      </c>
      <c r="F14" s="1567" t="s">
        <v>19</v>
      </c>
      <c r="G14" s="1195"/>
      <c r="H14" s="1196">
        <f>H97</f>
        <v>234102</v>
      </c>
      <c r="I14" s="1197"/>
      <c r="J14" s="1196">
        <f>J97</f>
        <v>83841</v>
      </c>
      <c r="K14" s="1553">
        <f>SUM(H14:J14)</f>
        <v>317943</v>
      </c>
      <c r="L14" s="1531"/>
    </row>
    <row r="15" spans="1:12" s="1199" customFormat="1" ht="24" customHeight="1">
      <c r="A15" s="1572">
        <f>A98</f>
        <v>5.3</v>
      </c>
      <c r="B15" s="1573" t="str">
        <f>B98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87881</v>
      </c>
      <c r="I15" s="1230"/>
      <c r="J15" s="1229">
        <f>J109</f>
        <v>30561</v>
      </c>
      <c r="K15" s="1553">
        <f>SUM(H15:J15)</f>
        <v>118442</v>
      </c>
      <c r="L15" s="1628"/>
    </row>
    <row r="16" spans="1:12" s="1199" customFormat="1" ht="24" customHeight="1">
      <c r="A16" s="1564"/>
      <c r="B16" s="1565"/>
      <c r="C16" s="1533"/>
      <c r="D16" s="1534"/>
      <c r="E16" s="1566"/>
      <c r="F16" s="1567"/>
      <c r="G16" s="1195"/>
      <c r="H16" s="1196"/>
      <c r="I16" s="1197"/>
      <c r="J16" s="1196"/>
      <c r="K16" s="1553"/>
      <c r="L16" s="1531"/>
    </row>
    <row r="17" spans="1:12" s="1199" customFormat="1" ht="24" customHeight="1">
      <c r="A17" s="1564"/>
      <c r="B17" s="1565"/>
      <c r="C17" s="1533"/>
      <c r="D17" s="1534"/>
      <c r="E17" s="1566"/>
      <c r="F17" s="1567"/>
      <c r="G17" s="1195"/>
      <c r="H17" s="1196"/>
      <c r="I17" s="1197"/>
      <c r="J17" s="1196"/>
      <c r="K17" s="1553"/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8</v>
      </c>
      <c r="C34" s="2258"/>
      <c r="D34" s="2259"/>
      <c r="E34" s="1579"/>
      <c r="F34" s="1579"/>
      <c r="G34" s="1580"/>
      <c r="H34" s="1581">
        <f>SUM(H12:H33)</f>
        <v>492010</v>
      </c>
      <c r="I34" s="1582"/>
      <c r="J34" s="1581">
        <f>SUM(J12:J33)</f>
        <v>166108</v>
      </c>
      <c r="K34" s="1583">
        <f>SUM(K12:K33)</f>
        <v>658118</v>
      </c>
      <c r="L34" s="1583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330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596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596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269</v>
      </c>
      <c r="F38" s="1567" t="s">
        <v>226</v>
      </c>
      <c r="G38" s="1593">
        <v>35</v>
      </c>
      <c r="H38" s="1264">
        <f t="shared" ref="H38:H46" si="0">ROUND(E38*G38,)</f>
        <v>9415</v>
      </c>
      <c r="I38" s="1595">
        <v>30</v>
      </c>
      <c r="J38" s="1264">
        <f t="shared" ref="J38:J46" si="1">ROUND(E38*I38,)</f>
        <v>8070</v>
      </c>
      <c r="K38" s="1265">
        <f t="shared" ref="K38:K46" si="2">H38+J38</f>
        <v>17485</v>
      </c>
      <c r="L38" s="1596"/>
      <c r="M38" s="1532"/>
      <c r="N38" s="1532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170</v>
      </c>
      <c r="F39" s="1567" t="s">
        <v>226</v>
      </c>
      <c r="G39" s="1593">
        <v>46</v>
      </c>
      <c r="H39" s="1264">
        <f t="shared" si="0"/>
        <v>7820</v>
      </c>
      <c r="I39" s="1595">
        <v>30</v>
      </c>
      <c r="J39" s="1264">
        <f t="shared" si="1"/>
        <v>5100</v>
      </c>
      <c r="K39" s="1265">
        <f t="shared" si="2"/>
        <v>12920</v>
      </c>
      <c r="L39" s="1596"/>
      <c r="M39" s="1532"/>
      <c r="N39" s="1532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13</v>
      </c>
      <c r="F40" s="1567" t="s">
        <v>226</v>
      </c>
      <c r="G40" s="1593">
        <v>113</v>
      </c>
      <c r="H40" s="1264">
        <f t="shared" si="0"/>
        <v>1469</v>
      </c>
      <c r="I40" s="1595">
        <v>50</v>
      </c>
      <c r="J40" s="1264">
        <f t="shared" si="1"/>
        <v>650</v>
      </c>
      <c r="K40" s="1265">
        <f t="shared" si="2"/>
        <v>2119</v>
      </c>
      <c r="L40" s="1596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27</v>
      </c>
      <c r="F41" s="1567" t="s">
        <v>226</v>
      </c>
      <c r="G41" s="1593">
        <v>193</v>
      </c>
      <c r="H41" s="1264">
        <f t="shared" si="0"/>
        <v>5211</v>
      </c>
      <c r="I41" s="1595">
        <v>75</v>
      </c>
      <c r="J41" s="1264">
        <f t="shared" si="1"/>
        <v>2025</v>
      </c>
      <c r="K41" s="1265">
        <f t="shared" si="2"/>
        <v>7236</v>
      </c>
      <c r="L41" s="1596"/>
      <c r="M41" s="1532"/>
      <c r="N41" s="1532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67</v>
      </c>
      <c r="F42" s="1567" t="s">
        <v>226</v>
      </c>
      <c r="G42" s="1593">
        <v>287</v>
      </c>
      <c r="H42" s="1264">
        <f t="shared" si="0"/>
        <v>19229</v>
      </c>
      <c r="I42" s="1595">
        <v>100</v>
      </c>
      <c r="J42" s="1264">
        <f t="shared" si="1"/>
        <v>6700</v>
      </c>
      <c r="K42" s="1265">
        <f t="shared" si="2"/>
        <v>25929</v>
      </c>
      <c r="L42" s="1596"/>
      <c r="M42" s="1532"/>
      <c r="N42" s="1532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32</v>
      </c>
      <c r="F43" s="1567" t="s">
        <v>226</v>
      </c>
      <c r="G43" s="1593">
        <v>562</v>
      </c>
      <c r="H43" s="1264">
        <f>ROUND(E43*G43,)</f>
        <v>17984</v>
      </c>
      <c r="I43" s="1595">
        <v>120</v>
      </c>
      <c r="J43" s="1264">
        <f>ROUND(E43*I43,)</f>
        <v>3840</v>
      </c>
      <c r="K43" s="1273">
        <f>H43+J43</f>
        <v>21824</v>
      </c>
      <c r="L43" s="1596"/>
      <c r="M43" s="1532"/>
      <c r="N43" s="1532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ROUND(SUM(H38:H43)*50%,)</f>
        <v>30564</v>
      </c>
      <c r="H44" s="1264">
        <f t="shared" si="0"/>
        <v>30564</v>
      </c>
      <c r="I44" s="1595">
        <f>ROUND(G44*0.3,)</f>
        <v>9169</v>
      </c>
      <c r="J44" s="1264">
        <f t="shared" si="1"/>
        <v>9169</v>
      </c>
      <c r="K44" s="1265">
        <f t="shared" si="2"/>
        <v>39733</v>
      </c>
      <c r="L44" s="1596"/>
      <c r="M44" s="1532"/>
      <c r="N44" s="1532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ROUND(SUM(H38:H43)*20%,)</f>
        <v>12226</v>
      </c>
      <c r="H45" s="1264">
        <f t="shared" si="0"/>
        <v>12226</v>
      </c>
      <c r="I45" s="1595">
        <f>ROUND(G45*0.3,)</f>
        <v>3668</v>
      </c>
      <c r="J45" s="1264">
        <f t="shared" si="1"/>
        <v>3668</v>
      </c>
      <c r="K45" s="1265">
        <f t="shared" si="2"/>
        <v>15894</v>
      </c>
      <c r="L45" s="1596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ROUND(SUM(H38:H43)*10%,)</f>
        <v>6113</v>
      </c>
      <c r="H46" s="1264">
        <f t="shared" si="0"/>
        <v>6113</v>
      </c>
      <c r="I46" s="1595">
        <f>ROUND(G46*0.3,)</f>
        <v>1834</v>
      </c>
      <c r="J46" s="1264">
        <f t="shared" si="1"/>
        <v>1834</v>
      </c>
      <c r="K46" s="1265">
        <f t="shared" si="2"/>
        <v>7947</v>
      </c>
      <c r="L46" s="1596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596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2</v>
      </c>
      <c r="F48" s="1567" t="s">
        <v>363</v>
      </c>
      <c r="G48" s="1593">
        <v>880</v>
      </c>
      <c r="H48" s="1264">
        <f t="shared" ref="H48:H49" si="3">ROUND(E48*G48,)</f>
        <v>1760</v>
      </c>
      <c r="I48" s="1595">
        <v>150</v>
      </c>
      <c r="J48" s="1264">
        <f t="shared" ref="J48:J49" si="4">ROUND(E48*I48,)</f>
        <v>300</v>
      </c>
      <c r="K48" s="1265">
        <f t="shared" ref="K48:K49" si="5">H48+J48</f>
        <v>2060</v>
      </c>
      <c r="L48" s="2082" t="s">
        <v>2667</v>
      </c>
    </row>
    <row r="49" spans="1:14" s="1199" customFormat="1" ht="24" customHeight="1">
      <c r="A49" s="1564"/>
      <c r="B49" s="1565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</row>
    <row r="50" spans="1:14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273"/>
    </row>
    <row r="51" spans="1:14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65">
        <f>H51+J51</f>
        <v>24460</v>
      </c>
      <c r="L51" s="1596"/>
    </row>
    <row r="52" spans="1:14" s="1199" customFormat="1" ht="24" customHeight="1">
      <c r="A52" s="1564"/>
      <c r="B52" s="1597" t="s">
        <v>1716</v>
      </c>
      <c r="C52" s="1533"/>
      <c r="D52" s="1534"/>
      <c r="E52" s="1566">
        <v>4</v>
      </c>
      <c r="F52" s="1567" t="s">
        <v>363</v>
      </c>
      <c r="G52" s="1593">
        <v>2218</v>
      </c>
      <c r="H52" s="1264">
        <f>ROUND(E52*G52,)</f>
        <v>8872</v>
      </c>
      <c r="I52" s="1595">
        <v>600</v>
      </c>
      <c r="J52" s="1264">
        <f>ROUND(E52*I52,)</f>
        <v>2400</v>
      </c>
      <c r="K52" s="1273">
        <f>H52+J52</f>
        <v>11272</v>
      </c>
      <c r="L52" s="1596"/>
    </row>
    <row r="53" spans="1:14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273"/>
    </row>
    <row r="54" spans="1:14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596"/>
    </row>
    <row r="55" spans="1:14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596"/>
    </row>
    <row r="56" spans="1:14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596"/>
    </row>
    <row r="57" spans="1:14" s="1199" customFormat="1" ht="24" customHeight="1">
      <c r="A57" s="1564"/>
      <c r="B57" s="1565" t="s">
        <v>1823</v>
      </c>
      <c r="C57" s="1533"/>
      <c r="D57" s="1534"/>
      <c r="E57" s="1566">
        <v>6</v>
      </c>
      <c r="F57" s="1567" t="s">
        <v>363</v>
      </c>
      <c r="G57" s="1603">
        <v>210</v>
      </c>
      <c r="H57" s="1264">
        <f>ROUND(E57*G57,)</f>
        <v>1260</v>
      </c>
      <c r="I57" s="1595">
        <v>100</v>
      </c>
      <c r="J57" s="1264">
        <f>ROUND(E57*I57,)</f>
        <v>600</v>
      </c>
      <c r="K57" s="1265">
        <f>H57+J57</f>
        <v>1860</v>
      </c>
      <c r="L57" s="1596"/>
    </row>
    <row r="58" spans="1:14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596"/>
    </row>
    <row r="59" spans="1:14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596"/>
    </row>
    <row r="60" spans="1:14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596"/>
    </row>
    <row r="61" spans="1:14" s="1199" customFormat="1" ht="24" customHeight="1">
      <c r="A61" s="1564"/>
      <c r="B61" s="1597" t="s">
        <v>1823</v>
      </c>
      <c r="C61" s="1533"/>
      <c r="D61" s="1534"/>
      <c r="E61" s="1566">
        <v>6</v>
      </c>
      <c r="F61" s="1567" t="s">
        <v>363</v>
      </c>
      <c r="G61" s="1593">
        <v>120</v>
      </c>
      <c r="H61" s="1264">
        <f>ROUND(E61*G61,)</f>
        <v>720</v>
      </c>
      <c r="I61" s="1595">
        <v>50</v>
      </c>
      <c r="J61" s="1264">
        <f>ROUND(I61*E61,)</f>
        <v>300</v>
      </c>
      <c r="K61" s="1273">
        <f>H61+J61</f>
        <v>1020</v>
      </c>
      <c r="L61" s="1596"/>
    </row>
    <row r="62" spans="1:14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596"/>
    </row>
    <row r="63" spans="1:14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596"/>
    </row>
    <row r="64" spans="1:14" s="1199" customFormat="1" ht="24" customHeight="1">
      <c r="A64" s="1564"/>
      <c r="B64" s="1565"/>
      <c r="C64" s="1533"/>
      <c r="D64" s="1534"/>
      <c r="E64" s="1566"/>
      <c r="F64" s="1567"/>
      <c r="G64" s="1593"/>
      <c r="H64" s="1264"/>
      <c r="I64" s="1595"/>
      <c r="J64" s="1264"/>
      <c r="K64" s="1265"/>
      <c r="L64" s="1596"/>
      <c r="M64" s="1532"/>
      <c r="N64" s="1532"/>
    </row>
    <row r="65" spans="1:15" s="1199" customFormat="1" ht="24" customHeight="1">
      <c r="A65" s="1564"/>
      <c r="B65" s="1597"/>
      <c r="C65" s="1533"/>
      <c r="D65" s="1534"/>
      <c r="E65" s="1566"/>
      <c r="F65" s="1567"/>
      <c r="G65" s="1516"/>
      <c r="H65" s="1264"/>
      <c r="I65" s="1265"/>
      <c r="J65" s="1264"/>
      <c r="K65" s="1273"/>
      <c r="L65" s="1273"/>
      <c r="M65" s="1532"/>
      <c r="N65" s="1532"/>
    </row>
    <row r="66" spans="1:15" s="1199" customFormat="1" ht="24" customHeight="1">
      <c r="A66" s="1578"/>
      <c r="B66" s="2257" t="str">
        <f>"รวมราคารายการที่ "&amp;A36</f>
        <v>รวมราคารายการที่ 5.1</v>
      </c>
      <c r="C66" s="2258"/>
      <c r="D66" s="2259"/>
      <c r="E66" s="1579"/>
      <c r="F66" s="1579"/>
      <c r="G66" s="1580"/>
      <c r="H66" s="1581">
        <f>SUM(H37:H63)</f>
        <v>170027</v>
      </c>
      <c r="I66" s="1582"/>
      <c r="J66" s="1581">
        <f>SUM(J36:J63)</f>
        <v>51706</v>
      </c>
      <c r="K66" s="1583">
        <f>SUM(K36:K63)</f>
        <v>221733</v>
      </c>
      <c r="L66" s="1583"/>
      <c r="M66" s="1532"/>
      <c r="N66" s="1532"/>
    </row>
    <row r="67" spans="1:15" s="1199" customFormat="1" ht="24" customHeight="1">
      <c r="A67" s="1605" t="s">
        <v>1744</v>
      </c>
      <c r="B67" s="1606" t="s">
        <v>1745</v>
      </c>
      <c r="C67" s="1607"/>
      <c r="D67" s="1608"/>
      <c r="E67" s="1609"/>
      <c r="F67" s="1610"/>
      <c r="G67" s="1611"/>
      <c r="H67" s="1612"/>
      <c r="I67" s="1613"/>
      <c r="J67" s="1612"/>
      <c r="K67" s="1614"/>
      <c r="L67" s="1614"/>
    </row>
    <row r="68" spans="1:15" s="1199" customFormat="1" ht="24" customHeight="1">
      <c r="A68" s="1572" t="s">
        <v>1746</v>
      </c>
      <c r="B68" s="1597" t="s">
        <v>1839</v>
      </c>
      <c r="C68" s="1533"/>
      <c r="D68" s="1534"/>
      <c r="E68" s="1566"/>
      <c r="F68" s="1567"/>
      <c r="G68" s="1516"/>
      <c r="H68" s="1264"/>
      <c r="I68" s="1265"/>
      <c r="J68" s="1264"/>
      <c r="K68" s="1273"/>
      <c r="L68" s="1273"/>
    </row>
    <row r="69" spans="1:15" s="1199" customFormat="1" ht="24" customHeight="1">
      <c r="A69" s="1564"/>
      <c r="B69" s="1597" t="s">
        <v>1340</v>
      </c>
      <c r="C69" s="1533"/>
      <c r="D69" s="1534"/>
      <c r="E69" s="1566">
        <v>192</v>
      </c>
      <c r="F69" s="1567" t="s">
        <v>226</v>
      </c>
      <c r="G69" s="1516">
        <v>127</v>
      </c>
      <c r="H69" s="1264">
        <f t="shared" ref="H69:H75" si="6">ROUND(E69*G69,)</f>
        <v>24384</v>
      </c>
      <c r="I69" s="1265">
        <v>40</v>
      </c>
      <c r="J69" s="1264">
        <f t="shared" ref="J69:J75" si="7">ROUND(I69*E69,)</f>
        <v>7680</v>
      </c>
      <c r="K69" s="1273">
        <f t="shared" ref="K69:K75" si="8">H69+J69</f>
        <v>32064</v>
      </c>
      <c r="L69" s="1596"/>
    </row>
    <row r="70" spans="1:15" s="1199" customFormat="1" ht="24" customHeight="1">
      <c r="A70" s="1564"/>
      <c r="B70" s="1597" t="s">
        <v>1342</v>
      </c>
      <c r="C70" s="1533"/>
      <c r="D70" s="1534"/>
      <c r="E70" s="1566">
        <v>52</v>
      </c>
      <c r="F70" s="1567" t="s">
        <v>226</v>
      </c>
      <c r="G70" s="1516">
        <v>258</v>
      </c>
      <c r="H70" s="1264">
        <f t="shared" si="6"/>
        <v>13416</v>
      </c>
      <c r="I70" s="1265">
        <v>75</v>
      </c>
      <c r="J70" s="1264">
        <f t="shared" si="7"/>
        <v>3900</v>
      </c>
      <c r="K70" s="1273">
        <f t="shared" si="8"/>
        <v>17316</v>
      </c>
      <c r="L70" s="1596"/>
    </row>
    <row r="71" spans="1:15" s="1199" customFormat="1" ht="24" customHeight="1">
      <c r="A71" s="1564"/>
      <c r="B71" s="1597" t="s">
        <v>1759</v>
      </c>
      <c r="C71" s="1533"/>
      <c r="D71" s="1534"/>
      <c r="E71" s="1566">
        <v>118</v>
      </c>
      <c r="F71" s="1567" t="s">
        <v>226</v>
      </c>
      <c r="G71" s="1516">
        <v>395</v>
      </c>
      <c r="H71" s="1264">
        <f t="shared" si="6"/>
        <v>46610</v>
      </c>
      <c r="I71" s="1265">
        <v>120</v>
      </c>
      <c r="J71" s="1264">
        <f t="shared" si="7"/>
        <v>14160</v>
      </c>
      <c r="K71" s="1273">
        <f t="shared" si="8"/>
        <v>60770</v>
      </c>
      <c r="L71" s="1596"/>
    </row>
    <row r="72" spans="1:15" s="1199" customFormat="1" ht="24" customHeight="1">
      <c r="A72" s="1564"/>
      <c r="B72" s="1597" t="s">
        <v>1754</v>
      </c>
      <c r="C72" s="1533"/>
      <c r="D72" s="1534"/>
      <c r="E72" s="1566">
        <v>32</v>
      </c>
      <c r="F72" s="1567" t="s">
        <v>226</v>
      </c>
      <c r="G72" s="1516">
        <v>789</v>
      </c>
      <c r="H72" s="1264">
        <f t="shared" si="6"/>
        <v>25248</v>
      </c>
      <c r="I72" s="1265">
        <v>250</v>
      </c>
      <c r="J72" s="1264">
        <f t="shared" si="7"/>
        <v>8000</v>
      </c>
      <c r="K72" s="1273">
        <f t="shared" si="8"/>
        <v>33248</v>
      </c>
      <c r="L72" s="1596"/>
    </row>
    <row r="73" spans="1:15" s="1199" customFormat="1" ht="24" customHeight="1">
      <c r="A73" s="1564"/>
      <c r="B73" s="1597" t="s">
        <v>1719</v>
      </c>
      <c r="C73" s="1533"/>
      <c r="D73" s="1534"/>
      <c r="E73" s="1566">
        <v>1</v>
      </c>
      <c r="F73" s="1567" t="s">
        <v>1104</v>
      </c>
      <c r="G73" s="1516">
        <f>ROUND(SUM(H69:H72)*40%,)</f>
        <v>43863</v>
      </c>
      <c r="H73" s="1264">
        <f t="shared" si="6"/>
        <v>43863</v>
      </c>
      <c r="I73" s="1595">
        <f>ROUND(G73*0.3,)</f>
        <v>13159</v>
      </c>
      <c r="J73" s="1264">
        <f t="shared" si="7"/>
        <v>13159</v>
      </c>
      <c r="K73" s="1273">
        <f t="shared" si="8"/>
        <v>57022</v>
      </c>
      <c r="L73" s="1273"/>
      <c r="M73" s="1532"/>
      <c r="N73" s="1532"/>
    </row>
    <row r="74" spans="1:15" s="1199" customFormat="1" ht="24" customHeight="1">
      <c r="A74" s="1564"/>
      <c r="B74" s="1597" t="s">
        <v>1720</v>
      </c>
      <c r="C74" s="1533"/>
      <c r="D74" s="1534"/>
      <c r="E74" s="1566">
        <v>1</v>
      </c>
      <c r="F74" s="1567" t="s">
        <v>1104</v>
      </c>
      <c r="G74" s="1516">
        <f>ROUND(SUM(H69:H72)*20%,)</f>
        <v>21932</v>
      </c>
      <c r="H74" s="1264">
        <f t="shared" si="6"/>
        <v>21932</v>
      </c>
      <c r="I74" s="1595">
        <f>ROUND(G74*0.3,)</f>
        <v>6580</v>
      </c>
      <c r="J74" s="1264">
        <f t="shared" si="7"/>
        <v>6580</v>
      </c>
      <c r="K74" s="1273">
        <f t="shared" si="8"/>
        <v>28512</v>
      </c>
      <c r="L74" s="1273"/>
      <c r="M74" s="1532"/>
      <c r="N74" s="1532"/>
    </row>
    <row r="75" spans="1:15" s="1199" customFormat="1" ht="24" customHeight="1">
      <c r="A75" s="1564"/>
      <c r="B75" s="1597" t="s">
        <v>1756</v>
      </c>
      <c r="C75" s="1533"/>
      <c r="D75" s="1534"/>
      <c r="E75" s="1566">
        <v>1</v>
      </c>
      <c r="F75" s="1567" t="s">
        <v>1104</v>
      </c>
      <c r="G75" s="1516">
        <f>ROUND(SUM(H69:H72)*10%,)</f>
        <v>10966</v>
      </c>
      <c r="H75" s="1264">
        <f t="shared" si="6"/>
        <v>10966</v>
      </c>
      <c r="I75" s="1595">
        <f>ROUND(G75*0.3,)</f>
        <v>3290</v>
      </c>
      <c r="J75" s="1264">
        <f t="shared" si="7"/>
        <v>3290</v>
      </c>
      <c r="K75" s="1273">
        <f t="shared" si="8"/>
        <v>14256</v>
      </c>
      <c r="L75" s="1273"/>
      <c r="M75" s="1532"/>
      <c r="N75" s="1532"/>
    </row>
    <row r="76" spans="1:15" s="1199" customFormat="1" ht="24" customHeight="1">
      <c r="A76" s="1572" t="s">
        <v>1752</v>
      </c>
      <c r="B76" s="1597" t="s">
        <v>1831</v>
      </c>
      <c r="C76" s="1533"/>
      <c r="D76" s="1534"/>
      <c r="E76" s="1566"/>
      <c r="F76" s="1567"/>
      <c r="G76" s="1516"/>
      <c r="H76" s="1264"/>
      <c r="I76" s="1265"/>
      <c r="J76" s="1264"/>
      <c r="K76" s="1273"/>
      <c r="L76" s="1273"/>
      <c r="M76" s="1532"/>
      <c r="N76" s="1532"/>
    </row>
    <row r="77" spans="1:15" s="1199" customFormat="1" ht="24" customHeight="1">
      <c r="A77" s="1564"/>
      <c r="B77" s="1597" t="s">
        <v>1338</v>
      </c>
      <c r="C77" s="1533"/>
      <c r="D77" s="1534"/>
      <c r="E77" s="1566">
        <v>110</v>
      </c>
      <c r="F77" s="1567" t="s">
        <v>226</v>
      </c>
      <c r="G77" s="1516">
        <v>20</v>
      </c>
      <c r="H77" s="1264">
        <f t="shared" ref="H77:H84" si="9">ROUND(E77*G77,)</f>
        <v>2200</v>
      </c>
      <c r="I77" s="1265">
        <v>30</v>
      </c>
      <c r="J77" s="1264">
        <f t="shared" ref="J77:J84" si="10">ROUND(I77*E77,)</f>
        <v>3300</v>
      </c>
      <c r="K77" s="1273">
        <f t="shared" ref="K77:K84" si="11">H77+J77</f>
        <v>5500</v>
      </c>
      <c r="L77" s="2082" t="s">
        <v>2667</v>
      </c>
      <c r="N77" s="1199">
        <v>79.17</v>
      </c>
      <c r="O77" s="1199">
        <f>ROUND(N77/4,)</f>
        <v>20</v>
      </c>
    </row>
    <row r="78" spans="1:15" s="1199" customFormat="1" ht="24" customHeight="1">
      <c r="A78" s="1564"/>
      <c r="B78" s="1597" t="s">
        <v>1339</v>
      </c>
      <c r="C78" s="1533"/>
      <c r="D78" s="1534"/>
      <c r="E78" s="1566">
        <v>22</v>
      </c>
      <c r="F78" s="1567" t="s">
        <v>226</v>
      </c>
      <c r="G78" s="1516">
        <v>26</v>
      </c>
      <c r="H78" s="1264">
        <f t="shared" si="9"/>
        <v>572</v>
      </c>
      <c r="I78" s="1265">
        <v>30</v>
      </c>
      <c r="J78" s="1264">
        <f t="shared" si="10"/>
        <v>660</v>
      </c>
      <c r="K78" s="1273">
        <f t="shared" si="11"/>
        <v>1232</v>
      </c>
      <c r="L78" s="2082" t="s">
        <v>2667</v>
      </c>
      <c r="N78" s="1199">
        <v>103.74</v>
      </c>
      <c r="O78" s="1199">
        <f t="shared" ref="O78:O81" si="12">ROUND(N78/4,)</f>
        <v>26</v>
      </c>
    </row>
    <row r="79" spans="1:15" s="1199" customFormat="1" ht="24" customHeight="1">
      <c r="A79" s="1564"/>
      <c r="B79" s="1597" t="s">
        <v>1340</v>
      </c>
      <c r="C79" s="1533"/>
      <c r="D79" s="1534"/>
      <c r="E79" s="1566">
        <v>36</v>
      </c>
      <c r="F79" s="1567" t="s">
        <v>226</v>
      </c>
      <c r="G79" s="1516">
        <v>41</v>
      </c>
      <c r="H79" s="1264">
        <f t="shared" si="9"/>
        <v>1476</v>
      </c>
      <c r="I79" s="1265">
        <v>40</v>
      </c>
      <c r="J79" s="1264">
        <f t="shared" si="10"/>
        <v>1440</v>
      </c>
      <c r="K79" s="1273">
        <f t="shared" si="11"/>
        <v>2916</v>
      </c>
      <c r="L79" s="2082" t="s">
        <v>2667</v>
      </c>
      <c r="N79" s="1199">
        <v>163.80000000000001</v>
      </c>
      <c r="O79" s="1199">
        <f t="shared" si="12"/>
        <v>41</v>
      </c>
    </row>
    <row r="80" spans="1:15" s="1199" customFormat="1" ht="24" customHeight="1">
      <c r="A80" s="1564"/>
      <c r="B80" s="1597" t="s">
        <v>1341</v>
      </c>
      <c r="C80" s="1533"/>
      <c r="D80" s="1534"/>
      <c r="E80" s="1566">
        <v>27</v>
      </c>
      <c r="F80" s="1567" t="s">
        <v>226</v>
      </c>
      <c r="G80" s="1516">
        <v>65</v>
      </c>
      <c r="H80" s="1264">
        <f t="shared" si="9"/>
        <v>1755</v>
      </c>
      <c r="I80" s="1265">
        <v>50</v>
      </c>
      <c r="J80" s="1264">
        <f t="shared" si="10"/>
        <v>1350</v>
      </c>
      <c r="K80" s="1273">
        <f t="shared" si="11"/>
        <v>3105</v>
      </c>
      <c r="L80" s="2082" t="s">
        <v>2667</v>
      </c>
      <c r="N80" s="1199">
        <v>259.35000000000002</v>
      </c>
      <c r="O80" s="1199">
        <f t="shared" si="12"/>
        <v>65</v>
      </c>
    </row>
    <row r="81" spans="1:15" s="1199" customFormat="1" ht="24" customHeight="1">
      <c r="A81" s="1564"/>
      <c r="B81" s="1597" t="s">
        <v>1342</v>
      </c>
      <c r="C81" s="1533"/>
      <c r="D81" s="1534"/>
      <c r="E81" s="1566">
        <v>94</v>
      </c>
      <c r="F81" s="1567" t="s">
        <v>226</v>
      </c>
      <c r="G81" s="1516">
        <v>90</v>
      </c>
      <c r="H81" s="1264">
        <f t="shared" si="9"/>
        <v>8460</v>
      </c>
      <c r="I81" s="1265">
        <v>75</v>
      </c>
      <c r="J81" s="1264">
        <f t="shared" si="10"/>
        <v>7050</v>
      </c>
      <c r="K81" s="1273">
        <f t="shared" si="11"/>
        <v>15510</v>
      </c>
      <c r="L81" s="2082" t="s">
        <v>2667</v>
      </c>
      <c r="N81" s="1199">
        <v>359.45</v>
      </c>
      <c r="O81" s="1199">
        <f t="shared" si="12"/>
        <v>90</v>
      </c>
    </row>
    <row r="82" spans="1:15" s="1199" customFormat="1" ht="24" customHeight="1">
      <c r="A82" s="1564"/>
      <c r="B82" s="1597" t="s">
        <v>1719</v>
      </c>
      <c r="C82" s="1533"/>
      <c r="D82" s="1534"/>
      <c r="E82" s="1566">
        <v>1</v>
      </c>
      <c r="F82" s="1567" t="s">
        <v>1104</v>
      </c>
      <c r="G82" s="1516">
        <f>ROUND(SUM(H77:H81)*40%,)</f>
        <v>5785</v>
      </c>
      <c r="H82" s="1264">
        <f t="shared" si="9"/>
        <v>5785</v>
      </c>
      <c r="I82" s="1595">
        <f>ROUND(G82*0.3,)</f>
        <v>1736</v>
      </c>
      <c r="J82" s="1264">
        <f t="shared" si="10"/>
        <v>1736</v>
      </c>
      <c r="K82" s="1273">
        <f t="shared" si="11"/>
        <v>7521</v>
      </c>
      <c r="L82" s="1596"/>
    </row>
    <row r="83" spans="1:15" s="1199" customFormat="1" ht="24" customHeight="1">
      <c r="A83" s="1564"/>
      <c r="B83" s="1597" t="s">
        <v>1720</v>
      </c>
      <c r="C83" s="1533"/>
      <c r="D83" s="1534"/>
      <c r="E83" s="1566">
        <v>1</v>
      </c>
      <c r="F83" s="1567" t="s">
        <v>1104</v>
      </c>
      <c r="G83" s="1516">
        <f>ROUND(SUM(H77:H81)*30%,)</f>
        <v>4339</v>
      </c>
      <c r="H83" s="1264">
        <f t="shared" si="9"/>
        <v>4339</v>
      </c>
      <c r="I83" s="1595">
        <f>ROUND(G83*0.3,)</f>
        <v>1302</v>
      </c>
      <c r="J83" s="1264">
        <f t="shared" si="10"/>
        <v>1302</v>
      </c>
      <c r="K83" s="1273">
        <f t="shared" si="11"/>
        <v>5641</v>
      </c>
      <c r="L83" s="1273"/>
    </row>
    <row r="84" spans="1:15" s="1199" customFormat="1" ht="24" customHeight="1">
      <c r="A84" s="1564"/>
      <c r="B84" s="1597" t="s">
        <v>1756</v>
      </c>
      <c r="C84" s="1533"/>
      <c r="D84" s="1534"/>
      <c r="E84" s="1566">
        <v>1</v>
      </c>
      <c r="F84" s="1567" t="s">
        <v>1104</v>
      </c>
      <c r="G84" s="1516">
        <f>ROUND(SUM(H77:H81)*10%,)</f>
        <v>1446</v>
      </c>
      <c r="H84" s="1264">
        <f t="shared" si="9"/>
        <v>1446</v>
      </c>
      <c r="I84" s="1595">
        <f>ROUND(G84*0.3,)</f>
        <v>434</v>
      </c>
      <c r="J84" s="1264">
        <f t="shared" si="10"/>
        <v>434</v>
      </c>
      <c r="K84" s="1273">
        <f t="shared" si="11"/>
        <v>1880</v>
      </c>
      <c r="L84" s="1273"/>
    </row>
    <row r="85" spans="1:15" s="1199" customFormat="1" ht="24" customHeight="1">
      <c r="A85" s="1564" t="s">
        <v>1757</v>
      </c>
      <c r="B85" s="1597" t="s">
        <v>1832</v>
      </c>
      <c r="C85" s="1533"/>
      <c r="D85" s="1534"/>
      <c r="E85" s="1566"/>
      <c r="F85" s="1567"/>
      <c r="G85" s="1516"/>
      <c r="H85" s="1264"/>
      <c r="I85" s="1265"/>
      <c r="J85" s="1264"/>
      <c r="K85" s="1273"/>
      <c r="L85" s="1273"/>
    </row>
    <row r="86" spans="1:15" s="1199" customFormat="1" ht="24" customHeight="1">
      <c r="A86" s="1564"/>
      <c r="B86" s="1597" t="s">
        <v>1340</v>
      </c>
      <c r="C86" s="1533"/>
      <c r="D86" s="1534"/>
      <c r="E86" s="1566">
        <v>34</v>
      </c>
      <c r="F86" s="1567" t="s">
        <v>363</v>
      </c>
      <c r="G86" s="1516">
        <f>ROUND(665*0.7,)</f>
        <v>466</v>
      </c>
      <c r="H86" s="1264">
        <f>ROUND(E86*G86,)</f>
        <v>15844</v>
      </c>
      <c r="I86" s="1265">
        <v>200</v>
      </c>
      <c r="J86" s="1264">
        <f>ROUND(I86*E86,)</f>
        <v>6800</v>
      </c>
      <c r="K86" s="1273">
        <f>H86+J86</f>
        <v>22644</v>
      </c>
      <c r="L86" s="1273"/>
    </row>
    <row r="87" spans="1:15" s="1199" customFormat="1" ht="24" customHeight="1">
      <c r="A87" s="1564" t="s">
        <v>1760</v>
      </c>
      <c r="B87" s="1597" t="s">
        <v>1780</v>
      </c>
      <c r="C87" s="1533"/>
      <c r="D87" s="1534"/>
      <c r="E87" s="1566"/>
      <c r="F87" s="1567"/>
      <c r="G87" s="1516"/>
      <c r="H87" s="1264"/>
      <c r="I87" s="1265"/>
      <c r="J87" s="1264"/>
      <c r="K87" s="1273"/>
      <c r="L87" s="1273"/>
    </row>
    <row r="88" spans="1:15" s="1199" customFormat="1" ht="24" customHeight="1">
      <c r="A88" s="1564"/>
      <c r="B88" s="1597" t="s">
        <v>1340</v>
      </c>
      <c r="C88" s="1533"/>
      <c r="D88" s="1534"/>
      <c r="E88" s="1566">
        <v>10</v>
      </c>
      <c r="F88" s="1567" t="s">
        <v>363</v>
      </c>
      <c r="G88" s="1516">
        <f>ROUND(240*0.75,)</f>
        <v>180</v>
      </c>
      <c r="H88" s="1264">
        <f>ROUND(E88*G88,)</f>
        <v>1800</v>
      </c>
      <c r="I88" s="1265">
        <v>100</v>
      </c>
      <c r="J88" s="1264">
        <f>ROUND(I88*E88,)</f>
        <v>1000</v>
      </c>
      <c r="K88" s="1273">
        <f>H88+J88</f>
        <v>2800</v>
      </c>
      <c r="L88" s="1273"/>
    </row>
    <row r="89" spans="1:15" s="1199" customFormat="1" ht="24" customHeight="1">
      <c r="A89" s="1564"/>
      <c r="B89" s="1597" t="s">
        <v>1342</v>
      </c>
      <c r="C89" s="1533"/>
      <c r="D89" s="1534"/>
      <c r="E89" s="1566">
        <v>4</v>
      </c>
      <c r="F89" s="1567" t="s">
        <v>363</v>
      </c>
      <c r="G89" s="1516">
        <f>ROUND(360*0.75,)</f>
        <v>270</v>
      </c>
      <c r="H89" s="1264">
        <f>ROUND(E89*G89,)</f>
        <v>1080</v>
      </c>
      <c r="I89" s="1265">
        <v>150</v>
      </c>
      <c r="J89" s="1264">
        <f>ROUND(I89*E89,)</f>
        <v>600</v>
      </c>
      <c r="K89" s="1273">
        <f>H89+J89</f>
        <v>1680</v>
      </c>
      <c r="L89" s="1273"/>
    </row>
    <row r="90" spans="1:15" s="1199" customFormat="1" ht="24" customHeight="1">
      <c r="A90" s="1637"/>
      <c r="B90" s="1597" t="s">
        <v>1759</v>
      </c>
      <c r="C90" s="1533"/>
      <c r="D90" s="1534"/>
      <c r="E90" s="1566">
        <v>4</v>
      </c>
      <c r="F90" s="1567" t="s">
        <v>363</v>
      </c>
      <c r="G90" s="1516">
        <f>ROUND(500*0.75,)</f>
        <v>375</v>
      </c>
      <c r="H90" s="1264">
        <f>ROUND(E90*G90,)</f>
        <v>1500</v>
      </c>
      <c r="I90" s="1265">
        <v>200</v>
      </c>
      <c r="J90" s="1264">
        <f>ROUND(I90*E90,)</f>
        <v>800</v>
      </c>
      <c r="K90" s="1273">
        <f>H90+J90</f>
        <v>2300</v>
      </c>
      <c r="L90" s="1273"/>
    </row>
    <row r="91" spans="1:15" s="1199" customFormat="1" ht="24" customHeight="1">
      <c r="A91" s="1564"/>
      <c r="B91" s="1597" t="s">
        <v>1754</v>
      </c>
      <c r="C91" s="1533"/>
      <c r="D91" s="1534"/>
      <c r="E91" s="1566">
        <v>2</v>
      </c>
      <c r="F91" s="1567" t="s">
        <v>363</v>
      </c>
      <c r="G91" s="1516">
        <f>ROUND(950*0.75,)</f>
        <v>713</v>
      </c>
      <c r="H91" s="1264">
        <f>ROUND(E91*G91,)</f>
        <v>1426</v>
      </c>
      <c r="I91" s="1265">
        <v>300</v>
      </c>
      <c r="J91" s="1264">
        <f>ROUND(I91*E91,)</f>
        <v>600</v>
      </c>
      <c r="K91" s="1273">
        <f>H91+J91</f>
        <v>2026</v>
      </c>
      <c r="L91" s="1273"/>
    </row>
    <row r="92" spans="1:15" s="1199" customFormat="1" ht="24" customHeight="1">
      <c r="A92" s="1564"/>
      <c r="B92" s="1565"/>
      <c r="C92" s="1533"/>
      <c r="D92" s="1604"/>
      <c r="E92" s="1566"/>
      <c r="F92" s="1534"/>
      <c r="G92" s="1516"/>
      <c r="H92" s="1264"/>
      <c r="I92" s="1265"/>
      <c r="J92" s="1264"/>
      <c r="K92" s="1273"/>
      <c r="L92" s="1273"/>
    </row>
    <row r="93" spans="1:15" s="1199" customFormat="1" ht="24" customHeight="1">
      <c r="A93" s="1564"/>
      <c r="B93" s="1565"/>
      <c r="C93" s="1533"/>
      <c r="D93" s="1604"/>
      <c r="E93" s="1566"/>
      <c r="F93" s="1534"/>
      <c r="G93" s="1516"/>
      <c r="H93" s="1264"/>
      <c r="I93" s="1265"/>
      <c r="J93" s="1264"/>
      <c r="K93" s="1273"/>
      <c r="L93" s="1273"/>
    </row>
    <row r="94" spans="1:15" s="1199" customFormat="1" ht="24" customHeight="1">
      <c r="A94" s="1564"/>
      <c r="B94" s="1565"/>
      <c r="C94" s="1533"/>
      <c r="D94" s="1604"/>
      <c r="E94" s="1566"/>
      <c r="F94" s="1534"/>
      <c r="G94" s="1516"/>
      <c r="H94" s="1264"/>
      <c r="I94" s="1265"/>
      <c r="J94" s="1264"/>
      <c r="K94" s="1273"/>
      <c r="L94" s="1273"/>
    </row>
    <row r="95" spans="1:15" s="1199" customFormat="1" ht="24" customHeight="1">
      <c r="A95" s="1564"/>
      <c r="B95" s="1565"/>
      <c r="C95" s="1533"/>
      <c r="D95" s="1604"/>
      <c r="E95" s="1566"/>
      <c r="F95" s="1534"/>
      <c r="G95" s="1516"/>
      <c r="H95" s="1264"/>
      <c r="I95" s="1265"/>
      <c r="J95" s="1264"/>
      <c r="K95" s="1273"/>
      <c r="L95" s="1273"/>
    </row>
    <row r="96" spans="1:15" s="1199" customFormat="1" ht="24" customHeight="1">
      <c r="A96" s="1349"/>
      <c r="B96" s="1615"/>
      <c r="C96" s="1375"/>
      <c r="D96" s="1375"/>
      <c r="E96" s="1616"/>
      <c r="F96" s="1395"/>
      <c r="G96" s="1617"/>
      <c r="H96" s="1618"/>
      <c r="I96" s="1600"/>
      <c r="J96" s="1618"/>
      <c r="K96" s="1619"/>
      <c r="L96" s="1619"/>
    </row>
    <row r="97" spans="1:12" s="1199" customFormat="1" ht="24" customHeight="1">
      <c r="A97" s="1578"/>
      <c r="B97" s="2257" t="str">
        <f>"รวมราคารายการที่ "&amp;A67</f>
        <v>รวมราคารายการที่ 5.2</v>
      </c>
      <c r="C97" s="2258"/>
      <c r="D97" s="2259"/>
      <c r="E97" s="1579"/>
      <c r="F97" s="1579"/>
      <c r="G97" s="1580"/>
      <c r="H97" s="1581">
        <f>SUM(H68:H96)</f>
        <v>234102</v>
      </c>
      <c r="I97" s="1582"/>
      <c r="J97" s="1581">
        <f>SUM(J68:J96)</f>
        <v>83841</v>
      </c>
      <c r="K97" s="1583">
        <f>SUM(K68:K96)</f>
        <v>317943</v>
      </c>
      <c r="L97" s="1583"/>
    </row>
    <row r="98" spans="1:12" s="1199" customFormat="1" ht="24" customHeight="1">
      <c r="A98" s="1584">
        <v>5.3</v>
      </c>
      <c r="B98" s="1606" t="s">
        <v>1768</v>
      </c>
      <c r="C98" s="1294"/>
      <c r="D98" s="1294"/>
      <c r="E98" s="1586"/>
      <c r="F98" s="1296"/>
      <c r="G98" s="1357"/>
      <c r="H98" s="1298"/>
      <c r="I98" s="1299"/>
      <c r="J98" s="1298"/>
      <c r="K98" s="1382"/>
      <c r="L98" s="1639"/>
    </row>
    <row r="99" spans="1:12" s="1199" customFormat="1" ht="24" customHeight="1">
      <c r="A99" s="1572" t="s">
        <v>1769</v>
      </c>
      <c r="B99" s="1573" t="s">
        <v>1778</v>
      </c>
      <c r="C99" s="1574"/>
      <c r="D99" s="1575"/>
      <c r="E99" s="1598"/>
      <c r="F99" s="1577"/>
      <c r="G99" s="1351"/>
      <c r="H99" s="1281"/>
      <c r="I99" s="1282"/>
      <c r="J99" s="1281"/>
      <c r="K99" s="1405"/>
      <c r="L99" s="1639"/>
    </row>
    <row r="100" spans="1:12" s="1199" customFormat="1" ht="24" customHeight="1">
      <c r="A100" s="1564"/>
      <c r="B100" s="1565" t="s">
        <v>1716</v>
      </c>
      <c r="C100" s="1533"/>
      <c r="D100" s="1534"/>
      <c r="E100" s="1566">
        <v>130</v>
      </c>
      <c r="F100" s="1567" t="s">
        <v>226</v>
      </c>
      <c r="G100" s="1516">
        <v>385</v>
      </c>
      <c r="H100" s="1264">
        <f>ROUND(E100*G100,)</f>
        <v>50050</v>
      </c>
      <c r="I100" s="1265">
        <v>145</v>
      </c>
      <c r="J100" s="1264">
        <f>ROUND(I100*E100,)</f>
        <v>18850</v>
      </c>
      <c r="K100" s="1273">
        <f>H100+J100</f>
        <v>68900</v>
      </c>
      <c r="L100" s="2082" t="s">
        <v>2667</v>
      </c>
    </row>
    <row r="101" spans="1:12" s="1199" customFormat="1" ht="24" customHeight="1">
      <c r="A101" s="1564"/>
      <c r="B101" s="1565" t="s">
        <v>1719</v>
      </c>
      <c r="C101" s="1533"/>
      <c r="D101" s="1534"/>
      <c r="E101" s="1566">
        <v>1</v>
      </c>
      <c r="F101" s="1567" t="s">
        <v>1104</v>
      </c>
      <c r="G101" s="1516">
        <f>SUM(H100:H100)*40%</f>
        <v>20020</v>
      </c>
      <c r="H101" s="1264">
        <f>ROUND(E101*G101,)</f>
        <v>20020</v>
      </c>
      <c r="I101" s="1595">
        <f>ROUND(G101*0.3,)</f>
        <v>6006</v>
      </c>
      <c r="J101" s="1264">
        <f>ROUND(I101*E101,)</f>
        <v>6006</v>
      </c>
      <c r="K101" s="1273">
        <f>H101+J101</f>
        <v>26026</v>
      </c>
      <c r="L101" s="1639"/>
    </row>
    <row r="102" spans="1:12" s="1199" customFormat="1" ht="24" customHeight="1">
      <c r="A102" s="1564"/>
      <c r="B102" s="1565" t="s">
        <v>1720</v>
      </c>
      <c r="C102" s="1533"/>
      <c r="D102" s="1534"/>
      <c r="E102" s="1566">
        <v>1</v>
      </c>
      <c r="F102" s="1567" t="s">
        <v>1104</v>
      </c>
      <c r="G102" s="1516">
        <f>SUM(H100:H100)*20%</f>
        <v>10010</v>
      </c>
      <c r="H102" s="1264">
        <f>ROUND(E102*G102,)</f>
        <v>10010</v>
      </c>
      <c r="I102" s="1595">
        <f>ROUND(G102*0.3,)</f>
        <v>3003</v>
      </c>
      <c r="J102" s="1264">
        <f>ROUND(I102*E102,)</f>
        <v>3003</v>
      </c>
      <c r="K102" s="1273">
        <f>H102+J102</f>
        <v>13013</v>
      </c>
      <c r="L102" s="1639"/>
    </row>
    <row r="103" spans="1:12" s="1199" customFormat="1" ht="24" customHeight="1">
      <c r="A103" s="1564"/>
      <c r="B103" s="1565" t="s">
        <v>1756</v>
      </c>
      <c r="C103" s="1533"/>
      <c r="D103" s="1534"/>
      <c r="E103" s="1566">
        <v>1</v>
      </c>
      <c r="F103" s="1567" t="s">
        <v>1104</v>
      </c>
      <c r="G103" s="1516">
        <f>ROUND(SUM(H100:H100)*10%,)</f>
        <v>5005</v>
      </c>
      <c r="H103" s="1264">
        <f>ROUND(E103*G103,)</f>
        <v>5005</v>
      </c>
      <c r="I103" s="1595">
        <f>ROUND(G103*0.3,)</f>
        <v>1502</v>
      </c>
      <c r="J103" s="1264">
        <f>ROUND(I103*E103,)</f>
        <v>1502</v>
      </c>
      <c r="K103" s="1273">
        <f>H103+J103</f>
        <v>6507</v>
      </c>
      <c r="L103" s="1639"/>
    </row>
    <row r="104" spans="1:12" s="1199" customFormat="1" ht="24" customHeight="1">
      <c r="A104" s="1564" t="s">
        <v>1775</v>
      </c>
      <c r="B104" s="1597" t="s">
        <v>1832</v>
      </c>
      <c r="C104" s="1533"/>
      <c r="E104" s="1566"/>
      <c r="F104" s="1567"/>
      <c r="G104" s="1516"/>
      <c r="H104" s="1264"/>
      <c r="I104" s="1265"/>
      <c r="J104" s="1264"/>
      <c r="K104" s="1273"/>
      <c r="L104" s="1639"/>
    </row>
    <row r="105" spans="1:12" s="1199" customFormat="1" ht="24" customHeight="1">
      <c r="A105" s="1564"/>
      <c r="B105" s="1597" t="s">
        <v>1340</v>
      </c>
      <c r="C105" s="1533"/>
      <c r="D105" s="1534"/>
      <c r="E105" s="1566">
        <v>6</v>
      </c>
      <c r="F105" s="1567" t="s">
        <v>363</v>
      </c>
      <c r="G105" s="1516">
        <f>ROUND(665*0.7,)</f>
        <v>466</v>
      </c>
      <c r="H105" s="1264">
        <f>ROUND(E105*G105,)</f>
        <v>2796</v>
      </c>
      <c r="I105" s="1265">
        <v>200</v>
      </c>
      <c r="J105" s="1264">
        <f>ROUND(I105*E105,)</f>
        <v>1200</v>
      </c>
      <c r="K105" s="1273">
        <f>H105+J105</f>
        <v>3996</v>
      </c>
      <c r="L105" s="1639"/>
    </row>
    <row r="106" spans="1:12" s="1199" customFormat="1" ht="24" customHeight="1">
      <c r="A106" s="1564"/>
      <c r="B106" s="1597"/>
      <c r="C106" s="1533"/>
      <c r="D106" s="1534"/>
      <c r="E106" s="1566"/>
      <c r="F106" s="1567"/>
      <c r="G106" s="1516"/>
      <c r="H106" s="1264"/>
      <c r="I106" s="1265"/>
      <c r="J106" s="1264"/>
      <c r="K106" s="1273"/>
      <c r="L106" s="1639"/>
    </row>
    <row r="107" spans="1:12" s="1199" customFormat="1" ht="24" customHeight="1">
      <c r="A107" s="1564"/>
      <c r="B107" s="1565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9"/>
    </row>
    <row r="108" spans="1:12" s="1199" customFormat="1" ht="24" customHeight="1">
      <c r="A108" s="1564"/>
      <c r="B108" s="1565"/>
      <c r="C108" s="1533"/>
      <c r="D108" s="1534"/>
      <c r="E108" s="1566"/>
      <c r="F108" s="1567"/>
      <c r="G108" s="1516"/>
      <c r="H108" s="1264"/>
      <c r="I108" s="1265"/>
      <c r="J108" s="1264"/>
      <c r="K108" s="1273"/>
      <c r="L108" s="1639"/>
    </row>
    <row r="109" spans="1:12" s="1199" customFormat="1" ht="24" customHeight="1">
      <c r="A109" s="1578"/>
      <c r="B109" s="2257" t="str">
        <f>"รวมราคารายการที่ "&amp;A98</f>
        <v>รวมราคารายการที่ 5.3</v>
      </c>
      <c r="C109" s="2258"/>
      <c r="D109" s="2259"/>
      <c r="E109" s="1579"/>
      <c r="F109" s="1579"/>
      <c r="G109" s="1580"/>
      <c r="H109" s="1581">
        <f>SUM(H99:H108)</f>
        <v>87881</v>
      </c>
      <c r="I109" s="1582"/>
      <c r="J109" s="1581">
        <f>SUM(J99:J108)</f>
        <v>30561</v>
      </c>
      <c r="K109" s="1583">
        <f>SUM(K99:K108)</f>
        <v>118442</v>
      </c>
      <c r="L109" s="1630"/>
    </row>
    <row r="110" spans="1:12" s="1199" customFormat="1" ht="21.3">
      <c r="A110" s="1427"/>
      <c r="E110" s="1570"/>
    </row>
    <row r="111" spans="1:12" s="1199" customFormat="1" ht="21.3">
      <c r="A111" s="1427"/>
      <c r="E111" s="1570"/>
    </row>
    <row r="112" spans="1:12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6:D66"/>
    <mergeCell ref="B97:D97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8-อาคารด้านทิศตะวันตก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2221F-83BE-4B5D-8110-B611897BDD3E}">
  <dimension ref="A1:X4628"/>
  <sheetViews>
    <sheetView view="pageBreakPreview" topLeftCell="E20" zoomScaleNormal="70" zoomScaleSheetLayoutView="100" workbookViewId="0">
      <selection activeCell="J24" sqref="J24"/>
    </sheetView>
  </sheetViews>
  <sheetFormatPr defaultColWidth="10" defaultRowHeight="24"/>
  <cols>
    <col min="1" max="1" width="9.29296875" style="845" customWidth="1"/>
    <col min="2" max="2" width="7.703125" style="492" customWidth="1"/>
    <col min="3" max="3" width="14.703125" style="492" customWidth="1"/>
    <col min="4" max="4" width="72.5859375" style="492" customWidth="1"/>
    <col min="5" max="5" width="15" style="841" customWidth="1"/>
    <col min="6" max="6" width="10.29296875" style="492" customWidth="1"/>
    <col min="7" max="7" width="14.29296875" style="492" customWidth="1"/>
    <col min="8" max="8" width="21.703125" style="492" customWidth="1"/>
    <col min="9" max="9" width="14.29296875" style="492" customWidth="1"/>
    <col min="10" max="10" width="21.703125" style="492" customWidth="1"/>
    <col min="11" max="11" width="22.703125" style="492" customWidth="1"/>
    <col min="12" max="12" width="16" style="842" customWidth="1"/>
    <col min="13" max="13" width="8.29296875" style="492" customWidth="1"/>
    <col min="14" max="14" width="15" style="843" customWidth="1"/>
    <col min="15" max="15" width="9.703125" style="844" customWidth="1"/>
    <col min="16" max="16" width="15" style="841" customWidth="1"/>
    <col min="17" max="17" width="35.87890625" style="492" customWidth="1"/>
    <col min="18" max="18" width="7.29296875" style="492" customWidth="1"/>
    <col min="19" max="19" width="16.29296875" style="492" bestFit="1" customWidth="1"/>
    <col min="20" max="20" width="10" style="495"/>
    <col min="21" max="21" width="13.703125" style="495" bestFit="1" customWidth="1"/>
    <col min="22" max="23" width="10" style="495"/>
    <col min="24" max="24" width="11.29296875" style="495" bestFit="1" customWidth="1"/>
    <col min="25" max="16384" width="10" style="495"/>
  </cols>
  <sheetData>
    <row r="1" spans="1:19">
      <c r="A1" s="487"/>
      <c r="B1" s="487"/>
      <c r="C1" s="1053"/>
      <c r="D1" s="1053"/>
      <c r="E1" s="885"/>
      <c r="F1" s="1054" t="s">
        <v>0</v>
      </c>
      <c r="G1" s="1055"/>
      <c r="H1" s="1056"/>
      <c r="I1" s="1056"/>
      <c r="J1" s="489" t="s">
        <v>1</v>
      </c>
      <c r="K1" s="490"/>
      <c r="L1" s="491"/>
      <c r="N1" s="493"/>
      <c r="O1" s="494"/>
      <c r="P1" s="488"/>
    </row>
    <row r="2" spans="1:19">
      <c r="A2" s="496" t="s">
        <v>2</v>
      </c>
      <c r="B2" s="497"/>
      <c r="C2" s="498"/>
      <c r="D2" s="498" t="s">
        <v>175</v>
      </c>
      <c r="E2" s="499"/>
      <c r="F2" s="500"/>
      <c r="G2" s="500"/>
      <c r="H2" s="500"/>
      <c r="I2" s="500"/>
      <c r="J2" s="501"/>
      <c r="K2" s="500"/>
      <c r="L2" s="502"/>
      <c r="N2" s="503"/>
      <c r="O2" s="504"/>
      <c r="P2" s="505"/>
    </row>
    <row r="3" spans="1:19">
      <c r="A3" s="506" t="s">
        <v>22</v>
      </c>
      <c r="B3" s="507"/>
      <c r="C3" s="508"/>
      <c r="D3" s="509"/>
      <c r="E3" s="510"/>
      <c r="F3" s="511"/>
      <c r="G3" s="511"/>
      <c r="H3" s="511"/>
      <c r="I3" s="511"/>
      <c r="J3" s="512"/>
      <c r="K3" s="511"/>
      <c r="L3" s="513"/>
      <c r="N3" s="514"/>
      <c r="O3" s="515"/>
      <c r="P3" s="516"/>
    </row>
    <row r="4" spans="1:19">
      <c r="A4" s="506"/>
      <c r="B4" s="507"/>
      <c r="C4" s="508"/>
      <c r="D4" s="44" t="s">
        <v>1068</v>
      </c>
      <c r="E4" s="510"/>
      <c r="F4" s="511"/>
      <c r="G4" s="511"/>
      <c r="H4" s="511"/>
      <c r="I4" s="511"/>
      <c r="J4" s="512"/>
      <c r="K4" s="511"/>
      <c r="L4" s="513"/>
      <c r="N4" s="514"/>
      <c r="O4" s="515"/>
      <c r="P4" s="516"/>
    </row>
    <row r="5" spans="1:19">
      <c r="A5" s="506" t="s">
        <v>3</v>
      </c>
      <c r="B5" s="497"/>
      <c r="C5" s="498"/>
      <c r="D5" s="509" t="s">
        <v>21</v>
      </c>
      <c r="E5" s="517"/>
      <c r="F5" s="500"/>
      <c r="G5" s="518" t="s">
        <v>4</v>
      </c>
      <c r="H5" s="519"/>
      <c r="I5" s="511"/>
      <c r="J5" s="512"/>
      <c r="K5" s="520"/>
      <c r="L5" s="513"/>
      <c r="N5" s="521"/>
      <c r="O5" s="522"/>
      <c r="P5" s="523"/>
    </row>
    <row r="6" spans="1:19">
      <c r="A6" s="507" t="s">
        <v>20</v>
      </c>
      <c r="B6" s="507"/>
      <c r="C6" s="508"/>
      <c r="D6" s="524"/>
      <c r="E6" s="510"/>
      <c r="F6" s="511"/>
      <c r="G6" s="525"/>
      <c r="H6" s="511"/>
      <c r="I6" s="511"/>
      <c r="J6" s="511"/>
      <c r="K6" s="511"/>
      <c r="L6" s="526"/>
      <c r="N6" s="514"/>
      <c r="O6" s="515"/>
      <c r="P6" s="516"/>
    </row>
    <row r="7" spans="1:19">
      <c r="A7" s="527" t="s">
        <v>176</v>
      </c>
      <c r="B7" s="528"/>
      <c r="C7" s="528"/>
      <c r="D7" s="529"/>
      <c r="E7" s="530"/>
      <c r="F7" s="531" t="s">
        <v>5</v>
      </c>
      <c r="G7" s="532"/>
      <c r="H7" s="532" t="s">
        <v>6</v>
      </c>
      <c r="I7" s="533"/>
      <c r="J7" s="527" t="s">
        <v>23</v>
      </c>
      <c r="K7" s="528"/>
      <c r="L7" s="2236" t="s">
        <v>7</v>
      </c>
      <c r="N7" s="534"/>
      <c r="O7" s="535"/>
      <c r="P7" s="536"/>
    </row>
    <row r="8" spans="1:19">
      <c r="A8" s="537"/>
      <c r="B8" s="538"/>
      <c r="C8" s="538"/>
      <c r="D8" s="889"/>
      <c r="E8" s="539"/>
      <c r="F8" s="540"/>
      <c r="G8" s="540"/>
      <c r="H8" s="541"/>
      <c r="I8" s="541"/>
      <c r="J8" s="541"/>
      <c r="K8" s="540"/>
      <c r="L8" s="2237"/>
      <c r="N8" s="542"/>
      <c r="O8" s="543"/>
      <c r="P8" s="544"/>
    </row>
    <row r="9" spans="1:19" ht="23.4">
      <c r="A9" s="2238" t="s">
        <v>8</v>
      </c>
      <c r="B9" s="2240" t="s">
        <v>9</v>
      </c>
      <c r="C9" s="2241"/>
      <c r="D9" s="2242"/>
      <c r="E9" s="2233" t="s">
        <v>10</v>
      </c>
      <c r="F9" s="2246" t="s">
        <v>11</v>
      </c>
      <c r="G9" s="2248" t="s">
        <v>12</v>
      </c>
      <c r="H9" s="2249"/>
      <c r="I9" s="2248" t="s">
        <v>13</v>
      </c>
      <c r="J9" s="2249"/>
      <c r="K9" s="545" t="s">
        <v>14</v>
      </c>
      <c r="L9" s="2250" t="s">
        <v>15</v>
      </c>
      <c r="M9" s="490"/>
      <c r="N9" s="2231" t="s">
        <v>177</v>
      </c>
      <c r="O9" s="546" t="s">
        <v>147</v>
      </c>
      <c r="P9" s="2233" t="s">
        <v>178</v>
      </c>
      <c r="Q9" s="490"/>
      <c r="R9" s="490"/>
      <c r="S9" s="490"/>
    </row>
    <row r="10" spans="1:19" ht="23.4">
      <c r="A10" s="2239"/>
      <c r="B10" s="2243"/>
      <c r="C10" s="2244"/>
      <c r="D10" s="2245"/>
      <c r="E10" s="2234"/>
      <c r="F10" s="2247"/>
      <c r="G10" s="547" t="s">
        <v>16</v>
      </c>
      <c r="H10" s="548" t="s">
        <v>17</v>
      </c>
      <c r="I10" s="549" t="s">
        <v>16</v>
      </c>
      <c r="J10" s="548" t="s">
        <v>17</v>
      </c>
      <c r="K10" s="550" t="s">
        <v>18</v>
      </c>
      <c r="L10" s="2251"/>
      <c r="M10" s="490"/>
      <c r="N10" s="2232"/>
      <c r="O10" s="551"/>
      <c r="P10" s="2234"/>
      <c r="Q10" s="490"/>
      <c r="R10" s="490"/>
      <c r="S10" s="490"/>
    </row>
    <row r="11" spans="1:19">
      <c r="A11" s="552" t="s">
        <v>35</v>
      </c>
      <c r="B11" s="1111" t="s">
        <v>36</v>
      </c>
      <c r="C11" s="553"/>
      <c r="D11" s="553"/>
      <c r="E11" s="554"/>
      <c r="F11" s="555"/>
      <c r="G11" s="556"/>
      <c r="H11" s="557"/>
      <c r="I11" s="558"/>
      <c r="J11" s="559"/>
      <c r="K11" s="560"/>
      <c r="L11" s="561"/>
      <c r="N11" s="562"/>
      <c r="O11" s="563"/>
      <c r="P11" s="554"/>
    </row>
    <row r="12" spans="1:19">
      <c r="A12" s="564"/>
      <c r="B12" s="1112"/>
      <c r="C12" s="565"/>
      <c r="D12" s="1113"/>
      <c r="E12" s="554"/>
      <c r="F12" s="555"/>
      <c r="G12" s="556"/>
      <c r="H12" s="557"/>
      <c r="I12" s="566"/>
      <c r="J12" s="557"/>
      <c r="K12" s="560"/>
      <c r="L12" s="561"/>
      <c r="N12" s="562"/>
      <c r="O12" s="563"/>
      <c r="P12" s="554"/>
    </row>
    <row r="13" spans="1:19" ht="21.3">
      <c r="A13" s="567">
        <f>+A38</f>
        <v>2.1</v>
      </c>
      <c r="B13" s="1114" t="str">
        <f>+B38</f>
        <v>งานพื้นและวัสดุตกแต่งผิวพื้น</v>
      </c>
      <c r="C13" s="553"/>
      <c r="D13" s="1115"/>
      <c r="E13" s="1052">
        <v>1</v>
      </c>
      <c r="F13" s="569" t="s">
        <v>19</v>
      </c>
      <c r="G13" s="570"/>
      <c r="H13" s="571">
        <f>ROUND(H494,2)</f>
        <v>17637527.449999999</v>
      </c>
      <c r="I13" s="572"/>
      <c r="J13" s="571">
        <f>ROUND(J494,2)</f>
        <v>7703640.8499999996</v>
      </c>
      <c r="K13" s="571">
        <f>H13+J13</f>
        <v>25341168.299999997</v>
      </c>
      <c r="L13" s="573"/>
      <c r="M13" s="574"/>
      <c r="N13" s="890"/>
      <c r="O13" s="575"/>
      <c r="P13" s="568"/>
      <c r="Q13" s="1163"/>
      <c r="R13" s="574"/>
      <c r="S13" s="574"/>
    </row>
    <row r="14" spans="1:19" ht="21.3">
      <c r="A14" s="567">
        <f>+A495</f>
        <v>2.2000000000000002</v>
      </c>
      <c r="B14" s="1114" t="str">
        <f>+B495</f>
        <v>งานผนังและวัสดุตกแต่งผิวผนัง</v>
      </c>
      <c r="C14" s="553"/>
      <c r="D14" s="1115"/>
      <c r="E14" s="1052">
        <v>1</v>
      </c>
      <c r="F14" s="569" t="s">
        <v>19</v>
      </c>
      <c r="G14" s="570"/>
      <c r="H14" s="571">
        <f>ROUND(H1334,2)</f>
        <v>26060274.120000001</v>
      </c>
      <c r="I14" s="572"/>
      <c r="J14" s="571">
        <f>ROUND(J1334,2)</f>
        <v>12234779.189999999</v>
      </c>
      <c r="K14" s="571">
        <f t="shared" ref="K14:K18" si="0">H14+J14</f>
        <v>38295053.310000002</v>
      </c>
      <c r="L14" s="573"/>
      <c r="M14" s="574"/>
      <c r="N14" s="890"/>
      <c r="O14" s="575"/>
      <c r="P14" s="568"/>
      <c r="Q14" s="1163"/>
      <c r="R14" s="574"/>
      <c r="S14" s="574"/>
    </row>
    <row r="15" spans="1:19" ht="21.3">
      <c r="A15" s="567">
        <f>+A1335</f>
        <v>2.2999999999999998</v>
      </c>
      <c r="B15" s="1114" t="str">
        <f>+B1335</f>
        <v>งานฝ้าเพดาน</v>
      </c>
      <c r="C15" s="576"/>
      <c r="D15" s="576"/>
      <c r="E15" s="1052">
        <v>1</v>
      </c>
      <c r="F15" s="569" t="s">
        <v>19</v>
      </c>
      <c r="G15" s="570"/>
      <c r="H15" s="571">
        <f>ROUND(H1569,2)</f>
        <v>1496586.62</v>
      </c>
      <c r="I15" s="572"/>
      <c r="J15" s="571">
        <f>ROUND(J1569,2)</f>
        <v>805826.56000000006</v>
      </c>
      <c r="K15" s="571">
        <f t="shared" si="0"/>
        <v>2302413.1800000002</v>
      </c>
      <c r="L15" s="573"/>
      <c r="M15" s="574"/>
      <c r="N15" s="890"/>
      <c r="O15" s="575"/>
      <c r="P15" s="568"/>
      <c r="Q15" s="1163"/>
      <c r="R15" s="574"/>
      <c r="S15" s="574"/>
    </row>
    <row r="16" spans="1:19" ht="21.3">
      <c r="A16" s="567">
        <f>+A1570</f>
        <v>2.4</v>
      </c>
      <c r="B16" s="1114" t="str">
        <f>+B1570</f>
        <v>งานส่วนประกอบ และวัสดุมุงหลังคา</v>
      </c>
      <c r="C16" s="576"/>
      <c r="D16" s="576"/>
      <c r="E16" s="1052">
        <v>1</v>
      </c>
      <c r="F16" s="569" t="s">
        <v>19</v>
      </c>
      <c r="G16" s="570"/>
      <c r="H16" s="571">
        <f>ROUND(H1600,2)</f>
        <v>14636966</v>
      </c>
      <c r="I16" s="572"/>
      <c r="J16" s="571">
        <f>ROUND(J1600,2)</f>
        <v>917279.62</v>
      </c>
      <c r="K16" s="571">
        <f t="shared" si="0"/>
        <v>15554245.619999999</v>
      </c>
      <c r="L16" s="573"/>
      <c r="M16" s="574"/>
      <c r="N16" s="890"/>
      <c r="O16" s="575"/>
      <c r="P16" s="568"/>
      <c r="Q16" s="1164"/>
      <c r="R16" s="574"/>
      <c r="S16" s="574"/>
    </row>
    <row r="17" spans="1:19" ht="21.3">
      <c r="A17" s="567">
        <f>+A1601</f>
        <v>2.5</v>
      </c>
      <c r="B17" s="1114" t="str">
        <f>+B1601</f>
        <v>งานประตู-หน้าต่าง</v>
      </c>
      <c r="C17" s="576"/>
      <c r="D17" s="576"/>
      <c r="E17" s="1052">
        <v>1</v>
      </c>
      <c r="F17" s="569" t="s">
        <v>19</v>
      </c>
      <c r="G17" s="570"/>
      <c r="H17" s="571">
        <f>ROUND(SUM(H1940),2)</f>
        <v>13997167</v>
      </c>
      <c r="I17" s="572"/>
      <c r="J17" s="571">
        <f>ROUND(SUM(J1940),2)</f>
        <v>3755400</v>
      </c>
      <c r="K17" s="571">
        <f t="shared" si="0"/>
        <v>17752567</v>
      </c>
      <c r="L17" s="573"/>
      <c r="M17" s="577"/>
      <c r="N17" s="890"/>
      <c r="O17" s="575"/>
      <c r="P17" s="568"/>
      <c r="Q17" s="1165"/>
      <c r="R17" s="574"/>
      <c r="S17" s="574"/>
    </row>
    <row r="18" spans="1:19" ht="21.3">
      <c r="A18" s="567">
        <f>+A1941</f>
        <v>2.6</v>
      </c>
      <c r="B18" s="1116" t="str">
        <f>+B1941</f>
        <v>งานผนังตกแต่งภายนอก</v>
      </c>
      <c r="C18" s="576"/>
      <c r="D18" s="576"/>
      <c r="E18" s="1052">
        <v>1</v>
      </c>
      <c r="F18" s="569" t="s">
        <v>19</v>
      </c>
      <c r="G18" s="570"/>
      <c r="H18" s="571">
        <f>ROUND(+H2086,2)</f>
        <v>272627503.66000003</v>
      </c>
      <c r="I18" s="891"/>
      <c r="J18" s="571">
        <f>ROUND(+J2086,2)</f>
        <v>1848559.67</v>
      </c>
      <c r="K18" s="571">
        <f t="shared" si="0"/>
        <v>274476063.33000004</v>
      </c>
      <c r="L18" s="573"/>
      <c r="M18" s="577"/>
      <c r="N18" s="890"/>
      <c r="O18" s="575"/>
      <c r="P18" s="568"/>
      <c r="Q18" s="1165"/>
      <c r="R18" s="574"/>
      <c r="S18" s="574"/>
    </row>
    <row r="19" spans="1:19" ht="21.3">
      <c r="A19" s="567">
        <f>+A2087</f>
        <v>2.7</v>
      </c>
      <c r="B19" s="1117" t="str">
        <f>+B2087</f>
        <v>งานสุขภัณฑ์พร้อมอุปกรณ์ (สี.....)</v>
      </c>
      <c r="C19" s="576"/>
      <c r="D19" s="576"/>
      <c r="E19" s="1052">
        <v>1</v>
      </c>
      <c r="F19" s="569" t="s">
        <v>19</v>
      </c>
      <c r="G19" s="578"/>
      <c r="H19" s="571">
        <f>ROUND(SUM(H4428),2)</f>
        <v>21043532.899999999</v>
      </c>
      <c r="I19" s="572"/>
      <c r="J19" s="571">
        <f>ROUND(SUM(J4428),2)</f>
        <v>1736427.05</v>
      </c>
      <c r="K19" s="571">
        <f>H19+J19</f>
        <v>22779959.949999999</v>
      </c>
      <c r="L19" s="573"/>
      <c r="M19" s="574"/>
      <c r="N19" s="890"/>
      <c r="O19" s="575"/>
      <c r="P19" s="568"/>
      <c r="Q19" s="1164"/>
      <c r="R19" s="574"/>
      <c r="S19" s="574"/>
    </row>
    <row r="20" spans="1:19" ht="21.3">
      <c r="A20" s="567">
        <f>+A4429</f>
        <v>2.8</v>
      </c>
      <c r="B20" s="1114" t="str">
        <f>+B4429</f>
        <v>งานทาสี</v>
      </c>
      <c r="C20" s="579"/>
      <c r="D20" s="1118"/>
      <c r="E20" s="1052">
        <v>1</v>
      </c>
      <c r="F20" s="569" t="s">
        <v>19</v>
      </c>
      <c r="G20" s="892" t="s">
        <v>592</v>
      </c>
      <c r="H20" s="893"/>
      <c r="I20" s="894"/>
      <c r="J20" s="893"/>
      <c r="K20" s="895"/>
      <c r="L20" s="573"/>
      <c r="M20" s="574"/>
      <c r="N20" s="890"/>
      <c r="O20" s="575"/>
      <c r="P20" s="568"/>
      <c r="Q20" s="1164"/>
      <c r="R20" s="574"/>
      <c r="S20" s="574"/>
    </row>
    <row r="21" spans="1:19" ht="21.3">
      <c r="A21" s="567">
        <f>+A4434</f>
        <v>2.9</v>
      </c>
      <c r="B21" s="1114" t="str">
        <f>+B4434</f>
        <v>งานบันไดและตกแต่งผิวบันได</v>
      </c>
      <c r="C21" s="579"/>
      <c r="D21" s="1118"/>
      <c r="E21" s="1052">
        <v>1</v>
      </c>
      <c r="F21" s="569" t="s">
        <v>19</v>
      </c>
      <c r="G21" s="578"/>
      <c r="H21" s="571">
        <f>ROUND(SUM(H4538),2)</f>
        <v>6331890.6699999999</v>
      </c>
      <c r="I21" s="572"/>
      <c r="J21" s="571">
        <f>ROUND(SUM(J4538),2)</f>
        <v>2098179.12</v>
      </c>
      <c r="K21" s="571">
        <f>H21+J21</f>
        <v>8430069.7899999991</v>
      </c>
      <c r="L21" s="573"/>
      <c r="M21" s="574"/>
      <c r="N21" s="890"/>
      <c r="O21" s="575"/>
      <c r="P21" s="568"/>
      <c r="Q21" s="1164"/>
      <c r="R21" s="574"/>
      <c r="S21" s="574"/>
    </row>
    <row r="22" spans="1:19" ht="21.3">
      <c r="A22" s="581">
        <f>+A4539</f>
        <v>2.1</v>
      </c>
      <c r="B22" s="1119" t="str">
        <f>+B4539</f>
        <v>งานเบ็ดเตล็ดและอื่นๆ</v>
      </c>
      <c r="C22" s="579"/>
      <c r="D22" s="1118"/>
      <c r="E22" s="1052">
        <v>1</v>
      </c>
      <c r="F22" s="569" t="s">
        <v>19</v>
      </c>
      <c r="G22" s="578"/>
      <c r="H22" s="571">
        <f>ROUND(H4598,2)</f>
        <v>10298715.24</v>
      </c>
      <c r="I22" s="572"/>
      <c r="J22" s="571">
        <f>ROUND(J4598,2)</f>
        <v>6260709.2199999997</v>
      </c>
      <c r="K22" s="571">
        <f t="shared" ref="K22:K23" si="1">H22+J22</f>
        <v>16559424.460000001</v>
      </c>
      <c r="L22" s="573"/>
      <c r="M22" s="574"/>
      <c r="N22" s="890"/>
      <c r="O22" s="575"/>
      <c r="P22" s="568"/>
      <c r="Q22" s="1164"/>
      <c r="R22" s="574"/>
      <c r="S22" s="574"/>
    </row>
    <row r="23" spans="1:19" ht="21.3">
      <c r="A23" s="581">
        <f>+A4599</f>
        <v>2.11</v>
      </c>
      <c r="B23" s="1116" t="s">
        <v>179</v>
      </c>
      <c r="C23" s="579"/>
      <c r="D23" s="1118"/>
      <c r="E23" s="1052">
        <v>1</v>
      </c>
      <c r="F23" s="569" t="s">
        <v>19</v>
      </c>
      <c r="G23" s="578"/>
      <c r="H23" s="571">
        <f>ROUND(H4623,2)</f>
        <v>6823730</v>
      </c>
      <c r="I23" s="572"/>
      <c r="J23" s="571">
        <f>J4623</f>
        <v>2047119</v>
      </c>
      <c r="K23" s="571">
        <f t="shared" si="1"/>
        <v>8870849</v>
      </c>
      <c r="L23" s="573"/>
      <c r="M23" s="574"/>
      <c r="N23" s="890"/>
      <c r="O23" s="575"/>
      <c r="P23" s="568"/>
      <c r="Q23" s="1164"/>
      <c r="R23" s="574"/>
      <c r="S23" s="574"/>
    </row>
    <row r="24" spans="1:19" ht="21.3">
      <c r="A24" s="582"/>
      <c r="B24" s="2028"/>
      <c r="C24" s="579"/>
      <c r="D24" s="1118"/>
      <c r="E24" s="583"/>
      <c r="F24" s="584"/>
      <c r="G24" s="578"/>
      <c r="H24" s="571"/>
      <c r="I24" s="572"/>
      <c r="J24" s="571"/>
      <c r="K24" s="580"/>
      <c r="L24" s="573"/>
      <c r="M24" s="574"/>
      <c r="N24" s="585"/>
      <c r="O24" s="586"/>
      <c r="P24" s="583"/>
      <c r="Q24" s="574"/>
      <c r="R24" s="574"/>
      <c r="S24" s="574"/>
    </row>
    <row r="25" spans="1:19" ht="21.3">
      <c r="A25" s="582"/>
      <c r="B25" s="2028"/>
      <c r="C25" s="579"/>
      <c r="D25" s="1118"/>
      <c r="E25" s="583"/>
      <c r="F25" s="584"/>
      <c r="G25" s="570"/>
      <c r="H25" s="571"/>
      <c r="I25" s="572"/>
      <c r="J25" s="571"/>
      <c r="K25" s="580"/>
      <c r="L25" s="573"/>
      <c r="M25" s="574"/>
      <c r="N25" s="585"/>
      <c r="O25" s="586"/>
      <c r="P25" s="583"/>
      <c r="Q25" s="574"/>
      <c r="R25" s="574"/>
      <c r="S25" s="574"/>
    </row>
    <row r="26" spans="1:19" ht="21.3">
      <c r="A26" s="582"/>
      <c r="B26" s="2028"/>
      <c r="C26" s="579"/>
      <c r="D26" s="1118"/>
      <c r="E26" s="583"/>
      <c r="F26" s="584"/>
      <c r="G26" s="570"/>
      <c r="H26" s="571"/>
      <c r="I26" s="572"/>
      <c r="J26" s="571"/>
      <c r="K26" s="580"/>
      <c r="L26" s="573"/>
      <c r="M26" s="574"/>
      <c r="N26" s="585"/>
      <c r="O26" s="586"/>
      <c r="P26" s="583"/>
      <c r="Q26" s="574"/>
      <c r="R26" s="574"/>
      <c r="S26" s="574"/>
    </row>
    <row r="27" spans="1:19" ht="21.3">
      <c r="A27" s="582"/>
      <c r="B27" s="2028"/>
      <c r="C27" s="579"/>
      <c r="D27" s="1118"/>
      <c r="E27" s="583"/>
      <c r="F27" s="584"/>
      <c r="G27" s="570"/>
      <c r="H27" s="571"/>
      <c r="I27" s="572"/>
      <c r="J27" s="571"/>
      <c r="K27" s="580"/>
      <c r="L27" s="573"/>
      <c r="M27" s="574"/>
      <c r="N27" s="585"/>
      <c r="O27" s="586"/>
      <c r="P27" s="583"/>
      <c r="Q27" s="574"/>
      <c r="R27" s="574"/>
      <c r="S27" s="574"/>
    </row>
    <row r="28" spans="1:19" ht="21.3">
      <c r="A28" s="582"/>
      <c r="B28" s="2028"/>
      <c r="C28" s="579"/>
      <c r="D28" s="1118"/>
      <c r="E28" s="583"/>
      <c r="F28" s="584"/>
      <c r="G28" s="570"/>
      <c r="H28" s="571"/>
      <c r="I28" s="572"/>
      <c r="J28" s="571"/>
      <c r="K28" s="580"/>
      <c r="L28" s="573"/>
      <c r="M28" s="574"/>
      <c r="N28" s="585"/>
      <c r="O28" s="586"/>
      <c r="P28" s="583"/>
      <c r="Q28" s="574"/>
      <c r="R28" s="574"/>
      <c r="S28" s="574"/>
    </row>
    <row r="29" spans="1:19" ht="21.3">
      <c r="A29" s="587"/>
      <c r="B29" s="2028"/>
      <c r="C29" s="579"/>
      <c r="D29" s="1118"/>
      <c r="E29" s="583"/>
      <c r="F29" s="584"/>
      <c r="G29" s="570"/>
      <c r="H29" s="571"/>
      <c r="I29" s="572"/>
      <c r="J29" s="571"/>
      <c r="K29" s="580"/>
      <c r="L29" s="573"/>
      <c r="M29" s="574"/>
      <c r="N29" s="585"/>
      <c r="O29" s="586"/>
      <c r="P29" s="583"/>
      <c r="Q29" s="574"/>
      <c r="R29" s="574"/>
      <c r="S29" s="574"/>
    </row>
    <row r="30" spans="1:19" ht="21.3">
      <c r="A30" s="587"/>
      <c r="B30" s="2028"/>
      <c r="C30" s="579"/>
      <c r="D30" s="1118"/>
      <c r="E30" s="583"/>
      <c r="F30" s="584"/>
      <c r="G30" s="570"/>
      <c r="H30" s="571"/>
      <c r="I30" s="572"/>
      <c r="J30" s="571"/>
      <c r="K30" s="580"/>
      <c r="L30" s="573"/>
      <c r="M30" s="574"/>
      <c r="N30" s="585"/>
      <c r="O30" s="586"/>
      <c r="P30" s="583"/>
      <c r="Q30" s="574"/>
      <c r="R30" s="574"/>
      <c r="S30" s="574"/>
    </row>
    <row r="31" spans="1:19" ht="21.3">
      <c r="A31" s="587"/>
      <c r="B31" s="2028"/>
      <c r="C31" s="579"/>
      <c r="D31" s="1118"/>
      <c r="E31" s="583"/>
      <c r="F31" s="584"/>
      <c r="G31" s="570"/>
      <c r="H31" s="571"/>
      <c r="I31" s="572"/>
      <c r="J31" s="571"/>
      <c r="K31" s="580"/>
      <c r="L31" s="573"/>
      <c r="M31" s="574"/>
      <c r="N31" s="585"/>
      <c r="O31" s="586"/>
      <c r="P31" s="583"/>
      <c r="Q31" s="1162"/>
      <c r="R31" s="574"/>
      <c r="S31" s="574"/>
    </row>
    <row r="32" spans="1:19" ht="21.3">
      <c r="A32" s="587"/>
      <c r="B32" s="2028"/>
      <c r="C32" s="579"/>
      <c r="D32" s="1118"/>
      <c r="E32" s="583"/>
      <c r="F32" s="584"/>
      <c r="G32" s="570"/>
      <c r="H32" s="571"/>
      <c r="I32" s="572"/>
      <c r="J32" s="571"/>
      <c r="K32" s="580"/>
      <c r="L32" s="573"/>
      <c r="M32" s="574"/>
      <c r="N32" s="585"/>
      <c r="O32" s="586"/>
      <c r="P32" s="583"/>
      <c r="Q32" s="574"/>
      <c r="R32" s="574"/>
      <c r="S32" s="574"/>
    </row>
    <row r="33" spans="1:19" ht="21.3">
      <c r="A33" s="587"/>
      <c r="B33" s="2028"/>
      <c r="C33" s="579"/>
      <c r="D33" s="1118"/>
      <c r="E33" s="583"/>
      <c r="F33" s="584"/>
      <c r="G33" s="570"/>
      <c r="H33" s="571"/>
      <c r="I33" s="572"/>
      <c r="J33" s="571"/>
      <c r="K33" s="580"/>
      <c r="L33" s="573"/>
      <c r="M33" s="574"/>
      <c r="N33" s="585"/>
      <c r="O33" s="586"/>
      <c r="P33" s="583"/>
      <c r="Q33" s="574"/>
      <c r="R33" s="574"/>
      <c r="S33" s="574"/>
    </row>
    <row r="34" spans="1:19" ht="21.3">
      <c r="A34" s="588"/>
      <c r="B34" s="2028"/>
      <c r="C34" s="579"/>
      <c r="D34" s="1118"/>
      <c r="E34" s="583"/>
      <c r="F34" s="584"/>
      <c r="G34" s="570"/>
      <c r="H34" s="571"/>
      <c r="I34" s="572"/>
      <c r="J34" s="571"/>
      <c r="K34" s="580"/>
      <c r="L34" s="573"/>
      <c r="M34" s="574"/>
      <c r="N34" s="585"/>
      <c r="O34" s="586"/>
      <c r="P34" s="583"/>
      <c r="Q34" s="574"/>
      <c r="R34" s="574"/>
      <c r="S34" s="574"/>
    </row>
    <row r="35" spans="1:19" ht="21.3">
      <c r="A35" s="588"/>
      <c r="B35" s="2028"/>
      <c r="C35" s="579"/>
      <c r="D35" s="1118"/>
      <c r="E35" s="583"/>
      <c r="F35" s="584"/>
      <c r="G35" s="570"/>
      <c r="H35" s="571"/>
      <c r="I35" s="572"/>
      <c r="J35" s="571"/>
      <c r="K35" s="580"/>
      <c r="L35" s="573"/>
      <c r="M35" s="574"/>
      <c r="N35" s="585"/>
      <c r="O35" s="586"/>
      <c r="P35" s="583"/>
      <c r="Q35" s="574"/>
      <c r="R35" s="574"/>
      <c r="S35" s="574"/>
    </row>
    <row r="36" spans="1:19" ht="21.3">
      <c r="A36" s="589"/>
      <c r="B36" s="1120"/>
      <c r="C36" s="574"/>
      <c r="D36" s="1121"/>
      <c r="E36" s="590"/>
      <c r="F36" s="591"/>
      <c r="G36" s="592"/>
      <c r="H36" s="593"/>
      <c r="I36" s="594"/>
      <c r="J36" s="593"/>
      <c r="K36" s="595"/>
      <c r="L36" s="596"/>
      <c r="M36" s="574"/>
      <c r="N36" s="597"/>
      <c r="O36" s="598"/>
      <c r="P36" s="590"/>
      <c r="Q36" s="574"/>
      <c r="R36" s="574"/>
      <c r="S36" s="574"/>
    </row>
    <row r="37" spans="1:19" ht="21.3">
      <c r="A37" s="599"/>
      <c r="B37" s="2228" t="str">
        <f>"รวมราคา"&amp;B11</f>
        <v>รวมราคางานสถาปัตยกรรม</v>
      </c>
      <c r="C37" s="2228"/>
      <c r="D37" s="2228"/>
      <c r="E37" s="600"/>
      <c r="F37" s="601"/>
      <c r="G37" s="602"/>
      <c r="H37" s="603">
        <f>SUM(H13:H23)</f>
        <v>390953893.66000003</v>
      </c>
      <c r="I37" s="604"/>
      <c r="J37" s="603">
        <f>SUM(J13:J23)</f>
        <v>39407920.280000001</v>
      </c>
      <c r="K37" s="603">
        <f>SUM(K13:K23)</f>
        <v>430361813.94</v>
      </c>
      <c r="L37" s="605"/>
      <c r="M37" s="900"/>
      <c r="N37" s="1057"/>
      <c r="O37" s="606"/>
      <c r="P37" s="600"/>
      <c r="Q37" s="607">
        <f>H37+J37</f>
        <v>430361813.94000006</v>
      </c>
      <c r="R37" s="574"/>
      <c r="S37" s="574"/>
    </row>
    <row r="38" spans="1:19" ht="21.3">
      <c r="A38" s="608">
        <v>2.1</v>
      </c>
      <c r="B38" s="1122" t="s">
        <v>180</v>
      </c>
      <c r="C38" s="609"/>
      <c r="D38" s="1123"/>
      <c r="E38" s="610"/>
      <c r="F38" s="611"/>
      <c r="G38" s="612"/>
      <c r="H38" s="613"/>
      <c r="I38" s="614"/>
      <c r="J38" s="613"/>
      <c r="K38" s="1058"/>
      <c r="L38" s="1059"/>
      <c r="M38" s="574"/>
      <c r="N38" s="615"/>
      <c r="O38" s="616"/>
      <c r="P38" s="610"/>
      <c r="Q38" s="574"/>
      <c r="R38" s="574"/>
      <c r="S38" s="574"/>
    </row>
    <row r="39" spans="1:19" ht="21.3">
      <c r="A39" s="585" t="s">
        <v>181</v>
      </c>
      <c r="B39" s="1114" t="s">
        <v>182</v>
      </c>
      <c r="C39" s="617"/>
      <c r="D39" s="1124"/>
      <c r="E39" s="618"/>
      <c r="F39" s="619"/>
      <c r="G39" s="620"/>
      <c r="H39" s="571"/>
      <c r="I39" s="572"/>
      <c r="J39" s="571"/>
      <c r="K39" s="1060"/>
      <c r="L39" s="1061"/>
      <c r="M39" s="574"/>
      <c r="N39" s="621"/>
      <c r="O39" s="622"/>
      <c r="P39" s="618"/>
      <c r="Q39" s="574"/>
      <c r="R39" s="574"/>
      <c r="S39" s="574"/>
    </row>
    <row r="40" spans="1:19" ht="21.3">
      <c r="A40" s="585"/>
      <c r="B40" s="1114"/>
      <c r="C40" s="623" t="s">
        <v>183</v>
      </c>
      <c r="D40" s="1124"/>
      <c r="E40" s="624">
        <f>+E41+E42+E43+E44+E46+E49+E51+E54+E56+E62+E63+E65+E66+E45</f>
        <v>217.92000000000002</v>
      </c>
      <c r="F40" s="625" t="s">
        <v>34</v>
      </c>
      <c r="G40" s="626">
        <v>113</v>
      </c>
      <c r="H40" s="627">
        <f t="shared" ref="H40:H62" si="2">SUM(E40*G40)</f>
        <v>24624.960000000003</v>
      </c>
      <c r="I40" s="628">
        <v>61</v>
      </c>
      <c r="J40" s="571">
        <f>E40*I40</f>
        <v>13293.12</v>
      </c>
      <c r="K40" s="1060">
        <f t="shared" ref="K40:K123" si="3">H40+J40</f>
        <v>37918.080000000002</v>
      </c>
      <c r="L40" s="1062"/>
      <c r="M40" s="574"/>
      <c r="N40" s="629"/>
      <c r="O40" s="630"/>
      <c r="P40" s="624"/>
      <c r="Q40" s="574"/>
      <c r="R40" s="574"/>
      <c r="S40" s="574"/>
    </row>
    <row r="41" spans="1:19" ht="21.3">
      <c r="A41" s="585"/>
      <c r="B41" s="617" t="s">
        <v>184</v>
      </c>
      <c r="C41" s="617" t="s">
        <v>185</v>
      </c>
      <c r="D41" s="617"/>
      <c r="E41" s="624">
        <f>+N41</f>
        <v>0</v>
      </c>
      <c r="F41" s="625" t="s">
        <v>34</v>
      </c>
      <c r="G41" s="626">
        <v>564</v>
      </c>
      <c r="H41" s="627">
        <f t="shared" si="2"/>
        <v>0</v>
      </c>
      <c r="I41" s="628">
        <v>283</v>
      </c>
      <c r="J41" s="571">
        <f t="shared" ref="J41:J124" si="4">E41*I41</f>
        <v>0</v>
      </c>
      <c r="K41" s="1060">
        <f t="shared" si="3"/>
        <v>0</v>
      </c>
      <c r="L41" s="1061"/>
      <c r="M41" s="574"/>
      <c r="N41" s="631">
        <f>+(1+O41)*P41</f>
        <v>0</v>
      </c>
      <c r="O41" s="630">
        <v>0</v>
      </c>
      <c r="P41" s="624">
        <v>0</v>
      </c>
      <c r="Q41" s="574"/>
      <c r="R41" s="574"/>
      <c r="S41" s="574"/>
    </row>
    <row r="42" spans="1:19" ht="21.3">
      <c r="A42" s="585"/>
      <c r="B42" s="617" t="s">
        <v>186</v>
      </c>
      <c r="C42" s="1125" t="s">
        <v>187</v>
      </c>
      <c r="D42" s="1126"/>
      <c r="E42" s="624">
        <f t="shared" ref="E42:E69" si="5">+N42</f>
        <v>0</v>
      </c>
      <c r="F42" s="625" t="s">
        <v>34</v>
      </c>
      <c r="G42" s="626">
        <v>295</v>
      </c>
      <c r="H42" s="627">
        <f t="shared" si="2"/>
        <v>0</v>
      </c>
      <c r="I42" s="628">
        <v>184</v>
      </c>
      <c r="J42" s="571">
        <f t="shared" si="4"/>
        <v>0</v>
      </c>
      <c r="K42" s="1060">
        <f t="shared" si="3"/>
        <v>0</v>
      </c>
      <c r="L42" s="1061"/>
      <c r="M42" s="574"/>
      <c r="N42" s="631">
        <f t="shared" ref="N42:N110" si="6">+(1+O42)*P42</f>
        <v>0</v>
      </c>
      <c r="O42" s="630">
        <v>0</v>
      </c>
      <c r="P42" s="624">
        <v>0</v>
      </c>
      <c r="Q42" s="574"/>
      <c r="R42" s="574"/>
      <c r="S42" s="574"/>
    </row>
    <row r="43" spans="1:19" ht="21.3">
      <c r="A43" s="585"/>
      <c r="B43" s="617" t="s">
        <v>188</v>
      </c>
      <c r="C43" s="1125" t="s">
        <v>189</v>
      </c>
      <c r="D43" s="1126"/>
      <c r="E43" s="624">
        <f t="shared" si="5"/>
        <v>17.600000000000001</v>
      </c>
      <c r="F43" s="625" t="s">
        <v>34</v>
      </c>
      <c r="G43" s="626">
        <v>297</v>
      </c>
      <c r="H43" s="627">
        <f t="shared" si="2"/>
        <v>5227.2000000000007</v>
      </c>
      <c r="I43" s="628">
        <v>204</v>
      </c>
      <c r="J43" s="571">
        <f t="shared" si="4"/>
        <v>3590.4</v>
      </c>
      <c r="K43" s="1060">
        <f t="shared" si="3"/>
        <v>8817.6</v>
      </c>
      <c r="L43" s="1061"/>
      <c r="M43" s="632"/>
      <c r="N43" s="631">
        <f t="shared" si="6"/>
        <v>17.600000000000001</v>
      </c>
      <c r="O43" s="630">
        <v>0</v>
      </c>
      <c r="P43" s="624">
        <v>17.600000000000001</v>
      </c>
      <c r="Q43" s="632"/>
      <c r="R43" s="632"/>
      <c r="S43" s="632"/>
    </row>
    <row r="44" spans="1:19" ht="21.3">
      <c r="A44" s="585"/>
      <c r="B44" s="617" t="s">
        <v>190</v>
      </c>
      <c r="C44" s="1125" t="s">
        <v>191</v>
      </c>
      <c r="D44" s="1126"/>
      <c r="E44" s="624"/>
      <c r="F44" s="625" t="s">
        <v>34</v>
      </c>
      <c r="G44" s="626">
        <v>609</v>
      </c>
      <c r="H44" s="627">
        <f t="shared" si="2"/>
        <v>0</v>
      </c>
      <c r="I44" s="628">
        <v>222</v>
      </c>
      <c r="J44" s="571">
        <f t="shared" si="4"/>
        <v>0</v>
      </c>
      <c r="K44" s="1060">
        <f t="shared" si="3"/>
        <v>0</v>
      </c>
      <c r="L44" s="1061"/>
      <c r="M44" s="574"/>
      <c r="N44" s="631">
        <f t="shared" si="6"/>
        <v>100</v>
      </c>
      <c r="O44" s="630">
        <v>0</v>
      </c>
      <c r="P44" s="624">
        <v>100</v>
      </c>
      <c r="Q44" s="574"/>
      <c r="R44" s="574"/>
      <c r="S44" s="574"/>
    </row>
    <row r="45" spans="1:19" ht="21.3">
      <c r="A45" s="585"/>
      <c r="B45" s="623" t="s">
        <v>2547</v>
      </c>
      <c r="C45" s="1125" t="s">
        <v>191</v>
      </c>
      <c r="D45" s="1126"/>
      <c r="E45" s="624">
        <f t="shared" ref="E45" si="7">+N45</f>
        <v>100</v>
      </c>
      <c r="F45" s="625" t="s">
        <v>34</v>
      </c>
      <c r="G45" s="626">
        <v>399</v>
      </c>
      <c r="H45" s="627">
        <f t="shared" ref="H45" si="8">SUM(E45*G45)</f>
        <v>39900</v>
      </c>
      <c r="I45" s="628">
        <v>222</v>
      </c>
      <c r="J45" s="571">
        <f t="shared" si="4"/>
        <v>22200</v>
      </c>
      <c r="K45" s="1060">
        <f t="shared" si="3"/>
        <v>62100</v>
      </c>
      <c r="L45" s="1061"/>
      <c r="M45" s="574"/>
      <c r="N45" s="631">
        <f t="shared" si="6"/>
        <v>100</v>
      </c>
      <c r="O45" s="630">
        <v>0</v>
      </c>
      <c r="P45" s="624">
        <v>100</v>
      </c>
      <c r="Q45" s="574"/>
      <c r="R45" s="574"/>
      <c r="S45" s="574"/>
    </row>
    <row r="46" spans="1:19" ht="21.3">
      <c r="A46" s="585"/>
      <c r="B46" s="617" t="s">
        <v>192</v>
      </c>
      <c r="C46" s="1125" t="s">
        <v>193</v>
      </c>
      <c r="D46" s="1126"/>
      <c r="E46" s="624">
        <f t="shared" si="5"/>
        <v>0</v>
      </c>
      <c r="F46" s="625" t="s">
        <v>34</v>
      </c>
      <c r="G46" s="626">
        <v>617</v>
      </c>
      <c r="H46" s="627">
        <f t="shared" si="2"/>
        <v>0</v>
      </c>
      <c r="I46" s="628">
        <v>242</v>
      </c>
      <c r="J46" s="571">
        <f t="shared" si="4"/>
        <v>0</v>
      </c>
      <c r="K46" s="1060">
        <f t="shared" si="3"/>
        <v>0</v>
      </c>
      <c r="L46" s="1061"/>
      <c r="M46" s="574"/>
      <c r="N46" s="631">
        <f t="shared" si="6"/>
        <v>0</v>
      </c>
      <c r="O46" s="630">
        <v>0</v>
      </c>
      <c r="P46" s="624">
        <v>0</v>
      </c>
      <c r="Q46" s="574"/>
      <c r="R46" s="574"/>
      <c r="S46" s="574"/>
    </row>
    <row r="47" spans="1:19" ht="21.3">
      <c r="A47" s="585"/>
      <c r="B47" s="623" t="s">
        <v>2548</v>
      </c>
      <c r="C47" s="1125" t="s">
        <v>193</v>
      </c>
      <c r="D47" s="1126"/>
      <c r="E47" s="624">
        <f t="shared" si="5"/>
        <v>0</v>
      </c>
      <c r="F47" s="625" t="s">
        <v>34</v>
      </c>
      <c r="G47" s="626">
        <v>399</v>
      </c>
      <c r="H47" s="627">
        <f t="shared" ref="H47" si="9">SUM(E47*G47)</f>
        <v>0</v>
      </c>
      <c r="I47" s="628">
        <v>242</v>
      </c>
      <c r="J47" s="571">
        <f t="shared" si="4"/>
        <v>0</v>
      </c>
      <c r="K47" s="1060">
        <f t="shared" si="3"/>
        <v>0</v>
      </c>
      <c r="L47" s="1061"/>
      <c r="M47" s="574"/>
      <c r="N47" s="631">
        <f t="shared" si="6"/>
        <v>0</v>
      </c>
      <c r="O47" s="630">
        <v>0</v>
      </c>
      <c r="P47" s="624">
        <v>0</v>
      </c>
      <c r="Q47" s="574"/>
      <c r="R47" s="574"/>
      <c r="S47" s="574"/>
    </row>
    <row r="48" spans="1:19" ht="21.3">
      <c r="A48" s="585"/>
      <c r="B48" s="617" t="s">
        <v>194</v>
      </c>
      <c r="C48" s="2235" t="s">
        <v>195</v>
      </c>
      <c r="D48" s="2235"/>
      <c r="E48" s="624">
        <f t="shared" si="5"/>
        <v>1195.6100000000001</v>
      </c>
      <c r="F48" s="625" t="s">
        <v>34</v>
      </c>
      <c r="G48" s="626">
        <v>420</v>
      </c>
      <c r="H48" s="627">
        <f t="shared" si="2"/>
        <v>502156.20000000007</v>
      </c>
      <c r="I48" s="628">
        <v>100</v>
      </c>
      <c r="J48" s="571">
        <f t="shared" si="4"/>
        <v>119561.00000000001</v>
      </c>
      <c r="K48" s="1060">
        <f t="shared" si="3"/>
        <v>621717.20000000007</v>
      </c>
      <c r="L48" s="1061"/>
      <c r="M48" s="574"/>
      <c r="N48" s="631">
        <f t="shared" si="6"/>
        <v>1195.6100000000001</v>
      </c>
      <c r="O48" s="630">
        <v>0</v>
      </c>
      <c r="P48" s="624">
        <v>1195.6100000000001</v>
      </c>
      <c r="Q48" s="574"/>
      <c r="R48" s="574"/>
      <c r="S48" s="574"/>
    </row>
    <row r="49" spans="1:19" ht="21.3">
      <c r="A49" s="585"/>
      <c r="B49" s="617" t="s">
        <v>196</v>
      </c>
      <c r="C49" s="1125" t="s">
        <v>197</v>
      </c>
      <c r="D49" s="1126"/>
      <c r="E49" s="624">
        <f t="shared" si="5"/>
        <v>0</v>
      </c>
      <c r="F49" s="625" t="s">
        <v>34</v>
      </c>
      <c r="G49" s="626">
        <v>564</v>
      </c>
      <c r="H49" s="627">
        <f t="shared" si="2"/>
        <v>0</v>
      </c>
      <c r="I49" s="628">
        <v>283</v>
      </c>
      <c r="J49" s="571">
        <f t="shared" si="4"/>
        <v>0</v>
      </c>
      <c r="K49" s="1060">
        <f t="shared" si="3"/>
        <v>0</v>
      </c>
      <c r="L49" s="1061"/>
      <c r="M49" s="632"/>
      <c r="N49" s="631">
        <f t="shared" si="6"/>
        <v>0</v>
      </c>
      <c r="O49" s="630">
        <v>0</v>
      </c>
      <c r="P49" s="624">
        <v>0</v>
      </c>
      <c r="Q49" s="632"/>
      <c r="R49" s="632"/>
      <c r="S49" s="632"/>
    </row>
    <row r="50" spans="1:19" ht="21.3">
      <c r="A50" s="585"/>
      <c r="B50" s="617"/>
      <c r="C50" s="617" t="s">
        <v>198</v>
      </c>
      <c r="D50" s="617"/>
      <c r="E50" s="624">
        <f>+N50</f>
        <v>0</v>
      </c>
      <c r="F50" s="619"/>
      <c r="G50" s="626"/>
      <c r="H50" s="627">
        <f t="shared" si="2"/>
        <v>0</v>
      </c>
      <c r="I50" s="628"/>
      <c r="J50" s="571">
        <f t="shared" si="4"/>
        <v>0</v>
      </c>
      <c r="K50" s="1060">
        <f t="shared" si="3"/>
        <v>0</v>
      </c>
      <c r="L50" s="1061"/>
      <c r="M50" s="574"/>
      <c r="N50" s="631">
        <f t="shared" si="6"/>
        <v>0</v>
      </c>
      <c r="O50" s="630">
        <v>0</v>
      </c>
      <c r="P50" s="624"/>
      <c r="Q50" s="574"/>
      <c r="R50" s="574"/>
      <c r="S50" s="574"/>
    </row>
    <row r="51" spans="1:19" ht="21.3">
      <c r="A51" s="585"/>
      <c r="B51" s="617" t="s">
        <v>199</v>
      </c>
      <c r="C51" s="617" t="s">
        <v>200</v>
      </c>
      <c r="D51" s="617"/>
      <c r="E51" s="624">
        <f t="shared" si="5"/>
        <v>0</v>
      </c>
      <c r="F51" s="625" t="s">
        <v>34</v>
      </c>
      <c r="G51" s="626">
        <v>3570</v>
      </c>
      <c r="H51" s="627">
        <f t="shared" si="2"/>
        <v>0</v>
      </c>
      <c r="I51" s="628">
        <v>220</v>
      </c>
      <c r="J51" s="571">
        <f t="shared" si="4"/>
        <v>0</v>
      </c>
      <c r="K51" s="1060">
        <f t="shared" si="3"/>
        <v>0</v>
      </c>
      <c r="L51" s="1061"/>
      <c r="M51" s="574"/>
      <c r="N51" s="631">
        <f t="shared" si="6"/>
        <v>0</v>
      </c>
      <c r="O51" s="630">
        <v>0</v>
      </c>
      <c r="P51" s="624">
        <v>0</v>
      </c>
      <c r="Q51" s="574"/>
      <c r="R51" s="574"/>
      <c r="S51" s="574"/>
    </row>
    <row r="52" spans="1:19" ht="21.3">
      <c r="A52" s="585"/>
      <c r="B52" s="617" t="s">
        <v>201</v>
      </c>
      <c r="C52" s="617" t="s">
        <v>202</v>
      </c>
      <c r="D52" s="617"/>
      <c r="E52" s="624">
        <f t="shared" si="5"/>
        <v>0</v>
      </c>
      <c r="F52" s="625" t="s">
        <v>34</v>
      </c>
      <c r="G52" s="626">
        <f>ROUNDUP(2227.6*0.05+5*2.95,0)</f>
        <v>127</v>
      </c>
      <c r="H52" s="627">
        <f t="shared" si="2"/>
        <v>0</v>
      </c>
      <c r="I52" s="628">
        <v>82</v>
      </c>
      <c r="J52" s="571">
        <f t="shared" si="4"/>
        <v>0</v>
      </c>
      <c r="K52" s="1060">
        <f t="shared" si="3"/>
        <v>0</v>
      </c>
      <c r="L52" s="1061"/>
      <c r="M52" s="574"/>
      <c r="N52" s="631">
        <f t="shared" si="6"/>
        <v>0</v>
      </c>
      <c r="O52" s="630">
        <v>0</v>
      </c>
      <c r="P52" s="624">
        <v>0</v>
      </c>
      <c r="Q52" s="574"/>
      <c r="R52" s="574"/>
      <c r="S52" s="574"/>
    </row>
    <row r="53" spans="1:19" ht="21.3">
      <c r="A53" s="585"/>
      <c r="B53" s="617" t="s">
        <v>203</v>
      </c>
      <c r="C53" s="1125" t="s">
        <v>204</v>
      </c>
      <c r="D53" s="1126"/>
      <c r="E53" s="624">
        <f t="shared" si="5"/>
        <v>8315.4399999999987</v>
      </c>
      <c r="F53" s="625" t="s">
        <v>34</v>
      </c>
      <c r="G53" s="628">
        <v>120</v>
      </c>
      <c r="H53" s="627">
        <f t="shared" ref="H53:H56" si="10">E53*G53</f>
        <v>997852.79999999981</v>
      </c>
      <c r="I53" s="628">
        <v>61</v>
      </c>
      <c r="J53" s="571">
        <f t="shared" si="4"/>
        <v>507241.83999999991</v>
      </c>
      <c r="K53" s="1060">
        <f t="shared" si="3"/>
        <v>1505094.6399999997</v>
      </c>
      <c r="L53" s="1061"/>
      <c r="M53" s="632"/>
      <c r="N53" s="631">
        <f t="shared" si="6"/>
        <v>8315.4399999999987</v>
      </c>
      <c r="O53" s="630">
        <v>0</v>
      </c>
      <c r="P53" s="624">
        <v>8315.4399999999987</v>
      </c>
      <c r="Q53" s="632"/>
      <c r="R53" s="632"/>
      <c r="S53" s="632"/>
    </row>
    <row r="54" spans="1:19" ht="21.3">
      <c r="A54" s="585"/>
      <c r="B54" s="617" t="s">
        <v>205</v>
      </c>
      <c r="C54" s="617" t="s">
        <v>206</v>
      </c>
      <c r="D54" s="617"/>
      <c r="E54" s="624">
        <f t="shared" si="5"/>
        <v>0</v>
      </c>
      <c r="F54" s="625" t="s">
        <v>34</v>
      </c>
      <c r="G54" s="626">
        <v>447</v>
      </c>
      <c r="H54" s="627">
        <f t="shared" si="10"/>
        <v>0</v>
      </c>
      <c r="I54" s="628">
        <v>212</v>
      </c>
      <c r="J54" s="571">
        <f t="shared" si="4"/>
        <v>0</v>
      </c>
      <c r="K54" s="1060">
        <f t="shared" si="3"/>
        <v>0</v>
      </c>
      <c r="L54" s="1061"/>
      <c r="M54" s="632"/>
      <c r="N54" s="631">
        <f t="shared" si="6"/>
        <v>0</v>
      </c>
      <c r="O54" s="630">
        <v>0</v>
      </c>
      <c r="P54" s="624">
        <v>0</v>
      </c>
      <c r="Q54" s="632"/>
      <c r="R54" s="632"/>
      <c r="S54" s="632"/>
    </row>
    <row r="55" spans="1:19" ht="21.3">
      <c r="A55" s="585"/>
      <c r="B55" s="617" t="s">
        <v>207</v>
      </c>
      <c r="C55" s="1125" t="s">
        <v>208</v>
      </c>
      <c r="D55" s="1126"/>
      <c r="E55" s="624">
        <f t="shared" si="5"/>
        <v>0</v>
      </c>
      <c r="F55" s="625" t="s">
        <v>34</v>
      </c>
      <c r="G55" s="628">
        <v>240</v>
      </c>
      <c r="H55" s="627">
        <f t="shared" si="10"/>
        <v>0</v>
      </c>
      <c r="I55" s="628">
        <v>80</v>
      </c>
      <c r="J55" s="571">
        <f t="shared" si="4"/>
        <v>0</v>
      </c>
      <c r="K55" s="1060">
        <f t="shared" si="3"/>
        <v>0</v>
      </c>
      <c r="L55" s="1061"/>
      <c r="M55" s="632"/>
      <c r="N55" s="631">
        <f t="shared" si="6"/>
        <v>0</v>
      </c>
      <c r="O55" s="630">
        <v>0</v>
      </c>
      <c r="P55" s="624">
        <v>0</v>
      </c>
      <c r="Q55" s="632"/>
      <c r="R55" s="632"/>
      <c r="S55" s="632"/>
    </row>
    <row r="56" spans="1:19" ht="21.3">
      <c r="A56" s="585"/>
      <c r="B56" s="617" t="s">
        <v>209</v>
      </c>
      <c r="C56" s="1125" t="s">
        <v>210</v>
      </c>
      <c r="D56" s="1126"/>
      <c r="E56" s="624">
        <f t="shared" si="5"/>
        <v>0</v>
      </c>
      <c r="F56" s="625" t="s">
        <v>34</v>
      </c>
      <c r="G56" s="628">
        <v>230</v>
      </c>
      <c r="H56" s="627">
        <f t="shared" si="10"/>
        <v>0</v>
      </c>
      <c r="I56" s="628">
        <v>0</v>
      </c>
      <c r="J56" s="571">
        <f t="shared" si="4"/>
        <v>0</v>
      </c>
      <c r="K56" s="1060">
        <f t="shared" si="3"/>
        <v>0</v>
      </c>
      <c r="L56" s="1061"/>
      <c r="M56" s="632"/>
      <c r="N56" s="631">
        <f t="shared" si="6"/>
        <v>0</v>
      </c>
      <c r="O56" s="630">
        <v>0</v>
      </c>
      <c r="P56" s="624">
        <v>0</v>
      </c>
      <c r="Q56" s="632"/>
      <c r="R56" s="632"/>
      <c r="S56" s="632"/>
    </row>
    <row r="57" spans="1:19" ht="21.3">
      <c r="A57" s="585"/>
      <c r="B57" s="617" t="s">
        <v>211</v>
      </c>
      <c r="C57" s="1125" t="s">
        <v>212</v>
      </c>
      <c r="D57" s="1126"/>
      <c r="E57" s="624">
        <f t="shared" si="5"/>
        <v>0</v>
      </c>
      <c r="F57" s="625" t="s">
        <v>34</v>
      </c>
      <c r="G57" s="626">
        <v>220</v>
      </c>
      <c r="H57" s="627">
        <f t="shared" si="2"/>
        <v>0</v>
      </c>
      <c r="I57" s="628">
        <v>80</v>
      </c>
      <c r="J57" s="571">
        <f t="shared" si="4"/>
        <v>0</v>
      </c>
      <c r="K57" s="1060">
        <f t="shared" si="3"/>
        <v>0</v>
      </c>
      <c r="L57" s="1061"/>
      <c r="M57" s="632"/>
      <c r="N57" s="631">
        <f t="shared" si="6"/>
        <v>0</v>
      </c>
      <c r="O57" s="630">
        <v>0</v>
      </c>
      <c r="P57" s="624">
        <v>0</v>
      </c>
      <c r="Q57" s="632"/>
      <c r="R57" s="632"/>
      <c r="S57" s="632"/>
    </row>
    <row r="58" spans="1:19" ht="21.3">
      <c r="A58" s="585"/>
      <c r="B58" s="617" t="s">
        <v>213</v>
      </c>
      <c r="C58" s="1125" t="s">
        <v>214</v>
      </c>
      <c r="D58" s="1126"/>
      <c r="E58" s="624">
        <f t="shared" si="5"/>
        <v>0</v>
      </c>
      <c r="F58" s="625" t="s">
        <v>34</v>
      </c>
      <c r="G58" s="626">
        <v>113</v>
      </c>
      <c r="H58" s="627">
        <f t="shared" si="2"/>
        <v>0</v>
      </c>
      <c r="I58" s="628">
        <v>61</v>
      </c>
      <c r="J58" s="571">
        <f t="shared" si="4"/>
        <v>0</v>
      </c>
      <c r="K58" s="1060">
        <f t="shared" si="3"/>
        <v>0</v>
      </c>
      <c r="L58" s="1061"/>
      <c r="M58" s="574"/>
      <c r="N58" s="631">
        <f t="shared" si="6"/>
        <v>0</v>
      </c>
      <c r="O58" s="630">
        <v>0</v>
      </c>
      <c r="P58" s="624">
        <v>0</v>
      </c>
      <c r="Q58" s="574"/>
      <c r="R58" s="574"/>
      <c r="S58" s="574"/>
    </row>
    <row r="59" spans="1:19" ht="21.3">
      <c r="A59" s="585"/>
      <c r="B59" s="617" t="s">
        <v>215</v>
      </c>
      <c r="C59" s="1125" t="s">
        <v>216</v>
      </c>
      <c r="D59" s="1126"/>
      <c r="E59" s="624">
        <f t="shared" si="5"/>
        <v>0</v>
      </c>
      <c r="F59" s="625" t="s">
        <v>34</v>
      </c>
      <c r="G59" s="626">
        <v>113</v>
      </c>
      <c r="H59" s="627">
        <f t="shared" si="2"/>
        <v>0</v>
      </c>
      <c r="I59" s="628">
        <v>61</v>
      </c>
      <c r="J59" s="571">
        <f t="shared" si="4"/>
        <v>0</v>
      </c>
      <c r="K59" s="1060">
        <f t="shared" si="3"/>
        <v>0</v>
      </c>
      <c r="L59" s="1061"/>
      <c r="M59" s="574"/>
      <c r="N59" s="631">
        <f t="shared" si="6"/>
        <v>0</v>
      </c>
      <c r="O59" s="630">
        <v>0</v>
      </c>
      <c r="P59" s="624">
        <v>0</v>
      </c>
      <c r="Q59" s="574"/>
      <c r="R59" s="574"/>
      <c r="S59" s="574"/>
    </row>
    <row r="60" spans="1:19" ht="21.3">
      <c r="A60" s="585"/>
      <c r="B60" s="617" t="s">
        <v>217</v>
      </c>
      <c r="C60" s="1125" t="s">
        <v>218</v>
      </c>
      <c r="D60" s="1126"/>
      <c r="E60" s="624">
        <f t="shared" si="5"/>
        <v>0</v>
      </c>
      <c r="F60" s="625" t="s">
        <v>34</v>
      </c>
      <c r="G60" s="626">
        <v>113</v>
      </c>
      <c r="H60" s="627">
        <f t="shared" si="2"/>
        <v>0</v>
      </c>
      <c r="I60" s="628">
        <v>61</v>
      </c>
      <c r="J60" s="571">
        <f t="shared" si="4"/>
        <v>0</v>
      </c>
      <c r="K60" s="1060">
        <f t="shared" si="3"/>
        <v>0</v>
      </c>
      <c r="L60" s="1061"/>
      <c r="M60" s="574"/>
      <c r="N60" s="631">
        <f t="shared" si="6"/>
        <v>0</v>
      </c>
      <c r="O60" s="630">
        <v>0</v>
      </c>
      <c r="P60" s="624">
        <v>0</v>
      </c>
      <c r="Q60" s="574"/>
      <c r="R60" s="574"/>
      <c r="S60" s="574"/>
    </row>
    <row r="61" spans="1:19" ht="21.3">
      <c r="A61" s="585"/>
      <c r="B61" s="617" t="s">
        <v>219</v>
      </c>
      <c r="C61" s="1125" t="s">
        <v>220</v>
      </c>
      <c r="D61" s="1124"/>
      <c r="E61" s="624">
        <f t="shared" si="5"/>
        <v>0</v>
      </c>
      <c r="F61" s="625" t="s">
        <v>34</v>
      </c>
      <c r="G61" s="626">
        <v>113</v>
      </c>
      <c r="H61" s="627">
        <f t="shared" si="2"/>
        <v>0</v>
      </c>
      <c r="I61" s="628">
        <v>61</v>
      </c>
      <c r="J61" s="571">
        <f t="shared" si="4"/>
        <v>0</v>
      </c>
      <c r="K61" s="1060">
        <f t="shared" si="3"/>
        <v>0</v>
      </c>
      <c r="L61" s="1061"/>
      <c r="M61" s="574"/>
      <c r="N61" s="631">
        <f t="shared" si="6"/>
        <v>0</v>
      </c>
      <c r="O61" s="630">
        <v>0</v>
      </c>
      <c r="P61" s="624">
        <v>0</v>
      </c>
      <c r="Q61" s="574"/>
      <c r="R61" s="574"/>
      <c r="S61" s="574"/>
    </row>
    <row r="62" spans="1:19" ht="21.3">
      <c r="A62" s="585"/>
      <c r="B62" s="617" t="s">
        <v>221</v>
      </c>
      <c r="C62" s="1125" t="s">
        <v>222</v>
      </c>
      <c r="D62" s="1124"/>
      <c r="E62" s="624">
        <f t="shared" si="5"/>
        <v>100.32000000000002</v>
      </c>
      <c r="F62" s="625" t="s">
        <v>34</v>
      </c>
      <c r="G62" s="626">
        <v>583</v>
      </c>
      <c r="H62" s="627">
        <f t="shared" si="2"/>
        <v>58486.560000000012</v>
      </c>
      <c r="I62" s="628">
        <v>298</v>
      </c>
      <c r="J62" s="571">
        <f t="shared" si="4"/>
        <v>29895.360000000008</v>
      </c>
      <c r="K62" s="1060">
        <f t="shared" si="3"/>
        <v>88381.920000000013</v>
      </c>
      <c r="L62" s="1061"/>
      <c r="M62" s="632"/>
      <c r="N62" s="631">
        <f t="shared" si="6"/>
        <v>100.32000000000002</v>
      </c>
      <c r="O62" s="630">
        <v>0</v>
      </c>
      <c r="P62" s="624">
        <v>100.32000000000002</v>
      </c>
      <c r="Q62" s="632"/>
      <c r="R62" s="632"/>
      <c r="S62" s="632"/>
    </row>
    <row r="63" spans="1:19" ht="21.3">
      <c r="A63" s="585"/>
      <c r="B63" s="617" t="s">
        <v>593</v>
      </c>
      <c r="C63" s="1127" t="s">
        <v>594</v>
      </c>
      <c r="D63" s="1126"/>
      <c r="E63" s="624">
        <f t="shared" si="5"/>
        <v>0</v>
      </c>
      <c r="F63" s="625" t="s">
        <v>34</v>
      </c>
      <c r="G63" s="626">
        <v>533</v>
      </c>
      <c r="H63" s="627">
        <f t="shared" ref="H63:H66" si="11">SUM(E63*G63)</f>
        <v>0</v>
      </c>
      <c r="I63" s="628">
        <v>130</v>
      </c>
      <c r="J63" s="571">
        <f t="shared" si="4"/>
        <v>0</v>
      </c>
      <c r="K63" s="1060">
        <f t="shared" si="3"/>
        <v>0</v>
      </c>
      <c r="L63" s="1061"/>
      <c r="M63" s="574"/>
      <c r="N63" s="631">
        <f t="shared" si="6"/>
        <v>0</v>
      </c>
      <c r="O63" s="630">
        <v>0</v>
      </c>
      <c r="P63" s="624">
        <v>0</v>
      </c>
      <c r="Q63" s="574"/>
      <c r="R63" s="574"/>
      <c r="S63" s="574"/>
    </row>
    <row r="64" spans="1:19" ht="21.3">
      <c r="A64" s="585"/>
      <c r="B64" s="617" t="s">
        <v>238</v>
      </c>
      <c r="C64" s="1127" t="s">
        <v>595</v>
      </c>
      <c r="D64" s="1126"/>
      <c r="E64" s="624">
        <f t="shared" si="5"/>
        <v>0</v>
      </c>
      <c r="F64" s="625" t="s">
        <v>34</v>
      </c>
      <c r="G64" s="626">
        <v>4810</v>
      </c>
      <c r="H64" s="627">
        <f t="shared" si="11"/>
        <v>0</v>
      </c>
      <c r="I64" s="628">
        <v>1640</v>
      </c>
      <c r="J64" s="571">
        <f t="shared" si="4"/>
        <v>0</v>
      </c>
      <c r="K64" s="1060">
        <f t="shared" si="3"/>
        <v>0</v>
      </c>
      <c r="L64" s="1061"/>
      <c r="M64" s="574"/>
      <c r="N64" s="631">
        <f t="shared" si="6"/>
        <v>0</v>
      </c>
      <c r="O64" s="630">
        <v>0</v>
      </c>
      <c r="P64" s="624">
        <v>0</v>
      </c>
      <c r="Q64" s="574"/>
      <c r="R64" s="574"/>
      <c r="S64" s="574"/>
    </row>
    <row r="65" spans="1:24" ht="21.3">
      <c r="A65" s="585"/>
      <c r="B65" s="617" t="s">
        <v>596</v>
      </c>
      <c r="C65" s="1127" t="s">
        <v>597</v>
      </c>
      <c r="D65" s="1124"/>
      <c r="E65" s="624">
        <f t="shared" si="5"/>
        <v>0</v>
      </c>
      <c r="F65" s="625" t="s">
        <v>34</v>
      </c>
      <c r="G65" s="626">
        <v>253</v>
      </c>
      <c r="H65" s="627">
        <f t="shared" si="11"/>
        <v>0</v>
      </c>
      <c r="I65" s="628">
        <v>50</v>
      </c>
      <c r="J65" s="571">
        <f t="shared" si="4"/>
        <v>0</v>
      </c>
      <c r="K65" s="1060">
        <f t="shared" si="3"/>
        <v>0</v>
      </c>
      <c r="L65" s="1061"/>
      <c r="M65" s="574"/>
      <c r="N65" s="631">
        <f t="shared" si="6"/>
        <v>0</v>
      </c>
      <c r="O65" s="630">
        <v>0</v>
      </c>
      <c r="P65" s="624">
        <v>0</v>
      </c>
      <c r="Q65" s="574"/>
      <c r="R65" s="574"/>
      <c r="S65" s="574"/>
    </row>
    <row r="66" spans="1:24" ht="21.3">
      <c r="A66" s="585"/>
      <c r="B66" s="617" t="s">
        <v>598</v>
      </c>
      <c r="C66" s="1127" t="s">
        <v>599</v>
      </c>
      <c r="D66" s="1124"/>
      <c r="E66" s="624">
        <f t="shared" si="5"/>
        <v>0</v>
      </c>
      <c r="F66" s="625" t="s">
        <v>34</v>
      </c>
      <c r="G66" s="626">
        <v>1964</v>
      </c>
      <c r="H66" s="627">
        <f t="shared" si="11"/>
        <v>0</v>
      </c>
      <c r="I66" s="628">
        <v>220</v>
      </c>
      <c r="J66" s="571">
        <f t="shared" si="4"/>
        <v>0</v>
      </c>
      <c r="K66" s="1060">
        <f t="shared" si="3"/>
        <v>0</v>
      </c>
      <c r="L66" s="1061"/>
      <c r="M66" s="632"/>
      <c r="N66" s="631">
        <f t="shared" si="6"/>
        <v>0</v>
      </c>
      <c r="O66" s="630">
        <v>0</v>
      </c>
      <c r="P66" s="624">
        <v>0</v>
      </c>
      <c r="Q66" s="632"/>
      <c r="R66" s="632"/>
      <c r="S66" s="632"/>
    </row>
    <row r="67" spans="1:24" s="574" customFormat="1" ht="24" customHeight="1">
      <c r="A67" s="585"/>
      <c r="B67" s="617"/>
      <c r="C67" s="1128" t="s">
        <v>223</v>
      </c>
      <c r="D67" s="1126"/>
      <c r="E67" s="624">
        <f t="shared" si="5"/>
        <v>0</v>
      </c>
      <c r="F67" s="625"/>
      <c r="G67" s="626"/>
      <c r="H67" s="627">
        <f t="shared" ref="H67:H69" si="12">SUM(E67*G67)</f>
        <v>0</v>
      </c>
      <c r="I67" s="628"/>
      <c r="J67" s="633">
        <f t="shared" ref="J67:J69" si="13">SUM(E67*I67)</f>
        <v>0</v>
      </c>
      <c r="K67" s="626">
        <f t="shared" ref="K67:K69" si="14">SUM(H67+J67)</f>
        <v>0</v>
      </c>
      <c r="L67" s="1063"/>
      <c r="M67" s="634"/>
      <c r="N67" s="635">
        <f t="shared" si="6"/>
        <v>0</v>
      </c>
      <c r="O67" s="636">
        <v>0</v>
      </c>
      <c r="P67" s="637"/>
      <c r="Q67" s="634"/>
      <c r="R67" s="634"/>
      <c r="S67" s="634"/>
      <c r="T67" s="634"/>
      <c r="U67" s="634"/>
      <c r="V67" s="634"/>
      <c r="W67" s="634"/>
      <c r="X67" s="634"/>
    </row>
    <row r="68" spans="1:24" s="574" customFormat="1" ht="24" customHeight="1">
      <c r="A68" s="585"/>
      <c r="B68" s="617" t="s">
        <v>224</v>
      </c>
      <c r="C68" s="1125" t="s">
        <v>225</v>
      </c>
      <c r="D68" s="1124"/>
      <c r="E68" s="624">
        <f t="shared" si="5"/>
        <v>105</v>
      </c>
      <c r="F68" s="625" t="s">
        <v>226</v>
      </c>
      <c r="G68" s="626">
        <v>200</v>
      </c>
      <c r="H68" s="627">
        <f t="shared" si="12"/>
        <v>21000</v>
      </c>
      <c r="I68" s="628">
        <v>45</v>
      </c>
      <c r="J68" s="633">
        <f t="shared" si="13"/>
        <v>4725</v>
      </c>
      <c r="K68" s="626">
        <f t="shared" si="14"/>
        <v>25725</v>
      </c>
      <c r="L68" s="1064"/>
      <c r="M68" s="634"/>
      <c r="N68" s="635">
        <f t="shared" si="6"/>
        <v>105</v>
      </c>
      <c r="O68" s="636">
        <v>0</v>
      </c>
      <c r="P68" s="637">
        <v>105</v>
      </c>
      <c r="Q68" s="634"/>
      <c r="R68" s="634"/>
      <c r="S68" s="634"/>
      <c r="T68" s="634"/>
      <c r="U68" s="634"/>
      <c r="V68" s="634"/>
      <c r="W68" s="634"/>
      <c r="X68" s="634"/>
    </row>
    <row r="69" spans="1:24" s="574" customFormat="1" ht="24" customHeight="1">
      <c r="A69" s="585"/>
      <c r="B69" s="617" t="s">
        <v>227</v>
      </c>
      <c r="C69" s="1125" t="s">
        <v>228</v>
      </c>
      <c r="D69" s="1124"/>
      <c r="E69" s="624">
        <f t="shared" si="5"/>
        <v>1007.6900000000002</v>
      </c>
      <c r="F69" s="625" t="s">
        <v>226</v>
      </c>
      <c r="G69" s="626">
        <v>19</v>
      </c>
      <c r="H69" s="627">
        <f t="shared" si="12"/>
        <v>19146.110000000004</v>
      </c>
      <c r="I69" s="628">
        <v>20</v>
      </c>
      <c r="J69" s="633">
        <f t="shared" si="13"/>
        <v>20153.800000000003</v>
      </c>
      <c r="K69" s="626">
        <f t="shared" si="14"/>
        <v>39299.910000000003</v>
      </c>
      <c r="L69" s="1064"/>
      <c r="M69" s="634"/>
      <c r="N69" s="635">
        <f t="shared" si="6"/>
        <v>1007.6900000000002</v>
      </c>
      <c r="O69" s="636">
        <v>0</v>
      </c>
      <c r="P69" s="637">
        <v>1007.6900000000002</v>
      </c>
      <c r="Q69" s="634"/>
      <c r="R69" s="634"/>
      <c r="S69" s="634"/>
      <c r="T69" s="634"/>
      <c r="U69" s="634"/>
      <c r="V69" s="634"/>
      <c r="W69" s="634"/>
      <c r="X69" s="634"/>
    </row>
    <row r="70" spans="1:24" ht="21.3">
      <c r="A70" s="585"/>
      <c r="B70" s="617"/>
      <c r="C70" s="617"/>
      <c r="D70" s="617"/>
      <c r="E70" s="624"/>
      <c r="F70" s="619"/>
      <c r="G70" s="620"/>
      <c r="H70" s="571">
        <f t="shared" ref="H70:H103" si="15">+E70*G70</f>
        <v>0</v>
      </c>
      <c r="I70" s="572"/>
      <c r="J70" s="571">
        <f t="shared" si="4"/>
        <v>0</v>
      </c>
      <c r="K70" s="1060">
        <f t="shared" si="3"/>
        <v>0</v>
      </c>
      <c r="L70" s="1061"/>
      <c r="M70" s="574"/>
      <c r="N70" s="631">
        <f t="shared" si="6"/>
        <v>0</v>
      </c>
      <c r="O70" s="630">
        <v>0</v>
      </c>
      <c r="P70" s="624"/>
      <c r="Q70" s="574"/>
      <c r="R70" s="574"/>
      <c r="S70" s="574"/>
    </row>
    <row r="71" spans="1:24" ht="21.3">
      <c r="A71" s="585" t="s">
        <v>229</v>
      </c>
      <c r="B71" s="1114" t="s">
        <v>230</v>
      </c>
      <c r="C71" s="617"/>
      <c r="D71" s="1124"/>
      <c r="E71" s="618"/>
      <c r="F71" s="619"/>
      <c r="G71" s="620"/>
      <c r="H71" s="571">
        <f t="shared" si="15"/>
        <v>0</v>
      </c>
      <c r="I71" s="572"/>
      <c r="J71" s="571">
        <f t="shared" si="4"/>
        <v>0</v>
      </c>
      <c r="K71" s="1060">
        <f t="shared" si="3"/>
        <v>0</v>
      </c>
      <c r="L71" s="1061"/>
      <c r="M71" s="574"/>
      <c r="N71" s="621">
        <f t="shared" si="6"/>
        <v>0</v>
      </c>
      <c r="O71" s="622">
        <v>0</v>
      </c>
      <c r="P71" s="618"/>
      <c r="Q71" s="574"/>
      <c r="R71" s="574"/>
      <c r="S71" s="574"/>
    </row>
    <row r="72" spans="1:24" ht="21.3">
      <c r="A72" s="585"/>
      <c r="B72" s="1114"/>
      <c r="C72" s="617" t="s">
        <v>231</v>
      </c>
      <c r="D72" s="1124"/>
      <c r="E72" s="624">
        <f>+E73+E74+E75+E76+E78+E81+E83+E86+E88+E94+E95+E97+E98+E77</f>
        <v>417</v>
      </c>
      <c r="F72" s="625" t="s">
        <v>34</v>
      </c>
      <c r="G72" s="626">
        <v>113</v>
      </c>
      <c r="H72" s="627">
        <f t="shared" ref="H72:H84" si="16">SUM(E72*G72)</f>
        <v>47121</v>
      </c>
      <c r="I72" s="628">
        <v>61</v>
      </c>
      <c r="J72" s="571">
        <f t="shared" si="4"/>
        <v>25437</v>
      </c>
      <c r="K72" s="1060">
        <f t="shared" si="3"/>
        <v>72558</v>
      </c>
      <c r="L72" s="1062"/>
      <c r="M72" s="574"/>
      <c r="N72" s="629">
        <f t="shared" si="6"/>
        <v>0</v>
      </c>
      <c r="O72" s="630">
        <v>0</v>
      </c>
      <c r="P72" s="624"/>
      <c r="Q72" s="574"/>
      <c r="R72" s="574"/>
      <c r="S72" s="574"/>
    </row>
    <row r="73" spans="1:24" ht="21.3">
      <c r="A73" s="585"/>
      <c r="B73" s="617" t="s">
        <v>184</v>
      </c>
      <c r="C73" s="617" t="s">
        <v>185</v>
      </c>
      <c r="D73" s="617"/>
      <c r="E73" s="624">
        <f>+N73</f>
        <v>39.44</v>
      </c>
      <c r="F73" s="625" t="s">
        <v>34</v>
      </c>
      <c r="G73" s="626">
        <v>564</v>
      </c>
      <c r="H73" s="627">
        <f t="shared" si="16"/>
        <v>22244.16</v>
      </c>
      <c r="I73" s="628">
        <v>283</v>
      </c>
      <c r="J73" s="571">
        <f t="shared" si="4"/>
        <v>11161.519999999999</v>
      </c>
      <c r="K73" s="1060">
        <f t="shared" si="3"/>
        <v>33405.68</v>
      </c>
      <c r="L73" s="1061"/>
      <c r="M73" s="574"/>
      <c r="N73" s="631">
        <f t="shared" si="6"/>
        <v>39.44</v>
      </c>
      <c r="O73" s="630">
        <v>0</v>
      </c>
      <c r="P73" s="624">
        <v>39.44</v>
      </c>
      <c r="Q73" s="574"/>
      <c r="R73" s="574"/>
      <c r="S73" s="574"/>
    </row>
    <row r="74" spans="1:24" ht="21.3">
      <c r="A74" s="585"/>
      <c r="B74" s="617" t="s">
        <v>186</v>
      </c>
      <c r="C74" s="1125" t="s">
        <v>187</v>
      </c>
      <c r="D74" s="1126"/>
      <c r="E74" s="624">
        <f t="shared" ref="E74:E98" si="17">+N74</f>
        <v>163.82000000000002</v>
      </c>
      <c r="F74" s="625" t="s">
        <v>34</v>
      </c>
      <c r="G74" s="626">
        <v>295</v>
      </c>
      <c r="H74" s="627">
        <f t="shared" si="16"/>
        <v>48326.900000000009</v>
      </c>
      <c r="I74" s="628">
        <v>184</v>
      </c>
      <c r="J74" s="571">
        <f t="shared" si="4"/>
        <v>30142.880000000005</v>
      </c>
      <c r="K74" s="1060">
        <f t="shared" si="3"/>
        <v>78469.780000000013</v>
      </c>
      <c r="L74" s="1061"/>
      <c r="M74" s="574"/>
      <c r="N74" s="631">
        <f t="shared" si="6"/>
        <v>163.82000000000002</v>
      </c>
      <c r="O74" s="630">
        <v>0</v>
      </c>
      <c r="P74" s="624">
        <v>163.82000000000002</v>
      </c>
      <c r="Q74" s="574"/>
      <c r="R74" s="574"/>
      <c r="S74" s="574"/>
    </row>
    <row r="75" spans="1:24" ht="21.3">
      <c r="A75" s="585"/>
      <c r="B75" s="617" t="s">
        <v>188</v>
      </c>
      <c r="C75" s="1125" t="s">
        <v>189</v>
      </c>
      <c r="D75" s="1126"/>
      <c r="E75" s="624">
        <f t="shared" si="17"/>
        <v>0</v>
      </c>
      <c r="F75" s="625" t="s">
        <v>34</v>
      </c>
      <c r="G75" s="626">
        <v>297</v>
      </c>
      <c r="H75" s="627">
        <f t="shared" si="16"/>
        <v>0</v>
      </c>
      <c r="I75" s="628">
        <v>204</v>
      </c>
      <c r="J75" s="571">
        <f t="shared" si="4"/>
        <v>0</v>
      </c>
      <c r="K75" s="1060">
        <f t="shared" si="3"/>
        <v>0</v>
      </c>
      <c r="L75" s="1061"/>
      <c r="M75" s="574"/>
      <c r="N75" s="631">
        <f t="shared" si="6"/>
        <v>0</v>
      </c>
      <c r="O75" s="630">
        <v>0</v>
      </c>
      <c r="P75" s="624">
        <v>0</v>
      </c>
      <c r="Q75" s="574"/>
      <c r="R75" s="574"/>
      <c r="S75" s="574"/>
    </row>
    <row r="76" spans="1:24" ht="21.3">
      <c r="A76" s="585"/>
      <c r="B76" s="617" t="s">
        <v>190</v>
      </c>
      <c r="C76" s="1125" t="s">
        <v>191</v>
      </c>
      <c r="D76" s="1126"/>
      <c r="E76" s="624"/>
      <c r="F76" s="625" t="s">
        <v>34</v>
      </c>
      <c r="G76" s="626">
        <v>609</v>
      </c>
      <c r="H76" s="627">
        <f t="shared" si="16"/>
        <v>0</v>
      </c>
      <c r="I76" s="628">
        <v>222</v>
      </c>
      <c r="J76" s="571">
        <f t="shared" si="4"/>
        <v>0</v>
      </c>
      <c r="K76" s="1060">
        <f t="shared" si="3"/>
        <v>0</v>
      </c>
      <c r="L76" s="1061"/>
      <c r="M76" s="574"/>
      <c r="N76" s="631">
        <f t="shared" si="6"/>
        <v>162.06</v>
      </c>
      <c r="O76" s="630">
        <v>0</v>
      </c>
      <c r="P76" s="624">
        <v>162.06</v>
      </c>
      <c r="Q76" s="574"/>
      <c r="R76" s="574"/>
      <c r="S76" s="574"/>
    </row>
    <row r="77" spans="1:24" ht="21.3">
      <c r="A77" s="585"/>
      <c r="B77" s="623" t="s">
        <v>2547</v>
      </c>
      <c r="C77" s="1125" t="s">
        <v>191</v>
      </c>
      <c r="D77" s="1126"/>
      <c r="E77" s="624">
        <f t="shared" ref="E77" si="18">+N77</f>
        <v>162.06</v>
      </c>
      <c r="F77" s="625" t="s">
        <v>34</v>
      </c>
      <c r="G77" s="626">
        <v>399</v>
      </c>
      <c r="H77" s="627">
        <f t="shared" si="16"/>
        <v>64661.94</v>
      </c>
      <c r="I77" s="628">
        <v>222</v>
      </c>
      <c r="J77" s="571">
        <f t="shared" si="4"/>
        <v>35977.32</v>
      </c>
      <c r="K77" s="1060">
        <f t="shared" si="3"/>
        <v>100639.26000000001</v>
      </c>
      <c r="L77" s="1061"/>
      <c r="M77" s="574"/>
      <c r="N77" s="631">
        <f t="shared" si="6"/>
        <v>162.06</v>
      </c>
      <c r="O77" s="630">
        <v>0</v>
      </c>
      <c r="P77" s="624">
        <v>162.06</v>
      </c>
      <c r="Q77" s="574"/>
      <c r="R77" s="574"/>
      <c r="S77" s="574"/>
    </row>
    <row r="78" spans="1:24" ht="21.3">
      <c r="A78" s="585"/>
      <c r="B78" s="617" t="s">
        <v>192</v>
      </c>
      <c r="C78" s="1125" t="s">
        <v>193</v>
      </c>
      <c r="D78" s="1126"/>
      <c r="E78" s="624">
        <f t="shared" si="17"/>
        <v>0</v>
      </c>
      <c r="F78" s="625" t="s">
        <v>34</v>
      </c>
      <c r="G78" s="626">
        <v>617</v>
      </c>
      <c r="H78" s="627">
        <f t="shared" si="16"/>
        <v>0</v>
      </c>
      <c r="I78" s="628">
        <v>242</v>
      </c>
      <c r="J78" s="571">
        <f t="shared" si="4"/>
        <v>0</v>
      </c>
      <c r="K78" s="1060">
        <f t="shared" si="3"/>
        <v>0</v>
      </c>
      <c r="L78" s="1061"/>
      <c r="M78" s="574"/>
      <c r="N78" s="631">
        <f t="shared" si="6"/>
        <v>0</v>
      </c>
      <c r="O78" s="630">
        <v>0</v>
      </c>
      <c r="P78" s="624">
        <v>0</v>
      </c>
      <c r="Q78" s="574"/>
      <c r="R78" s="574"/>
      <c r="S78" s="574"/>
    </row>
    <row r="79" spans="1:24" ht="21.3">
      <c r="A79" s="585"/>
      <c r="B79" s="623" t="s">
        <v>2548</v>
      </c>
      <c r="C79" s="1125" t="s">
        <v>193</v>
      </c>
      <c r="D79" s="1126"/>
      <c r="E79" s="624">
        <v>24</v>
      </c>
      <c r="F79" s="625" t="s">
        <v>34</v>
      </c>
      <c r="G79" s="626">
        <v>399</v>
      </c>
      <c r="H79" s="627">
        <f t="shared" si="16"/>
        <v>9576</v>
      </c>
      <c r="I79" s="628">
        <v>242</v>
      </c>
      <c r="J79" s="571">
        <f t="shared" si="4"/>
        <v>5808</v>
      </c>
      <c r="K79" s="1060">
        <f t="shared" si="3"/>
        <v>15384</v>
      </c>
      <c r="L79" s="1061"/>
      <c r="M79" s="574"/>
      <c r="N79" s="631">
        <f t="shared" si="6"/>
        <v>0</v>
      </c>
      <c r="O79" s="630">
        <v>0</v>
      </c>
      <c r="P79" s="624">
        <v>0</v>
      </c>
      <c r="Q79" s="574"/>
      <c r="R79" s="574"/>
      <c r="S79" s="574"/>
    </row>
    <row r="80" spans="1:24" ht="21.3">
      <c r="A80" s="585"/>
      <c r="B80" s="617" t="s">
        <v>194</v>
      </c>
      <c r="C80" s="617" t="s">
        <v>195</v>
      </c>
      <c r="D80" s="617"/>
      <c r="E80" s="624">
        <f t="shared" si="17"/>
        <v>1455.2700000000007</v>
      </c>
      <c r="F80" s="625" t="s">
        <v>34</v>
      </c>
      <c r="G80" s="626">
        <v>420</v>
      </c>
      <c r="H80" s="627">
        <f t="shared" si="16"/>
        <v>611213.40000000026</v>
      </c>
      <c r="I80" s="628">
        <v>100</v>
      </c>
      <c r="J80" s="571">
        <f t="shared" si="4"/>
        <v>145527.00000000006</v>
      </c>
      <c r="K80" s="1060">
        <f t="shared" si="3"/>
        <v>756740.40000000037</v>
      </c>
      <c r="L80" s="1061"/>
      <c r="M80" s="574"/>
      <c r="N80" s="631">
        <f t="shared" si="6"/>
        <v>1455.2700000000007</v>
      </c>
      <c r="O80" s="630">
        <v>0</v>
      </c>
      <c r="P80" s="624">
        <v>1455.2700000000007</v>
      </c>
      <c r="Q80" s="574"/>
      <c r="R80" s="574"/>
      <c r="S80" s="574"/>
    </row>
    <row r="81" spans="1:19" ht="21.3">
      <c r="A81" s="585"/>
      <c r="B81" s="617" t="s">
        <v>196</v>
      </c>
      <c r="C81" s="1125" t="s">
        <v>197</v>
      </c>
      <c r="D81" s="1126"/>
      <c r="E81" s="624">
        <f t="shared" si="17"/>
        <v>0</v>
      </c>
      <c r="F81" s="625" t="s">
        <v>34</v>
      </c>
      <c r="G81" s="626">
        <v>564</v>
      </c>
      <c r="H81" s="627">
        <f t="shared" si="16"/>
        <v>0</v>
      </c>
      <c r="I81" s="628">
        <v>283</v>
      </c>
      <c r="J81" s="571">
        <f t="shared" si="4"/>
        <v>0</v>
      </c>
      <c r="K81" s="1060">
        <f t="shared" si="3"/>
        <v>0</v>
      </c>
      <c r="L81" s="1061"/>
      <c r="M81" s="574"/>
      <c r="N81" s="631">
        <f t="shared" si="6"/>
        <v>0</v>
      </c>
      <c r="O81" s="630">
        <v>0</v>
      </c>
      <c r="P81" s="624">
        <v>0</v>
      </c>
      <c r="Q81" s="574"/>
      <c r="R81" s="574"/>
      <c r="S81" s="574"/>
    </row>
    <row r="82" spans="1:19" ht="21.3">
      <c r="A82" s="585"/>
      <c r="B82" s="617"/>
      <c r="C82" s="617" t="s">
        <v>198</v>
      </c>
      <c r="D82" s="617"/>
      <c r="E82" s="624">
        <f t="shared" si="17"/>
        <v>0</v>
      </c>
      <c r="F82" s="619"/>
      <c r="G82" s="626"/>
      <c r="H82" s="627">
        <f t="shared" si="16"/>
        <v>0</v>
      </c>
      <c r="I82" s="628"/>
      <c r="J82" s="571">
        <f t="shared" si="4"/>
        <v>0</v>
      </c>
      <c r="K82" s="1060">
        <f t="shared" si="3"/>
        <v>0</v>
      </c>
      <c r="L82" s="1061"/>
      <c r="M82" s="574"/>
      <c r="N82" s="631">
        <f t="shared" si="6"/>
        <v>0</v>
      </c>
      <c r="O82" s="630">
        <v>0</v>
      </c>
      <c r="P82" s="624"/>
      <c r="Q82" s="574"/>
      <c r="R82" s="574"/>
      <c r="S82" s="574"/>
    </row>
    <row r="83" spans="1:19" ht="21.3">
      <c r="A83" s="585"/>
      <c r="B83" s="617" t="s">
        <v>199</v>
      </c>
      <c r="C83" s="617" t="s">
        <v>200</v>
      </c>
      <c r="D83" s="617"/>
      <c r="E83" s="624">
        <f t="shared" si="17"/>
        <v>0</v>
      </c>
      <c r="F83" s="625" t="s">
        <v>34</v>
      </c>
      <c r="G83" s="626">
        <v>3570</v>
      </c>
      <c r="H83" s="627">
        <f t="shared" si="16"/>
        <v>0</v>
      </c>
      <c r="I83" s="628">
        <v>220</v>
      </c>
      <c r="J83" s="571">
        <f t="shared" si="4"/>
        <v>0</v>
      </c>
      <c r="K83" s="1060">
        <f t="shared" si="3"/>
        <v>0</v>
      </c>
      <c r="L83" s="1061"/>
      <c r="M83" s="574"/>
      <c r="N83" s="631">
        <f t="shared" si="6"/>
        <v>0</v>
      </c>
      <c r="O83" s="630">
        <v>0</v>
      </c>
      <c r="P83" s="624">
        <v>0</v>
      </c>
      <c r="Q83" s="574"/>
      <c r="R83" s="574"/>
      <c r="S83" s="574"/>
    </row>
    <row r="84" spans="1:19" ht="21.3">
      <c r="A84" s="585"/>
      <c r="B84" s="617" t="s">
        <v>201</v>
      </c>
      <c r="C84" s="617" t="s">
        <v>202</v>
      </c>
      <c r="D84" s="617"/>
      <c r="E84" s="624">
        <f t="shared" si="17"/>
        <v>147.23999999999998</v>
      </c>
      <c r="F84" s="625" t="s">
        <v>34</v>
      </c>
      <c r="G84" s="626">
        <f>ROUNDUP(2227.6*0.05+5*2.95,0)</f>
        <v>127</v>
      </c>
      <c r="H84" s="627">
        <f t="shared" si="16"/>
        <v>18699.479999999996</v>
      </c>
      <c r="I84" s="628">
        <v>82</v>
      </c>
      <c r="J84" s="571">
        <f t="shared" si="4"/>
        <v>12073.679999999998</v>
      </c>
      <c r="K84" s="1060">
        <f t="shared" si="3"/>
        <v>30773.159999999996</v>
      </c>
      <c r="L84" s="1061"/>
      <c r="M84" s="574"/>
      <c r="N84" s="631">
        <f t="shared" si="6"/>
        <v>147.23999999999998</v>
      </c>
      <c r="O84" s="630">
        <v>0</v>
      </c>
      <c r="P84" s="624">
        <v>147.23999999999998</v>
      </c>
      <c r="Q84" s="574"/>
      <c r="R84" s="574"/>
      <c r="S84" s="574"/>
    </row>
    <row r="85" spans="1:19" ht="21.3">
      <c r="A85" s="585"/>
      <c r="B85" s="617" t="s">
        <v>203</v>
      </c>
      <c r="C85" s="1125" t="s">
        <v>204</v>
      </c>
      <c r="D85" s="1126"/>
      <c r="E85" s="624">
        <f t="shared" si="17"/>
        <v>7397.0199999999995</v>
      </c>
      <c r="F85" s="625" t="s">
        <v>34</v>
      </c>
      <c r="G85" s="628">
        <v>120</v>
      </c>
      <c r="H85" s="627">
        <f t="shared" ref="H85:H88" si="19">E85*G85</f>
        <v>887642.39999999991</v>
      </c>
      <c r="I85" s="628">
        <v>61</v>
      </c>
      <c r="J85" s="571">
        <f t="shared" si="4"/>
        <v>451218.22</v>
      </c>
      <c r="K85" s="1060">
        <f t="shared" si="3"/>
        <v>1338860.6199999999</v>
      </c>
      <c r="L85" s="1061"/>
      <c r="M85" s="574"/>
      <c r="N85" s="631">
        <f t="shared" si="6"/>
        <v>7397.0199999999995</v>
      </c>
      <c r="O85" s="630">
        <v>0</v>
      </c>
      <c r="P85" s="624">
        <v>7397.0199999999995</v>
      </c>
      <c r="Q85" s="574"/>
      <c r="R85" s="574"/>
      <c r="S85" s="574"/>
    </row>
    <row r="86" spans="1:19" ht="21.3">
      <c r="A86" s="585"/>
      <c r="B86" s="617" t="s">
        <v>205</v>
      </c>
      <c r="C86" s="617" t="s">
        <v>206</v>
      </c>
      <c r="D86" s="617"/>
      <c r="E86" s="624">
        <f t="shared" si="17"/>
        <v>0</v>
      </c>
      <c r="F86" s="625" t="s">
        <v>34</v>
      </c>
      <c r="G86" s="626">
        <v>447</v>
      </c>
      <c r="H86" s="627">
        <f t="shared" si="19"/>
        <v>0</v>
      </c>
      <c r="I86" s="628">
        <v>212</v>
      </c>
      <c r="J86" s="571">
        <f t="shared" si="4"/>
        <v>0</v>
      </c>
      <c r="K86" s="1060">
        <f t="shared" si="3"/>
        <v>0</v>
      </c>
      <c r="L86" s="1061"/>
      <c r="M86" s="574"/>
      <c r="N86" s="631">
        <f t="shared" si="6"/>
        <v>0</v>
      </c>
      <c r="O86" s="630">
        <v>0</v>
      </c>
      <c r="P86" s="624">
        <v>0</v>
      </c>
      <c r="Q86" s="574"/>
      <c r="R86" s="574"/>
      <c r="S86" s="574"/>
    </row>
    <row r="87" spans="1:19" ht="21.3">
      <c r="A87" s="585"/>
      <c r="B87" s="617" t="s">
        <v>207</v>
      </c>
      <c r="C87" s="1125" t="s">
        <v>208</v>
      </c>
      <c r="D87" s="1126"/>
      <c r="E87" s="624">
        <f t="shared" si="17"/>
        <v>0</v>
      </c>
      <c r="F87" s="625" t="s">
        <v>34</v>
      </c>
      <c r="G87" s="628">
        <v>240</v>
      </c>
      <c r="H87" s="627">
        <f t="shared" si="19"/>
        <v>0</v>
      </c>
      <c r="I87" s="628">
        <v>80</v>
      </c>
      <c r="J87" s="571">
        <f t="shared" si="4"/>
        <v>0</v>
      </c>
      <c r="K87" s="1060">
        <f t="shared" si="3"/>
        <v>0</v>
      </c>
      <c r="L87" s="1061"/>
      <c r="M87" s="574"/>
      <c r="N87" s="631">
        <f t="shared" si="6"/>
        <v>0</v>
      </c>
      <c r="O87" s="630">
        <v>0</v>
      </c>
      <c r="P87" s="624">
        <v>0</v>
      </c>
      <c r="Q87" s="574"/>
      <c r="R87" s="574"/>
      <c r="S87" s="574"/>
    </row>
    <row r="88" spans="1:19" ht="21.3">
      <c r="A88" s="585"/>
      <c r="B88" s="617" t="s">
        <v>209</v>
      </c>
      <c r="C88" s="1125" t="s">
        <v>210</v>
      </c>
      <c r="D88" s="1126"/>
      <c r="E88" s="624">
        <f t="shared" si="17"/>
        <v>0</v>
      </c>
      <c r="F88" s="625" t="s">
        <v>34</v>
      </c>
      <c r="G88" s="628">
        <v>230</v>
      </c>
      <c r="H88" s="627">
        <f t="shared" si="19"/>
        <v>0</v>
      </c>
      <c r="I88" s="628">
        <v>0</v>
      </c>
      <c r="J88" s="571">
        <f t="shared" si="4"/>
        <v>0</v>
      </c>
      <c r="K88" s="1060">
        <f t="shared" si="3"/>
        <v>0</v>
      </c>
      <c r="L88" s="1061"/>
      <c r="M88" s="574"/>
      <c r="N88" s="631">
        <f t="shared" si="6"/>
        <v>0</v>
      </c>
      <c r="O88" s="630">
        <v>0</v>
      </c>
      <c r="P88" s="624">
        <v>0</v>
      </c>
      <c r="Q88" s="574"/>
      <c r="R88" s="574"/>
      <c r="S88" s="574"/>
    </row>
    <row r="89" spans="1:19" ht="21.3">
      <c r="A89" s="585"/>
      <c r="B89" s="617" t="s">
        <v>211</v>
      </c>
      <c r="C89" s="1125" t="s">
        <v>212</v>
      </c>
      <c r="D89" s="1126"/>
      <c r="E89" s="624">
        <f t="shared" si="17"/>
        <v>68.099999999999994</v>
      </c>
      <c r="F89" s="625" t="s">
        <v>34</v>
      </c>
      <c r="G89" s="626">
        <v>220</v>
      </c>
      <c r="H89" s="627">
        <f t="shared" ref="H89:H98" si="20">SUM(E89*G89)</f>
        <v>14981.999999999998</v>
      </c>
      <c r="I89" s="628">
        <v>80</v>
      </c>
      <c r="J89" s="571">
        <f t="shared" si="4"/>
        <v>5448</v>
      </c>
      <c r="K89" s="1060">
        <f t="shared" si="3"/>
        <v>20430</v>
      </c>
      <c r="L89" s="1061"/>
      <c r="M89" s="574"/>
      <c r="N89" s="631">
        <f t="shared" si="6"/>
        <v>68.099999999999994</v>
      </c>
      <c r="O89" s="630">
        <v>0</v>
      </c>
      <c r="P89" s="624">
        <v>68.099999999999994</v>
      </c>
      <c r="Q89" s="574"/>
      <c r="R89" s="574"/>
      <c r="S89" s="574"/>
    </row>
    <row r="90" spans="1:19" ht="21.3">
      <c r="A90" s="585"/>
      <c r="B90" s="617" t="s">
        <v>213</v>
      </c>
      <c r="C90" s="1125" t="s">
        <v>214</v>
      </c>
      <c r="D90" s="1126"/>
      <c r="E90" s="624">
        <f t="shared" si="17"/>
        <v>0</v>
      </c>
      <c r="F90" s="625" t="s">
        <v>34</v>
      </c>
      <c r="G90" s="626">
        <v>113</v>
      </c>
      <c r="H90" s="627">
        <f t="shared" si="20"/>
        <v>0</v>
      </c>
      <c r="I90" s="628">
        <v>61</v>
      </c>
      <c r="J90" s="571">
        <f t="shared" si="4"/>
        <v>0</v>
      </c>
      <c r="K90" s="1060">
        <f t="shared" si="3"/>
        <v>0</v>
      </c>
      <c r="L90" s="1061"/>
      <c r="M90" s="574"/>
      <c r="N90" s="631">
        <f t="shared" si="6"/>
        <v>0</v>
      </c>
      <c r="O90" s="630">
        <v>0</v>
      </c>
      <c r="P90" s="624">
        <v>0</v>
      </c>
      <c r="Q90" s="574"/>
      <c r="R90" s="574"/>
      <c r="S90" s="574"/>
    </row>
    <row r="91" spans="1:19" ht="21.3">
      <c r="A91" s="585"/>
      <c r="B91" s="617" t="s">
        <v>215</v>
      </c>
      <c r="C91" s="1125" t="s">
        <v>216</v>
      </c>
      <c r="D91" s="1126"/>
      <c r="E91" s="624">
        <f t="shared" si="17"/>
        <v>0</v>
      </c>
      <c r="F91" s="625" t="s">
        <v>34</v>
      </c>
      <c r="G91" s="626">
        <v>113</v>
      </c>
      <c r="H91" s="627">
        <f t="shared" si="20"/>
        <v>0</v>
      </c>
      <c r="I91" s="628">
        <v>61</v>
      </c>
      <c r="J91" s="571">
        <f t="shared" si="4"/>
        <v>0</v>
      </c>
      <c r="K91" s="1060">
        <f t="shared" si="3"/>
        <v>0</v>
      </c>
      <c r="L91" s="1061"/>
      <c r="M91" s="574"/>
      <c r="N91" s="631">
        <f t="shared" si="6"/>
        <v>0</v>
      </c>
      <c r="O91" s="630">
        <v>0</v>
      </c>
      <c r="P91" s="624">
        <v>0</v>
      </c>
      <c r="Q91" s="574"/>
      <c r="R91" s="574"/>
      <c r="S91" s="574"/>
    </row>
    <row r="92" spans="1:19" ht="21.3">
      <c r="A92" s="585"/>
      <c r="B92" s="617" t="s">
        <v>217</v>
      </c>
      <c r="C92" s="1125" t="s">
        <v>218</v>
      </c>
      <c r="D92" s="1126"/>
      <c r="E92" s="624">
        <f t="shared" si="17"/>
        <v>0</v>
      </c>
      <c r="F92" s="625" t="s">
        <v>34</v>
      </c>
      <c r="G92" s="626">
        <v>113</v>
      </c>
      <c r="H92" s="627">
        <f t="shared" si="20"/>
        <v>0</v>
      </c>
      <c r="I92" s="628">
        <v>61</v>
      </c>
      <c r="J92" s="571">
        <f t="shared" si="4"/>
        <v>0</v>
      </c>
      <c r="K92" s="1060">
        <f t="shared" si="3"/>
        <v>0</v>
      </c>
      <c r="L92" s="1061"/>
      <c r="M92" s="574"/>
      <c r="N92" s="631">
        <f t="shared" si="6"/>
        <v>0</v>
      </c>
      <c r="O92" s="630">
        <v>0</v>
      </c>
      <c r="P92" s="624">
        <v>0</v>
      </c>
      <c r="Q92" s="574"/>
      <c r="R92" s="574"/>
      <c r="S92" s="574"/>
    </row>
    <row r="93" spans="1:19" ht="21.3">
      <c r="A93" s="585"/>
      <c r="B93" s="617" t="s">
        <v>219</v>
      </c>
      <c r="C93" s="1125" t="s">
        <v>220</v>
      </c>
      <c r="D93" s="1124"/>
      <c r="E93" s="624">
        <f t="shared" si="17"/>
        <v>0</v>
      </c>
      <c r="F93" s="625" t="s">
        <v>34</v>
      </c>
      <c r="G93" s="626">
        <v>113</v>
      </c>
      <c r="H93" s="627">
        <f t="shared" si="20"/>
        <v>0</v>
      </c>
      <c r="I93" s="628">
        <v>61</v>
      </c>
      <c r="J93" s="571">
        <f t="shared" si="4"/>
        <v>0</v>
      </c>
      <c r="K93" s="1060">
        <f t="shared" si="3"/>
        <v>0</v>
      </c>
      <c r="L93" s="1061"/>
      <c r="M93" s="574"/>
      <c r="N93" s="631">
        <f t="shared" si="6"/>
        <v>0</v>
      </c>
      <c r="O93" s="630">
        <v>0</v>
      </c>
      <c r="P93" s="624">
        <v>0</v>
      </c>
      <c r="Q93" s="574"/>
      <c r="R93" s="574"/>
      <c r="S93" s="574"/>
    </row>
    <row r="94" spans="1:19" ht="21.3">
      <c r="A94" s="585"/>
      <c r="B94" s="617" t="s">
        <v>221</v>
      </c>
      <c r="C94" s="1125" t="s">
        <v>222</v>
      </c>
      <c r="D94" s="1124"/>
      <c r="E94" s="624">
        <f t="shared" si="17"/>
        <v>51.679999999999993</v>
      </c>
      <c r="F94" s="625" t="s">
        <v>34</v>
      </c>
      <c r="G94" s="626">
        <v>583</v>
      </c>
      <c r="H94" s="627">
        <f t="shared" si="20"/>
        <v>30129.439999999995</v>
      </c>
      <c r="I94" s="628">
        <v>298</v>
      </c>
      <c r="J94" s="571">
        <f t="shared" si="4"/>
        <v>15400.639999999998</v>
      </c>
      <c r="K94" s="1060">
        <f t="shared" si="3"/>
        <v>45530.079999999994</v>
      </c>
      <c r="L94" s="1061"/>
      <c r="M94" s="574"/>
      <c r="N94" s="631">
        <f t="shared" si="6"/>
        <v>51.679999999999993</v>
      </c>
      <c r="O94" s="630">
        <v>0</v>
      </c>
      <c r="P94" s="624">
        <v>51.679999999999993</v>
      </c>
      <c r="Q94" s="574"/>
      <c r="R94" s="574"/>
      <c r="S94" s="574"/>
    </row>
    <row r="95" spans="1:19" ht="21.3">
      <c r="A95" s="585"/>
      <c r="B95" s="617" t="s">
        <v>593</v>
      </c>
      <c r="C95" s="1127" t="s">
        <v>594</v>
      </c>
      <c r="D95" s="1126"/>
      <c r="E95" s="624">
        <f t="shared" si="17"/>
        <v>0</v>
      </c>
      <c r="F95" s="625" t="s">
        <v>34</v>
      </c>
      <c r="G95" s="626">
        <v>533</v>
      </c>
      <c r="H95" s="627">
        <f t="shared" si="20"/>
        <v>0</v>
      </c>
      <c r="I95" s="628">
        <v>130</v>
      </c>
      <c r="J95" s="571">
        <f t="shared" si="4"/>
        <v>0</v>
      </c>
      <c r="K95" s="1060">
        <f t="shared" si="3"/>
        <v>0</v>
      </c>
      <c r="L95" s="1061"/>
      <c r="M95" s="574"/>
      <c r="N95" s="631">
        <f t="shared" si="6"/>
        <v>0</v>
      </c>
      <c r="O95" s="630">
        <v>0</v>
      </c>
      <c r="P95" s="624">
        <v>0</v>
      </c>
      <c r="Q95" s="574"/>
      <c r="R95" s="574"/>
      <c r="S95" s="574"/>
    </row>
    <row r="96" spans="1:19" ht="21.3">
      <c r="A96" s="585"/>
      <c r="B96" s="617" t="s">
        <v>238</v>
      </c>
      <c r="C96" s="1127" t="s">
        <v>595</v>
      </c>
      <c r="D96" s="1126"/>
      <c r="E96" s="624">
        <f t="shared" si="17"/>
        <v>0</v>
      </c>
      <c r="F96" s="625" t="s">
        <v>34</v>
      </c>
      <c r="G96" s="626">
        <v>4810</v>
      </c>
      <c r="H96" s="627">
        <f t="shared" si="20"/>
        <v>0</v>
      </c>
      <c r="I96" s="628">
        <v>1640</v>
      </c>
      <c r="J96" s="571">
        <f t="shared" si="4"/>
        <v>0</v>
      </c>
      <c r="K96" s="1060">
        <f t="shared" si="3"/>
        <v>0</v>
      </c>
      <c r="L96" s="1061"/>
      <c r="M96" s="574"/>
      <c r="N96" s="631">
        <f t="shared" si="6"/>
        <v>0</v>
      </c>
      <c r="O96" s="630">
        <v>0</v>
      </c>
      <c r="P96" s="624">
        <v>0</v>
      </c>
      <c r="Q96" s="574"/>
      <c r="R96" s="574"/>
      <c r="S96" s="574"/>
    </row>
    <row r="97" spans="1:24" ht="21.3">
      <c r="A97" s="585"/>
      <c r="B97" s="617" t="s">
        <v>596</v>
      </c>
      <c r="C97" s="1127" t="s">
        <v>597</v>
      </c>
      <c r="D97" s="1124"/>
      <c r="E97" s="624">
        <f t="shared" si="17"/>
        <v>0</v>
      </c>
      <c r="F97" s="625" t="s">
        <v>34</v>
      </c>
      <c r="G97" s="626">
        <v>253</v>
      </c>
      <c r="H97" s="627">
        <f t="shared" si="20"/>
        <v>0</v>
      </c>
      <c r="I97" s="628">
        <v>50</v>
      </c>
      <c r="J97" s="571">
        <f t="shared" si="4"/>
        <v>0</v>
      </c>
      <c r="K97" s="1060">
        <f t="shared" si="3"/>
        <v>0</v>
      </c>
      <c r="L97" s="1061"/>
      <c r="M97" s="574"/>
      <c r="N97" s="631">
        <f t="shared" si="6"/>
        <v>0</v>
      </c>
      <c r="O97" s="630">
        <v>0</v>
      </c>
      <c r="P97" s="624">
        <v>0</v>
      </c>
      <c r="Q97" s="574"/>
      <c r="R97" s="574"/>
      <c r="S97" s="574"/>
    </row>
    <row r="98" spans="1:24" ht="21.3">
      <c r="A98" s="585"/>
      <c r="B98" s="617" t="s">
        <v>598</v>
      </c>
      <c r="C98" s="1127" t="s">
        <v>599</v>
      </c>
      <c r="D98" s="1124"/>
      <c r="E98" s="624">
        <f t="shared" si="17"/>
        <v>0</v>
      </c>
      <c r="F98" s="625" t="s">
        <v>34</v>
      </c>
      <c r="G98" s="626">
        <v>1964</v>
      </c>
      <c r="H98" s="627">
        <f t="shared" si="20"/>
        <v>0</v>
      </c>
      <c r="I98" s="628">
        <v>220</v>
      </c>
      <c r="J98" s="571">
        <f t="shared" si="4"/>
        <v>0</v>
      </c>
      <c r="K98" s="1060">
        <f t="shared" si="3"/>
        <v>0</v>
      </c>
      <c r="L98" s="1061"/>
      <c r="M98" s="632"/>
      <c r="N98" s="631">
        <f t="shared" si="6"/>
        <v>0</v>
      </c>
      <c r="O98" s="630">
        <v>0</v>
      </c>
      <c r="P98" s="624">
        <v>0</v>
      </c>
      <c r="Q98" s="632"/>
      <c r="R98" s="632"/>
      <c r="S98" s="632"/>
    </row>
    <row r="99" spans="1:24" s="574" customFormat="1" ht="24" customHeight="1">
      <c r="A99" s="585"/>
      <c r="B99" s="617"/>
      <c r="C99" s="1128" t="s">
        <v>223</v>
      </c>
      <c r="D99" s="1126"/>
      <c r="E99" s="637"/>
      <c r="F99" s="625"/>
      <c r="G99" s="626"/>
      <c r="H99" s="627">
        <f t="shared" ref="H99:H101" si="21">SUM(E99*G99)</f>
        <v>0</v>
      </c>
      <c r="I99" s="628"/>
      <c r="J99" s="633">
        <f t="shared" ref="J99:J101" si="22">SUM(E99*I99)</f>
        <v>0</v>
      </c>
      <c r="K99" s="626">
        <f t="shared" ref="K99:K101" si="23">SUM(H99+J99)</f>
        <v>0</v>
      </c>
      <c r="L99" s="1063"/>
      <c r="M99" s="634"/>
      <c r="N99" s="635">
        <f t="shared" si="6"/>
        <v>0</v>
      </c>
      <c r="O99" s="636">
        <v>0</v>
      </c>
      <c r="P99" s="637"/>
      <c r="Q99" s="634"/>
      <c r="R99" s="634"/>
      <c r="S99" s="634"/>
      <c r="T99" s="634"/>
      <c r="U99" s="634"/>
      <c r="V99" s="634"/>
      <c r="W99" s="634"/>
      <c r="X99" s="634"/>
    </row>
    <row r="100" spans="1:24" s="574" customFormat="1" ht="24" customHeight="1">
      <c r="A100" s="585"/>
      <c r="B100" s="617" t="s">
        <v>224</v>
      </c>
      <c r="C100" s="1125" t="s">
        <v>225</v>
      </c>
      <c r="D100" s="1124"/>
      <c r="E100" s="637">
        <f>+N100</f>
        <v>219.54000000000002</v>
      </c>
      <c r="F100" s="625" t="s">
        <v>226</v>
      </c>
      <c r="G100" s="626">
        <v>200</v>
      </c>
      <c r="H100" s="627">
        <f t="shared" si="21"/>
        <v>43908.000000000007</v>
      </c>
      <c r="I100" s="628">
        <v>45</v>
      </c>
      <c r="J100" s="633">
        <f t="shared" si="22"/>
        <v>9879.3000000000011</v>
      </c>
      <c r="K100" s="626">
        <f t="shared" si="23"/>
        <v>53787.30000000001</v>
      </c>
      <c r="L100" s="1064"/>
      <c r="M100" s="634"/>
      <c r="N100" s="635">
        <f t="shared" si="6"/>
        <v>219.54000000000002</v>
      </c>
      <c r="O100" s="636">
        <v>0</v>
      </c>
      <c r="P100" s="637">
        <v>219.54000000000002</v>
      </c>
      <c r="Q100" s="634"/>
      <c r="R100" s="634"/>
      <c r="S100" s="634"/>
      <c r="T100" s="634"/>
      <c r="U100" s="634"/>
      <c r="V100" s="634"/>
      <c r="W100" s="634"/>
      <c r="X100" s="634"/>
    </row>
    <row r="101" spans="1:24" s="574" customFormat="1" ht="24" customHeight="1">
      <c r="A101" s="585"/>
      <c r="B101" s="617" t="s">
        <v>227</v>
      </c>
      <c r="C101" s="1125" t="s">
        <v>228</v>
      </c>
      <c r="D101" s="1124"/>
      <c r="E101" s="637">
        <f>+N101</f>
        <v>917.0100000000001</v>
      </c>
      <c r="F101" s="625" t="s">
        <v>226</v>
      </c>
      <c r="G101" s="626">
        <v>19</v>
      </c>
      <c r="H101" s="627">
        <f t="shared" si="21"/>
        <v>17423.190000000002</v>
      </c>
      <c r="I101" s="628">
        <v>20</v>
      </c>
      <c r="J101" s="633">
        <f t="shared" si="22"/>
        <v>18340.2</v>
      </c>
      <c r="K101" s="626">
        <f t="shared" si="23"/>
        <v>35763.39</v>
      </c>
      <c r="L101" s="1064"/>
      <c r="M101" s="634"/>
      <c r="N101" s="635">
        <f t="shared" si="6"/>
        <v>917.0100000000001</v>
      </c>
      <c r="O101" s="636">
        <v>0</v>
      </c>
      <c r="P101" s="637">
        <v>917.0100000000001</v>
      </c>
      <c r="Q101" s="634"/>
      <c r="R101" s="634"/>
      <c r="S101" s="634"/>
      <c r="T101" s="634"/>
      <c r="U101" s="634"/>
      <c r="V101" s="634"/>
      <c r="W101" s="634"/>
      <c r="X101" s="634"/>
    </row>
    <row r="102" spans="1:24" ht="21.3">
      <c r="A102" s="638"/>
      <c r="B102" s="579"/>
      <c r="C102" s="617"/>
      <c r="D102" s="1124"/>
      <c r="E102" s="624"/>
      <c r="F102" s="625"/>
      <c r="G102" s="572"/>
      <c r="H102" s="571">
        <f t="shared" si="15"/>
        <v>0</v>
      </c>
      <c r="I102" s="572"/>
      <c r="J102" s="571">
        <f t="shared" si="4"/>
        <v>0</v>
      </c>
      <c r="K102" s="1060">
        <f t="shared" si="3"/>
        <v>0</v>
      </c>
      <c r="L102" s="1061"/>
      <c r="M102" s="574"/>
      <c r="N102" s="631">
        <f t="shared" si="6"/>
        <v>0</v>
      </c>
      <c r="O102" s="630">
        <v>0</v>
      </c>
      <c r="P102" s="624"/>
      <c r="Q102" s="574"/>
      <c r="R102" s="574"/>
      <c r="S102" s="574"/>
    </row>
    <row r="103" spans="1:24">
      <c r="A103" s="585" t="s">
        <v>232</v>
      </c>
      <c r="B103" s="1114" t="s">
        <v>233</v>
      </c>
      <c r="C103" s="639"/>
      <c r="D103" s="1124"/>
      <c r="E103" s="618"/>
      <c r="F103" s="625"/>
      <c r="G103" s="620"/>
      <c r="H103" s="571">
        <f t="shared" si="15"/>
        <v>0</v>
      </c>
      <c r="I103" s="572"/>
      <c r="J103" s="571">
        <f t="shared" si="4"/>
        <v>0</v>
      </c>
      <c r="K103" s="1060">
        <f t="shared" si="3"/>
        <v>0</v>
      </c>
      <c r="L103" s="1061"/>
      <c r="M103" s="574"/>
      <c r="N103" s="621">
        <f t="shared" si="6"/>
        <v>0</v>
      </c>
      <c r="O103" s="622">
        <v>0</v>
      </c>
      <c r="P103" s="618"/>
      <c r="Q103" s="574"/>
      <c r="R103" s="574"/>
      <c r="S103" s="574"/>
    </row>
    <row r="104" spans="1:24" ht="21.3">
      <c r="A104" s="585"/>
      <c r="B104" s="1114"/>
      <c r="C104" s="617" t="s">
        <v>231</v>
      </c>
      <c r="D104" s="1124"/>
      <c r="E104" s="624">
        <f>+E105+E106+E107+E108+E110+E113+E115+E118+E120+E126+E127+E129+E130+E109+E111</f>
        <v>699.64</v>
      </c>
      <c r="F104" s="625" t="s">
        <v>34</v>
      </c>
      <c r="G104" s="626">
        <v>113</v>
      </c>
      <c r="H104" s="627">
        <f t="shared" ref="H104:H116" si="24">SUM(E104*G104)</f>
        <v>79059.319999999992</v>
      </c>
      <c r="I104" s="628">
        <v>61</v>
      </c>
      <c r="J104" s="571">
        <f t="shared" si="4"/>
        <v>42678.04</v>
      </c>
      <c r="K104" s="1060">
        <f t="shared" si="3"/>
        <v>121737.35999999999</v>
      </c>
      <c r="L104" s="1062"/>
      <c r="M104" s="574"/>
      <c r="N104" s="629">
        <f t="shared" si="6"/>
        <v>0</v>
      </c>
      <c r="O104" s="630">
        <v>0</v>
      </c>
      <c r="P104" s="624"/>
      <c r="Q104" s="574"/>
      <c r="R104" s="574"/>
      <c r="S104" s="574"/>
    </row>
    <row r="105" spans="1:24" ht="21.3">
      <c r="A105" s="585"/>
      <c r="B105" s="617" t="s">
        <v>184</v>
      </c>
      <c r="C105" s="617" t="s">
        <v>185</v>
      </c>
      <c r="D105" s="617"/>
      <c r="E105" s="624">
        <f>+N105</f>
        <v>0</v>
      </c>
      <c r="F105" s="625" t="s">
        <v>34</v>
      </c>
      <c r="G105" s="626">
        <v>564</v>
      </c>
      <c r="H105" s="627">
        <f t="shared" si="24"/>
        <v>0</v>
      </c>
      <c r="I105" s="628">
        <v>283</v>
      </c>
      <c r="J105" s="571">
        <f t="shared" si="4"/>
        <v>0</v>
      </c>
      <c r="K105" s="1060">
        <f t="shared" si="3"/>
        <v>0</v>
      </c>
      <c r="L105" s="1061"/>
      <c r="M105" s="574"/>
      <c r="N105" s="631">
        <f t="shared" si="6"/>
        <v>0</v>
      </c>
      <c r="O105" s="630">
        <v>0</v>
      </c>
      <c r="P105" s="624">
        <v>0</v>
      </c>
      <c r="Q105" s="574"/>
      <c r="R105" s="574"/>
      <c r="S105" s="574"/>
    </row>
    <row r="106" spans="1:24" ht="21.3">
      <c r="A106" s="585"/>
      <c r="B106" s="617" t="s">
        <v>186</v>
      </c>
      <c r="C106" s="1125" t="s">
        <v>187</v>
      </c>
      <c r="D106" s="1126"/>
      <c r="E106" s="624">
        <f t="shared" ref="E106:E133" si="25">+N106</f>
        <v>0</v>
      </c>
      <c r="F106" s="625" t="s">
        <v>34</v>
      </c>
      <c r="G106" s="626">
        <v>295</v>
      </c>
      <c r="H106" s="627">
        <f t="shared" si="24"/>
        <v>0</v>
      </c>
      <c r="I106" s="628">
        <v>184</v>
      </c>
      <c r="J106" s="571">
        <f t="shared" si="4"/>
        <v>0</v>
      </c>
      <c r="K106" s="1060">
        <f t="shared" si="3"/>
        <v>0</v>
      </c>
      <c r="L106" s="1061"/>
      <c r="M106" s="574"/>
      <c r="N106" s="631">
        <f t="shared" si="6"/>
        <v>0</v>
      </c>
      <c r="O106" s="630">
        <v>0</v>
      </c>
      <c r="P106" s="624">
        <v>0</v>
      </c>
      <c r="Q106" s="574"/>
      <c r="R106" s="574"/>
      <c r="S106" s="574"/>
    </row>
    <row r="107" spans="1:24" ht="21.3">
      <c r="A107" s="585"/>
      <c r="B107" s="617" t="s">
        <v>188</v>
      </c>
      <c r="C107" s="1125" t="s">
        <v>189</v>
      </c>
      <c r="D107" s="1126"/>
      <c r="E107" s="624">
        <f t="shared" si="25"/>
        <v>0</v>
      </c>
      <c r="F107" s="625" t="s">
        <v>34</v>
      </c>
      <c r="G107" s="626">
        <v>297</v>
      </c>
      <c r="H107" s="627">
        <f t="shared" si="24"/>
        <v>0</v>
      </c>
      <c r="I107" s="628">
        <v>204</v>
      </c>
      <c r="J107" s="571">
        <f t="shared" si="4"/>
        <v>0</v>
      </c>
      <c r="K107" s="1060">
        <f t="shared" si="3"/>
        <v>0</v>
      </c>
      <c r="L107" s="1061"/>
      <c r="M107" s="574"/>
      <c r="N107" s="631">
        <f>+(1+O107)*P107</f>
        <v>0</v>
      </c>
      <c r="O107" s="630">
        <v>0</v>
      </c>
      <c r="P107" s="624">
        <v>0</v>
      </c>
      <c r="Q107" s="574"/>
      <c r="R107" s="574"/>
      <c r="S107" s="574"/>
    </row>
    <row r="108" spans="1:24" ht="21.3">
      <c r="A108" s="585"/>
      <c r="B108" s="617" t="s">
        <v>190</v>
      </c>
      <c r="C108" s="1125" t="s">
        <v>191</v>
      </c>
      <c r="D108" s="1126"/>
      <c r="E108" s="624"/>
      <c r="F108" s="625" t="s">
        <v>34</v>
      </c>
      <c r="G108" s="626">
        <v>609</v>
      </c>
      <c r="H108" s="627">
        <f t="shared" si="24"/>
        <v>0</v>
      </c>
      <c r="I108" s="628">
        <v>222</v>
      </c>
      <c r="J108" s="571">
        <f t="shared" si="4"/>
        <v>0</v>
      </c>
      <c r="K108" s="1060">
        <f t="shared" si="3"/>
        <v>0</v>
      </c>
      <c r="L108" s="1061"/>
      <c r="M108" s="574"/>
      <c r="N108" s="631">
        <f t="shared" si="6"/>
        <v>215.2</v>
      </c>
      <c r="O108" s="630">
        <v>0</v>
      </c>
      <c r="P108" s="624">
        <v>215.2</v>
      </c>
      <c r="Q108" s="574"/>
      <c r="R108" s="574"/>
      <c r="S108" s="574"/>
    </row>
    <row r="109" spans="1:24" ht="21.3">
      <c r="A109" s="585"/>
      <c r="B109" s="623" t="s">
        <v>2547</v>
      </c>
      <c r="C109" s="1125" t="s">
        <v>191</v>
      </c>
      <c r="D109" s="1126"/>
      <c r="E109" s="624">
        <f t="shared" ref="E109" si="26">+N109</f>
        <v>215.2</v>
      </c>
      <c r="F109" s="625" t="s">
        <v>34</v>
      </c>
      <c r="G109" s="626">
        <v>399</v>
      </c>
      <c r="H109" s="627">
        <f t="shared" ref="H109" si="27">SUM(E109*G109)</f>
        <v>85864.799999999988</v>
      </c>
      <c r="I109" s="628">
        <v>222</v>
      </c>
      <c r="J109" s="571">
        <f t="shared" si="4"/>
        <v>47774.399999999994</v>
      </c>
      <c r="K109" s="1060">
        <f t="shared" si="3"/>
        <v>133639.19999999998</v>
      </c>
      <c r="L109" s="1061"/>
      <c r="M109" s="574"/>
      <c r="N109" s="631">
        <f t="shared" si="6"/>
        <v>215.2</v>
      </c>
      <c r="O109" s="630">
        <v>0</v>
      </c>
      <c r="P109" s="624">
        <v>215.2</v>
      </c>
      <c r="Q109" s="574"/>
      <c r="R109" s="574"/>
      <c r="S109" s="574"/>
    </row>
    <row r="110" spans="1:24" ht="21.3">
      <c r="A110" s="585"/>
      <c r="B110" s="617" t="s">
        <v>192</v>
      </c>
      <c r="C110" s="1125" t="s">
        <v>193</v>
      </c>
      <c r="D110" s="1126"/>
      <c r="E110" s="624"/>
      <c r="F110" s="625" t="s">
        <v>34</v>
      </c>
      <c r="G110" s="626">
        <v>617</v>
      </c>
      <c r="H110" s="627">
        <f t="shared" si="24"/>
        <v>0</v>
      </c>
      <c r="I110" s="628">
        <v>242</v>
      </c>
      <c r="J110" s="571">
        <f t="shared" si="4"/>
        <v>0</v>
      </c>
      <c r="K110" s="1060">
        <f t="shared" si="3"/>
        <v>0</v>
      </c>
      <c r="L110" s="1061"/>
      <c r="M110" s="574"/>
      <c r="N110" s="631">
        <f t="shared" si="6"/>
        <v>181.74</v>
      </c>
      <c r="O110" s="630">
        <v>0</v>
      </c>
      <c r="P110" s="624">
        <v>181.74</v>
      </c>
      <c r="Q110" s="574"/>
      <c r="R110" s="574"/>
      <c r="S110" s="574"/>
    </row>
    <row r="111" spans="1:24" ht="21.3">
      <c r="A111" s="585"/>
      <c r="B111" s="623" t="s">
        <v>2548</v>
      </c>
      <c r="C111" s="1125" t="s">
        <v>193</v>
      </c>
      <c r="D111" s="1126"/>
      <c r="E111" s="624">
        <v>201.74</v>
      </c>
      <c r="F111" s="625" t="s">
        <v>34</v>
      </c>
      <c r="G111" s="626">
        <v>399</v>
      </c>
      <c r="H111" s="627">
        <f t="shared" ref="H111" si="28">SUM(E111*G111)</f>
        <v>80494.260000000009</v>
      </c>
      <c r="I111" s="628">
        <v>242</v>
      </c>
      <c r="J111" s="571">
        <f t="shared" si="4"/>
        <v>48821.08</v>
      </c>
      <c r="K111" s="1060">
        <f t="shared" si="3"/>
        <v>129315.34000000001</v>
      </c>
      <c r="L111" s="1061"/>
      <c r="M111" s="574"/>
      <c r="N111" s="631">
        <f t="shared" ref="N111:N174" si="29">+(1+O111)*P111</f>
        <v>181.74</v>
      </c>
      <c r="O111" s="630">
        <v>0</v>
      </c>
      <c r="P111" s="624">
        <v>181.74</v>
      </c>
      <c r="Q111" s="574"/>
      <c r="R111" s="574"/>
      <c r="S111" s="574"/>
    </row>
    <row r="112" spans="1:24" ht="21.3">
      <c r="A112" s="585"/>
      <c r="B112" s="617" t="s">
        <v>194</v>
      </c>
      <c r="C112" s="1125" t="s">
        <v>195</v>
      </c>
      <c r="D112" s="1126"/>
      <c r="E112" s="624">
        <f t="shared" si="25"/>
        <v>600.24</v>
      </c>
      <c r="F112" s="625" t="s">
        <v>34</v>
      </c>
      <c r="G112" s="626">
        <v>420</v>
      </c>
      <c r="H112" s="627">
        <f t="shared" si="24"/>
        <v>252100.80000000002</v>
      </c>
      <c r="I112" s="628">
        <v>100</v>
      </c>
      <c r="J112" s="571">
        <f t="shared" si="4"/>
        <v>60024</v>
      </c>
      <c r="K112" s="1060">
        <f t="shared" si="3"/>
        <v>312124.80000000005</v>
      </c>
      <c r="L112" s="1061"/>
      <c r="M112" s="574"/>
      <c r="N112" s="631">
        <f t="shared" si="29"/>
        <v>600.24</v>
      </c>
      <c r="O112" s="630">
        <v>0</v>
      </c>
      <c r="P112" s="624">
        <v>600.24</v>
      </c>
      <c r="Q112" s="574"/>
      <c r="R112" s="574"/>
      <c r="S112" s="574"/>
    </row>
    <row r="113" spans="1:19" ht="21.3">
      <c r="A113" s="585"/>
      <c r="B113" s="617" t="s">
        <v>196</v>
      </c>
      <c r="C113" s="1125" t="s">
        <v>197</v>
      </c>
      <c r="D113" s="1126"/>
      <c r="E113" s="624">
        <f t="shared" si="25"/>
        <v>0</v>
      </c>
      <c r="F113" s="625" t="s">
        <v>34</v>
      </c>
      <c r="G113" s="626">
        <v>564</v>
      </c>
      <c r="H113" s="627">
        <f t="shared" si="24"/>
        <v>0</v>
      </c>
      <c r="I113" s="628">
        <v>283</v>
      </c>
      <c r="J113" s="571">
        <f t="shared" si="4"/>
        <v>0</v>
      </c>
      <c r="K113" s="1060">
        <f t="shared" si="3"/>
        <v>0</v>
      </c>
      <c r="L113" s="1061"/>
      <c r="M113" s="574"/>
      <c r="N113" s="631">
        <f t="shared" si="29"/>
        <v>0</v>
      </c>
      <c r="O113" s="630">
        <v>0</v>
      </c>
      <c r="P113" s="624">
        <v>0</v>
      </c>
      <c r="Q113" s="574"/>
      <c r="R113" s="574"/>
      <c r="S113" s="574"/>
    </row>
    <row r="114" spans="1:19" ht="21.3">
      <c r="A114" s="585"/>
      <c r="B114" s="617"/>
      <c r="C114" s="617" t="s">
        <v>198</v>
      </c>
      <c r="D114" s="617"/>
      <c r="E114" s="624">
        <f t="shared" si="25"/>
        <v>0</v>
      </c>
      <c r="F114" s="619"/>
      <c r="G114" s="626"/>
      <c r="H114" s="627">
        <f t="shared" si="24"/>
        <v>0</v>
      </c>
      <c r="I114" s="628"/>
      <c r="J114" s="571">
        <f t="shared" si="4"/>
        <v>0</v>
      </c>
      <c r="K114" s="1060">
        <f t="shared" si="3"/>
        <v>0</v>
      </c>
      <c r="L114" s="1061"/>
      <c r="M114" s="574"/>
      <c r="N114" s="631">
        <f t="shared" si="29"/>
        <v>0</v>
      </c>
      <c r="O114" s="630">
        <v>0</v>
      </c>
      <c r="P114" s="624"/>
      <c r="Q114" s="574"/>
      <c r="R114" s="574"/>
      <c r="S114" s="574"/>
    </row>
    <row r="115" spans="1:19" ht="21.3">
      <c r="A115" s="585"/>
      <c r="B115" s="617" t="s">
        <v>199</v>
      </c>
      <c r="C115" s="617" t="s">
        <v>200</v>
      </c>
      <c r="D115" s="617"/>
      <c r="E115" s="624">
        <f t="shared" si="25"/>
        <v>0</v>
      </c>
      <c r="F115" s="625" t="s">
        <v>34</v>
      </c>
      <c r="G115" s="626">
        <v>3570</v>
      </c>
      <c r="H115" s="627">
        <f t="shared" si="24"/>
        <v>0</v>
      </c>
      <c r="I115" s="628">
        <v>220</v>
      </c>
      <c r="J115" s="571">
        <f t="shared" si="4"/>
        <v>0</v>
      </c>
      <c r="K115" s="1060">
        <f t="shared" si="3"/>
        <v>0</v>
      </c>
      <c r="L115" s="1061"/>
      <c r="M115" s="574"/>
      <c r="N115" s="631">
        <f t="shared" si="29"/>
        <v>0</v>
      </c>
      <c r="O115" s="630">
        <v>0</v>
      </c>
      <c r="P115" s="624">
        <v>0</v>
      </c>
      <c r="Q115" s="574"/>
      <c r="R115" s="574"/>
      <c r="S115" s="574"/>
    </row>
    <row r="116" spans="1:19" ht="21.3">
      <c r="A116" s="585"/>
      <c r="B116" s="617" t="s">
        <v>201</v>
      </c>
      <c r="C116" s="617" t="s">
        <v>202</v>
      </c>
      <c r="D116" s="617"/>
      <c r="E116" s="624">
        <f t="shared" si="25"/>
        <v>17.600000000000001</v>
      </c>
      <c r="F116" s="625" t="s">
        <v>34</v>
      </c>
      <c r="G116" s="626">
        <f>ROUNDUP(2227.6*0.05+5*2.95,0)</f>
        <v>127</v>
      </c>
      <c r="H116" s="627">
        <f t="shared" si="24"/>
        <v>2235.2000000000003</v>
      </c>
      <c r="I116" s="628">
        <v>82</v>
      </c>
      <c r="J116" s="571">
        <f t="shared" si="4"/>
        <v>1443.2</v>
      </c>
      <c r="K116" s="1060">
        <f t="shared" si="3"/>
        <v>3678.4000000000005</v>
      </c>
      <c r="L116" s="1061"/>
      <c r="M116" s="574"/>
      <c r="N116" s="631">
        <f>+(1+O116)*P116</f>
        <v>17.600000000000001</v>
      </c>
      <c r="O116" s="630">
        <v>0</v>
      </c>
      <c r="P116" s="624">
        <v>17.600000000000001</v>
      </c>
      <c r="Q116" s="574"/>
      <c r="R116" s="574"/>
      <c r="S116" s="574"/>
    </row>
    <row r="117" spans="1:19" ht="21.3">
      <c r="A117" s="585"/>
      <c r="B117" s="617" t="s">
        <v>203</v>
      </c>
      <c r="C117" s="1125" t="s">
        <v>204</v>
      </c>
      <c r="D117" s="1126"/>
      <c r="E117" s="624">
        <f t="shared" si="25"/>
        <v>0</v>
      </c>
      <c r="F117" s="625" t="s">
        <v>34</v>
      </c>
      <c r="G117" s="628">
        <v>120</v>
      </c>
      <c r="H117" s="627">
        <f t="shared" ref="H117:H120" si="30">E117*G117</f>
        <v>0</v>
      </c>
      <c r="I117" s="628">
        <v>61</v>
      </c>
      <c r="J117" s="571">
        <f t="shared" si="4"/>
        <v>0</v>
      </c>
      <c r="K117" s="1060">
        <f t="shared" si="3"/>
        <v>0</v>
      </c>
      <c r="L117" s="1061"/>
      <c r="M117" s="574"/>
      <c r="N117" s="631">
        <f t="shared" si="29"/>
        <v>0</v>
      </c>
      <c r="O117" s="630">
        <v>0</v>
      </c>
      <c r="P117" s="624">
        <v>0</v>
      </c>
      <c r="Q117" s="574"/>
      <c r="R117" s="574"/>
      <c r="S117" s="574"/>
    </row>
    <row r="118" spans="1:19" ht="21.3">
      <c r="A118" s="585"/>
      <c r="B118" s="617" t="s">
        <v>205</v>
      </c>
      <c r="C118" s="617" t="s">
        <v>206</v>
      </c>
      <c r="D118" s="617"/>
      <c r="E118" s="624">
        <v>252</v>
      </c>
      <c r="F118" s="625" t="s">
        <v>34</v>
      </c>
      <c r="G118" s="626">
        <v>447</v>
      </c>
      <c r="H118" s="627">
        <f t="shared" si="30"/>
        <v>112644</v>
      </c>
      <c r="I118" s="628">
        <v>212</v>
      </c>
      <c r="J118" s="571">
        <f t="shared" si="4"/>
        <v>53424</v>
      </c>
      <c r="K118" s="1060">
        <f t="shared" si="3"/>
        <v>166068</v>
      </c>
      <c r="L118" s="1061"/>
      <c r="M118" s="574"/>
      <c r="N118" s="631">
        <f t="shared" si="29"/>
        <v>0</v>
      </c>
      <c r="O118" s="630">
        <v>0</v>
      </c>
      <c r="P118" s="624">
        <v>0</v>
      </c>
      <c r="Q118" s="574"/>
      <c r="R118" s="574"/>
      <c r="S118" s="574"/>
    </row>
    <row r="119" spans="1:19" ht="21.3">
      <c r="A119" s="585"/>
      <c r="B119" s="617" t="s">
        <v>207</v>
      </c>
      <c r="C119" s="1125" t="s">
        <v>208</v>
      </c>
      <c r="D119" s="1126"/>
      <c r="E119" s="624">
        <f t="shared" si="25"/>
        <v>0</v>
      </c>
      <c r="F119" s="625" t="s">
        <v>34</v>
      </c>
      <c r="G119" s="628">
        <v>240</v>
      </c>
      <c r="H119" s="627">
        <f t="shared" si="30"/>
        <v>0</v>
      </c>
      <c r="I119" s="628">
        <v>80</v>
      </c>
      <c r="J119" s="571">
        <f t="shared" si="4"/>
        <v>0</v>
      </c>
      <c r="K119" s="1060">
        <f t="shared" si="3"/>
        <v>0</v>
      </c>
      <c r="L119" s="1061"/>
      <c r="M119" s="574"/>
      <c r="N119" s="631">
        <f t="shared" si="29"/>
        <v>0</v>
      </c>
      <c r="O119" s="630">
        <v>0</v>
      </c>
      <c r="P119" s="624">
        <v>0</v>
      </c>
      <c r="Q119" s="574"/>
      <c r="R119" s="574"/>
      <c r="S119" s="574"/>
    </row>
    <row r="120" spans="1:19" ht="21.3">
      <c r="A120" s="585"/>
      <c r="B120" s="617" t="s">
        <v>209</v>
      </c>
      <c r="C120" s="1125" t="s">
        <v>210</v>
      </c>
      <c r="D120" s="1126"/>
      <c r="E120" s="624">
        <f t="shared" si="25"/>
        <v>0</v>
      </c>
      <c r="F120" s="625" t="s">
        <v>34</v>
      </c>
      <c r="G120" s="628">
        <v>230</v>
      </c>
      <c r="H120" s="627">
        <f t="shared" si="30"/>
        <v>0</v>
      </c>
      <c r="I120" s="628">
        <v>0</v>
      </c>
      <c r="J120" s="571">
        <f t="shared" si="4"/>
        <v>0</v>
      </c>
      <c r="K120" s="1060">
        <f t="shared" si="3"/>
        <v>0</v>
      </c>
      <c r="L120" s="1061"/>
      <c r="M120" s="574"/>
      <c r="N120" s="631">
        <f t="shared" si="29"/>
        <v>0</v>
      </c>
      <c r="O120" s="630">
        <v>0</v>
      </c>
      <c r="P120" s="624">
        <v>0</v>
      </c>
      <c r="Q120" s="574"/>
      <c r="R120" s="574"/>
      <c r="S120" s="574"/>
    </row>
    <row r="121" spans="1:19" ht="21.3">
      <c r="A121" s="585"/>
      <c r="B121" s="617" t="s">
        <v>211</v>
      </c>
      <c r="C121" s="1125" t="s">
        <v>212</v>
      </c>
      <c r="D121" s="1126"/>
      <c r="E121" s="624">
        <f t="shared" si="25"/>
        <v>10</v>
      </c>
      <c r="F121" s="625" t="s">
        <v>34</v>
      </c>
      <c r="G121" s="626">
        <v>220</v>
      </c>
      <c r="H121" s="627">
        <f t="shared" ref="H121:H130" si="31">SUM(E121*G121)</f>
        <v>2200</v>
      </c>
      <c r="I121" s="628">
        <v>80</v>
      </c>
      <c r="J121" s="571">
        <f t="shared" si="4"/>
        <v>800</v>
      </c>
      <c r="K121" s="1060">
        <f t="shared" si="3"/>
        <v>3000</v>
      </c>
      <c r="L121" s="1061"/>
      <c r="M121" s="574"/>
      <c r="N121" s="631">
        <f t="shared" si="29"/>
        <v>10</v>
      </c>
      <c r="O121" s="630">
        <v>0</v>
      </c>
      <c r="P121" s="624">
        <v>10</v>
      </c>
      <c r="Q121" s="574"/>
      <c r="R121" s="574"/>
      <c r="S121" s="574"/>
    </row>
    <row r="122" spans="1:19" ht="21.3">
      <c r="A122" s="585"/>
      <c r="B122" s="617" t="s">
        <v>213</v>
      </c>
      <c r="C122" s="1125" t="s">
        <v>214</v>
      </c>
      <c r="D122" s="1126"/>
      <c r="E122" s="624">
        <f t="shared" si="25"/>
        <v>0</v>
      </c>
      <c r="F122" s="625" t="s">
        <v>34</v>
      </c>
      <c r="G122" s="626">
        <v>113</v>
      </c>
      <c r="H122" s="627">
        <f t="shared" si="31"/>
        <v>0</v>
      </c>
      <c r="I122" s="628">
        <v>61</v>
      </c>
      <c r="J122" s="571">
        <f t="shared" si="4"/>
        <v>0</v>
      </c>
      <c r="K122" s="1060">
        <f t="shared" si="3"/>
        <v>0</v>
      </c>
      <c r="L122" s="1061"/>
      <c r="M122" s="574"/>
      <c r="N122" s="631">
        <f t="shared" si="29"/>
        <v>0</v>
      </c>
      <c r="O122" s="630">
        <v>0</v>
      </c>
      <c r="P122" s="624">
        <v>0</v>
      </c>
      <c r="Q122" s="574"/>
      <c r="R122" s="574"/>
      <c r="S122" s="574"/>
    </row>
    <row r="123" spans="1:19" ht="21.3">
      <c r="A123" s="585"/>
      <c r="B123" s="617" t="s">
        <v>215</v>
      </c>
      <c r="C123" s="1125" t="s">
        <v>216</v>
      </c>
      <c r="D123" s="1126"/>
      <c r="E123" s="624">
        <f t="shared" si="25"/>
        <v>0</v>
      </c>
      <c r="F123" s="625" t="s">
        <v>34</v>
      </c>
      <c r="G123" s="626">
        <v>113</v>
      </c>
      <c r="H123" s="627">
        <f t="shared" si="31"/>
        <v>0</v>
      </c>
      <c r="I123" s="628">
        <v>61</v>
      </c>
      <c r="J123" s="571">
        <f t="shared" si="4"/>
        <v>0</v>
      </c>
      <c r="K123" s="1060">
        <f t="shared" si="3"/>
        <v>0</v>
      </c>
      <c r="L123" s="1061"/>
      <c r="M123" s="574"/>
      <c r="N123" s="631">
        <f t="shared" si="29"/>
        <v>0</v>
      </c>
      <c r="O123" s="630">
        <v>0</v>
      </c>
      <c r="P123" s="624">
        <v>0</v>
      </c>
      <c r="Q123" s="574"/>
      <c r="R123" s="574"/>
      <c r="S123" s="574"/>
    </row>
    <row r="124" spans="1:19" ht="21.3">
      <c r="A124" s="585"/>
      <c r="B124" s="617" t="s">
        <v>217</v>
      </c>
      <c r="C124" s="1125" t="s">
        <v>218</v>
      </c>
      <c r="D124" s="1126"/>
      <c r="E124" s="624">
        <f t="shared" si="25"/>
        <v>5455.59</v>
      </c>
      <c r="F124" s="625" t="s">
        <v>34</v>
      </c>
      <c r="G124" s="626">
        <v>113</v>
      </c>
      <c r="H124" s="627">
        <f t="shared" si="31"/>
        <v>616481.67000000004</v>
      </c>
      <c r="I124" s="628">
        <v>61</v>
      </c>
      <c r="J124" s="571">
        <f t="shared" si="4"/>
        <v>332790.99</v>
      </c>
      <c r="K124" s="1060">
        <f t="shared" ref="K124:K216" si="32">H124+J124</f>
        <v>949272.66</v>
      </c>
      <c r="L124" s="1061"/>
      <c r="M124" s="574"/>
      <c r="N124" s="631">
        <f t="shared" si="29"/>
        <v>5455.59</v>
      </c>
      <c r="O124" s="630">
        <v>0</v>
      </c>
      <c r="P124" s="624">
        <v>5455.59</v>
      </c>
      <c r="Q124" s="574"/>
      <c r="R124" s="574"/>
      <c r="S124" s="574"/>
    </row>
    <row r="125" spans="1:19" ht="21.3">
      <c r="A125" s="585"/>
      <c r="B125" s="617" t="s">
        <v>219</v>
      </c>
      <c r="C125" s="1125" t="s">
        <v>220</v>
      </c>
      <c r="D125" s="1124"/>
      <c r="E125" s="624">
        <f t="shared" si="25"/>
        <v>739.05</v>
      </c>
      <c r="F125" s="625" t="s">
        <v>34</v>
      </c>
      <c r="G125" s="626">
        <v>113</v>
      </c>
      <c r="H125" s="627">
        <f t="shared" si="31"/>
        <v>83512.649999999994</v>
      </c>
      <c r="I125" s="628">
        <v>61</v>
      </c>
      <c r="J125" s="571">
        <f t="shared" ref="J125:J217" si="33">E125*I125</f>
        <v>45082.049999999996</v>
      </c>
      <c r="K125" s="1060">
        <f t="shared" si="32"/>
        <v>128594.69999999998</v>
      </c>
      <c r="L125" s="1061"/>
      <c r="M125" s="574"/>
      <c r="N125" s="631">
        <f t="shared" si="29"/>
        <v>739.05</v>
      </c>
      <c r="O125" s="630">
        <v>0</v>
      </c>
      <c r="P125" s="624">
        <v>739.05</v>
      </c>
      <c r="Q125" s="574"/>
      <c r="R125" s="574"/>
      <c r="S125" s="574"/>
    </row>
    <row r="126" spans="1:19" ht="21.3">
      <c r="A126" s="585"/>
      <c r="B126" s="617" t="s">
        <v>221</v>
      </c>
      <c r="C126" s="1125" t="s">
        <v>222</v>
      </c>
      <c r="D126" s="1124"/>
      <c r="E126" s="624">
        <f t="shared" si="25"/>
        <v>30.7</v>
      </c>
      <c r="F126" s="625" t="s">
        <v>34</v>
      </c>
      <c r="G126" s="626">
        <v>583</v>
      </c>
      <c r="H126" s="627">
        <f t="shared" si="31"/>
        <v>17898.099999999999</v>
      </c>
      <c r="I126" s="628">
        <v>298</v>
      </c>
      <c r="J126" s="571">
        <f t="shared" si="33"/>
        <v>9148.6</v>
      </c>
      <c r="K126" s="1060">
        <f t="shared" si="32"/>
        <v>27046.699999999997</v>
      </c>
      <c r="L126" s="1061"/>
      <c r="M126" s="574"/>
      <c r="N126" s="631">
        <f t="shared" si="29"/>
        <v>30.7</v>
      </c>
      <c r="O126" s="630">
        <v>0</v>
      </c>
      <c r="P126" s="624">
        <v>30.7</v>
      </c>
      <c r="Q126" s="574"/>
      <c r="R126" s="574"/>
      <c r="S126" s="574"/>
    </row>
    <row r="127" spans="1:19" ht="21.3">
      <c r="A127" s="585"/>
      <c r="B127" s="617" t="s">
        <v>593</v>
      </c>
      <c r="C127" s="1127" t="s">
        <v>594</v>
      </c>
      <c r="D127" s="1126"/>
      <c r="E127" s="624">
        <f t="shared" si="25"/>
        <v>0</v>
      </c>
      <c r="F127" s="625" t="s">
        <v>34</v>
      </c>
      <c r="G127" s="626">
        <v>533</v>
      </c>
      <c r="H127" s="627">
        <f t="shared" si="31"/>
        <v>0</v>
      </c>
      <c r="I127" s="628">
        <v>130</v>
      </c>
      <c r="J127" s="571">
        <f t="shared" si="33"/>
        <v>0</v>
      </c>
      <c r="K127" s="1060">
        <f t="shared" si="32"/>
        <v>0</v>
      </c>
      <c r="L127" s="1061"/>
      <c r="M127" s="574"/>
      <c r="N127" s="631">
        <f t="shared" si="29"/>
        <v>0</v>
      </c>
      <c r="O127" s="630">
        <v>0</v>
      </c>
      <c r="P127" s="624">
        <v>0</v>
      </c>
      <c r="Q127" s="574"/>
      <c r="R127" s="574"/>
      <c r="S127" s="574"/>
    </row>
    <row r="128" spans="1:19" ht="21.3">
      <c r="A128" s="585"/>
      <c r="B128" s="617" t="s">
        <v>238</v>
      </c>
      <c r="C128" s="1127" t="s">
        <v>595</v>
      </c>
      <c r="D128" s="1126"/>
      <c r="E128" s="624">
        <f t="shared" si="25"/>
        <v>0</v>
      </c>
      <c r="F128" s="625" t="s">
        <v>34</v>
      </c>
      <c r="G128" s="626">
        <v>4810</v>
      </c>
      <c r="H128" s="627">
        <f t="shared" si="31"/>
        <v>0</v>
      </c>
      <c r="I128" s="628">
        <v>1640</v>
      </c>
      <c r="J128" s="571">
        <f t="shared" si="33"/>
        <v>0</v>
      </c>
      <c r="K128" s="1060">
        <f t="shared" si="32"/>
        <v>0</v>
      </c>
      <c r="L128" s="1061"/>
      <c r="M128" s="574"/>
      <c r="N128" s="631">
        <f t="shared" si="29"/>
        <v>0</v>
      </c>
      <c r="O128" s="630">
        <v>0</v>
      </c>
      <c r="P128" s="624">
        <v>0</v>
      </c>
      <c r="Q128" s="574"/>
      <c r="R128" s="574"/>
      <c r="S128" s="574"/>
    </row>
    <row r="129" spans="1:24" ht="21.3">
      <c r="A129" s="585"/>
      <c r="B129" s="617" t="s">
        <v>596</v>
      </c>
      <c r="C129" s="1127" t="s">
        <v>597</v>
      </c>
      <c r="D129" s="1124"/>
      <c r="E129" s="624">
        <f t="shared" si="25"/>
        <v>0</v>
      </c>
      <c r="F129" s="625" t="s">
        <v>34</v>
      </c>
      <c r="G129" s="626">
        <v>253</v>
      </c>
      <c r="H129" s="627">
        <f t="shared" si="31"/>
        <v>0</v>
      </c>
      <c r="I129" s="628">
        <v>50</v>
      </c>
      <c r="J129" s="571">
        <f t="shared" si="33"/>
        <v>0</v>
      </c>
      <c r="K129" s="1060">
        <f t="shared" si="32"/>
        <v>0</v>
      </c>
      <c r="L129" s="1061"/>
      <c r="M129" s="574"/>
      <c r="N129" s="631">
        <f t="shared" si="29"/>
        <v>0</v>
      </c>
      <c r="O129" s="630">
        <v>0</v>
      </c>
      <c r="P129" s="624">
        <v>0</v>
      </c>
      <c r="Q129" s="574"/>
      <c r="R129" s="574"/>
      <c r="S129" s="574"/>
    </row>
    <row r="130" spans="1:24" ht="21.3">
      <c r="A130" s="585"/>
      <c r="B130" s="617" t="s">
        <v>598</v>
      </c>
      <c r="C130" s="1127" t="s">
        <v>599</v>
      </c>
      <c r="D130" s="1124"/>
      <c r="E130" s="624">
        <f t="shared" si="25"/>
        <v>0</v>
      </c>
      <c r="F130" s="625" t="s">
        <v>34</v>
      </c>
      <c r="G130" s="626">
        <v>1964</v>
      </c>
      <c r="H130" s="627">
        <f t="shared" si="31"/>
        <v>0</v>
      </c>
      <c r="I130" s="628">
        <v>220</v>
      </c>
      <c r="J130" s="571">
        <f t="shared" si="33"/>
        <v>0</v>
      </c>
      <c r="K130" s="1060">
        <f t="shared" si="32"/>
        <v>0</v>
      </c>
      <c r="L130" s="1061"/>
      <c r="M130" s="632"/>
      <c r="N130" s="631">
        <f t="shared" si="29"/>
        <v>0</v>
      </c>
      <c r="O130" s="630">
        <v>0</v>
      </c>
      <c r="P130" s="624">
        <v>0</v>
      </c>
      <c r="Q130" s="632"/>
      <c r="R130" s="632"/>
      <c r="S130" s="632"/>
    </row>
    <row r="131" spans="1:24" s="574" customFormat="1" ht="24" customHeight="1">
      <c r="A131" s="585"/>
      <c r="B131" s="617"/>
      <c r="C131" s="1128" t="s">
        <v>223</v>
      </c>
      <c r="D131" s="1126"/>
      <c r="E131" s="624"/>
      <c r="F131" s="625"/>
      <c r="G131" s="626"/>
      <c r="H131" s="627">
        <f t="shared" ref="H131:H133" si="34">SUM(E131*G131)</f>
        <v>0</v>
      </c>
      <c r="I131" s="628"/>
      <c r="J131" s="633">
        <f t="shared" ref="J131:J133" si="35">SUM(E131*I131)</f>
        <v>0</v>
      </c>
      <c r="K131" s="626">
        <f t="shared" ref="K131:K133" si="36">SUM(H131+J131)</f>
        <v>0</v>
      </c>
      <c r="L131" s="1063"/>
      <c r="M131" s="634"/>
      <c r="N131" s="635">
        <f t="shared" si="29"/>
        <v>0</v>
      </c>
      <c r="O131" s="636">
        <v>0</v>
      </c>
      <c r="P131" s="637"/>
      <c r="Q131" s="634"/>
      <c r="R131" s="634"/>
      <c r="S131" s="634"/>
      <c r="T131" s="634"/>
      <c r="U131" s="634"/>
      <c r="V131" s="634"/>
      <c r="W131" s="634"/>
      <c r="X131" s="634"/>
    </row>
    <row r="132" spans="1:24" s="574" customFormat="1" ht="24" customHeight="1">
      <c r="A132" s="585"/>
      <c r="B132" s="617" t="s">
        <v>224</v>
      </c>
      <c r="C132" s="1125" t="s">
        <v>225</v>
      </c>
      <c r="D132" s="1124"/>
      <c r="E132" s="624">
        <f t="shared" si="25"/>
        <v>1371.56</v>
      </c>
      <c r="F132" s="625" t="s">
        <v>226</v>
      </c>
      <c r="G132" s="626">
        <v>200</v>
      </c>
      <c r="H132" s="627">
        <f t="shared" si="34"/>
        <v>274312</v>
      </c>
      <c r="I132" s="628">
        <v>45</v>
      </c>
      <c r="J132" s="633">
        <f t="shared" si="35"/>
        <v>61720.2</v>
      </c>
      <c r="K132" s="626">
        <f t="shared" si="36"/>
        <v>336032.2</v>
      </c>
      <c r="L132" s="1064"/>
      <c r="M132" s="634"/>
      <c r="N132" s="635">
        <f t="shared" si="29"/>
        <v>1371.56</v>
      </c>
      <c r="O132" s="636">
        <v>0</v>
      </c>
      <c r="P132" s="637">
        <v>1371.56</v>
      </c>
      <c r="Q132" s="634"/>
      <c r="R132" s="634"/>
      <c r="S132" s="634"/>
      <c r="T132" s="634"/>
      <c r="U132" s="634"/>
      <c r="V132" s="634"/>
      <c r="W132" s="634"/>
      <c r="X132" s="634"/>
    </row>
    <row r="133" spans="1:24" s="574" customFormat="1" ht="24" customHeight="1">
      <c r="A133" s="585"/>
      <c r="B133" s="617" t="s">
        <v>227</v>
      </c>
      <c r="C133" s="1125" t="s">
        <v>228</v>
      </c>
      <c r="D133" s="1124"/>
      <c r="E133" s="624">
        <f t="shared" si="25"/>
        <v>401.46000000000009</v>
      </c>
      <c r="F133" s="625" t="s">
        <v>226</v>
      </c>
      <c r="G133" s="626">
        <v>19</v>
      </c>
      <c r="H133" s="627">
        <f t="shared" si="34"/>
        <v>7627.7400000000016</v>
      </c>
      <c r="I133" s="628">
        <v>20</v>
      </c>
      <c r="J133" s="633">
        <f t="shared" si="35"/>
        <v>8029.2000000000016</v>
      </c>
      <c r="K133" s="626">
        <f t="shared" si="36"/>
        <v>15656.940000000002</v>
      </c>
      <c r="L133" s="1064"/>
      <c r="M133" s="634"/>
      <c r="N133" s="635">
        <f t="shared" si="29"/>
        <v>401.46000000000009</v>
      </c>
      <c r="O133" s="636">
        <v>0</v>
      </c>
      <c r="P133" s="637">
        <v>401.46000000000009</v>
      </c>
      <c r="Q133" s="634"/>
      <c r="R133" s="634"/>
      <c r="S133" s="634"/>
      <c r="T133" s="634"/>
      <c r="U133" s="634"/>
      <c r="V133" s="634"/>
      <c r="W133" s="634"/>
      <c r="X133" s="634"/>
    </row>
    <row r="134" spans="1:24" ht="21.3">
      <c r="A134" s="640"/>
      <c r="B134" s="579"/>
      <c r="C134" s="2028"/>
      <c r="D134" s="1129"/>
      <c r="E134" s="618"/>
      <c r="F134" s="625"/>
      <c r="G134" s="641"/>
      <c r="H134" s="571">
        <f t="shared" ref="H134:H201" si="37">+E134*G134</f>
        <v>0</v>
      </c>
      <c r="I134" s="642"/>
      <c r="J134" s="571">
        <f t="shared" si="33"/>
        <v>0</v>
      </c>
      <c r="K134" s="1060">
        <f t="shared" si="32"/>
        <v>0</v>
      </c>
      <c r="L134" s="1065"/>
      <c r="M134" s="574"/>
      <c r="N134" s="643">
        <f t="shared" si="29"/>
        <v>0</v>
      </c>
      <c r="O134" s="622">
        <v>0</v>
      </c>
      <c r="P134" s="618"/>
      <c r="Q134" s="574"/>
      <c r="R134" s="574"/>
      <c r="S134" s="574"/>
    </row>
    <row r="135" spans="1:24">
      <c r="A135" s="585" t="s">
        <v>234</v>
      </c>
      <c r="B135" s="1114" t="s">
        <v>235</v>
      </c>
      <c r="C135" s="639"/>
      <c r="D135" s="1124"/>
      <c r="E135" s="618"/>
      <c r="F135" s="625"/>
      <c r="G135" s="620"/>
      <c r="H135" s="571">
        <f t="shared" si="37"/>
        <v>0</v>
      </c>
      <c r="I135" s="572"/>
      <c r="J135" s="571">
        <f t="shared" si="33"/>
        <v>0</v>
      </c>
      <c r="K135" s="1060">
        <f t="shared" si="32"/>
        <v>0</v>
      </c>
      <c r="L135" s="1061"/>
      <c r="M135" s="574"/>
      <c r="N135" s="621">
        <f t="shared" si="29"/>
        <v>0</v>
      </c>
      <c r="O135" s="622">
        <v>0</v>
      </c>
      <c r="P135" s="618"/>
      <c r="Q135" s="574"/>
      <c r="R135" s="574"/>
      <c r="S135" s="574"/>
    </row>
    <row r="136" spans="1:24" ht="21.3">
      <c r="A136" s="585"/>
      <c r="B136" s="1114"/>
      <c r="C136" s="617" t="s">
        <v>231</v>
      </c>
      <c r="D136" s="1124"/>
      <c r="E136" s="624">
        <f>+E137+E138+E139+E140+E142+E145+E147+E150+E152+E158+E159+E161+E162+E141+E143</f>
        <v>427.64</v>
      </c>
      <c r="F136" s="625" t="s">
        <v>34</v>
      </c>
      <c r="G136" s="626">
        <v>113</v>
      </c>
      <c r="H136" s="627">
        <f t="shared" ref="H136:H148" si="38">SUM(E136*G136)</f>
        <v>48323.32</v>
      </c>
      <c r="I136" s="628">
        <v>61</v>
      </c>
      <c r="J136" s="571">
        <f t="shared" si="33"/>
        <v>26086.04</v>
      </c>
      <c r="K136" s="1060">
        <f t="shared" si="32"/>
        <v>74409.36</v>
      </c>
      <c r="L136" s="1062"/>
      <c r="M136" s="574"/>
      <c r="N136" s="629">
        <f t="shared" si="29"/>
        <v>0</v>
      </c>
      <c r="O136" s="630">
        <v>0</v>
      </c>
      <c r="P136" s="624"/>
      <c r="Q136" s="574"/>
      <c r="R136" s="574"/>
      <c r="S136" s="574"/>
    </row>
    <row r="137" spans="1:24" ht="21.3">
      <c r="A137" s="585"/>
      <c r="B137" s="617" t="s">
        <v>184</v>
      </c>
      <c r="C137" s="617" t="s">
        <v>185</v>
      </c>
      <c r="D137" s="617"/>
      <c r="E137" s="624">
        <f>+N137</f>
        <v>0</v>
      </c>
      <c r="F137" s="625" t="s">
        <v>34</v>
      </c>
      <c r="G137" s="626">
        <v>564</v>
      </c>
      <c r="H137" s="627">
        <f t="shared" si="38"/>
        <v>0</v>
      </c>
      <c r="I137" s="628">
        <v>283</v>
      </c>
      <c r="J137" s="571">
        <f t="shared" si="33"/>
        <v>0</v>
      </c>
      <c r="K137" s="1060">
        <f t="shared" si="32"/>
        <v>0</v>
      </c>
      <c r="L137" s="1061"/>
      <c r="M137" s="574"/>
      <c r="N137" s="631">
        <f t="shared" si="29"/>
        <v>0</v>
      </c>
      <c r="O137" s="630">
        <v>0</v>
      </c>
      <c r="P137" s="624"/>
      <c r="Q137" s="574"/>
      <c r="R137" s="574"/>
      <c r="S137" s="574"/>
    </row>
    <row r="138" spans="1:24" ht="21.3">
      <c r="A138" s="585"/>
      <c r="B138" s="617" t="s">
        <v>186</v>
      </c>
      <c r="C138" s="1125" t="s">
        <v>187</v>
      </c>
      <c r="D138" s="1126"/>
      <c r="E138" s="624">
        <f t="shared" ref="E138:E165" si="39">+N138</f>
        <v>0</v>
      </c>
      <c r="F138" s="625" t="s">
        <v>34</v>
      </c>
      <c r="G138" s="626">
        <v>295</v>
      </c>
      <c r="H138" s="627">
        <f t="shared" si="38"/>
        <v>0</v>
      </c>
      <c r="I138" s="628">
        <v>184</v>
      </c>
      <c r="J138" s="571">
        <f t="shared" si="33"/>
        <v>0</v>
      </c>
      <c r="K138" s="1060">
        <f t="shared" si="32"/>
        <v>0</v>
      </c>
      <c r="L138" s="1061"/>
      <c r="M138" s="574"/>
      <c r="N138" s="631">
        <f t="shared" si="29"/>
        <v>0</v>
      </c>
      <c r="O138" s="630">
        <v>0</v>
      </c>
      <c r="P138" s="624"/>
      <c r="Q138" s="574"/>
      <c r="R138" s="574"/>
      <c r="S138" s="574"/>
    </row>
    <row r="139" spans="1:24" ht="21.3">
      <c r="A139" s="585"/>
      <c r="B139" s="617" t="s">
        <v>188</v>
      </c>
      <c r="C139" s="1125" t="s">
        <v>189</v>
      </c>
      <c r="D139" s="1126"/>
      <c r="E139" s="624">
        <f t="shared" si="39"/>
        <v>0</v>
      </c>
      <c r="F139" s="625" t="s">
        <v>34</v>
      </c>
      <c r="G139" s="626">
        <v>297</v>
      </c>
      <c r="H139" s="627">
        <f t="shared" si="38"/>
        <v>0</v>
      </c>
      <c r="I139" s="628">
        <v>204</v>
      </c>
      <c r="J139" s="571">
        <f t="shared" si="33"/>
        <v>0</v>
      </c>
      <c r="K139" s="1060">
        <f t="shared" si="32"/>
        <v>0</v>
      </c>
      <c r="L139" s="1061"/>
      <c r="M139" s="574"/>
      <c r="N139" s="631">
        <f t="shared" si="29"/>
        <v>0</v>
      </c>
      <c r="O139" s="630">
        <v>0</v>
      </c>
      <c r="P139" s="624">
        <v>0</v>
      </c>
      <c r="Q139" s="574"/>
      <c r="R139" s="574"/>
      <c r="S139" s="574"/>
    </row>
    <row r="140" spans="1:24" ht="21.3">
      <c r="A140" s="585"/>
      <c r="B140" s="617" t="s">
        <v>190</v>
      </c>
      <c r="C140" s="1125" t="s">
        <v>191</v>
      </c>
      <c r="D140" s="1126"/>
      <c r="E140" s="624"/>
      <c r="F140" s="625" t="s">
        <v>34</v>
      </c>
      <c r="G140" s="626">
        <v>609</v>
      </c>
      <c r="H140" s="627">
        <f t="shared" si="38"/>
        <v>0</v>
      </c>
      <c r="I140" s="628">
        <v>222</v>
      </c>
      <c r="J140" s="571">
        <f t="shared" si="33"/>
        <v>0</v>
      </c>
      <c r="K140" s="1060">
        <f t="shared" si="32"/>
        <v>0</v>
      </c>
      <c r="L140" s="1061"/>
      <c r="M140" s="574"/>
      <c r="N140" s="631">
        <f t="shared" si="29"/>
        <v>215.2</v>
      </c>
      <c r="O140" s="630">
        <v>0</v>
      </c>
      <c r="P140" s="624">
        <v>215.2</v>
      </c>
      <c r="Q140" s="574"/>
      <c r="R140" s="574"/>
      <c r="S140" s="574"/>
    </row>
    <row r="141" spans="1:24" ht="21.3">
      <c r="A141" s="585"/>
      <c r="B141" s="623" t="s">
        <v>2547</v>
      </c>
      <c r="C141" s="1125" t="s">
        <v>191</v>
      </c>
      <c r="D141" s="1126"/>
      <c r="E141" s="624">
        <f t="shared" ref="E141" si="40">+N141</f>
        <v>215.2</v>
      </c>
      <c r="F141" s="625" t="s">
        <v>34</v>
      </c>
      <c r="G141" s="626">
        <v>399</v>
      </c>
      <c r="H141" s="627">
        <f t="shared" si="38"/>
        <v>85864.799999999988</v>
      </c>
      <c r="I141" s="628">
        <v>222</v>
      </c>
      <c r="J141" s="571">
        <f t="shared" si="33"/>
        <v>47774.399999999994</v>
      </c>
      <c r="K141" s="1060">
        <f t="shared" si="32"/>
        <v>133639.19999999998</v>
      </c>
      <c r="L141" s="1061"/>
      <c r="M141" s="574"/>
      <c r="N141" s="631">
        <f t="shared" si="29"/>
        <v>215.2</v>
      </c>
      <c r="O141" s="630">
        <v>0</v>
      </c>
      <c r="P141" s="624">
        <v>215.2</v>
      </c>
      <c r="Q141" s="574"/>
      <c r="R141" s="574"/>
      <c r="S141" s="574"/>
    </row>
    <row r="142" spans="1:24" ht="21.3">
      <c r="A142" s="585"/>
      <c r="B142" s="617" t="s">
        <v>192</v>
      </c>
      <c r="C142" s="1125" t="s">
        <v>193</v>
      </c>
      <c r="D142" s="1126"/>
      <c r="E142" s="624"/>
      <c r="F142" s="625" t="s">
        <v>34</v>
      </c>
      <c r="G142" s="626">
        <v>617</v>
      </c>
      <c r="H142" s="627">
        <f t="shared" si="38"/>
        <v>0</v>
      </c>
      <c r="I142" s="628">
        <v>242</v>
      </c>
      <c r="J142" s="571">
        <f t="shared" si="33"/>
        <v>0</v>
      </c>
      <c r="K142" s="1060">
        <f t="shared" si="32"/>
        <v>0</v>
      </c>
      <c r="L142" s="1061"/>
      <c r="M142" s="574"/>
      <c r="N142" s="631">
        <f t="shared" si="29"/>
        <v>181.74</v>
      </c>
      <c r="O142" s="630">
        <v>0</v>
      </c>
      <c r="P142" s="624">
        <v>181.74</v>
      </c>
      <c r="Q142" s="574"/>
      <c r="R142" s="574"/>
      <c r="S142" s="574"/>
    </row>
    <row r="143" spans="1:24" ht="21.3">
      <c r="A143" s="585"/>
      <c r="B143" s="623" t="s">
        <v>2548</v>
      </c>
      <c r="C143" s="1125" t="s">
        <v>193</v>
      </c>
      <c r="D143" s="1126"/>
      <c r="E143" s="624">
        <f t="shared" ref="E143" si="41">+N143</f>
        <v>181.74</v>
      </c>
      <c r="F143" s="625" t="s">
        <v>34</v>
      </c>
      <c r="G143" s="626">
        <v>399</v>
      </c>
      <c r="H143" s="627">
        <f t="shared" si="38"/>
        <v>72514.260000000009</v>
      </c>
      <c r="I143" s="628">
        <v>242</v>
      </c>
      <c r="J143" s="571">
        <f t="shared" si="33"/>
        <v>43981.08</v>
      </c>
      <c r="K143" s="1060">
        <f t="shared" si="32"/>
        <v>116495.34000000001</v>
      </c>
      <c r="L143" s="1061"/>
      <c r="M143" s="574"/>
      <c r="N143" s="631">
        <f t="shared" si="29"/>
        <v>181.74</v>
      </c>
      <c r="O143" s="630">
        <v>0</v>
      </c>
      <c r="P143" s="624">
        <v>181.74</v>
      </c>
      <c r="Q143" s="574"/>
      <c r="R143" s="574"/>
      <c r="S143" s="574"/>
    </row>
    <row r="144" spans="1:24" ht="21.3">
      <c r="A144" s="585"/>
      <c r="B144" s="617" t="s">
        <v>194</v>
      </c>
      <c r="C144" s="1125" t="s">
        <v>195</v>
      </c>
      <c r="D144" s="1126"/>
      <c r="E144" s="624">
        <f t="shared" si="39"/>
        <v>124.26</v>
      </c>
      <c r="F144" s="625" t="s">
        <v>34</v>
      </c>
      <c r="G144" s="626">
        <v>420</v>
      </c>
      <c r="H144" s="627">
        <f t="shared" si="38"/>
        <v>52189.200000000004</v>
      </c>
      <c r="I144" s="628">
        <v>100</v>
      </c>
      <c r="J144" s="571">
        <f t="shared" si="33"/>
        <v>12426</v>
      </c>
      <c r="K144" s="1060">
        <f t="shared" si="32"/>
        <v>64615.200000000004</v>
      </c>
      <c r="L144" s="1061"/>
      <c r="M144" s="574"/>
      <c r="N144" s="631">
        <f t="shared" si="29"/>
        <v>124.26</v>
      </c>
      <c r="O144" s="630">
        <v>0</v>
      </c>
      <c r="P144" s="624">
        <v>124.26</v>
      </c>
      <c r="Q144" s="574"/>
      <c r="R144" s="574"/>
      <c r="S144" s="574"/>
    </row>
    <row r="145" spans="1:19" ht="21.3">
      <c r="A145" s="585"/>
      <c r="B145" s="617" t="s">
        <v>196</v>
      </c>
      <c r="C145" s="1125" t="s">
        <v>197</v>
      </c>
      <c r="D145" s="1126"/>
      <c r="E145" s="624">
        <f t="shared" si="39"/>
        <v>0</v>
      </c>
      <c r="F145" s="625" t="s">
        <v>34</v>
      </c>
      <c r="G145" s="626">
        <v>564</v>
      </c>
      <c r="H145" s="627">
        <f t="shared" si="38"/>
        <v>0</v>
      </c>
      <c r="I145" s="628">
        <v>283</v>
      </c>
      <c r="J145" s="571">
        <f t="shared" si="33"/>
        <v>0</v>
      </c>
      <c r="K145" s="1060">
        <f t="shared" si="32"/>
        <v>0</v>
      </c>
      <c r="L145" s="1061"/>
      <c r="M145" s="574"/>
      <c r="N145" s="631">
        <f t="shared" si="29"/>
        <v>0</v>
      </c>
      <c r="O145" s="630">
        <v>0</v>
      </c>
      <c r="P145" s="624"/>
      <c r="Q145" s="574"/>
      <c r="R145" s="574"/>
      <c r="S145" s="574"/>
    </row>
    <row r="146" spans="1:19" ht="21.3">
      <c r="A146" s="585"/>
      <c r="B146" s="617"/>
      <c r="C146" s="617" t="s">
        <v>198</v>
      </c>
      <c r="D146" s="617"/>
      <c r="E146" s="624">
        <f t="shared" si="39"/>
        <v>0</v>
      </c>
      <c r="F146" s="619"/>
      <c r="G146" s="626"/>
      <c r="H146" s="627">
        <f t="shared" si="38"/>
        <v>0</v>
      </c>
      <c r="I146" s="628"/>
      <c r="J146" s="571">
        <f t="shared" si="33"/>
        <v>0</v>
      </c>
      <c r="K146" s="1060">
        <f t="shared" si="32"/>
        <v>0</v>
      </c>
      <c r="L146" s="1061"/>
      <c r="M146" s="574"/>
      <c r="N146" s="631">
        <f t="shared" si="29"/>
        <v>0</v>
      </c>
      <c r="O146" s="630">
        <v>0</v>
      </c>
      <c r="P146" s="624"/>
      <c r="Q146" s="574"/>
      <c r="R146" s="574"/>
      <c r="S146" s="574"/>
    </row>
    <row r="147" spans="1:19" ht="21.3">
      <c r="A147" s="585"/>
      <c r="B147" s="617" t="s">
        <v>199</v>
      </c>
      <c r="C147" s="617" t="s">
        <v>200</v>
      </c>
      <c r="D147" s="617"/>
      <c r="E147" s="624">
        <f t="shared" si="39"/>
        <v>0</v>
      </c>
      <c r="F147" s="625" t="s">
        <v>34</v>
      </c>
      <c r="G147" s="626">
        <v>3570</v>
      </c>
      <c r="H147" s="627">
        <f t="shared" si="38"/>
        <v>0</v>
      </c>
      <c r="I147" s="628">
        <v>220</v>
      </c>
      <c r="J147" s="571">
        <f t="shared" si="33"/>
        <v>0</v>
      </c>
      <c r="K147" s="1060">
        <f t="shared" si="32"/>
        <v>0</v>
      </c>
      <c r="L147" s="1061"/>
      <c r="M147" s="574"/>
      <c r="N147" s="631">
        <f t="shared" si="29"/>
        <v>0</v>
      </c>
      <c r="O147" s="630">
        <v>0</v>
      </c>
      <c r="P147" s="624"/>
      <c r="Q147" s="574"/>
      <c r="R147" s="574"/>
      <c r="S147" s="574"/>
    </row>
    <row r="148" spans="1:19" ht="21.3">
      <c r="A148" s="585"/>
      <c r="B148" s="617" t="s">
        <v>201</v>
      </c>
      <c r="C148" s="617" t="s">
        <v>202</v>
      </c>
      <c r="D148" s="617"/>
      <c r="E148" s="624">
        <f t="shared" si="39"/>
        <v>17.600000000000001</v>
      </c>
      <c r="F148" s="625" t="s">
        <v>34</v>
      </c>
      <c r="G148" s="626">
        <f>ROUNDUP(2227.6*0.05+5*2.95,0)</f>
        <v>127</v>
      </c>
      <c r="H148" s="627">
        <f t="shared" si="38"/>
        <v>2235.2000000000003</v>
      </c>
      <c r="I148" s="628">
        <v>82</v>
      </c>
      <c r="J148" s="571">
        <f t="shared" si="33"/>
        <v>1443.2</v>
      </c>
      <c r="K148" s="1060">
        <f t="shared" si="32"/>
        <v>3678.4000000000005</v>
      </c>
      <c r="L148" s="1061"/>
      <c r="M148" s="574"/>
      <c r="N148" s="631">
        <f t="shared" si="29"/>
        <v>17.600000000000001</v>
      </c>
      <c r="O148" s="630">
        <v>0</v>
      </c>
      <c r="P148" s="624">
        <v>17.600000000000001</v>
      </c>
      <c r="Q148" s="574"/>
      <c r="R148" s="574"/>
      <c r="S148" s="574"/>
    </row>
    <row r="149" spans="1:19" ht="21.3">
      <c r="A149" s="585"/>
      <c r="B149" s="617" t="s">
        <v>203</v>
      </c>
      <c r="C149" s="1125" t="s">
        <v>204</v>
      </c>
      <c r="D149" s="1126"/>
      <c r="E149" s="624">
        <f t="shared" si="39"/>
        <v>0</v>
      </c>
      <c r="F149" s="625" t="s">
        <v>34</v>
      </c>
      <c r="G149" s="628">
        <v>120</v>
      </c>
      <c r="H149" s="627">
        <f t="shared" ref="H149:H152" si="42">E149*G149</f>
        <v>0</v>
      </c>
      <c r="I149" s="628">
        <v>61</v>
      </c>
      <c r="J149" s="571">
        <f t="shared" si="33"/>
        <v>0</v>
      </c>
      <c r="K149" s="1060">
        <f t="shared" si="32"/>
        <v>0</v>
      </c>
      <c r="L149" s="1061"/>
      <c r="M149" s="574"/>
      <c r="N149" s="631">
        <f t="shared" si="29"/>
        <v>0</v>
      </c>
      <c r="O149" s="630">
        <v>0</v>
      </c>
      <c r="P149" s="624"/>
      <c r="Q149" s="574"/>
      <c r="R149" s="574"/>
      <c r="S149" s="574"/>
    </row>
    <row r="150" spans="1:19" ht="21.3">
      <c r="A150" s="585"/>
      <c r="B150" s="617" t="s">
        <v>205</v>
      </c>
      <c r="C150" s="617" t="s">
        <v>206</v>
      </c>
      <c r="D150" s="617"/>
      <c r="E150" s="624">
        <f t="shared" si="39"/>
        <v>0</v>
      </c>
      <c r="F150" s="625" t="s">
        <v>34</v>
      </c>
      <c r="G150" s="626">
        <v>447</v>
      </c>
      <c r="H150" s="627">
        <f t="shared" si="42"/>
        <v>0</v>
      </c>
      <c r="I150" s="628">
        <v>212</v>
      </c>
      <c r="J150" s="571">
        <f t="shared" si="33"/>
        <v>0</v>
      </c>
      <c r="K150" s="1060">
        <f t="shared" si="32"/>
        <v>0</v>
      </c>
      <c r="L150" s="1061"/>
      <c r="M150" s="574"/>
      <c r="N150" s="631">
        <f t="shared" si="29"/>
        <v>0</v>
      </c>
      <c r="O150" s="630">
        <v>0</v>
      </c>
      <c r="P150" s="624"/>
      <c r="Q150" s="574"/>
      <c r="R150" s="574"/>
      <c r="S150" s="574"/>
    </row>
    <row r="151" spans="1:19" ht="21.3">
      <c r="A151" s="585"/>
      <c r="B151" s="617" t="s">
        <v>207</v>
      </c>
      <c r="C151" s="1125" t="s">
        <v>208</v>
      </c>
      <c r="D151" s="1126"/>
      <c r="E151" s="624">
        <f t="shared" si="39"/>
        <v>0</v>
      </c>
      <c r="F151" s="625" t="s">
        <v>34</v>
      </c>
      <c r="G151" s="628">
        <v>240</v>
      </c>
      <c r="H151" s="627">
        <f t="shared" si="42"/>
        <v>0</v>
      </c>
      <c r="I151" s="628">
        <v>80</v>
      </c>
      <c r="J151" s="571">
        <f t="shared" si="33"/>
        <v>0</v>
      </c>
      <c r="K151" s="1060">
        <f t="shared" si="32"/>
        <v>0</v>
      </c>
      <c r="L151" s="1061"/>
      <c r="M151" s="574"/>
      <c r="N151" s="631">
        <f t="shared" si="29"/>
        <v>0</v>
      </c>
      <c r="O151" s="630">
        <v>0</v>
      </c>
      <c r="P151" s="624"/>
      <c r="Q151" s="574"/>
      <c r="R151" s="574"/>
      <c r="S151" s="574"/>
    </row>
    <row r="152" spans="1:19" ht="21.3">
      <c r="A152" s="585"/>
      <c r="B152" s="617" t="s">
        <v>209</v>
      </c>
      <c r="C152" s="1125" t="s">
        <v>210</v>
      </c>
      <c r="D152" s="1126"/>
      <c r="E152" s="624">
        <f t="shared" si="39"/>
        <v>0</v>
      </c>
      <c r="F152" s="625" t="s">
        <v>34</v>
      </c>
      <c r="G152" s="628">
        <v>230</v>
      </c>
      <c r="H152" s="627">
        <f t="shared" si="42"/>
        <v>0</v>
      </c>
      <c r="I152" s="628">
        <v>0</v>
      </c>
      <c r="J152" s="571">
        <f t="shared" si="33"/>
        <v>0</v>
      </c>
      <c r="K152" s="1060">
        <f t="shared" si="32"/>
        <v>0</v>
      </c>
      <c r="L152" s="1061"/>
      <c r="M152" s="574"/>
      <c r="N152" s="631">
        <f t="shared" si="29"/>
        <v>0</v>
      </c>
      <c r="O152" s="630">
        <v>0</v>
      </c>
      <c r="P152" s="624"/>
      <c r="Q152" s="574"/>
      <c r="R152" s="574"/>
      <c r="S152" s="574"/>
    </row>
    <row r="153" spans="1:19" ht="21.3">
      <c r="A153" s="585"/>
      <c r="B153" s="617" t="s">
        <v>211</v>
      </c>
      <c r="C153" s="1125" t="s">
        <v>212</v>
      </c>
      <c r="D153" s="1126"/>
      <c r="E153" s="624">
        <f t="shared" si="39"/>
        <v>10</v>
      </c>
      <c r="F153" s="625" t="s">
        <v>34</v>
      </c>
      <c r="G153" s="626">
        <v>220</v>
      </c>
      <c r="H153" s="627">
        <f t="shared" ref="H153:H162" si="43">SUM(E153*G153)</f>
        <v>2200</v>
      </c>
      <c r="I153" s="628">
        <v>80</v>
      </c>
      <c r="J153" s="571">
        <f t="shared" si="33"/>
        <v>800</v>
      </c>
      <c r="K153" s="1060">
        <f t="shared" si="32"/>
        <v>3000</v>
      </c>
      <c r="L153" s="1061"/>
      <c r="M153" s="574"/>
      <c r="N153" s="631">
        <f t="shared" si="29"/>
        <v>10</v>
      </c>
      <c r="O153" s="630">
        <v>0</v>
      </c>
      <c r="P153" s="624">
        <v>10</v>
      </c>
      <c r="Q153" s="574"/>
      <c r="R153" s="574"/>
      <c r="S153" s="574"/>
    </row>
    <row r="154" spans="1:19" ht="21.3">
      <c r="A154" s="585"/>
      <c r="B154" s="617" t="s">
        <v>213</v>
      </c>
      <c r="C154" s="1125" t="s">
        <v>214</v>
      </c>
      <c r="D154" s="1126"/>
      <c r="E154" s="624">
        <f t="shared" si="39"/>
        <v>0</v>
      </c>
      <c r="F154" s="625" t="s">
        <v>34</v>
      </c>
      <c r="G154" s="626">
        <v>113</v>
      </c>
      <c r="H154" s="627">
        <f t="shared" si="43"/>
        <v>0</v>
      </c>
      <c r="I154" s="628">
        <v>61</v>
      </c>
      <c r="J154" s="571">
        <f t="shared" si="33"/>
        <v>0</v>
      </c>
      <c r="K154" s="1060">
        <f t="shared" si="32"/>
        <v>0</v>
      </c>
      <c r="L154" s="1061"/>
      <c r="M154" s="574"/>
      <c r="N154" s="631">
        <f t="shared" si="29"/>
        <v>0</v>
      </c>
      <c r="O154" s="630">
        <v>0</v>
      </c>
      <c r="P154" s="624"/>
      <c r="Q154" s="574"/>
      <c r="R154" s="574"/>
      <c r="S154" s="574"/>
    </row>
    <row r="155" spans="1:19" ht="21.3">
      <c r="A155" s="585"/>
      <c r="B155" s="617" t="s">
        <v>215</v>
      </c>
      <c r="C155" s="1125" t="s">
        <v>216</v>
      </c>
      <c r="D155" s="1126"/>
      <c r="E155" s="624">
        <f t="shared" si="39"/>
        <v>0</v>
      </c>
      <c r="F155" s="625" t="s">
        <v>34</v>
      </c>
      <c r="G155" s="626">
        <v>113</v>
      </c>
      <c r="H155" s="627">
        <f t="shared" si="43"/>
        <v>0</v>
      </c>
      <c r="I155" s="628">
        <v>61</v>
      </c>
      <c r="J155" s="571">
        <f t="shared" si="33"/>
        <v>0</v>
      </c>
      <c r="K155" s="1060">
        <f t="shared" si="32"/>
        <v>0</v>
      </c>
      <c r="L155" s="1061"/>
      <c r="M155" s="574"/>
      <c r="N155" s="631">
        <f t="shared" si="29"/>
        <v>0</v>
      </c>
      <c r="O155" s="630">
        <v>0</v>
      </c>
      <c r="P155" s="624"/>
      <c r="Q155" s="574"/>
      <c r="R155" s="574"/>
      <c r="S155" s="574"/>
    </row>
    <row r="156" spans="1:19" ht="21.3">
      <c r="A156" s="585"/>
      <c r="B156" s="617" t="s">
        <v>217</v>
      </c>
      <c r="C156" s="1125" t="s">
        <v>218</v>
      </c>
      <c r="D156" s="1126"/>
      <c r="E156" s="624">
        <f t="shared" si="39"/>
        <v>4504.34</v>
      </c>
      <c r="F156" s="625" t="s">
        <v>34</v>
      </c>
      <c r="G156" s="626">
        <v>113</v>
      </c>
      <c r="H156" s="627">
        <f t="shared" si="43"/>
        <v>508990.42000000004</v>
      </c>
      <c r="I156" s="628">
        <v>61</v>
      </c>
      <c r="J156" s="571">
        <f t="shared" si="33"/>
        <v>274764.74</v>
      </c>
      <c r="K156" s="1060">
        <f t="shared" si="32"/>
        <v>783755.16</v>
      </c>
      <c r="L156" s="1061"/>
      <c r="M156" s="574"/>
      <c r="N156" s="631">
        <f t="shared" si="29"/>
        <v>4504.34</v>
      </c>
      <c r="O156" s="630">
        <v>0</v>
      </c>
      <c r="P156" s="624">
        <v>4504.34</v>
      </c>
      <c r="Q156" s="574"/>
      <c r="R156" s="574"/>
      <c r="S156" s="574"/>
    </row>
    <row r="157" spans="1:19" ht="21.3">
      <c r="A157" s="585"/>
      <c r="B157" s="617" t="s">
        <v>219</v>
      </c>
      <c r="C157" s="1125" t="s">
        <v>220</v>
      </c>
      <c r="D157" s="1124"/>
      <c r="E157" s="624">
        <f t="shared" si="39"/>
        <v>16.95</v>
      </c>
      <c r="F157" s="625" t="s">
        <v>34</v>
      </c>
      <c r="G157" s="626">
        <v>113</v>
      </c>
      <c r="H157" s="627">
        <f t="shared" si="43"/>
        <v>1915.35</v>
      </c>
      <c r="I157" s="628">
        <v>61</v>
      </c>
      <c r="J157" s="571">
        <f t="shared" si="33"/>
        <v>1033.95</v>
      </c>
      <c r="K157" s="1060">
        <f t="shared" si="32"/>
        <v>2949.3</v>
      </c>
      <c r="L157" s="1061"/>
      <c r="M157" s="574"/>
      <c r="N157" s="631">
        <f t="shared" si="29"/>
        <v>16.95</v>
      </c>
      <c r="O157" s="630">
        <v>0</v>
      </c>
      <c r="P157" s="624">
        <v>16.95</v>
      </c>
      <c r="Q157" s="574"/>
      <c r="R157" s="574"/>
      <c r="S157" s="574"/>
    </row>
    <row r="158" spans="1:19" ht="21.3">
      <c r="A158" s="585"/>
      <c r="B158" s="617" t="s">
        <v>221</v>
      </c>
      <c r="C158" s="1125" t="s">
        <v>222</v>
      </c>
      <c r="D158" s="1124"/>
      <c r="E158" s="624">
        <f t="shared" si="39"/>
        <v>30.7</v>
      </c>
      <c r="F158" s="625" t="s">
        <v>34</v>
      </c>
      <c r="G158" s="626">
        <v>583</v>
      </c>
      <c r="H158" s="627">
        <f t="shared" si="43"/>
        <v>17898.099999999999</v>
      </c>
      <c r="I158" s="628">
        <v>298</v>
      </c>
      <c r="J158" s="571">
        <f t="shared" si="33"/>
        <v>9148.6</v>
      </c>
      <c r="K158" s="1060">
        <f t="shared" si="32"/>
        <v>27046.699999999997</v>
      </c>
      <c r="L158" s="1061"/>
      <c r="M158" s="574"/>
      <c r="N158" s="631">
        <f t="shared" si="29"/>
        <v>30.7</v>
      </c>
      <c r="O158" s="630">
        <v>0</v>
      </c>
      <c r="P158" s="624">
        <v>30.7</v>
      </c>
      <c r="Q158" s="574"/>
      <c r="R158" s="574"/>
      <c r="S158" s="574"/>
    </row>
    <row r="159" spans="1:19" ht="21.3">
      <c r="A159" s="585"/>
      <c r="B159" s="617" t="s">
        <v>593</v>
      </c>
      <c r="C159" s="1127" t="s">
        <v>594</v>
      </c>
      <c r="D159" s="1126"/>
      <c r="E159" s="624">
        <f t="shared" si="39"/>
        <v>0</v>
      </c>
      <c r="F159" s="625" t="s">
        <v>34</v>
      </c>
      <c r="G159" s="626">
        <v>533</v>
      </c>
      <c r="H159" s="627">
        <f t="shared" si="43"/>
        <v>0</v>
      </c>
      <c r="I159" s="628">
        <v>130</v>
      </c>
      <c r="J159" s="571">
        <f t="shared" si="33"/>
        <v>0</v>
      </c>
      <c r="K159" s="1060">
        <f t="shared" si="32"/>
        <v>0</v>
      </c>
      <c r="L159" s="1061"/>
      <c r="M159" s="574"/>
      <c r="N159" s="631">
        <f t="shared" si="29"/>
        <v>0</v>
      </c>
      <c r="O159" s="630">
        <v>0</v>
      </c>
      <c r="P159" s="624">
        <v>0</v>
      </c>
      <c r="Q159" s="574"/>
      <c r="R159" s="574"/>
      <c r="S159" s="574"/>
    </row>
    <row r="160" spans="1:19" ht="21.3">
      <c r="A160" s="585"/>
      <c r="B160" s="617" t="s">
        <v>238</v>
      </c>
      <c r="C160" s="1127" t="s">
        <v>595</v>
      </c>
      <c r="D160" s="1126"/>
      <c r="E160" s="624">
        <f t="shared" si="39"/>
        <v>0</v>
      </c>
      <c r="F160" s="625" t="s">
        <v>34</v>
      </c>
      <c r="G160" s="626">
        <v>4810</v>
      </c>
      <c r="H160" s="627">
        <f t="shared" si="43"/>
        <v>0</v>
      </c>
      <c r="I160" s="628">
        <v>1640</v>
      </c>
      <c r="J160" s="571">
        <f t="shared" si="33"/>
        <v>0</v>
      </c>
      <c r="K160" s="1060">
        <f t="shared" si="32"/>
        <v>0</v>
      </c>
      <c r="L160" s="1061"/>
      <c r="M160" s="574"/>
      <c r="N160" s="631">
        <f t="shared" si="29"/>
        <v>0</v>
      </c>
      <c r="O160" s="630">
        <v>0</v>
      </c>
      <c r="P160" s="624">
        <v>0</v>
      </c>
      <c r="Q160" s="574"/>
      <c r="R160" s="574"/>
      <c r="S160" s="574"/>
    </row>
    <row r="161" spans="1:24" ht="21.3">
      <c r="A161" s="585"/>
      <c r="B161" s="617" t="s">
        <v>596</v>
      </c>
      <c r="C161" s="1127" t="s">
        <v>597</v>
      </c>
      <c r="D161" s="1124"/>
      <c r="E161" s="624">
        <f t="shared" si="39"/>
        <v>0</v>
      </c>
      <c r="F161" s="625" t="s">
        <v>34</v>
      </c>
      <c r="G161" s="626">
        <v>253</v>
      </c>
      <c r="H161" s="627">
        <f t="shared" si="43"/>
        <v>0</v>
      </c>
      <c r="I161" s="628">
        <v>50</v>
      </c>
      <c r="J161" s="571">
        <f t="shared" si="33"/>
        <v>0</v>
      </c>
      <c r="K161" s="1060">
        <f t="shared" si="32"/>
        <v>0</v>
      </c>
      <c r="L161" s="1061"/>
      <c r="M161" s="574"/>
      <c r="N161" s="631">
        <f t="shared" si="29"/>
        <v>0</v>
      </c>
      <c r="O161" s="630">
        <v>0</v>
      </c>
      <c r="P161" s="624">
        <v>0</v>
      </c>
      <c r="Q161" s="574"/>
      <c r="R161" s="574"/>
      <c r="S161" s="574"/>
    </row>
    <row r="162" spans="1:24" ht="21.3">
      <c r="A162" s="585"/>
      <c r="B162" s="617" t="s">
        <v>598</v>
      </c>
      <c r="C162" s="1127" t="s">
        <v>599</v>
      </c>
      <c r="D162" s="1124"/>
      <c r="E162" s="624">
        <f t="shared" si="39"/>
        <v>0</v>
      </c>
      <c r="F162" s="625" t="s">
        <v>34</v>
      </c>
      <c r="G162" s="626">
        <v>1964</v>
      </c>
      <c r="H162" s="627">
        <f t="shared" si="43"/>
        <v>0</v>
      </c>
      <c r="I162" s="628">
        <v>220</v>
      </c>
      <c r="J162" s="571">
        <f t="shared" si="33"/>
        <v>0</v>
      </c>
      <c r="K162" s="1060">
        <f t="shared" si="32"/>
        <v>0</v>
      </c>
      <c r="L162" s="1061"/>
      <c r="M162" s="632"/>
      <c r="N162" s="631">
        <f t="shared" si="29"/>
        <v>0</v>
      </c>
      <c r="O162" s="630">
        <v>0</v>
      </c>
      <c r="P162" s="624"/>
      <c r="Q162" s="632"/>
      <c r="R162" s="632"/>
      <c r="S162" s="632"/>
    </row>
    <row r="163" spans="1:24" s="574" customFormat="1" ht="24" customHeight="1">
      <c r="A163" s="585"/>
      <c r="B163" s="617"/>
      <c r="C163" s="1128" t="s">
        <v>223</v>
      </c>
      <c r="D163" s="1126"/>
      <c r="E163" s="624"/>
      <c r="F163" s="625"/>
      <c r="G163" s="626"/>
      <c r="H163" s="627">
        <f t="shared" ref="H163:H165" si="44">SUM(E163*G163)</f>
        <v>0</v>
      </c>
      <c r="I163" s="628"/>
      <c r="J163" s="633">
        <f t="shared" ref="J163:J165" si="45">SUM(E163*I163)</f>
        <v>0</v>
      </c>
      <c r="K163" s="626">
        <f t="shared" ref="K163:K165" si="46">SUM(H163+J163)</f>
        <v>0</v>
      </c>
      <c r="L163" s="1063"/>
      <c r="M163" s="634"/>
      <c r="N163" s="635">
        <f t="shared" si="29"/>
        <v>0</v>
      </c>
      <c r="O163" s="636">
        <v>0</v>
      </c>
      <c r="P163" s="637"/>
      <c r="Q163" s="634"/>
      <c r="R163" s="634"/>
      <c r="S163" s="634"/>
      <c r="T163" s="634"/>
      <c r="U163" s="634"/>
      <c r="V163" s="634"/>
      <c r="W163" s="634"/>
      <c r="X163" s="634"/>
    </row>
    <row r="164" spans="1:24" s="574" customFormat="1" ht="24" customHeight="1">
      <c r="A164" s="585"/>
      <c r="B164" s="617" t="s">
        <v>224</v>
      </c>
      <c r="C164" s="1125" t="s">
        <v>225</v>
      </c>
      <c r="D164" s="1124"/>
      <c r="E164" s="624">
        <f t="shared" si="39"/>
        <v>1598.5729999999996</v>
      </c>
      <c r="F164" s="625" t="s">
        <v>226</v>
      </c>
      <c r="G164" s="626">
        <v>200</v>
      </c>
      <c r="H164" s="627">
        <f t="shared" si="44"/>
        <v>319714.59999999992</v>
      </c>
      <c r="I164" s="628">
        <v>45</v>
      </c>
      <c r="J164" s="633">
        <f t="shared" si="45"/>
        <v>71935.784999999989</v>
      </c>
      <c r="K164" s="626">
        <f t="shared" si="46"/>
        <v>391650.38499999989</v>
      </c>
      <c r="L164" s="1064"/>
      <c r="M164" s="634"/>
      <c r="N164" s="635">
        <f t="shared" si="29"/>
        <v>1598.5729999999996</v>
      </c>
      <c r="O164" s="636">
        <v>0</v>
      </c>
      <c r="P164" s="637">
        <v>1598.5729999999996</v>
      </c>
      <c r="Q164" s="634"/>
      <c r="R164" s="634"/>
      <c r="S164" s="634"/>
      <c r="T164" s="634"/>
      <c r="U164" s="634"/>
      <c r="V164" s="634"/>
      <c r="W164" s="634"/>
      <c r="X164" s="634"/>
    </row>
    <row r="165" spans="1:24" s="574" customFormat="1" ht="24" customHeight="1">
      <c r="A165" s="585"/>
      <c r="B165" s="617" t="s">
        <v>227</v>
      </c>
      <c r="C165" s="1125" t="s">
        <v>228</v>
      </c>
      <c r="D165" s="1124"/>
      <c r="E165" s="624">
        <f t="shared" si="39"/>
        <v>258.81</v>
      </c>
      <c r="F165" s="625" t="s">
        <v>226</v>
      </c>
      <c r="G165" s="626">
        <v>19</v>
      </c>
      <c r="H165" s="627">
        <f t="shared" si="44"/>
        <v>4917.3900000000003</v>
      </c>
      <c r="I165" s="628">
        <v>20</v>
      </c>
      <c r="J165" s="633">
        <f t="shared" si="45"/>
        <v>5176.2</v>
      </c>
      <c r="K165" s="626">
        <f t="shared" si="46"/>
        <v>10093.59</v>
      </c>
      <c r="L165" s="1064"/>
      <c r="M165" s="634"/>
      <c r="N165" s="635">
        <f t="shared" si="29"/>
        <v>258.81</v>
      </c>
      <c r="O165" s="636">
        <v>0</v>
      </c>
      <c r="P165" s="637">
        <v>258.81</v>
      </c>
      <c r="Q165" s="634"/>
      <c r="R165" s="634"/>
      <c r="S165" s="634"/>
      <c r="T165" s="634"/>
      <c r="U165" s="634"/>
      <c r="V165" s="634"/>
      <c r="W165" s="634"/>
      <c r="X165" s="634"/>
    </row>
    <row r="166" spans="1:24" ht="21.3">
      <c r="A166" s="640"/>
      <c r="B166" s="579"/>
      <c r="C166" s="2028"/>
      <c r="D166" s="1129"/>
      <c r="E166" s="618"/>
      <c r="F166" s="625"/>
      <c r="G166" s="641"/>
      <c r="H166" s="571">
        <f t="shared" si="37"/>
        <v>0</v>
      </c>
      <c r="I166" s="642"/>
      <c r="J166" s="571">
        <f t="shared" si="33"/>
        <v>0</v>
      </c>
      <c r="K166" s="1060">
        <f t="shared" si="32"/>
        <v>0</v>
      </c>
      <c r="L166" s="1065"/>
      <c r="M166" s="574"/>
      <c r="N166" s="643">
        <f t="shared" si="29"/>
        <v>0</v>
      </c>
      <c r="O166" s="622">
        <v>0</v>
      </c>
      <c r="P166" s="618"/>
      <c r="Q166" s="574"/>
      <c r="R166" s="574"/>
      <c r="S166" s="574"/>
    </row>
    <row r="167" spans="1:24" ht="21.3">
      <c r="A167" s="640"/>
      <c r="B167" s="579"/>
      <c r="C167" s="2028"/>
      <c r="D167" s="1129"/>
      <c r="E167" s="618"/>
      <c r="F167" s="625"/>
      <c r="G167" s="641"/>
      <c r="H167" s="571"/>
      <c r="I167" s="642"/>
      <c r="J167" s="571"/>
      <c r="K167" s="1060"/>
      <c r="L167" s="1065"/>
      <c r="M167" s="574"/>
      <c r="N167" s="643"/>
      <c r="O167" s="622"/>
      <c r="P167" s="618"/>
      <c r="Q167" s="574"/>
      <c r="R167" s="574"/>
      <c r="S167" s="574"/>
    </row>
    <row r="168" spans="1:24" ht="21.3">
      <c r="A168" s="640"/>
      <c r="B168" s="579"/>
      <c r="C168" s="2028"/>
      <c r="D168" s="1129"/>
      <c r="E168" s="618"/>
      <c r="F168" s="625"/>
      <c r="G168" s="641"/>
      <c r="H168" s="571"/>
      <c r="I168" s="642"/>
      <c r="J168" s="571"/>
      <c r="K168" s="1060"/>
      <c r="L168" s="1065"/>
      <c r="M168" s="574"/>
      <c r="N168" s="643"/>
      <c r="O168" s="622"/>
      <c r="P168" s="618"/>
      <c r="Q168" s="574"/>
      <c r="R168" s="574"/>
      <c r="S168" s="574"/>
    </row>
    <row r="169" spans="1:24">
      <c r="A169" s="585" t="s">
        <v>236</v>
      </c>
      <c r="B169" s="1114" t="s">
        <v>237</v>
      </c>
      <c r="C169" s="639"/>
      <c r="D169" s="1124"/>
      <c r="E169" s="618"/>
      <c r="F169" s="625"/>
      <c r="G169" s="641"/>
      <c r="H169" s="571">
        <f t="shared" si="37"/>
        <v>0</v>
      </c>
      <c r="I169" s="642"/>
      <c r="J169" s="571">
        <f t="shared" si="33"/>
        <v>0</v>
      </c>
      <c r="K169" s="1060">
        <f t="shared" si="32"/>
        <v>0</v>
      </c>
      <c r="L169" s="1065"/>
      <c r="M169" s="574"/>
      <c r="N169" s="621">
        <f t="shared" si="29"/>
        <v>0</v>
      </c>
      <c r="O169" s="622">
        <v>0</v>
      </c>
      <c r="P169" s="618"/>
      <c r="Q169" s="574"/>
      <c r="R169" s="574"/>
      <c r="S169" s="574"/>
    </row>
    <row r="170" spans="1:24" ht="21.3">
      <c r="A170" s="585"/>
      <c r="B170" s="1114"/>
      <c r="C170" s="617" t="s">
        <v>231</v>
      </c>
      <c r="D170" s="1124"/>
      <c r="E170" s="624">
        <f>+E171+E172+E173+E174+E176+E179+E181+E184+E186+E192+E193+E195+E196+E175+E177</f>
        <v>452.94</v>
      </c>
      <c r="F170" s="625" t="s">
        <v>34</v>
      </c>
      <c r="G170" s="626">
        <v>113</v>
      </c>
      <c r="H170" s="627">
        <f t="shared" ref="H170:H182" si="47">SUM(E170*G170)</f>
        <v>51182.22</v>
      </c>
      <c r="I170" s="628">
        <v>61</v>
      </c>
      <c r="J170" s="571">
        <f t="shared" si="33"/>
        <v>27629.34</v>
      </c>
      <c r="K170" s="1060">
        <f t="shared" si="32"/>
        <v>78811.56</v>
      </c>
      <c r="L170" s="1062"/>
      <c r="M170" s="574"/>
      <c r="N170" s="629">
        <f t="shared" si="29"/>
        <v>0</v>
      </c>
      <c r="O170" s="630">
        <v>0</v>
      </c>
      <c r="P170" s="624"/>
      <c r="Q170" s="574"/>
      <c r="R170" s="574"/>
      <c r="S170" s="574"/>
    </row>
    <row r="171" spans="1:24" ht="21.3">
      <c r="A171" s="585"/>
      <c r="B171" s="617" t="s">
        <v>184</v>
      </c>
      <c r="C171" s="617" t="s">
        <v>185</v>
      </c>
      <c r="D171" s="617"/>
      <c r="E171" s="624">
        <f>+N171</f>
        <v>0</v>
      </c>
      <c r="F171" s="625" t="s">
        <v>34</v>
      </c>
      <c r="G171" s="626">
        <v>564</v>
      </c>
      <c r="H171" s="627">
        <f t="shared" si="47"/>
        <v>0</v>
      </c>
      <c r="I171" s="628">
        <v>283</v>
      </c>
      <c r="J171" s="571">
        <f t="shared" si="33"/>
        <v>0</v>
      </c>
      <c r="K171" s="1060">
        <f t="shared" si="32"/>
        <v>0</v>
      </c>
      <c r="L171" s="1061"/>
      <c r="M171" s="574"/>
      <c r="N171" s="631">
        <f t="shared" si="29"/>
        <v>0</v>
      </c>
      <c r="O171" s="630">
        <v>0</v>
      </c>
      <c r="P171" s="624"/>
      <c r="Q171" s="574"/>
      <c r="R171" s="574"/>
      <c r="S171" s="574"/>
    </row>
    <row r="172" spans="1:24" ht="21.3">
      <c r="A172" s="585"/>
      <c r="B172" s="617" t="s">
        <v>186</v>
      </c>
      <c r="C172" s="1125" t="s">
        <v>187</v>
      </c>
      <c r="D172" s="1126"/>
      <c r="E172" s="624">
        <f t="shared" ref="E172:E199" si="48">+N172</f>
        <v>0</v>
      </c>
      <c r="F172" s="625" t="s">
        <v>34</v>
      </c>
      <c r="G172" s="626">
        <v>295</v>
      </c>
      <c r="H172" s="627">
        <f t="shared" si="47"/>
        <v>0</v>
      </c>
      <c r="I172" s="628">
        <v>184</v>
      </c>
      <c r="J172" s="571">
        <f t="shared" si="33"/>
        <v>0</v>
      </c>
      <c r="K172" s="1060">
        <f t="shared" si="32"/>
        <v>0</v>
      </c>
      <c r="L172" s="1061"/>
      <c r="M172" s="574"/>
      <c r="N172" s="631">
        <f t="shared" si="29"/>
        <v>0</v>
      </c>
      <c r="O172" s="630">
        <v>0</v>
      </c>
      <c r="P172" s="624"/>
      <c r="Q172" s="574"/>
      <c r="R172" s="574"/>
      <c r="S172" s="574"/>
    </row>
    <row r="173" spans="1:24" ht="21.3">
      <c r="A173" s="585"/>
      <c r="B173" s="617" t="s">
        <v>188</v>
      </c>
      <c r="C173" s="1125" t="s">
        <v>189</v>
      </c>
      <c r="D173" s="1126"/>
      <c r="E173" s="624">
        <f t="shared" si="48"/>
        <v>0</v>
      </c>
      <c r="F173" s="625" t="s">
        <v>34</v>
      </c>
      <c r="G173" s="626">
        <v>297</v>
      </c>
      <c r="H173" s="627">
        <f t="shared" si="47"/>
        <v>0</v>
      </c>
      <c r="I173" s="628">
        <v>204</v>
      </c>
      <c r="J173" s="571">
        <f t="shared" si="33"/>
        <v>0</v>
      </c>
      <c r="K173" s="1060">
        <f t="shared" si="32"/>
        <v>0</v>
      </c>
      <c r="L173" s="1061"/>
      <c r="M173" s="574"/>
      <c r="N173" s="631">
        <f t="shared" si="29"/>
        <v>0</v>
      </c>
      <c r="O173" s="630">
        <v>0</v>
      </c>
      <c r="P173" s="624">
        <v>0</v>
      </c>
      <c r="Q173" s="574"/>
      <c r="R173" s="574"/>
      <c r="S173" s="574"/>
    </row>
    <row r="174" spans="1:24" ht="21.3">
      <c r="A174" s="585"/>
      <c r="B174" s="617" t="s">
        <v>190</v>
      </c>
      <c r="C174" s="1125" t="s">
        <v>191</v>
      </c>
      <c r="D174" s="1126"/>
      <c r="E174" s="624"/>
      <c r="F174" s="625" t="s">
        <v>34</v>
      </c>
      <c r="G174" s="626">
        <v>609</v>
      </c>
      <c r="H174" s="627">
        <f t="shared" si="47"/>
        <v>0</v>
      </c>
      <c r="I174" s="628">
        <v>222</v>
      </c>
      <c r="J174" s="571">
        <f t="shared" si="33"/>
        <v>0</v>
      </c>
      <c r="K174" s="1060">
        <f t="shared" si="32"/>
        <v>0</v>
      </c>
      <c r="L174" s="1061"/>
      <c r="M174" s="574"/>
      <c r="N174" s="631">
        <f t="shared" si="29"/>
        <v>215.2</v>
      </c>
      <c r="O174" s="630">
        <v>0</v>
      </c>
      <c r="P174" s="624">
        <v>215.2</v>
      </c>
      <c r="Q174" s="574"/>
      <c r="R174" s="574"/>
      <c r="S174" s="574"/>
    </row>
    <row r="175" spans="1:24" ht="21.3">
      <c r="A175" s="585"/>
      <c r="B175" s="623" t="s">
        <v>2547</v>
      </c>
      <c r="C175" s="1125" t="s">
        <v>191</v>
      </c>
      <c r="D175" s="1126"/>
      <c r="E175" s="624">
        <f t="shared" ref="E175" si="49">+N175</f>
        <v>215.2</v>
      </c>
      <c r="F175" s="625" t="s">
        <v>34</v>
      </c>
      <c r="G175" s="626">
        <v>399</v>
      </c>
      <c r="H175" s="627">
        <f t="shared" si="47"/>
        <v>85864.799999999988</v>
      </c>
      <c r="I175" s="628">
        <v>222</v>
      </c>
      <c r="J175" s="571">
        <f t="shared" si="33"/>
        <v>47774.399999999994</v>
      </c>
      <c r="K175" s="1060">
        <f t="shared" si="32"/>
        <v>133639.19999999998</v>
      </c>
      <c r="L175" s="1061"/>
      <c r="M175" s="574"/>
      <c r="N175" s="631">
        <f t="shared" ref="N175:N238" si="50">+(1+O175)*P175</f>
        <v>215.2</v>
      </c>
      <c r="O175" s="630">
        <v>0</v>
      </c>
      <c r="P175" s="624">
        <v>215.2</v>
      </c>
      <c r="Q175" s="574"/>
      <c r="R175" s="574"/>
      <c r="S175" s="574"/>
    </row>
    <row r="176" spans="1:24" ht="21.3">
      <c r="A176" s="585"/>
      <c r="B176" s="617" t="s">
        <v>192</v>
      </c>
      <c r="C176" s="1125" t="s">
        <v>193</v>
      </c>
      <c r="D176" s="1126"/>
      <c r="E176" s="624"/>
      <c r="F176" s="625" t="s">
        <v>34</v>
      </c>
      <c r="G176" s="626">
        <v>617</v>
      </c>
      <c r="H176" s="627">
        <f t="shared" si="47"/>
        <v>0</v>
      </c>
      <c r="I176" s="628">
        <v>242</v>
      </c>
      <c r="J176" s="571">
        <f t="shared" si="33"/>
        <v>0</v>
      </c>
      <c r="K176" s="1060">
        <f t="shared" si="32"/>
        <v>0</v>
      </c>
      <c r="L176" s="1061"/>
      <c r="M176" s="574"/>
      <c r="N176" s="631">
        <f t="shared" si="50"/>
        <v>181.74</v>
      </c>
      <c r="O176" s="630">
        <v>0</v>
      </c>
      <c r="P176" s="624">
        <v>181.74</v>
      </c>
      <c r="Q176" s="574"/>
      <c r="R176" s="574"/>
      <c r="S176" s="574"/>
    </row>
    <row r="177" spans="1:19" ht="21.3">
      <c r="A177" s="585"/>
      <c r="B177" s="623" t="s">
        <v>2548</v>
      </c>
      <c r="C177" s="1125" t="s">
        <v>193</v>
      </c>
      <c r="D177" s="1126"/>
      <c r="E177" s="624">
        <f t="shared" ref="E177" si="51">+N177</f>
        <v>181.74</v>
      </c>
      <c r="F177" s="625" t="s">
        <v>34</v>
      </c>
      <c r="G177" s="626">
        <v>399</v>
      </c>
      <c r="H177" s="627">
        <f t="shared" ref="H177" si="52">SUM(E177*G177)</f>
        <v>72514.260000000009</v>
      </c>
      <c r="I177" s="628">
        <v>242</v>
      </c>
      <c r="J177" s="571">
        <f t="shared" si="33"/>
        <v>43981.08</v>
      </c>
      <c r="K177" s="1060">
        <f t="shared" si="32"/>
        <v>116495.34000000001</v>
      </c>
      <c r="L177" s="1061"/>
      <c r="M177" s="574"/>
      <c r="N177" s="631">
        <f t="shared" si="50"/>
        <v>181.74</v>
      </c>
      <c r="O177" s="630">
        <v>0</v>
      </c>
      <c r="P177" s="624">
        <v>181.74</v>
      </c>
      <c r="Q177" s="574"/>
      <c r="R177" s="574"/>
      <c r="S177" s="574"/>
    </row>
    <row r="178" spans="1:19" ht="21.3">
      <c r="A178" s="585"/>
      <c r="B178" s="617" t="s">
        <v>194</v>
      </c>
      <c r="C178" s="1125" t="s">
        <v>195</v>
      </c>
      <c r="D178" s="1126"/>
      <c r="E178" s="624">
        <f t="shared" si="48"/>
        <v>167.57000000000002</v>
      </c>
      <c r="F178" s="625" t="s">
        <v>34</v>
      </c>
      <c r="G178" s="626">
        <v>420</v>
      </c>
      <c r="H178" s="627">
        <f t="shared" si="47"/>
        <v>70379.400000000009</v>
      </c>
      <c r="I178" s="628">
        <v>100</v>
      </c>
      <c r="J178" s="571">
        <f t="shared" si="33"/>
        <v>16757.000000000004</v>
      </c>
      <c r="K178" s="1060">
        <f t="shared" si="32"/>
        <v>87136.400000000009</v>
      </c>
      <c r="L178" s="1061"/>
      <c r="M178" s="574"/>
      <c r="N178" s="631">
        <f t="shared" si="50"/>
        <v>167.57000000000002</v>
      </c>
      <c r="O178" s="630">
        <v>0</v>
      </c>
      <c r="P178" s="624">
        <v>167.57000000000002</v>
      </c>
      <c r="Q178" s="574"/>
      <c r="R178" s="574"/>
      <c r="S178" s="574"/>
    </row>
    <row r="179" spans="1:19" ht="21.3">
      <c r="A179" s="585"/>
      <c r="B179" s="617" t="s">
        <v>196</v>
      </c>
      <c r="C179" s="1125" t="s">
        <v>197</v>
      </c>
      <c r="D179" s="1126"/>
      <c r="E179" s="624">
        <f t="shared" si="48"/>
        <v>0</v>
      </c>
      <c r="F179" s="625" t="s">
        <v>34</v>
      </c>
      <c r="G179" s="626">
        <v>564</v>
      </c>
      <c r="H179" s="627">
        <f t="shared" si="47"/>
        <v>0</v>
      </c>
      <c r="I179" s="628">
        <v>283</v>
      </c>
      <c r="J179" s="571">
        <f t="shared" si="33"/>
        <v>0</v>
      </c>
      <c r="K179" s="1060">
        <f t="shared" si="32"/>
        <v>0</v>
      </c>
      <c r="L179" s="1061"/>
      <c r="M179" s="574"/>
      <c r="N179" s="631">
        <f t="shared" si="50"/>
        <v>0</v>
      </c>
      <c r="O179" s="630">
        <v>0</v>
      </c>
      <c r="P179" s="624"/>
      <c r="Q179" s="574"/>
      <c r="R179" s="574"/>
      <c r="S179" s="574"/>
    </row>
    <row r="180" spans="1:19" ht="21.3">
      <c r="A180" s="585"/>
      <c r="B180" s="617"/>
      <c r="C180" s="617" t="s">
        <v>198</v>
      </c>
      <c r="D180" s="617"/>
      <c r="E180" s="624">
        <f t="shared" si="48"/>
        <v>0</v>
      </c>
      <c r="F180" s="619"/>
      <c r="G180" s="626"/>
      <c r="H180" s="627">
        <f t="shared" si="47"/>
        <v>0</v>
      </c>
      <c r="I180" s="628"/>
      <c r="J180" s="571">
        <f t="shared" si="33"/>
        <v>0</v>
      </c>
      <c r="K180" s="1060">
        <f t="shared" si="32"/>
        <v>0</v>
      </c>
      <c r="L180" s="1061"/>
      <c r="M180" s="574"/>
      <c r="N180" s="631">
        <f t="shared" si="50"/>
        <v>0</v>
      </c>
      <c r="O180" s="630">
        <v>0</v>
      </c>
      <c r="P180" s="624"/>
      <c r="Q180" s="574"/>
      <c r="R180" s="574"/>
      <c r="S180" s="574"/>
    </row>
    <row r="181" spans="1:19" ht="21.3">
      <c r="A181" s="585"/>
      <c r="B181" s="617" t="s">
        <v>199</v>
      </c>
      <c r="C181" s="617" t="s">
        <v>200</v>
      </c>
      <c r="D181" s="617"/>
      <c r="E181" s="624">
        <f t="shared" si="48"/>
        <v>0</v>
      </c>
      <c r="F181" s="625" t="s">
        <v>34</v>
      </c>
      <c r="G181" s="626">
        <v>3570</v>
      </c>
      <c r="H181" s="627">
        <f t="shared" si="47"/>
        <v>0</v>
      </c>
      <c r="I181" s="628">
        <v>220</v>
      </c>
      <c r="J181" s="571">
        <f t="shared" si="33"/>
        <v>0</v>
      </c>
      <c r="K181" s="1060">
        <f t="shared" si="32"/>
        <v>0</v>
      </c>
      <c r="L181" s="1061"/>
      <c r="M181" s="574"/>
      <c r="N181" s="631">
        <f t="shared" si="50"/>
        <v>0</v>
      </c>
      <c r="O181" s="630">
        <v>0</v>
      </c>
      <c r="P181" s="624"/>
      <c r="Q181" s="574"/>
      <c r="R181" s="574"/>
      <c r="S181" s="574"/>
    </row>
    <row r="182" spans="1:19" ht="21.3">
      <c r="A182" s="585"/>
      <c r="B182" s="617" t="s">
        <v>201</v>
      </c>
      <c r="C182" s="617" t="s">
        <v>202</v>
      </c>
      <c r="D182" s="617"/>
      <c r="E182" s="624">
        <f t="shared" si="48"/>
        <v>17.600000000000001</v>
      </c>
      <c r="F182" s="625" t="s">
        <v>34</v>
      </c>
      <c r="G182" s="626">
        <f>ROUNDUP(2227.6*0.05+5*2.95,0)</f>
        <v>127</v>
      </c>
      <c r="H182" s="627">
        <f t="shared" si="47"/>
        <v>2235.2000000000003</v>
      </c>
      <c r="I182" s="628">
        <v>82</v>
      </c>
      <c r="J182" s="571">
        <f t="shared" si="33"/>
        <v>1443.2</v>
      </c>
      <c r="K182" s="1060">
        <f t="shared" si="32"/>
        <v>3678.4000000000005</v>
      </c>
      <c r="L182" s="1061"/>
      <c r="M182" s="574"/>
      <c r="N182" s="631">
        <f t="shared" si="50"/>
        <v>17.600000000000001</v>
      </c>
      <c r="O182" s="630">
        <v>0</v>
      </c>
      <c r="P182" s="624">
        <v>17.600000000000001</v>
      </c>
      <c r="Q182" s="574"/>
      <c r="R182" s="574"/>
      <c r="S182" s="574"/>
    </row>
    <row r="183" spans="1:19" ht="21.3">
      <c r="A183" s="585"/>
      <c r="B183" s="617" t="s">
        <v>203</v>
      </c>
      <c r="C183" s="1125" t="s">
        <v>204</v>
      </c>
      <c r="D183" s="1126"/>
      <c r="E183" s="624">
        <f t="shared" si="48"/>
        <v>0</v>
      </c>
      <c r="F183" s="625" t="s">
        <v>34</v>
      </c>
      <c r="G183" s="628">
        <v>120</v>
      </c>
      <c r="H183" s="627">
        <f t="shared" ref="H183:H186" si="53">E183*G183</f>
        <v>0</v>
      </c>
      <c r="I183" s="628">
        <v>61</v>
      </c>
      <c r="J183" s="571">
        <f t="shared" si="33"/>
        <v>0</v>
      </c>
      <c r="K183" s="1060">
        <f t="shared" si="32"/>
        <v>0</v>
      </c>
      <c r="L183" s="1061"/>
      <c r="M183" s="574"/>
      <c r="N183" s="631">
        <f t="shared" si="50"/>
        <v>0</v>
      </c>
      <c r="O183" s="630">
        <v>0</v>
      </c>
      <c r="P183" s="624"/>
      <c r="Q183" s="574"/>
      <c r="R183" s="574"/>
      <c r="S183" s="574"/>
    </row>
    <row r="184" spans="1:19" ht="21.3">
      <c r="A184" s="585"/>
      <c r="B184" s="617" t="s">
        <v>205</v>
      </c>
      <c r="C184" s="617" t="s">
        <v>206</v>
      </c>
      <c r="D184" s="617"/>
      <c r="E184" s="624">
        <f t="shared" si="48"/>
        <v>0</v>
      </c>
      <c r="F184" s="625" t="s">
        <v>34</v>
      </c>
      <c r="G184" s="626">
        <v>447</v>
      </c>
      <c r="H184" s="627">
        <f t="shared" si="53"/>
        <v>0</v>
      </c>
      <c r="I184" s="628">
        <v>212</v>
      </c>
      <c r="J184" s="571">
        <f t="shared" si="33"/>
        <v>0</v>
      </c>
      <c r="K184" s="1060">
        <f t="shared" si="32"/>
        <v>0</v>
      </c>
      <c r="L184" s="1061"/>
      <c r="M184" s="574"/>
      <c r="N184" s="631">
        <f t="shared" si="50"/>
        <v>0</v>
      </c>
      <c r="O184" s="630">
        <v>0</v>
      </c>
      <c r="P184" s="624"/>
      <c r="Q184" s="574"/>
      <c r="R184" s="574"/>
      <c r="S184" s="574"/>
    </row>
    <row r="185" spans="1:19" ht="21.3">
      <c r="A185" s="585"/>
      <c r="B185" s="617" t="s">
        <v>207</v>
      </c>
      <c r="C185" s="1125" t="s">
        <v>208</v>
      </c>
      <c r="D185" s="1126"/>
      <c r="E185" s="624">
        <f t="shared" si="48"/>
        <v>0</v>
      </c>
      <c r="F185" s="625" t="s">
        <v>34</v>
      </c>
      <c r="G185" s="628">
        <v>240</v>
      </c>
      <c r="H185" s="627">
        <f t="shared" si="53"/>
        <v>0</v>
      </c>
      <c r="I185" s="628">
        <v>80</v>
      </c>
      <c r="J185" s="571">
        <f t="shared" si="33"/>
        <v>0</v>
      </c>
      <c r="K185" s="1060">
        <f t="shared" si="32"/>
        <v>0</v>
      </c>
      <c r="L185" s="1061"/>
      <c r="M185" s="574"/>
      <c r="N185" s="631">
        <f t="shared" si="50"/>
        <v>0</v>
      </c>
      <c r="O185" s="630">
        <v>0</v>
      </c>
      <c r="P185" s="624"/>
      <c r="Q185" s="574"/>
      <c r="R185" s="574"/>
      <c r="S185" s="574"/>
    </row>
    <row r="186" spans="1:19" ht="21.3">
      <c r="A186" s="585"/>
      <c r="B186" s="617" t="s">
        <v>209</v>
      </c>
      <c r="C186" s="1125" t="s">
        <v>210</v>
      </c>
      <c r="D186" s="1126"/>
      <c r="E186" s="624">
        <f t="shared" si="48"/>
        <v>0</v>
      </c>
      <c r="F186" s="625" t="s">
        <v>34</v>
      </c>
      <c r="G186" s="628">
        <v>230</v>
      </c>
      <c r="H186" s="627">
        <f t="shared" si="53"/>
        <v>0</v>
      </c>
      <c r="I186" s="628">
        <v>0</v>
      </c>
      <c r="J186" s="571">
        <f t="shared" si="33"/>
        <v>0</v>
      </c>
      <c r="K186" s="1060">
        <f t="shared" si="32"/>
        <v>0</v>
      </c>
      <c r="L186" s="1061"/>
      <c r="M186" s="574"/>
      <c r="N186" s="631">
        <f t="shared" si="50"/>
        <v>0</v>
      </c>
      <c r="O186" s="630">
        <v>0</v>
      </c>
      <c r="P186" s="624"/>
      <c r="Q186" s="574"/>
      <c r="R186" s="574"/>
      <c r="S186" s="574"/>
    </row>
    <row r="187" spans="1:19" ht="21.3">
      <c r="A187" s="585"/>
      <c r="B187" s="617" t="s">
        <v>211</v>
      </c>
      <c r="C187" s="1125" t="s">
        <v>212</v>
      </c>
      <c r="D187" s="1126"/>
      <c r="E187" s="624">
        <f t="shared" si="48"/>
        <v>10</v>
      </c>
      <c r="F187" s="625" t="s">
        <v>34</v>
      </c>
      <c r="G187" s="626">
        <v>220</v>
      </c>
      <c r="H187" s="627">
        <f t="shared" ref="H187:H196" si="54">SUM(E187*G187)</f>
        <v>2200</v>
      </c>
      <c r="I187" s="628">
        <v>80</v>
      </c>
      <c r="J187" s="571">
        <f t="shared" si="33"/>
        <v>800</v>
      </c>
      <c r="K187" s="1060">
        <f t="shared" si="32"/>
        <v>3000</v>
      </c>
      <c r="L187" s="1061"/>
      <c r="M187" s="574"/>
      <c r="N187" s="631">
        <f t="shared" si="50"/>
        <v>10</v>
      </c>
      <c r="O187" s="630">
        <v>0</v>
      </c>
      <c r="P187" s="624">
        <v>10</v>
      </c>
      <c r="Q187" s="574"/>
      <c r="R187" s="574"/>
      <c r="S187" s="574"/>
    </row>
    <row r="188" spans="1:19" ht="21.3">
      <c r="A188" s="585"/>
      <c r="B188" s="617" t="s">
        <v>213</v>
      </c>
      <c r="C188" s="1125" t="s">
        <v>214</v>
      </c>
      <c r="D188" s="1126"/>
      <c r="E188" s="624">
        <f t="shared" si="48"/>
        <v>0</v>
      </c>
      <c r="F188" s="625" t="s">
        <v>34</v>
      </c>
      <c r="G188" s="626">
        <v>113</v>
      </c>
      <c r="H188" s="627">
        <f t="shared" si="54"/>
        <v>0</v>
      </c>
      <c r="I188" s="628">
        <v>61</v>
      </c>
      <c r="J188" s="571">
        <f t="shared" si="33"/>
        <v>0</v>
      </c>
      <c r="K188" s="1060">
        <f t="shared" si="32"/>
        <v>0</v>
      </c>
      <c r="L188" s="1061"/>
      <c r="M188" s="574"/>
      <c r="N188" s="631">
        <f t="shared" si="50"/>
        <v>0</v>
      </c>
      <c r="O188" s="630">
        <v>0</v>
      </c>
      <c r="P188" s="624">
        <v>0</v>
      </c>
      <c r="Q188" s="574"/>
      <c r="R188" s="574"/>
      <c r="S188" s="574"/>
    </row>
    <row r="189" spans="1:19" ht="21.3">
      <c r="A189" s="585"/>
      <c r="B189" s="617" t="s">
        <v>215</v>
      </c>
      <c r="C189" s="1125" t="s">
        <v>216</v>
      </c>
      <c r="D189" s="1126"/>
      <c r="E189" s="624">
        <f t="shared" si="48"/>
        <v>0</v>
      </c>
      <c r="F189" s="625" t="s">
        <v>34</v>
      </c>
      <c r="G189" s="626">
        <v>113</v>
      </c>
      <c r="H189" s="627">
        <f t="shared" si="54"/>
        <v>0</v>
      </c>
      <c r="I189" s="628">
        <v>61</v>
      </c>
      <c r="J189" s="571">
        <f t="shared" si="33"/>
        <v>0</v>
      </c>
      <c r="K189" s="1060">
        <f t="shared" si="32"/>
        <v>0</v>
      </c>
      <c r="L189" s="1061"/>
      <c r="M189" s="574"/>
      <c r="N189" s="631">
        <f t="shared" si="50"/>
        <v>0</v>
      </c>
      <c r="O189" s="630">
        <v>0</v>
      </c>
      <c r="P189" s="624">
        <v>0</v>
      </c>
      <c r="Q189" s="574"/>
      <c r="R189" s="574"/>
      <c r="S189" s="574"/>
    </row>
    <row r="190" spans="1:19" ht="21.3">
      <c r="A190" s="585"/>
      <c r="B190" s="617" t="s">
        <v>217</v>
      </c>
      <c r="C190" s="1125" t="s">
        <v>218</v>
      </c>
      <c r="D190" s="1126"/>
      <c r="E190" s="624">
        <f t="shared" si="48"/>
        <v>4886.4300000000012</v>
      </c>
      <c r="F190" s="625" t="s">
        <v>34</v>
      </c>
      <c r="G190" s="626">
        <v>113</v>
      </c>
      <c r="H190" s="627">
        <f t="shared" si="54"/>
        <v>552166.59000000008</v>
      </c>
      <c r="I190" s="628">
        <v>61</v>
      </c>
      <c r="J190" s="571">
        <f t="shared" si="33"/>
        <v>298072.2300000001</v>
      </c>
      <c r="K190" s="1060">
        <f t="shared" si="32"/>
        <v>850238.82000000018</v>
      </c>
      <c r="L190" s="1061"/>
      <c r="M190" s="574"/>
      <c r="N190" s="631">
        <f t="shared" si="50"/>
        <v>4886.4300000000012</v>
      </c>
      <c r="O190" s="630">
        <v>0</v>
      </c>
      <c r="P190" s="624">
        <v>4886.4300000000012</v>
      </c>
      <c r="Q190" s="574"/>
      <c r="R190" s="574"/>
      <c r="S190" s="574"/>
    </row>
    <row r="191" spans="1:19" ht="21.3">
      <c r="A191" s="585"/>
      <c r="B191" s="617" t="s">
        <v>219</v>
      </c>
      <c r="C191" s="1125" t="s">
        <v>220</v>
      </c>
      <c r="D191" s="1126"/>
      <c r="E191" s="624">
        <f t="shared" si="48"/>
        <v>86.670000000000016</v>
      </c>
      <c r="F191" s="625" t="s">
        <v>34</v>
      </c>
      <c r="G191" s="626">
        <v>113</v>
      </c>
      <c r="H191" s="627">
        <f t="shared" si="54"/>
        <v>9793.7100000000009</v>
      </c>
      <c r="I191" s="628">
        <v>61</v>
      </c>
      <c r="J191" s="571">
        <f t="shared" si="33"/>
        <v>5286.8700000000008</v>
      </c>
      <c r="K191" s="1060">
        <f t="shared" si="32"/>
        <v>15080.580000000002</v>
      </c>
      <c r="L191" s="1061"/>
      <c r="M191" s="574"/>
      <c r="N191" s="631">
        <f t="shared" si="50"/>
        <v>86.670000000000016</v>
      </c>
      <c r="O191" s="630">
        <v>0</v>
      </c>
      <c r="P191" s="624">
        <v>86.670000000000016</v>
      </c>
      <c r="Q191" s="574"/>
      <c r="R191" s="574"/>
      <c r="S191" s="574"/>
    </row>
    <row r="192" spans="1:19" ht="21.3">
      <c r="A192" s="585"/>
      <c r="B192" s="617" t="s">
        <v>221</v>
      </c>
      <c r="C192" s="1125" t="s">
        <v>222</v>
      </c>
      <c r="D192" s="1126"/>
      <c r="E192" s="624">
        <f t="shared" si="48"/>
        <v>56</v>
      </c>
      <c r="F192" s="625" t="s">
        <v>34</v>
      </c>
      <c r="G192" s="626">
        <v>583</v>
      </c>
      <c r="H192" s="627">
        <f t="shared" si="54"/>
        <v>32648</v>
      </c>
      <c r="I192" s="628">
        <v>298</v>
      </c>
      <c r="J192" s="571">
        <f t="shared" si="33"/>
        <v>16688</v>
      </c>
      <c r="K192" s="1060">
        <f t="shared" si="32"/>
        <v>49336</v>
      </c>
      <c r="L192" s="1061"/>
      <c r="M192" s="574"/>
      <c r="N192" s="631">
        <f t="shared" si="50"/>
        <v>56</v>
      </c>
      <c r="O192" s="630">
        <v>0</v>
      </c>
      <c r="P192" s="624">
        <v>56</v>
      </c>
      <c r="Q192" s="574"/>
      <c r="R192" s="574"/>
      <c r="S192" s="574"/>
    </row>
    <row r="193" spans="1:24" ht="21.3">
      <c r="A193" s="585"/>
      <c r="B193" s="617" t="s">
        <v>593</v>
      </c>
      <c r="C193" s="1127" t="s">
        <v>594</v>
      </c>
      <c r="D193" s="1126"/>
      <c r="E193" s="624">
        <f t="shared" si="48"/>
        <v>0</v>
      </c>
      <c r="F193" s="625" t="s">
        <v>34</v>
      </c>
      <c r="G193" s="626">
        <v>533</v>
      </c>
      <c r="H193" s="627">
        <f t="shared" si="54"/>
        <v>0</v>
      </c>
      <c r="I193" s="628">
        <v>130</v>
      </c>
      <c r="J193" s="571">
        <f t="shared" si="33"/>
        <v>0</v>
      </c>
      <c r="K193" s="1060">
        <f t="shared" si="32"/>
        <v>0</v>
      </c>
      <c r="L193" s="1061"/>
      <c r="M193" s="574"/>
      <c r="N193" s="631">
        <f t="shared" si="50"/>
        <v>0</v>
      </c>
      <c r="O193" s="630">
        <v>0</v>
      </c>
      <c r="P193" s="624"/>
      <c r="Q193" s="574"/>
      <c r="R193" s="574"/>
      <c r="S193" s="574"/>
    </row>
    <row r="194" spans="1:24" ht="21.3">
      <c r="A194" s="585"/>
      <c r="B194" s="617" t="s">
        <v>238</v>
      </c>
      <c r="C194" s="1127" t="s">
        <v>595</v>
      </c>
      <c r="D194" s="1126"/>
      <c r="E194" s="624">
        <f t="shared" si="48"/>
        <v>0</v>
      </c>
      <c r="F194" s="625" t="s">
        <v>34</v>
      </c>
      <c r="G194" s="626">
        <v>4810</v>
      </c>
      <c r="H194" s="627">
        <f t="shared" si="54"/>
        <v>0</v>
      </c>
      <c r="I194" s="628">
        <v>1640</v>
      </c>
      <c r="J194" s="571">
        <f t="shared" si="33"/>
        <v>0</v>
      </c>
      <c r="K194" s="1060">
        <f t="shared" si="32"/>
        <v>0</v>
      </c>
      <c r="L194" s="1061"/>
      <c r="M194" s="574"/>
      <c r="N194" s="631">
        <f t="shared" si="50"/>
        <v>0</v>
      </c>
      <c r="O194" s="630">
        <v>0</v>
      </c>
      <c r="P194" s="624"/>
      <c r="Q194" s="574"/>
      <c r="R194" s="574"/>
      <c r="S194" s="574"/>
    </row>
    <row r="195" spans="1:24" ht="21.3">
      <c r="A195" s="585"/>
      <c r="B195" s="617" t="s">
        <v>596</v>
      </c>
      <c r="C195" s="1127" t="s">
        <v>597</v>
      </c>
      <c r="D195" s="1124"/>
      <c r="E195" s="624">
        <f t="shared" si="48"/>
        <v>0</v>
      </c>
      <c r="F195" s="625" t="s">
        <v>34</v>
      </c>
      <c r="G195" s="626">
        <v>253</v>
      </c>
      <c r="H195" s="627">
        <f t="shared" si="54"/>
        <v>0</v>
      </c>
      <c r="I195" s="628">
        <v>50</v>
      </c>
      <c r="J195" s="571">
        <f t="shared" si="33"/>
        <v>0</v>
      </c>
      <c r="K195" s="1060">
        <f t="shared" si="32"/>
        <v>0</v>
      </c>
      <c r="L195" s="1061"/>
      <c r="M195" s="574"/>
      <c r="N195" s="631">
        <f t="shared" si="50"/>
        <v>0</v>
      </c>
      <c r="O195" s="630">
        <v>0</v>
      </c>
      <c r="P195" s="624"/>
      <c r="Q195" s="574"/>
      <c r="R195" s="574"/>
      <c r="S195" s="574"/>
    </row>
    <row r="196" spans="1:24" ht="21.3">
      <c r="A196" s="585"/>
      <c r="B196" s="617" t="s">
        <v>598</v>
      </c>
      <c r="C196" s="1127" t="s">
        <v>599</v>
      </c>
      <c r="D196" s="1124"/>
      <c r="E196" s="624">
        <f t="shared" si="48"/>
        <v>0</v>
      </c>
      <c r="F196" s="625" t="s">
        <v>34</v>
      </c>
      <c r="G196" s="626">
        <v>1964</v>
      </c>
      <c r="H196" s="627">
        <f t="shared" si="54"/>
        <v>0</v>
      </c>
      <c r="I196" s="628">
        <v>220</v>
      </c>
      <c r="J196" s="571">
        <f t="shared" si="33"/>
        <v>0</v>
      </c>
      <c r="K196" s="1060">
        <f t="shared" si="32"/>
        <v>0</v>
      </c>
      <c r="L196" s="1061"/>
      <c r="M196" s="632"/>
      <c r="N196" s="631">
        <f t="shared" si="50"/>
        <v>0</v>
      </c>
      <c r="O196" s="630">
        <v>0</v>
      </c>
      <c r="P196" s="624"/>
      <c r="Q196" s="632"/>
      <c r="R196" s="632"/>
      <c r="S196" s="632"/>
    </row>
    <row r="197" spans="1:24" s="574" customFormat="1" ht="24" customHeight="1">
      <c r="A197" s="585"/>
      <c r="B197" s="617"/>
      <c r="C197" s="1128" t="s">
        <v>223</v>
      </c>
      <c r="D197" s="1126"/>
      <c r="E197" s="624">
        <f t="shared" si="48"/>
        <v>0</v>
      </c>
      <c r="F197" s="625"/>
      <c r="G197" s="626"/>
      <c r="H197" s="627">
        <f t="shared" ref="H197:H199" si="55">SUM(E197*G197)</f>
        <v>0</v>
      </c>
      <c r="I197" s="628"/>
      <c r="J197" s="633">
        <f t="shared" ref="J197:J199" si="56">SUM(E197*I197)</f>
        <v>0</v>
      </c>
      <c r="K197" s="626">
        <f t="shared" ref="K197:K199" si="57">SUM(H197+J197)</f>
        <v>0</v>
      </c>
      <c r="L197" s="1063"/>
      <c r="M197" s="634"/>
      <c r="N197" s="635">
        <f t="shared" si="50"/>
        <v>0</v>
      </c>
      <c r="O197" s="636">
        <v>0</v>
      </c>
      <c r="P197" s="637"/>
      <c r="Q197" s="634"/>
      <c r="R197" s="634"/>
      <c r="S197" s="634"/>
      <c r="T197" s="634"/>
      <c r="U197" s="634"/>
      <c r="V197" s="634"/>
      <c r="W197" s="634"/>
      <c r="X197" s="634"/>
    </row>
    <row r="198" spans="1:24" s="574" customFormat="1" ht="24" customHeight="1">
      <c r="A198" s="585"/>
      <c r="B198" s="617" t="s">
        <v>224</v>
      </c>
      <c r="C198" s="1125" t="s">
        <v>225</v>
      </c>
      <c r="D198" s="1124"/>
      <c r="E198" s="624">
        <f t="shared" si="48"/>
        <v>1520.9399999999998</v>
      </c>
      <c r="F198" s="625" t="s">
        <v>226</v>
      </c>
      <c r="G198" s="626">
        <v>200</v>
      </c>
      <c r="H198" s="627">
        <f t="shared" si="55"/>
        <v>304187.99999999994</v>
      </c>
      <c r="I198" s="628">
        <v>45</v>
      </c>
      <c r="J198" s="633">
        <f t="shared" si="56"/>
        <v>68442.299999999988</v>
      </c>
      <c r="K198" s="626">
        <f t="shared" si="57"/>
        <v>372630.29999999993</v>
      </c>
      <c r="L198" s="1064"/>
      <c r="M198" s="634"/>
      <c r="N198" s="635">
        <f t="shared" si="50"/>
        <v>1520.9399999999998</v>
      </c>
      <c r="O198" s="636">
        <v>0</v>
      </c>
      <c r="P198" s="637">
        <v>1520.9399999999998</v>
      </c>
      <c r="Q198" s="634"/>
      <c r="R198" s="634"/>
      <c r="S198" s="634"/>
      <c r="T198" s="634"/>
      <c r="U198" s="634"/>
      <c r="V198" s="634"/>
      <c r="W198" s="634"/>
      <c r="X198" s="634"/>
    </row>
    <row r="199" spans="1:24" s="574" customFormat="1" ht="24" customHeight="1">
      <c r="A199" s="585"/>
      <c r="B199" s="617" t="s">
        <v>227</v>
      </c>
      <c r="C199" s="1125" t="s">
        <v>228</v>
      </c>
      <c r="D199" s="1124"/>
      <c r="E199" s="624">
        <f t="shared" si="48"/>
        <v>248.11999999999998</v>
      </c>
      <c r="F199" s="625" t="s">
        <v>226</v>
      </c>
      <c r="G199" s="626">
        <v>19</v>
      </c>
      <c r="H199" s="627">
        <f t="shared" si="55"/>
        <v>4714.28</v>
      </c>
      <c r="I199" s="628">
        <v>20</v>
      </c>
      <c r="J199" s="633">
        <f t="shared" si="56"/>
        <v>4962.3999999999996</v>
      </c>
      <c r="K199" s="626">
        <f t="shared" si="57"/>
        <v>9676.68</v>
      </c>
      <c r="L199" s="1064"/>
      <c r="M199" s="634"/>
      <c r="N199" s="635">
        <f t="shared" si="50"/>
        <v>248.11999999999998</v>
      </c>
      <c r="O199" s="636">
        <v>0</v>
      </c>
      <c r="P199" s="637">
        <v>248.11999999999998</v>
      </c>
      <c r="Q199" s="634"/>
      <c r="R199" s="634"/>
      <c r="S199" s="634"/>
      <c r="T199" s="634"/>
      <c r="U199" s="634"/>
      <c r="V199" s="634"/>
      <c r="W199" s="634"/>
      <c r="X199" s="634"/>
    </row>
    <row r="200" spans="1:24" ht="21.3">
      <c r="A200" s="638"/>
      <c r="B200" s="579"/>
      <c r="C200" s="617"/>
      <c r="D200" s="1130"/>
      <c r="E200" s="624"/>
      <c r="F200" s="625"/>
      <c r="G200" s="620"/>
      <c r="H200" s="571">
        <f t="shared" si="37"/>
        <v>0</v>
      </c>
      <c r="I200" s="572"/>
      <c r="J200" s="571">
        <f t="shared" si="33"/>
        <v>0</v>
      </c>
      <c r="K200" s="1060">
        <f t="shared" si="32"/>
        <v>0</v>
      </c>
      <c r="L200" s="1065"/>
      <c r="M200" s="574"/>
      <c r="N200" s="631">
        <f t="shared" si="50"/>
        <v>0</v>
      </c>
      <c r="O200" s="630">
        <v>0</v>
      </c>
      <c r="P200" s="624"/>
      <c r="Q200" s="574"/>
      <c r="R200" s="574"/>
      <c r="S200" s="574"/>
    </row>
    <row r="201" spans="1:24">
      <c r="A201" s="585" t="s">
        <v>239</v>
      </c>
      <c r="B201" s="1114" t="s">
        <v>240</v>
      </c>
      <c r="C201" s="639"/>
      <c r="D201" s="1124"/>
      <c r="E201" s="618"/>
      <c r="F201" s="625"/>
      <c r="G201" s="644"/>
      <c r="H201" s="571">
        <f t="shared" si="37"/>
        <v>0</v>
      </c>
      <c r="I201" s="644"/>
      <c r="J201" s="571">
        <f t="shared" si="33"/>
        <v>0</v>
      </c>
      <c r="K201" s="1060">
        <f t="shared" si="32"/>
        <v>0</v>
      </c>
      <c r="L201" s="1065"/>
      <c r="M201" s="574"/>
      <c r="N201" s="621">
        <f t="shared" si="50"/>
        <v>0</v>
      </c>
      <c r="O201" s="622">
        <v>0</v>
      </c>
      <c r="P201" s="618"/>
      <c r="Q201" s="574"/>
      <c r="R201" s="574"/>
      <c r="S201" s="574"/>
    </row>
    <row r="202" spans="1:24" ht="21.3">
      <c r="A202" s="585"/>
      <c r="B202" s="1114"/>
      <c r="C202" s="617" t="s">
        <v>231</v>
      </c>
      <c r="D202" s="1124"/>
      <c r="E202" s="624">
        <f>+E203+E204+E205+E206+E208+E211+E213+E216+E218+E224+E225+E227+E228+E207+E209</f>
        <v>427.64</v>
      </c>
      <c r="F202" s="625" t="s">
        <v>34</v>
      </c>
      <c r="G202" s="626">
        <v>113</v>
      </c>
      <c r="H202" s="627">
        <f t="shared" ref="H202:H214" si="58">SUM(E202*G202)</f>
        <v>48323.32</v>
      </c>
      <c r="I202" s="628">
        <v>61</v>
      </c>
      <c r="J202" s="571">
        <f t="shared" si="33"/>
        <v>26086.04</v>
      </c>
      <c r="K202" s="1060">
        <f t="shared" si="32"/>
        <v>74409.36</v>
      </c>
      <c r="L202" s="1062"/>
      <c r="M202" s="574"/>
      <c r="N202" s="629">
        <f t="shared" si="50"/>
        <v>0</v>
      </c>
      <c r="O202" s="630">
        <v>0</v>
      </c>
      <c r="P202" s="624"/>
      <c r="Q202" s="574"/>
      <c r="R202" s="574"/>
      <c r="S202" s="574"/>
    </row>
    <row r="203" spans="1:24" ht="21.3">
      <c r="A203" s="585"/>
      <c r="B203" s="617" t="s">
        <v>184</v>
      </c>
      <c r="C203" s="617" t="s">
        <v>185</v>
      </c>
      <c r="D203" s="617"/>
      <c r="E203" s="624">
        <f>+N203</f>
        <v>0</v>
      </c>
      <c r="F203" s="625" t="s">
        <v>34</v>
      </c>
      <c r="G203" s="626">
        <v>564</v>
      </c>
      <c r="H203" s="627">
        <f t="shared" si="58"/>
        <v>0</v>
      </c>
      <c r="I203" s="628">
        <v>283</v>
      </c>
      <c r="J203" s="571">
        <f t="shared" si="33"/>
        <v>0</v>
      </c>
      <c r="K203" s="1060">
        <f t="shared" si="32"/>
        <v>0</v>
      </c>
      <c r="L203" s="1061"/>
      <c r="M203" s="574"/>
      <c r="N203" s="631">
        <f t="shared" si="50"/>
        <v>0</v>
      </c>
      <c r="O203" s="630">
        <v>0</v>
      </c>
      <c r="P203" s="624"/>
      <c r="Q203" s="574"/>
      <c r="R203" s="574"/>
      <c r="S203" s="574"/>
    </row>
    <row r="204" spans="1:24" ht="21.3">
      <c r="A204" s="585"/>
      <c r="B204" s="617" t="s">
        <v>186</v>
      </c>
      <c r="C204" s="1125" t="s">
        <v>187</v>
      </c>
      <c r="D204" s="1126"/>
      <c r="E204" s="624">
        <f t="shared" ref="E204:E231" si="59">+N204</f>
        <v>0</v>
      </c>
      <c r="F204" s="625" t="s">
        <v>34</v>
      </c>
      <c r="G204" s="626">
        <v>295</v>
      </c>
      <c r="H204" s="627">
        <f t="shared" si="58"/>
        <v>0</v>
      </c>
      <c r="I204" s="628">
        <v>184</v>
      </c>
      <c r="J204" s="571">
        <f t="shared" si="33"/>
        <v>0</v>
      </c>
      <c r="K204" s="1060">
        <f t="shared" si="32"/>
        <v>0</v>
      </c>
      <c r="L204" s="1061"/>
      <c r="M204" s="574"/>
      <c r="N204" s="631">
        <f t="shared" si="50"/>
        <v>0</v>
      </c>
      <c r="O204" s="630">
        <v>0</v>
      </c>
      <c r="P204" s="624"/>
      <c r="Q204" s="574"/>
      <c r="R204" s="574"/>
      <c r="S204" s="574"/>
    </row>
    <row r="205" spans="1:24" ht="21.3">
      <c r="A205" s="585"/>
      <c r="B205" s="617" t="s">
        <v>188</v>
      </c>
      <c r="C205" s="1125" t="s">
        <v>189</v>
      </c>
      <c r="D205" s="1126"/>
      <c r="E205" s="624">
        <f t="shared" si="59"/>
        <v>0</v>
      </c>
      <c r="F205" s="625" t="s">
        <v>34</v>
      </c>
      <c r="G205" s="626">
        <v>297</v>
      </c>
      <c r="H205" s="627">
        <f t="shared" si="58"/>
        <v>0</v>
      </c>
      <c r="I205" s="628">
        <v>204</v>
      </c>
      <c r="J205" s="571">
        <f t="shared" si="33"/>
        <v>0</v>
      </c>
      <c r="K205" s="1060">
        <f t="shared" si="32"/>
        <v>0</v>
      </c>
      <c r="L205" s="1061"/>
      <c r="M205" s="574"/>
      <c r="N205" s="631">
        <f t="shared" si="50"/>
        <v>0</v>
      </c>
      <c r="O205" s="630">
        <v>0</v>
      </c>
      <c r="P205" s="624">
        <v>0</v>
      </c>
      <c r="Q205" s="574"/>
      <c r="R205" s="574"/>
      <c r="S205" s="574"/>
    </row>
    <row r="206" spans="1:24" ht="21.3">
      <c r="A206" s="585"/>
      <c r="B206" s="617" t="s">
        <v>190</v>
      </c>
      <c r="C206" s="1125" t="s">
        <v>191</v>
      </c>
      <c r="D206" s="1126"/>
      <c r="E206" s="624"/>
      <c r="F206" s="625" t="s">
        <v>34</v>
      </c>
      <c r="G206" s="626">
        <v>609</v>
      </c>
      <c r="H206" s="627">
        <f t="shared" si="58"/>
        <v>0</v>
      </c>
      <c r="I206" s="628">
        <v>222</v>
      </c>
      <c r="J206" s="571">
        <f t="shared" si="33"/>
        <v>0</v>
      </c>
      <c r="K206" s="1060">
        <f t="shared" si="32"/>
        <v>0</v>
      </c>
      <c r="L206" s="1061"/>
      <c r="M206" s="574"/>
      <c r="N206" s="631">
        <f t="shared" si="50"/>
        <v>215.2</v>
      </c>
      <c r="O206" s="630">
        <v>0</v>
      </c>
      <c r="P206" s="624">
        <v>215.2</v>
      </c>
      <c r="Q206" s="574"/>
      <c r="R206" s="574"/>
      <c r="S206" s="574"/>
    </row>
    <row r="207" spans="1:24" ht="21.3">
      <c r="A207" s="585"/>
      <c r="B207" s="623" t="s">
        <v>2547</v>
      </c>
      <c r="C207" s="1125" t="s">
        <v>191</v>
      </c>
      <c r="D207" s="1126"/>
      <c r="E207" s="624">
        <f t="shared" ref="E207" si="60">+N207</f>
        <v>215.2</v>
      </c>
      <c r="F207" s="625" t="s">
        <v>34</v>
      </c>
      <c r="G207" s="626">
        <v>399</v>
      </c>
      <c r="H207" s="627">
        <f t="shared" si="58"/>
        <v>85864.799999999988</v>
      </c>
      <c r="I207" s="628">
        <v>222</v>
      </c>
      <c r="J207" s="571">
        <f t="shared" si="33"/>
        <v>47774.399999999994</v>
      </c>
      <c r="K207" s="1060">
        <f t="shared" si="32"/>
        <v>133639.19999999998</v>
      </c>
      <c r="L207" s="1061"/>
      <c r="M207" s="574"/>
      <c r="N207" s="631">
        <f t="shared" si="50"/>
        <v>215.2</v>
      </c>
      <c r="O207" s="630">
        <v>0</v>
      </c>
      <c r="P207" s="624">
        <v>215.2</v>
      </c>
      <c r="Q207" s="574"/>
      <c r="R207" s="574"/>
      <c r="S207" s="574"/>
    </row>
    <row r="208" spans="1:24" ht="21.3">
      <c r="A208" s="585"/>
      <c r="B208" s="617" t="s">
        <v>192</v>
      </c>
      <c r="C208" s="1125" t="s">
        <v>193</v>
      </c>
      <c r="D208" s="1126"/>
      <c r="E208" s="624"/>
      <c r="F208" s="625" t="s">
        <v>34</v>
      </c>
      <c r="G208" s="626">
        <v>617</v>
      </c>
      <c r="H208" s="627">
        <f t="shared" si="58"/>
        <v>0</v>
      </c>
      <c r="I208" s="628">
        <v>242</v>
      </c>
      <c r="J208" s="571">
        <f t="shared" si="33"/>
        <v>0</v>
      </c>
      <c r="K208" s="1060">
        <f t="shared" si="32"/>
        <v>0</v>
      </c>
      <c r="L208" s="1061"/>
      <c r="M208" s="574"/>
      <c r="N208" s="631">
        <f t="shared" si="50"/>
        <v>181.74</v>
      </c>
      <c r="O208" s="630">
        <v>0</v>
      </c>
      <c r="P208" s="624">
        <v>181.74</v>
      </c>
      <c r="Q208" s="574"/>
      <c r="R208" s="574"/>
      <c r="S208" s="574"/>
    </row>
    <row r="209" spans="1:19" ht="21.3">
      <c r="A209" s="585"/>
      <c r="B209" s="623" t="s">
        <v>2548</v>
      </c>
      <c r="C209" s="1125" t="s">
        <v>193</v>
      </c>
      <c r="D209" s="1126"/>
      <c r="E209" s="624">
        <f t="shared" ref="E209" si="61">+N209</f>
        <v>181.74</v>
      </c>
      <c r="F209" s="625" t="s">
        <v>34</v>
      </c>
      <c r="G209" s="626">
        <v>399</v>
      </c>
      <c r="H209" s="627">
        <f t="shared" si="58"/>
        <v>72514.260000000009</v>
      </c>
      <c r="I209" s="628">
        <v>242</v>
      </c>
      <c r="J209" s="571">
        <f t="shared" si="33"/>
        <v>43981.08</v>
      </c>
      <c r="K209" s="1060">
        <f t="shared" si="32"/>
        <v>116495.34000000001</v>
      </c>
      <c r="L209" s="1061"/>
      <c r="M209" s="574"/>
      <c r="N209" s="631">
        <f t="shared" si="50"/>
        <v>181.74</v>
      </c>
      <c r="O209" s="630">
        <v>0</v>
      </c>
      <c r="P209" s="624">
        <v>181.74</v>
      </c>
      <c r="Q209" s="574"/>
      <c r="R209" s="574"/>
      <c r="S209" s="574"/>
    </row>
    <row r="210" spans="1:19" ht="21.3">
      <c r="A210" s="585"/>
      <c r="B210" s="617" t="s">
        <v>194</v>
      </c>
      <c r="C210" s="1125" t="s">
        <v>195</v>
      </c>
      <c r="D210" s="1126"/>
      <c r="E210" s="624">
        <f t="shared" si="59"/>
        <v>429.76</v>
      </c>
      <c r="F210" s="625" t="s">
        <v>34</v>
      </c>
      <c r="G210" s="626">
        <v>420</v>
      </c>
      <c r="H210" s="627">
        <f t="shared" si="58"/>
        <v>180499.19999999998</v>
      </c>
      <c r="I210" s="628">
        <v>100</v>
      </c>
      <c r="J210" s="571">
        <f t="shared" si="33"/>
        <v>42976</v>
      </c>
      <c r="K210" s="1060">
        <f t="shared" si="32"/>
        <v>223475.19999999998</v>
      </c>
      <c r="L210" s="1061"/>
      <c r="M210" s="574"/>
      <c r="N210" s="631">
        <f t="shared" si="50"/>
        <v>429.76</v>
      </c>
      <c r="O210" s="630">
        <v>0</v>
      </c>
      <c r="P210" s="624">
        <v>429.76</v>
      </c>
      <c r="Q210" s="574"/>
      <c r="R210" s="574"/>
      <c r="S210" s="574"/>
    </row>
    <row r="211" spans="1:19" ht="21.3">
      <c r="A211" s="585"/>
      <c r="B211" s="617" t="s">
        <v>196</v>
      </c>
      <c r="C211" s="1125" t="s">
        <v>197</v>
      </c>
      <c r="D211" s="1126"/>
      <c r="E211" s="624">
        <f t="shared" si="59"/>
        <v>0</v>
      </c>
      <c r="F211" s="625" t="s">
        <v>34</v>
      </c>
      <c r="G211" s="626">
        <v>564</v>
      </c>
      <c r="H211" s="627">
        <f t="shared" si="58"/>
        <v>0</v>
      </c>
      <c r="I211" s="628">
        <v>283</v>
      </c>
      <c r="J211" s="571">
        <f t="shared" si="33"/>
        <v>0</v>
      </c>
      <c r="K211" s="1060">
        <f t="shared" si="32"/>
        <v>0</v>
      </c>
      <c r="L211" s="1061"/>
      <c r="M211" s="574"/>
      <c r="N211" s="631">
        <f t="shared" si="50"/>
        <v>0</v>
      </c>
      <c r="O211" s="630">
        <v>0</v>
      </c>
      <c r="P211" s="624"/>
      <c r="Q211" s="574"/>
      <c r="R211" s="574"/>
      <c r="S211" s="574"/>
    </row>
    <row r="212" spans="1:19" ht="21.3">
      <c r="A212" s="585"/>
      <c r="B212" s="617"/>
      <c r="C212" s="617" t="s">
        <v>198</v>
      </c>
      <c r="D212" s="617"/>
      <c r="E212" s="624">
        <f t="shared" si="59"/>
        <v>0</v>
      </c>
      <c r="F212" s="619"/>
      <c r="G212" s="626"/>
      <c r="H212" s="627">
        <f t="shared" si="58"/>
        <v>0</v>
      </c>
      <c r="I212" s="628"/>
      <c r="J212" s="571">
        <f t="shared" si="33"/>
        <v>0</v>
      </c>
      <c r="K212" s="1060">
        <f t="shared" si="32"/>
        <v>0</v>
      </c>
      <c r="L212" s="1061"/>
      <c r="M212" s="574"/>
      <c r="N212" s="631">
        <f t="shared" si="50"/>
        <v>0</v>
      </c>
      <c r="O212" s="630">
        <v>0</v>
      </c>
      <c r="P212" s="624"/>
      <c r="Q212" s="574"/>
      <c r="R212" s="574"/>
      <c r="S212" s="574"/>
    </row>
    <row r="213" spans="1:19" ht="21.3">
      <c r="A213" s="585"/>
      <c r="B213" s="617" t="s">
        <v>199</v>
      </c>
      <c r="C213" s="617" t="s">
        <v>200</v>
      </c>
      <c r="D213" s="617"/>
      <c r="E213" s="624">
        <f t="shared" si="59"/>
        <v>0</v>
      </c>
      <c r="F213" s="625" t="s">
        <v>34</v>
      </c>
      <c r="G213" s="626">
        <v>3570</v>
      </c>
      <c r="H213" s="627">
        <f t="shared" si="58"/>
        <v>0</v>
      </c>
      <c r="I213" s="628">
        <v>220</v>
      </c>
      <c r="J213" s="571">
        <f t="shared" si="33"/>
        <v>0</v>
      </c>
      <c r="K213" s="1060">
        <f t="shared" si="32"/>
        <v>0</v>
      </c>
      <c r="L213" s="1061"/>
      <c r="M213" s="574"/>
      <c r="N213" s="631">
        <f t="shared" si="50"/>
        <v>0</v>
      </c>
      <c r="O213" s="630">
        <v>0</v>
      </c>
      <c r="P213" s="624"/>
      <c r="Q213" s="574"/>
      <c r="R213" s="574"/>
      <c r="S213" s="574"/>
    </row>
    <row r="214" spans="1:19" ht="21.3">
      <c r="A214" s="585"/>
      <c r="B214" s="617" t="s">
        <v>201</v>
      </c>
      <c r="C214" s="617" t="s">
        <v>202</v>
      </c>
      <c r="D214" s="617"/>
      <c r="E214" s="624">
        <f t="shared" si="59"/>
        <v>17.600000000000001</v>
      </c>
      <c r="F214" s="625" t="s">
        <v>34</v>
      </c>
      <c r="G214" s="626">
        <f>ROUNDUP(2227.6*0.05+5*2.95,0)</f>
        <v>127</v>
      </c>
      <c r="H214" s="627">
        <f t="shared" si="58"/>
        <v>2235.2000000000003</v>
      </c>
      <c r="I214" s="628">
        <v>82</v>
      </c>
      <c r="J214" s="571">
        <f t="shared" si="33"/>
        <v>1443.2</v>
      </c>
      <c r="K214" s="1060">
        <f t="shared" si="32"/>
        <v>3678.4000000000005</v>
      </c>
      <c r="L214" s="1061"/>
      <c r="M214" s="574"/>
      <c r="N214" s="631">
        <f t="shared" si="50"/>
        <v>17.600000000000001</v>
      </c>
      <c r="O214" s="630">
        <v>0</v>
      </c>
      <c r="P214" s="624">
        <v>17.600000000000001</v>
      </c>
      <c r="Q214" s="574"/>
      <c r="R214" s="574"/>
      <c r="S214" s="574"/>
    </row>
    <row r="215" spans="1:19" ht="21.3">
      <c r="A215" s="585"/>
      <c r="B215" s="617" t="s">
        <v>203</v>
      </c>
      <c r="C215" s="1125" t="s">
        <v>204</v>
      </c>
      <c r="D215" s="1126"/>
      <c r="E215" s="624">
        <f t="shared" si="59"/>
        <v>0</v>
      </c>
      <c r="F215" s="625" t="s">
        <v>34</v>
      </c>
      <c r="G215" s="628">
        <v>120</v>
      </c>
      <c r="H215" s="627">
        <f t="shared" ref="H215:H218" si="62">E215*G215</f>
        <v>0</v>
      </c>
      <c r="I215" s="628">
        <v>61</v>
      </c>
      <c r="J215" s="571">
        <f t="shared" si="33"/>
        <v>0</v>
      </c>
      <c r="K215" s="1060">
        <f t="shared" si="32"/>
        <v>0</v>
      </c>
      <c r="L215" s="1061"/>
      <c r="M215" s="574"/>
      <c r="N215" s="631">
        <f t="shared" si="50"/>
        <v>0</v>
      </c>
      <c r="O215" s="630">
        <v>0</v>
      </c>
      <c r="P215" s="624"/>
      <c r="Q215" s="574"/>
      <c r="R215" s="574"/>
      <c r="S215" s="574"/>
    </row>
    <row r="216" spans="1:19" ht="21.3">
      <c r="A216" s="585"/>
      <c r="B216" s="617" t="s">
        <v>205</v>
      </c>
      <c r="C216" s="617" t="s">
        <v>206</v>
      </c>
      <c r="D216" s="617"/>
      <c r="E216" s="624">
        <f t="shared" si="59"/>
        <v>0</v>
      </c>
      <c r="F216" s="625" t="s">
        <v>34</v>
      </c>
      <c r="G216" s="626">
        <v>447</v>
      </c>
      <c r="H216" s="627">
        <f t="shared" si="62"/>
        <v>0</v>
      </c>
      <c r="I216" s="628">
        <v>212</v>
      </c>
      <c r="J216" s="571">
        <f t="shared" si="33"/>
        <v>0</v>
      </c>
      <c r="K216" s="1060">
        <f t="shared" si="32"/>
        <v>0</v>
      </c>
      <c r="L216" s="1061"/>
      <c r="M216" s="574"/>
      <c r="N216" s="631">
        <f t="shared" si="50"/>
        <v>0</v>
      </c>
      <c r="O216" s="630">
        <v>0</v>
      </c>
      <c r="P216" s="624"/>
      <c r="Q216" s="574"/>
      <c r="R216" s="574"/>
      <c r="S216" s="574"/>
    </row>
    <row r="217" spans="1:19" ht="21.3">
      <c r="A217" s="585"/>
      <c r="B217" s="617" t="s">
        <v>207</v>
      </c>
      <c r="C217" s="1125" t="s">
        <v>208</v>
      </c>
      <c r="D217" s="1126"/>
      <c r="E217" s="624">
        <f t="shared" si="59"/>
        <v>0</v>
      </c>
      <c r="F217" s="625" t="s">
        <v>34</v>
      </c>
      <c r="G217" s="628">
        <v>240</v>
      </c>
      <c r="H217" s="627">
        <f t="shared" si="62"/>
        <v>0</v>
      </c>
      <c r="I217" s="628">
        <v>80</v>
      </c>
      <c r="J217" s="571">
        <f t="shared" si="33"/>
        <v>0</v>
      </c>
      <c r="K217" s="1060">
        <f t="shared" ref="K217:K310" si="63">H217+J217</f>
        <v>0</v>
      </c>
      <c r="L217" s="1061"/>
      <c r="M217" s="574"/>
      <c r="N217" s="631">
        <f t="shared" si="50"/>
        <v>0</v>
      </c>
      <c r="O217" s="630">
        <v>0</v>
      </c>
      <c r="P217" s="624"/>
      <c r="Q217" s="574"/>
      <c r="R217" s="574"/>
      <c r="S217" s="574"/>
    </row>
    <row r="218" spans="1:19" ht="21.3">
      <c r="A218" s="585"/>
      <c r="B218" s="617" t="s">
        <v>209</v>
      </c>
      <c r="C218" s="1125" t="s">
        <v>210</v>
      </c>
      <c r="D218" s="1126"/>
      <c r="E218" s="624">
        <f t="shared" si="59"/>
        <v>0</v>
      </c>
      <c r="F218" s="625" t="s">
        <v>34</v>
      </c>
      <c r="G218" s="628">
        <v>230</v>
      </c>
      <c r="H218" s="627">
        <f t="shared" si="62"/>
        <v>0</v>
      </c>
      <c r="I218" s="628">
        <v>0</v>
      </c>
      <c r="J218" s="571">
        <f t="shared" ref="J218:J311" si="64">E218*I218</f>
        <v>0</v>
      </c>
      <c r="K218" s="1060">
        <f t="shared" si="63"/>
        <v>0</v>
      </c>
      <c r="L218" s="1061"/>
      <c r="M218" s="574"/>
      <c r="N218" s="631">
        <f t="shared" si="50"/>
        <v>0</v>
      </c>
      <c r="O218" s="630">
        <v>0</v>
      </c>
      <c r="P218" s="624"/>
      <c r="Q218" s="574"/>
      <c r="R218" s="574"/>
      <c r="S218" s="574"/>
    </row>
    <row r="219" spans="1:19" ht="21.3">
      <c r="A219" s="585"/>
      <c r="B219" s="617" t="s">
        <v>211</v>
      </c>
      <c r="C219" s="1125" t="s">
        <v>212</v>
      </c>
      <c r="D219" s="1126"/>
      <c r="E219" s="624">
        <f t="shared" si="59"/>
        <v>10</v>
      </c>
      <c r="F219" s="625" t="s">
        <v>34</v>
      </c>
      <c r="G219" s="626">
        <v>220</v>
      </c>
      <c r="H219" s="627">
        <f t="shared" ref="H219:H228" si="65">SUM(E219*G219)</f>
        <v>2200</v>
      </c>
      <c r="I219" s="628">
        <v>80</v>
      </c>
      <c r="J219" s="571">
        <f t="shared" si="64"/>
        <v>800</v>
      </c>
      <c r="K219" s="1060">
        <f t="shared" si="63"/>
        <v>3000</v>
      </c>
      <c r="L219" s="1061"/>
      <c r="M219" s="574"/>
      <c r="N219" s="631">
        <f t="shared" si="50"/>
        <v>10</v>
      </c>
      <c r="O219" s="630">
        <v>0</v>
      </c>
      <c r="P219" s="624">
        <v>10</v>
      </c>
      <c r="Q219" s="574"/>
      <c r="R219" s="574"/>
      <c r="S219" s="574"/>
    </row>
    <row r="220" spans="1:19" ht="21.3">
      <c r="A220" s="585"/>
      <c r="B220" s="617" t="s">
        <v>213</v>
      </c>
      <c r="C220" s="1125" t="s">
        <v>214</v>
      </c>
      <c r="D220" s="1126"/>
      <c r="E220" s="624">
        <f t="shared" si="59"/>
        <v>0</v>
      </c>
      <c r="F220" s="625" t="s">
        <v>34</v>
      </c>
      <c r="G220" s="626">
        <v>113</v>
      </c>
      <c r="H220" s="627">
        <f t="shared" si="65"/>
        <v>0</v>
      </c>
      <c r="I220" s="628">
        <v>61</v>
      </c>
      <c r="J220" s="571">
        <f t="shared" si="64"/>
        <v>0</v>
      </c>
      <c r="K220" s="1060">
        <f t="shared" si="63"/>
        <v>0</v>
      </c>
      <c r="L220" s="1061"/>
      <c r="M220" s="574"/>
      <c r="N220" s="631">
        <f t="shared" si="50"/>
        <v>0</v>
      </c>
      <c r="O220" s="630">
        <v>0</v>
      </c>
      <c r="P220" s="624">
        <v>0</v>
      </c>
      <c r="Q220" s="574"/>
      <c r="R220" s="574"/>
      <c r="S220" s="574"/>
    </row>
    <row r="221" spans="1:19" ht="21.3">
      <c r="A221" s="585"/>
      <c r="B221" s="617" t="s">
        <v>215</v>
      </c>
      <c r="C221" s="1125" t="s">
        <v>216</v>
      </c>
      <c r="D221" s="1126"/>
      <c r="E221" s="624">
        <f t="shared" si="59"/>
        <v>0</v>
      </c>
      <c r="F221" s="625" t="s">
        <v>34</v>
      </c>
      <c r="G221" s="626">
        <v>113</v>
      </c>
      <c r="H221" s="627">
        <f t="shared" si="65"/>
        <v>0</v>
      </c>
      <c r="I221" s="628">
        <v>61</v>
      </c>
      <c r="J221" s="571">
        <f t="shared" si="64"/>
        <v>0</v>
      </c>
      <c r="K221" s="1060">
        <f t="shared" si="63"/>
        <v>0</v>
      </c>
      <c r="L221" s="1061"/>
      <c r="M221" s="574"/>
      <c r="N221" s="631">
        <f t="shared" si="50"/>
        <v>0</v>
      </c>
      <c r="O221" s="630">
        <v>0</v>
      </c>
      <c r="P221" s="624">
        <v>0</v>
      </c>
      <c r="Q221" s="574"/>
      <c r="R221" s="574"/>
      <c r="S221" s="574"/>
    </row>
    <row r="222" spans="1:19" ht="21.3">
      <c r="A222" s="585"/>
      <c r="B222" s="617" t="s">
        <v>217</v>
      </c>
      <c r="C222" s="1125" t="s">
        <v>218</v>
      </c>
      <c r="D222" s="1126"/>
      <c r="E222" s="624">
        <f t="shared" si="59"/>
        <v>3886.8000000000006</v>
      </c>
      <c r="F222" s="625" t="s">
        <v>34</v>
      </c>
      <c r="G222" s="626">
        <v>113</v>
      </c>
      <c r="H222" s="627">
        <f t="shared" si="65"/>
        <v>439208.40000000008</v>
      </c>
      <c r="I222" s="628">
        <v>61</v>
      </c>
      <c r="J222" s="571">
        <f t="shared" si="64"/>
        <v>237094.80000000005</v>
      </c>
      <c r="K222" s="1060">
        <f t="shared" si="63"/>
        <v>676303.20000000019</v>
      </c>
      <c r="L222" s="1061"/>
      <c r="M222" s="574"/>
      <c r="N222" s="631">
        <f t="shared" si="50"/>
        <v>3886.8000000000006</v>
      </c>
      <c r="O222" s="630">
        <v>0</v>
      </c>
      <c r="P222" s="624">
        <v>3886.8000000000006</v>
      </c>
      <c r="Q222" s="574"/>
      <c r="R222" s="574"/>
      <c r="S222" s="574"/>
    </row>
    <row r="223" spans="1:19" ht="21.3">
      <c r="A223" s="585"/>
      <c r="B223" s="617" t="s">
        <v>219</v>
      </c>
      <c r="C223" s="1125" t="s">
        <v>220</v>
      </c>
      <c r="D223" s="1126"/>
      <c r="E223" s="624">
        <f t="shared" si="59"/>
        <v>4.4000000000000004</v>
      </c>
      <c r="F223" s="625" t="s">
        <v>34</v>
      </c>
      <c r="G223" s="626">
        <v>113</v>
      </c>
      <c r="H223" s="627">
        <f t="shared" si="65"/>
        <v>497.20000000000005</v>
      </c>
      <c r="I223" s="628">
        <v>61</v>
      </c>
      <c r="J223" s="571">
        <f t="shared" si="64"/>
        <v>268.40000000000003</v>
      </c>
      <c r="K223" s="1060">
        <f t="shared" si="63"/>
        <v>765.60000000000014</v>
      </c>
      <c r="L223" s="1061"/>
      <c r="M223" s="574"/>
      <c r="N223" s="631">
        <f t="shared" si="50"/>
        <v>4.4000000000000004</v>
      </c>
      <c r="O223" s="630">
        <v>0</v>
      </c>
      <c r="P223" s="624">
        <v>4.4000000000000004</v>
      </c>
      <c r="Q223" s="574"/>
      <c r="R223" s="574"/>
      <c r="S223" s="574"/>
    </row>
    <row r="224" spans="1:19" ht="21.3">
      <c r="A224" s="585"/>
      <c r="B224" s="617" t="s">
        <v>221</v>
      </c>
      <c r="C224" s="1125" t="s">
        <v>222</v>
      </c>
      <c r="D224" s="1126"/>
      <c r="E224" s="624">
        <f t="shared" si="59"/>
        <v>30.7</v>
      </c>
      <c r="F224" s="625" t="s">
        <v>34</v>
      </c>
      <c r="G224" s="626">
        <v>583</v>
      </c>
      <c r="H224" s="627">
        <f t="shared" si="65"/>
        <v>17898.099999999999</v>
      </c>
      <c r="I224" s="628">
        <v>298</v>
      </c>
      <c r="J224" s="571">
        <f t="shared" si="64"/>
        <v>9148.6</v>
      </c>
      <c r="K224" s="1060">
        <f t="shared" si="63"/>
        <v>27046.699999999997</v>
      </c>
      <c r="L224" s="1061"/>
      <c r="M224" s="574"/>
      <c r="N224" s="631">
        <f t="shared" si="50"/>
        <v>30.7</v>
      </c>
      <c r="O224" s="630">
        <v>0</v>
      </c>
      <c r="P224" s="624">
        <v>30.7</v>
      </c>
      <c r="Q224" s="574"/>
      <c r="R224" s="574"/>
      <c r="S224" s="574"/>
    </row>
    <row r="225" spans="1:24" ht="21.3">
      <c r="A225" s="585"/>
      <c r="B225" s="617" t="s">
        <v>593</v>
      </c>
      <c r="C225" s="1127" t="s">
        <v>594</v>
      </c>
      <c r="D225" s="1126"/>
      <c r="E225" s="624">
        <f t="shared" si="59"/>
        <v>0</v>
      </c>
      <c r="F225" s="625" t="s">
        <v>34</v>
      </c>
      <c r="G225" s="626">
        <v>533</v>
      </c>
      <c r="H225" s="627">
        <f t="shared" si="65"/>
        <v>0</v>
      </c>
      <c r="I225" s="628">
        <v>130</v>
      </c>
      <c r="J225" s="571">
        <f t="shared" si="64"/>
        <v>0</v>
      </c>
      <c r="K225" s="1060">
        <f t="shared" si="63"/>
        <v>0</v>
      </c>
      <c r="L225" s="1061"/>
      <c r="M225" s="574"/>
      <c r="N225" s="631">
        <f t="shared" si="50"/>
        <v>0</v>
      </c>
      <c r="O225" s="630">
        <v>0</v>
      </c>
      <c r="P225" s="624"/>
      <c r="Q225" s="574"/>
      <c r="R225" s="574"/>
      <c r="S225" s="574"/>
    </row>
    <row r="226" spans="1:24" ht="21.3">
      <c r="A226" s="585"/>
      <c r="B226" s="617" t="s">
        <v>238</v>
      </c>
      <c r="C226" s="1127" t="s">
        <v>595</v>
      </c>
      <c r="D226" s="1126"/>
      <c r="E226" s="624">
        <f t="shared" si="59"/>
        <v>0</v>
      </c>
      <c r="F226" s="625" t="s">
        <v>34</v>
      </c>
      <c r="G226" s="626">
        <v>4810</v>
      </c>
      <c r="H226" s="627">
        <f t="shared" si="65"/>
        <v>0</v>
      </c>
      <c r="I226" s="628">
        <v>1640</v>
      </c>
      <c r="J226" s="571">
        <f t="shared" si="64"/>
        <v>0</v>
      </c>
      <c r="K226" s="1060">
        <f t="shared" si="63"/>
        <v>0</v>
      </c>
      <c r="L226" s="1061"/>
      <c r="M226" s="574"/>
      <c r="N226" s="631">
        <f t="shared" si="50"/>
        <v>0</v>
      </c>
      <c r="O226" s="630">
        <v>0</v>
      </c>
      <c r="P226" s="624"/>
      <c r="Q226" s="574"/>
      <c r="R226" s="574"/>
      <c r="S226" s="574"/>
    </row>
    <row r="227" spans="1:24" ht="21.3">
      <c r="A227" s="585"/>
      <c r="B227" s="617" t="s">
        <v>596</v>
      </c>
      <c r="C227" s="1127" t="s">
        <v>597</v>
      </c>
      <c r="D227" s="1124"/>
      <c r="E227" s="624">
        <f t="shared" si="59"/>
        <v>0</v>
      </c>
      <c r="F227" s="625" t="s">
        <v>34</v>
      </c>
      <c r="G227" s="626">
        <v>253</v>
      </c>
      <c r="H227" s="627">
        <f t="shared" si="65"/>
        <v>0</v>
      </c>
      <c r="I227" s="628">
        <v>50</v>
      </c>
      <c r="J227" s="571">
        <f t="shared" si="64"/>
        <v>0</v>
      </c>
      <c r="K227" s="1060">
        <f t="shared" si="63"/>
        <v>0</v>
      </c>
      <c r="L227" s="1061"/>
      <c r="M227" s="574"/>
      <c r="N227" s="631">
        <f t="shared" si="50"/>
        <v>0</v>
      </c>
      <c r="O227" s="630">
        <v>0</v>
      </c>
      <c r="P227" s="624"/>
      <c r="Q227" s="574"/>
      <c r="R227" s="574"/>
      <c r="S227" s="574"/>
    </row>
    <row r="228" spans="1:24" ht="21.3">
      <c r="A228" s="585"/>
      <c r="B228" s="617" t="s">
        <v>598</v>
      </c>
      <c r="C228" s="1127" t="s">
        <v>599</v>
      </c>
      <c r="D228" s="1124"/>
      <c r="E228" s="624">
        <f t="shared" si="59"/>
        <v>0</v>
      </c>
      <c r="F228" s="625" t="s">
        <v>34</v>
      </c>
      <c r="G228" s="626">
        <v>1964</v>
      </c>
      <c r="H228" s="627">
        <f t="shared" si="65"/>
        <v>0</v>
      </c>
      <c r="I228" s="628">
        <v>220</v>
      </c>
      <c r="J228" s="571">
        <f t="shared" si="64"/>
        <v>0</v>
      </c>
      <c r="K228" s="1060">
        <f t="shared" si="63"/>
        <v>0</v>
      </c>
      <c r="L228" s="1061"/>
      <c r="M228" s="632"/>
      <c r="N228" s="631">
        <f t="shared" si="50"/>
        <v>0</v>
      </c>
      <c r="O228" s="630">
        <v>0</v>
      </c>
      <c r="P228" s="624"/>
      <c r="Q228" s="632"/>
      <c r="R228" s="632"/>
      <c r="S228" s="632"/>
    </row>
    <row r="229" spans="1:24" s="574" customFormat="1" ht="24" customHeight="1">
      <c r="A229" s="585"/>
      <c r="B229" s="617"/>
      <c r="C229" s="1128" t="s">
        <v>223</v>
      </c>
      <c r="D229" s="1126"/>
      <c r="E229" s="624"/>
      <c r="F229" s="625"/>
      <c r="G229" s="626"/>
      <c r="H229" s="627">
        <f t="shared" ref="H229:H231" si="66">SUM(E229*G229)</f>
        <v>0</v>
      </c>
      <c r="I229" s="628"/>
      <c r="J229" s="633">
        <f t="shared" ref="J229:J231" si="67">SUM(E229*I229)</f>
        <v>0</v>
      </c>
      <c r="K229" s="626">
        <f t="shared" ref="K229:K231" si="68">SUM(H229+J229)</f>
        <v>0</v>
      </c>
      <c r="L229" s="1063"/>
      <c r="M229" s="634"/>
      <c r="N229" s="635">
        <f t="shared" si="50"/>
        <v>0</v>
      </c>
      <c r="O229" s="636">
        <v>0</v>
      </c>
      <c r="P229" s="637"/>
      <c r="Q229" s="634"/>
      <c r="R229" s="634"/>
      <c r="S229" s="634"/>
      <c r="T229" s="634"/>
      <c r="U229" s="634"/>
      <c r="V229" s="634"/>
      <c r="W229" s="634"/>
      <c r="X229" s="634"/>
    </row>
    <row r="230" spans="1:24" s="574" customFormat="1" ht="24" customHeight="1">
      <c r="A230" s="585"/>
      <c r="B230" s="617" t="s">
        <v>224</v>
      </c>
      <c r="C230" s="1125" t="s">
        <v>225</v>
      </c>
      <c r="D230" s="1124"/>
      <c r="E230" s="624">
        <f t="shared" si="59"/>
        <v>1543.4900000000002</v>
      </c>
      <c r="F230" s="625" t="s">
        <v>226</v>
      </c>
      <c r="G230" s="626">
        <v>200</v>
      </c>
      <c r="H230" s="627">
        <f t="shared" si="66"/>
        <v>308698.00000000006</v>
      </c>
      <c r="I230" s="628">
        <v>45</v>
      </c>
      <c r="J230" s="633">
        <f t="shared" si="67"/>
        <v>69457.050000000017</v>
      </c>
      <c r="K230" s="626">
        <f t="shared" si="68"/>
        <v>378155.05000000005</v>
      </c>
      <c r="L230" s="1064"/>
      <c r="M230" s="634"/>
      <c r="N230" s="635">
        <f t="shared" si="50"/>
        <v>1543.4900000000002</v>
      </c>
      <c r="O230" s="636">
        <v>0</v>
      </c>
      <c r="P230" s="637">
        <v>1543.4900000000002</v>
      </c>
      <c r="Q230" s="634"/>
      <c r="R230" s="634"/>
      <c r="S230" s="634"/>
      <c r="T230" s="634"/>
      <c r="U230" s="634"/>
      <c r="V230" s="634"/>
      <c r="W230" s="634"/>
      <c r="X230" s="634"/>
    </row>
    <row r="231" spans="1:24" s="574" customFormat="1" ht="24" customHeight="1">
      <c r="A231" s="585"/>
      <c r="B231" s="617" t="s">
        <v>227</v>
      </c>
      <c r="C231" s="1125" t="s">
        <v>228</v>
      </c>
      <c r="D231" s="1124"/>
      <c r="E231" s="624">
        <f t="shared" si="59"/>
        <v>693.16</v>
      </c>
      <c r="F231" s="625" t="s">
        <v>226</v>
      </c>
      <c r="G231" s="626">
        <v>19</v>
      </c>
      <c r="H231" s="627">
        <f t="shared" si="66"/>
        <v>13170.039999999999</v>
      </c>
      <c r="I231" s="628">
        <v>20</v>
      </c>
      <c r="J231" s="633">
        <f t="shared" si="67"/>
        <v>13863.199999999999</v>
      </c>
      <c r="K231" s="626">
        <f t="shared" si="68"/>
        <v>27033.239999999998</v>
      </c>
      <c r="L231" s="1064"/>
      <c r="M231" s="634"/>
      <c r="N231" s="635">
        <f t="shared" si="50"/>
        <v>693.16</v>
      </c>
      <c r="O231" s="636">
        <v>0</v>
      </c>
      <c r="P231" s="637">
        <v>693.16</v>
      </c>
      <c r="Q231" s="634"/>
      <c r="R231" s="634"/>
      <c r="S231" s="634"/>
      <c r="T231" s="634"/>
      <c r="U231" s="634"/>
      <c r="V231" s="634"/>
      <c r="W231" s="634"/>
      <c r="X231" s="634"/>
    </row>
    <row r="232" spans="1:24" ht="21.3">
      <c r="A232" s="585"/>
      <c r="B232" s="617"/>
      <c r="C232" s="617"/>
      <c r="D232" s="617"/>
      <c r="E232" s="624"/>
      <c r="F232" s="625"/>
      <c r="G232" s="644"/>
      <c r="H232" s="571">
        <f t="shared" ref="H232:H268" si="69">+E232*G232</f>
        <v>0</v>
      </c>
      <c r="I232" s="644"/>
      <c r="J232" s="571">
        <f t="shared" si="64"/>
        <v>0</v>
      </c>
      <c r="K232" s="1060">
        <f t="shared" si="63"/>
        <v>0</v>
      </c>
      <c r="L232" s="1065"/>
      <c r="M232" s="574"/>
      <c r="N232" s="631">
        <f t="shared" si="50"/>
        <v>0</v>
      </c>
      <c r="O232" s="630">
        <v>0</v>
      </c>
      <c r="P232" s="624"/>
      <c r="Q232" s="574"/>
      <c r="R232" s="574"/>
      <c r="S232" s="574"/>
    </row>
    <row r="233" spans="1:24" ht="21.3">
      <c r="A233" s="585"/>
      <c r="B233" s="617"/>
      <c r="C233" s="617"/>
      <c r="D233" s="617"/>
      <c r="E233" s="624"/>
      <c r="F233" s="625"/>
      <c r="G233" s="644"/>
      <c r="H233" s="571"/>
      <c r="I233" s="644"/>
      <c r="J233" s="571"/>
      <c r="K233" s="1060"/>
      <c r="L233" s="1065"/>
      <c r="M233" s="574"/>
      <c r="N233" s="631"/>
      <c r="O233" s="630"/>
      <c r="P233" s="624"/>
      <c r="Q233" s="574"/>
      <c r="R233" s="574"/>
      <c r="S233" s="574"/>
    </row>
    <row r="234" spans="1:24" ht="21.3">
      <c r="A234" s="585"/>
      <c r="B234" s="617"/>
      <c r="C234" s="617"/>
      <c r="D234" s="617"/>
      <c r="E234" s="624"/>
      <c r="F234" s="625"/>
      <c r="G234" s="644"/>
      <c r="H234" s="571"/>
      <c r="I234" s="644"/>
      <c r="J234" s="571"/>
      <c r="K234" s="1060"/>
      <c r="L234" s="1065"/>
      <c r="M234" s="574"/>
      <c r="N234" s="631"/>
      <c r="O234" s="630"/>
      <c r="P234" s="624"/>
      <c r="Q234" s="574"/>
      <c r="R234" s="574"/>
      <c r="S234" s="574"/>
    </row>
    <row r="235" spans="1:24">
      <c r="A235" s="585" t="s">
        <v>241</v>
      </c>
      <c r="B235" s="1114" t="s">
        <v>242</v>
      </c>
      <c r="C235" s="639"/>
      <c r="D235" s="1124"/>
      <c r="E235" s="618"/>
      <c r="F235" s="625"/>
      <c r="G235" s="644"/>
      <c r="H235" s="571">
        <f t="shared" si="69"/>
        <v>0</v>
      </c>
      <c r="I235" s="644"/>
      <c r="J235" s="571">
        <f t="shared" si="64"/>
        <v>0</v>
      </c>
      <c r="K235" s="1060">
        <f t="shared" si="63"/>
        <v>0</v>
      </c>
      <c r="L235" s="1065"/>
      <c r="M235" s="574"/>
      <c r="N235" s="621">
        <f t="shared" si="50"/>
        <v>0</v>
      </c>
      <c r="O235" s="622">
        <v>0</v>
      </c>
      <c r="P235" s="618"/>
      <c r="Q235" s="574"/>
      <c r="R235" s="574"/>
      <c r="S235" s="574"/>
    </row>
    <row r="236" spans="1:24" ht="21.3">
      <c r="A236" s="585"/>
      <c r="B236" s="1114"/>
      <c r="C236" s="617" t="s">
        <v>231</v>
      </c>
      <c r="D236" s="1124"/>
      <c r="E236" s="624">
        <f>+E237+E238+E239+E240+E243+E245+E247+E250+E252+E258+E259+E261+E262+E241</f>
        <v>427.64</v>
      </c>
      <c r="F236" s="625" t="s">
        <v>34</v>
      </c>
      <c r="G236" s="626">
        <v>113</v>
      </c>
      <c r="H236" s="627">
        <f t="shared" ref="H236:H248" si="70">SUM(E236*G236)</f>
        <v>48323.32</v>
      </c>
      <c r="I236" s="628">
        <v>61</v>
      </c>
      <c r="J236" s="571">
        <f t="shared" si="64"/>
        <v>26086.04</v>
      </c>
      <c r="K236" s="1060">
        <f t="shared" si="63"/>
        <v>74409.36</v>
      </c>
      <c r="L236" s="1062"/>
      <c r="M236" s="574"/>
      <c r="N236" s="629">
        <f t="shared" si="50"/>
        <v>0</v>
      </c>
      <c r="O236" s="630">
        <v>0</v>
      </c>
      <c r="P236" s="624"/>
      <c r="Q236" s="574"/>
      <c r="R236" s="574"/>
      <c r="S236" s="574"/>
    </row>
    <row r="237" spans="1:24" ht="21.3">
      <c r="A237" s="585"/>
      <c r="B237" s="617" t="s">
        <v>184</v>
      </c>
      <c r="C237" s="617" t="s">
        <v>185</v>
      </c>
      <c r="D237" s="617"/>
      <c r="E237" s="624">
        <f>+N237</f>
        <v>0</v>
      </c>
      <c r="F237" s="625" t="s">
        <v>34</v>
      </c>
      <c r="G237" s="626">
        <v>564</v>
      </c>
      <c r="H237" s="627">
        <f t="shared" si="70"/>
        <v>0</v>
      </c>
      <c r="I237" s="628">
        <v>283</v>
      </c>
      <c r="J237" s="571">
        <f t="shared" si="64"/>
        <v>0</v>
      </c>
      <c r="K237" s="1060">
        <f t="shared" si="63"/>
        <v>0</v>
      </c>
      <c r="L237" s="1061"/>
      <c r="M237" s="574"/>
      <c r="N237" s="631">
        <f t="shared" si="50"/>
        <v>0</v>
      </c>
      <c r="O237" s="630">
        <v>0</v>
      </c>
      <c r="P237" s="624"/>
      <c r="Q237" s="574"/>
      <c r="R237" s="574"/>
      <c r="S237" s="574"/>
    </row>
    <row r="238" spans="1:24" ht="21.3">
      <c r="A238" s="585"/>
      <c r="B238" s="617" t="s">
        <v>186</v>
      </c>
      <c r="C238" s="1125" t="s">
        <v>187</v>
      </c>
      <c r="D238" s="1126"/>
      <c r="E238" s="624">
        <f t="shared" ref="E238:E266" si="71">+N238</f>
        <v>0</v>
      </c>
      <c r="F238" s="625" t="s">
        <v>34</v>
      </c>
      <c r="G238" s="626">
        <v>295</v>
      </c>
      <c r="H238" s="627">
        <f t="shared" si="70"/>
        <v>0</v>
      </c>
      <c r="I238" s="628">
        <v>184</v>
      </c>
      <c r="J238" s="571">
        <f t="shared" si="64"/>
        <v>0</v>
      </c>
      <c r="K238" s="1060">
        <f t="shared" si="63"/>
        <v>0</v>
      </c>
      <c r="L238" s="1061"/>
      <c r="M238" s="574"/>
      <c r="N238" s="631">
        <f t="shared" si="50"/>
        <v>0</v>
      </c>
      <c r="O238" s="630">
        <v>0</v>
      </c>
      <c r="P238" s="624"/>
      <c r="Q238" s="574"/>
      <c r="R238" s="574"/>
      <c r="S238" s="574"/>
    </row>
    <row r="239" spans="1:24" ht="21.3">
      <c r="A239" s="585"/>
      <c r="B239" s="617" t="s">
        <v>188</v>
      </c>
      <c r="C239" s="1125" t="s">
        <v>189</v>
      </c>
      <c r="D239" s="1126"/>
      <c r="E239" s="624">
        <f t="shared" si="71"/>
        <v>0</v>
      </c>
      <c r="F239" s="625" t="s">
        <v>34</v>
      </c>
      <c r="G239" s="626">
        <v>297</v>
      </c>
      <c r="H239" s="627">
        <f t="shared" si="70"/>
        <v>0</v>
      </c>
      <c r="I239" s="628">
        <v>204</v>
      </c>
      <c r="J239" s="571">
        <f t="shared" si="64"/>
        <v>0</v>
      </c>
      <c r="K239" s="1060">
        <f t="shared" si="63"/>
        <v>0</v>
      </c>
      <c r="L239" s="1061"/>
      <c r="M239" s="574"/>
      <c r="N239" s="631">
        <f t="shared" ref="N239:N321" si="72">+(1+O239)*P239</f>
        <v>0</v>
      </c>
      <c r="O239" s="630">
        <v>0</v>
      </c>
      <c r="P239" s="624">
        <v>0</v>
      </c>
      <c r="Q239" s="574"/>
      <c r="R239" s="574"/>
      <c r="S239" s="574"/>
    </row>
    <row r="240" spans="1:24" ht="21.3">
      <c r="A240" s="585"/>
      <c r="B240" s="617" t="s">
        <v>190</v>
      </c>
      <c r="C240" s="1125" t="s">
        <v>191</v>
      </c>
      <c r="D240" s="1126"/>
      <c r="E240" s="624"/>
      <c r="F240" s="625" t="s">
        <v>34</v>
      </c>
      <c r="G240" s="626">
        <v>609</v>
      </c>
      <c r="H240" s="627">
        <f t="shared" si="70"/>
        <v>0</v>
      </c>
      <c r="I240" s="628">
        <v>222</v>
      </c>
      <c r="J240" s="571">
        <f t="shared" si="64"/>
        <v>0</v>
      </c>
      <c r="K240" s="1060">
        <f t="shared" si="63"/>
        <v>0</v>
      </c>
      <c r="L240" s="1061"/>
      <c r="M240" s="574"/>
      <c r="N240" s="631">
        <f t="shared" si="72"/>
        <v>215.2</v>
      </c>
      <c r="O240" s="630">
        <v>0</v>
      </c>
      <c r="P240" s="624">
        <v>215.2</v>
      </c>
      <c r="Q240" s="574"/>
      <c r="R240" s="574"/>
      <c r="S240" s="574"/>
    </row>
    <row r="241" spans="1:19" ht="21.3">
      <c r="A241" s="585"/>
      <c r="B241" s="623" t="s">
        <v>2547</v>
      </c>
      <c r="C241" s="1125" t="s">
        <v>191</v>
      </c>
      <c r="D241" s="1126"/>
      <c r="E241" s="624">
        <f t="shared" ref="E241" si="73">+N241</f>
        <v>215.2</v>
      </c>
      <c r="F241" s="625" t="s">
        <v>34</v>
      </c>
      <c r="G241" s="626">
        <v>399</v>
      </c>
      <c r="H241" s="627">
        <f t="shared" si="70"/>
        <v>85864.799999999988</v>
      </c>
      <c r="I241" s="628">
        <v>222</v>
      </c>
      <c r="J241" s="571">
        <f t="shared" si="64"/>
        <v>47774.399999999994</v>
      </c>
      <c r="K241" s="1060">
        <f t="shared" si="63"/>
        <v>133639.19999999998</v>
      </c>
      <c r="L241" s="1061"/>
      <c r="M241" s="574"/>
      <c r="N241" s="631">
        <f t="shared" si="72"/>
        <v>215.2</v>
      </c>
      <c r="O241" s="630">
        <v>0</v>
      </c>
      <c r="P241" s="624">
        <v>215.2</v>
      </c>
      <c r="Q241" s="574"/>
      <c r="R241" s="574"/>
      <c r="S241" s="574"/>
    </row>
    <row r="242" spans="1:19" ht="21.3">
      <c r="A242" s="585"/>
      <c r="B242" s="617" t="s">
        <v>192</v>
      </c>
      <c r="C242" s="1125" t="s">
        <v>193</v>
      </c>
      <c r="D242" s="1126"/>
      <c r="E242" s="624"/>
      <c r="F242" s="625" t="s">
        <v>34</v>
      </c>
      <c r="G242" s="626">
        <v>617</v>
      </c>
      <c r="H242" s="627">
        <f t="shared" si="70"/>
        <v>0</v>
      </c>
      <c r="I242" s="628">
        <v>242</v>
      </c>
      <c r="J242" s="571">
        <f t="shared" si="64"/>
        <v>0</v>
      </c>
      <c r="K242" s="1060">
        <f t="shared" si="63"/>
        <v>0</v>
      </c>
      <c r="L242" s="1061"/>
      <c r="M242" s="574"/>
      <c r="N242" s="631">
        <f t="shared" si="72"/>
        <v>181.74</v>
      </c>
      <c r="O242" s="630">
        <v>0</v>
      </c>
      <c r="P242" s="624">
        <v>181.74</v>
      </c>
      <c r="Q242" s="574"/>
      <c r="R242" s="574"/>
      <c r="S242" s="574"/>
    </row>
    <row r="243" spans="1:19" ht="21.3">
      <c r="A243" s="585"/>
      <c r="B243" s="623" t="s">
        <v>2548</v>
      </c>
      <c r="C243" s="1125" t="s">
        <v>193</v>
      </c>
      <c r="D243" s="1126"/>
      <c r="E243" s="624">
        <f t="shared" si="71"/>
        <v>181.74</v>
      </c>
      <c r="F243" s="625" t="s">
        <v>34</v>
      </c>
      <c r="G243" s="626">
        <v>399</v>
      </c>
      <c r="H243" s="627">
        <f t="shared" si="70"/>
        <v>72514.260000000009</v>
      </c>
      <c r="I243" s="628">
        <v>242</v>
      </c>
      <c r="J243" s="571">
        <f t="shared" si="64"/>
        <v>43981.08</v>
      </c>
      <c r="K243" s="1060">
        <f t="shared" si="63"/>
        <v>116495.34000000001</v>
      </c>
      <c r="L243" s="1061"/>
      <c r="M243" s="574"/>
      <c r="N243" s="631">
        <f t="shared" si="72"/>
        <v>181.74</v>
      </c>
      <c r="O243" s="630">
        <v>0</v>
      </c>
      <c r="P243" s="624">
        <v>181.74</v>
      </c>
      <c r="Q243" s="574"/>
      <c r="R243" s="574"/>
      <c r="S243" s="574"/>
    </row>
    <row r="244" spans="1:19" ht="21.3">
      <c r="A244" s="585"/>
      <c r="B244" s="617" t="s">
        <v>194</v>
      </c>
      <c r="C244" s="1125" t="s">
        <v>195</v>
      </c>
      <c r="D244" s="1126"/>
      <c r="E244" s="624">
        <f t="shared" si="71"/>
        <v>124.26</v>
      </c>
      <c r="F244" s="625" t="s">
        <v>34</v>
      </c>
      <c r="G244" s="626">
        <v>420</v>
      </c>
      <c r="H244" s="627">
        <f t="shared" si="70"/>
        <v>52189.200000000004</v>
      </c>
      <c r="I244" s="628">
        <v>100</v>
      </c>
      <c r="J244" s="571">
        <f t="shared" si="64"/>
        <v>12426</v>
      </c>
      <c r="K244" s="1060">
        <f t="shared" si="63"/>
        <v>64615.200000000004</v>
      </c>
      <c r="L244" s="1061"/>
      <c r="M244" s="574"/>
      <c r="N244" s="631">
        <f t="shared" si="72"/>
        <v>124.26</v>
      </c>
      <c r="O244" s="630">
        <v>0</v>
      </c>
      <c r="P244" s="624">
        <v>124.26</v>
      </c>
      <c r="Q244" s="574"/>
      <c r="R244" s="574"/>
      <c r="S244" s="574"/>
    </row>
    <row r="245" spans="1:19" ht="21.3">
      <c r="A245" s="585"/>
      <c r="B245" s="617" t="s">
        <v>196</v>
      </c>
      <c r="C245" s="1125" t="s">
        <v>197</v>
      </c>
      <c r="D245" s="1126"/>
      <c r="E245" s="624">
        <f t="shared" si="71"/>
        <v>0</v>
      </c>
      <c r="F245" s="625" t="s">
        <v>34</v>
      </c>
      <c r="G245" s="626">
        <v>564</v>
      </c>
      <c r="H245" s="627">
        <f t="shared" si="70"/>
        <v>0</v>
      </c>
      <c r="I245" s="628">
        <v>283</v>
      </c>
      <c r="J245" s="571">
        <f t="shared" si="64"/>
        <v>0</v>
      </c>
      <c r="K245" s="1060">
        <f t="shared" si="63"/>
        <v>0</v>
      </c>
      <c r="L245" s="1061"/>
      <c r="M245" s="574"/>
      <c r="N245" s="631">
        <f t="shared" si="72"/>
        <v>0</v>
      </c>
      <c r="O245" s="630">
        <v>0</v>
      </c>
      <c r="P245" s="624"/>
      <c r="Q245" s="574"/>
      <c r="R245" s="574"/>
      <c r="S245" s="574"/>
    </row>
    <row r="246" spans="1:19" ht="21.3">
      <c r="A246" s="585"/>
      <c r="B246" s="617"/>
      <c r="C246" s="617" t="s">
        <v>198</v>
      </c>
      <c r="D246" s="617"/>
      <c r="E246" s="624">
        <f t="shared" si="71"/>
        <v>0</v>
      </c>
      <c r="F246" s="619"/>
      <c r="G246" s="626"/>
      <c r="H246" s="627">
        <f t="shared" si="70"/>
        <v>0</v>
      </c>
      <c r="I246" s="628"/>
      <c r="J246" s="571">
        <f t="shared" si="64"/>
        <v>0</v>
      </c>
      <c r="K246" s="1060">
        <f t="shared" si="63"/>
        <v>0</v>
      </c>
      <c r="L246" s="1061"/>
      <c r="M246" s="574"/>
      <c r="N246" s="631">
        <f t="shared" si="72"/>
        <v>0</v>
      </c>
      <c r="O246" s="630">
        <v>0</v>
      </c>
      <c r="P246" s="624"/>
      <c r="Q246" s="574"/>
      <c r="R246" s="574"/>
      <c r="S246" s="574"/>
    </row>
    <row r="247" spans="1:19" ht="21.3">
      <c r="A247" s="585"/>
      <c r="B247" s="617" t="s">
        <v>199</v>
      </c>
      <c r="C247" s="617" t="s">
        <v>200</v>
      </c>
      <c r="D247" s="617"/>
      <c r="E247" s="624">
        <f t="shared" si="71"/>
        <v>0</v>
      </c>
      <c r="F247" s="625" t="s">
        <v>34</v>
      </c>
      <c r="G247" s="626">
        <v>3570</v>
      </c>
      <c r="H247" s="627">
        <f t="shared" si="70"/>
        <v>0</v>
      </c>
      <c r="I247" s="628">
        <v>220</v>
      </c>
      <c r="J247" s="571">
        <f t="shared" si="64"/>
        <v>0</v>
      </c>
      <c r="K247" s="1060">
        <f t="shared" si="63"/>
        <v>0</v>
      </c>
      <c r="L247" s="1061"/>
      <c r="M247" s="574"/>
      <c r="N247" s="631">
        <f t="shared" si="72"/>
        <v>0</v>
      </c>
      <c r="O247" s="630">
        <v>0</v>
      </c>
      <c r="P247" s="624"/>
      <c r="Q247" s="574"/>
      <c r="R247" s="574"/>
      <c r="S247" s="574"/>
    </row>
    <row r="248" spans="1:19" ht="21.3">
      <c r="A248" s="585"/>
      <c r="B248" s="617" t="s">
        <v>201</v>
      </c>
      <c r="C248" s="617" t="s">
        <v>202</v>
      </c>
      <c r="D248" s="617"/>
      <c r="E248" s="624">
        <f t="shared" si="71"/>
        <v>17.600000000000001</v>
      </c>
      <c r="F248" s="625" t="s">
        <v>34</v>
      </c>
      <c r="G248" s="626">
        <f>ROUNDUP(2227.6*0.05+5*2.95,0)</f>
        <v>127</v>
      </c>
      <c r="H248" s="627">
        <f t="shared" si="70"/>
        <v>2235.2000000000003</v>
      </c>
      <c r="I248" s="628">
        <v>82</v>
      </c>
      <c r="J248" s="571">
        <f t="shared" si="64"/>
        <v>1443.2</v>
      </c>
      <c r="K248" s="1060">
        <f t="shared" si="63"/>
        <v>3678.4000000000005</v>
      </c>
      <c r="L248" s="1061"/>
      <c r="M248" s="574"/>
      <c r="N248" s="631">
        <f t="shared" si="72"/>
        <v>17.600000000000001</v>
      </c>
      <c r="O248" s="630">
        <v>0</v>
      </c>
      <c r="P248" s="624">
        <v>17.600000000000001</v>
      </c>
      <c r="Q248" s="574"/>
      <c r="R248" s="574"/>
      <c r="S248" s="574"/>
    </row>
    <row r="249" spans="1:19" ht="21.3">
      <c r="A249" s="585"/>
      <c r="B249" s="617" t="s">
        <v>203</v>
      </c>
      <c r="C249" s="1125" t="s">
        <v>204</v>
      </c>
      <c r="D249" s="1126"/>
      <c r="E249" s="624">
        <f t="shared" si="71"/>
        <v>0</v>
      </c>
      <c r="F249" s="625" t="s">
        <v>34</v>
      </c>
      <c r="G249" s="628">
        <v>120</v>
      </c>
      <c r="H249" s="627">
        <f t="shared" ref="H249:H252" si="74">E249*G249</f>
        <v>0</v>
      </c>
      <c r="I249" s="628">
        <v>61</v>
      </c>
      <c r="J249" s="571">
        <f t="shared" si="64"/>
        <v>0</v>
      </c>
      <c r="K249" s="1060">
        <f t="shared" si="63"/>
        <v>0</v>
      </c>
      <c r="L249" s="1061"/>
      <c r="M249" s="574"/>
      <c r="N249" s="631">
        <f t="shared" si="72"/>
        <v>0</v>
      </c>
      <c r="O249" s="630">
        <v>0</v>
      </c>
      <c r="P249" s="624"/>
      <c r="Q249" s="574"/>
      <c r="R249" s="574"/>
      <c r="S249" s="574"/>
    </row>
    <row r="250" spans="1:19" ht="21.3">
      <c r="A250" s="585"/>
      <c r="B250" s="617" t="s">
        <v>205</v>
      </c>
      <c r="C250" s="617" t="s">
        <v>206</v>
      </c>
      <c r="D250" s="617"/>
      <c r="E250" s="624">
        <f t="shared" si="71"/>
        <v>0</v>
      </c>
      <c r="F250" s="625" t="s">
        <v>34</v>
      </c>
      <c r="G250" s="626">
        <v>447</v>
      </c>
      <c r="H250" s="627">
        <f t="shared" si="74"/>
        <v>0</v>
      </c>
      <c r="I250" s="628">
        <v>212</v>
      </c>
      <c r="J250" s="571">
        <f t="shared" si="64"/>
        <v>0</v>
      </c>
      <c r="K250" s="1060">
        <f t="shared" si="63"/>
        <v>0</v>
      </c>
      <c r="L250" s="1061"/>
      <c r="M250" s="574"/>
      <c r="N250" s="631">
        <f t="shared" si="72"/>
        <v>0</v>
      </c>
      <c r="O250" s="630">
        <v>0</v>
      </c>
      <c r="P250" s="624"/>
      <c r="Q250" s="574"/>
      <c r="R250" s="574"/>
      <c r="S250" s="574"/>
    </row>
    <row r="251" spans="1:19" ht="21.3">
      <c r="A251" s="585"/>
      <c r="B251" s="617" t="s">
        <v>207</v>
      </c>
      <c r="C251" s="1125" t="s">
        <v>208</v>
      </c>
      <c r="D251" s="1126"/>
      <c r="E251" s="624">
        <f t="shared" si="71"/>
        <v>0</v>
      </c>
      <c r="F251" s="625" t="s">
        <v>34</v>
      </c>
      <c r="G251" s="628">
        <v>240</v>
      </c>
      <c r="H251" s="627">
        <f t="shared" si="74"/>
        <v>0</v>
      </c>
      <c r="I251" s="628">
        <v>80</v>
      </c>
      <c r="J251" s="571">
        <f t="shared" si="64"/>
        <v>0</v>
      </c>
      <c r="K251" s="1060">
        <f t="shared" si="63"/>
        <v>0</v>
      </c>
      <c r="L251" s="1061"/>
      <c r="M251" s="574"/>
      <c r="N251" s="631">
        <f t="shared" si="72"/>
        <v>0</v>
      </c>
      <c r="O251" s="630">
        <v>0</v>
      </c>
      <c r="P251" s="624"/>
      <c r="Q251" s="574"/>
      <c r="R251" s="574"/>
      <c r="S251" s="574"/>
    </row>
    <row r="252" spans="1:19" ht="21.3">
      <c r="A252" s="585"/>
      <c r="B252" s="617" t="s">
        <v>209</v>
      </c>
      <c r="C252" s="1125" t="s">
        <v>210</v>
      </c>
      <c r="D252" s="1126"/>
      <c r="E252" s="624">
        <f t="shared" si="71"/>
        <v>0</v>
      </c>
      <c r="F252" s="625" t="s">
        <v>34</v>
      </c>
      <c r="G252" s="628">
        <v>230</v>
      </c>
      <c r="H252" s="627">
        <f t="shared" si="74"/>
        <v>0</v>
      </c>
      <c r="I252" s="628">
        <v>0</v>
      </c>
      <c r="J252" s="571">
        <f t="shared" si="64"/>
        <v>0</v>
      </c>
      <c r="K252" s="1060">
        <f t="shared" si="63"/>
        <v>0</v>
      </c>
      <c r="L252" s="1061"/>
      <c r="M252" s="574"/>
      <c r="N252" s="631">
        <f t="shared" si="72"/>
        <v>0</v>
      </c>
      <c r="O252" s="630">
        <v>0</v>
      </c>
      <c r="P252" s="624"/>
      <c r="Q252" s="574"/>
      <c r="R252" s="574"/>
      <c r="S252" s="574"/>
    </row>
    <row r="253" spans="1:19" ht="21.3">
      <c r="A253" s="585"/>
      <c r="B253" s="617" t="s">
        <v>211</v>
      </c>
      <c r="C253" s="1125" t="s">
        <v>212</v>
      </c>
      <c r="D253" s="1126"/>
      <c r="E253" s="624">
        <f t="shared" si="71"/>
        <v>10</v>
      </c>
      <c r="F253" s="625" t="s">
        <v>34</v>
      </c>
      <c r="G253" s="626">
        <v>220</v>
      </c>
      <c r="H253" s="627">
        <f t="shared" ref="H253:H262" si="75">SUM(E253*G253)</f>
        <v>2200</v>
      </c>
      <c r="I253" s="628">
        <v>80</v>
      </c>
      <c r="J253" s="571">
        <f t="shared" si="64"/>
        <v>800</v>
      </c>
      <c r="K253" s="1060">
        <f t="shared" si="63"/>
        <v>3000</v>
      </c>
      <c r="L253" s="1061"/>
      <c r="M253" s="574"/>
      <c r="N253" s="631">
        <f t="shared" si="72"/>
        <v>10</v>
      </c>
      <c r="O253" s="630">
        <v>0</v>
      </c>
      <c r="P253" s="624">
        <v>10</v>
      </c>
      <c r="Q253" s="574"/>
      <c r="R253" s="574"/>
      <c r="S253" s="574"/>
    </row>
    <row r="254" spans="1:19" ht="21.3">
      <c r="A254" s="585"/>
      <c r="B254" s="617" t="s">
        <v>213</v>
      </c>
      <c r="C254" s="1125" t="s">
        <v>214</v>
      </c>
      <c r="D254" s="1126"/>
      <c r="E254" s="624">
        <f t="shared" si="71"/>
        <v>0</v>
      </c>
      <c r="F254" s="625" t="s">
        <v>34</v>
      </c>
      <c r="G254" s="626">
        <v>113</v>
      </c>
      <c r="H254" s="627">
        <f t="shared" si="75"/>
        <v>0</v>
      </c>
      <c r="I254" s="628">
        <v>61</v>
      </c>
      <c r="J254" s="571">
        <f t="shared" si="64"/>
        <v>0</v>
      </c>
      <c r="K254" s="1060">
        <f t="shared" si="63"/>
        <v>0</v>
      </c>
      <c r="L254" s="1061"/>
      <c r="M254" s="574"/>
      <c r="N254" s="631">
        <f t="shared" si="72"/>
        <v>0</v>
      </c>
      <c r="O254" s="630">
        <v>0</v>
      </c>
      <c r="P254" s="624">
        <v>0</v>
      </c>
      <c r="Q254" s="574"/>
      <c r="R254" s="574"/>
      <c r="S254" s="574"/>
    </row>
    <row r="255" spans="1:19" ht="21.3">
      <c r="A255" s="585"/>
      <c r="B255" s="617" t="s">
        <v>215</v>
      </c>
      <c r="C255" s="1125" t="s">
        <v>216</v>
      </c>
      <c r="D255" s="1126"/>
      <c r="E255" s="624">
        <f t="shared" si="71"/>
        <v>0</v>
      </c>
      <c r="F255" s="625" t="s">
        <v>34</v>
      </c>
      <c r="G255" s="626">
        <v>113</v>
      </c>
      <c r="H255" s="627">
        <f t="shared" si="75"/>
        <v>0</v>
      </c>
      <c r="I255" s="628">
        <v>61</v>
      </c>
      <c r="J255" s="571">
        <f t="shared" si="64"/>
        <v>0</v>
      </c>
      <c r="K255" s="1060">
        <f t="shared" si="63"/>
        <v>0</v>
      </c>
      <c r="L255" s="1061"/>
      <c r="M255" s="574"/>
      <c r="N255" s="631">
        <f t="shared" si="72"/>
        <v>0</v>
      </c>
      <c r="O255" s="630">
        <v>0</v>
      </c>
      <c r="P255" s="624">
        <v>0</v>
      </c>
      <c r="Q255" s="574"/>
      <c r="R255" s="574"/>
      <c r="S255" s="574"/>
    </row>
    <row r="256" spans="1:19" ht="21.3">
      <c r="A256" s="585"/>
      <c r="B256" s="617" t="s">
        <v>217</v>
      </c>
      <c r="C256" s="1125" t="s">
        <v>218</v>
      </c>
      <c r="D256" s="1126"/>
      <c r="E256" s="624">
        <f t="shared" si="71"/>
        <v>5254.27</v>
      </c>
      <c r="F256" s="625" t="s">
        <v>34</v>
      </c>
      <c r="G256" s="626">
        <v>113</v>
      </c>
      <c r="H256" s="627">
        <f t="shared" si="75"/>
        <v>593732.51</v>
      </c>
      <c r="I256" s="628">
        <v>61</v>
      </c>
      <c r="J256" s="571">
        <f t="shared" si="64"/>
        <v>320510.47000000003</v>
      </c>
      <c r="K256" s="1060">
        <f t="shared" si="63"/>
        <v>914242.98</v>
      </c>
      <c r="L256" s="1061"/>
      <c r="M256" s="574"/>
      <c r="N256" s="631">
        <f t="shared" si="72"/>
        <v>5254.27</v>
      </c>
      <c r="O256" s="630">
        <v>0</v>
      </c>
      <c r="P256" s="624">
        <v>5254.27</v>
      </c>
      <c r="Q256" s="574"/>
      <c r="R256" s="574"/>
      <c r="S256" s="574"/>
    </row>
    <row r="257" spans="1:24" ht="21.3">
      <c r="A257" s="585"/>
      <c r="B257" s="617" t="s">
        <v>219</v>
      </c>
      <c r="C257" s="1125" t="s">
        <v>220</v>
      </c>
      <c r="D257" s="1126"/>
      <c r="E257" s="624">
        <f t="shared" si="71"/>
        <v>4.5999999999999996</v>
      </c>
      <c r="F257" s="625" t="s">
        <v>34</v>
      </c>
      <c r="G257" s="626">
        <v>113</v>
      </c>
      <c r="H257" s="627">
        <f t="shared" si="75"/>
        <v>519.79999999999995</v>
      </c>
      <c r="I257" s="628">
        <v>61</v>
      </c>
      <c r="J257" s="571">
        <f t="shared" si="64"/>
        <v>280.59999999999997</v>
      </c>
      <c r="K257" s="1060">
        <f t="shared" si="63"/>
        <v>800.39999999999986</v>
      </c>
      <c r="L257" s="1061"/>
      <c r="M257" s="574"/>
      <c r="N257" s="631">
        <f t="shared" si="72"/>
        <v>4.5999999999999996</v>
      </c>
      <c r="O257" s="630">
        <v>0</v>
      </c>
      <c r="P257" s="624">
        <v>4.5999999999999996</v>
      </c>
      <c r="Q257" s="574"/>
      <c r="R257" s="574"/>
      <c r="S257" s="574"/>
    </row>
    <row r="258" spans="1:24" ht="21.3">
      <c r="A258" s="585"/>
      <c r="B258" s="617" t="s">
        <v>221</v>
      </c>
      <c r="C258" s="1125" t="s">
        <v>222</v>
      </c>
      <c r="D258" s="1126"/>
      <c r="E258" s="624">
        <f t="shared" si="71"/>
        <v>30.7</v>
      </c>
      <c r="F258" s="625" t="s">
        <v>34</v>
      </c>
      <c r="G258" s="626">
        <v>583</v>
      </c>
      <c r="H258" s="627">
        <f t="shared" si="75"/>
        <v>17898.099999999999</v>
      </c>
      <c r="I258" s="628">
        <v>298</v>
      </c>
      <c r="J258" s="571">
        <f t="shared" si="64"/>
        <v>9148.6</v>
      </c>
      <c r="K258" s="1060">
        <f t="shared" si="63"/>
        <v>27046.699999999997</v>
      </c>
      <c r="L258" s="1061"/>
      <c r="M258" s="574"/>
      <c r="N258" s="631">
        <f t="shared" si="72"/>
        <v>30.7</v>
      </c>
      <c r="O258" s="630">
        <v>0</v>
      </c>
      <c r="P258" s="624">
        <v>30.7</v>
      </c>
      <c r="Q258" s="574"/>
      <c r="R258" s="574"/>
      <c r="S258" s="574"/>
    </row>
    <row r="259" spans="1:24" ht="21.3">
      <c r="A259" s="585"/>
      <c r="B259" s="617" t="s">
        <v>593</v>
      </c>
      <c r="C259" s="1127" t="s">
        <v>594</v>
      </c>
      <c r="D259" s="1126"/>
      <c r="E259" s="624">
        <f t="shared" si="71"/>
        <v>0</v>
      </c>
      <c r="F259" s="625" t="s">
        <v>34</v>
      </c>
      <c r="G259" s="626">
        <v>533</v>
      </c>
      <c r="H259" s="627">
        <f t="shared" si="75"/>
        <v>0</v>
      </c>
      <c r="I259" s="628">
        <v>130</v>
      </c>
      <c r="J259" s="571">
        <f t="shared" si="64"/>
        <v>0</v>
      </c>
      <c r="K259" s="1060">
        <f t="shared" si="63"/>
        <v>0</v>
      </c>
      <c r="L259" s="1061"/>
      <c r="M259" s="574"/>
      <c r="N259" s="631">
        <f t="shared" si="72"/>
        <v>0</v>
      </c>
      <c r="O259" s="630">
        <v>0</v>
      </c>
      <c r="P259" s="624"/>
      <c r="Q259" s="574"/>
      <c r="R259" s="574"/>
      <c r="S259" s="574"/>
    </row>
    <row r="260" spans="1:24" ht="21.3">
      <c r="A260" s="585"/>
      <c r="B260" s="617" t="s">
        <v>238</v>
      </c>
      <c r="C260" s="1127" t="s">
        <v>595</v>
      </c>
      <c r="D260" s="1126"/>
      <c r="E260" s="624">
        <f t="shared" si="71"/>
        <v>0</v>
      </c>
      <c r="F260" s="625" t="s">
        <v>34</v>
      </c>
      <c r="G260" s="626">
        <v>4810</v>
      </c>
      <c r="H260" s="627">
        <f t="shared" si="75"/>
        <v>0</v>
      </c>
      <c r="I260" s="628">
        <v>1640</v>
      </c>
      <c r="J260" s="571">
        <f t="shared" si="64"/>
        <v>0</v>
      </c>
      <c r="K260" s="1060">
        <f t="shared" si="63"/>
        <v>0</v>
      </c>
      <c r="L260" s="1061"/>
      <c r="M260" s="574"/>
      <c r="N260" s="631">
        <f t="shared" si="72"/>
        <v>0</v>
      </c>
      <c r="O260" s="630">
        <v>0</v>
      </c>
      <c r="P260" s="624"/>
      <c r="Q260" s="574"/>
      <c r="R260" s="574"/>
      <c r="S260" s="574"/>
    </row>
    <row r="261" spans="1:24" ht="21.3">
      <c r="A261" s="585"/>
      <c r="B261" s="617" t="s">
        <v>596</v>
      </c>
      <c r="C261" s="1127" t="s">
        <v>597</v>
      </c>
      <c r="D261" s="1124"/>
      <c r="E261" s="624">
        <f t="shared" si="71"/>
        <v>0</v>
      </c>
      <c r="F261" s="625" t="s">
        <v>34</v>
      </c>
      <c r="G261" s="626">
        <v>253</v>
      </c>
      <c r="H261" s="627">
        <f t="shared" si="75"/>
        <v>0</v>
      </c>
      <c r="I261" s="628">
        <v>50</v>
      </c>
      <c r="J261" s="571">
        <f t="shared" si="64"/>
        <v>0</v>
      </c>
      <c r="K261" s="1060">
        <f t="shared" si="63"/>
        <v>0</v>
      </c>
      <c r="L261" s="1061"/>
      <c r="M261" s="574"/>
      <c r="N261" s="631">
        <f t="shared" si="72"/>
        <v>0</v>
      </c>
      <c r="O261" s="630">
        <v>0</v>
      </c>
      <c r="P261" s="624"/>
      <c r="Q261" s="574"/>
      <c r="R261" s="574"/>
      <c r="S261" s="574"/>
    </row>
    <row r="262" spans="1:24" ht="21.3">
      <c r="A262" s="585"/>
      <c r="B262" s="617" t="s">
        <v>598</v>
      </c>
      <c r="C262" s="1127" t="s">
        <v>599</v>
      </c>
      <c r="D262" s="1124"/>
      <c r="E262" s="624">
        <f t="shared" si="71"/>
        <v>0</v>
      </c>
      <c r="F262" s="625" t="s">
        <v>34</v>
      </c>
      <c r="G262" s="626">
        <v>1964</v>
      </c>
      <c r="H262" s="627">
        <f t="shared" si="75"/>
        <v>0</v>
      </c>
      <c r="I262" s="628">
        <v>220</v>
      </c>
      <c r="J262" s="571">
        <f t="shared" si="64"/>
        <v>0</v>
      </c>
      <c r="K262" s="1060">
        <f t="shared" si="63"/>
        <v>0</v>
      </c>
      <c r="L262" s="1061"/>
      <c r="M262" s="632"/>
      <c r="N262" s="631">
        <f t="shared" si="72"/>
        <v>0</v>
      </c>
      <c r="O262" s="630">
        <v>0</v>
      </c>
      <c r="P262" s="624"/>
      <c r="Q262" s="632"/>
      <c r="R262" s="632"/>
      <c r="S262" s="632"/>
    </row>
    <row r="263" spans="1:24" ht="21.3">
      <c r="A263" s="585"/>
      <c r="B263" s="617"/>
      <c r="C263" s="1127"/>
      <c r="D263" s="1124"/>
      <c r="E263" s="624"/>
      <c r="F263" s="625"/>
      <c r="G263" s="626"/>
      <c r="H263" s="627"/>
      <c r="I263" s="628"/>
      <c r="J263" s="580"/>
      <c r="K263" s="1060"/>
      <c r="L263" s="1061"/>
      <c r="M263" s="632"/>
      <c r="N263" s="631"/>
      <c r="O263" s="630"/>
      <c r="P263" s="624"/>
      <c r="Q263" s="632"/>
      <c r="R263" s="632"/>
      <c r="S263" s="632"/>
    </row>
    <row r="264" spans="1:24" s="574" customFormat="1" ht="24" customHeight="1">
      <c r="A264" s="585"/>
      <c r="B264" s="617"/>
      <c r="C264" s="1128" t="s">
        <v>223</v>
      </c>
      <c r="D264" s="1126"/>
      <c r="E264" s="624"/>
      <c r="F264" s="625"/>
      <c r="G264" s="626"/>
      <c r="H264" s="627">
        <f t="shared" ref="H264:H266" si="76">SUM(E264*G264)</f>
        <v>0</v>
      </c>
      <c r="I264" s="628"/>
      <c r="J264" s="633">
        <f t="shared" ref="J264:J266" si="77">SUM(E264*I264)</f>
        <v>0</v>
      </c>
      <c r="K264" s="626">
        <f t="shared" ref="K264:K266" si="78">SUM(H264+J264)</f>
        <v>0</v>
      </c>
      <c r="L264" s="1063"/>
      <c r="M264" s="634"/>
      <c r="N264" s="635">
        <f t="shared" si="72"/>
        <v>0</v>
      </c>
      <c r="O264" s="636">
        <v>0</v>
      </c>
      <c r="P264" s="637"/>
      <c r="Q264" s="634"/>
      <c r="R264" s="634"/>
      <c r="S264" s="634"/>
      <c r="T264" s="634"/>
      <c r="U264" s="634"/>
      <c r="V264" s="634"/>
      <c r="W264" s="634"/>
      <c r="X264" s="634"/>
    </row>
    <row r="265" spans="1:24" s="574" customFormat="1" ht="24" customHeight="1">
      <c r="A265" s="585"/>
      <c r="B265" s="617" t="s">
        <v>224</v>
      </c>
      <c r="C265" s="1125" t="s">
        <v>225</v>
      </c>
      <c r="D265" s="1124"/>
      <c r="E265" s="624">
        <f t="shared" si="71"/>
        <v>1898.5900000000004</v>
      </c>
      <c r="F265" s="625" t="s">
        <v>226</v>
      </c>
      <c r="G265" s="626">
        <v>200</v>
      </c>
      <c r="H265" s="627">
        <f t="shared" si="76"/>
        <v>379718.00000000006</v>
      </c>
      <c r="I265" s="628">
        <v>45</v>
      </c>
      <c r="J265" s="633">
        <f t="shared" si="77"/>
        <v>85436.550000000017</v>
      </c>
      <c r="K265" s="626">
        <f t="shared" si="78"/>
        <v>465154.55000000005</v>
      </c>
      <c r="L265" s="1064"/>
      <c r="M265" s="634"/>
      <c r="N265" s="635">
        <f t="shared" si="72"/>
        <v>1898.5900000000004</v>
      </c>
      <c r="O265" s="636">
        <v>0</v>
      </c>
      <c r="P265" s="637">
        <v>1898.5900000000004</v>
      </c>
      <c r="Q265" s="634"/>
      <c r="R265" s="634"/>
      <c r="S265" s="634"/>
      <c r="T265" s="634"/>
      <c r="U265" s="634"/>
      <c r="V265" s="634"/>
      <c r="W265" s="634"/>
      <c r="X265" s="634"/>
    </row>
    <row r="266" spans="1:24" s="574" customFormat="1" ht="24" customHeight="1">
      <c r="A266" s="585"/>
      <c r="B266" s="617" t="s">
        <v>227</v>
      </c>
      <c r="C266" s="1125" t="s">
        <v>228</v>
      </c>
      <c r="D266" s="1124"/>
      <c r="E266" s="624">
        <f t="shared" si="71"/>
        <v>371.92000000000007</v>
      </c>
      <c r="F266" s="625" t="s">
        <v>226</v>
      </c>
      <c r="G266" s="626">
        <v>19</v>
      </c>
      <c r="H266" s="627">
        <f t="shared" si="76"/>
        <v>7066.4800000000014</v>
      </c>
      <c r="I266" s="628">
        <v>20</v>
      </c>
      <c r="J266" s="633">
        <f t="shared" si="77"/>
        <v>7438.4000000000015</v>
      </c>
      <c r="K266" s="626">
        <f t="shared" si="78"/>
        <v>14504.880000000003</v>
      </c>
      <c r="L266" s="1064"/>
      <c r="M266" s="634"/>
      <c r="N266" s="635">
        <f t="shared" si="72"/>
        <v>371.92000000000007</v>
      </c>
      <c r="O266" s="636">
        <v>0</v>
      </c>
      <c r="P266" s="637">
        <v>371.92000000000007</v>
      </c>
      <c r="Q266" s="634"/>
      <c r="R266" s="634"/>
      <c r="S266" s="634"/>
      <c r="T266" s="634"/>
      <c r="U266" s="634"/>
      <c r="V266" s="634"/>
      <c r="W266" s="634"/>
      <c r="X266" s="634"/>
    </row>
    <row r="267" spans="1:24" ht="21.3">
      <c r="A267" s="585"/>
      <c r="B267" s="617"/>
      <c r="C267" s="617"/>
      <c r="D267" s="617"/>
      <c r="E267" s="645"/>
      <c r="F267" s="625"/>
      <c r="G267" s="644"/>
      <c r="H267" s="571">
        <f t="shared" si="69"/>
        <v>0</v>
      </c>
      <c r="I267" s="644"/>
      <c r="J267" s="571">
        <f t="shared" si="64"/>
        <v>0</v>
      </c>
      <c r="K267" s="1060">
        <f t="shared" si="63"/>
        <v>0</v>
      </c>
      <c r="L267" s="1065"/>
      <c r="M267" s="574"/>
      <c r="N267" s="646">
        <f t="shared" si="72"/>
        <v>0</v>
      </c>
      <c r="O267" s="647">
        <v>0</v>
      </c>
      <c r="P267" s="645"/>
      <c r="Q267" s="574"/>
      <c r="R267" s="574"/>
      <c r="S267" s="574"/>
    </row>
    <row r="268" spans="1:24">
      <c r="A268" s="585" t="s">
        <v>243</v>
      </c>
      <c r="B268" s="1114" t="s">
        <v>244</v>
      </c>
      <c r="C268" s="639"/>
      <c r="D268" s="1124"/>
      <c r="E268" s="618"/>
      <c r="F268" s="625"/>
      <c r="G268" s="644"/>
      <c r="H268" s="571">
        <f t="shared" si="69"/>
        <v>0</v>
      </c>
      <c r="I268" s="644"/>
      <c r="J268" s="571">
        <f t="shared" si="64"/>
        <v>0</v>
      </c>
      <c r="K268" s="1060">
        <f t="shared" si="63"/>
        <v>0</v>
      </c>
      <c r="L268" s="1065"/>
      <c r="M268" s="574"/>
      <c r="N268" s="621">
        <f t="shared" si="72"/>
        <v>0</v>
      </c>
      <c r="O268" s="622">
        <v>0</v>
      </c>
      <c r="P268" s="618"/>
      <c r="Q268" s="574"/>
      <c r="R268" s="574"/>
      <c r="S268" s="574"/>
    </row>
    <row r="269" spans="1:24" ht="21.3">
      <c r="A269" s="585"/>
      <c r="B269" s="1114"/>
      <c r="C269" s="617" t="s">
        <v>231</v>
      </c>
      <c r="D269" s="1124"/>
      <c r="E269" s="624">
        <f>+E270+E271+E272+E274+E276+E278+E280+E283+E285+E291+E292+E294+E295</f>
        <v>427.64</v>
      </c>
      <c r="F269" s="625" t="s">
        <v>34</v>
      </c>
      <c r="G269" s="626">
        <v>113</v>
      </c>
      <c r="H269" s="627">
        <f t="shared" ref="H269:H281" si="79">SUM(E269*G269)</f>
        <v>48323.32</v>
      </c>
      <c r="I269" s="628">
        <v>61</v>
      </c>
      <c r="J269" s="571">
        <f t="shared" si="64"/>
        <v>26086.04</v>
      </c>
      <c r="K269" s="1060">
        <f t="shared" si="63"/>
        <v>74409.36</v>
      </c>
      <c r="L269" s="1062"/>
      <c r="M269" s="574"/>
      <c r="N269" s="629">
        <f t="shared" si="72"/>
        <v>0</v>
      </c>
      <c r="O269" s="630">
        <v>0</v>
      </c>
      <c r="P269" s="624"/>
      <c r="Q269" s="574"/>
      <c r="R269" s="574"/>
      <c r="S269" s="574"/>
    </row>
    <row r="270" spans="1:24" ht="21.3">
      <c r="A270" s="585"/>
      <c r="B270" s="617" t="s">
        <v>184</v>
      </c>
      <c r="C270" s="617" t="s">
        <v>185</v>
      </c>
      <c r="D270" s="617"/>
      <c r="E270" s="624">
        <f>+N270</f>
        <v>0</v>
      </c>
      <c r="F270" s="625" t="s">
        <v>34</v>
      </c>
      <c r="G270" s="626">
        <v>564</v>
      </c>
      <c r="H270" s="627">
        <f t="shared" si="79"/>
        <v>0</v>
      </c>
      <c r="I270" s="628">
        <v>283</v>
      </c>
      <c r="J270" s="571">
        <f t="shared" si="64"/>
        <v>0</v>
      </c>
      <c r="K270" s="1060">
        <f t="shared" si="63"/>
        <v>0</v>
      </c>
      <c r="L270" s="1061"/>
      <c r="M270" s="574"/>
      <c r="N270" s="631">
        <f t="shared" si="72"/>
        <v>0</v>
      </c>
      <c r="O270" s="630">
        <v>0</v>
      </c>
      <c r="P270" s="624"/>
      <c r="Q270" s="574"/>
      <c r="R270" s="574"/>
      <c r="S270" s="574"/>
    </row>
    <row r="271" spans="1:24" ht="21.3">
      <c r="A271" s="585"/>
      <c r="B271" s="617" t="s">
        <v>186</v>
      </c>
      <c r="C271" s="1125" t="s">
        <v>187</v>
      </c>
      <c r="D271" s="1126"/>
      <c r="E271" s="624">
        <f t="shared" ref="E271:E298" si="80">+N271</f>
        <v>0</v>
      </c>
      <c r="F271" s="625" t="s">
        <v>34</v>
      </c>
      <c r="G271" s="626">
        <v>295</v>
      </c>
      <c r="H271" s="627">
        <f t="shared" si="79"/>
        <v>0</v>
      </c>
      <c r="I271" s="628">
        <v>184</v>
      </c>
      <c r="J271" s="571">
        <f t="shared" si="64"/>
        <v>0</v>
      </c>
      <c r="K271" s="1060">
        <f t="shared" si="63"/>
        <v>0</v>
      </c>
      <c r="L271" s="1061"/>
      <c r="M271" s="574"/>
      <c r="N271" s="631">
        <f t="shared" si="72"/>
        <v>0</v>
      </c>
      <c r="O271" s="630">
        <v>0</v>
      </c>
      <c r="P271" s="624"/>
      <c r="Q271" s="574"/>
      <c r="R271" s="574"/>
      <c r="S271" s="574"/>
    </row>
    <row r="272" spans="1:24" ht="21.3">
      <c r="A272" s="585"/>
      <c r="B272" s="617" t="s">
        <v>188</v>
      </c>
      <c r="C272" s="1125" t="s">
        <v>189</v>
      </c>
      <c r="D272" s="1126"/>
      <c r="E272" s="624">
        <f t="shared" si="80"/>
        <v>0</v>
      </c>
      <c r="F272" s="625" t="s">
        <v>34</v>
      </c>
      <c r="G272" s="626">
        <v>297</v>
      </c>
      <c r="H272" s="627">
        <f t="shared" si="79"/>
        <v>0</v>
      </c>
      <c r="I272" s="628">
        <v>204</v>
      </c>
      <c r="J272" s="571">
        <f t="shared" si="64"/>
        <v>0</v>
      </c>
      <c r="K272" s="1060">
        <f t="shared" si="63"/>
        <v>0</v>
      </c>
      <c r="L272" s="1061"/>
      <c r="M272" s="574"/>
      <c r="N272" s="631">
        <f t="shared" si="72"/>
        <v>0</v>
      </c>
      <c r="O272" s="630">
        <v>0</v>
      </c>
      <c r="P272" s="624">
        <v>0</v>
      </c>
      <c r="Q272" s="574"/>
      <c r="R272" s="574"/>
      <c r="S272" s="574"/>
    </row>
    <row r="273" spans="1:19" ht="21.3">
      <c r="A273" s="585"/>
      <c r="B273" s="617" t="s">
        <v>190</v>
      </c>
      <c r="C273" s="1125" t="s">
        <v>191</v>
      </c>
      <c r="D273" s="1126"/>
      <c r="E273" s="624"/>
      <c r="F273" s="625" t="s">
        <v>34</v>
      </c>
      <c r="G273" s="626">
        <v>609</v>
      </c>
      <c r="H273" s="627">
        <f t="shared" ref="H273" si="81">SUM(E273*G273)</f>
        <v>0</v>
      </c>
      <c r="I273" s="628">
        <v>222</v>
      </c>
      <c r="J273" s="571">
        <f t="shared" si="64"/>
        <v>0</v>
      </c>
      <c r="K273" s="1060">
        <f t="shared" si="63"/>
        <v>0</v>
      </c>
      <c r="L273" s="1061"/>
      <c r="M273" s="574"/>
      <c r="N273" s="631">
        <f t="shared" si="72"/>
        <v>215.2</v>
      </c>
      <c r="O273" s="630">
        <v>0</v>
      </c>
      <c r="P273" s="624">
        <v>215.2</v>
      </c>
      <c r="Q273" s="574"/>
      <c r="R273" s="574"/>
      <c r="S273" s="574"/>
    </row>
    <row r="274" spans="1:19" ht="21.3">
      <c r="A274" s="585"/>
      <c r="B274" s="623" t="s">
        <v>2547</v>
      </c>
      <c r="C274" s="1125" t="s">
        <v>191</v>
      </c>
      <c r="D274" s="1126"/>
      <c r="E274" s="624">
        <f t="shared" si="80"/>
        <v>215.2</v>
      </c>
      <c r="F274" s="625" t="s">
        <v>34</v>
      </c>
      <c r="G274" s="626">
        <v>399</v>
      </c>
      <c r="H274" s="627">
        <f t="shared" si="79"/>
        <v>85864.799999999988</v>
      </c>
      <c r="I274" s="628">
        <v>222</v>
      </c>
      <c r="J274" s="571">
        <f t="shared" si="64"/>
        <v>47774.399999999994</v>
      </c>
      <c r="K274" s="1060">
        <f t="shared" si="63"/>
        <v>133639.19999999998</v>
      </c>
      <c r="L274" s="1061"/>
      <c r="M274" s="574"/>
      <c r="N274" s="631">
        <f t="shared" si="72"/>
        <v>215.2</v>
      </c>
      <c r="O274" s="630">
        <v>0</v>
      </c>
      <c r="P274" s="624">
        <v>215.2</v>
      </c>
      <c r="Q274" s="574"/>
      <c r="R274" s="574"/>
      <c r="S274" s="574"/>
    </row>
    <row r="275" spans="1:19" ht="21.3">
      <c r="A275" s="585"/>
      <c r="B275" s="617" t="s">
        <v>192</v>
      </c>
      <c r="C275" s="1125" t="s">
        <v>193</v>
      </c>
      <c r="D275" s="1126"/>
      <c r="E275" s="624"/>
      <c r="F275" s="625" t="s">
        <v>34</v>
      </c>
      <c r="G275" s="626">
        <v>617</v>
      </c>
      <c r="H275" s="627">
        <f t="shared" ref="H275" si="82">SUM(E275*G275)</f>
        <v>0</v>
      </c>
      <c r="I275" s="628">
        <v>242</v>
      </c>
      <c r="J275" s="571">
        <f t="shared" si="64"/>
        <v>0</v>
      </c>
      <c r="K275" s="1060">
        <f t="shared" si="63"/>
        <v>0</v>
      </c>
      <c r="L275" s="1061"/>
      <c r="M275" s="574"/>
      <c r="N275" s="631">
        <f t="shared" si="72"/>
        <v>181.74</v>
      </c>
      <c r="O275" s="630">
        <v>0</v>
      </c>
      <c r="P275" s="624">
        <v>181.74</v>
      </c>
      <c r="Q275" s="574"/>
      <c r="R275" s="574"/>
      <c r="S275" s="574"/>
    </row>
    <row r="276" spans="1:19" ht="21.3">
      <c r="A276" s="585"/>
      <c r="B276" s="623" t="s">
        <v>2548</v>
      </c>
      <c r="C276" s="1125" t="s">
        <v>193</v>
      </c>
      <c r="D276" s="1126"/>
      <c r="E276" s="624">
        <f t="shared" si="80"/>
        <v>181.74</v>
      </c>
      <c r="F276" s="625" t="s">
        <v>34</v>
      </c>
      <c r="G276" s="626">
        <v>399</v>
      </c>
      <c r="H276" s="627">
        <f t="shared" si="79"/>
        <v>72514.260000000009</v>
      </c>
      <c r="I276" s="628">
        <v>242</v>
      </c>
      <c r="J276" s="571">
        <f t="shared" si="64"/>
        <v>43981.08</v>
      </c>
      <c r="K276" s="1060">
        <f t="shared" si="63"/>
        <v>116495.34000000001</v>
      </c>
      <c r="L276" s="1061"/>
      <c r="M276" s="574"/>
      <c r="N276" s="631">
        <f t="shared" si="72"/>
        <v>181.74</v>
      </c>
      <c r="O276" s="630">
        <v>0</v>
      </c>
      <c r="P276" s="624">
        <v>181.74</v>
      </c>
      <c r="Q276" s="574"/>
      <c r="R276" s="574"/>
      <c r="S276" s="574"/>
    </row>
    <row r="277" spans="1:19" ht="21.3">
      <c r="A277" s="585"/>
      <c r="B277" s="617" t="s">
        <v>194</v>
      </c>
      <c r="C277" s="1125" t="s">
        <v>195</v>
      </c>
      <c r="D277" s="1126"/>
      <c r="E277" s="624">
        <f t="shared" si="80"/>
        <v>124.26</v>
      </c>
      <c r="F277" s="625" t="s">
        <v>34</v>
      </c>
      <c r="G277" s="626">
        <v>420</v>
      </c>
      <c r="H277" s="627">
        <f t="shared" si="79"/>
        <v>52189.200000000004</v>
      </c>
      <c r="I277" s="628">
        <v>100</v>
      </c>
      <c r="J277" s="571">
        <f t="shared" si="64"/>
        <v>12426</v>
      </c>
      <c r="K277" s="1060">
        <f t="shared" si="63"/>
        <v>64615.200000000004</v>
      </c>
      <c r="L277" s="1061"/>
      <c r="M277" s="574"/>
      <c r="N277" s="631">
        <f t="shared" si="72"/>
        <v>124.26</v>
      </c>
      <c r="O277" s="630">
        <v>0</v>
      </c>
      <c r="P277" s="624">
        <v>124.26</v>
      </c>
      <c r="Q277" s="574"/>
      <c r="R277" s="574"/>
      <c r="S277" s="574"/>
    </row>
    <row r="278" spans="1:19" ht="21.3">
      <c r="A278" s="585"/>
      <c r="B278" s="617" t="s">
        <v>196</v>
      </c>
      <c r="C278" s="1125" t="s">
        <v>197</v>
      </c>
      <c r="D278" s="1126"/>
      <c r="E278" s="624">
        <f t="shared" si="80"/>
        <v>0</v>
      </c>
      <c r="F278" s="625" t="s">
        <v>34</v>
      </c>
      <c r="G278" s="626">
        <v>564</v>
      </c>
      <c r="H278" s="627">
        <f t="shared" si="79"/>
        <v>0</v>
      </c>
      <c r="I278" s="628">
        <v>283</v>
      </c>
      <c r="J278" s="571">
        <f t="shared" si="64"/>
        <v>0</v>
      </c>
      <c r="K278" s="1060">
        <f t="shared" si="63"/>
        <v>0</v>
      </c>
      <c r="L278" s="1061"/>
      <c r="M278" s="574"/>
      <c r="N278" s="631">
        <f t="shared" si="72"/>
        <v>0</v>
      </c>
      <c r="O278" s="630">
        <v>0</v>
      </c>
      <c r="P278" s="624"/>
      <c r="Q278" s="574"/>
      <c r="R278" s="574"/>
      <c r="S278" s="574"/>
    </row>
    <row r="279" spans="1:19" ht="21.3">
      <c r="A279" s="585"/>
      <c r="B279" s="617"/>
      <c r="C279" s="617" t="s">
        <v>198</v>
      </c>
      <c r="D279" s="617"/>
      <c r="E279" s="624">
        <f t="shared" si="80"/>
        <v>0</v>
      </c>
      <c r="F279" s="619"/>
      <c r="G279" s="626"/>
      <c r="H279" s="627">
        <f t="shared" si="79"/>
        <v>0</v>
      </c>
      <c r="I279" s="628"/>
      <c r="J279" s="571">
        <f t="shared" si="64"/>
        <v>0</v>
      </c>
      <c r="K279" s="1060">
        <f t="shared" si="63"/>
        <v>0</v>
      </c>
      <c r="L279" s="1061"/>
      <c r="M279" s="574"/>
      <c r="N279" s="631">
        <f t="shared" si="72"/>
        <v>0</v>
      </c>
      <c r="O279" s="630">
        <v>0</v>
      </c>
      <c r="P279" s="624"/>
      <c r="Q279" s="574"/>
      <c r="R279" s="574"/>
      <c r="S279" s="574"/>
    </row>
    <row r="280" spans="1:19" ht="21.3">
      <c r="A280" s="585"/>
      <c r="B280" s="617" t="s">
        <v>199</v>
      </c>
      <c r="C280" s="617" t="s">
        <v>200</v>
      </c>
      <c r="D280" s="617"/>
      <c r="E280" s="624">
        <f t="shared" si="80"/>
        <v>0</v>
      </c>
      <c r="F280" s="625" t="s">
        <v>34</v>
      </c>
      <c r="G280" s="626">
        <v>3570</v>
      </c>
      <c r="H280" s="627">
        <f t="shared" si="79"/>
        <v>0</v>
      </c>
      <c r="I280" s="628">
        <v>220</v>
      </c>
      <c r="J280" s="571">
        <f t="shared" si="64"/>
        <v>0</v>
      </c>
      <c r="K280" s="1060">
        <f t="shared" si="63"/>
        <v>0</v>
      </c>
      <c r="L280" s="1061"/>
      <c r="M280" s="574"/>
      <c r="N280" s="631">
        <f t="shared" si="72"/>
        <v>0</v>
      </c>
      <c r="O280" s="630">
        <v>0</v>
      </c>
      <c r="P280" s="624"/>
      <c r="Q280" s="574"/>
      <c r="R280" s="574"/>
      <c r="S280" s="574"/>
    </row>
    <row r="281" spans="1:19" ht="21.3">
      <c r="A281" s="585"/>
      <c r="B281" s="617" t="s">
        <v>201</v>
      </c>
      <c r="C281" s="617" t="s">
        <v>202</v>
      </c>
      <c r="D281" s="617"/>
      <c r="E281" s="624">
        <f t="shared" si="80"/>
        <v>17.600000000000001</v>
      </c>
      <c r="F281" s="625" t="s">
        <v>34</v>
      </c>
      <c r="G281" s="626">
        <f>ROUNDUP(2227.6*0.05+5*2.95,0)</f>
        <v>127</v>
      </c>
      <c r="H281" s="627">
        <f t="shared" si="79"/>
        <v>2235.2000000000003</v>
      </c>
      <c r="I281" s="628">
        <v>82</v>
      </c>
      <c r="J281" s="571">
        <f t="shared" si="64"/>
        <v>1443.2</v>
      </c>
      <c r="K281" s="1060">
        <f t="shared" si="63"/>
        <v>3678.4000000000005</v>
      </c>
      <c r="L281" s="1061"/>
      <c r="M281" s="574"/>
      <c r="N281" s="631">
        <f t="shared" si="72"/>
        <v>17.600000000000001</v>
      </c>
      <c r="O281" s="630">
        <v>0</v>
      </c>
      <c r="P281" s="624">
        <v>17.600000000000001</v>
      </c>
      <c r="Q281" s="574"/>
      <c r="R281" s="574"/>
      <c r="S281" s="574"/>
    </row>
    <row r="282" spans="1:19" ht="21.3">
      <c r="A282" s="585"/>
      <c r="B282" s="617" t="s">
        <v>203</v>
      </c>
      <c r="C282" s="1125" t="s">
        <v>204</v>
      </c>
      <c r="D282" s="1126"/>
      <c r="E282" s="624">
        <f t="shared" si="80"/>
        <v>0</v>
      </c>
      <c r="F282" s="625" t="s">
        <v>34</v>
      </c>
      <c r="G282" s="628">
        <v>120</v>
      </c>
      <c r="H282" s="627">
        <f t="shared" ref="H282:H285" si="83">E282*G282</f>
        <v>0</v>
      </c>
      <c r="I282" s="628">
        <v>61</v>
      </c>
      <c r="J282" s="571">
        <f t="shared" si="64"/>
        <v>0</v>
      </c>
      <c r="K282" s="1060">
        <f t="shared" si="63"/>
        <v>0</v>
      </c>
      <c r="L282" s="1061"/>
      <c r="M282" s="574"/>
      <c r="N282" s="631">
        <f t="shared" si="72"/>
        <v>0</v>
      </c>
      <c r="O282" s="630">
        <v>0</v>
      </c>
      <c r="P282" s="624"/>
      <c r="Q282" s="574"/>
      <c r="R282" s="574"/>
      <c r="S282" s="574"/>
    </row>
    <row r="283" spans="1:19" ht="21.3">
      <c r="A283" s="585"/>
      <c r="B283" s="617" t="s">
        <v>205</v>
      </c>
      <c r="C283" s="617" t="s">
        <v>206</v>
      </c>
      <c r="D283" s="617"/>
      <c r="E283" s="624">
        <f t="shared" si="80"/>
        <v>0</v>
      </c>
      <c r="F283" s="625" t="s">
        <v>34</v>
      </c>
      <c r="G283" s="626">
        <v>447</v>
      </c>
      <c r="H283" s="627">
        <f t="shared" si="83"/>
        <v>0</v>
      </c>
      <c r="I283" s="628">
        <v>212</v>
      </c>
      <c r="J283" s="571">
        <f t="shared" si="64"/>
        <v>0</v>
      </c>
      <c r="K283" s="1060">
        <f t="shared" si="63"/>
        <v>0</v>
      </c>
      <c r="L283" s="1061"/>
      <c r="M283" s="574"/>
      <c r="N283" s="631">
        <f t="shared" si="72"/>
        <v>0</v>
      </c>
      <c r="O283" s="630">
        <v>0</v>
      </c>
      <c r="P283" s="624"/>
      <c r="Q283" s="574"/>
      <c r="R283" s="574"/>
      <c r="S283" s="574"/>
    </row>
    <row r="284" spans="1:19" ht="21.3">
      <c r="A284" s="585"/>
      <c r="B284" s="617" t="s">
        <v>207</v>
      </c>
      <c r="C284" s="1125" t="s">
        <v>208</v>
      </c>
      <c r="D284" s="1126"/>
      <c r="E284" s="624">
        <f t="shared" si="80"/>
        <v>0</v>
      </c>
      <c r="F284" s="625" t="s">
        <v>34</v>
      </c>
      <c r="G284" s="628">
        <v>240</v>
      </c>
      <c r="H284" s="627">
        <f t="shared" si="83"/>
        <v>0</v>
      </c>
      <c r="I284" s="628">
        <v>80</v>
      </c>
      <c r="J284" s="571">
        <f t="shared" si="64"/>
        <v>0</v>
      </c>
      <c r="K284" s="1060">
        <f t="shared" si="63"/>
        <v>0</v>
      </c>
      <c r="L284" s="1061"/>
      <c r="M284" s="574"/>
      <c r="N284" s="631">
        <f t="shared" si="72"/>
        <v>0</v>
      </c>
      <c r="O284" s="630">
        <v>0</v>
      </c>
      <c r="P284" s="624"/>
      <c r="Q284" s="574"/>
      <c r="R284" s="574"/>
      <c r="S284" s="574"/>
    </row>
    <row r="285" spans="1:19" ht="21.3">
      <c r="A285" s="585"/>
      <c r="B285" s="617" t="s">
        <v>209</v>
      </c>
      <c r="C285" s="1125" t="s">
        <v>210</v>
      </c>
      <c r="D285" s="1126"/>
      <c r="E285" s="624">
        <f t="shared" si="80"/>
        <v>0</v>
      </c>
      <c r="F285" s="625" t="s">
        <v>34</v>
      </c>
      <c r="G285" s="628">
        <v>230</v>
      </c>
      <c r="H285" s="627">
        <f t="shared" si="83"/>
        <v>0</v>
      </c>
      <c r="I285" s="628">
        <v>0</v>
      </c>
      <c r="J285" s="571">
        <f t="shared" si="64"/>
        <v>0</v>
      </c>
      <c r="K285" s="1060">
        <f t="shared" si="63"/>
        <v>0</v>
      </c>
      <c r="L285" s="1061"/>
      <c r="M285" s="574"/>
      <c r="N285" s="631">
        <f t="shared" si="72"/>
        <v>0</v>
      </c>
      <c r="O285" s="630">
        <v>0</v>
      </c>
      <c r="P285" s="624"/>
      <c r="Q285" s="574"/>
      <c r="R285" s="574"/>
      <c r="S285" s="574"/>
    </row>
    <row r="286" spans="1:19" ht="21.3">
      <c r="A286" s="585"/>
      <c r="B286" s="617" t="s">
        <v>211</v>
      </c>
      <c r="C286" s="1125" t="s">
        <v>212</v>
      </c>
      <c r="D286" s="1126"/>
      <c r="E286" s="624">
        <f t="shared" si="80"/>
        <v>10</v>
      </c>
      <c r="F286" s="625" t="s">
        <v>34</v>
      </c>
      <c r="G286" s="626">
        <v>220</v>
      </c>
      <c r="H286" s="627">
        <f t="shared" ref="H286:H295" si="84">SUM(E286*G286)</f>
        <v>2200</v>
      </c>
      <c r="I286" s="628">
        <v>80</v>
      </c>
      <c r="J286" s="571">
        <f t="shared" si="64"/>
        <v>800</v>
      </c>
      <c r="K286" s="1060">
        <f t="shared" si="63"/>
        <v>3000</v>
      </c>
      <c r="L286" s="1061"/>
      <c r="M286" s="574"/>
      <c r="N286" s="631">
        <f t="shared" si="72"/>
        <v>10</v>
      </c>
      <c r="O286" s="630">
        <v>0</v>
      </c>
      <c r="P286" s="624">
        <v>10</v>
      </c>
      <c r="Q286" s="574"/>
      <c r="R286" s="574"/>
      <c r="S286" s="574"/>
    </row>
    <row r="287" spans="1:19" ht="21.3">
      <c r="A287" s="585"/>
      <c r="B287" s="617" t="s">
        <v>213</v>
      </c>
      <c r="C287" s="1125" t="s">
        <v>214</v>
      </c>
      <c r="D287" s="1126"/>
      <c r="E287" s="624">
        <f t="shared" si="80"/>
        <v>0</v>
      </c>
      <c r="F287" s="625" t="s">
        <v>34</v>
      </c>
      <c r="G287" s="626">
        <v>113</v>
      </c>
      <c r="H287" s="627">
        <f t="shared" si="84"/>
        <v>0</v>
      </c>
      <c r="I287" s="628">
        <v>61</v>
      </c>
      <c r="J287" s="571">
        <f t="shared" si="64"/>
        <v>0</v>
      </c>
      <c r="K287" s="1060">
        <f t="shared" si="63"/>
        <v>0</v>
      </c>
      <c r="L287" s="1061"/>
      <c r="M287" s="574"/>
      <c r="N287" s="631">
        <f t="shared" si="72"/>
        <v>0</v>
      </c>
      <c r="O287" s="630">
        <v>0</v>
      </c>
      <c r="P287" s="624">
        <v>0</v>
      </c>
      <c r="Q287" s="574"/>
      <c r="R287" s="574"/>
      <c r="S287" s="574"/>
    </row>
    <row r="288" spans="1:19" ht="21.3">
      <c r="A288" s="585"/>
      <c r="B288" s="617" t="s">
        <v>215</v>
      </c>
      <c r="C288" s="1125" t="s">
        <v>216</v>
      </c>
      <c r="D288" s="1126"/>
      <c r="E288" s="624">
        <f t="shared" si="80"/>
        <v>0</v>
      </c>
      <c r="F288" s="625" t="s">
        <v>34</v>
      </c>
      <c r="G288" s="626">
        <v>113</v>
      </c>
      <c r="H288" s="627">
        <f t="shared" si="84"/>
        <v>0</v>
      </c>
      <c r="I288" s="628">
        <v>61</v>
      </c>
      <c r="J288" s="571">
        <f t="shared" si="64"/>
        <v>0</v>
      </c>
      <c r="K288" s="1060">
        <f t="shared" si="63"/>
        <v>0</v>
      </c>
      <c r="L288" s="1061"/>
      <c r="M288" s="574"/>
      <c r="N288" s="631">
        <f t="shared" si="72"/>
        <v>0</v>
      </c>
      <c r="O288" s="630">
        <v>0</v>
      </c>
      <c r="P288" s="624">
        <v>0</v>
      </c>
      <c r="Q288" s="574"/>
      <c r="R288" s="574"/>
      <c r="S288" s="574"/>
    </row>
    <row r="289" spans="1:24" ht="21.3">
      <c r="A289" s="585"/>
      <c r="B289" s="617" t="s">
        <v>217</v>
      </c>
      <c r="C289" s="1125" t="s">
        <v>218</v>
      </c>
      <c r="D289" s="1126"/>
      <c r="E289" s="624">
        <f t="shared" si="80"/>
        <v>5108.300000000002</v>
      </c>
      <c r="F289" s="625" t="s">
        <v>34</v>
      </c>
      <c r="G289" s="626">
        <v>113</v>
      </c>
      <c r="H289" s="627">
        <f t="shared" si="84"/>
        <v>577237.90000000026</v>
      </c>
      <c r="I289" s="628">
        <v>61</v>
      </c>
      <c r="J289" s="571">
        <f t="shared" si="64"/>
        <v>311606.3000000001</v>
      </c>
      <c r="K289" s="1060">
        <f t="shared" si="63"/>
        <v>888844.20000000042</v>
      </c>
      <c r="L289" s="1061"/>
      <c r="M289" s="574"/>
      <c r="N289" s="631">
        <f t="shared" si="72"/>
        <v>5108.300000000002</v>
      </c>
      <c r="O289" s="630">
        <v>0</v>
      </c>
      <c r="P289" s="624">
        <v>5108.300000000002</v>
      </c>
      <c r="Q289" s="574"/>
      <c r="R289" s="574"/>
      <c r="S289" s="574"/>
    </row>
    <row r="290" spans="1:24" ht="21.3">
      <c r="A290" s="585"/>
      <c r="B290" s="617" t="s">
        <v>219</v>
      </c>
      <c r="C290" s="1125" t="s">
        <v>220</v>
      </c>
      <c r="D290" s="1124"/>
      <c r="E290" s="624">
        <f t="shared" si="80"/>
        <v>160.80000000000007</v>
      </c>
      <c r="F290" s="625" t="s">
        <v>34</v>
      </c>
      <c r="G290" s="626">
        <v>113</v>
      </c>
      <c r="H290" s="627">
        <f t="shared" si="84"/>
        <v>18170.400000000009</v>
      </c>
      <c r="I290" s="628">
        <v>61</v>
      </c>
      <c r="J290" s="571">
        <f t="shared" si="64"/>
        <v>9808.8000000000047</v>
      </c>
      <c r="K290" s="1060">
        <f t="shared" si="63"/>
        <v>27979.200000000012</v>
      </c>
      <c r="L290" s="1061"/>
      <c r="M290" s="574"/>
      <c r="N290" s="631">
        <f t="shared" si="72"/>
        <v>160.80000000000007</v>
      </c>
      <c r="O290" s="630">
        <v>0</v>
      </c>
      <c r="P290" s="624">
        <v>160.80000000000007</v>
      </c>
      <c r="Q290" s="574"/>
      <c r="R290" s="574"/>
      <c r="S290" s="574"/>
    </row>
    <row r="291" spans="1:24" ht="21.3">
      <c r="A291" s="585"/>
      <c r="B291" s="617" t="s">
        <v>221</v>
      </c>
      <c r="C291" s="1125" t="s">
        <v>222</v>
      </c>
      <c r="D291" s="1124"/>
      <c r="E291" s="624">
        <f t="shared" si="80"/>
        <v>30.7</v>
      </c>
      <c r="F291" s="625" t="s">
        <v>34</v>
      </c>
      <c r="G291" s="626">
        <v>583</v>
      </c>
      <c r="H291" s="627">
        <f t="shared" si="84"/>
        <v>17898.099999999999</v>
      </c>
      <c r="I291" s="628">
        <v>298</v>
      </c>
      <c r="J291" s="571">
        <f t="shared" si="64"/>
        <v>9148.6</v>
      </c>
      <c r="K291" s="1060">
        <f t="shared" si="63"/>
        <v>27046.699999999997</v>
      </c>
      <c r="L291" s="1061"/>
      <c r="M291" s="574"/>
      <c r="N291" s="631">
        <f t="shared" si="72"/>
        <v>30.7</v>
      </c>
      <c r="O291" s="630">
        <v>0</v>
      </c>
      <c r="P291" s="624">
        <v>30.7</v>
      </c>
      <c r="Q291" s="574"/>
      <c r="R291" s="574"/>
      <c r="S291" s="574"/>
    </row>
    <row r="292" spans="1:24" ht="21.3">
      <c r="A292" s="585"/>
      <c r="B292" s="617" t="s">
        <v>593</v>
      </c>
      <c r="C292" s="1127" t="s">
        <v>594</v>
      </c>
      <c r="D292" s="1126"/>
      <c r="E292" s="624">
        <f t="shared" si="80"/>
        <v>0</v>
      </c>
      <c r="F292" s="625" t="s">
        <v>34</v>
      </c>
      <c r="G292" s="626">
        <v>533</v>
      </c>
      <c r="H292" s="627">
        <f t="shared" si="84"/>
        <v>0</v>
      </c>
      <c r="I292" s="628">
        <v>130</v>
      </c>
      <c r="J292" s="571">
        <f t="shared" si="64"/>
        <v>0</v>
      </c>
      <c r="K292" s="1060">
        <f t="shared" si="63"/>
        <v>0</v>
      </c>
      <c r="L292" s="1061"/>
      <c r="M292" s="574"/>
      <c r="N292" s="631">
        <f t="shared" si="72"/>
        <v>0</v>
      </c>
      <c r="O292" s="630">
        <v>0</v>
      </c>
      <c r="P292" s="624"/>
      <c r="Q292" s="574"/>
      <c r="R292" s="574"/>
      <c r="S292" s="574"/>
    </row>
    <row r="293" spans="1:24" ht="21.3">
      <c r="A293" s="585"/>
      <c r="B293" s="617" t="s">
        <v>238</v>
      </c>
      <c r="C293" s="1127" t="s">
        <v>595</v>
      </c>
      <c r="D293" s="1126"/>
      <c r="E293" s="624">
        <f t="shared" si="80"/>
        <v>0</v>
      </c>
      <c r="F293" s="625" t="s">
        <v>34</v>
      </c>
      <c r="G293" s="626">
        <v>4810</v>
      </c>
      <c r="H293" s="627">
        <f t="shared" si="84"/>
        <v>0</v>
      </c>
      <c r="I293" s="628">
        <v>1640</v>
      </c>
      <c r="J293" s="571">
        <f t="shared" si="64"/>
        <v>0</v>
      </c>
      <c r="K293" s="1060">
        <f t="shared" si="63"/>
        <v>0</v>
      </c>
      <c r="L293" s="1061"/>
      <c r="M293" s="574"/>
      <c r="N293" s="631">
        <f t="shared" si="72"/>
        <v>0</v>
      </c>
      <c r="O293" s="630">
        <v>0</v>
      </c>
      <c r="P293" s="624"/>
      <c r="Q293" s="574"/>
      <c r="R293" s="574"/>
      <c r="S293" s="574"/>
    </row>
    <row r="294" spans="1:24" ht="21.3">
      <c r="A294" s="585"/>
      <c r="B294" s="617" t="s">
        <v>596</v>
      </c>
      <c r="C294" s="1127" t="s">
        <v>597</v>
      </c>
      <c r="D294" s="1124"/>
      <c r="E294" s="624">
        <f t="shared" si="80"/>
        <v>0</v>
      </c>
      <c r="F294" s="625" t="s">
        <v>34</v>
      </c>
      <c r="G294" s="626">
        <v>253</v>
      </c>
      <c r="H294" s="627">
        <f t="shared" si="84"/>
        <v>0</v>
      </c>
      <c r="I294" s="628">
        <v>50</v>
      </c>
      <c r="J294" s="571">
        <f t="shared" si="64"/>
        <v>0</v>
      </c>
      <c r="K294" s="1060">
        <f t="shared" si="63"/>
        <v>0</v>
      </c>
      <c r="L294" s="1061"/>
      <c r="M294" s="574"/>
      <c r="N294" s="631">
        <f t="shared" si="72"/>
        <v>0</v>
      </c>
      <c r="O294" s="630">
        <v>0</v>
      </c>
      <c r="P294" s="624"/>
      <c r="Q294" s="574"/>
      <c r="R294" s="574"/>
      <c r="S294" s="574"/>
    </row>
    <row r="295" spans="1:24" ht="21.3">
      <c r="A295" s="585"/>
      <c r="B295" s="617" t="s">
        <v>598</v>
      </c>
      <c r="C295" s="1127" t="s">
        <v>599</v>
      </c>
      <c r="D295" s="1124"/>
      <c r="E295" s="624">
        <f t="shared" si="80"/>
        <v>0</v>
      </c>
      <c r="F295" s="625" t="s">
        <v>34</v>
      </c>
      <c r="G295" s="626">
        <v>1964</v>
      </c>
      <c r="H295" s="627">
        <f t="shared" si="84"/>
        <v>0</v>
      </c>
      <c r="I295" s="628">
        <v>220</v>
      </c>
      <c r="J295" s="571">
        <f t="shared" si="64"/>
        <v>0</v>
      </c>
      <c r="K295" s="1060">
        <f t="shared" si="63"/>
        <v>0</v>
      </c>
      <c r="L295" s="1061"/>
      <c r="M295" s="632"/>
      <c r="N295" s="631">
        <f t="shared" si="72"/>
        <v>0</v>
      </c>
      <c r="O295" s="630">
        <v>0</v>
      </c>
      <c r="P295" s="624"/>
      <c r="Q295" s="632"/>
      <c r="R295" s="632"/>
      <c r="S295" s="632"/>
    </row>
    <row r="296" spans="1:24" s="574" customFormat="1" ht="24" customHeight="1">
      <c r="A296" s="585"/>
      <c r="B296" s="617"/>
      <c r="C296" s="1128" t="s">
        <v>223</v>
      </c>
      <c r="D296" s="1126"/>
      <c r="E296" s="624"/>
      <c r="F296" s="625"/>
      <c r="G296" s="626"/>
      <c r="H296" s="627">
        <f t="shared" ref="H296:H298" si="85">SUM(E296*G296)</f>
        <v>0</v>
      </c>
      <c r="I296" s="628"/>
      <c r="J296" s="633">
        <f t="shared" ref="J296:J298" si="86">SUM(E296*I296)</f>
        <v>0</v>
      </c>
      <c r="K296" s="626">
        <f t="shared" ref="K296:K298" si="87">SUM(H296+J296)</f>
        <v>0</v>
      </c>
      <c r="L296" s="1063"/>
      <c r="M296" s="634"/>
      <c r="N296" s="635">
        <f t="shared" si="72"/>
        <v>0</v>
      </c>
      <c r="O296" s="636">
        <v>0</v>
      </c>
      <c r="P296" s="637"/>
      <c r="Q296" s="634"/>
      <c r="R296" s="634"/>
      <c r="S296" s="634"/>
      <c r="T296" s="634"/>
      <c r="U296" s="634"/>
      <c r="V296" s="634"/>
      <c r="W296" s="634"/>
      <c r="X296" s="634"/>
    </row>
    <row r="297" spans="1:24" s="574" customFormat="1" ht="24" customHeight="1">
      <c r="A297" s="585"/>
      <c r="B297" s="617" t="s">
        <v>224</v>
      </c>
      <c r="C297" s="1125" t="s">
        <v>225</v>
      </c>
      <c r="D297" s="1124"/>
      <c r="E297" s="624">
        <f t="shared" si="80"/>
        <v>1495.4</v>
      </c>
      <c r="F297" s="625" t="s">
        <v>226</v>
      </c>
      <c r="G297" s="626">
        <v>200</v>
      </c>
      <c r="H297" s="627">
        <f t="shared" si="85"/>
        <v>299080</v>
      </c>
      <c r="I297" s="628">
        <v>45</v>
      </c>
      <c r="J297" s="633">
        <f t="shared" si="86"/>
        <v>67293</v>
      </c>
      <c r="K297" s="626">
        <f t="shared" si="87"/>
        <v>366373</v>
      </c>
      <c r="L297" s="1064"/>
      <c r="M297" s="634"/>
      <c r="N297" s="635">
        <f t="shared" si="72"/>
        <v>1495.4</v>
      </c>
      <c r="O297" s="636">
        <v>0</v>
      </c>
      <c r="P297" s="637">
        <v>1495.4</v>
      </c>
      <c r="Q297" s="634"/>
      <c r="R297" s="634"/>
      <c r="S297" s="634"/>
      <c r="T297" s="634"/>
      <c r="U297" s="634"/>
      <c r="V297" s="634"/>
      <c r="W297" s="634"/>
      <c r="X297" s="634"/>
    </row>
    <row r="298" spans="1:24" s="574" customFormat="1" ht="24" customHeight="1">
      <c r="A298" s="585"/>
      <c r="B298" s="617" t="s">
        <v>227</v>
      </c>
      <c r="C298" s="1125" t="s">
        <v>228</v>
      </c>
      <c r="D298" s="1124"/>
      <c r="E298" s="624">
        <f t="shared" si="80"/>
        <v>313.41000000000008</v>
      </c>
      <c r="F298" s="625" t="s">
        <v>226</v>
      </c>
      <c r="G298" s="626">
        <v>19</v>
      </c>
      <c r="H298" s="627">
        <f t="shared" si="85"/>
        <v>5954.7900000000018</v>
      </c>
      <c r="I298" s="628">
        <v>20</v>
      </c>
      <c r="J298" s="633">
        <f t="shared" si="86"/>
        <v>6268.2000000000016</v>
      </c>
      <c r="K298" s="626">
        <f t="shared" si="87"/>
        <v>12222.990000000003</v>
      </c>
      <c r="L298" s="1064"/>
      <c r="M298" s="634"/>
      <c r="N298" s="635">
        <f t="shared" si="72"/>
        <v>313.41000000000008</v>
      </c>
      <c r="O298" s="636">
        <v>0</v>
      </c>
      <c r="P298" s="637">
        <v>313.41000000000008</v>
      </c>
      <c r="Q298" s="634"/>
      <c r="R298" s="634"/>
      <c r="S298" s="634"/>
      <c r="T298" s="634"/>
      <c r="U298" s="634"/>
      <c r="V298" s="634"/>
      <c r="W298" s="634"/>
      <c r="X298" s="634"/>
    </row>
    <row r="299" spans="1:24" ht="21.3">
      <c r="A299" s="648"/>
      <c r="B299" s="1131"/>
      <c r="C299" s="649"/>
      <c r="D299" s="649"/>
      <c r="E299" s="618"/>
      <c r="F299" s="625"/>
      <c r="G299" s="650"/>
      <c r="H299" s="571">
        <f t="shared" ref="H299:H364" si="88">+E299*G299</f>
        <v>0</v>
      </c>
      <c r="I299" s="651"/>
      <c r="J299" s="571">
        <f t="shared" si="64"/>
        <v>0</v>
      </c>
      <c r="K299" s="1060">
        <f t="shared" si="63"/>
        <v>0</v>
      </c>
      <c r="L299" s="1065"/>
      <c r="M299" s="574"/>
      <c r="N299" s="652">
        <f t="shared" si="72"/>
        <v>0</v>
      </c>
      <c r="O299" s="622">
        <v>0</v>
      </c>
      <c r="P299" s="618"/>
      <c r="Q299" s="574"/>
      <c r="R299" s="574"/>
      <c r="S299" s="574"/>
    </row>
    <row r="300" spans="1:24">
      <c r="A300" s="585" t="s">
        <v>243</v>
      </c>
      <c r="B300" s="1114" t="s">
        <v>245</v>
      </c>
      <c r="C300" s="639"/>
      <c r="D300" s="1124"/>
      <c r="E300" s="618"/>
      <c r="F300" s="625"/>
      <c r="G300" s="650"/>
      <c r="H300" s="571">
        <f t="shared" si="88"/>
        <v>0</v>
      </c>
      <c r="I300" s="651"/>
      <c r="J300" s="571">
        <f t="shared" si="64"/>
        <v>0</v>
      </c>
      <c r="K300" s="1060">
        <f t="shared" si="63"/>
        <v>0</v>
      </c>
      <c r="L300" s="1065"/>
      <c r="M300" s="574"/>
      <c r="N300" s="621">
        <f t="shared" si="72"/>
        <v>0</v>
      </c>
      <c r="O300" s="622">
        <v>0</v>
      </c>
      <c r="P300" s="618"/>
      <c r="Q300" s="574"/>
      <c r="R300" s="574"/>
      <c r="S300" s="574"/>
    </row>
    <row r="301" spans="1:24" ht="21.3">
      <c r="A301" s="585"/>
      <c r="B301" s="1114"/>
      <c r="C301" s="617" t="s">
        <v>231</v>
      </c>
      <c r="D301" s="1124"/>
      <c r="E301" s="624">
        <f>+E302+E303+E304+E306+E308+E310+E312+E315+E317+E323+E324+E326+E327</f>
        <v>427.64</v>
      </c>
      <c r="F301" s="625" t="s">
        <v>34</v>
      </c>
      <c r="G301" s="626">
        <v>113</v>
      </c>
      <c r="H301" s="627">
        <f t="shared" ref="H301:H313" si="89">SUM(E301*G301)</f>
        <v>48323.32</v>
      </c>
      <c r="I301" s="628">
        <v>61</v>
      </c>
      <c r="J301" s="571">
        <f t="shared" si="64"/>
        <v>26086.04</v>
      </c>
      <c r="K301" s="1060">
        <f t="shared" si="63"/>
        <v>74409.36</v>
      </c>
      <c r="L301" s="1062"/>
      <c r="M301" s="574"/>
      <c r="N301" s="629">
        <f t="shared" si="72"/>
        <v>0</v>
      </c>
      <c r="O301" s="630">
        <v>0</v>
      </c>
      <c r="P301" s="624"/>
      <c r="Q301" s="574"/>
      <c r="R301" s="574"/>
      <c r="S301" s="574"/>
    </row>
    <row r="302" spans="1:24" ht="21.3">
      <c r="A302" s="585"/>
      <c r="B302" s="617" t="s">
        <v>184</v>
      </c>
      <c r="C302" s="617" t="s">
        <v>185</v>
      </c>
      <c r="D302" s="617"/>
      <c r="E302" s="624">
        <f>+N302</f>
        <v>0</v>
      </c>
      <c r="F302" s="625" t="s">
        <v>34</v>
      </c>
      <c r="G302" s="626">
        <v>564</v>
      </c>
      <c r="H302" s="627">
        <f t="shared" si="89"/>
        <v>0</v>
      </c>
      <c r="I302" s="628">
        <v>283</v>
      </c>
      <c r="J302" s="571">
        <f t="shared" si="64"/>
        <v>0</v>
      </c>
      <c r="K302" s="1060">
        <f t="shared" si="63"/>
        <v>0</v>
      </c>
      <c r="L302" s="1061"/>
      <c r="M302" s="574"/>
      <c r="N302" s="631">
        <f t="shared" si="72"/>
        <v>0</v>
      </c>
      <c r="O302" s="630">
        <v>0</v>
      </c>
      <c r="P302" s="624"/>
      <c r="Q302" s="574"/>
      <c r="R302" s="574"/>
      <c r="S302" s="574"/>
    </row>
    <row r="303" spans="1:24" ht="21.3">
      <c r="A303" s="585"/>
      <c r="B303" s="617" t="s">
        <v>186</v>
      </c>
      <c r="C303" s="1125" t="s">
        <v>187</v>
      </c>
      <c r="D303" s="1126"/>
      <c r="E303" s="624">
        <f t="shared" ref="E303:E330" si="90">+N303</f>
        <v>0</v>
      </c>
      <c r="F303" s="625" t="s">
        <v>34</v>
      </c>
      <c r="G303" s="626">
        <v>295</v>
      </c>
      <c r="H303" s="627">
        <f t="shared" si="89"/>
        <v>0</v>
      </c>
      <c r="I303" s="628">
        <v>184</v>
      </c>
      <c r="J303" s="571">
        <f t="shared" si="64"/>
        <v>0</v>
      </c>
      <c r="K303" s="1060">
        <f t="shared" si="63"/>
        <v>0</v>
      </c>
      <c r="L303" s="1061"/>
      <c r="M303" s="574"/>
      <c r="N303" s="631">
        <f t="shared" si="72"/>
        <v>0</v>
      </c>
      <c r="O303" s="630">
        <v>0</v>
      </c>
      <c r="P303" s="624"/>
      <c r="Q303" s="574"/>
      <c r="R303" s="574"/>
      <c r="S303" s="574"/>
    </row>
    <row r="304" spans="1:24" ht="21.3">
      <c r="A304" s="585"/>
      <c r="B304" s="617" t="s">
        <v>188</v>
      </c>
      <c r="C304" s="1125" t="s">
        <v>189</v>
      </c>
      <c r="D304" s="1126"/>
      <c r="E304" s="624">
        <f t="shared" si="90"/>
        <v>0</v>
      </c>
      <c r="F304" s="625" t="s">
        <v>34</v>
      </c>
      <c r="G304" s="626">
        <v>297</v>
      </c>
      <c r="H304" s="627">
        <f t="shared" si="89"/>
        <v>0</v>
      </c>
      <c r="I304" s="628">
        <v>204</v>
      </c>
      <c r="J304" s="571">
        <f t="shared" si="64"/>
        <v>0</v>
      </c>
      <c r="K304" s="1060">
        <f t="shared" si="63"/>
        <v>0</v>
      </c>
      <c r="L304" s="1061"/>
      <c r="M304" s="574"/>
      <c r="N304" s="631">
        <f t="shared" si="72"/>
        <v>0</v>
      </c>
      <c r="O304" s="630">
        <v>0</v>
      </c>
      <c r="P304" s="624">
        <v>0</v>
      </c>
      <c r="Q304" s="574"/>
      <c r="R304" s="574"/>
      <c r="S304" s="574"/>
    </row>
    <row r="305" spans="1:19" ht="21.3">
      <c r="A305" s="585"/>
      <c r="B305" s="617" t="s">
        <v>190</v>
      </c>
      <c r="C305" s="1125" t="s">
        <v>191</v>
      </c>
      <c r="D305" s="1126"/>
      <c r="E305" s="624"/>
      <c r="F305" s="625" t="s">
        <v>34</v>
      </c>
      <c r="G305" s="626">
        <v>609</v>
      </c>
      <c r="H305" s="627">
        <f t="shared" ref="H305" si="91">SUM(E305*G305)</f>
        <v>0</v>
      </c>
      <c r="I305" s="628">
        <v>222</v>
      </c>
      <c r="J305" s="571">
        <f t="shared" si="64"/>
        <v>0</v>
      </c>
      <c r="K305" s="1060">
        <f t="shared" si="63"/>
        <v>0</v>
      </c>
      <c r="L305" s="1061"/>
      <c r="M305" s="574"/>
      <c r="N305" s="631">
        <f t="shared" si="72"/>
        <v>215.2</v>
      </c>
      <c r="O305" s="630">
        <v>0</v>
      </c>
      <c r="P305" s="624">
        <v>215.2</v>
      </c>
      <c r="Q305" s="574"/>
      <c r="R305" s="574"/>
      <c r="S305" s="574"/>
    </row>
    <row r="306" spans="1:19" ht="21.3">
      <c r="A306" s="585"/>
      <c r="B306" s="623" t="s">
        <v>2547</v>
      </c>
      <c r="C306" s="1125" t="s">
        <v>191</v>
      </c>
      <c r="D306" s="1126"/>
      <c r="E306" s="624">
        <f t="shared" si="90"/>
        <v>215.2</v>
      </c>
      <c r="F306" s="625" t="s">
        <v>34</v>
      </c>
      <c r="G306" s="626">
        <v>399</v>
      </c>
      <c r="H306" s="627">
        <f t="shared" si="89"/>
        <v>85864.799999999988</v>
      </c>
      <c r="I306" s="628">
        <v>222</v>
      </c>
      <c r="J306" s="571">
        <f t="shared" si="64"/>
        <v>47774.399999999994</v>
      </c>
      <c r="K306" s="1060">
        <f t="shared" si="63"/>
        <v>133639.19999999998</v>
      </c>
      <c r="L306" s="1061"/>
      <c r="M306" s="574"/>
      <c r="N306" s="631">
        <f t="shared" si="72"/>
        <v>215.2</v>
      </c>
      <c r="O306" s="630">
        <v>0</v>
      </c>
      <c r="P306" s="624">
        <v>215.2</v>
      </c>
      <c r="Q306" s="574"/>
      <c r="R306" s="574"/>
      <c r="S306" s="574"/>
    </row>
    <row r="307" spans="1:19" ht="21.3">
      <c r="A307" s="585"/>
      <c r="B307" s="617" t="s">
        <v>192</v>
      </c>
      <c r="C307" s="1125" t="s">
        <v>193</v>
      </c>
      <c r="D307" s="1126"/>
      <c r="E307" s="624"/>
      <c r="F307" s="625" t="s">
        <v>34</v>
      </c>
      <c r="G307" s="626">
        <v>617</v>
      </c>
      <c r="H307" s="627">
        <f t="shared" ref="H307" si="92">SUM(E307*G307)</f>
        <v>0</v>
      </c>
      <c r="I307" s="628">
        <v>242</v>
      </c>
      <c r="J307" s="571">
        <f t="shared" si="64"/>
        <v>0</v>
      </c>
      <c r="K307" s="1060">
        <f t="shared" si="63"/>
        <v>0</v>
      </c>
      <c r="L307" s="1061"/>
      <c r="M307" s="574"/>
      <c r="N307" s="631">
        <f t="shared" si="72"/>
        <v>181.74</v>
      </c>
      <c r="O307" s="630">
        <v>0</v>
      </c>
      <c r="P307" s="624">
        <v>181.74</v>
      </c>
      <c r="Q307" s="574"/>
      <c r="R307" s="574"/>
      <c r="S307" s="574"/>
    </row>
    <row r="308" spans="1:19" ht="21.3">
      <c r="A308" s="585"/>
      <c r="B308" s="623" t="s">
        <v>2548</v>
      </c>
      <c r="C308" s="1125" t="s">
        <v>193</v>
      </c>
      <c r="D308" s="1126"/>
      <c r="E308" s="624">
        <f t="shared" si="90"/>
        <v>181.74</v>
      </c>
      <c r="F308" s="625" t="s">
        <v>34</v>
      </c>
      <c r="G308" s="626">
        <v>399</v>
      </c>
      <c r="H308" s="627">
        <f t="shared" si="89"/>
        <v>72514.260000000009</v>
      </c>
      <c r="I308" s="628">
        <v>242</v>
      </c>
      <c r="J308" s="571">
        <f t="shared" si="64"/>
        <v>43981.08</v>
      </c>
      <c r="K308" s="1060">
        <f t="shared" si="63"/>
        <v>116495.34000000001</v>
      </c>
      <c r="L308" s="1061"/>
      <c r="M308" s="574"/>
      <c r="N308" s="631">
        <f t="shared" si="72"/>
        <v>181.74</v>
      </c>
      <c r="O308" s="630">
        <v>0</v>
      </c>
      <c r="P308" s="624">
        <v>181.74</v>
      </c>
      <c r="Q308" s="574"/>
      <c r="R308" s="574"/>
      <c r="S308" s="574"/>
    </row>
    <row r="309" spans="1:19" ht="21.3">
      <c r="A309" s="585"/>
      <c r="B309" s="617" t="s">
        <v>194</v>
      </c>
      <c r="C309" s="1125" t="s">
        <v>195</v>
      </c>
      <c r="D309" s="1126"/>
      <c r="E309" s="624">
        <f t="shared" si="90"/>
        <v>124.26</v>
      </c>
      <c r="F309" s="625" t="s">
        <v>34</v>
      </c>
      <c r="G309" s="626">
        <v>420</v>
      </c>
      <c r="H309" s="627">
        <f t="shared" si="89"/>
        <v>52189.200000000004</v>
      </c>
      <c r="I309" s="628">
        <v>100</v>
      </c>
      <c r="J309" s="571">
        <f t="shared" si="64"/>
        <v>12426</v>
      </c>
      <c r="K309" s="1060">
        <f t="shared" si="63"/>
        <v>64615.200000000004</v>
      </c>
      <c r="L309" s="1061"/>
      <c r="M309" s="574"/>
      <c r="N309" s="631">
        <f t="shared" si="72"/>
        <v>124.26</v>
      </c>
      <c r="O309" s="630">
        <v>0</v>
      </c>
      <c r="P309" s="624">
        <v>124.26</v>
      </c>
      <c r="Q309" s="574"/>
      <c r="R309" s="574"/>
      <c r="S309" s="574"/>
    </row>
    <row r="310" spans="1:19" ht="21.3">
      <c r="A310" s="585"/>
      <c r="B310" s="617" t="s">
        <v>196</v>
      </c>
      <c r="C310" s="1125" t="s">
        <v>197</v>
      </c>
      <c r="D310" s="1126"/>
      <c r="E310" s="624">
        <f t="shared" si="90"/>
        <v>0</v>
      </c>
      <c r="F310" s="625" t="s">
        <v>34</v>
      </c>
      <c r="G310" s="626">
        <v>564</v>
      </c>
      <c r="H310" s="627">
        <f t="shared" si="89"/>
        <v>0</v>
      </c>
      <c r="I310" s="628">
        <v>283</v>
      </c>
      <c r="J310" s="571">
        <f t="shared" si="64"/>
        <v>0</v>
      </c>
      <c r="K310" s="1060">
        <f t="shared" si="63"/>
        <v>0</v>
      </c>
      <c r="L310" s="1061"/>
      <c r="M310" s="574"/>
      <c r="N310" s="631">
        <f t="shared" si="72"/>
        <v>0</v>
      </c>
      <c r="O310" s="630">
        <v>0</v>
      </c>
      <c r="P310" s="624"/>
      <c r="Q310" s="574"/>
      <c r="R310" s="574"/>
      <c r="S310" s="574"/>
    </row>
    <row r="311" spans="1:19" ht="21.3">
      <c r="A311" s="585"/>
      <c r="B311" s="617"/>
      <c r="C311" s="617" t="s">
        <v>198</v>
      </c>
      <c r="D311" s="617"/>
      <c r="E311" s="624">
        <f t="shared" si="90"/>
        <v>0</v>
      </c>
      <c r="F311" s="619"/>
      <c r="G311" s="626"/>
      <c r="H311" s="627">
        <f t="shared" si="89"/>
        <v>0</v>
      </c>
      <c r="I311" s="628"/>
      <c r="J311" s="571">
        <f t="shared" si="64"/>
        <v>0</v>
      </c>
      <c r="K311" s="1060">
        <f t="shared" ref="K311:K399" si="93">H311+J311</f>
        <v>0</v>
      </c>
      <c r="L311" s="1061"/>
      <c r="M311" s="574"/>
      <c r="N311" s="631">
        <f t="shared" si="72"/>
        <v>0</v>
      </c>
      <c r="O311" s="630">
        <v>0</v>
      </c>
      <c r="P311" s="624"/>
      <c r="Q311" s="574"/>
      <c r="R311" s="574"/>
      <c r="S311" s="574"/>
    </row>
    <row r="312" spans="1:19" ht="21.3">
      <c r="A312" s="585"/>
      <c r="B312" s="617" t="s">
        <v>199</v>
      </c>
      <c r="C312" s="617" t="s">
        <v>200</v>
      </c>
      <c r="D312" s="617"/>
      <c r="E312" s="624">
        <f t="shared" si="90"/>
        <v>0</v>
      </c>
      <c r="F312" s="625" t="s">
        <v>34</v>
      </c>
      <c r="G312" s="626">
        <v>3570</v>
      </c>
      <c r="H312" s="627">
        <f t="shared" si="89"/>
        <v>0</v>
      </c>
      <c r="I312" s="628">
        <v>220</v>
      </c>
      <c r="J312" s="571">
        <f t="shared" ref="J312:J400" si="94">E312*I312</f>
        <v>0</v>
      </c>
      <c r="K312" s="1060">
        <f t="shared" si="93"/>
        <v>0</v>
      </c>
      <c r="L312" s="1061"/>
      <c r="M312" s="574"/>
      <c r="N312" s="631">
        <f t="shared" si="72"/>
        <v>0</v>
      </c>
      <c r="O312" s="630">
        <v>0</v>
      </c>
      <c r="P312" s="624"/>
      <c r="Q312" s="574"/>
      <c r="R312" s="574"/>
      <c r="S312" s="574"/>
    </row>
    <row r="313" spans="1:19" ht="21.3">
      <c r="A313" s="585"/>
      <c r="B313" s="617" t="s">
        <v>201</v>
      </c>
      <c r="C313" s="617" t="s">
        <v>202</v>
      </c>
      <c r="D313" s="617"/>
      <c r="E313" s="624">
        <f t="shared" si="90"/>
        <v>17.600000000000001</v>
      </c>
      <c r="F313" s="625" t="s">
        <v>34</v>
      </c>
      <c r="G313" s="626">
        <f>ROUNDUP(2227.6*0.05+5*2.95,0)</f>
        <v>127</v>
      </c>
      <c r="H313" s="627">
        <f t="shared" si="89"/>
        <v>2235.2000000000003</v>
      </c>
      <c r="I313" s="628">
        <v>82</v>
      </c>
      <c r="J313" s="571">
        <f t="shared" si="94"/>
        <v>1443.2</v>
      </c>
      <c r="K313" s="1060">
        <f t="shared" si="93"/>
        <v>3678.4000000000005</v>
      </c>
      <c r="L313" s="1061"/>
      <c r="M313" s="574"/>
      <c r="N313" s="631">
        <f t="shared" si="72"/>
        <v>17.600000000000001</v>
      </c>
      <c r="O313" s="630">
        <v>0</v>
      </c>
      <c r="P313" s="624">
        <v>17.600000000000001</v>
      </c>
      <c r="Q313" s="574"/>
      <c r="R313" s="574"/>
      <c r="S313" s="574"/>
    </row>
    <row r="314" spans="1:19" ht="21.3">
      <c r="A314" s="585"/>
      <c r="B314" s="617" t="s">
        <v>203</v>
      </c>
      <c r="C314" s="1125" t="s">
        <v>204</v>
      </c>
      <c r="D314" s="1126"/>
      <c r="E314" s="624">
        <f t="shared" si="90"/>
        <v>0</v>
      </c>
      <c r="F314" s="625" t="s">
        <v>34</v>
      </c>
      <c r="G314" s="628">
        <v>120</v>
      </c>
      <c r="H314" s="627">
        <f t="shared" ref="H314:H317" si="95">E314*G314</f>
        <v>0</v>
      </c>
      <c r="I314" s="628">
        <v>61</v>
      </c>
      <c r="J314" s="571">
        <f t="shared" si="94"/>
        <v>0</v>
      </c>
      <c r="K314" s="1060">
        <f t="shared" si="93"/>
        <v>0</v>
      </c>
      <c r="L314" s="1061"/>
      <c r="M314" s="574"/>
      <c r="N314" s="631">
        <f t="shared" si="72"/>
        <v>0</v>
      </c>
      <c r="O314" s="630">
        <v>0</v>
      </c>
      <c r="P314" s="624"/>
      <c r="Q314" s="574"/>
      <c r="R314" s="574"/>
      <c r="S314" s="574"/>
    </row>
    <row r="315" spans="1:19" ht="21.3">
      <c r="A315" s="585"/>
      <c r="B315" s="617" t="s">
        <v>205</v>
      </c>
      <c r="C315" s="617" t="s">
        <v>206</v>
      </c>
      <c r="D315" s="617"/>
      <c r="E315" s="624">
        <f t="shared" si="90"/>
        <v>0</v>
      </c>
      <c r="F315" s="625" t="s">
        <v>34</v>
      </c>
      <c r="G315" s="626">
        <v>447</v>
      </c>
      <c r="H315" s="627">
        <f t="shared" si="95"/>
        <v>0</v>
      </c>
      <c r="I315" s="628">
        <v>212</v>
      </c>
      <c r="J315" s="571">
        <f t="shared" si="94"/>
        <v>0</v>
      </c>
      <c r="K315" s="1060">
        <f t="shared" si="93"/>
        <v>0</v>
      </c>
      <c r="L315" s="1061"/>
      <c r="M315" s="574"/>
      <c r="N315" s="631">
        <f t="shared" si="72"/>
        <v>0</v>
      </c>
      <c r="O315" s="630">
        <v>0</v>
      </c>
      <c r="P315" s="624"/>
      <c r="Q315" s="574"/>
      <c r="R315" s="574"/>
      <c r="S315" s="574"/>
    </row>
    <row r="316" spans="1:19" ht="21.3">
      <c r="A316" s="585"/>
      <c r="B316" s="617" t="s">
        <v>207</v>
      </c>
      <c r="C316" s="1125" t="s">
        <v>208</v>
      </c>
      <c r="D316" s="1126"/>
      <c r="E316" s="624">
        <f t="shared" si="90"/>
        <v>0</v>
      </c>
      <c r="F316" s="625" t="s">
        <v>34</v>
      </c>
      <c r="G316" s="628">
        <v>240</v>
      </c>
      <c r="H316" s="627">
        <f t="shared" si="95"/>
        <v>0</v>
      </c>
      <c r="I316" s="628">
        <v>80</v>
      </c>
      <c r="J316" s="571">
        <f t="shared" si="94"/>
        <v>0</v>
      </c>
      <c r="K316" s="1060">
        <f t="shared" si="93"/>
        <v>0</v>
      </c>
      <c r="L316" s="1061"/>
      <c r="M316" s="574"/>
      <c r="N316" s="631">
        <f t="shared" si="72"/>
        <v>0</v>
      </c>
      <c r="O316" s="630">
        <v>0</v>
      </c>
      <c r="P316" s="624"/>
      <c r="Q316" s="574"/>
      <c r="R316" s="574"/>
      <c r="S316" s="574"/>
    </row>
    <row r="317" spans="1:19" ht="21.3">
      <c r="A317" s="585"/>
      <c r="B317" s="617" t="s">
        <v>209</v>
      </c>
      <c r="C317" s="1125" t="s">
        <v>210</v>
      </c>
      <c r="D317" s="1126"/>
      <c r="E317" s="624">
        <f t="shared" si="90"/>
        <v>0</v>
      </c>
      <c r="F317" s="625" t="s">
        <v>34</v>
      </c>
      <c r="G317" s="628">
        <v>230</v>
      </c>
      <c r="H317" s="627">
        <f t="shared" si="95"/>
        <v>0</v>
      </c>
      <c r="I317" s="628">
        <v>0</v>
      </c>
      <c r="J317" s="571">
        <f t="shared" si="94"/>
        <v>0</v>
      </c>
      <c r="K317" s="1060">
        <f t="shared" si="93"/>
        <v>0</v>
      </c>
      <c r="L317" s="1061"/>
      <c r="M317" s="574"/>
      <c r="N317" s="631">
        <f t="shared" si="72"/>
        <v>0</v>
      </c>
      <c r="O317" s="630">
        <v>0</v>
      </c>
      <c r="P317" s="624"/>
      <c r="Q317" s="574"/>
      <c r="R317" s="574"/>
      <c r="S317" s="574"/>
    </row>
    <row r="318" spans="1:19" ht="21.3">
      <c r="A318" s="585"/>
      <c r="B318" s="617" t="s">
        <v>211</v>
      </c>
      <c r="C318" s="1125" t="s">
        <v>212</v>
      </c>
      <c r="D318" s="1126"/>
      <c r="E318" s="624">
        <f t="shared" si="90"/>
        <v>10</v>
      </c>
      <c r="F318" s="625" t="s">
        <v>34</v>
      </c>
      <c r="G318" s="626">
        <v>220</v>
      </c>
      <c r="H318" s="627">
        <f t="shared" ref="H318:H327" si="96">SUM(E318*G318)</f>
        <v>2200</v>
      </c>
      <c r="I318" s="628">
        <v>80</v>
      </c>
      <c r="J318" s="571">
        <f t="shared" si="94"/>
        <v>800</v>
      </c>
      <c r="K318" s="1060">
        <f t="shared" si="93"/>
        <v>3000</v>
      </c>
      <c r="L318" s="1061"/>
      <c r="M318" s="574"/>
      <c r="N318" s="631">
        <f t="shared" si="72"/>
        <v>10</v>
      </c>
      <c r="O318" s="630">
        <v>0</v>
      </c>
      <c r="P318" s="624">
        <v>10</v>
      </c>
      <c r="Q318" s="574"/>
      <c r="R318" s="574"/>
      <c r="S318" s="574"/>
    </row>
    <row r="319" spans="1:19" ht="21.3">
      <c r="A319" s="585"/>
      <c r="B319" s="617" t="s">
        <v>213</v>
      </c>
      <c r="C319" s="1125" t="s">
        <v>214</v>
      </c>
      <c r="D319" s="1126"/>
      <c r="E319" s="624">
        <f t="shared" si="90"/>
        <v>0</v>
      </c>
      <c r="F319" s="625" t="s">
        <v>34</v>
      </c>
      <c r="G319" s="626">
        <v>113</v>
      </c>
      <c r="H319" s="627">
        <f t="shared" si="96"/>
        <v>0</v>
      </c>
      <c r="I319" s="628">
        <v>61</v>
      </c>
      <c r="J319" s="571">
        <f t="shared" si="94"/>
        <v>0</v>
      </c>
      <c r="K319" s="1060">
        <f t="shared" si="93"/>
        <v>0</v>
      </c>
      <c r="L319" s="1061"/>
      <c r="M319" s="574"/>
      <c r="N319" s="631">
        <f t="shared" si="72"/>
        <v>0</v>
      </c>
      <c r="O319" s="630">
        <v>0</v>
      </c>
      <c r="P319" s="624">
        <v>0</v>
      </c>
      <c r="Q319" s="574"/>
      <c r="R319" s="574"/>
      <c r="S319" s="574"/>
    </row>
    <row r="320" spans="1:19" ht="21.3">
      <c r="A320" s="585"/>
      <c r="B320" s="617" t="s">
        <v>215</v>
      </c>
      <c r="C320" s="1125" t="s">
        <v>216</v>
      </c>
      <c r="D320" s="1126"/>
      <c r="E320" s="624">
        <f t="shared" si="90"/>
        <v>0</v>
      </c>
      <c r="F320" s="625" t="s">
        <v>34</v>
      </c>
      <c r="G320" s="626">
        <v>113</v>
      </c>
      <c r="H320" s="627">
        <f t="shared" si="96"/>
        <v>0</v>
      </c>
      <c r="I320" s="628">
        <v>61</v>
      </c>
      <c r="J320" s="571">
        <f t="shared" si="94"/>
        <v>0</v>
      </c>
      <c r="K320" s="1060">
        <f t="shared" si="93"/>
        <v>0</v>
      </c>
      <c r="L320" s="1061"/>
      <c r="M320" s="574"/>
      <c r="N320" s="631">
        <f t="shared" si="72"/>
        <v>0</v>
      </c>
      <c r="O320" s="630">
        <v>0</v>
      </c>
      <c r="P320" s="624">
        <v>0</v>
      </c>
      <c r="Q320" s="574"/>
      <c r="R320" s="574"/>
      <c r="S320" s="574"/>
    </row>
    <row r="321" spans="1:24" ht="21.3">
      <c r="A321" s="585"/>
      <c r="B321" s="617" t="s">
        <v>217</v>
      </c>
      <c r="C321" s="1125" t="s">
        <v>218</v>
      </c>
      <c r="D321" s="1126"/>
      <c r="E321" s="624">
        <f t="shared" si="90"/>
        <v>5100.2900000000018</v>
      </c>
      <c r="F321" s="625" t="s">
        <v>34</v>
      </c>
      <c r="G321" s="626">
        <v>113</v>
      </c>
      <c r="H321" s="627">
        <f t="shared" si="96"/>
        <v>576332.77000000025</v>
      </c>
      <c r="I321" s="628">
        <v>61</v>
      </c>
      <c r="J321" s="571">
        <f t="shared" si="94"/>
        <v>311117.69000000012</v>
      </c>
      <c r="K321" s="1060">
        <f t="shared" si="93"/>
        <v>887450.46000000043</v>
      </c>
      <c r="L321" s="1061"/>
      <c r="M321" s="574"/>
      <c r="N321" s="631">
        <f t="shared" si="72"/>
        <v>5100.2900000000018</v>
      </c>
      <c r="O321" s="630">
        <v>0</v>
      </c>
      <c r="P321" s="624">
        <v>5100.2900000000018</v>
      </c>
      <c r="Q321" s="574"/>
      <c r="R321" s="574"/>
      <c r="S321" s="574"/>
    </row>
    <row r="322" spans="1:24" ht="21.3">
      <c r="A322" s="585"/>
      <c r="B322" s="617" t="s">
        <v>219</v>
      </c>
      <c r="C322" s="1125" t="s">
        <v>220</v>
      </c>
      <c r="D322" s="1124"/>
      <c r="E322" s="624">
        <f t="shared" si="90"/>
        <v>160.80000000000007</v>
      </c>
      <c r="F322" s="625" t="s">
        <v>34</v>
      </c>
      <c r="G322" s="626">
        <v>113</v>
      </c>
      <c r="H322" s="627">
        <f t="shared" si="96"/>
        <v>18170.400000000009</v>
      </c>
      <c r="I322" s="628">
        <v>61</v>
      </c>
      <c r="J322" s="571">
        <f t="shared" si="94"/>
        <v>9808.8000000000047</v>
      </c>
      <c r="K322" s="1060">
        <f t="shared" si="93"/>
        <v>27979.200000000012</v>
      </c>
      <c r="L322" s="1061"/>
      <c r="M322" s="574"/>
      <c r="N322" s="631">
        <f t="shared" ref="N322:N398" si="97">+(1+O322)*P322</f>
        <v>160.80000000000007</v>
      </c>
      <c r="O322" s="630">
        <v>0</v>
      </c>
      <c r="P322" s="624">
        <v>160.80000000000007</v>
      </c>
      <c r="Q322" s="574"/>
      <c r="R322" s="574"/>
      <c r="S322" s="574"/>
    </row>
    <row r="323" spans="1:24" ht="21.3">
      <c r="A323" s="585"/>
      <c r="B323" s="617" t="s">
        <v>221</v>
      </c>
      <c r="C323" s="1125" t="s">
        <v>222</v>
      </c>
      <c r="D323" s="1124"/>
      <c r="E323" s="624">
        <f t="shared" si="90"/>
        <v>30.7</v>
      </c>
      <c r="F323" s="625" t="s">
        <v>34</v>
      </c>
      <c r="G323" s="626">
        <v>583</v>
      </c>
      <c r="H323" s="627">
        <f t="shared" si="96"/>
        <v>17898.099999999999</v>
      </c>
      <c r="I323" s="628">
        <v>298</v>
      </c>
      <c r="J323" s="571">
        <f t="shared" si="94"/>
        <v>9148.6</v>
      </c>
      <c r="K323" s="1060">
        <f t="shared" si="93"/>
        <v>27046.699999999997</v>
      </c>
      <c r="L323" s="1061"/>
      <c r="M323" s="574"/>
      <c r="N323" s="631">
        <f t="shared" si="97"/>
        <v>30.7</v>
      </c>
      <c r="O323" s="630">
        <v>0</v>
      </c>
      <c r="P323" s="624">
        <v>30.7</v>
      </c>
      <c r="Q323" s="574"/>
      <c r="R323" s="574"/>
      <c r="S323" s="574"/>
    </row>
    <row r="324" spans="1:24" ht="21.3">
      <c r="A324" s="585"/>
      <c r="B324" s="617" t="s">
        <v>593</v>
      </c>
      <c r="C324" s="1127" t="s">
        <v>594</v>
      </c>
      <c r="D324" s="1126"/>
      <c r="E324" s="624">
        <f t="shared" si="90"/>
        <v>0</v>
      </c>
      <c r="F324" s="625" t="s">
        <v>34</v>
      </c>
      <c r="G324" s="626">
        <v>533</v>
      </c>
      <c r="H324" s="627">
        <f t="shared" si="96"/>
        <v>0</v>
      </c>
      <c r="I324" s="628">
        <v>130</v>
      </c>
      <c r="J324" s="571">
        <f t="shared" si="94"/>
        <v>0</v>
      </c>
      <c r="K324" s="1060">
        <f t="shared" si="93"/>
        <v>0</v>
      </c>
      <c r="L324" s="1061"/>
      <c r="M324" s="574"/>
      <c r="N324" s="631">
        <f t="shared" si="97"/>
        <v>0</v>
      </c>
      <c r="O324" s="630">
        <v>0</v>
      </c>
      <c r="P324" s="624"/>
      <c r="Q324" s="574"/>
      <c r="R324" s="574"/>
      <c r="S324" s="574"/>
    </row>
    <row r="325" spans="1:24" ht="21.3">
      <c r="A325" s="585"/>
      <c r="B325" s="617" t="s">
        <v>238</v>
      </c>
      <c r="C325" s="1127" t="s">
        <v>595</v>
      </c>
      <c r="D325" s="1126"/>
      <c r="E325" s="624">
        <f t="shared" si="90"/>
        <v>0</v>
      </c>
      <c r="F325" s="625" t="s">
        <v>34</v>
      </c>
      <c r="G325" s="626">
        <v>4810</v>
      </c>
      <c r="H325" s="627">
        <f t="shared" si="96"/>
        <v>0</v>
      </c>
      <c r="I325" s="628">
        <v>1640</v>
      </c>
      <c r="J325" s="571">
        <f t="shared" si="94"/>
        <v>0</v>
      </c>
      <c r="K325" s="1060">
        <f t="shared" si="93"/>
        <v>0</v>
      </c>
      <c r="L325" s="1061"/>
      <c r="M325" s="574"/>
      <c r="N325" s="631">
        <f t="shared" si="97"/>
        <v>0</v>
      </c>
      <c r="O325" s="630">
        <v>0</v>
      </c>
      <c r="P325" s="624"/>
      <c r="Q325" s="574"/>
      <c r="R325" s="574"/>
      <c r="S325" s="574"/>
    </row>
    <row r="326" spans="1:24" ht="21.3">
      <c r="A326" s="585"/>
      <c r="B326" s="617" t="s">
        <v>596</v>
      </c>
      <c r="C326" s="1127" t="s">
        <v>597</v>
      </c>
      <c r="D326" s="1124"/>
      <c r="E326" s="624">
        <f t="shared" si="90"/>
        <v>0</v>
      </c>
      <c r="F326" s="625" t="s">
        <v>34</v>
      </c>
      <c r="G326" s="626">
        <v>253</v>
      </c>
      <c r="H326" s="627">
        <f t="shared" si="96"/>
        <v>0</v>
      </c>
      <c r="I326" s="628">
        <v>50</v>
      </c>
      <c r="J326" s="571">
        <f t="shared" si="94"/>
        <v>0</v>
      </c>
      <c r="K326" s="1060">
        <f t="shared" si="93"/>
        <v>0</v>
      </c>
      <c r="L326" s="1061"/>
      <c r="M326" s="574"/>
      <c r="N326" s="631">
        <f t="shared" si="97"/>
        <v>0</v>
      </c>
      <c r="O326" s="630">
        <v>0</v>
      </c>
      <c r="P326" s="624"/>
      <c r="Q326" s="574"/>
      <c r="R326" s="574"/>
      <c r="S326" s="574"/>
    </row>
    <row r="327" spans="1:24" ht="21.3">
      <c r="A327" s="585"/>
      <c r="B327" s="617" t="s">
        <v>598</v>
      </c>
      <c r="C327" s="1127" t="s">
        <v>599</v>
      </c>
      <c r="D327" s="1124"/>
      <c r="E327" s="624">
        <f t="shared" si="90"/>
        <v>0</v>
      </c>
      <c r="F327" s="625" t="s">
        <v>34</v>
      </c>
      <c r="G327" s="626">
        <v>1964</v>
      </c>
      <c r="H327" s="627">
        <f t="shared" si="96"/>
        <v>0</v>
      </c>
      <c r="I327" s="628">
        <v>220</v>
      </c>
      <c r="J327" s="571">
        <f t="shared" si="94"/>
        <v>0</v>
      </c>
      <c r="K327" s="1060">
        <f t="shared" si="93"/>
        <v>0</v>
      </c>
      <c r="L327" s="1061"/>
      <c r="M327" s="632"/>
      <c r="N327" s="631">
        <f t="shared" si="97"/>
        <v>0</v>
      </c>
      <c r="O327" s="630">
        <v>0</v>
      </c>
      <c r="P327" s="624"/>
      <c r="Q327" s="632"/>
      <c r="R327" s="632"/>
      <c r="S327" s="632"/>
    </row>
    <row r="328" spans="1:24" s="574" customFormat="1" ht="24" customHeight="1">
      <c r="A328" s="585"/>
      <c r="B328" s="617"/>
      <c r="C328" s="1128" t="s">
        <v>223</v>
      </c>
      <c r="D328" s="1126"/>
      <c r="E328" s="624"/>
      <c r="F328" s="625"/>
      <c r="G328" s="626"/>
      <c r="H328" s="627">
        <f t="shared" ref="H328:H330" si="98">SUM(E328*G328)</f>
        <v>0</v>
      </c>
      <c r="I328" s="628"/>
      <c r="J328" s="633">
        <f t="shared" ref="J328:J330" si="99">SUM(E328*I328)</f>
        <v>0</v>
      </c>
      <c r="K328" s="626">
        <f t="shared" ref="K328:K330" si="100">SUM(H328+J328)</f>
        <v>0</v>
      </c>
      <c r="L328" s="1063"/>
      <c r="M328" s="634"/>
      <c r="N328" s="635">
        <f t="shared" si="97"/>
        <v>0</v>
      </c>
      <c r="O328" s="636">
        <v>0</v>
      </c>
      <c r="P328" s="637"/>
      <c r="Q328" s="634"/>
      <c r="R328" s="634"/>
      <c r="S328" s="634"/>
      <c r="T328" s="634"/>
      <c r="U328" s="634"/>
      <c r="V328" s="634"/>
      <c r="W328" s="634"/>
      <c r="X328" s="634"/>
    </row>
    <row r="329" spans="1:24" s="574" customFormat="1" ht="24" customHeight="1">
      <c r="A329" s="585"/>
      <c r="B329" s="617" t="s">
        <v>224</v>
      </c>
      <c r="C329" s="1125" t="s">
        <v>225</v>
      </c>
      <c r="D329" s="1124"/>
      <c r="E329" s="624">
        <f t="shared" si="90"/>
        <v>1544.5500000000002</v>
      </c>
      <c r="F329" s="625" t="s">
        <v>226</v>
      </c>
      <c r="G329" s="626">
        <v>200</v>
      </c>
      <c r="H329" s="627">
        <f t="shared" si="98"/>
        <v>308910.00000000006</v>
      </c>
      <c r="I329" s="628">
        <v>45</v>
      </c>
      <c r="J329" s="633">
        <f t="shared" si="99"/>
        <v>69504.750000000015</v>
      </c>
      <c r="K329" s="626">
        <f t="shared" si="100"/>
        <v>378414.75000000006</v>
      </c>
      <c r="L329" s="1064"/>
      <c r="M329" s="634"/>
      <c r="N329" s="635">
        <f t="shared" si="97"/>
        <v>1544.5500000000002</v>
      </c>
      <c r="O329" s="636">
        <v>0</v>
      </c>
      <c r="P329" s="637">
        <v>1544.5500000000002</v>
      </c>
      <c r="Q329" s="634"/>
      <c r="R329" s="634"/>
      <c r="S329" s="634"/>
      <c r="T329" s="634"/>
      <c r="U329" s="634"/>
      <c r="V329" s="634"/>
      <c r="W329" s="634"/>
      <c r="X329" s="634"/>
    </row>
    <row r="330" spans="1:24" s="574" customFormat="1" ht="24" customHeight="1">
      <c r="A330" s="585"/>
      <c r="B330" s="617" t="s">
        <v>227</v>
      </c>
      <c r="C330" s="1125" t="s">
        <v>228</v>
      </c>
      <c r="D330" s="1124"/>
      <c r="E330" s="624">
        <f t="shared" si="90"/>
        <v>283.20999999999998</v>
      </c>
      <c r="F330" s="625" t="s">
        <v>226</v>
      </c>
      <c r="G330" s="626">
        <v>19</v>
      </c>
      <c r="H330" s="627">
        <f t="shared" si="98"/>
        <v>5380.99</v>
      </c>
      <c r="I330" s="628">
        <v>20</v>
      </c>
      <c r="J330" s="633">
        <f t="shared" si="99"/>
        <v>5664.2</v>
      </c>
      <c r="K330" s="626">
        <f t="shared" si="100"/>
        <v>11045.189999999999</v>
      </c>
      <c r="L330" s="1064"/>
      <c r="M330" s="634"/>
      <c r="N330" s="635">
        <f t="shared" si="97"/>
        <v>283.20999999999998</v>
      </c>
      <c r="O330" s="636">
        <v>0</v>
      </c>
      <c r="P330" s="637">
        <v>283.20999999999998</v>
      </c>
      <c r="Q330" s="634"/>
      <c r="R330" s="634"/>
      <c r="S330" s="634"/>
      <c r="T330" s="634"/>
      <c r="U330" s="634"/>
      <c r="V330" s="634"/>
      <c r="W330" s="634"/>
      <c r="X330" s="634"/>
    </row>
    <row r="331" spans="1:24" ht="21.3">
      <c r="A331" s="648"/>
      <c r="B331" s="649"/>
      <c r="C331" s="649"/>
      <c r="D331" s="649"/>
      <c r="E331" s="618"/>
      <c r="F331" s="625"/>
      <c r="G331" s="650"/>
      <c r="H331" s="571">
        <f t="shared" si="88"/>
        <v>0</v>
      </c>
      <c r="I331" s="651"/>
      <c r="J331" s="571">
        <f t="shared" si="94"/>
        <v>0</v>
      </c>
      <c r="K331" s="1060">
        <f t="shared" si="93"/>
        <v>0</v>
      </c>
      <c r="L331" s="1065"/>
      <c r="M331" s="574"/>
      <c r="N331" s="652">
        <f t="shared" si="97"/>
        <v>0</v>
      </c>
      <c r="O331" s="622">
        <v>0</v>
      </c>
      <c r="P331" s="618"/>
      <c r="Q331" s="574"/>
      <c r="R331" s="574"/>
      <c r="S331" s="574"/>
    </row>
    <row r="332" spans="1:24">
      <c r="A332" s="585" t="s">
        <v>246</v>
      </c>
      <c r="B332" s="1114" t="s">
        <v>247</v>
      </c>
      <c r="C332" s="639"/>
      <c r="D332" s="649"/>
      <c r="E332" s="618"/>
      <c r="F332" s="625"/>
      <c r="G332" s="650"/>
      <c r="H332" s="571">
        <f t="shared" si="88"/>
        <v>0</v>
      </c>
      <c r="I332" s="651"/>
      <c r="J332" s="571">
        <f t="shared" si="94"/>
        <v>0</v>
      </c>
      <c r="K332" s="1060">
        <f t="shared" si="93"/>
        <v>0</v>
      </c>
      <c r="L332" s="1065"/>
      <c r="M332" s="574"/>
      <c r="N332" s="621">
        <f t="shared" si="97"/>
        <v>0</v>
      </c>
      <c r="O332" s="622">
        <v>0</v>
      </c>
      <c r="P332" s="618"/>
      <c r="Q332" s="574"/>
      <c r="R332" s="574"/>
      <c r="S332" s="574"/>
    </row>
    <row r="333" spans="1:24" ht="21.3">
      <c r="A333" s="585"/>
      <c r="B333" s="1114"/>
      <c r="C333" s="617" t="s">
        <v>231</v>
      </c>
      <c r="D333" s="1124"/>
      <c r="E333" s="624">
        <f>+E334+E335+E336+E338+E340+E342+E344+E347+E349+E355+E356+E358+E359</f>
        <v>427.64</v>
      </c>
      <c r="F333" s="625" t="s">
        <v>34</v>
      </c>
      <c r="G333" s="626">
        <v>113</v>
      </c>
      <c r="H333" s="627">
        <f t="shared" ref="H333:H345" si="101">SUM(E333*G333)</f>
        <v>48323.32</v>
      </c>
      <c r="I333" s="628">
        <v>61</v>
      </c>
      <c r="J333" s="571">
        <f t="shared" si="94"/>
        <v>26086.04</v>
      </c>
      <c r="K333" s="1060">
        <f t="shared" si="93"/>
        <v>74409.36</v>
      </c>
      <c r="L333" s="1062"/>
      <c r="M333" s="574"/>
      <c r="N333" s="629">
        <f t="shared" si="97"/>
        <v>0</v>
      </c>
      <c r="O333" s="630">
        <v>0</v>
      </c>
      <c r="P333" s="624"/>
      <c r="Q333" s="574"/>
      <c r="R333" s="574"/>
      <c r="S333" s="574"/>
    </row>
    <row r="334" spans="1:24" ht="21.3">
      <c r="A334" s="585"/>
      <c r="B334" s="617" t="s">
        <v>184</v>
      </c>
      <c r="C334" s="617" t="s">
        <v>185</v>
      </c>
      <c r="D334" s="617"/>
      <c r="E334" s="624">
        <f>+N334</f>
        <v>0</v>
      </c>
      <c r="F334" s="625" t="s">
        <v>34</v>
      </c>
      <c r="G334" s="626">
        <v>564</v>
      </c>
      <c r="H334" s="627">
        <f t="shared" si="101"/>
        <v>0</v>
      </c>
      <c r="I334" s="628">
        <v>283</v>
      </c>
      <c r="J334" s="571">
        <f t="shared" si="94"/>
        <v>0</v>
      </c>
      <c r="K334" s="1060">
        <f t="shared" si="93"/>
        <v>0</v>
      </c>
      <c r="L334" s="1061"/>
      <c r="M334" s="574"/>
      <c r="N334" s="631">
        <f t="shared" si="97"/>
        <v>0</v>
      </c>
      <c r="O334" s="630">
        <v>0</v>
      </c>
      <c r="P334" s="624"/>
      <c r="Q334" s="574"/>
      <c r="R334" s="574"/>
      <c r="S334" s="574"/>
    </row>
    <row r="335" spans="1:24" ht="21.3">
      <c r="A335" s="585"/>
      <c r="B335" s="617" t="s">
        <v>186</v>
      </c>
      <c r="C335" s="1125" t="s">
        <v>187</v>
      </c>
      <c r="D335" s="1126"/>
      <c r="E335" s="624">
        <f t="shared" ref="E335:E362" si="102">+N335</f>
        <v>0</v>
      </c>
      <c r="F335" s="625" t="s">
        <v>34</v>
      </c>
      <c r="G335" s="626">
        <v>295</v>
      </c>
      <c r="H335" s="627">
        <f t="shared" si="101"/>
        <v>0</v>
      </c>
      <c r="I335" s="628">
        <v>184</v>
      </c>
      <c r="J335" s="571">
        <f t="shared" si="94"/>
        <v>0</v>
      </c>
      <c r="K335" s="1060">
        <f t="shared" si="93"/>
        <v>0</v>
      </c>
      <c r="L335" s="1061"/>
      <c r="M335" s="574"/>
      <c r="N335" s="631">
        <f t="shared" si="97"/>
        <v>0</v>
      </c>
      <c r="O335" s="630">
        <v>0</v>
      </c>
      <c r="P335" s="624"/>
      <c r="Q335" s="574"/>
      <c r="R335" s="574"/>
      <c r="S335" s="574"/>
    </row>
    <row r="336" spans="1:24" ht="21.3">
      <c r="A336" s="585"/>
      <c r="B336" s="617" t="s">
        <v>188</v>
      </c>
      <c r="C336" s="1125" t="s">
        <v>189</v>
      </c>
      <c r="D336" s="1126"/>
      <c r="E336" s="624">
        <f t="shared" si="102"/>
        <v>0</v>
      </c>
      <c r="F336" s="625" t="s">
        <v>34</v>
      </c>
      <c r="G336" s="626">
        <v>297</v>
      </c>
      <c r="H336" s="627">
        <f t="shared" si="101"/>
        <v>0</v>
      </c>
      <c r="I336" s="628">
        <v>204</v>
      </c>
      <c r="J336" s="571">
        <f t="shared" si="94"/>
        <v>0</v>
      </c>
      <c r="K336" s="1060">
        <f t="shared" si="93"/>
        <v>0</v>
      </c>
      <c r="L336" s="1061"/>
      <c r="M336" s="574"/>
      <c r="N336" s="631">
        <f t="shared" si="97"/>
        <v>0</v>
      </c>
      <c r="O336" s="630">
        <v>0</v>
      </c>
      <c r="P336" s="624">
        <v>0</v>
      </c>
      <c r="Q336" s="574"/>
      <c r="R336" s="574"/>
      <c r="S336" s="574"/>
    </row>
    <row r="337" spans="1:19" ht="21.3">
      <c r="A337" s="585"/>
      <c r="B337" s="617" t="s">
        <v>190</v>
      </c>
      <c r="C337" s="1125" t="s">
        <v>191</v>
      </c>
      <c r="D337" s="1126"/>
      <c r="E337" s="624"/>
      <c r="F337" s="625" t="s">
        <v>34</v>
      </c>
      <c r="G337" s="626">
        <v>609</v>
      </c>
      <c r="H337" s="627">
        <f t="shared" ref="H337" si="103">SUM(E337*G337)</f>
        <v>0</v>
      </c>
      <c r="I337" s="628">
        <v>222</v>
      </c>
      <c r="J337" s="571">
        <f t="shared" si="94"/>
        <v>0</v>
      </c>
      <c r="K337" s="1060">
        <f t="shared" si="93"/>
        <v>0</v>
      </c>
      <c r="L337" s="1061"/>
      <c r="M337" s="574"/>
      <c r="N337" s="631">
        <f t="shared" si="97"/>
        <v>215.2</v>
      </c>
      <c r="O337" s="630">
        <v>0</v>
      </c>
      <c r="P337" s="624">
        <v>215.2</v>
      </c>
      <c r="Q337" s="574"/>
      <c r="R337" s="574"/>
      <c r="S337" s="574"/>
    </row>
    <row r="338" spans="1:19" ht="21.3">
      <c r="A338" s="585"/>
      <c r="B338" s="623" t="s">
        <v>2547</v>
      </c>
      <c r="C338" s="1125" t="s">
        <v>191</v>
      </c>
      <c r="D338" s="1126"/>
      <c r="E338" s="624">
        <f t="shared" si="102"/>
        <v>215.2</v>
      </c>
      <c r="F338" s="625" t="s">
        <v>34</v>
      </c>
      <c r="G338" s="626">
        <v>399</v>
      </c>
      <c r="H338" s="627">
        <f t="shared" si="101"/>
        <v>85864.799999999988</v>
      </c>
      <c r="I338" s="628">
        <v>222</v>
      </c>
      <c r="J338" s="571">
        <f t="shared" si="94"/>
        <v>47774.399999999994</v>
      </c>
      <c r="K338" s="1060">
        <f t="shared" si="93"/>
        <v>133639.19999999998</v>
      </c>
      <c r="L338" s="1061"/>
      <c r="M338" s="574"/>
      <c r="N338" s="631">
        <f t="shared" si="97"/>
        <v>215.2</v>
      </c>
      <c r="O338" s="630">
        <v>0</v>
      </c>
      <c r="P338" s="624">
        <v>215.2</v>
      </c>
      <c r="Q338" s="574"/>
      <c r="R338" s="574"/>
      <c r="S338" s="574"/>
    </row>
    <row r="339" spans="1:19" ht="21.3">
      <c r="A339" s="585"/>
      <c r="B339" s="617" t="s">
        <v>192</v>
      </c>
      <c r="C339" s="1125" t="s">
        <v>193</v>
      </c>
      <c r="D339" s="1126"/>
      <c r="E339" s="624"/>
      <c r="F339" s="625" t="s">
        <v>34</v>
      </c>
      <c r="G339" s="626">
        <v>617</v>
      </c>
      <c r="H339" s="627">
        <f t="shared" ref="H339" si="104">SUM(E339*G339)</f>
        <v>0</v>
      </c>
      <c r="I339" s="628">
        <v>242</v>
      </c>
      <c r="J339" s="571">
        <f t="shared" si="94"/>
        <v>0</v>
      </c>
      <c r="K339" s="1060">
        <f t="shared" si="93"/>
        <v>0</v>
      </c>
      <c r="L339" s="1061"/>
      <c r="M339" s="574"/>
      <c r="N339" s="631">
        <f t="shared" si="97"/>
        <v>181.74</v>
      </c>
      <c r="O339" s="630">
        <v>0</v>
      </c>
      <c r="P339" s="624">
        <v>181.74</v>
      </c>
      <c r="Q339" s="574"/>
      <c r="R339" s="574"/>
      <c r="S339" s="574"/>
    </row>
    <row r="340" spans="1:19" ht="21.3">
      <c r="A340" s="585"/>
      <c r="B340" s="623" t="s">
        <v>2548</v>
      </c>
      <c r="C340" s="1125" t="s">
        <v>193</v>
      </c>
      <c r="D340" s="1126"/>
      <c r="E340" s="624">
        <f t="shared" si="102"/>
        <v>181.74</v>
      </c>
      <c r="F340" s="625" t="s">
        <v>34</v>
      </c>
      <c r="G340" s="626">
        <v>399</v>
      </c>
      <c r="H340" s="627">
        <f t="shared" si="101"/>
        <v>72514.260000000009</v>
      </c>
      <c r="I340" s="628">
        <v>242</v>
      </c>
      <c r="J340" s="571">
        <f t="shared" si="94"/>
        <v>43981.08</v>
      </c>
      <c r="K340" s="1060">
        <f t="shared" si="93"/>
        <v>116495.34000000001</v>
      </c>
      <c r="L340" s="1061"/>
      <c r="M340" s="574"/>
      <c r="N340" s="631">
        <f t="shared" si="97"/>
        <v>181.74</v>
      </c>
      <c r="O340" s="630">
        <v>0</v>
      </c>
      <c r="P340" s="624">
        <v>181.74</v>
      </c>
      <c r="Q340" s="574"/>
      <c r="R340" s="574"/>
      <c r="S340" s="574"/>
    </row>
    <row r="341" spans="1:19" ht="21.3">
      <c r="A341" s="585"/>
      <c r="B341" s="617" t="s">
        <v>194</v>
      </c>
      <c r="C341" s="1125" t="s">
        <v>195</v>
      </c>
      <c r="D341" s="1126"/>
      <c r="E341" s="624">
        <f t="shared" si="102"/>
        <v>124.26</v>
      </c>
      <c r="F341" s="625" t="s">
        <v>34</v>
      </c>
      <c r="G341" s="626">
        <v>420</v>
      </c>
      <c r="H341" s="627">
        <f t="shared" si="101"/>
        <v>52189.200000000004</v>
      </c>
      <c r="I341" s="628">
        <v>100</v>
      </c>
      <c r="J341" s="571">
        <f t="shared" si="94"/>
        <v>12426</v>
      </c>
      <c r="K341" s="1060">
        <f t="shared" si="93"/>
        <v>64615.200000000004</v>
      </c>
      <c r="L341" s="1061"/>
      <c r="M341" s="574"/>
      <c r="N341" s="631">
        <f t="shared" si="97"/>
        <v>124.26</v>
      </c>
      <c r="O341" s="630">
        <v>0</v>
      </c>
      <c r="P341" s="624">
        <v>124.26</v>
      </c>
      <c r="Q341" s="574"/>
      <c r="R341" s="574"/>
      <c r="S341" s="574"/>
    </row>
    <row r="342" spans="1:19" ht="21.3">
      <c r="A342" s="585"/>
      <c r="B342" s="617" t="s">
        <v>196</v>
      </c>
      <c r="C342" s="1125" t="s">
        <v>197</v>
      </c>
      <c r="D342" s="1126"/>
      <c r="E342" s="624">
        <f t="shared" si="102"/>
        <v>0</v>
      </c>
      <c r="F342" s="625" t="s">
        <v>34</v>
      </c>
      <c r="G342" s="626">
        <v>564</v>
      </c>
      <c r="H342" s="627">
        <f t="shared" si="101"/>
        <v>0</v>
      </c>
      <c r="I342" s="628">
        <v>283</v>
      </c>
      <c r="J342" s="571">
        <f t="shared" si="94"/>
        <v>0</v>
      </c>
      <c r="K342" s="1060">
        <f t="shared" si="93"/>
        <v>0</v>
      </c>
      <c r="L342" s="1061"/>
      <c r="M342" s="574"/>
      <c r="N342" s="631">
        <f t="shared" si="97"/>
        <v>0</v>
      </c>
      <c r="O342" s="630">
        <v>0</v>
      </c>
      <c r="P342" s="624"/>
      <c r="Q342" s="574"/>
      <c r="R342" s="574"/>
      <c r="S342" s="574"/>
    </row>
    <row r="343" spans="1:19" ht="21.3">
      <c r="A343" s="585"/>
      <c r="B343" s="617"/>
      <c r="C343" s="617" t="s">
        <v>198</v>
      </c>
      <c r="D343" s="617"/>
      <c r="E343" s="624">
        <f t="shared" si="102"/>
        <v>0</v>
      </c>
      <c r="F343" s="619"/>
      <c r="G343" s="626"/>
      <c r="H343" s="627">
        <f t="shared" si="101"/>
        <v>0</v>
      </c>
      <c r="I343" s="628"/>
      <c r="J343" s="571">
        <f t="shared" si="94"/>
        <v>0</v>
      </c>
      <c r="K343" s="1060">
        <f t="shared" si="93"/>
        <v>0</v>
      </c>
      <c r="L343" s="1061"/>
      <c r="M343" s="574"/>
      <c r="N343" s="631">
        <f t="shared" si="97"/>
        <v>0</v>
      </c>
      <c r="O343" s="630">
        <v>0</v>
      </c>
      <c r="P343" s="624"/>
      <c r="Q343" s="574"/>
      <c r="R343" s="574"/>
      <c r="S343" s="574"/>
    </row>
    <row r="344" spans="1:19" ht="21.3">
      <c r="A344" s="585"/>
      <c r="B344" s="617" t="s">
        <v>199</v>
      </c>
      <c r="C344" s="617" t="s">
        <v>200</v>
      </c>
      <c r="D344" s="617"/>
      <c r="E344" s="624">
        <f t="shared" si="102"/>
        <v>0</v>
      </c>
      <c r="F344" s="625" t="s">
        <v>34</v>
      </c>
      <c r="G344" s="626">
        <v>3570</v>
      </c>
      <c r="H344" s="627">
        <f t="shared" si="101"/>
        <v>0</v>
      </c>
      <c r="I344" s="628">
        <v>220</v>
      </c>
      <c r="J344" s="571">
        <f t="shared" si="94"/>
        <v>0</v>
      </c>
      <c r="K344" s="1060">
        <f t="shared" si="93"/>
        <v>0</v>
      </c>
      <c r="L344" s="1061"/>
      <c r="M344" s="574"/>
      <c r="N344" s="631">
        <f t="shared" si="97"/>
        <v>0</v>
      </c>
      <c r="O344" s="630">
        <v>0</v>
      </c>
      <c r="P344" s="624"/>
      <c r="Q344" s="574"/>
      <c r="R344" s="574"/>
      <c r="S344" s="574"/>
    </row>
    <row r="345" spans="1:19" ht="21.3">
      <c r="A345" s="585"/>
      <c r="B345" s="617" t="s">
        <v>201</v>
      </c>
      <c r="C345" s="617" t="s">
        <v>202</v>
      </c>
      <c r="D345" s="617"/>
      <c r="E345" s="624">
        <f t="shared" si="102"/>
        <v>17.600000000000001</v>
      </c>
      <c r="F345" s="625" t="s">
        <v>34</v>
      </c>
      <c r="G345" s="626">
        <f>ROUNDUP(2227.6*0.05+5*2.95,0)</f>
        <v>127</v>
      </c>
      <c r="H345" s="627">
        <f t="shared" si="101"/>
        <v>2235.2000000000003</v>
      </c>
      <c r="I345" s="628">
        <v>82</v>
      </c>
      <c r="J345" s="571">
        <f t="shared" si="94"/>
        <v>1443.2</v>
      </c>
      <c r="K345" s="1060">
        <f t="shared" si="93"/>
        <v>3678.4000000000005</v>
      </c>
      <c r="L345" s="1061"/>
      <c r="M345" s="574"/>
      <c r="N345" s="631">
        <f t="shared" si="97"/>
        <v>17.600000000000001</v>
      </c>
      <c r="O345" s="630">
        <v>0</v>
      </c>
      <c r="P345" s="624">
        <v>17.600000000000001</v>
      </c>
      <c r="Q345" s="574"/>
      <c r="R345" s="574"/>
      <c r="S345" s="574"/>
    </row>
    <row r="346" spans="1:19" ht="21.3">
      <c r="A346" s="585"/>
      <c r="B346" s="617" t="s">
        <v>203</v>
      </c>
      <c r="C346" s="1125" t="s">
        <v>204</v>
      </c>
      <c r="D346" s="1126"/>
      <c r="E346" s="624">
        <f t="shared" si="102"/>
        <v>0</v>
      </c>
      <c r="F346" s="625" t="s">
        <v>34</v>
      </c>
      <c r="G346" s="628">
        <v>120</v>
      </c>
      <c r="H346" s="627">
        <f t="shared" ref="H346:H349" si="105">E346*G346</f>
        <v>0</v>
      </c>
      <c r="I346" s="628">
        <v>61</v>
      </c>
      <c r="J346" s="571">
        <f t="shared" si="94"/>
        <v>0</v>
      </c>
      <c r="K346" s="1060">
        <f t="shared" si="93"/>
        <v>0</v>
      </c>
      <c r="L346" s="1061"/>
      <c r="M346" s="574"/>
      <c r="N346" s="631">
        <f t="shared" si="97"/>
        <v>0</v>
      </c>
      <c r="O346" s="630">
        <v>0</v>
      </c>
      <c r="P346" s="624"/>
      <c r="Q346" s="574"/>
      <c r="R346" s="574"/>
      <c r="S346" s="574"/>
    </row>
    <row r="347" spans="1:19" ht="21.3">
      <c r="A347" s="585"/>
      <c r="B347" s="617" t="s">
        <v>205</v>
      </c>
      <c r="C347" s="617" t="s">
        <v>206</v>
      </c>
      <c r="D347" s="617"/>
      <c r="E347" s="624">
        <f t="shared" si="102"/>
        <v>0</v>
      </c>
      <c r="F347" s="625" t="s">
        <v>34</v>
      </c>
      <c r="G347" s="626">
        <v>447</v>
      </c>
      <c r="H347" s="627">
        <f t="shared" si="105"/>
        <v>0</v>
      </c>
      <c r="I347" s="628">
        <v>212</v>
      </c>
      <c r="J347" s="571">
        <f t="shared" si="94"/>
        <v>0</v>
      </c>
      <c r="K347" s="1060">
        <f t="shared" si="93"/>
        <v>0</v>
      </c>
      <c r="L347" s="1061"/>
      <c r="M347" s="574"/>
      <c r="N347" s="631">
        <f t="shared" si="97"/>
        <v>0</v>
      </c>
      <c r="O347" s="630">
        <v>0</v>
      </c>
      <c r="P347" s="624"/>
      <c r="Q347" s="574"/>
      <c r="R347" s="574"/>
      <c r="S347" s="574"/>
    </row>
    <row r="348" spans="1:19" ht="21.3">
      <c r="A348" s="585"/>
      <c r="B348" s="617" t="s">
        <v>207</v>
      </c>
      <c r="C348" s="1125" t="s">
        <v>208</v>
      </c>
      <c r="D348" s="1126"/>
      <c r="E348" s="624">
        <f t="shared" si="102"/>
        <v>0</v>
      </c>
      <c r="F348" s="625" t="s">
        <v>34</v>
      </c>
      <c r="G348" s="628">
        <v>240</v>
      </c>
      <c r="H348" s="627">
        <f t="shared" si="105"/>
        <v>0</v>
      </c>
      <c r="I348" s="628">
        <v>80</v>
      </c>
      <c r="J348" s="571">
        <f t="shared" si="94"/>
        <v>0</v>
      </c>
      <c r="K348" s="1060">
        <f t="shared" si="93"/>
        <v>0</v>
      </c>
      <c r="L348" s="1061"/>
      <c r="M348" s="574"/>
      <c r="N348" s="631">
        <f t="shared" si="97"/>
        <v>0</v>
      </c>
      <c r="O348" s="630">
        <v>0</v>
      </c>
      <c r="P348" s="624"/>
      <c r="Q348" s="574"/>
      <c r="R348" s="574"/>
      <c r="S348" s="574"/>
    </row>
    <row r="349" spans="1:19" ht="21.3">
      <c r="A349" s="585"/>
      <c r="B349" s="617" t="s">
        <v>209</v>
      </c>
      <c r="C349" s="1125" t="s">
        <v>210</v>
      </c>
      <c r="D349" s="1126"/>
      <c r="E349" s="624">
        <f t="shared" si="102"/>
        <v>0</v>
      </c>
      <c r="F349" s="625" t="s">
        <v>34</v>
      </c>
      <c r="G349" s="628">
        <v>230</v>
      </c>
      <c r="H349" s="627">
        <f t="shared" si="105"/>
        <v>0</v>
      </c>
      <c r="I349" s="628">
        <v>0</v>
      </c>
      <c r="J349" s="571">
        <f t="shared" si="94"/>
        <v>0</v>
      </c>
      <c r="K349" s="1060">
        <f t="shared" si="93"/>
        <v>0</v>
      </c>
      <c r="L349" s="1061"/>
      <c r="M349" s="574"/>
      <c r="N349" s="631">
        <f t="shared" si="97"/>
        <v>0</v>
      </c>
      <c r="O349" s="630">
        <v>0</v>
      </c>
      <c r="P349" s="624"/>
      <c r="Q349" s="574"/>
      <c r="R349" s="574"/>
      <c r="S349" s="574"/>
    </row>
    <row r="350" spans="1:19" ht="21.3">
      <c r="A350" s="585"/>
      <c r="B350" s="617" t="s">
        <v>211</v>
      </c>
      <c r="C350" s="1125" t="s">
        <v>212</v>
      </c>
      <c r="D350" s="1126"/>
      <c r="E350" s="624">
        <f t="shared" si="102"/>
        <v>10</v>
      </c>
      <c r="F350" s="625" t="s">
        <v>34</v>
      </c>
      <c r="G350" s="626">
        <v>220</v>
      </c>
      <c r="H350" s="627">
        <f t="shared" ref="H350:H359" si="106">SUM(E350*G350)</f>
        <v>2200</v>
      </c>
      <c r="I350" s="628">
        <v>80</v>
      </c>
      <c r="J350" s="571">
        <f t="shared" si="94"/>
        <v>800</v>
      </c>
      <c r="K350" s="1060">
        <f t="shared" si="93"/>
        <v>3000</v>
      </c>
      <c r="L350" s="1061"/>
      <c r="M350" s="574"/>
      <c r="N350" s="631">
        <f t="shared" si="97"/>
        <v>10</v>
      </c>
      <c r="O350" s="630">
        <v>0</v>
      </c>
      <c r="P350" s="624">
        <v>10</v>
      </c>
      <c r="Q350" s="574"/>
      <c r="R350" s="574"/>
      <c r="S350" s="574"/>
    </row>
    <row r="351" spans="1:19" ht="21.3">
      <c r="A351" s="585"/>
      <c r="B351" s="617" t="s">
        <v>213</v>
      </c>
      <c r="C351" s="1125" t="s">
        <v>214</v>
      </c>
      <c r="D351" s="1126"/>
      <c r="E351" s="624">
        <f t="shared" si="102"/>
        <v>0</v>
      </c>
      <c r="F351" s="625" t="s">
        <v>34</v>
      </c>
      <c r="G351" s="626">
        <v>113</v>
      </c>
      <c r="H351" s="627">
        <f t="shared" si="106"/>
        <v>0</v>
      </c>
      <c r="I351" s="628">
        <v>61</v>
      </c>
      <c r="J351" s="571">
        <f t="shared" si="94"/>
        <v>0</v>
      </c>
      <c r="K351" s="1060">
        <f t="shared" si="93"/>
        <v>0</v>
      </c>
      <c r="L351" s="1061"/>
      <c r="M351" s="574"/>
      <c r="N351" s="631">
        <f t="shared" si="97"/>
        <v>0</v>
      </c>
      <c r="O351" s="630">
        <v>0</v>
      </c>
      <c r="P351" s="624">
        <v>0</v>
      </c>
      <c r="Q351" s="574"/>
      <c r="R351" s="574"/>
      <c r="S351" s="574"/>
    </row>
    <row r="352" spans="1:19" ht="21.3">
      <c r="A352" s="585"/>
      <c r="B352" s="617" t="s">
        <v>215</v>
      </c>
      <c r="C352" s="1125" t="s">
        <v>216</v>
      </c>
      <c r="D352" s="1126"/>
      <c r="E352" s="624">
        <f t="shared" si="102"/>
        <v>0</v>
      </c>
      <c r="F352" s="625" t="s">
        <v>34</v>
      </c>
      <c r="G352" s="626">
        <v>113</v>
      </c>
      <c r="H352" s="627">
        <f t="shared" si="106"/>
        <v>0</v>
      </c>
      <c r="I352" s="628">
        <v>61</v>
      </c>
      <c r="J352" s="571">
        <f t="shared" si="94"/>
        <v>0</v>
      </c>
      <c r="K352" s="1060">
        <f t="shared" si="93"/>
        <v>0</v>
      </c>
      <c r="L352" s="1061"/>
      <c r="M352" s="574"/>
      <c r="N352" s="631">
        <f t="shared" si="97"/>
        <v>0</v>
      </c>
      <c r="O352" s="630">
        <v>0</v>
      </c>
      <c r="P352" s="624">
        <v>0</v>
      </c>
      <c r="Q352" s="574"/>
      <c r="R352" s="574"/>
      <c r="S352" s="574"/>
    </row>
    <row r="353" spans="1:24" ht="21.3">
      <c r="A353" s="585"/>
      <c r="B353" s="617" t="s">
        <v>217</v>
      </c>
      <c r="C353" s="1125" t="s">
        <v>218</v>
      </c>
      <c r="D353" s="1126"/>
      <c r="E353" s="624">
        <f t="shared" si="102"/>
        <v>5101.7400000000025</v>
      </c>
      <c r="F353" s="625" t="s">
        <v>34</v>
      </c>
      <c r="G353" s="626">
        <v>113</v>
      </c>
      <c r="H353" s="627">
        <f t="shared" si="106"/>
        <v>576496.62000000023</v>
      </c>
      <c r="I353" s="628">
        <v>61</v>
      </c>
      <c r="J353" s="571">
        <f t="shared" si="94"/>
        <v>311206.14000000013</v>
      </c>
      <c r="K353" s="1060">
        <f t="shared" si="93"/>
        <v>887702.76000000036</v>
      </c>
      <c r="L353" s="1061"/>
      <c r="M353" s="574"/>
      <c r="N353" s="631">
        <f t="shared" si="97"/>
        <v>5101.7400000000025</v>
      </c>
      <c r="O353" s="630">
        <v>0</v>
      </c>
      <c r="P353" s="624">
        <v>5101.7400000000025</v>
      </c>
      <c r="Q353" s="574"/>
      <c r="R353" s="574"/>
      <c r="S353" s="574"/>
    </row>
    <row r="354" spans="1:24" ht="21.3">
      <c r="A354" s="585"/>
      <c r="B354" s="617" t="s">
        <v>219</v>
      </c>
      <c r="C354" s="1125" t="s">
        <v>220</v>
      </c>
      <c r="D354" s="1124"/>
      <c r="E354" s="624">
        <f t="shared" si="102"/>
        <v>153.15000000000006</v>
      </c>
      <c r="F354" s="625" t="s">
        <v>34</v>
      </c>
      <c r="G354" s="626">
        <v>113</v>
      </c>
      <c r="H354" s="627">
        <f t="shared" si="106"/>
        <v>17305.950000000008</v>
      </c>
      <c r="I354" s="628">
        <v>61</v>
      </c>
      <c r="J354" s="571">
        <f t="shared" si="94"/>
        <v>9342.1500000000033</v>
      </c>
      <c r="K354" s="1060">
        <f t="shared" si="93"/>
        <v>26648.100000000013</v>
      </c>
      <c r="L354" s="1061"/>
      <c r="M354" s="574"/>
      <c r="N354" s="631">
        <f t="shared" si="97"/>
        <v>153.15000000000006</v>
      </c>
      <c r="O354" s="630">
        <v>0</v>
      </c>
      <c r="P354" s="624">
        <v>153.15000000000006</v>
      </c>
      <c r="Q354" s="574"/>
      <c r="R354" s="574"/>
      <c r="S354" s="574"/>
    </row>
    <row r="355" spans="1:24" ht="21.3">
      <c r="A355" s="585"/>
      <c r="B355" s="617" t="s">
        <v>221</v>
      </c>
      <c r="C355" s="1125" t="s">
        <v>222</v>
      </c>
      <c r="D355" s="1124"/>
      <c r="E355" s="624">
        <f t="shared" si="102"/>
        <v>30.7</v>
      </c>
      <c r="F355" s="625" t="s">
        <v>34</v>
      </c>
      <c r="G355" s="626">
        <v>583</v>
      </c>
      <c r="H355" s="627">
        <f t="shared" si="106"/>
        <v>17898.099999999999</v>
      </c>
      <c r="I355" s="628">
        <v>298</v>
      </c>
      <c r="J355" s="571">
        <f t="shared" si="94"/>
        <v>9148.6</v>
      </c>
      <c r="K355" s="1060">
        <f t="shared" si="93"/>
        <v>27046.699999999997</v>
      </c>
      <c r="L355" s="1061"/>
      <c r="M355" s="574"/>
      <c r="N355" s="631">
        <f t="shared" si="97"/>
        <v>30.7</v>
      </c>
      <c r="O355" s="630">
        <v>0</v>
      </c>
      <c r="P355" s="624">
        <v>30.7</v>
      </c>
      <c r="Q355" s="574"/>
      <c r="R355" s="574"/>
      <c r="S355" s="574"/>
    </row>
    <row r="356" spans="1:24" ht="21.3">
      <c r="A356" s="585"/>
      <c r="B356" s="617" t="s">
        <v>593</v>
      </c>
      <c r="C356" s="1127" t="s">
        <v>594</v>
      </c>
      <c r="D356" s="1126"/>
      <c r="E356" s="624">
        <f t="shared" si="102"/>
        <v>0</v>
      </c>
      <c r="F356" s="625" t="s">
        <v>34</v>
      </c>
      <c r="G356" s="626">
        <v>533</v>
      </c>
      <c r="H356" s="627">
        <f t="shared" si="106"/>
        <v>0</v>
      </c>
      <c r="I356" s="628">
        <v>130</v>
      </c>
      <c r="J356" s="571">
        <f t="shared" si="94"/>
        <v>0</v>
      </c>
      <c r="K356" s="1060">
        <f t="shared" si="93"/>
        <v>0</v>
      </c>
      <c r="L356" s="1061"/>
      <c r="M356" s="574"/>
      <c r="N356" s="631">
        <f t="shared" si="97"/>
        <v>0</v>
      </c>
      <c r="O356" s="630">
        <v>0</v>
      </c>
      <c r="P356" s="624"/>
      <c r="Q356" s="574"/>
      <c r="R356" s="574"/>
      <c r="S356" s="574"/>
    </row>
    <row r="357" spans="1:24" ht="21.3">
      <c r="A357" s="585"/>
      <c r="B357" s="617" t="s">
        <v>238</v>
      </c>
      <c r="C357" s="1127" t="s">
        <v>595</v>
      </c>
      <c r="D357" s="1126"/>
      <c r="E357" s="624">
        <f t="shared" si="102"/>
        <v>0</v>
      </c>
      <c r="F357" s="625" t="s">
        <v>34</v>
      </c>
      <c r="G357" s="626">
        <v>4810</v>
      </c>
      <c r="H357" s="627">
        <f t="shared" si="106"/>
        <v>0</v>
      </c>
      <c r="I357" s="628">
        <v>1640</v>
      </c>
      <c r="J357" s="571">
        <f t="shared" si="94"/>
        <v>0</v>
      </c>
      <c r="K357" s="1060">
        <f t="shared" si="93"/>
        <v>0</v>
      </c>
      <c r="L357" s="1061"/>
      <c r="M357" s="574"/>
      <c r="N357" s="631">
        <f t="shared" si="97"/>
        <v>0</v>
      </c>
      <c r="O357" s="630">
        <v>0</v>
      </c>
      <c r="P357" s="624"/>
      <c r="Q357" s="574"/>
      <c r="R357" s="574"/>
      <c r="S357" s="574"/>
    </row>
    <row r="358" spans="1:24" ht="21.3">
      <c r="A358" s="585"/>
      <c r="B358" s="617" t="s">
        <v>596</v>
      </c>
      <c r="C358" s="1127" t="s">
        <v>597</v>
      </c>
      <c r="D358" s="1124"/>
      <c r="E358" s="624">
        <f t="shared" si="102"/>
        <v>0</v>
      </c>
      <c r="F358" s="625" t="s">
        <v>34</v>
      </c>
      <c r="G358" s="626">
        <v>253</v>
      </c>
      <c r="H358" s="627">
        <f t="shared" si="106"/>
        <v>0</v>
      </c>
      <c r="I358" s="628">
        <v>50</v>
      </c>
      <c r="J358" s="571">
        <f t="shared" si="94"/>
        <v>0</v>
      </c>
      <c r="K358" s="1060">
        <f t="shared" si="93"/>
        <v>0</v>
      </c>
      <c r="L358" s="1061"/>
      <c r="M358" s="574"/>
      <c r="N358" s="631">
        <f t="shared" si="97"/>
        <v>0</v>
      </c>
      <c r="O358" s="630">
        <v>0</v>
      </c>
      <c r="P358" s="624"/>
      <c r="Q358" s="574"/>
      <c r="R358" s="574"/>
      <c r="S358" s="574"/>
    </row>
    <row r="359" spans="1:24" ht="21.3">
      <c r="A359" s="585"/>
      <c r="B359" s="617" t="s">
        <v>598</v>
      </c>
      <c r="C359" s="1127" t="s">
        <v>599</v>
      </c>
      <c r="D359" s="1124"/>
      <c r="E359" s="624">
        <f t="shared" si="102"/>
        <v>0</v>
      </c>
      <c r="F359" s="625" t="s">
        <v>34</v>
      </c>
      <c r="G359" s="626">
        <v>1964</v>
      </c>
      <c r="H359" s="627">
        <f t="shared" si="106"/>
        <v>0</v>
      </c>
      <c r="I359" s="628">
        <v>220</v>
      </c>
      <c r="J359" s="571">
        <f t="shared" si="94"/>
        <v>0</v>
      </c>
      <c r="K359" s="1060">
        <f t="shared" si="93"/>
        <v>0</v>
      </c>
      <c r="L359" s="1061"/>
      <c r="M359" s="632"/>
      <c r="N359" s="631">
        <f t="shared" si="97"/>
        <v>0</v>
      </c>
      <c r="O359" s="630">
        <v>0</v>
      </c>
      <c r="P359" s="624"/>
      <c r="Q359" s="632"/>
      <c r="R359" s="632"/>
      <c r="S359" s="632"/>
    </row>
    <row r="360" spans="1:24" s="574" customFormat="1" ht="24" customHeight="1">
      <c r="A360" s="585"/>
      <c r="B360" s="617"/>
      <c r="C360" s="1128" t="s">
        <v>223</v>
      </c>
      <c r="D360" s="1126"/>
      <c r="E360" s="624"/>
      <c r="F360" s="625"/>
      <c r="G360" s="626"/>
      <c r="H360" s="627">
        <f t="shared" ref="H360:H362" si="107">SUM(E360*G360)</f>
        <v>0</v>
      </c>
      <c r="I360" s="628"/>
      <c r="J360" s="633">
        <f t="shared" ref="J360:J362" si="108">SUM(E360*I360)</f>
        <v>0</v>
      </c>
      <c r="K360" s="626">
        <f t="shared" ref="K360:K362" si="109">SUM(H360+J360)</f>
        <v>0</v>
      </c>
      <c r="L360" s="1063"/>
      <c r="M360" s="634"/>
      <c r="N360" s="635">
        <f t="shared" si="97"/>
        <v>0</v>
      </c>
      <c r="O360" s="636">
        <v>0</v>
      </c>
      <c r="P360" s="637"/>
      <c r="Q360" s="634"/>
      <c r="R360" s="634"/>
      <c r="S360" s="634"/>
      <c r="T360" s="634"/>
      <c r="U360" s="634"/>
      <c r="V360" s="634"/>
      <c r="W360" s="634"/>
      <c r="X360" s="634"/>
    </row>
    <row r="361" spans="1:24" s="574" customFormat="1" ht="24" customHeight="1">
      <c r="A361" s="585"/>
      <c r="B361" s="617" t="s">
        <v>224</v>
      </c>
      <c r="C361" s="1125" t="s">
        <v>225</v>
      </c>
      <c r="D361" s="1124"/>
      <c r="E361" s="624">
        <f t="shared" si="102"/>
        <v>1515.1</v>
      </c>
      <c r="F361" s="625" t="s">
        <v>226</v>
      </c>
      <c r="G361" s="626">
        <v>200</v>
      </c>
      <c r="H361" s="627">
        <f t="shared" si="107"/>
        <v>303020</v>
      </c>
      <c r="I361" s="628">
        <v>45</v>
      </c>
      <c r="J361" s="633">
        <f t="shared" si="108"/>
        <v>68179.5</v>
      </c>
      <c r="K361" s="626">
        <f t="shared" si="109"/>
        <v>371199.5</v>
      </c>
      <c r="L361" s="1064"/>
      <c r="M361" s="634"/>
      <c r="N361" s="635">
        <f t="shared" si="97"/>
        <v>1515.1</v>
      </c>
      <c r="O361" s="636">
        <v>0</v>
      </c>
      <c r="P361" s="637">
        <v>1515.1</v>
      </c>
      <c r="Q361" s="634"/>
      <c r="R361" s="634"/>
      <c r="S361" s="634"/>
      <c r="T361" s="634"/>
      <c r="U361" s="634"/>
      <c r="V361" s="634"/>
      <c r="W361" s="634"/>
      <c r="X361" s="634"/>
    </row>
    <row r="362" spans="1:24" s="574" customFormat="1" ht="24" customHeight="1">
      <c r="A362" s="585"/>
      <c r="B362" s="617" t="s">
        <v>227</v>
      </c>
      <c r="C362" s="1125" t="s">
        <v>228</v>
      </c>
      <c r="D362" s="1124"/>
      <c r="E362" s="624">
        <f t="shared" si="102"/>
        <v>306.87</v>
      </c>
      <c r="F362" s="625" t="s">
        <v>226</v>
      </c>
      <c r="G362" s="626">
        <v>19</v>
      </c>
      <c r="H362" s="627">
        <f t="shared" si="107"/>
        <v>5830.53</v>
      </c>
      <c r="I362" s="628">
        <v>20</v>
      </c>
      <c r="J362" s="633">
        <f t="shared" si="108"/>
        <v>6137.4</v>
      </c>
      <c r="K362" s="626">
        <f t="shared" si="109"/>
        <v>11967.93</v>
      </c>
      <c r="L362" s="1064"/>
      <c r="M362" s="634"/>
      <c r="N362" s="635">
        <f t="shared" si="97"/>
        <v>306.87</v>
      </c>
      <c r="O362" s="636">
        <v>0</v>
      </c>
      <c r="P362" s="637">
        <v>306.87</v>
      </c>
      <c r="Q362" s="634"/>
      <c r="R362" s="634"/>
      <c r="S362" s="634"/>
      <c r="T362" s="634"/>
      <c r="U362" s="634"/>
      <c r="V362" s="634"/>
      <c r="W362" s="634"/>
      <c r="X362" s="634"/>
    </row>
    <row r="363" spans="1:24">
      <c r="A363" s="585"/>
      <c r="B363" s="1114"/>
      <c r="C363" s="639"/>
      <c r="D363" s="649"/>
      <c r="E363" s="618"/>
      <c r="F363" s="625"/>
      <c r="G363" s="650"/>
      <c r="H363" s="571">
        <f t="shared" si="88"/>
        <v>0</v>
      </c>
      <c r="I363" s="651"/>
      <c r="J363" s="571">
        <f t="shared" si="94"/>
        <v>0</v>
      </c>
      <c r="K363" s="1060">
        <f t="shared" si="93"/>
        <v>0</v>
      </c>
      <c r="L363" s="1065"/>
      <c r="M363" s="574"/>
      <c r="N363" s="652">
        <f t="shared" si="97"/>
        <v>0</v>
      </c>
      <c r="O363" s="622">
        <v>0</v>
      </c>
      <c r="P363" s="618"/>
      <c r="Q363" s="574"/>
      <c r="R363" s="574"/>
      <c r="S363" s="574"/>
    </row>
    <row r="364" spans="1:24">
      <c r="A364" s="585" t="s">
        <v>248</v>
      </c>
      <c r="B364" s="1114" t="s">
        <v>249</v>
      </c>
      <c r="C364" s="639"/>
      <c r="D364" s="1124"/>
      <c r="E364" s="618"/>
      <c r="F364" s="625"/>
      <c r="G364" s="650"/>
      <c r="H364" s="571">
        <f t="shared" si="88"/>
        <v>0</v>
      </c>
      <c r="I364" s="651"/>
      <c r="J364" s="571">
        <f t="shared" si="94"/>
        <v>0</v>
      </c>
      <c r="K364" s="1060">
        <f t="shared" si="93"/>
        <v>0</v>
      </c>
      <c r="L364" s="1065"/>
      <c r="M364" s="574"/>
      <c r="N364" s="621">
        <f t="shared" si="97"/>
        <v>0</v>
      </c>
      <c r="O364" s="622">
        <v>0</v>
      </c>
      <c r="P364" s="618"/>
      <c r="Q364" s="574"/>
      <c r="R364" s="574"/>
      <c r="S364" s="574"/>
    </row>
    <row r="365" spans="1:24" ht="21.3">
      <c r="A365" s="585"/>
      <c r="B365" s="1114"/>
      <c r="C365" s="617" t="s">
        <v>231</v>
      </c>
      <c r="D365" s="1124"/>
      <c r="E365" s="624">
        <f>+E366+E367+E368+E370+E372+E374+E376+E379+E381+E387+E388+E390+E391</f>
        <v>427.64</v>
      </c>
      <c r="F365" s="625" t="s">
        <v>34</v>
      </c>
      <c r="G365" s="626">
        <v>113</v>
      </c>
      <c r="H365" s="627">
        <f t="shared" ref="H365:H377" si="110">SUM(E365*G365)</f>
        <v>48323.32</v>
      </c>
      <c r="I365" s="628">
        <v>61</v>
      </c>
      <c r="J365" s="571">
        <f t="shared" si="94"/>
        <v>26086.04</v>
      </c>
      <c r="K365" s="1060">
        <f t="shared" si="93"/>
        <v>74409.36</v>
      </c>
      <c r="L365" s="1062"/>
      <c r="M365" s="574"/>
      <c r="N365" s="629">
        <f t="shared" si="97"/>
        <v>0</v>
      </c>
      <c r="O365" s="630">
        <v>0</v>
      </c>
      <c r="P365" s="624"/>
      <c r="Q365" s="574"/>
      <c r="R365" s="574"/>
      <c r="S365" s="574"/>
    </row>
    <row r="366" spans="1:24" ht="21.3">
      <c r="A366" s="585"/>
      <c r="B366" s="617" t="s">
        <v>184</v>
      </c>
      <c r="C366" s="617" t="s">
        <v>185</v>
      </c>
      <c r="D366" s="617"/>
      <c r="E366" s="624">
        <f>+N366</f>
        <v>0</v>
      </c>
      <c r="F366" s="625" t="s">
        <v>34</v>
      </c>
      <c r="G366" s="626">
        <v>564</v>
      </c>
      <c r="H366" s="627">
        <f t="shared" si="110"/>
        <v>0</v>
      </c>
      <c r="I366" s="628">
        <v>283</v>
      </c>
      <c r="J366" s="571">
        <f t="shared" si="94"/>
        <v>0</v>
      </c>
      <c r="K366" s="1060">
        <f t="shared" si="93"/>
        <v>0</v>
      </c>
      <c r="L366" s="1061"/>
      <c r="M366" s="574"/>
      <c r="N366" s="631">
        <f t="shared" si="97"/>
        <v>0</v>
      </c>
      <c r="O366" s="630">
        <v>0</v>
      </c>
      <c r="P366" s="624"/>
      <c r="Q366" s="574"/>
      <c r="R366" s="574"/>
      <c r="S366" s="574"/>
    </row>
    <row r="367" spans="1:24" ht="21.3">
      <c r="A367" s="585"/>
      <c r="B367" s="617" t="s">
        <v>186</v>
      </c>
      <c r="C367" s="1125" t="s">
        <v>187</v>
      </c>
      <c r="D367" s="1126"/>
      <c r="E367" s="624">
        <f t="shared" ref="E367:E394" si="111">+N367</f>
        <v>0</v>
      </c>
      <c r="F367" s="625" t="s">
        <v>34</v>
      </c>
      <c r="G367" s="626">
        <v>295</v>
      </c>
      <c r="H367" s="627">
        <f t="shared" si="110"/>
        <v>0</v>
      </c>
      <c r="I367" s="628">
        <v>184</v>
      </c>
      <c r="J367" s="571">
        <f t="shared" si="94"/>
        <v>0</v>
      </c>
      <c r="K367" s="1060">
        <f t="shared" si="93"/>
        <v>0</v>
      </c>
      <c r="L367" s="1061"/>
      <c r="M367" s="574"/>
      <c r="N367" s="631">
        <f t="shared" si="97"/>
        <v>0</v>
      </c>
      <c r="O367" s="630">
        <v>0</v>
      </c>
      <c r="P367" s="624"/>
      <c r="Q367" s="574"/>
      <c r="R367" s="574"/>
      <c r="S367" s="574"/>
    </row>
    <row r="368" spans="1:24" ht="21.3">
      <c r="A368" s="585"/>
      <c r="B368" s="617" t="s">
        <v>188</v>
      </c>
      <c r="C368" s="1125" t="s">
        <v>189</v>
      </c>
      <c r="D368" s="1126"/>
      <c r="E368" s="624">
        <f t="shared" si="111"/>
        <v>0</v>
      </c>
      <c r="F368" s="625" t="s">
        <v>34</v>
      </c>
      <c r="G368" s="626">
        <v>297</v>
      </c>
      <c r="H368" s="627">
        <f t="shared" si="110"/>
        <v>0</v>
      </c>
      <c r="I368" s="628">
        <v>204</v>
      </c>
      <c r="J368" s="571">
        <f t="shared" si="94"/>
        <v>0</v>
      </c>
      <c r="K368" s="1060">
        <f t="shared" si="93"/>
        <v>0</v>
      </c>
      <c r="L368" s="1061"/>
      <c r="M368" s="574"/>
      <c r="N368" s="631">
        <f t="shared" si="97"/>
        <v>0</v>
      </c>
      <c r="O368" s="630">
        <v>0</v>
      </c>
      <c r="P368" s="624">
        <v>0</v>
      </c>
      <c r="Q368" s="574"/>
      <c r="R368" s="574"/>
      <c r="S368" s="574"/>
    </row>
    <row r="369" spans="1:19" ht="21.3">
      <c r="A369" s="585"/>
      <c r="B369" s="617" t="s">
        <v>190</v>
      </c>
      <c r="C369" s="1125" t="s">
        <v>191</v>
      </c>
      <c r="D369" s="1126"/>
      <c r="E369" s="624"/>
      <c r="F369" s="625" t="s">
        <v>34</v>
      </c>
      <c r="G369" s="626">
        <v>609</v>
      </c>
      <c r="H369" s="627">
        <f t="shared" ref="H369" si="112">SUM(E369*G369)</f>
        <v>0</v>
      </c>
      <c r="I369" s="628">
        <v>222</v>
      </c>
      <c r="J369" s="571">
        <f t="shared" si="94"/>
        <v>0</v>
      </c>
      <c r="K369" s="1060">
        <f t="shared" si="93"/>
        <v>0</v>
      </c>
      <c r="L369" s="1061"/>
      <c r="M369" s="574"/>
      <c r="N369" s="631">
        <f t="shared" si="97"/>
        <v>215.2</v>
      </c>
      <c r="O369" s="630">
        <v>0</v>
      </c>
      <c r="P369" s="624">
        <v>215.2</v>
      </c>
      <c r="Q369" s="574"/>
      <c r="R369" s="574"/>
      <c r="S369" s="574"/>
    </row>
    <row r="370" spans="1:19" ht="21.3">
      <c r="A370" s="585"/>
      <c r="B370" s="623" t="s">
        <v>2547</v>
      </c>
      <c r="C370" s="1125" t="s">
        <v>191</v>
      </c>
      <c r="D370" s="1126"/>
      <c r="E370" s="624">
        <f t="shared" si="111"/>
        <v>215.2</v>
      </c>
      <c r="F370" s="625" t="s">
        <v>34</v>
      </c>
      <c r="G370" s="626">
        <v>399</v>
      </c>
      <c r="H370" s="627">
        <f t="shared" si="110"/>
        <v>85864.799999999988</v>
      </c>
      <c r="I370" s="628">
        <v>222</v>
      </c>
      <c r="J370" s="571">
        <f t="shared" si="94"/>
        <v>47774.399999999994</v>
      </c>
      <c r="K370" s="1060">
        <f t="shared" si="93"/>
        <v>133639.19999999998</v>
      </c>
      <c r="L370" s="1061"/>
      <c r="M370" s="574"/>
      <c r="N370" s="631">
        <f t="shared" si="97"/>
        <v>215.2</v>
      </c>
      <c r="O370" s="630">
        <v>0</v>
      </c>
      <c r="P370" s="624">
        <v>215.2</v>
      </c>
      <c r="Q370" s="574"/>
      <c r="R370" s="574"/>
      <c r="S370" s="574"/>
    </row>
    <row r="371" spans="1:19" ht="21.3">
      <c r="A371" s="585"/>
      <c r="B371" s="617" t="s">
        <v>192</v>
      </c>
      <c r="C371" s="1125" t="s">
        <v>193</v>
      </c>
      <c r="D371" s="1126"/>
      <c r="E371" s="624"/>
      <c r="F371" s="625" t="s">
        <v>34</v>
      </c>
      <c r="G371" s="626">
        <v>617</v>
      </c>
      <c r="H371" s="627">
        <f t="shared" ref="H371" si="113">SUM(E371*G371)</f>
        <v>0</v>
      </c>
      <c r="I371" s="628">
        <v>242</v>
      </c>
      <c r="J371" s="571">
        <f t="shared" si="94"/>
        <v>0</v>
      </c>
      <c r="K371" s="1060">
        <f t="shared" si="93"/>
        <v>0</v>
      </c>
      <c r="L371" s="1061"/>
      <c r="M371" s="574"/>
      <c r="N371" s="631">
        <f t="shared" si="97"/>
        <v>181.74</v>
      </c>
      <c r="O371" s="630">
        <v>0</v>
      </c>
      <c r="P371" s="624">
        <v>181.74</v>
      </c>
      <c r="Q371" s="574"/>
      <c r="R371" s="574"/>
      <c r="S371" s="574"/>
    </row>
    <row r="372" spans="1:19" ht="21.3">
      <c r="A372" s="585"/>
      <c r="B372" s="623" t="s">
        <v>2548</v>
      </c>
      <c r="C372" s="1125" t="s">
        <v>193</v>
      </c>
      <c r="D372" s="1126"/>
      <c r="E372" s="624">
        <f t="shared" si="111"/>
        <v>181.74</v>
      </c>
      <c r="F372" s="625" t="s">
        <v>34</v>
      </c>
      <c r="G372" s="626">
        <v>399</v>
      </c>
      <c r="H372" s="627">
        <f t="shared" si="110"/>
        <v>72514.260000000009</v>
      </c>
      <c r="I372" s="628">
        <v>242</v>
      </c>
      <c r="J372" s="571">
        <f t="shared" si="94"/>
        <v>43981.08</v>
      </c>
      <c r="K372" s="1060">
        <f t="shared" si="93"/>
        <v>116495.34000000001</v>
      </c>
      <c r="L372" s="1061"/>
      <c r="M372" s="574"/>
      <c r="N372" s="631">
        <f t="shared" si="97"/>
        <v>181.74</v>
      </c>
      <c r="O372" s="630">
        <v>0</v>
      </c>
      <c r="P372" s="624">
        <v>181.74</v>
      </c>
      <c r="Q372" s="574"/>
      <c r="R372" s="574"/>
      <c r="S372" s="574"/>
    </row>
    <row r="373" spans="1:19" ht="21.3">
      <c r="A373" s="585"/>
      <c r="B373" s="617" t="s">
        <v>194</v>
      </c>
      <c r="C373" s="1125" t="s">
        <v>195</v>
      </c>
      <c r="D373" s="1126"/>
      <c r="E373" s="624">
        <f t="shared" si="111"/>
        <v>124.26</v>
      </c>
      <c r="F373" s="625" t="s">
        <v>34</v>
      </c>
      <c r="G373" s="626">
        <v>420</v>
      </c>
      <c r="H373" s="627">
        <f t="shared" si="110"/>
        <v>52189.200000000004</v>
      </c>
      <c r="I373" s="628">
        <v>100</v>
      </c>
      <c r="J373" s="571">
        <f t="shared" si="94"/>
        <v>12426</v>
      </c>
      <c r="K373" s="1060">
        <f t="shared" si="93"/>
        <v>64615.200000000004</v>
      </c>
      <c r="L373" s="1061"/>
      <c r="M373" s="574"/>
      <c r="N373" s="631">
        <f t="shared" si="97"/>
        <v>124.26</v>
      </c>
      <c r="O373" s="630">
        <v>0</v>
      </c>
      <c r="P373" s="624">
        <v>124.26</v>
      </c>
      <c r="Q373" s="574"/>
      <c r="R373" s="574"/>
      <c r="S373" s="574"/>
    </row>
    <row r="374" spans="1:19" ht="21.3">
      <c r="A374" s="585"/>
      <c r="B374" s="617" t="s">
        <v>196</v>
      </c>
      <c r="C374" s="1125" t="s">
        <v>197</v>
      </c>
      <c r="D374" s="1126"/>
      <c r="E374" s="624">
        <f t="shared" si="111"/>
        <v>0</v>
      </c>
      <c r="F374" s="625" t="s">
        <v>34</v>
      </c>
      <c r="G374" s="626">
        <v>564</v>
      </c>
      <c r="H374" s="627">
        <f t="shared" si="110"/>
        <v>0</v>
      </c>
      <c r="I374" s="628">
        <v>283</v>
      </c>
      <c r="J374" s="571">
        <f t="shared" si="94"/>
        <v>0</v>
      </c>
      <c r="K374" s="1060">
        <f t="shared" si="93"/>
        <v>0</v>
      </c>
      <c r="L374" s="1061"/>
      <c r="M374" s="574"/>
      <c r="N374" s="631">
        <f t="shared" si="97"/>
        <v>0</v>
      </c>
      <c r="O374" s="630">
        <v>0</v>
      </c>
      <c r="P374" s="624"/>
      <c r="Q374" s="574"/>
      <c r="R374" s="574"/>
      <c r="S374" s="574"/>
    </row>
    <row r="375" spans="1:19" ht="21.3">
      <c r="A375" s="585"/>
      <c r="B375" s="617"/>
      <c r="C375" s="617" t="s">
        <v>198</v>
      </c>
      <c r="D375" s="617"/>
      <c r="E375" s="624">
        <f t="shared" si="111"/>
        <v>0</v>
      </c>
      <c r="F375" s="619"/>
      <c r="G375" s="626"/>
      <c r="H375" s="627">
        <f t="shared" si="110"/>
        <v>0</v>
      </c>
      <c r="I375" s="628"/>
      <c r="J375" s="571">
        <f t="shared" si="94"/>
        <v>0</v>
      </c>
      <c r="K375" s="1060">
        <f t="shared" si="93"/>
        <v>0</v>
      </c>
      <c r="L375" s="1061"/>
      <c r="M375" s="574"/>
      <c r="N375" s="631">
        <f t="shared" si="97"/>
        <v>0</v>
      </c>
      <c r="O375" s="630">
        <v>0</v>
      </c>
      <c r="P375" s="624"/>
      <c r="Q375" s="574"/>
      <c r="R375" s="574"/>
      <c r="S375" s="574"/>
    </row>
    <row r="376" spans="1:19" ht="21.3">
      <c r="A376" s="585"/>
      <c r="B376" s="617" t="s">
        <v>199</v>
      </c>
      <c r="C376" s="617" t="s">
        <v>200</v>
      </c>
      <c r="D376" s="617"/>
      <c r="E376" s="624">
        <f t="shared" si="111"/>
        <v>0</v>
      </c>
      <c r="F376" s="625" t="s">
        <v>34</v>
      </c>
      <c r="G376" s="626">
        <v>3570</v>
      </c>
      <c r="H376" s="627">
        <f t="shared" si="110"/>
        <v>0</v>
      </c>
      <c r="I376" s="628">
        <v>220</v>
      </c>
      <c r="J376" s="571">
        <f t="shared" si="94"/>
        <v>0</v>
      </c>
      <c r="K376" s="1060">
        <f t="shared" si="93"/>
        <v>0</v>
      </c>
      <c r="L376" s="1061"/>
      <c r="M376" s="574"/>
      <c r="N376" s="631">
        <f t="shared" si="97"/>
        <v>0</v>
      </c>
      <c r="O376" s="630">
        <v>0</v>
      </c>
      <c r="P376" s="624"/>
      <c r="Q376" s="574"/>
      <c r="R376" s="574"/>
      <c r="S376" s="574"/>
    </row>
    <row r="377" spans="1:19" ht="21.3">
      <c r="A377" s="585"/>
      <c r="B377" s="617" t="s">
        <v>201</v>
      </c>
      <c r="C377" s="617" t="s">
        <v>202</v>
      </c>
      <c r="D377" s="617"/>
      <c r="E377" s="624">
        <f t="shared" si="111"/>
        <v>17.600000000000001</v>
      </c>
      <c r="F377" s="625" t="s">
        <v>34</v>
      </c>
      <c r="G377" s="626">
        <f>ROUNDUP(2227.6*0.05+5*2.95,0)</f>
        <v>127</v>
      </c>
      <c r="H377" s="627">
        <f t="shared" si="110"/>
        <v>2235.2000000000003</v>
      </c>
      <c r="I377" s="628">
        <v>82</v>
      </c>
      <c r="J377" s="571">
        <f t="shared" si="94"/>
        <v>1443.2</v>
      </c>
      <c r="K377" s="1060">
        <f t="shared" si="93"/>
        <v>3678.4000000000005</v>
      </c>
      <c r="L377" s="1061"/>
      <c r="M377" s="574"/>
      <c r="N377" s="631">
        <f t="shared" si="97"/>
        <v>17.600000000000001</v>
      </c>
      <c r="O377" s="630">
        <v>0</v>
      </c>
      <c r="P377" s="624">
        <v>17.600000000000001</v>
      </c>
      <c r="Q377" s="574"/>
      <c r="R377" s="574"/>
      <c r="S377" s="574"/>
    </row>
    <row r="378" spans="1:19" ht="21.3">
      <c r="A378" s="585"/>
      <c r="B378" s="617" t="s">
        <v>203</v>
      </c>
      <c r="C378" s="1125" t="s">
        <v>204</v>
      </c>
      <c r="D378" s="1126"/>
      <c r="E378" s="624">
        <f t="shared" si="111"/>
        <v>0</v>
      </c>
      <c r="F378" s="625" t="s">
        <v>34</v>
      </c>
      <c r="G378" s="628">
        <v>120</v>
      </c>
      <c r="H378" s="627">
        <f t="shared" ref="H378:H381" si="114">E378*G378</f>
        <v>0</v>
      </c>
      <c r="I378" s="628">
        <v>61</v>
      </c>
      <c r="J378" s="571">
        <f t="shared" si="94"/>
        <v>0</v>
      </c>
      <c r="K378" s="1060">
        <f t="shared" si="93"/>
        <v>0</v>
      </c>
      <c r="L378" s="1061"/>
      <c r="M378" s="574"/>
      <c r="N378" s="631">
        <f t="shared" si="97"/>
        <v>0</v>
      </c>
      <c r="O378" s="630">
        <v>0</v>
      </c>
      <c r="P378" s="624"/>
      <c r="Q378" s="574"/>
      <c r="R378" s="574"/>
      <c r="S378" s="574"/>
    </row>
    <row r="379" spans="1:19" ht="21.3">
      <c r="A379" s="585"/>
      <c r="B379" s="617" t="s">
        <v>205</v>
      </c>
      <c r="C379" s="617" t="s">
        <v>206</v>
      </c>
      <c r="D379" s="617"/>
      <c r="E379" s="624">
        <f t="shared" si="111"/>
        <v>0</v>
      </c>
      <c r="F379" s="625" t="s">
        <v>34</v>
      </c>
      <c r="G379" s="626">
        <v>447</v>
      </c>
      <c r="H379" s="627">
        <f t="shared" si="114"/>
        <v>0</v>
      </c>
      <c r="I379" s="628">
        <v>212</v>
      </c>
      <c r="J379" s="571">
        <f t="shared" si="94"/>
        <v>0</v>
      </c>
      <c r="K379" s="1060">
        <f t="shared" si="93"/>
        <v>0</v>
      </c>
      <c r="L379" s="1061"/>
      <c r="M379" s="574"/>
      <c r="N379" s="631">
        <f t="shared" si="97"/>
        <v>0</v>
      </c>
      <c r="O379" s="630">
        <v>0</v>
      </c>
      <c r="P379" s="624"/>
      <c r="Q379" s="574"/>
      <c r="R379" s="574"/>
      <c r="S379" s="574"/>
    </row>
    <row r="380" spans="1:19" ht="21.3">
      <c r="A380" s="585"/>
      <c r="B380" s="617" t="s">
        <v>207</v>
      </c>
      <c r="C380" s="1125" t="s">
        <v>208</v>
      </c>
      <c r="D380" s="1126"/>
      <c r="E380" s="624">
        <f t="shared" si="111"/>
        <v>0</v>
      </c>
      <c r="F380" s="625" t="s">
        <v>34</v>
      </c>
      <c r="G380" s="628">
        <v>240</v>
      </c>
      <c r="H380" s="627">
        <f t="shared" si="114"/>
        <v>0</v>
      </c>
      <c r="I380" s="628">
        <v>80</v>
      </c>
      <c r="J380" s="571">
        <f t="shared" si="94"/>
        <v>0</v>
      </c>
      <c r="K380" s="1060">
        <f t="shared" si="93"/>
        <v>0</v>
      </c>
      <c r="L380" s="1061"/>
      <c r="M380" s="574"/>
      <c r="N380" s="631">
        <f t="shared" si="97"/>
        <v>0</v>
      </c>
      <c r="O380" s="630">
        <v>0</v>
      </c>
      <c r="P380" s="624"/>
      <c r="Q380" s="574"/>
      <c r="R380" s="574"/>
      <c r="S380" s="574"/>
    </row>
    <row r="381" spans="1:19" ht="21.3">
      <c r="A381" s="585"/>
      <c r="B381" s="617" t="s">
        <v>209</v>
      </c>
      <c r="C381" s="1125" t="s">
        <v>210</v>
      </c>
      <c r="D381" s="1126"/>
      <c r="E381" s="624">
        <f t="shared" si="111"/>
        <v>0</v>
      </c>
      <c r="F381" s="625" t="s">
        <v>34</v>
      </c>
      <c r="G381" s="628">
        <v>230</v>
      </c>
      <c r="H381" s="627">
        <f t="shared" si="114"/>
        <v>0</v>
      </c>
      <c r="I381" s="628">
        <v>0</v>
      </c>
      <c r="J381" s="571">
        <f t="shared" si="94"/>
        <v>0</v>
      </c>
      <c r="K381" s="1060">
        <f t="shared" si="93"/>
        <v>0</v>
      </c>
      <c r="L381" s="1061"/>
      <c r="M381" s="574"/>
      <c r="N381" s="631">
        <f t="shared" si="97"/>
        <v>0</v>
      </c>
      <c r="O381" s="630">
        <v>0</v>
      </c>
      <c r="P381" s="624"/>
      <c r="Q381" s="574"/>
      <c r="R381" s="574"/>
      <c r="S381" s="574"/>
    </row>
    <row r="382" spans="1:19" ht="21.3">
      <c r="A382" s="585"/>
      <c r="B382" s="617" t="s">
        <v>211</v>
      </c>
      <c r="C382" s="1125" t="s">
        <v>212</v>
      </c>
      <c r="D382" s="1126"/>
      <c r="E382" s="624">
        <f t="shared" si="111"/>
        <v>10</v>
      </c>
      <c r="F382" s="625" t="s">
        <v>34</v>
      </c>
      <c r="G382" s="626">
        <v>220</v>
      </c>
      <c r="H382" s="627">
        <f t="shared" ref="H382:H391" si="115">SUM(E382*G382)</f>
        <v>2200</v>
      </c>
      <c r="I382" s="628">
        <v>80</v>
      </c>
      <c r="J382" s="571">
        <f t="shared" si="94"/>
        <v>800</v>
      </c>
      <c r="K382" s="1060">
        <f t="shared" si="93"/>
        <v>3000</v>
      </c>
      <c r="L382" s="1061"/>
      <c r="M382" s="574"/>
      <c r="N382" s="631">
        <f t="shared" si="97"/>
        <v>10</v>
      </c>
      <c r="O382" s="630">
        <v>0</v>
      </c>
      <c r="P382" s="624">
        <v>10</v>
      </c>
      <c r="Q382" s="574"/>
      <c r="R382" s="574"/>
      <c r="S382" s="574"/>
    </row>
    <row r="383" spans="1:19" ht="21.3">
      <c r="A383" s="585"/>
      <c r="B383" s="617" t="s">
        <v>213</v>
      </c>
      <c r="C383" s="1125" t="s">
        <v>214</v>
      </c>
      <c r="D383" s="1126"/>
      <c r="E383" s="624">
        <f t="shared" si="111"/>
        <v>0</v>
      </c>
      <c r="F383" s="625" t="s">
        <v>34</v>
      </c>
      <c r="G383" s="626">
        <v>113</v>
      </c>
      <c r="H383" s="627">
        <f t="shared" si="115"/>
        <v>0</v>
      </c>
      <c r="I383" s="628">
        <v>61</v>
      </c>
      <c r="J383" s="571">
        <f t="shared" si="94"/>
        <v>0</v>
      </c>
      <c r="K383" s="1060">
        <f t="shared" si="93"/>
        <v>0</v>
      </c>
      <c r="L383" s="1061"/>
      <c r="M383" s="574"/>
      <c r="N383" s="631">
        <f t="shared" si="97"/>
        <v>0</v>
      </c>
      <c r="O383" s="630">
        <v>0</v>
      </c>
      <c r="P383" s="624">
        <v>0</v>
      </c>
      <c r="Q383" s="574"/>
      <c r="R383" s="574"/>
      <c r="S383" s="574"/>
    </row>
    <row r="384" spans="1:19" ht="21.3">
      <c r="A384" s="585"/>
      <c r="B384" s="617" t="s">
        <v>215</v>
      </c>
      <c r="C384" s="1125" t="s">
        <v>216</v>
      </c>
      <c r="D384" s="1126"/>
      <c r="E384" s="624">
        <f t="shared" si="111"/>
        <v>0</v>
      </c>
      <c r="F384" s="625" t="s">
        <v>34</v>
      </c>
      <c r="G384" s="626">
        <v>113</v>
      </c>
      <c r="H384" s="627">
        <f t="shared" si="115"/>
        <v>0</v>
      </c>
      <c r="I384" s="628">
        <v>61</v>
      </c>
      <c r="J384" s="571">
        <f t="shared" si="94"/>
        <v>0</v>
      </c>
      <c r="K384" s="1060">
        <f t="shared" si="93"/>
        <v>0</v>
      </c>
      <c r="L384" s="1061"/>
      <c r="M384" s="574"/>
      <c r="N384" s="631">
        <f t="shared" si="97"/>
        <v>0</v>
      </c>
      <c r="O384" s="630">
        <v>0</v>
      </c>
      <c r="P384" s="624">
        <v>0</v>
      </c>
      <c r="Q384" s="574"/>
      <c r="R384" s="574"/>
      <c r="S384" s="574"/>
    </row>
    <row r="385" spans="1:24" ht="21.3">
      <c r="A385" s="585"/>
      <c r="B385" s="617" t="s">
        <v>217</v>
      </c>
      <c r="C385" s="1125" t="s">
        <v>218</v>
      </c>
      <c r="D385" s="1126"/>
      <c r="E385" s="624">
        <f t="shared" si="111"/>
        <v>5222.090000000002</v>
      </c>
      <c r="F385" s="625" t="s">
        <v>34</v>
      </c>
      <c r="G385" s="626">
        <v>113</v>
      </c>
      <c r="H385" s="627">
        <f t="shared" si="115"/>
        <v>590096.17000000027</v>
      </c>
      <c r="I385" s="628">
        <v>61</v>
      </c>
      <c r="J385" s="571">
        <f t="shared" si="94"/>
        <v>318547.49000000011</v>
      </c>
      <c r="K385" s="1060">
        <f t="shared" si="93"/>
        <v>908643.66000000038</v>
      </c>
      <c r="L385" s="1061"/>
      <c r="M385" s="574"/>
      <c r="N385" s="631">
        <f t="shared" si="97"/>
        <v>5222.090000000002</v>
      </c>
      <c r="O385" s="630">
        <v>0</v>
      </c>
      <c r="P385" s="624">
        <v>5222.090000000002</v>
      </c>
      <c r="Q385" s="574"/>
      <c r="R385" s="574"/>
      <c r="S385" s="574"/>
    </row>
    <row r="386" spans="1:24" ht="21.3">
      <c r="A386" s="585"/>
      <c r="B386" s="617" t="s">
        <v>219</v>
      </c>
      <c r="C386" s="1125" t="s">
        <v>220</v>
      </c>
      <c r="D386" s="1124"/>
      <c r="E386" s="624">
        <f t="shared" si="111"/>
        <v>126.60000000000002</v>
      </c>
      <c r="F386" s="625" t="s">
        <v>34</v>
      </c>
      <c r="G386" s="626">
        <v>113</v>
      </c>
      <c r="H386" s="627">
        <f t="shared" si="115"/>
        <v>14305.800000000003</v>
      </c>
      <c r="I386" s="628">
        <v>61</v>
      </c>
      <c r="J386" s="571">
        <f t="shared" si="94"/>
        <v>7722.6000000000013</v>
      </c>
      <c r="K386" s="1060">
        <f t="shared" si="93"/>
        <v>22028.400000000005</v>
      </c>
      <c r="L386" s="1061"/>
      <c r="M386" s="574"/>
      <c r="N386" s="631">
        <f t="shared" si="97"/>
        <v>126.60000000000002</v>
      </c>
      <c r="O386" s="630">
        <v>0</v>
      </c>
      <c r="P386" s="624">
        <v>126.60000000000002</v>
      </c>
      <c r="Q386" s="574"/>
      <c r="R386" s="574"/>
      <c r="S386" s="574"/>
    </row>
    <row r="387" spans="1:24" ht="21.3">
      <c r="A387" s="585"/>
      <c r="B387" s="617" t="s">
        <v>221</v>
      </c>
      <c r="C387" s="1125" t="s">
        <v>222</v>
      </c>
      <c r="D387" s="1124"/>
      <c r="E387" s="624">
        <f t="shared" si="111"/>
        <v>30.7</v>
      </c>
      <c r="F387" s="625" t="s">
        <v>34</v>
      </c>
      <c r="G387" s="626">
        <v>583</v>
      </c>
      <c r="H387" s="627">
        <f t="shared" si="115"/>
        <v>17898.099999999999</v>
      </c>
      <c r="I387" s="628">
        <v>298</v>
      </c>
      <c r="J387" s="571">
        <f t="shared" si="94"/>
        <v>9148.6</v>
      </c>
      <c r="K387" s="1060">
        <f t="shared" si="93"/>
        <v>27046.699999999997</v>
      </c>
      <c r="L387" s="1061"/>
      <c r="M387" s="574"/>
      <c r="N387" s="631">
        <f t="shared" si="97"/>
        <v>30.7</v>
      </c>
      <c r="O387" s="630">
        <v>0</v>
      </c>
      <c r="P387" s="624">
        <v>30.7</v>
      </c>
      <c r="Q387" s="574"/>
      <c r="R387" s="574"/>
      <c r="S387" s="574"/>
    </row>
    <row r="388" spans="1:24" ht="21.3">
      <c r="A388" s="585"/>
      <c r="B388" s="617" t="s">
        <v>593</v>
      </c>
      <c r="C388" s="1127" t="s">
        <v>594</v>
      </c>
      <c r="D388" s="1126"/>
      <c r="E388" s="624">
        <f t="shared" si="111"/>
        <v>0</v>
      </c>
      <c r="F388" s="625" t="s">
        <v>34</v>
      </c>
      <c r="G388" s="626">
        <v>533</v>
      </c>
      <c r="H388" s="627">
        <f t="shared" si="115"/>
        <v>0</v>
      </c>
      <c r="I388" s="628">
        <v>130</v>
      </c>
      <c r="J388" s="571">
        <f t="shared" si="94"/>
        <v>0</v>
      </c>
      <c r="K388" s="1060">
        <f t="shared" si="93"/>
        <v>0</v>
      </c>
      <c r="L388" s="1061"/>
      <c r="M388" s="574"/>
      <c r="N388" s="631">
        <f t="shared" si="97"/>
        <v>0</v>
      </c>
      <c r="O388" s="630">
        <v>0</v>
      </c>
      <c r="P388" s="624"/>
      <c r="Q388" s="574"/>
      <c r="R388" s="574"/>
      <c r="S388" s="574"/>
    </row>
    <row r="389" spans="1:24" ht="21.3">
      <c r="A389" s="585"/>
      <c r="B389" s="617" t="s">
        <v>238</v>
      </c>
      <c r="C389" s="1127" t="s">
        <v>595</v>
      </c>
      <c r="D389" s="1126"/>
      <c r="E389" s="624">
        <f t="shared" si="111"/>
        <v>0</v>
      </c>
      <c r="F389" s="625" t="s">
        <v>34</v>
      </c>
      <c r="G389" s="626">
        <v>4810</v>
      </c>
      <c r="H389" s="627">
        <f t="shared" si="115"/>
        <v>0</v>
      </c>
      <c r="I389" s="628">
        <v>1640</v>
      </c>
      <c r="J389" s="571">
        <f t="shared" si="94"/>
        <v>0</v>
      </c>
      <c r="K389" s="1060">
        <f t="shared" si="93"/>
        <v>0</v>
      </c>
      <c r="L389" s="1061"/>
      <c r="M389" s="574"/>
      <c r="N389" s="631">
        <f t="shared" si="97"/>
        <v>0</v>
      </c>
      <c r="O389" s="630">
        <v>0</v>
      </c>
      <c r="P389" s="624"/>
      <c r="Q389" s="574"/>
      <c r="R389" s="574"/>
      <c r="S389" s="574"/>
    </row>
    <row r="390" spans="1:24" ht="21.3">
      <c r="A390" s="585"/>
      <c r="B390" s="617" t="s">
        <v>596</v>
      </c>
      <c r="C390" s="1127" t="s">
        <v>597</v>
      </c>
      <c r="D390" s="1124"/>
      <c r="E390" s="624">
        <f t="shared" si="111"/>
        <v>0</v>
      </c>
      <c r="F390" s="625" t="s">
        <v>34</v>
      </c>
      <c r="G390" s="626">
        <v>253</v>
      </c>
      <c r="H390" s="627">
        <f t="shared" si="115"/>
        <v>0</v>
      </c>
      <c r="I390" s="628">
        <v>50</v>
      </c>
      <c r="J390" s="571">
        <f t="shared" si="94"/>
        <v>0</v>
      </c>
      <c r="K390" s="1060">
        <f t="shared" si="93"/>
        <v>0</v>
      </c>
      <c r="L390" s="1061"/>
      <c r="M390" s="574"/>
      <c r="N390" s="631">
        <f t="shared" si="97"/>
        <v>0</v>
      </c>
      <c r="O390" s="630">
        <v>0</v>
      </c>
      <c r="P390" s="624"/>
      <c r="Q390" s="574"/>
      <c r="R390" s="574"/>
      <c r="S390" s="574"/>
    </row>
    <row r="391" spans="1:24" ht="21.3">
      <c r="A391" s="585"/>
      <c r="B391" s="617" t="s">
        <v>598</v>
      </c>
      <c r="C391" s="1127" t="s">
        <v>599</v>
      </c>
      <c r="D391" s="1124"/>
      <c r="E391" s="624">
        <f t="shared" si="111"/>
        <v>0</v>
      </c>
      <c r="F391" s="625" t="s">
        <v>34</v>
      </c>
      <c r="G391" s="626">
        <v>1964</v>
      </c>
      <c r="H391" s="627">
        <f t="shared" si="115"/>
        <v>0</v>
      </c>
      <c r="I391" s="628">
        <v>220</v>
      </c>
      <c r="J391" s="571">
        <f t="shared" si="94"/>
        <v>0</v>
      </c>
      <c r="K391" s="1060">
        <f t="shared" si="93"/>
        <v>0</v>
      </c>
      <c r="L391" s="1061"/>
      <c r="M391" s="632"/>
      <c r="N391" s="631">
        <f t="shared" si="97"/>
        <v>0</v>
      </c>
      <c r="O391" s="630">
        <v>0</v>
      </c>
      <c r="P391" s="624"/>
      <c r="Q391" s="632"/>
      <c r="R391" s="632"/>
      <c r="S391" s="632"/>
    </row>
    <row r="392" spans="1:24" s="574" customFormat="1" ht="24" customHeight="1">
      <c r="A392" s="585"/>
      <c r="B392" s="617"/>
      <c r="C392" s="1128" t="s">
        <v>223</v>
      </c>
      <c r="D392" s="1126"/>
      <c r="E392" s="624"/>
      <c r="F392" s="625"/>
      <c r="G392" s="626"/>
      <c r="H392" s="627">
        <f t="shared" ref="H392:H394" si="116">SUM(E392*G392)</f>
        <v>0</v>
      </c>
      <c r="I392" s="628"/>
      <c r="J392" s="633">
        <f t="shared" ref="J392:J394" si="117">SUM(E392*I392)</f>
        <v>0</v>
      </c>
      <c r="K392" s="626">
        <f t="shared" ref="K392:K394" si="118">SUM(H392+J392)</f>
        <v>0</v>
      </c>
      <c r="L392" s="1063"/>
      <c r="M392" s="634"/>
      <c r="N392" s="635">
        <f t="shared" si="97"/>
        <v>0</v>
      </c>
      <c r="O392" s="636">
        <v>0</v>
      </c>
      <c r="P392" s="637"/>
      <c r="Q392" s="634"/>
      <c r="R392" s="634"/>
      <c r="S392" s="634"/>
      <c r="T392" s="634"/>
      <c r="U392" s="634"/>
      <c r="V392" s="634"/>
      <c r="W392" s="634"/>
      <c r="X392" s="634"/>
    </row>
    <row r="393" spans="1:24" s="574" customFormat="1" ht="24" customHeight="1">
      <c r="A393" s="585"/>
      <c r="B393" s="617" t="s">
        <v>224</v>
      </c>
      <c r="C393" s="1125" t="s">
        <v>225</v>
      </c>
      <c r="D393" s="1124"/>
      <c r="E393" s="624">
        <f t="shared" si="111"/>
        <v>1667.6</v>
      </c>
      <c r="F393" s="625" t="s">
        <v>226</v>
      </c>
      <c r="G393" s="626">
        <v>200</v>
      </c>
      <c r="H393" s="627">
        <f t="shared" si="116"/>
        <v>333520</v>
      </c>
      <c r="I393" s="628">
        <v>45</v>
      </c>
      <c r="J393" s="633">
        <f t="shared" si="117"/>
        <v>75042</v>
      </c>
      <c r="K393" s="626">
        <f t="shared" si="118"/>
        <v>408562</v>
      </c>
      <c r="L393" s="1064"/>
      <c r="M393" s="634"/>
      <c r="N393" s="635">
        <f t="shared" si="97"/>
        <v>1667.6</v>
      </c>
      <c r="O393" s="636">
        <v>0</v>
      </c>
      <c r="P393" s="637">
        <v>1667.6</v>
      </c>
      <c r="Q393" s="634"/>
      <c r="R393" s="634"/>
      <c r="S393" s="634"/>
      <c r="T393" s="634"/>
      <c r="U393" s="634"/>
      <c r="V393" s="634"/>
      <c r="W393" s="634"/>
      <c r="X393" s="634"/>
    </row>
    <row r="394" spans="1:24" s="574" customFormat="1" ht="24" customHeight="1">
      <c r="A394" s="585"/>
      <c r="B394" s="617" t="s">
        <v>227</v>
      </c>
      <c r="C394" s="1125" t="s">
        <v>228</v>
      </c>
      <c r="D394" s="1124"/>
      <c r="E394" s="624">
        <f t="shared" si="111"/>
        <v>349.26000000000005</v>
      </c>
      <c r="F394" s="625" t="s">
        <v>226</v>
      </c>
      <c r="G394" s="626">
        <v>19</v>
      </c>
      <c r="H394" s="627">
        <f t="shared" si="116"/>
        <v>6635.9400000000005</v>
      </c>
      <c r="I394" s="628">
        <v>20</v>
      </c>
      <c r="J394" s="633">
        <f t="shared" si="117"/>
        <v>6985.2000000000007</v>
      </c>
      <c r="K394" s="626">
        <f t="shared" si="118"/>
        <v>13621.140000000001</v>
      </c>
      <c r="L394" s="1064"/>
      <c r="M394" s="634"/>
      <c r="N394" s="635">
        <f t="shared" si="97"/>
        <v>349.26000000000005</v>
      </c>
      <c r="O394" s="636">
        <v>0</v>
      </c>
      <c r="P394" s="637">
        <v>349.26000000000005</v>
      </c>
      <c r="Q394" s="634"/>
      <c r="R394" s="634"/>
      <c r="S394" s="634"/>
      <c r="T394" s="634"/>
      <c r="U394" s="634"/>
      <c r="V394" s="634"/>
      <c r="W394" s="634"/>
      <c r="X394" s="634"/>
    </row>
    <row r="395" spans="1:24">
      <c r="A395" s="585"/>
      <c r="B395" s="1114"/>
      <c r="C395" s="639"/>
      <c r="D395" s="1124"/>
      <c r="E395" s="618"/>
      <c r="F395" s="625"/>
      <c r="G395" s="650"/>
      <c r="H395" s="571">
        <f t="shared" ref="H395:H431" si="119">+E395*G395</f>
        <v>0</v>
      </c>
      <c r="I395" s="651"/>
      <c r="J395" s="571">
        <f t="shared" si="94"/>
        <v>0</v>
      </c>
      <c r="K395" s="1060">
        <f t="shared" si="93"/>
        <v>0</v>
      </c>
      <c r="L395" s="1065"/>
      <c r="M395" s="574"/>
      <c r="N395" s="652">
        <f t="shared" si="97"/>
        <v>0</v>
      </c>
      <c r="O395" s="622">
        <v>0</v>
      </c>
      <c r="P395" s="618"/>
      <c r="Q395" s="574"/>
      <c r="R395" s="574"/>
      <c r="S395" s="574"/>
    </row>
    <row r="396" spans="1:24">
      <c r="A396" s="585" t="s">
        <v>250</v>
      </c>
      <c r="B396" s="1114" t="s">
        <v>251</v>
      </c>
      <c r="C396" s="639"/>
      <c r="D396" s="1124"/>
      <c r="E396" s="618"/>
      <c r="F396" s="625"/>
      <c r="G396" s="650"/>
      <c r="H396" s="571">
        <f t="shared" si="119"/>
        <v>0</v>
      </c>
      <c r="I396" s="651"/>
      <c r="J396" s="571">
        <f t="shared" si="94"/>
        <v>0</v>
      </c>
      <c r="K396" s="1060">
        <f t="shared" si="93"/>
        <v>0</v>
      </c>
      <c r="L396" s="1065"/>
      <c r="M396" s="574"/>
      <c r="N396" s="621">
        <f t="shared" si="97"/>
        <v>0</v>
      </c>
      <c r="O396" s="622">
        <v>0</v>
      </c>
      <c r="P396" s="618"/>
      <c r="Q396" s="574"/>
      <c r="R396" s="574"/>
      <c r="S396" s="574"/>
    </row>
    <row r="397" spans="1:24" ht="21.3">
      <c r="A397" s="585"/>
      <c r="B397" s="1114"/>
      <c r="C397" s="617" t="s">
        <v>231</v>
      </c>
      <c r="D397" s="1124"/>
      <c r="E397" s="624">
        <f>+E398+E399+E400+E402+E404+E406+E408+E411+E413+E419+E420+E422+E423</f>
        <v>427.64</v>
      </c>
      <c r="F397" s="625" t="s">
        <v>34</v>
      </c>
      <c r="G397" s="626">
        <v>113</v>
      </c>
      <c r="H397" s="627">
        <f t="shared" ref="H397:H409" si="120">SUM(E397*G397)</f>
        <v>48323.32</v>
      </c>
      <c r="I397" s="628">
        <v>61</v>
      </c>
      <c r="J397" s="571">
        <f t="shared" si="94"/>
        <v>26086.04</v>
      </c>
      <c r="K397" s="1060">
        <f t="shared" si="93"/>
        <v>74409.36</v>
      </c>
      <c r="L397" s="1062"/>
      <c r="M397" s="574"/>
      <c r="N397" s="629">
        <f t="shared" si="97"/>
        <v>0</v>
      </c>
      <c r="O397" s="630">
        <v>0</v>
      </c>
      <c r="P397" s="624"/>
      <c r="Q397" s="574"/>
      <c r="R397" s="574"/>
      <c r="S397" s="574"/>
    </row>
    <row r="398" spans="1:24" ht="21.3">
      <c r="A398" s="585"/>
      <c r="B398" s="617" t="s">
        <v>184</v>
      </c>
      <c r="C398" s="617" t="s">
        <v>185</v>
      </c>
      <c r="D398" s="617"/>
      <c r="E398" s="624">
        <f>+N398</f>
        <v>0</v>
      </c>
      <c r="F398" s="625" t="s">
        <v>34</v>
      </c>
      <c r="G398" s="626">
        <v>564</v>
      </c>
      <c r="H398" s="627">
        <f t="shared" si="120"/>
        <v>0</v>
      </c>
      <c r="I398" s="628">
        <v>283</v>
      </c>
      <c r="J398" s="571">
        <f t="shared" si="94"/>
        <v>0</v>
      </c>
      <c r="K398" s="1060">
        <f t="shared" si="93"/>
        <v>0</v>
      </c>
      <c r="L398" s="1061"/>
      <c r="M398" s="574"/>
      <c r="N398" s="631">
        <f t="shared" si="97"/>
        <v>0</v>
      </c>
      <c r="O398" s="630">
        <v>0</v>
      </c>
      <c r="P398" s="624"/>
      <c r="Q398" s="574"/>
      <c r="R398" s="574"/>
      <c r="S398" s="574"/>
    </row>
    <row r="399" spans="1:24" ht="21.3">
      <c r="A399" s="585"/>
      <c r="B399" s="617" t="s">
        <v>186</v>
      </c>
      <c r="C399" s="1125" t="s">
        <v>187</v>
      </c>
      <c r="D399" s="1126"/>
      <c r="E399" s="624">
        <f t="shared" ref="E399:E426" si="121">+N399</f>
        <v>0</v>
      </c>
      <c r="F399" s="625" t="s">
        <v>34</v>
      </c>
      <c r="G399" s="626">
        <v>295</v>
      </c>
      <c r="H399" s="627">
        <f t="shared" si="120"/>
        <v>0</v>
      </c>
      <c r="I399" s="628">
        <v>184</v>
      </c>
      <c r="J399" s="571">
        <f t="shared" si="94"/>
        <v>0</v>
      </c>
      <c r="K399" s="1060">
        <f t="shared" si="93"/>
        <v>0</v>
      </c>
      <c r="L399" s="1061"/>
      <c r="M399" s="574"/>
      <c r="N399" s="631">
        <f t="shared" ref="N399:N481" si="122">+(1+O399)*P399</f>
        <v>0</v>
      </c>
      <c r="O399" s="630">
        <v>0</v>
      </c>
      <c r="P399" s="624"/>
      <c r="Q399" s="574"/>
      <c r="R399" s="574"/>
      <c r="S399" s="574"/>
    </row>
    <row r="400" spans="1:24" ht="21.3">
      <c r="A400" s="585"/>
      <c r="B400" s="617" t="s">
        <v>188</v>
      </c>
      <c r="C400" s="1125" t="s">
        <v>189</v>
      </c>
      <c r="D400" s="1126"/>
      <c r="E400" s="624">
        <f t="shared" si="121"/>
        <v>0</v>
      </c>
      <c r="F400" s="625" t="s">
        <v>34</v>
      </c>
      <c r="G400" s="626">
        <v>297</v>
      </c>
      <c r="H400" s="627">
        <f t="shared" si="120"/>
        <v>0</v>
      </c>
      <c r="I400" s="628">
        <v>204</v>
      </c>
      <c r="J400" s="571">
        <f t="shared" si="94"/>
        <v>0</v>
      </c>
      <c r="K400" s="1060">
        <f t="shared" ref="K400:K486" si="123">H400+J400</f>
        <v>0</v>
      </c>
      <c r="L400" s="1061"/>
      <c r="M400" s="574"/>
      <c r="N400" s="631">
        <f t="shared" si="122"/>
        <v>0</v>
      </c>
      <c r="O400" s="630">
        <v>0</v>
      </c>
      <c r="P400" s="624">
        <v>0</v>
      </c>
      <c r="Q400" s="574"/>
      <c r="R400" s="574"/>
      <c r="S400" s="574"/>
    </row>
    <row r="401" spans="1:19" ht="21.3">
      <c r="A401" s="585"/>
      <c r="B401" s="617" t="s">
        <v>190</v>
      </c>
      <c r="C401" s="1125" t="s">
        <v>191</v>
      </c>
      <c r="D401" s="1126"/>
      <c r="E401" s="624"/>
      <c r="F401" s="625" t="s">
        <v>34</v>
      </c>
      <c r="G401" s="626">
        <v>609</v>
      </c>
      <c r="H401" s="627">
        <f t="shared" ref="H401" si="124">SUM(E401*G401)</f>
        <v>0</v>
      </c>
      <c r="I401" s="628">
        <v>222</v>
      </c>
      <c r="J401" s="571">
        <f t="shared" ref="J401:J464" si="125">E401*I401</f>
        <v>0</v>
      </c>
      <c r="K401" s="1060">
        <f t="shared" si="123"/>
        <v>0</v>
      </c>
      <c r="L401" s="1061"/>
      <c r="M401" s="574"/>
      <c r="N401" s="631">
        <f t="shared" si="122"/>
        <v>215.2</v>
      </c>
      <c r="O401" s="630">
        <v>0</v>
      </c>
      <c r="P401" s="624">
        <v>215.2</v>
      </c>
      <c r="Q401" s="574"/>
      <c r="R401" s="574"/>
      <c r="S401" s="574"/>
    </row>
    <row r="402" spans="1:19" ht="21.3">
      <c r="A402" s="585"/>
      <c r="B402" s="623" t="s">
        <v>2547</v>
      </c>
      <c r="C402" s="1125" t="s">
        <v>191</v>
      </c>
      <c r="D402" s="1126"/>
      <c r="E402" s="624">
        <f t="shared" si="121"/>
        <v>215.2</v>
      </c>
      <c r="F402" s="625" t="s">
        <v>34</v>
      </c>
      <c r="G402" s="626">
        <v>399</v>
      </c>
      <c r="H402" s="627">
        <f t="shared" si="120"/>
        <v>85864.799999999988</v>
      </c>
      <c r="I402" s="628">
        <v>222</v>
      </c>
      <c r="J402" s="571">
        <f t="shared" si="125"/>
        <v>47774.399999999994</v>
      </c>
      <c r="K402" s="1060">
        <f t="shared" si="123"/>
        <v>133639.19999999998</v>
      </c>
      <c r="L402" s="1061"/>
      <c r="M402" s="574"/>
      <c r="N402" s="631">
        <f t="shared" si="122"/>
        <v>215.2</v>
      </c>
      <c r="O402" s="630">
        <v>0</v>
      </c>
      <c r="P402" s="624">
        <v>215.2</v>
      </c>
      <c r="Q402" s="574"/>
      <c r="R402" s="574"/>
      <c r="S402" s="574"/>
    </row>
    <row r="403" spans="1:19" ht="21.3">
      <c r="A403" s="585"/>
      <c r="B403" s="617" t="s">
        <v>192</v>
      </c>
      <c r="C403" s="1125" t="s">
        <v>193</v>
      </c>
      <c r="D403" s="1126"/>
      <c r="E403" s="624"/>
      <c r="F403" s="625" t="s">
        <v>34</v>
      </c>
      <c r="G403" s="626">
        <v>617</v>
      </c>
      <c r="H403" s="627">
        <f t="shared" ref="H403" si="126">SUM(E403*G403)</f>
        <v>0</v>
      </c>
      <c r="I403" s="628">
        <v>242</v>
      </c>
      <c r="J403" s="571">
        <f t="shared" si="125"/>
        <v>0</v>
      </c>
      <c r="K403" s="1060">
        <f t="shared" si="123"/>
        <v>0</v>
      </c>
      <c r="L403" s="1061"/>
      <c r="M403" s="574"/>
      <c r="N403" s="631">
        <f t="shared" si="122"/>
        <v>181.74</v>
      </c>
      <c r="O403" s="630">
        <v>0</v>
      </c>
      <c r="P403" s="624">
        <v>181.74</v>
      </c>
      <c r="Q403" s="574"/>
      <c r="R403" s="574"/>
      <c r="S403" s="574"/>
    </row>
    <row r="404" spans="1:19" ht="21.3">
      <c r="A404" s="585"/>
      <c r="B404" s="623" t="s">
        <v>2548</v>
      </c>
      <c r="C404" s="1125" t="s">
        <v>193</v>
      </c>
      <c r="D404" s="1126"/>
      <c r="E404" s="624">
        <f t="shared" si="121"/>
        <v>181.74</v>
      </c>
      <c r="F404" s="625" t="s">
        <v>34</v>
      </c>
      <c r="G404" s="626">
        <v>399</v>
      </c>
      <c r="H404" s="627">
        <f t="shared" si="120"/>
        <v>72514.260000000009</v>
      </c>
      <c r="I404" s="628">
        <v>242</v>
      </c>
      <c r="J404" s="571">
        <f t="shared" si="125"/>
        <v>43981.08</v>
      </c>
      <c r="K404" s="1060">
        <f t="shared" si="123"/>
        <v>116495.34000000001</v>
      </c>
      <c r="L404" s="1061"/>
      <c r="M404" s="574"/>
      <c r="N404" s="631">
        <f t="shared" si="122"/>
        <v>181.74</v>
      </c>
      <c r="O404" s="630">
        <v>0</v>
      </c>
      <c r="P404" s="624">
        <v>181.74</v>
      </c>
      <c r="Q404" s="574"/>
      <c r="R404" s="574"/>
      <c r="S404" s="574"/>
    </row>
    <row r="405" spans="1:19" ht="21.3">
      <c r="A405" s="585"/>
      <c r="B405" s="617" t="s">
        <v>194</v>
      </c>
      <c r="C405" s="1125" t="s">
        <v>195</v>
      </c>
      <c r="D405" s="1126"/>
      <c r="E405" s="624">
        <f t="shared" si="121"/>
        <v>124.26</v>
      </c>
      <c r="F405" s="625" t="s">
        <v>34</v>
      </c>
      <c r="G405" s="626">
        <v>420</v>
      </c>
      <c r="H405" s="627">
        <f t="shared" si="120"/>
        <v>52189.200000000004</v>
      </c>
      <c r="I405" s="628">
        <v>100</v>
      </c>
      <c r="J405" s="571">
        <f t="shared" si="125"/>
        <v>12426</v>
      </c>
      <c r="K405" s="1060">
        <f t="shared" si="123"/>
        <v>64615.200000000004</v>
      </c>
      <c r="L405" s="1061"/>
      <c r="M405" s="574"/>
      <c r="N405" s="631">
        <f t="shared" si="122"/>
        <v>124.26</v>
      </c>
      <c r="O405" s="630">
        <v>0</v>
      </c>
      <c r="P405" s="624">
        <v>124.26</v>
      </c>
      <c r="Q405" s="574"/>
      <c r="R405" s="574"/>
      <c r="S405" s="574"/>
    </row>
    <row r="406" spans="1:19" ht="21.3">
      <c r="A406" s="585"/>
      <c r="B406" s="617" t="s">
        <v>196</v>
      </c>
      <c r="C406" s="1125" t="s">
        <v>197</v>
      </c>
      <c r="D406" s="1126"/>
      <c r="E406" s="624">
        <f t="shared" si="121"/>
        <v>0</v>
      </c>
      <c r="F406" s="625" t="s">
        <v>34</v>
      </c>
      <c r="G406" s="626">
        <v>564</v>
      </c>
      <c r="H406" s="627">
        <f t="shared" si="120"/>
        <v>0</v>
      </c>
      <c r="I406" s="628">
        <v>283</v>
      </c>
      <c r="J406" s="571">
        <f t="shared" si="125"/>
        <v>0</v>
      </c>
      <c r="K406" s="1060">
        <f t="shared" si="123"/>
        <v>0</v>
      </c>
      <c r="L406" s="1061"/>
      <c r="M406" s="574"/>
      <c r="N406" s="631">
        <f t="shared" si="122"/>
        <v>0</v>
      </c>
      <c r="O406" s="630">
        <v>0</v>
      </c>
      <c r="P406" s="624"/>
      <c r="Q406" s="574"/>
      <c r="R406" s="574"/>
      <c r="S406" s="574"/>
    </row>
    <row r="407" spans="1:19" ht="21.3">
      <c r="A407" s="585"/>
      <c r="B407" s="617"/>
      <c r="C407" s="617" t="s">
        <v>198</v>
      </c>
      <c r="D407" s="617"/>
      <c r="E407" s="624">
        <f t="shared" si="121"/>
        <v>0</v>
      </c>
      <c r="F407" s="619"/>
      <c r="G407" s="626"/>
      <c r="H407" s="627">
        <f t="shared" si="120"/>
        <v>0</v>
      </c>
      <c r="I407" s="628"/>
      <c r="J407" s="571">
        <f t="shared" si="125"/>
        <v>0</v>
      </c>
      <c r="K407" s="1060">
        <f t="shared" si="123"/>
        <v>0</v>
      </c>
      <c r="L407" s="1061"/>
      <c r="M407" s="574"/>
      <c r="N407" s="631">
        <f t="shared" si="122"/>
        <v>0</v>
      </c>
      <c r="O407" s="630">
        <v>0</v>
      </c>
      <c r="P407" s="624"/>
      <c r="Q407" s="574"/>
      <c r="R407" s="574"/>
      <c r="S407" s="574"/>
    </row>
    <row r="408" spans="1:19" ht="21.3">
      <c r="A408" s="585"/>
      <c r="B408" s="617" t="s">
        <v>199</v>
      </c>
      <c r="C408" s="617" t="s">
        <v>200</v>
      </c>
      <c r="D408" s="617"/>
      <c r="E408" s="624">
        <f t="shared" si="121"/>
        <v>0</v>
      </c>
      <c r="F408" s="625" t="s">
        <v>34</v>
      </c>
      <c r="G408" s="626">
        <v>3570</v>
      </c>
      <c r="H408" s="627">
        <f t="shared" si="120"/>
        <v>0</v>
      </c>
      <c r="I408" s="628">
        <v>220</v>
      </c>
      <c r="J408" s="571">
        <f t="shared" si="125"/>
        <v>0</v>
      </c>
      <c r="K408" s="1060">
        <f t="shared" si="123"/>
        <v>0</v>
      </c>
      <c r="L408" s="1061"/>
      <c r="M408" s="574"/>
      <c r="N408" s="631">
        <f t="shared" si="122"/>
        <v>0</v>
      </c>
      <c r="O408" s="630">
        <v>0</v>
      </c>
      <c r="P408" s="624"/>
      <c r="Q408" s="574"/>
      <c r="R408" s="574"/>
      <c r="S408" s="574"/>
    </row>
    <row r="409" spans="1:19" ht="21.3">
      <c r="A409" s="585"/>
      <c r="B409" s="617" t="s">
        <v>201</v>
      </c>
      <c r="C409" s="617" t="s">
        <v>202</v>
      </c>
      <c r="D409" s="617"/>
      <c r="E409" s="624">
        <f t="shared" si="121"/>
        <v>17.600000000000001</v>
      </c>
      <c r="F409" s="625" t="s">
        <v>34</v>
      </c>
      <c r="G409" s="626">
        <f>ROUNDUP(2227.6*0.05+5*2.95,0)</f>
        <v>127</v>
      </c>
      <c r="H409" s="627">
        <f t="shared" si="120"/>
        <v>2235.2000000000003</v>
      </c>
      <c r="I409" s="628">
        <v>82</v>
      </c>
      <c r="J409" s="571">
        <f t="shared" si="125"/>
        <v>1443.2</v>
      </c>
      <c r="K409" s="1060">
        <f t="shared" si="123"/>
        <v>3678.4000000000005</v>
      </c>
      <c r="L409" s="1061"/>
      <c r="M409" s="574"/>
      <c r="N409" s="631">
        <f t="shared" si="122"/>
        <v>17.600000000000001</v>
      </c>
      <c r="O409" s="630">
        <v>0</v>
      </c>
      <c r="P409" s="624">
        <v>17.600000000000001</v>
      </c>
      <c r="Q409" s="574"/>
      <c r="R409" s="574"/>
      <c r="S409" s="574"/>
    </row>
    <row r="410" spans="1:19" ht="21.3">
      <c r="A410" s="585"/>
      <c r="B410" s="617" t="s">
        <v>203</v>
      </c>
      <c r="C410" s="1125" t="s">
        <v>204</v>
      </c>
      <c r="D410" s="1126"/>
      <c r="E410" s="624">
        <f t="shared" si="121"/>
        <v>0</v>
      </c>
      <c r="F410" s="625" t="s">
        <v>34</v>
      </c>
      <c r="G410" s="628">
        <v>120</v>
      </c>
      <c r="H410" s="627">
        <f t="shared" ref="H410:H413" si="127">E410*G410</f>
        <v>0</v>
      </c>
      <c r="I410" s="628">
        <v>61</v>
      </c>
      <c r="J410" s="571">
        <f t="shared" si="125"/>
        <v>0</v>
      </c>
      <c r="K410" s="1060">
        <f t="shared" si="123"/>
        <v>0</v>
      </c>
      <c r="L410" s="1061"/>
      <c r="M410" s="574"/>
      <c r="N410" s="631">
        <f t="shared" si="122"/>
        <v>0</v>
      </c>
      <c r="O410" s="630">
        <v>0</v>
      </c>
      <c r="P410" s="624"/>
      <c r="Q410" s="574"/>
      <c r="R410" s="574"/>
      <c r="S410" s="574"/>
    </row>
    <row r="411" spans="1:19" ht="21.3">
      <c r="A411" s="585"/>
      <c r="B411" s="617" t="s">
        <v>205</v>
      </c>
      <c r="C411" s="617" t="s">
        <v>206</v>
      </c>
      <c r="D411" s="617"/>
      <c r="E411" s="624">
        <f t="shared" si="121"/>
        <v>0</v>
      </c>
      <c r="F411" s="625" t="s">
        <v>34</v>
      </c>
      <c r="G411" s="626">
        <v>447</v>
      </c>
      <c r="H411" s="627">
        <f t="shared" si="127"/>
        <v>0</v>
      </c>
      <c r="I411" s="628">
        <v>212</v>
      </c>
      <c r="J411" s="571">
        <f t="shared" si="125"/>
        <v>0</v>
      </c>
      <c r="K411" s="1060">
        <f t="shared" si="123"/>
        <v>0</v>
      </c>
      <c r="L411" s="1061"/>
      <c r="M411" s="574"/>
      <c r="N411" s="631">
        <f t="shared" si="122"/>
        <v>0</v>
      </c>
      <c r="O411" s="630">
        <v>0</v>
      </c>
      <c r="P411" s="624"/>
      <c r="Q411" s="574"/>
      <c r="R411" s="574"/>
      <c r="S411" s="574"/>
    </row>
    <row r="412" spans="1:19" ht="21.3">
      <c r="A412" s="585"/>
      <c r="B412" s="617" t="s">
        <v>207</v>
      </c>
      <c r="C412" s="1125" t="s">
        <v>208</v>
      </c>
      <c r="D412" s="1126"/>
      <c r="E412" s="624">
        <f t="shared" si="121"/>
        <v>0</v>
      </c>
      <c r="F412" s="625" t="s">
        <v>34</v>
      </c>
      <c r="G412" s="628">
        <v>240</v>
      </c>
      <c r="H412" s="627">
        <f t="shared" si="127"/>
        <v>0</v>
      </c>
      <c r="I412" s="628">
        <v>80</v>
      </c>
      <c r="J412" s="571">
        <f t="shared" si="125"/>
        <v>0</v>
      </c>
      <c r="K412" s="1060">
        <f t="shared" si="123"/>
        <v>0</v>
      </c>
      <c r="L412" s="1061"/>
      <c r="M412" s="574"/>
      <c r="N412" s="631">
        <f t="shared" si="122"/>
        <v>0</v>
      </c>
      <c r="O412" s="630">
        <v>0</v>
      </c>
      <c r="P412" s="624"/>
      <c r="Q412" s="574"/>
      <c r="R412" s="574"/>
      <c r="S412" s="574"/>
    </row>
    <row r="413" spans="1:19" ht="21.3">
      <c r="A413" s="585"/>
      <c r="B413" s="617" t="s">
        <v>209</v>
      </c>
      <c r="C413" s="1125" t="s">
        <v>210</v>
      </c>
      <c r="D413" s="1126"/>
      <c r="E413" s="624">
        <f t="shared" si="121"/>
        <v>0</v>
      </c>
      <c r="F413" s="625" t="s">
        <v>34</v>
      </c>
      <c r="G413" s="628">
        <v>230</v>
      </c>
      <c r="H413" s="627">
        <f t="shared" si="127"/>
        <v>0</v>
      </c>
      <c r="I413" s="628">
        <v>0</v>
      </c>
      <c r="J413" s="571">
        <f t="shared" si="125"/>
        <v>0</v>
      </c>
      <c r="K413" s="1060">
        <f t="shared" si="123"/>
        <v>0</v>
      </c>
      <c r="L413" s="1061"/>
      <c r="M413" s="574"/>
      <c r="N413" s="631">
        <f t="shared" si="122"/>
        <v>0</v>
      </c>
      <c r="O413" s="630">
        <v>0</v>
      </c>
      <c r="P413" s="624"/>
      <c r="Q413" s="574"/>
      <c r="R413" s="574"/>
      <c r="S413" s="574"/>
    </row>
    <row r="414" spans="1:19" ht="21.3">
      <c r="A414" s="585"/>
      <c r="B414" s="617" t="s">
        <v>211</v>
      </c>
      <c r="C414" s="1125" t="s">
        <v>212</v>
      </c>
      <c r="D414" s="1126"/>
      <c r="E414" s="624">
        <f t="shared" si="121"/>
        <v>10</v>
      </c>
      <c r="F414" s="625" t="s">
        <v>34</v>
      </c>
      <c r="G414" s="626">
        <v>220</v>
      </c>
      <c r="H414" s="627">
        <f t="shared" ref="H414:H423" si="128">SUM(E414*G414)</f>
        <v>2200</v>
      </c>
      <c r="I414" s="628">
        <v>80</v>
      </c>
      <c r="J414" s="571">
        <f t="shared" si="125"/>
        <v>800</v>
      </c>
      <c r="K414" s="1060">
        <f t="shared" si="123"/>
        <v>3000</v>
      </c>
      <c r="L414" s="1061"/>
      <c r="M414" s="574"/>
      <c r="N414" s="631">
        <f t="shared" si="122"/>
        <v>10</v>
      </c>
      <c r="O414" s="630">
        <v>0</v>
      </c>
      <c r="P414" s="624">
        <v>10</v>
      </c>
      <c r="Q414" s="574"/>
      <c r="R414" s="574"/>
      <c r="S414" s="574"/>
    </row>
    <row r="415" spans="1:19" ht="21.3">
      <c r="A415" s="585"/>
      <c r="B415" s="617" t="s">
        <v>213</v>
      </c>
      <c r="C415" s="1125" t="s">
        <v>214</v>
      </c>
      <c r="D415" s="1126"/>
      <c r="E415" s="624">
        <f t="shared" si="121"/>
        <v>0</v>
      </c>
      <c r="F415" s="625" t="s">
        <v>34</v>
      </c>
      <c r="G415" s="626">
        <v>113</v>
      </c>
      <c r="H415" s="627">
        <f t="shared" si="128"/>
        <v>0</v>
      </c>
      <c r="I415" s="628">
        <v>61</v>
      </c>
      <c r="J415" s="571">
        <f t="shared" si="125"/>
        <v>0</v>
      </c>
      <c r="K415" s="1060">
        <f t="shared" si="123"/>
        <v>0</v>
      </c>
      <c r="L415" s="1061"/>
      <c r="M415" s="574"/>
      <c r="N415" s="631">
        <f t="shared" si="122"/>
        <v>0</v>
      </c>
      <c r="O415" s="630">
        <v>0</v>
      </c>
      <c r="P415" s="624">
        <v>0</v>
      </c>
      <c r="Q415" s="574"/>
      <c r="R415" s="574"/>
      <c r="S415" s="574"/>
    </row>
    <row r="416" spans="1:19" ht="21.3">
      <c r="A416" s="585"/>
      <c r="B416" s="617" t="s">
        <v>215</v>
      </c>
      <c r="C416" s="1125" t="s">
        <v>216</v>
      </c>
      <c r="D416" s="1126"/>
      <c r="E416" s="624">
        <f t="shared" si="121"/>
        <v>0</v>
      </c>
      <c r="F416" s="625" t="s">
        <v>34</v>
      </c>
      <c r="G416" s="626">
        <v>113</v>
      </c>
      <c r="H416" s="627">
        <f t="shared" si="128"/>
        <v>0</v>
      </c>
      <c r="I416" s="628">
        <v>61</v>
      </c>
      <c r="J416" s="571">
        <f t="shared" si="125"/>
        <v>0</v>
      </c>
      <c r="K416" s="1060">
        <f t="shared" si="123"/>
        <v>0</v>
      </c>
      <c r="L416" s="1061"/>
      <c r="M416" s="574"/>
      <c r="N416" s="631">
        <f t="shared" si="122"/>
        <v>0</v>
      </c>
      <c r="O416" s="630">
        <v>0</v>
      </c>
      <c r="P416" s="624">
        <v>0</v>
      </c>
      <c r="Q416" s="574"/>
      <c r="R416" s="574"/>
      <c r="S416" s="574"/>
    </row>
    <row r="417" spans="1:24" ht="21.3">
      <c r="A417" s="585"/>
      <c r="B417" s="617" t="s">
        <v>217</v>
      </c>
      <c r="C417" s="1125" t="s">
        <v>218</v>
      </c>
      <c r="D417" s="1126"/>
      <c r="E417" s="624">
        <f t="shared" si="121"/>
        <v>5335.1200000000008</v>
      </c>
      <c r="F417" s="625" t="s">
        <v>34</v>
      </c>
      <c r="G417" s="626">
        <v>113</v>
      </c>
      <c r="H417" s="627">
        <f t="shared" si="128"/>
        <v>602868.56000000006</v>
      </c>
      <c r="I417" s="628">
        <v>61</v>
      </c>
      <c r="J417" s="571">
        <f t="shared" si="125"/>
        <v>325442.32000000007</v>
      </c>
      <c r="K417" s="1060">
        <f t="shared" si="123"/>
        <v>928310.88000000012</v>
      </c>
      <c r="L417" s="1061"/>
      <c r="M417" s="574"/>
      <c r="N417" s="631">
        <f t="shared" si="122"/>
        <v>5335.1200000000008</v>
      </c>
      <c r="O417" s="630">
        <v>0</v>
      </c>
      <c r="P417" s="624">
        <v>5335.1200000000008</v>
      </c>
      <c r="Q417" s="574"/>
      <c r="R417" s="574"/>
      <c r="S417" s="574"/>
    </row>
    <row r="418" spans="1:24" ht="21.3">
      <c r="A418" s="585"/>
      <c r="B418" s="617" t="s">
        <v>219</v>
      </c>
      <c r="C418" s="1125" t="s">
        <v>220</v>
      </c>
      <c r="D418" s="1124"/>
      <c r="E418" s="624">
        <f t="shared" si="121"/>
        <v>89.2</v>
      </c>
      <c r="F418" s="625" t="s">
        <v>34</v>
      </c>
      <c r="G418" s="626">
        <v>113</v>
      </c>
      <c r="H418" s="627">
        <f t="shared" si="128"/>
        <v>10079.6</v>
      </c>
      <c r="I418" s="628">
        <v>61</v>
      </c>
      <c r="J418" s="571">
        <f t="shared" si="125"/>
        <v>5441.2</v>
      </c>
      <c r="K418" s="1060">
        <f t="shared" si="123"/>
        <v>15520.8</v>
      </c>
      <c r="L418" s="1061"/>
      <c r="M418" s="574"/>
      <c r="N418" s="631">
        <f t="shared" si="122"/>
        <v>89.2</v>
      </c>
      <c r="O418" s="630">
        <v>0</v>
      </c>
      <c r="P418" s="624">
        <v>89.2</v>
      </c>
      <c r="Q418" s="574"/>
      <c r="R418" s="574"/>
      <c r="S418" s="574"/>
    </row>
    <row r="419" spans="1:24" ht="21.3">
      <c r="A419" s="585"/>
      <c r="B419" s="617" t="s">
        <v>221</v>
      </c>
      <c r="C419" s="1125" t="s">
        <v>222</v>
      </c>
      <c r="D419" s="1124"/>
      <c r="E419" s="624">
        <f t="shared" si="121"/>
        <v>30.7</v>
      </c>
      <c r="F419" s="625" t="s">
        <v>34</v>
      </c>
      <c r="G419" s="626">
        <v>583</v>
      </c>
      <c r="H419" s="627">
        <f t="shared" si="128"/>
        <v>17898.099999999999</v>
      </c>
      <c r="I419" s="628">
        <v>298</v>
      </c>
      <c r="J419" s="571">
        <f t="shared" si="125"/>
        <v>9148.6</v>
      </c>
      <c r="K419" s="1060">
        <f t="shared" si="123"/>
        <v>27046.699999999997</v>
      </c>
      <c r="L419" s="1061"/>
      <c r="M419" s="574"/>
      <c r="N419" s="631">
        <f t="shared" si="122"/>
        <v>30.7</v>
      </c>
      <c r="O419" s="630">
        <v>0</v>
      </c>
      <c r="P419" s="624">
        <v>30.7</v>
      </c>
      <c r="Q419" s="574"/>
      <c r="R419" s="574"/>
      <c r="S419" s="574"/>
    </row>
    <row r="420" spans="1:24" ht="21.3">
      <c r="A420" s="585"/>
      <c r="B420" s="617" t="s">
        <v>593</v>
      </c>
      <c r="C420" s="1127" t="s">
        <v>594</v>
      </c>
      <c r="D420" s="1126"/>
      <c r="E420" s="624">
        <f t="shared" si="121"/>
        <v>0</v>
      </c>
      <c r="F420" s="625" t="s">
        <v>34</v>
      </c>
      <c r="G420" s="626">
        <v>533</v>
      </c>
      <c r="H420" s="627">
        <f t="shared" si="128"/>
        <v>0</v>
      </c>
      <c r="I420" s="628">
        <v>130</v>
      </c>
      <c r="J420" s="571">
        <f t="shared" si="125"/>
        <v>0</v>
      </c>
      <c r="K420" s="1060">
        <f t="shared" si="123"/>
        <v>0</v>
      </c>
      <c r="L420" s="1061"/>
      <c r="M420" s="574"/>
      <c r="N420" s="631">
        <f t="shared" si="122"/>
        <v>0</v>
      </c>
      <c r="O420" s="630">
        <v>0</v>
      </c>
      <c r="P420" s="624"/>
      <c r="Q420" s="574"/>
      <c r="R420" s="574"/>
      <c r="S420" s="574"/>
    </row>
    <row r="421" spans="1:24" ht="21.3">
      <c r="A421" s="585"/>
      <c r="B421" s="617" t="s">
        <v>238</v>
      </c>
      <c r="C421" s="1127" t="s">
        <v>595</v>
      </c>
      <c r="D421" s="1126"/>
      <c r="E421" s="624">
        <f t="shared" si="121"/>
        <v>0</v>
      </c>
      <c r="F421" s="625" t="s">
        <v>34</v>
      </c>
      <c r="G421" s="626">
        <v>4810</v>
      </c>
      <c r="H421" s="627">
        <f t="shared" si="128"/>
        <v>0</v>
      </c>
      <c r="I421" s="628">
        <v>1640</v>
      </c>
      <c r="J421" s="571">
        <f t="shared" si="125"/>
        <v>0</v>
      </c>
      <c r="K421" s="1060">
        <f t="shared" si="123"/>
        <v>0</v>
      </c>
      <c r="L421" s="1061"/>
      <c r="M421" s="574"/>
      <c r="N421" s="631">
        <f t="shared" si="122"/>
        <v>0</v>
      </c>
      <c r="O421" s="630">
        <v>0</v>
      </c>
      <c r="P421" s="624"/>
      <c r="Q421" s="574"/>
      <c r="R421" s="574"/>
      <c r="S421" s="574"/>
    </row>
    <row r="422" spans="1:24" ht="21.3">
      <c r="A422" s="585"/>
      <c r="B422" s="617" t="s">
        <v>596</v>
      </c>
      <c r="C422" s="1127" t="s">
        <v>597</v>
      </c>
      <c r="D422" s="1124"/>
      <c r="E422" s="624">
        <f t="shared" si="121"/>
        <v>0</v>
      </c>
      <c r="F422" s="625" t="s">
        <v>34</v>
      </c>
      <c r="G422" s="626">
        <v>253</v>
      </c>
      <c r="H422" s="627">
        <f t="shared" si="128"/>
        <v>0</v>
      </c>
      <c r="I422" s="628">
        <v>50</v>
      </c>
      <c r="J422" s="571">
        <f t="shared" si="125"/>
        <v>0</v>
      </c>
      <c r="K422" s="1060">
        <f t="shared" si="123"/>
        <v>0</v>
      </c>
      <c r="L422" s="1061"/>
      <c r="M422" s="574"/>
      <c r="N422" s="631">
        <f t="shared" si="122"/>
        <v>0</v>
      </c>
      <c r="O422" s="630">
        <v>0</v>
      </c>
      <c r="P422" s="624"/>
      <c r="Q422" s="574"/>
      <c r="R422" s="574"/>
      <c r="S422" s="574"/>
    </row>
    <row r="423" spans="1:24" ht="21.3">
      <c r="A423" s="585"/>
      <c r="B423" s="617" t="s">
        <v>598</v>
      </c>
      <c r="C423" s="1127" t="s">
        <v>599</v>
      </c>
      <c r="D423" s="1124"/>
      <c r="E423" s="624">
        <f t="shared" si="121"/>
        <v>0</v>
      </c>
      <c r="F423" s="625" t="s">
        <v>34</v>
      </c>
      <c r="G423" s="626">
        <v>1964</v>
      </c>
      <c r="H423" s="627">
        <f t="shared" si="128"/>
        <v>0</v>
      </c>
      <c r="I423" s="628">
        <v>220</v>
      </c>
      <c r="J423" s="571">
        <f t="shared" si="125"/>
        <v>0</v>
      </c>
      <c r="K423" s="1060">
        <f t="shared" si="123"/>
        <v>0</v>
      </c>
      <c r="L423" s="1061"/>
      <c r="M423" s="632"/>
      <c r="N423" s="631">
        <f t="shared" si="122"/>
        <v>0</v>
      </c>
      <c r="O423" s="630">
        <v>0</v>
      </c>
      <c r="P423" s="624"/>
      <c r="Q423" s="632"/>
      <c r="R423" s="632"/>
      <c r="S423" s="632"/>
    </row>
    <row r="424" spans="1:24" s="574" customFormat="1" ht="24" customHeight="1">
      <c r="A424" s="585"/>
      <c r="B424" s="617"/>
      <c r="C424" s="1128" t="s">
        <v>223</v>
      </c>
      <c r="D424" s="1126"/>
      <c r="E424" s="624">
        <f t="shared" si="121"/>
        <v>0</v>
      </c>
      <c r="F424" s="625"/>
      <c r="G424" s="626"/>
      <c r="H424" s="627">
        <f t="shared" ref="H424:H426" si="129">SUM(E424*G424)</f>
        <v>0</v>
      </c>
      <c r="I424" s="628"/>
      <c r="J424" s="633">
        <f t="shared" ref="J424:J426" si="130">SUM(E424*I424)</f>
        <v>0</v>
      </c>
      <c r="K424" s="626">
        <f t="shared" ref="K424:K426" si="131">SUM(H424+J424)</f>
        <v>0</v>
      </c>
      <c r="L424" s="1063"/>
      <c r="M424" s="634"/>
      <c r="N424" s="635">
        <f t="shared" si="122"/>
        <v>0</v>
      </c>
      <c r="O424" s="636">
        <v>0</v>
      </c>
      <c r="P424" s="637"/>
      <c r="Q424" s="634"/>
      <c r="R424" s="634"/>
      <c r="S424" s="634"/>
      <c r="T424" s="634"/>
      <c r="U424" s="634"/>
      <c r="V424" s="634"/>
      <c r="W424" s="634"/>
      <c r="X424" s="634"/>
    </row>
    <row r="425" spans="1:24" s="574" customFormat="1" ht="24" customHeight="1">
      <c r="A425" s="585"/>
      <c r="B425" s="617" t="s">
        <v>224</v>
      </c>
      <c r="C425" s="1125" t="s">
        <v>225</v>
      </c>
      <c r="D425" s="1124"/>
      <c r="E425" s="624">
        <f t="shared" si="121"/>
        <v>1675.67</v>
      </c>
      <c r="F425" s="625" t="s">
        <v>226</v>
      </c>
      <c r="G425" s="626">
        <v>200</v>
      </c>
      <c r="H425" s="627">
        <f t="shared" si="129"/>
        <v>335134</v>
      </c>
      <c r="I425" s="628">
        <v>45</v>
      </c>
      <c r="J425" s="633">
        <f t="shared" si="130"/>
        <v>75405.150000000009</v>
      </c>
      <c r="K425" s="626">
        <f t="shared" si="131"/>
        <v>410539.15</v>
      </c>
      <c r="L425" s="1064"/>
      <c r="M425" s="634"/>
      <c r="N425" s="635">
        <f t="shared" si="122"/>
        <v>1675.67</v>
      </c>
      <c r="O425" s="636">
        <v>0</v>
      </c>
      <c r="P425" s="637">
        <v>1675.67</v>
      </c>
      <c r="Q425" s="634"/>
      <c r="R425" s="634"/>
      <c r="S425" s="634"/>
      <c r="T425" s="634"/>
      <c r="U425" s="634"/>
      <c r="V425" s="634"/>
      <c r="W425" s="634"/>
      <c r="X425" s="634"/>
    </row>
    <row r="426" spans="1:24" s="574" customFormat="1" ht="24" customHeight="1">
      <c r="A426" s="585"/>
      <c r="B426" s="617" t="s">
        <v>227</v>
      </c>
      <c r="C426" s="1125" t="s">
        <v>228</v>
      </c>
      <c r="D426" s="1124"/>
      <c r="E426" s="624">
        <f t="shared" si="121"/>
        <v>387.37000000000006</v>
      </c>
      <c r="F426" s="625" t="s">
        <v>226</v>
      </c>
      <c r="G426" s="626">
        <v>19</v>
      </c>
      <c r="H426" s="627">
        <f t="shared" si="129"/>
        <v>7360.0300000000016</v>
      </c>
      <c r="I426" s="628">
        <v>20</v>
      </c>
      <c r="J426" s="633">
        <f t="shared" si="130"/>
        <v>7747.4000000000015</v>
      </c>
      <c r="K426" s="626">
        <f t="shared" si="131"/>
        <v>15107.430000000004</v>
      </c>
      <c r="L426" s="1064"/>
      <c r="M426" s="634"/>
      <c r="N426" s="635">
        <f t="shared" si="122"/>
        <v>387.37000000000006</v>
      </c>
      <c r="O426" s="636">
        <v>0</v>
      </c>
      <c r="P426" s="637">
        <v>387.37000000000006</v>
      </c>
      <c r="Q426" s="634"/>
      <c r="R426" s="634"/>
      <c r="S426" s="634"/>
      <c r="T426" s="634"/>
      <c r="U426" s="634"/>
      <c r="V426" s="634"/>
      <c r="W426" s="634"/>
      <c r="X426" s="634"/>
    </row>
    <row r="427" spans="1:24">
      <c r="A427" s="585"/>
      <c r="B427" s="1114"/>
      <c r="C427" s="639"/>
      <c r="D427" s="1124"/>
      <c r="E427" s="618"/>
      <c r="F427" s="625"/>
      <c r="G427" s="650"/>
      <c r="H427" s="571">
        <f t="shared" si="119"/>
        <v>0</v>
      </c>
      <c r="I427" s="651"/>
      <c r="J427" s="571">
        <f t="shared" si="125"/>
        <v>0</v>
      </c>
      <c r="K427" s="1060">
        <f t="shared" si="123"/>
        <v>0</v>
      </c>
      <c r="L427" s="1065"/>
      <c r="M427" s="574"/>
      <c r="N427" s="652">
        <f t="shared" si="122"/>
        <v>0</v>
      </c>
      <c r="O427" s="622">
        <v>0</v>
      </c>
      <c r="P427" s="618"/>
      <c r="Q427" s="574"/>
      <c r="R427" s="574"/>
      <c r="S427" s="574"/>
    </row>
    <row r="428" spans="1:24">
      <c r="A428" s="585"/>
      <c r="B428" s="1114"/>
      <c r="C428" s="639"/>
      <c r="D428" s="1124"/>
      <c r="E428" s="618"/>
      <c r="F428" s="625"/>
      <c r="G428" s="650"/>
      <c r="H428" s="571"/>
      <c r="I428" s="651"/>
      <c r="J428" s="571"/>
      <c r="K428" s="1060"/>
      <c r="L428" s="1065"/>
      <c r="M428" s="574"/>
      <c r="N428" s="652"/>
      <c r="O428" s="622"/>
      <c r="P428" s="618"/>
      <c r="Q428" s="574"/>
      <c r="R428" s="574"/>
      <c r="S428" s="574"/>
    </row>
    <row r="429" spans="1:24">
      <c r="A429" s="585"/>
      <c r="B429" s="1114"/>
      <c r="C429" s="639"/>
      <c r="D429" s="1124"/>
      <c r="E429" s="618"/>
      <c r="F429" s="625"/>
      <c r="G429" s="650"/>
      <c r="H429" s="571"/>
      <c r="I429" s="651"/>
      <c r="J429" s="571"/>
      <c r="K429" s="1060"/>
      <c r="L429" s="1065"/>
      <c r="M429" s="574"/>
      <c r="N429" s="652"/>
      <c r="O429" s="622"/>
      <c r="P429" s="618"/>
      <c r="Q429" s="574"/>
      <c r="R429" s="574"/>
      <c r="S429" s="574"/>
    </row>
    <row r="430" spans="1:24">
      <c r="A430" s="585"/>
      <c r="B430" s="1114"/>
      <c r="C430" s="639"/>
      <c r="D430" s="1124"/>
      <c r="E430" s="618"/>
      <c r="F430" s="625"/>
      <c r="G430" s="650"/>
      <c r="H430" s="571"/>
      <c r="I430" s="651"/>
      <c r="J430" s="571"/>
      <c r="K430" s="1060"/>
      <c r="L430" s="1065"/>
      <c r="M430" s="574"/>
      <c r="N430" s="652"/>
      <c r="O430" s="622"/>
      <c r="P430" s="618"/>
      <c r="Q430" s="574"/>
      <c r="R430" s="574"/>
      <c r="S430" s="574"/>
    </row>
    <row r="431" spans="1:24">
      <c r="A431" s="585" t="s">
        <v>252</v>
      </c>
      <c r="B431" s="1114" t="s">
        <v>253</v>
      </c>
      <c r="C431" s="639"/>
      <c r="D431" s="1124"/>
      <c r="E431" s="618"/>
      <c r="F431" s="625"/>
      <c r="G431" s="650"/>
      <c r="H431" s="571">
        <f t="shared" si="119"/>
        <v>0</v>
      </c>
      <c r="I431" s="651"/>
      <c r="J431" s="571">
        <f t="shared" si="125"/>
        <v>0</v>
      </c>
      <c r="K431" s="1060">
        <f t="shared" si="123"/>
        <v>0</v>
      </c>
      <c r="L431" s="1065"/>
      <c r="M431" s="574"/>
      <c r="N431" s="621">
        <f t="shared" si="122"/>
        <v>0</v>
      </c>
      <c r="O431" s="622">
        <v>0</v>
      </c>
      <c r="P431" s="618"/>
      <c r="Q431" s="574"/>
      <c r="R431" s="574"/>
      <c r="S431" s="574"/>
    </row>
    <row r="432" spans="1:24" ht="21.3">
      <c r="A432" s="585"/>
      <c r="B432" s="1114"/>
      <c r="C432" s="617" t="s">
        <v>231</v>
      </c>
      <c r="D432" s="1124"/>
      <c r="E432" s="624">
        <f>+E433+E434+E435+E437+E439+E441+E443+E446+E448+E454+E455+E457+E458</f>
        <v>427.64</v>
      </c>
      <c r="F432" s="625" t="s">
        <v>34</v>
      </c>
      <c r="G432" s="626">
        <v>113</v>
      </c>
      <c r="H432" s="627">
        <f t="shared" ref="H432:H444" si="132">SUM(E432*G432)</f>
        <v>48323.32</v>
      </c>
      <c r="I432" s="628">
        <v>61</v>
      </c>
      <c r="J432" s="571">
        <f t="shared" si="125"/>
        <v>26086.04</v>
      </c>
      <c r="K432" s="1060">
        <f t="shared" si="123"/>
        <v>74409.36</v>
      </c>
      <c r="L432" s="1062"/>
      <c r="M432" s="574"/>
      <c r="N432" s="629">
        <f t="shared" si="122"/>
        <v>0</v>
      </c>
      <c r="O432" s="630">
        <v>0</v>
      </c>
      <c r="P432" s="624"/>
      <c r="Q432" s="574"/>
      <c r="R432" s="574"/>
      <c r="S432" s="574"/>
    </row>
    <row r="433" spans="1:19" ht="21.3">
      <c r="A433" s="585"/>
      <c r="B433" s="617" t="s">
        <v>184</v>
      </c>
      <c r="C433" s="617" t="s">
        <v>185</v>
      </c>
      <c r="D433" s="617"/>
      <c r="E433" s="624">
        <f>+N433</f>
        <v>0</v>
      </c>
      <c r="F433" s="625" t="s">
        <v>34</v>
      </c>
      <c r="G433" s="626">
        <v>564</v>
      </c>
      <c r="H433" s="627">
        <f t="shared" si="132"/>
        <v>0</v>
      </c>
      <c r="I433" s="628">
        <v>283</v>
      </c>
      <c r="J433" s="571">
        <f t="shared" si="125"/>
        <v>0</v>
      </c>
      <c r="K433" s="1060">
        <f t="shared" si="123"/>
        <v>0</v>
      </c>
      <c r="L433" s="1061"/>
      <c r="M433" s="574"/>
      <c r="N433" s="631">
        <f t="shared" si="122"/>
        <v>0</v>
      </c>
      <c r="O433" s="630">
        <v>0</v>
      </c>
      <c r="P433" s="624"/>
      <c r="Q433" s="574"/>
      <c r="R433" s="574"/>
      <c r="S433" s="574"/>
    </row>
    <row r="434" spans="1:19" ht="21.3">
      <c r="A434" s="585"/>
      <c r="B434" s="617" t="s">
        <v>186</v>
      </c>
      <c r="C434" s="1125" t="s">
        <v>187</v>
      </c>
      <c r="D434" s="1126"/>
      <c r="E434" s="624">
        <f t="shared" ref="E434:E462" si="133">+N434</f>
        <v>0</v>
      </c>
      <c r="F434" s="625" t="s">
        <v>34</v>
      </c>
      <c r="G434" s="626">
        <v>295</v>
      </c>
      <c r="H434" s="627">
        <f t="shared" si="132"/>
        <v>0</v>
      </c>
      <c r="I434" s="628">
        <v>184</v>
      </c>
      <c r="J434" s="571">
        <f t="shared" si="125"/>
        <v>0</v>
      </c>
      <c r="K434" s="1060">
        <f t="shared" si="123"/>
        <v>0</v>
      </c>
      <c r="L434" s="1061"/>
      <c r="M434" s="574"/>
      <c r="N434" s="631">
        <f t="shared" si="122"/>
        <v>0</v>
      </c>
      <c r="O434" s="630">
        <v>0</v>
      </c>
      <c r="P434" s="624"/>
      <c r="Q434" s="574"/>
      <c r="R434" s="574"/>
      <c r="S434" s="574"/>
    </row>
    <row r="435" spans="1:19" ht="21.3">
      <c r="A435" s="585"/>
      <c r="B435" s="617" t="s">
        <v>188</v>
      </c>
      <c r="C435" s="1125" t="s">
        <v>189</v>
      </c>
      <c r="D435" s="1126"/>
      <c r="E435" s="624">
        <f t="shared" si="133"/>
        <v>0</v>
      </c>
      <c r="F435" s="625" t="s">
        <v>34</v>
      </c>
      <c r="G435" s="626">
        <v>297</v>
      </c>
      <c r="H435" s="627">
        <f t="shared" si="132"/>
        <v>0</v>
      </c>
      <c r="I435" s="628">
        <v>204</v>
      </c>
      <c r="J435" s="571">
        <f t="shared" si="125"/>
        <v>0</v>
      </c>
      <c r="K435" s="1060">
        <f t="shared" si="123"/>
        <v>0</v>
      </c>
      <c r="L435" s="1061"/>
      <c r="M435" s="574"/>
      <c r="N435" s="631">
        <f t="shared" si="122"/>
        <v>0</v>
      </c>
      <c r="O435" s="630">
        <v>0</v>
      </c>
      <c r="P435" s="624">
        <v>0</v>
      </c>
      <c r="Q435" s="574"/>
      <c r="R435" s="574"/>
      <c r="S435" s="574"/>
    </row>
    <row r="436" spans="1:19" ht="21.3">
      <c r="A436" s="585"/>
      <c r="B436" s="617" t="s">
        <v>190</v>
      </c>
      <c r="C436" s="1125" t="s">
        <v>191</v>
      </c>
      <c r="D436" s="1126"/>
      <c r="E436" s="624"/>
      <c r="F436" s="625" t="s">
        <v>34</v>
      </c>
      <c r="G436" s="626">
        <v>609</v>
      </c>
      <c r="H436" s="627">
        <f t="shared" ref="H436" si="134">SUM(E436*G436)</f>
        <v>0</v>
      </c>
      <c r="I436" s="628">
        <v>222</v>
      </c>
      <c r="J436" s="571">
        <f t="shared" si="125"/>
        <v>0</v>
      </c>
      <c r="K436" s="1060">
        <f t="shared" si="123"/>
        <v>0</v>
      </c>
      <c r="L436" s="1061"/>
      <c r="M436" s="574"/>
      <c r="N436" s="631">
        <f t="shared" si="122"/>
        <v>215.2</v>
      </c>
      <c r="O436" s="630">
        <v>0</v>
      </c>
      <c r="P436" s="624">
        <v>215.2</v>
      </c>
      <c r="Q436" s="574"/>
      <c r="R436" s="574"/>
      <c r="S436" s="574"/>
    </row>
    <row r="437" spans="1:19" ht="21.3">
      <c r="A437" s="585"/>
      <c r="B437" s="623" t="s">
        <v>2547</v>
      </c>
      <c r="C437" s="1125" t="s">
        <v>191</v>
      </c>
      <c r="D437" s="1126"/>
      <c r="E437" s="624">
        <f t="shared" si="133"/>
        <v>215.2</v>
      </c>
      <c r="F437" s="625" t="s">
        <v>34</v>
      </c>
      <c r="G437" s="626">
        <v>399</v>
      </c>
      <c r="H437" s="627">
        <f t="shared" si="132"/>
        <v>85864.799999999988</v>
      </c>
      <c r="I437" s="628">
        <v>222</v>
      </c>
      <c r="J437" s="571">
        <f t="shared" si="125"/>
        <v>47774.399999999994</v>
      </c>
      <c r="K437" s="1060">
        <f t="shared" si="123"/>
        <v>133639.19999999998</v>
      </c>
      <c r="L437" s="1061"/>
      <c r="M437" s="574"/>
      <c r="N437" s="631">
        <f t="shared" si="122"/>
        <v>215.2</v>
      </c>
      <c r="O437" s="630">
        <v>0</v>
      </c>
      <c r="P437" s="624">
        <v>215.2</v>
      </c>
      <c r="Q437" s="574"/>
      <c r="R437" s="574"/>
      <c r="S437" s="574"/>
    </row>
    <row r="438" spans="1:19" ht="21.3">
      <c r="A438" s="585"/>
      <c r="B438" s="617" t="s">
        <v>192</v>
      </c>
      <c r="C438" s="1125" t="s">
        <v>193</v>
      </c>
      <c r="D438" s="1126"/>
      <c r="E438" s="624"/>
      <c r="F438" s="625" t="s">
        <v>34</v>
      </c>
      <c r="G438" s="626">
        <v>617</v>
      </c>
      <c r="H438" s="627">
        <f t="shared" ref="H438" si="135">SUM(E438*G438)</f>
        <v>0</v>
      </c>
      <c r="I438" s="628">
        <v>242</v>
      </c>
      <c r="J438" s="571">
        <f t="shared" si="125"/>
        <v>0</v>
      </c>
      <c r="K438" s="1060">
        <f t="shared" si="123"/>
        <v>0</v>
      </c>
      <c r="L438" s="1061"/>
      <c r="M438" s="574"/>
      <c r="N438" s="631">
        <f t="shared" si="122"/>
        <v>181.74</v>
      </c>
      <c r="O438" s="630">
        <v>0</v>
      </c>
      <c r="P438" s="624">
        <v>181.74</v>
      </c>
      <c r="Q438" s="574"/>
      <c r="R438" s="574"/>
      <c r="S438" s="574"/>
    </row>
    <row r="439" spans="1:19" ht="21.3">
      <c r="A439" s="585"/>
      <c r="B439" s="623" t="s">
        <v>2548</v>
      </c>
      <c r="C439" s="1125" t="s">
        <v>193</v>
      </c>
      <c r="D439" s="1126"/>
      <c r="E439" s="624">
        <f t="shared" si="133"/>
        <v>181.74</v>
      </c>
      <c r="F439" s="625" t="s">
        <v>34</v>
      </c>
      <c r="G439" s="626">
        <v>399</v>
      </c>
      <c r="H439" s="627">
        <f t="shared" si="132"/>
        <v>72514.260000000009</v>
      </c>
      <c r="I439" s="628">
        <v>242</v>
      </c>
      <c r="J439" s="571">
        <f t="shared" si="125"/>
        <v>43981.08</v>
      </c>
      <c r="K439" s="1060">
        <f t="shared" si="123"/>
        <v>116495.34000000001</v>
      </c>
      <c r="L439" s="1061"/>
      <c r="M439" s="574"/>
      <c r="N439" s="631">
        <f t="shared" si="122"/>
        <v>181.74</v>
      </c>
      <c r="O439" s="630">
        <v>0</v>
      </c>
      <c r="P439" s="624">
        <v>181.74</v>
      </c>
      <c r="Q439" s="574"/>
      <c r="R439" s="574"/>
      <c r="S439" s="574"/>
    </row>
    <row r="440" spans="1:19" ht="21.3">
      <c r="A440" s="585"/>
      <c r="B440" s="617" t="s">
        <v>194</v>
      </c>
      <c r="C440" s="1125" t="s">
        <v>195</v>
      </c>
      <c r="D440" s="1126"/>
      <c r="E440" s="624">
        <f t="shared" si="133"/>
        <v>226.01000000000005</v>
      </c>
      <c r="F440" s="625" t="s">
        <v>34</v>
      </c>
      <c r="G440" s="626">
        <v>420</v>
      </c>
      <c r="H440" s="627">
        <f t="shared" si="132"/>
        <v>94924.200000000026</v>
      </c>
      <c r="I440" s="628">
        <v>100</v>
      </c>
      <c r="J440" s="571">
        <f t="shared" si="125"/>
        <v>22601.000000000004</v>
      </c>
      <c r="K440" s="1060">
        <f t="shared" si="123"/>
        <v>117525.20000000003</v>
      </c>
      <c r="L440" s="1061"/>
      <c r="M440" s="574"/>
      <c r="N440" s="631">
        <f t="shared" si="122"/>
        <v>226.01000000000005</v>
      </c>
      <c r="O440" s="630">
        <v>0</v>
      </c>
      <c r="P440" s="624">
        <v>226.01000000000005</v>
      </c>
      <c r="Q440" s="574"/>
      <c r="R440" s="574"/>
      <c r="S440" s="574"/>
    </row>
    <row r="441" spans="1:19" ht="21.3">
      <c r="A441" s="585"/>
      <c r="B441" s="617" t="s">
        <v>196</v>
      </c>
      <c r="C441" s="1125" t="s">
        <v>197</v>
      </c>
      <c r="D441" s="1126"/>
      <c r="E441" s="624">
        <f t="shared" si="133"/>
        <v>0</v>
      </c>
      <c r="F441" s="625" t="s">
        <v>34</v>
      </c>
      <c r="G441" s="626">
        <v>564</v>
      </c>
      <c r="H441" s="627">
        <f t="shared" si="132"/>
        <v>0</v>
      </c>
      <c r="I441" s="628">
        <v>283</v>
      </c>
      <c r="J441" s="571">
        <f t="shared" si="125"/>
        <v>0</v>
      </c>
      <c r="K441" s="1060">
        <f t="shared" si="123"/>
        <v>0</v>
      </c>
      <c r="L441" s="1061"/>
      <c r="M441" s="574"/>
      <c r="N441" s="631">
        <f t="shared" si="122"/>
        <v>0</v>
      </c>
      <c r="O441" s="630">
        <v>0</v>
      </c>
      <c r="P441" s="624"/>
      <c r="Q441" s="574"/>
      <c r="R441" s="574"/>
      <c r="S441" s="574"/>
    </row>
    <row r="442" spans="1:19" ht="21.3">
      <c r="A442" s="585"/>
      <c r="B442" s="617"/>
      <c r="C442" s="617" t="s">
        <v>198</v>
      </c>
      <c r="D442" s="617"/>
      <c r="E442" s="624">
        <f t="shared" si="133"/>
        <v>0</v>
      </c>
      <c r="F442" s="619"/>
      <c r="G442" s="626"/>
      <c r="H442" s="627">
        <f t="shared" si="132"/>
        <v>0</v>
      </c>
      <c r="I442" s="628"/>
      <c r="J442" s="571">
        <f t="shared" si="125"/>
        <v>0</v>
      </c>
      <c r="K442" s="1060">
        <f t="shared" si="123"/>
        <v>0</v>
      </c>
      <c r="L442" s="1061"/>
      <c r="M442" s="574"/>
      <c r="N442" s="631">
        <f t="shared" si="122"/>
        <v>0</v>
      </c>
      <c r="O442" s="630">
        <v>0</v>
      </c>
      <c r="P442" s="624"/>
      <c r="Q442" s="574"/>
      <c r="R442" s="574"/>
      <c r="S442" s="574"/>
    </row>
    <row r="443" spans="1:19" ht="21.3">
      <c r="A443" s="585"/>
      <c r="B443" s="617" t="s">
        <v>199</v>
      </c>
      <c r="C443" s="617" t="s">
        <v>200</v>
      </c>
      <c r="D443" s="617"/>
      <c r="E443" s="624">
        <f t="shared" si="133"/>
        <v>0</v>
      </c>
      <c r="F443" s="625" t="s">
        <v>34</v>
      </c>
      <c r="G443" s="626">
        <v>3570</v>
      </c>
      <c r="H443" s="627">
        <f t="shared" si="132"/>
        <v>0</v>
      </c>
      <c r="I443" s="628">
        <v>220</v>
      </c>
      <c r="J443" s="571">
        <f t="shared" si="125"/>
        <v>0</v>
      </c>
      <c r="K443" s="1060">
        <f t="shared" si="123"/>
        <v>0</v>
      </c>
      <c r="L443" s="1061"/>
      <c r="M443" s="574"/>
      <c r="N443" s="631">
        <f t="shared" si="122"/>
        <v>0</v>
      </c>
      <c r="O443" s="630">
        <v>0</v>
      </c>
      <c r="P443" s="624"/>
      <c r="Q443" s="574"/>
      <c r="R443" s="574"/>
      <c r="S443" s="574"/>
    </row>
    <row r="444" spans="1:19" ht="21.3">
      <c r="A444" s="585"/>
      <c r="B444" s="617" t="s">
        <v>201</v>
      </c>
      <c r="C444" s="617" t="s">
        <v>202</v>
      </c>
      <c r="D444" s="617"/>
      <c r="E444" s="624">
        <f t="shared" si="133"/>
        <v>17.600000000000001</v>
      </c>
      <c r="F444" s="625" t="s">
        <v>34</v>
      </c>
      <c r="G444" s="626">
        <f>ROUNDUP(2227.6*0.05+5*2.95,0)</f>
        <v>127</v>
      </c>
      <c r="H444" s="627">
        <f t="shared" si="132"/>
        <v>2235.2000000000003</v>
      </c>
      <c r="I444" s="628">
        <v>82</v>
      </c>
      <c r="J444" s="571">
        <f t="shared" si="125"/>
        <v>1443.2</v>
      </c>
      <c r="K444" s="1060">
        <f t="shared" si="123"/>
        <v>3678.4000000000005</v>
      </c>
      <c r="L444" s="1061"/>
      <c r="M444" s="574"/>
      <c r="N444" s="631">
        <f t="shared" si="122"/>
        <v>17.600000000000001</v>
      </c>
      <c r="O444" s="630">
        <v>0</v>
      </c>
      <c r="P444" s="624">
        <v>17.600000000000001</v>
      </c>
      <c r="Q444" s="574"/>
      <c r="R444" s="574"/>
      <c r="S444" s="574"/>
    </row>
    <row r="445" spans="1:19" ht="21.3">
      <c r="A445" s="585"/>
      <c r="B445" s="617" t="s">
        <v>203</v>
      </c>
      <c r="C445" s="1125" t="s">
        <v>204</v>
      </c>
      <c r="D445" s="1126"/>
      <c r="E445" s="624">
        <f t="shared" si="133"/>
        <v>0</v>
      </c>
      <c r="F445" s="625" t="s">
        <v>34</v>
      </c>
      <c r="G445" s="628">
        <v>120</v>
      </c>
      <c r="H445" s="627">
        <f t="shared" ref="H445:H448" si="136">E445*G445</f>
        <v>0</v>
      </c>
      <c r="I445" s="628">
        <v>61</v>
      </c>
      <c r="J445" s="571">
        <f t="shared" si="125"/>
        <v>0</v>
      </c>
      <c r="K445" s="1060">
        <f t="shared" si="123"/>
        <v>0</v>
      </c>
      <c r="L445" s="1061"/>
      <c r="M445" s="574"/>
      <c r="N445" s="631">
        <f t="shared" si="122"/>
        <v>0</v>
      </c>
      <c r="O445" s="630">
        <v>0</v>
      </c>
      <c r="P445" s="624"/>
      <c r="Q445" s="574"/>
      <c r="R445" s="574"/>
      <c r="S445" s="574"/>
    </row>
    <row r="446" spans="1:19" ht="21.3">
      <c r="A446" s="585"/>
      <c r="B446" s="617" t="s">
        <v>205</v>
      </c>
      <c r="C446" s="617" t="s">
        <v>206</v>
      </c>
      <c r="D446" s="617"/>
      <c r="E446" s="624">
        <f t="shared" si="133"/>
        <v>0</v>
      </c>
      <c r="F446" s="625" t="s">
        <v>34</v>
      </c>
      <c r="G446" s="626">
        <v>447</v>
      </c>
      <c r="H446" s="627">
        <f t="shared" si="136"/>
        <v>0</v>
      </c>
      <c r="I446" s="628">
        <v>212</v>
      </c>
      <c r="J446" s="571">
        <f t="shared" si="125"/>
        <v>0</v>
      </c>
      <c r="K446" s="1060">
        <f t="shared" si="123"/>
        <v>0</v>
      </c>
      <c r="L446" s="1061"/>
      <c r="M446" s="574"/>
      <c r="N446" s="631">
        <f t="shared" si="122"/>
        <v>0</v>
      </c>
      <c r="O446" s="630">
        <v>0</v>
      </c>
      <c r="P446" s="624"/>
      <c r="Q446" s="574"/>
      <c r="R446" s="574"/>
      <c r="S446" s="574"/>
    </row>
    <row r="447" spans="1:19" ht="21.3">
      <c r="A447" s="585"/>
      <c r="B447" s="617" t="s">
        <v>207</v>
      </c>
      <c r="C447" s="1125" t="s">
        <v>208</v>
      </c>
      <c r="D447" s="1126"/>
      <c r="E447" s="624">
        <f t="shared" si="133"/>
        <v>0</v>
      </c>
      <c r="F447" s="625" t="s">
        <v>34</v>
      </c>
      <c r="G447" s="628">
        <v>240</v>
      </c>
      <c r="H447" s="627">
        <f t="shared" si="136"/>
        <v>0</v>
      </c>
      <c r="I447" s="628">
        <v>80</v>
      </c>
      <c r="J447" s="571">
        <f t="shared" si="125"/>
        <v>0</v>
      </c>
      <c r="K447" s="1060">
        <f t="shared" si="123"/>
        <v>0</v>
      </c>
      <c r="L447" s="1061"/>
      <c r="M447" s="574"/>
      <c r="N447" s="631">
        <f t="shared" si="122"/>
        <v>0</v>
      </c>
      <c r="O447" s="630">
        <v>0</v>
      </c>
      <c r="P447" s="624"/>
      <c r="Q447" s="574"/>
      <c r="R447" s="574"/>
      <c r="S447" s="574"/>
    </row>
    <row r="448" spans="1:19" ht="21.3">
      <c r="A448" s="585"/>
      <c r="B448" s="617" t="s">
        <v>209</v>
      </c>
      <c r="C448" s="1125" t="s">
        <v>210</v>
      </c>
      <c r="D448" s="1126"/>
      <c r="E448" s="624">
        <f t="shared" si="133"/>
        <v>0</v>
      </c>
      <c r="F448" s="625" t="s">
        <v>34</v>
      </c>
      <c r="G448" s="628">
        <v>230</v>
      </c>
      <c r="H448" s="627">
        <f t="shared" si="136"/>
        <v>0</v>
      </c>
      <c r="I448" s="628">
        <v>0</v>
      </c>
      <c r="J448" s="571">
        <f t="shared" si="125"/>
        <v>0</v>
      </c>
      <c r="K448" s="1060">
        <f t="shared" si="123"/>
        <v>0</v>
      </c>
      <c r="L448" s="1061"/>
      <c r="M448" s="574"/>
      <c r="N448" s="631">
        <f t="shared" si="122"/>
        <v>0</v>
      </c>
      <c r="O448" s="630">
        <v>0</v>
      </c>
      <c r="P448" s="624"/>
      <c r="Q448" s="574"/>
      <c r="R448" s="574"/>
      <c r="S448" s="574"/>
    </row>
    <row r="449" spans="1:24" ht="21.3">
      <c r="A449" s="585"/>
      <c r="B449" s="617" t="s">
        <v>211</v>
      </c>
      <c r="C449" s="1125" t="s">
        <v>212</v>
      </c>
      <c r="D449" s="1126"/>
      <c r="E449" s="624">
        <f t="shared" si="133"/>
        <v>10</v>
      </c>
      <c r="F449" s="625" t="s">
        <v>34</v>
      </c>
      <c r="G449" s="626">
        <v>220</v>
      </c>
      <c r="H449" s="627">
        <f t="shared" ref="H449:H458" si="137">SUM(E449*G449)</f>
        <v>2200</v>
      </c>
      <c r="I449" s="628">
        <v>80</v>
      </c>
      <c r="J449" s="571">
        <f t="shared" si="125"/>
        <v>800</v>
      </c>
      <c r="K449" s="1060">
        <f t="shared" si="123"/>
        <v>3000</v>
      </c>
      <c r="L449" s="1061"/>
      <c r="M449" s="574"/>
      <c r="N449" s="631">
        <f t="shared" si="122"/>
        <v>10</v>
      </c>
      <c r="O449" s="630">
        <v>0</v>
      </c>
      <c r="P449" s="624">
        <v>10</v>
      </c>
      <c r="Q449" s="574"/>
      <c r="R449" s="574"/>
      <c r="S449" s="574"/>
    </row>
    <row r="450" spans="1:24" ht="21.3">
      <c r="A450" s="585"/>
      <c r="B450" s="617" t="s">
        <v>213</v>
      </c>
      <c r="C450" s="1125" t="s">
        <v>214</v>
      </c>
      <c r="D450" s="1126"/>
      <c r="E450" s="624">
        <f t="shared" si="133"/>
        <v>0</v>
      </c>
      <c r="F450" s="625" t="s">
        <v>34</v>
      </c>
      <c r="G450" s="626">
        <v>113</v>
      </c>
      <c r="H450" s="627">
        <f t="shared" si="137"/>
        <v>0</v>
      </c>
      <c r="I450" s="628">
        <v>61</v>
      </c>
      <c r="J450" s="571">
        <f t="shared" si="125"/>
        <v>0</v>
      </c>
      <c r="K450" s="1060">
        <f t="shared" si="123"/>
        <v>0</v>
      </c>
      <c r="L450" s="1061"/>
      <c r="M450" s="574"/>
      <c r="N450" s="631">
        <f t="shared" si="122"/>
        <v>0</v>
      </c>
      <c r="O450" s="630">
        <v>0</v>
      </c>
      <c r="P450" s="624">
        <v>0</v>
      </c>
      <c r="Q450" s="574"/>
      <c r="R450" s="574"/>
      <c r="S450" s="574"/>
    </row>
    <row r="451" spans="1:24" ht="21.3">
      <c r="A451" s="585"/>
      <c r="B451" s="617" t="s">
        <v>215</v>
      </c>
      <c r="C451" s="1125" t="s">
        <v>216</v>
      </c>
      <c r="D451" s="1126"/>
      <c r="E451" s="624">
        <f t="shared" si="133"/>
        <v>0</v>
      </c>
      <c r="F451" s="625" t="s">
        <v>34</v>
      </c>
      <c r="G451" s="626">
        <v>113</v>
      </c>
      <c r="H451" s="627">
        <f t="shared" si="137"/>
        <v>0</v>
      </c>
      <c r="I451" s="628">
        <v>61</v>
      </c>
      <c r="J451" s="571">
        <f t="shared" si="125"/>
        <v>0</v>
      </c>
      <c r="K451" s="1060">
        <f t="shared" si="123"/>
        <v>0</v>
      </c>
      <c r="L451" s="1061"/>
      <c r="M451" s="574"/>
      <c r="N451" s="631">
        <f t="shared" si="122"/>
        <v>0</v>
      </c>
      <c r="O451" s="630">
        <v>0</v>
      </c>
      <c r="P451" s="624">
        <v>0</v>
      </c>
      <c r="Q451" s="574"/>
      <c r="R451" s="574"/>
      <c r="S451" s="574"/>
    </row>
    <row r="452" spans="1:24" ht="21.3">
      <c r="A452" s="585"/>
      <c r="B452" s="617" t="s">
        <v>217</v>
      </c>
      <c r="C452" s="1125" t="s">
        <v>218</v>
      </c>
      <c r="D452" s="1126"/>
      <c r="E452" s="624">
        <f t="shared" si="133"/>
        <v>5435.71</v>
      </c>
      <c r="F452" s="625" t="s">
        <v>34</v>
      </c>
      <c r="G452" s="626">
        <v>113</v>
      </c>
      <c r="H452" s="627">
        <f t="shared" si="137"/>
        <v>614235.23</v>
      </c>
      <c r="I452" s="628">
        <v>61</v>
      </c>
      <c r="J452" s="571">
        <f t="shared" si="125"/>
        <v>331578.31</v>
      </c>
      <c r="K452" s="1060">
        <f t="shared" si="123"/>
        <v>945813.54</v>
      </c>
      <c r="L452" s="1061"/>
      <c r="M452" s="574"/>
      <c r="N452" s="631">
        <f t="shared" si="122"/>
        <v>5435.71</v>
      </c>
      <c r="O452" s="630">
        <v>0</v>
      </c>
      <c r="P452" s="624">
        <v>5435.71</v>
      </c>
      <c r="Q452" s="574"/>
      <c r="R452" s="574"/>
      <c r="S452" s="574"/>
    </row>
    <row r="453" spans="1:24" ht="21.3">
      <c r="A453" s="585"/>
      <c r="B453" s="617" t="s">
        <v>219</v>
      </c>
      <c r="C453" s="1125" t="s">
        <v>220</v>
      </c>
      <c r="D453" s="1124"/>
      <c r="E453" s="624">
        <f t="shared" si="133"/>
        <v>36.959999999999994</v>
      </c>
      <c r="F453" s="625" t="s">
        <v>34</v>
      </c>
      <c r="G453" s="626">
        <v>113</v>
      </c>
      <c r="H453" s="627">
        <f t="shared" si="137"/>
        <v>4176.4799999999996</v>
      </c>
      <c r="I453" s="628">
        <v>61</v>
      </c>
      <c r="J453" s="571">
        <f t="shared" si="125"/>
        <v>2254.5599999999995</v>
      </c>
      <c r="K453" s="1060">
        <f t="shared" si="123"/>
        <v>6431.0399999999991</v>
      </c>
      <c r="L453" s="1061"/>
      <c r="M453" s="574"/>
      <c r="N453" s="631">
        <f t="shared" si="122"/>
        <v>36.959999999999994</v>
      </c>
      <c r="O453" s="630">
        <v>0</v>
      </c>
      <c r="P453" s="624">
        <v>36.959999999999994</v>
      </c>
      <c r="Q453" s="574"/>
      <c r="R453" s="574"/>
      <c r="S453" s="574"/>
    </row>
    <row r="454" spans="1:24" ht="21.3">
      <c r="A454" s="585"/>
      <c r="B454" s="617" t="s">
        <v>221</v>
      </c>
      <c r="C454" s="1125" t="s">
        <v>222</v>
      </c>
      <c r="D454" s="1124"/>
      <c r="E454" s="624">
        <f t="shared" si="133"/>
        <v>30.7</v>
      </c>
      <c r="F454" s="625" t="s">
        <v>34</v>
      </c>
      <c r="G454" s="626">
        <v>583</v>
      </c>
      <c r="H454" s="627">
        <f t="shared" si="137"/>
        <v>17898.099999999999</v>
      </c>
      <c r="I454" s="628">
        <v>298</v>
      </c>
      <c r="J454" s="571">
        <f t="shared" si="125"/>
        <v>9148.6</v>
      </c>
      <c r="K454" s="1060">
        <f t="shared" si="123"/>
        <v>27046.699999999997</v>
      </c>
      <c r="L454" s="1061"/>
      <c r="M454" s="574"/>
      <c r="N454" s="631">
        <f t="shared" si="122"/>
        <v>30.7</v>
      </c>
      <c r="O454" s="630">
        <v>0</v>
      </c>
      <c r="P454" s="624">
        <v>30.7</v>
      </c>
      <c r="Q454" s="574"/>
      <c r="R454" s="574"/>
      <c r="S454" s="574"/>
    </row>
    <row r="455" spans="1:24" ht="21.3">
      <c r="A455" s="585"/>
      <c r="B455" s="617" t="s">
        <v>593</v>
      </c>
      <c r="C455" s="1127" t="s">
        <v>594</v>
      </c>
      <c r="D455" s="1126"/>
      <c r="E455" s="624">
        <f t="shared" si="133"/>
        <v>0</v>
      </c>
      <c r="F455" s="625" t="s">
        <v>34</v>
      </c>
      <c r="G455" s="626">
        <v>533</v>
      </c>
      <c r="H455" s="627">
        <f t="shared" si="137"/>
        <v>0</v>
      </c>
      <c r="I455" s="628">
        <v>130</v>
      </c>
      <c r="J455" s="571">
        <f t="shared" si="125"/>
        <v>0</v>
      </c>
      <c r="K455" s="1060">
        <f t="shared" si="123"/>
        <v>0</v>
      </c>
      <c r="L455" s="1061"/>
      <c r="M455" s="574"/>
      <c r="N455" s="631">
        <f t="shared" si="122"/>
        <v>0</v>
      </c>
      <c r="O455" s="630">
        <v>0</v>
      </c>
      <c r="P455" s="624"/>
      <c r="Q455" s="574"/>
      <c r="R455" s="574"/>
      <c r="S455" s="574"/>
    </row>
    <row r="456" spans="1:24" ht="21.3">
      <c r="A456" s="585"/>
      <c r="B456" s="617" t="s">
        <v>238</v>
      </c>
      <c r="C456" s="1127" t="s">
        <v>595</v>
      </c>
      <c r="D456" s="1126"/>
      <c r="E456" s="624">
        <f t="shared" si="133"/>
        <v>0</v>
      </c>
      <c r="F456" s="625" t="s">
        <v>34</v>
      </c>
      <c r="G456" s="626">
        <v>4810</v>
      </c>
      <c r="H456" s="627">
        <f t="shared" si="137"/>
        <v>0</v>
      </c>
      <c r="I456" s="628">
        <v>1640</v>
      </c>
      <c r="J456" s="571">
        <f t="shared" si="125"/>
        <v>0</v>
      </c>
      <c r="K456" s="1060">
        <f t="shared" si="123"/>
        <v>0</v>
      </c>
      <c r="L456" s="1061"/>
      <c r="M456" s="574"/>
      <c r="N456" s="631">
        <f t="shared" si="122"/>
        <v>0</v>
      </c>
      <c r="O456" s="630">
        <v>0</v>
      </c>
      <c r="P456" s="624"/>
      <c r="Q456" s="574"/>
      <c r="R456" s="574"/>
      <c r="S456" s="574"/>
    </row>
    <row r="457" spans="1:24" ht="21.3">
      <c r="A457" s="585"/>
      <c r="B457" s="617" t="s">
        <v>596</v>
      </c>
      <c r="C457" s="1127" t="s">
        <v>597</v>
      </c>
      <c r="D457" s="1124"/>
      <c r="E457" s="624">
        <f t="shared" si="133"/>
        <v>0</v>
      </c>
      <c r="F457" s="625" t="s">
        <v>34</v>
      </c>
      <c r="G457" s="626">
        <v>253</v>
      </c>
      <c r="H457" s="627">
        <f t="shared" si="137"/>
        <v>0</v>
      </c>
      <c r="I457" s="628">
        <v>50</v>
      </c>
      <c r="J457" s="571">
        <f t="shared" si="125"/>
        <v>0</v>
      </c>
      <c r="K457" s="1060">
        <f t="shared" si="123"/>
        <v>0</v>
      </c>
      <c r="L457" s="1061"/>
      <c r="M457" s="574"/>
      <c r="N457" s="631">
        <f t="shared" si="122"/>
        <v>0</v>
      </c>
      <c r="O457" s="630">
        <v>0</v>
      </c>
      <c r="P457" s="624"/>
      <c r="Q457" s="574"/>
      <c r="R457" s="574"/>
      <c r="S457" s="574"/>
    </row>
    <row r="458" spans="1:24" ht="21.3">
      <c r="A458" s="585"/>
      <c r="B458" s="617" t="s">
        <v>598</v>
      </c>
      <c r="C458" s="1127" t="s">
        <v>599</v>
      </c>
      <c r="D458" s="1124"/>
      <c r="E458" s="624">
        <f t="shared" si="133"/>
        <v>0</v>
      </c>
      <c r="F458" s="625" t="s">
        <v>34</v>
      </c>
      <c r="G458" s="626">
        <v>1964</v>
      </c>
      <c r="H458" s="627">
        <f t="shared" si="137"/>
        <v>0</v>
      </c>
      <c r="I458" s="628">
        <v>220</v>
      </c>
      <c r="J458" s="571">
        <f t="shared" si="125"/>
        <v>0</v>
      </c>
      <c r="K458" s="1060">
        <f t="shared" si="123"/>
        <v>0</v>
      </c>
      <c r="L458" s="1061"/>
      <c r="M458" s="632"/>
      <c r="N458" s="631">
        <f t="shared" si="122"/>
        <v>0</v>
      </c>
      <c r="O458" s="630">
        <v>0</v>
      </c>
      <c r="P458" s="624"/>
      <c r="Q458" s="632"/>
      <c r="R458" s="632"/>
      <c r="S458" s="632"/>
    </row>
    <row r="459" spans="1:24" ht="21.3">
      <c r="A459" s="585"/>
      <c r="B459" s="617"/>
      <c r="C459" s="1127"/>
      <c r="D459" s="1124"/>
      <c r="E459" s="624"/>
      <c r="F459" s="625"/>
      <c r="G459" s="626"/>
      <c r="H459" s="627"/>
      <c r="I459" s="628"/>
      <c r="J459" s="580"/>
      <c r="K459" s="1060"/>
      <c r="L459" s="1061"/>
      <c r="M459" s="632"/>
      <c r="N459" s="631"/>
      <c r="O459" s="630"/>
      <c r="P459" s="624"/>
      <c r="Q459" s="632"/>
      <c r="R459" s="632"/>
      <c r="S459" s="632"/>
    </row>
    <row r="460" spans="1:24" s="574" customFormat="1" ht="24" customHeight="1">
      <c r="A460" s="585"/>
      <c r="B460" s="617"/>
      <c r="C460" s="1128" t="s">
        <v>223</v>
      </c>
      <c r="D460" s="1126"/>
      <c r="E460" s="624">
        <f t="shared" si="133"/>
        <v>0</v>
      </c>
      <c r="F460" s="625"/>
      <c r="G460" s="626"/>
      <c r="H460" s="627">
        <f t="shared" ref="H460:H462" si="138">SUM(E460*G460)</f>
        <v>0</v>
      </c>
      <c r="I460" s="628"/>
      <c r="J460" s="633">
        <f t="shared" ref="J460:J462" si="139">SUM(E460*I460)</f>
        <v>0</v>
      </c>
      <c r="K460" s="626">
        <f t="shared" ref="K460:K462" si="140">SUM(H460+J460)</f>
        <v>0</v>
      </c>
      <c r="L460" s="1063"/>
      <c r="M460" s="634"/>
      <c r="N460" s="635">
        <f t="shared" si="122"/>
        <v>0</v>
      </c>
      <c r="O460" s="636">
        <v>0</v>
      </c>
      <c r="P460" s="637"/>
      <c r="Q460" s="634"/>
      <c r="R460" s="634"/>
      <c r="S460" s="634"/>
      <c r="T460" s="634"/>
      <c r="U460" s="634"/>
      <c r="V460" s="634"/>
      <c r="W460" s="634"/>
      <c r="X460" s="634"/>
    </row>
    <row r="461" spans="1:24" s="574" customFormat="1" ht="24" customHeight="1">
      <c r="A461" s="585"/>
      <c r="B461" s="617" t="s">
        <v>224</v>
      </c>
      <c r="C461" s="1125" t="s">
        <v>225</v>
      </c>
      <c r="D461" s="1124"/>
      <c r="E461" s="624">
        <f t="shared" si="133"/>
        <v>1112.0999999999999</v>
      </c>
      <c r="F461" s="625" t="s">
        <v>226</v>
      </c>
      <c r="G461" s="626">
        <v>200</v>
      </c>
      <c r="H461" s="627">
        <f t="shared" si="138"/>
        <v>222419.99999999997</v>
      </c>
      <c r="I461" s="628">
        <v>45</v>
      </c>
      <c r="J461" s="633">
        <f t="shared" si="139"/>
        <v>50044.499999999993</v>
      </c>
      <c r="K461" s="626">
        <f t="shared" si="140"/>
        <v>272464.49999999994</v>
      </c>
      <c r="L461" s="1064"/>
      <c r="M461" s="634"/>
      <c r="N461" s="635">
        <f t="shared" si="122"/>
        <v>1112.0999999999999</v>
      </c>
      <c r="O461" s="636">
        <v>0</v>
      </c>
      <c r="P461" s="637">
        <v>1112.0999999999999</v>
      </c>
      <c r="Q461" s="634"/>
      <c r="R461" s="634"/>
      <c r="S461" s="634"/>
      <c r="T461" s="634"/>
      <c r="U461" s="634"/>
      <c r="V461" s="634"/>
      <c r="W461" s="634"/>
      <c r="X461" s="634"/>
    </row>
    <row r="462" spans="1:24" s="574" customFormat="1" ht="24" customHeight="1">
      <c r="A462" s="585"/>
      <c r="B462" s="617" t="s">
        <v>227</v>
      </c>
      <c r="C462" s="1125" t="s">
        <v>228</v>
      </c>
      <c r="D462" s="1124"/>
      <c r="E462" s="624">
        <f t="shared" si="133"/>
        <v>333.36</v>
      </c>
      <c r="F462" s="625" t="s">
        <v>226</v>
      </c>
      <c r="G462" s="626">
        <v>19</v>
      </c>
      <c r="H462" s="627">
        <f t="shared" si="138"/>
        <v>6333.84</v>
      </c>
      <c r="I462" s="628">
        <v>20</v>
      </c>
      <c r="J462" s="633">
        <f t="shared" si="139"/>
        <v>6667.2000000000007</v>
      </c>
      <c r="K462" s="626">
        <f t="shared" si="140"/>
        <v>13001.04</v>
      </c>
      <c r="L462" s="1064"/>
      <c r="M462" s="634"/>
      <c r="N462" s="635">
        <f t="shared" si="122"/>
        <v>333.36</v>
      </c>
      <c r="O462" s="636">
        <v>0</v>
      </c>
      <c r="P462" s="637">
        <v>333.36</v>
      </c>
      <c r="Q462" s="634"/>
      <c r="R462" s="634"/>
      <c r="S462" s="634"/>
      <c r="T462" s="634"/>
      <c r="U462" s="634"/>
      <c r="V462" s="634"/>
      <c r="W462" s="634"/>
      <c r="X462" s="634"/>
    </row>
    <row r="463" spans="1:24">
      <c r="A463" s="585" t="s">
        <v>254</v>
      </c>
      <c r="B463" s="1114" t="s">
        <v>255</v>
      </c>
      <c r="C463" s="639"/>
      <c r="D463" s="1124"/>
      <c r="E463" s="618"/>
      <c r="F463" s="625"/>
      <c r="G463" s="650"/>
      <c r="H463" s="571">
        <f t="shared" ref="H463" si="141">+E463*G463</f>
        <v>0</v>
      </c>
      <c r="I463" s="651"/>
      <c r="J463" s="571">
        <f t="shared" si="125"/>
        <v>0</v>
      </c>
      <c r="K463" s="1060">
        <f t="shared" si="123"/>
        <v>0</v>
      </c>
      <c r="L463" s="1065"/>
      <c r="M463" s="574"/>
      <c r="N463" s="621">
        <f t="shared" si="122"/>
        <v>0</v>
      </c>
      <c r="O463" s="622">
        <v>0</v>
      </c>
      <c r="P463" s="618"/>
      <c r="Q463" s="574"/>
      <c r="R463" s="574"/>
      <c r="S463" s="574"/>
    </row>
    <row r="464" spans="1:24" ht="21.3">
      <c r="A464" s="585"/>
      <c r="B464" s="1114"/>
      <c r="C464" s="617" t="s">
        <v>231</v>
      </c>
      <c r="D464" s="1124"/>
      <c r="E464" s="624">
        <f>+E465+E466+E467+E469+E471+E473+E475+E478+E480+E486+E487+E489+E490</f>
        <v>129.69999999999999</v>
      </c>
      <c r="F464" s="625" t="s">
        <v>34</v>
      </c>
      <c r="G464" s="626">
        <v>113</v>
      </c>
      <c r="H464" s="627">
        <f t="shared" ref="H464:H476" si="142">SUM(E464*G464)</f>
        <v>14656.099999999999</v>
      </c>
      <c r="I464" s="628">
        <v>61</v>
      </c>
      <c r="J464" s="571">
        <f t="shared" si="125"/>
        <v>7911.6999999999989</v>
      </c>
      <c r="K464" s="1060">
        <f t="shared" si="123"/>
        <v>22567.799999999996</v>
      </c>
      <c r="L464" s="1062"/>
      <c r="M464" s="574"/>
      <c r="N464" s="629">
        <f t="shared" si="122"/>
        <v>0</v>
      </c>
      <c r="O464" s="630">
        <v>0</v>
      </c>
      <c r="P464" s="624"/>
      <c r="Q464" s="574"/>
      <c r="R464" s="574"/>
      <c r="S464" s="574"/>
    </row>
    <row r="465" spans="1:19" ht="21.3">
      <c r="A465" s="585"/>
      <c r="B465" s="617" t="s">
        <v>184</v>
      </c>
      <c r="C465" s="617" t="s">
        <v>185</v>
      </c>
      <c r="D465" s="617"/>
      <c r="E465" s="624">
        <f>+N465</f>
        <v>0</v>
      </c>
      <c r="F465" s="625" t="s">
        <v>34</v>
      </c>
      <c r="G465" s="626">
        <v>564</v>
      </c>
      <c r="H465" s="627">
        <f t="shared" si="142"/>
        <v>0</v>
      </c>
      <c r="I465" s="628">
        <v>283</v>
      </c>
      <c r="J465" s="571">
        <f t="shared" ref="J465:J490" si="143">E465*I465</f>
        <v>0</v>
      </c>
      <c r="K465" s="1060">
        <f t="shared" si="123"/>
        <v>0</v>
      </c>
      <c r="L465" s="1061"/>
      <c r="M465" s="574"/>
      <c r="N465" s="631">
        <f t="shared" si="122"/>
        <v>0</v>
      </c>
      <c r="O465" s="630">
        <v>0</v>
      </c>
      <c r="P465" s="624">
        <v>0</v>
      </c>
      <c r="Q465" s="574"/>
      <c r="R465" s="574"/>
      <c r="S465" s="574"/>
    </row>
    <row r="466" spans="1:19" ht="21.3">
      <c r="A466" s="585"/>
      <c r="B466" s="617" t="s">
        <v>186</v>
      </c>
      <c r="C466" s="1125" t="s">
        <v>187</v>
      </c>
      <c r="D466" s="1126"/>
      <c r="E466" s="624">
        <f t="shared" ref="E466:E493" si="144">+N466</f>
        <v>0</v>
      </c>
      <c r="F466" s="625" t="s">
        <v>34</v>
      </c>
      <c r="G466" s="626">
        <v>295</v>
      </c>
      <c r="H466" s="627">
        <f t="shared" si="142"/>
        <v>0</v>
      </c>
      <c r="I466" s="628">
        <v>184</v>
      </c>
      <c r="J466" s="571">
        <f t="shared" si="143"/>
        <v>0</v>
      </c>
      <c r="K466" s="1060">
        <f t="shared" si="123"/>
        <v>0</v>
      </c>
      <c r="L466" s="1061"/>
      <c r="M466" s="574"/>
      <c r="N466" s="631">
        <f t="shared" si="122"/>
        <v>0</v>
      </c>
      <c r="O466" s="630">
        <v>0</v>
      </c>
      <c r="P466" s="624">
        <v>0</v>
      </c>
      <c r="Q466" s="574"/>
      <c r="R466" s="574"/>
      <c r="S466" s="574"/>
    </row>
    <row r="467" spans="1:19" ht="21.3">
      <c r="A467" s="585"/>
      <c r="B467" s="617" t="s">
        <v>188</v>
      </c>
      <c r="C467" s="1125" t="s">
        <v>189</v>
      </c>
      <c r="D467" s="1126"/>
      <c r="E467" s="624">
        <f t="shared" si="144"/>
        <v>0</v>
      </c>
      <c r="F467" s="625" t="s">
        <v>34</v>
      </c>
      <c r="G467" s="626">
        <v>297</v>
      </c>
      <c r="H467" s="627">
        <f t="shared" si="142"/>
        <v>0</v>
      </c>
      <c r="I467" s="628">
        <v>204</v>
      </c>
      <c r="J467" s="571">
        <f t="shared" si="143"/>
        <v>0</v>
      </c>
      <c r="K467" s="1060">
        <f t="shared" si="123"/>
        <v>0</v>
      </c>
      <c r="L467" s="1061"/>
      <c r="M467" s="574"/>
      <c r="N467" s="631">
        <f t="shared" si="122"/>
        <v>0</v>
      </c>
      <c r="O467" s="630">
        <v>0</v>
      </c>
      <c r="P467" s="624">
        <v>0</v>
      </c>
      <c r="Q467" s="574"/>
      <c r="R467" s="574"/>
      <c r="S467" s="574"/>
    </row>
    <row r="468" spans="1:19" ht="21.3">
      <c r="A468" s="585"/>
      <c r="B468" s="617" t="s">
        <v>190</v>
      </c>
      <c r="C468" s="1125" t="s">
        <v>191</v>
      </c>
      <c r="D468" s="1126"/>
      <c r="E468" s="624">
        <f t="shared" si="144"/>
        <v>0</v>
      </c>
      <c r="F468" s="625" t="s">
        <v>34</v>
      </c>
      <c r="G468" s="626">
        <v>609</v>
      </c>
      <c r="H468" s="627">
        <f t="shared" ref="H468" si="145">SUM(E468*G468)</f>
        <v>0</v>
      </c>
      <c r="I468" s="628">
        <v>222</v>
      </c>
      <c r="J468" s="571">
        <f t="shared" si="143"/>
        <v>0</v>
      </c>
      <c r="K468" s="1060">
        <f t="shared" si="123"/>
        <v>0</v>
      </c>
      <c r="L468" s="1061"/>
      <c r="M468" s="574"/>
      <c r="N468" s="631">
        <f t="shared" si="122"/>
        <v>0</v>
      </c>
      <c r="O468" s="630">
        <v>0</v>
      </c>
      <c r="P468" s="624">
        <v>0</v>
      </c>
      <c r="Q468" s="574"/>
      <c r="R468" s="574"/>
      <c r="S468" s="574"/>
    </row>
    <row r="469" spans="1:19" ht="21.3">
      <c r="A469" s="585"/>
      <c r="B469" s="623" t="s">
        <v>2547</v>
      </c>
      <c r="C469" s="1125" t="s">
        <v>191</v>
      </c>
      <c r="D469" s="1126"/>
      <c r="E469" s="624">
        <f t="shared" si="144"/>
        <v>0</v>
      </c>
      <c r="F469" s="625" t="s">
        <v>34</v>
      </c>
      <c r="G469" s="626">
        <v>399</v>
      </c>
      <c r="H469" s="627">
        <f t="shared" si="142"/>
        <v>0</v>
      </c>
      <c r="I469" s="628">
        <v>222</v>
      </c>
      <c r="J469" s="571">
        <f t="shared" si="143"/>
        <v>0</v>
      </c>
      <c r="K469" s="1060">
        <f t="shared" si="123"/>
        <v>0</v>
      </c>
      <c r="L469" s="1061"/>
      <c r="M469" s="574"/>
      <c r="N469" s="631">
        <f t="shared" si="122"/>
        <v>0</v>
      </c>
      <c r="O469" s="630">
        <v>0</v>
      </c>
      <c r="P469" s="624">
        <v>0</v>
      </c>
      <c r="Q469" s="574"/>
      <c r="R469" s="574"/>
      <c r="S469" s="574"/>
    </row>
    <row r="470" spans="1:19" ht="21.3">
      <c r="A470" s="585"/>
      <c r="B470" s="617" t="s">
        <v>192</v>
      </c>
      <c r="C470" s="1125" t="s">
        <v>193</v>
      </c>
      <c r="D470" s="1126"/>
      <c r="E470" s="624">
        <f t="shared" si="144"/>
        <v>0</v>
      </c>
      <c r="F470" s="625" t="s">
        <v>34</v>
      </c>
      <c r="G470" s="626">
        <v>617</v>
      </c>
      <c r="H470" s="627">
        <f t="shared" ref="H470" si="146">SUM(E470*G470)</f>
        <v>0</v>
      </c>
      <c r="I470" s="628">
        <v>242</v>
      </c>
      <c r="J470" s="571">
        <f t="shared" si="143"/>
        <v>0</v>
      </c>
      <c r="K470" s="1060">
        <f t="shared" si="123"/>
        <v>0</v>
      </c>
      <c r="L470" s="1061"/>
      <c r="M470" s="574"/>
      <c r="N470" s="631">
        <f t="shared" si="122"/>
        <v>0</v>
      </c>
      <c r="O470" s="630">
        <v>0</v>
      </c>
      <c r="P470" s="624">
        <v>0</v>
      </c>
      <c r="Q470" s="574"/>
      <c r="R470" s="574"/>
      <c r="S470" s="574"/>
    </row>
    <row r="471" spans="1:19" ht="21.3">
      <c r="A471" s="585"/>
      <c r="B471" s="623" t="s">
        <v>2548</v>
      </c>
      <c r="C471" s="1125" t="s">
        <v>193</v>
      </c>
      <c r="D471" s="1126"/>
      <c r="E471" s="624">
        <f t="shared" si="144"/>
        <v>0</v>
      </c>
      <c r="F471" s="625" t="s">
        <v>34</v>
      </c>
      <c r="G471" s="626">
        <v>399</v>
      </c>
      <c r="H471" s="627">
        <f t="shared" si="142"/>
        <v>0</v>
      </c>
      <c r="I471" s="628">
        <v>242</v>
      </c>
      <c r="J471" s="571">
        <f t="shared" si="143"/>
        <v>0</v>
      </c>
      <c r="K471" s="1060">
        <f t="shared" si="123"/>
        <v>0</v>
      </c>
      <c r="L471" s="1061"/>
      <c r="M471" s="574"/>
      <c r="N471" s="631">
        <f t="shared" si="122"/>
        <v>0</v>
      </c>
      <c r="O471" s="630">
        <v>0</v>
      </c>
      <c r="P471" s="624">
        <v>0</v>
      </c>
      <c r="Q471" s="574"/>
      <c r="R471" s="574"/>
      <c r="S471" s="574"/>
    </row>
    <row r="472" spans="1:19" ht="21.3">
      <c r="A472" s="585"/>
      <c r="B472" s="617" t="s">
        <v>194</v>
      </c>
      <c r="C472" s="1125" t="s">
        <v>195</v>
      </c>
      <c r="D472" s="1126"/>
      <c r="E472" s="624">
        <f t="shared" si="144"/>
        <v>972.6600000000002</v>
      </c>
      <c r="F472" s="625" t="s">
        <v>34</v>
      </c>
      <c r="G472" s="626">
        <v>420</v>
      </c>
      <c r="H472" s="627">
        <f t="shared" si="142"/>
        <v>408517.20000000007</v>
      </c>
      <c r="I472" s="628">
        <v>100</v>
      </c>
      <c r="J472" s="571">
        <f t="shared" si="143"/>
        <v>97266.000000000015</v>
      </c>
      <c r="K472" s="1060">
        <f t="shared" si="123"/>
        <v>505783.20000000007</v>
      </c>
      <c r="L472" s="1061"/>
      <c r="M472" s="574"/>
      <c r="N472" s="631">
        <f t="shared" si="122"/>
        <v>972.6600000000002</v>
      </c>
      <c r="O472" s="630">
        <v>0</v>
      </c>
      <c r="P472" s="624">
        <v>972.6600000000002</v>
      </c>
      <c r="Q472" s="574"/>
      <c r="R472" s="574"/>
      <c r="S472" s="574"/>
    </row>
    <row r="473" spans="1:19" ht="21.3">
      <c r="A473" s="585"/>
      <c r="B473" s="617" t="s">
        <v>196</v>
      </c>
      <c r="C473" s="1125" t="s">
        <v>197</v>
      </c>
      <c r="D473" s="1126"/>
      <c r="E473" s="624">
        <f t="shared" si="144"/>
        <v>0</v>
      </c>
      <c r="F473" s="625" t="s">
        <v>34</v>
      </c>
      <c r="G473" s="626">
        <v>564</v>
      </c>
      <c r="H473" s="627">
        <f t="shared" si="142"/>
        <v>0</v>
      </c>
      <c r="I473" s="628">
        <v>283</v>
      </c>
      <c r="J473" s="571">
        <f t="shared" si="143"/>
        <v>0</v>
      </c>
      <c r="K473" s="1060">
        <f t="shared" si="123"/>
        <v>0</v>
      </c>
      <c r="L473" s="1061"/>
      <c r="M473" s="574"/>
      <c r="N473" s="631">
        <f t="shared" si="122"/>
        <v>0</v>
      </c>
      <c r="O473" s="630">
        <v>0</v>
      </c>
      <c r="P473" s="624">
        <v>0</v>
      </c>
      <c r="Q473" s="574"/>
      <c r="R473" s="574"/>
      <c r="S473" s="574"/>
    </row>
    <row r="474" spans="1:19" ht="21.3">
      <c r="A474" s="585"/>
      <c r="B474" s="617"/>
      <c r="C474" s="617" t="s">
        <v>198</v>
      </c>
      <c r="D474" s="617"/>
      <c r="E474" s="624">
        <f t="shared" si="144"/>
        <v>0</v>
      </c>
      <c r="F474" s="619"/>
      <c r="G474" s="626"/>
      <c r="H474" s="627">
        <f t="shared" si="142"/>
        <v>0</v>
      </c>
      <c r="I474" s="628"/>
      <c r="J474" s="571">
        <f t="shared" si="143"/>
        <v>0</v>
      </c>
      <c r="K474" s="1060">
        <f t="shared" si="123"/>
        <v>0</v>
      </c>
      <c r="L474" s="1061"/>
      <c r="M474" s="574"/>
      <c r="N474" s="631">
        <f t="shared" si="122"/>
        <v>0</v>
      </c>
      <c r="O474" s="630">
        <v>0</v>
      </c>
      <c r="P474" s="624"/>
      <c r="Q474" s="574"/>
      <c r="R474" s="574"/>
      <c r="S474" s="574"/>
    </row>
    <row r="475" spans="1:19" ht="21.3">
      <c r="A475" s="585"/>
      <c r="B475" s="617" t="s">
        <v>199</v>
      </c>
      <c r="C475" s="617" t="s">
        <v>200</v>
      </c>
      <c r="D475" s="617"/>
      <c r="E475" s="624">
        <f t="shared" si="144"/>
        <v>0</v>
      </c>
      <c r="F475" s="625" t="s">
        <v>34</v>
      </c>
      <c r="G475" s="626">
        <v>3570</v>
      </c>
      <c r="H475" s="627">
        <f t="shared" si="142"/>
        <v>0</v>
      </c>
      <c r="I475" s="628">
        <v>220</v>
      </c>
      <c r="J475" s="571">
        <f t="shared" si="143"/>
        <v>0</v>
      </c>
      <c r="K475" s="1060">
        <f t="shared" si="123"/>
        <v>0</v>
      </c>
      <c r="L475" s="1061"/>
      <c r="M475" s="574"/>
      <c r="N475" s="631">
        <f t="shared" si="122"/>
        <v>0</v>
      </c>
      <c r="O475" s="630">
        <v>0</v>
      </c>
      <c r="P475" s="624">
        <v>0</v>
      </c>
      <c r="Q475" s="574"/>
      <c r="R475" s="574"/>
      <c r="S475" s="574"/>
    </row>
    <row r="476" spans="1:19" ht="21.3">
      <c r="A476" s="585"/>
      <c r="B476" s="617" t="s">
        <v>201</v>
      </c>
      <c r="C476" s="617" t="s">
        <v>202</v>
      </c>
      <c r="D476" s="617"/>
      <c r="E476" s="624">
        <f t="shared" si="144"/>
        <v>0</v>
      </c>
      <c r="F476" s="625" t="s">
        <v>34</v>
      </c>
      <c r="G476" s="626">
        <f>ROUNDUP(2227.6*0.05+5*2.95,0)</f>
        <v>127</v>
      </c>
      <c r="H476" s="627">
        <f t="shared" si="142"/>
        <v>0</v>
      </c>
      <c r="I476" s="628">
        <v>82</v>
      </c>
      <c r="J476" s="571">
        <f t="shared" si="143"/>
        <v>0</v>
      </c>
      <c r="K476" s="1060">
        <f t="shared" si="123"/>
        <v>0</v>
      </c>
      <c r="L476" s="1061"/>
      <c r="M476" s="574"/>
      <c r="N476" s="631">
        <f t="shared" si="122"/>
        <v>0</v>
      </c>
      <c r="O476" s="630">
        <v>0</v>
      </c>
      <c r="P476" s="624">
        <v>0</v>
      </c>
      <c r="Q476" s="574"/>
      <c r="R476" s="574"/>
      <c r="S476" s="574"/>
    </row>
    <row r="477" spans="1:19" ht="21.3">
      <c r="A477" s="585"/>
      <c r="B477" s="617" t="s">
        <v>203</v>
      </c>
      <c r="C477" s="1125" t="s">
        <v>204</v>
      </c>
      <c r="D477" s="1126"/>
      <c r="E477" s="624">
        <f t="shared" si="144"/>
        <v>0</v>
      </c>
      <c r="F477" s="625" t="s">
        <v>34</v>
      </c>
      <c r="G477" s="628">
        <v>120</v>
      </c>
      <c r="H477" s="627">
        <f t="shared" ref="H477:H480" si="147">E477*G477</f>
        <v>0</v>
      </c>
      <c r="I477" s="628">
        <v>61</v>
      </c>
      <c r="J477" s="571">
        <f t="shared" si="143"/>
        <v>0</v>
      </c>
      <c r="K477" s="1060">
        <f t="shared" si="123"/>
        <v>0</v>
      </c>
      <c r="L477" s="1061"/>
      <c r="M477" s="574"/>
      <c r="N477" s="631">
        <f t="shared" si="122"/>
        <v>0</v>
      </c>
      <c r="O477" s="630">
        <v>0</v>
      </c>
      <c r="P477" s="624">
        <v>0</v>
      </c>
      <c r="Q477" s="574"/>
      <c r="R477" s="574"/>
      <c r="S477" s="574"/>
    </row>
    <row r="478" spans="1:19" ht="21.3">
      <c r="A478" s="585"/>
      <c r="B478" s="617" t="s">
        <v>205</v>
      </c>
      <c r="C478" s="617" t="s">
        <v>206</v>
      </c>
      <c r="D478" s="617"/>
      <c r="E478" s="624">
        <f t="shared" si="144"/>
        <v>0</v>
      </c>
      <c r="F478" s="625" t="s">
        <v>34</v>
      </c>
      <c r="G478" s="626">
        <v>447</v>
      </c>
      <c r="H478" s="627">
        <f t="shared" si="147"/>
        <v>0</v>
      </c>
      <c r="I478" s="628">
        <v>212</v>
      </c>
      <c r="J478" s="571">
        <f t="shared" si="143"/>
        <v>0</v>
      </c>
      <c r="K478" s="1060">
        <f t="shared" si="123"/>
        <v>0</v>
      </c>
      <c r="L478" s="1061"/>
      <c r="M478" s="574"/>
      <c r="N478" s="631">
        <f t="shared" si="122"/>
        <v>0</v>
      </c>
      <c r="O478" s="630">
        <v>0</v>
      </c>
      <c r="P478" s="624">
        <v>0</v>
      </c>
      <c r="Q478" s="574"/>
      <c r="R478" s="574"/>
      <c r="S478" s="574"/>
    </row>
    <row r="479" spans="1:19" ht="21.3">
      <c r="A479" s="585"/>
      <c r="B479" s="617" t="s">
        <v>207</v>
      </c>
      <c r="C479" s="1125" t="s">
        <v>208</v>
      </c>
      <c r="D479" s="1126"/>
      <c r="E479" s="624">
        <f t="shared" si="144"/>
        <v>78.680000000000007</v>
      </c>
      <c r="F479" s="625" t="s">
        <v>34</v>
      </c>
      <c r="G479" s="628">
        <v>240</v>
      </c>
      <c r="H479" s="627">
        <f t="shared" si="147"/>
        <v>18883.2</v>
      </c>
      <c r="I479" s="628">
        <v>80</v>
      </c>
      <c r="J479" s="571">
        <f t="shared" si="143"/>
        <v>6294.4000000000005</v>
      </c>
      <c r="K479" s="1060">
        <f t="shared" si="123"/>
        <v>25177.600000000002</v>
      </c>
      <c r="L479" s="1061"/>
      <c r="M479" s="574"/>
      <c r="N479" s="631">
        <f t="shared" si="122"/>
        <v>78.680000000000007</v>
      </c>
      <c r="O479" s="630">
        <v>0</v>
      </c>
      <c r="P479" s="624">
        <v>78.680000000000007</v>
      </c>
      <c r="Q479" s="574"/>
      <c r="R479" s="574"/>
      <c r="S479" s="574"/>
    </row>
    <row r="480" spans="1:19" ht="21.3">
      <c r="A480" s="585"/>
      <c r="B480" s="617" t="s">
        <v>209</v>
      </c>
      <c r="C480" s="1125" t="s">
        <v>210</v>
      </c>
      <c r="D480" s="1126"/>
      <c r="E480" s="624">
        <f t="shared" si="144"/>
        <v>0</v>
      </c>
      <c r="F480" s="625" t="s">
        <v>34</v>
      </c>
      <c r="G480" s="628">
        <v>230</v>
      </c>
      <c r="H480" s="627">
        <f t="shared" si="147"/>
        <v>0</v>
      </c>
      <c r="I480" s="628">
        <v>0</v>
      </c>
      <c r="J480" s="571">
        <f t="shared" si="143"/>
        <v>0</v>
      </c>
      <c r="K480" s="1060">
        <f t="shared" si="123"/>
        <v>0</v>
      </c>
      <c r="L480" s="1061"/>
      <c r="M480" s="574"/>
      <c r="N480" s="631">
        <f t="shared" si="122"/>
        <v>0</v>
      </c>
      <c r="O480" s="630">
        <v>0</v>
      </c>
      <c r="P480" s="624">
        <v>0</v>
      </c>
      <c r="Q480" s="574"/>
      <c r="R480" s="574"/>
      <c r="S480" s="574"/>
    </row>
    <row r="481" spans="1:24" ht="21.3">
      <c r="A481" s="585"/>
      <c r="B481" s="617" t="s">
        <v>211</v>
      </c>
      <c r="C481" s="1125" t="s">
        <v>212</v>
      </c>
      <c r="D481" s="1126"/>
      <c r="E481" s="624">
        <f t="shared" si="144"/>
        <v>0</v>
      </c>
      <c r="F481" s="625" t="s">
        <v>34</v>
      </c>
      <c r="G481" s="626">
        <v>220</v>
      </c>
      <c r="H481" s="627">
        <f t="shared" ref="H481:H490" si="148">SUM(E481*G481)</f>
        <v>0</v>
      </c>
      <c r="I481" s="628">
        <v>80</v>
      </c>
      <c r="J481" s="571">
        <f t="shared" si="143"/>
        <v>0</v>
      </c>
      <c r="K481" s="1060">
        <f t="shared" si="123"/>
        <v>0</v>
      </c>
      <c r="L481" s="1061"/>
      <c r="M481" s="574"/>
      <c r="N481" s="631">
        <f t="shared" si="122"/>
        <v>0</v>
      </c>
      <c r="O481" s="630">
        <v>0</v>
      </c>
      <c r="P481" s="624">
        <v>0</v>
      </c>
      <c r="Q481" s="574"/>
      <c r="R481" s="574"/>
      <c r="S481" s="574"/>
    </row>
    <row r="482" spans="1:24" ht="21.3">
      <c r="A482" s="585"/>
      <c r="B482" s="617" t="s">
        <v>213</v>
      </c>
      <c r="C482" s="1125" t="s">
        <v>214</v>
      </c>
      <c r="D482" s="1126"/>
      <c r="E482" s="624">
        <f t="shared" si="144"/>
        <v>0</v>
      </c>
      <c r="F482" s="625" t="s">
        <v>34</v>
      </c>
      <c r="G482" s="626">
        <v>113</v>
      </c>
      <c r="H482" s="627">
        <f t="shared" si="148"/>
        <v>0</v>
      </c>
      <c r="I482" s="628">
        <v>61</v>
      </c>
      <c r="J482" s="571">
        <f t="shared" si="143"/>
        <v>0</v>
      </c>
      <c r="K482" s="1060">
        <f t="shared" si="123"/>
        <v>0</v>
      </c>
      <c r="L482" s="1061"/>
      <c r="M482" s="574"/>
      <c r="N482" s="631">
        <f t="shared" ref="N482:N492" si="149">+(1+O482)*P482</f>
        <v>0</v>
      </c>
      <c r="O482" s="630">
        <v>0</v>
      </c>
      <c r="P482" s="624">
        <v>0</v>
      </c>
      <c r="Q482" s="574"/>
      <c r="R482" s="574"/>
      <c r="S482" s="574"/>
    </row>
    <row r="483" spans="1:24" ht="21.3">
      <c r="A483" s="585"/>
      <c r="B483" s="617" t="s">
        <v>215</v>
      </c>
      <c r="C483" s="1125" t="s">
        <v>216</v>
      </c>
      <c r="D483" s="1126"/>
      <c r="E483" s="624">
        <f t="shared" si="144"/>
        <v>0</v>
      </c>
      <c r="F483" s="625" t="s">
        <v>34</v>
      </c>
      <c r="G483" s="626">
        <v>113</v>
      </c>
      <c r="H483" s="627">
        <f t="shared" si="148"/>
        <v>0</v>
      </c>
      <c r="I483" s="628">
        <v>61</v>
      </c>
      <c r="J483" s="571">
        <f t="shared" si="143"/>
        <v>0</v>
      </c>
      <c r="K483" s="1060">
        <f t="shared" si="123"/>
        <v>0</v>
      </c>
      <c r="L483" s="1061"/>
      <c r="M483" s="574"/>
      <c r="N483" s="631">
        <f t="shared" si="149"/>
        <v>0</v>
      </c>
      <c r="O483" s="630">
        <v>0</v>
      </c>
      <c r="P483" s="624">
        <v>0</v>
      </c>
      <c r="Q483" s="574"/>
      <c r="R483" s="574"/>
      <c r="S483" s="574"/>
    </row>
    <row r="484" spans="1:24" ht="21.3">
      <c r="A484" s="585"/>
      <c r="B484" s="617" t="s">
        <v>217</v>
      </c>
      <c r="C484" s="1125" t="s">
        <v>218</v>
      </c>
      <c r="D484" s="1126"/>
      <c r="E484" s="624">
        <f t="shared" si="144"/>
        <v>0</v>
      </c>
      <c r="F484" s="625" t="s">
        <v>34</v>
      </c>
      <c r="G484" s="626">
        <v>113</v>
      </c>
      <c r="H484" s="627">
        <f t="shared" si="148"/>
        <v>0</v>
      </c>
      <c r="I484" s="628">
        <v>61</v>
      </c>
      <c r="J484" s="571">
        <f t="shared" si="143"/>
        <v>0</v>
      </c>
      <c r="K484" s="1060">
        <f t="shared" si="123"/>
        <v>0</v>
      </c>
      <c r="L484" s="1061"/>
      <c r="M484" s="574"/>
      <c r="N484" s="631">
        <f t="shared" si="149"/>
        <v>0</v>
      </c>
      <c r="O484" s="630">
        <v>0</v>
      </c>
      <c r="P484" s="624">
        <v>0</v>
      </c>
      <c r="Q484" s="574"/>
      <c r="R484" s="574"/>
      <c r="S484" s="574"/>
    </row>
    <row r="485" spans="1:24" ht="21.3">
      <c r="A485" s="585"/>
      <c r="B485" s="617" t="s">
        <v>219</v>
      </c>
      <c r="C485" s="1125" t="s">
        <v>220</v>
      </c>
      <c r="D485" s="1124"/>
      <c r="E485" s="624">
        <f t="shared" si="144"/>
        <v>0</v>
      </c>
      <c r="F485" s="625" t="s">
        <v>34</v>
      </c>
      <c r="G485" s="626">
        <v>113</v>
      </c>
      <c r="H485" s="627">
        <f t="shared" si="148"/>
        <v>0</v>
      </c>
      <c r="I485" s="628">
        <v>61</v>
      </c>
      <c r="J485" s="571">
        <f t="shared" si="143"/>
        <v>0</v>
      </c>
      <c r="K485" s="1060">
        <f t="shared" si="123"/>
        <v>0</v>
      </c>
      <c r="L485" s="1061"/>
      <c r="M485" s="574"/>
      <c r="N485" s="631">
        <f t="shared" si="149"/>
        <v>0</v>
      </c>
      <c r="O485" s="630">
        <v>0</v>
      </c>
      <c r="P485" s="624">
        <v>0</v>
      </c>
      <c r="Q485" s="574"/>
      <c r="R485" s="574"/>
      <c r="S485" s="574"/>
    </row>
    <row r="486" spans="1:24" ht="21.3">
      <c r="A486" s="585"/>
      <c r="B486" s="617" t="s">
        <v>221</v>
      </c>
      <c r="C486" s="1125" t="s">
        <v>222</v>
      </c>
      <c r="D486" s="1124"/>
      <c r="E486" s="624">
        <f t="shared" si="144"/>
        <v>129.69999999999999</v>
      </c>
      <c r="F486" s="625" t="s">
        <v>34</v>
      </c>
      <c r="G486" s="626">
        <v>583</v>
      </c>
      <c r="H486" s="627">
        <f t="shared" si="148"/>
        <v>75615.099999999991</v>
      </c>
      <c r="I486" s="628">
        <v>298</v>
      </c>
      <c r="J486" s="571">
        <f t="shared" si="143"/>
        <v>38650.6</v>
      </c>
      <c r="K486" s="1060">
        <f t="shared" si="123"/>
        <v>114265.69999999998</v>
      </c>
      <c r="L486" s="1061"/>
      <c r="M486" s="574"/>
      <c r="N486" s="631">
        <f t="shared" si="149"/>
        <v>129.69999999999999</v>
      </c>
      <c r="O486" s="630">
        <v>0</v>
      </c>
      <c r="P486" s="624">
        <v>129.69999999999999</v>
      </c>
      <c r="Q486" s="574"/>
      <c r="R486" s="574"/>
      <c r="S486" s="574"/>
    </row>
    <row r="487" spans="1:24" ht="21.3">
      <c r="A487" s="585"/>
      <c r="B487" s="617" t="s">
        <v>593</v>
      </c>
      <c r="C487" s="1127" t="s">
        <v>594</v>
      </c>
      <c r="D487" s="1126"/>
      <c r="E487" s="624">
        <f t="shared" si="144"/>
        <v>0</v>
      </c>
      <c r="F487" s="625" t="s">
        <v>34</v>
      </c>
      <c r="G487" s="626">
        <v>533</v>
      </c>
      <c r="H487" s="627">
        <f t="shared" si="148"/>
        <v>0</v>
      </c>
      <c r="I487" s="628">
        <v>130</v>
      </c>
      <c r="J487" s="571">
        <f t="shared" si="143"/>
        <v>0</v>
      </c>
      <c r="K487" s="1060">
        <f t="shared" ref="K487:K490" si="150">H487+J487</f>
        <v>0</v>
      </c>
      <c r="L487" s="1061"/>
      <c r="M487" s="574"/>
      <c r="N487" s="631">
        <f t="shared" si="149"/>
        <v>0</v>
      </c>
      <c r="O487" s="630">
        <v>0</v>
      </c>
      <c r="P487" s="624">
        <v>0</v>
      </c>
      <c r="Q487" s="574"/>
      <c r="R487" s="574"/>
      <c r="S487" s="574"/>
    </row>
    <row r="488" spans="1:24" ht="21.3">
      <c r="A488" s="585"/>
      <c r="B488" s="617" t="s">
        <v>238</v>
      </c>
      <c r="C488" s="1127" t="s">
        <v>595</v>
      </c>
      <c r="D488" s="1126"/>
      <c r="E488" s="624">
        <f t="shared" si="144"/>
        <v>0</v>
      </c>
      <c r="F488" s="625" t="s">
        <v>34</v>
      </c>
      <c r="G488" s="626">
        <v>4810</v>
      </c>
      <c r="H488" s="627">
        <f t="shared" si="148"/>
        <v>0</v>
      </c>
      <c r="I488" s="628">
        <v>1640</v>
      </c>
      <c r="J488" s="571">
        <f t="shared" si="143"/>
        <v>0</v>
      </c>
      <c r="K488" s="1060">
        <f t="shared" si="150"/>
        <v>0</v>
      </c>
      <c r="L488" s="1061"/>
      <c r="M488" s="574"/>
      <c r="N488" s="631">
        <f t="shared" si="149"/>
        <v>0</v>
      </c>
      <c r="O488" s="630">
        <v>0</v>
      </c>
      <c r="P488" s="624">
        <v>0</v>
      </c>
      <c r="Q488" s="574"/>
      <c r="R488" s="574"/>
      <c r="S488" s="574"/>
    </row>
    <row r="489" spans="1:24" ht="21.3">
      <c r="A489" s="585"/>
      <c r="B489" s="617" t="s">
        <v>596</v>
      </c>
      <c r="C489" s="1127" t="s">
        <v>597</v>
      </c>
      <c r="D489" s="1124"/>
      <c r="E489" s="624">
        <f t="shared" si="144"/>
        <v>0</v>
      </c>
      <c r="F489" s="625" t="s">
        <v>34</v>
      </c>
      <c r="G489" s="626">
        <v>253</v>
      </c>
      <c r="H489" s="627">
        <f t="shared" si="148"/>
        <v>0</v>
      </c>
      <c r="I489" s="628">
        <v>50</v>
      </c>
      <c r="J489" s="571">
        <f t="shared" si="143"/>
        <v>0</v>
      </c>
      <c r="K489" s="1060">
        <f t="shared" si="150"/>
        <v>0</v>
      </c>
      <c r="L489" s="1061"/>
      <c r="M489" s="574"/>
      <c r="N489" s="631">
        <f t="shared" si="149"/>
        <v>0</v>
      </c>
      <c r="O489" s="630">
        <v>0</v>
      </c>
      <c r="P489" s="624">
        <v>0</v>
      </c>
      <c r="Q489" s="574"/>
      <c r="R489" s="574"/>
      <c r="S489" s="574"/>
    </row>
    <row r="490" spans="1:24" ht="21.3">
      <c r="A490" s="585"/>
      <c r="B490" s="617" t="s">
        <v>598</v>
      </c>
      <c r="C490" s="1127" t="s">
        <v>599</v>
      </c>
      <c r="D490" s="1124"/>
      <c r="E490" s="624">
        <f t="shared" si="144"/>
        <v>0</v>
      </c>
      <c r="F490" s="625" t="s">
        <v>34</v>
      </c>
      <c r="G490" s="626">
        <v>1964</v>
      </c>
      <c r="H490" s="627">
        <f t="shared" si="148"/>
        <v>0</v>
      </c>
      <c r="I490" s="628">
        <v>220</v>
      </c>
      <c r="J490" s="571">
        <f t="shared" si="143"/>
        <v>0</v>
      </c>
      <c r="K490" s="1060">
        <f t="shared" si="150"/>
        <v>0</v>
      </c>
      <c r="L490" s="1061"/>
      <c r="M490" s="632"/>
      <c r="N490" s="631">
        <f t="shared" si="149"/>
        <v>0</v>
      </c>
      <c r="O490" s="630">
        <v>0</v>
      </c>
      <c r="P490" s="624">
        <v>0</v>
      </c>
      <c r="Q490" s="632"/>
      <c r="R490" s="632"/>
      <c r="S490" s="632"/>
    </row>
    <row r="491" spans="1:24" s="574" customFormat="1" ht="24" customHeight="1">
      <c r="A491" s="585"/>
      <c r="B491" s="617"/>
      <c r="C491" s="1128" t="s">
        <v>223</v>
      </c>
      <c r="D491" s="1126"/>
      <c r="E491" s="624">
        <f t="shared" si="144"/>
        <v>0</v>
      </c>
      <c r="F491" s="625"/>
      <c r="G491" s="626"/>
      <c r="H491" s="627">
        <f t="shared" ref="H491:H493" si="151">SUM(E491*G491)</f>
        <v>0</v>
      </c>
      <c r="I491" s="628"/>
      <c r="J491" s="633">
        <f t="shared" ref="J491:J493" si="152">SUM(E491*I491)</f>
        <v>0</v>
      </c>
      <c r="K491" s="626">
        <f t="shared" ref="K491:K493" si="153">SUM(H491+J491)</f>
        <v>0</v>
      </c>
      <c r="L491" s="1063"/>
      <c r="M491" s="634"/>
      <c r="N491" s="635">
        <f t="shared" si="149"/>
        <v>0</v>
      </c>
      <c r="O491" s="636">
        <v>0</v>
      </c>
      <c r="P491" s="637">
        <v>0</v>
      </c>
      <c r="Q491" s="634"/>
      <c r="R491" s="634"/>
      <c r="S491" s="634"/>
      <c r="T491" s="634"/>
      <c r="U491" s="634"/>
      <c r="V491" s="634"/>
      <c r="W491" s="634"/>
      <c r="X491" s="634"/>
    </row>
    <row r="492" spans="1:24" s="574" customFormat="1" ht="24" customHeight="1">
      <c r="A492" s="585"/>
      <c r="B492" s="617" t="s">
        <v>224</v>
      </c>
      <c r="C492" s="1125" t="s">
        <v>225</v>
      </c>
      <c r="D492" s="1124"/>
      <c r="E492" s="624">
        <f t="shared" si="144"/>
        <v>469.72</v>
      </c>
      <c r="F492" s="625" t="s">
        <v>226</v>
      </c>
      <c r="G492" s="626">
        <v>200</v>
      </c>
      <c r="H492" s="627">
        <f t="shared" si="151"/>
        <v>93944</v>
      </c>
      <c r="I492" s="628">
        <v>45</v>
      </c>
      <c r="J492" s="633">
        <f t="shared" si="152"/>
        <v>21137.4</v>
      </c>
      <c r="K492" s="626">
        <f t="shared" si="153"/>
        <v>115081.4</v>
      </c>
      <c r="L492" s="1064"/>
      <c r="M492" s="634"/>
      <c r="N492" s="635">
        <f t="shared" si="149"/>
        <v>469.72</v>
      </c>
      <c r="O492" s="636">
        <v>0</v>
      </c>
      <c r="P492" s="637">
        <v>469.72</v>
      </c>
      <c r="Q492" s="634"/>
      <c r="R492" s="634"/>
      <c r="S492" s="634"/>
      <c r="T492" s="634"/>
      <c r="U492" s="634"/>
      <c r="V492" s="634"/>
      <c r="W492" s="634"/>
      <c r="X492" s="634"/>
    </row>
    <row r="493" spans="1:24" s="574" customFormat="1" ht="24" customHeight="1">
      <c r="A493" s="1066"/>
      <c r="B493" s="653" t="s">
        <v>227</v>
      </c>
      <c r="C493" s="1132" t="s">
        <v>228</v>
      </c>
      <c r="D493" s="1133"/>
      <c r="E493" s="624">
        <f t="shared" si="144"/>
        <v>0</v>
      </c>
      <c r="F493" s="655" t="s">
        <v>226</v>
      </c>
      <c r="G493" s="1067">
        <v>19</v>
      </c>
      <c r="H493" s="1068">
        <f t="shared" si="151"/>
        <v>0</v>
      </c>
      <c r="I493" s="1069">
        <v>20</v>
      </c>
      <c r="J493" s="1070">
        <f t="shared" si="152"/>
        <v>0</v>
      </c>
      <c r="K493" s="1067">
        <f t="shared" si="153"/>
        <v>0</v>
      </c>
      <c r="L493" s="1071"/>
      <c r="M493" s="634"/>
      <c r="N493" s="656"/>
      <c r="O493" s="657">
        <v>0</v>
      </c>
      <c r="P493" s="654"/>
      <c r="Q493" s="634"/>
      <c r="R493" s="634"/>
      <c r="S493" s="634"/>
      <c r="T493" s="634"/>
      <c r="U493" s="634"/>
      <c r="V493" s="634"/>
      <c r="W493" s="634"/>
      <c r="X493" s="634"/>
    </row>
    <row r="494" spans="1:24" ht="21.3">
      <c r="A494" s="658"/>
      <c r="B494" s="2228" t="str">
        <f>"รวมราคารายการที่ "&amp;A38</f>
        <v>รวมราคารายการที่ 2.1</v>
      </c>
      <c r="C494" s="2228"/>
      <c r="D494" s="2228"/>
      <c r="E494" s="600"/>
      <c r="F494" s="659"/>
      <c r="G494" s="604"/>
      <c r="H494" s="660">
        <f>SUBTOTAL(9,H39:H493)</f>
        <v>17637527.449999996</v>
      </c>
      <c r="I494" s="661"/>
      <c r="J494" s="660">
        <f>SUBTOTAL(9,J39:J493)</f>
        <v>7703640.8450000063</v>
      </c>
      <c r="K494" s="1072">
        <f>SUBTOTAL(9,K39:K493)</f>
        <v>25341168.294999976</v>
      </c>
      <c r="L494" s="662"/>
      <c r="M494" s="574"/>
      <c r="N494" s="658"/>
      <c r="O494" s="606">
        <v>0</v>
      </c>
      <c r="P494" s="600"/>
      <c r="Q494" s="574"/>
      <c r="R494" s="574"/>
      <c r="S494" s="574"/>
    </row>
    <row r="495" spans="1:24" ht="21.3">
      <c r="A495" s="608">
        <v>2.2000000000000002</v>
      </c>
      <c r="B495" s="1122" t="s">
        <v>256</v>
      </c>
      <c r="C495" s="609"/>
      <c r="D495" s="1123"/>
      <c r="E495" s="610"/>
      <c r="F495" s="611"/>
      <c r="G495" s="614"/>
      <c r="H495" s="663"/>
      <c r="I495" s="614"/>
      <c r="J495" s="663"/>
      <c r="K495" s="664"/>
      <c r="L495" s="1059"/>
      <c r="M495" s="574"/>
      <c r="N495" s="615"/>
      <c r="O495" s="616">
        <v>0</v>
      </c>
      <c r="P495" s="610"/>
      <c r="Q495" s="574"/>
      <c r="R495" s="574"/>
      <c r="S495" s="574"/>
    </row>
    <row r="496" spans="1:24" ht="21.3">
      <c r="A496" s="665" t="s">
        <v>257</v>
      </c>
      <c r="B496" s="1114" t="s">
        <v>258</v>
      </c>
      <c r="C496" s="617"/>
      <c r="D496" s="1124"/>
      <c r="E496" s="624"/>
      <c r="F496" s="619"/>
      <c r="G496" s="572"/>
      <c r="H496" s="580"/>
      <c r="I496" s="572"/>
      <c r="J496" s="580"/>
      <c r="K496" s="631"/>
      <c r="L496" s="1061"/>
      <c r="M496" s="574"/>
      <c r="N496" s="629">
        <f t="shared" ref="N496:N565" si="154">+(1+O496)*P496</f>
        <v>0</v>
      </c>
      <c r="O496" s="630">
        <v>0</v>
      </c>
      <c r="P496" s="624"/>
      <c r="Q496" s="574"/>
      <c r="R496" s="574"/>
      <c r="S496" s="574"/>
    </row>
    <row r="497" spans="1:19" ht="21.3">
      <c r="A497" s="665"/>
      <c r="B497" s="1114"/>
      <c r="C497" s="1125" t="s">
        <v>259</v>
      </c>
      <c r="D497" s="1124"/>
      <c r="E497" s="624">
        <v>780.21049999999991</v>
      </c>
      <c r="F497" s="625" t="s">
        <v>34</v>
      </c>
      <c r="G497" s="666">
        <v>281</v>
      </c>
      <c r="H497" s="633">
        <f>SUM(E497*G497)</f>
        <v>219239.15049999999</v>
      </c>
      <c r="I497" s="666">
        <v>80</v>
      </c>
      <c r="J497" s="580">
        <f t="shared" ref="J497:J566" si="155">E497*I497</f>
        <v>62416.84</v>
      </c>
      <c r="K497" s="631">
        <f t="shared" ref="K497:K566" si="156">H497+J497</f>
        <v>281655.99049999996</v>
      </c>
      <c r="L497" s="1073"/>
      <c r="M497" s="574"/>
      <c r="N497" s="629">
        <f t="shared" si="154"/>
        <v>0</v>
      </c>
      <c r="O497" s="630">
        <v>0</v>
      </c>
      <c r="P497" s="624"/>
      <c r="Q497" s="574"/>
      <c r="R497" s="574"/>
      <c r="S497" s="574"/>
    </row>
    <row r="498" spans="1:19" ht="21.3">
      <c r="A498" s="665"/>
      <c r="B498" s="1114"/>
      <c r="C498" s="1125" t="s">
        <v>260</v>
      </c>
      <c r="D498" s="1124"/>
      <c r="E498" s="624">
        <f>+E534/2</f>
        <v>0</v>
      </c>
      <c r="F498" s="625" t="s">
        <v>34</v>
      </c>
      <c r="G498" s="666">
        <v>712</v>
      </c>
      <c r="H498" s="633">
        <f>SUM(E498*G498)</f>
        <v>0</v>
      </c>
      <c r="I498" s="666">
        <v>98</v>
      </c>
      <c r="J498" s="580">
        <f t="shared" si="155"/>
        <v>0</v>
      </c>
      <c r="K498" s="631">
        <f t="shared" si="156"/>
        <v>0</v>
      </c>
      <c r="L498" s="1073"/>
      <c r="M498" s="574"/>
      <c r="N498" s="629">
        <f t="shared" si="154"/>
        <v>0</v>
      </c>
      <c r="O498" s="630">
        <v>0</v>
      </c>
      <c r="P498" s="624"/>
      <c r="Q498" s="574"/>
      <c r="R498" s="574"/>
      <c r="S498" s="574"/>
    </row>
    <row r="499" spans="1:19" ht="21.3">
      <c r="A499" s="665"/>
      <c r="B499" s="1114"/>
      <c r="C499" s="1125" t="s">
        <v>261</v>
      </c>
      <c r="D499" s="1124"/>
      <c r="E499" s="624">
        <f>+E497*1.33</f>
        <v>1037.679965</v>
      </c>
      <c r="F499" s="625" t="s">
        <v>226</v>
      </c>
      <c r="G499" s="666">
        <v>119</v>
      </c>
      <c r="H499" s="633">
        <f>SUM(E499*G499)</f>
        <v>123483.91583500001</v>
      </c>
      <c r="I499" s="666">
        <v>44</v>
      </c>
      <c r="J499" s="580">
        <f t="shared" si="155"/>
        <v>45657.918460000001</v>
      </c>
      <c r="K499" s="631">
        <f t="shared" si="156"/>
        <v>169141.83429500001</v>
      </c>
      <c r="L499" s="1073"/>
      <c r="M499" s="574"/>
      <c r="N499" s="629">
        <f t="shared" si="154"/>
        <v>0</v>
      </c>
      <c r="O499" s="630">
        <v>0</v>
      </c>
      <c r="P499" s="624"/>
      <c r="Q499" s="574"/>
      <c r="R499" s="574"/>
      <c r="S499" s="574"/>
    </row>
    <row r="500" spans="1:19" ht="21.3">
      <c r="A500" s="665"/>
      <c r="B500" s="1114"/>
      <c r="C500" s="1125" t="s">
        <v>262</v>
      </c>
      <c r="D500" s="1124"/>
      <c r="E500" s="624">
        <f>+E498*1.33</f>
        <v>0</v>
      </c>
      <c r="F500" s="625" t="s">
        <v>226</v>
      </c>
      <c r="G500" s="666">
        <v>208</v>
      </c>
      <c r="H500" s="633">
        <f>SUM(E500*G500)</f>
        <v>0</v>
      </c>
      <c r="I500" s="666">
        <v>78</v>
      </c>
      <c r="J500" s="580">
        <f t="shared" si="155"/>
        <v>0</v>
      </c>
      <c r="K500" s="631">
        <f t="shared" si="156"/>
        <v>0</v>
      </c>
      <c r="L500" s="1073"/>
      <c r="M500" s="574"/>
      <c r="N500" s="629">
        <f t="shared" si="154"/>
        <v>0</v>
      </c>
      <c r="O500" s="630">
        <v>0</v>
      </c>
      <c r="P500" s="624"/>
      <c r="Q500" s="574"/>
      <c r="R500" s="574"/>
      <c r="S500" s="574"/>
    </row>
    <row r="501" spans="1:19" ht="21.3">
      <c r="A501" s="665"/>
      <c r="B501" s="1114"/>
      <c r="C501" s="1125" t="s">
        <v>263</v>
      </c>
      <c r="D501" s="1124"/>
      <c r="E501" s="624">
        <f>+E530+E531+E533+E539+E541+E552</f>
        <v>0</v>
      </c>
      <c r="F501" s="625" t="s">
        <v>34</v>
      </c>
      <c r="G501" s="666">
        <v>88</v>
      </c>
      <c r="H501" s="633">
        <f>SUM(E501*G501)</f>
        <v>0</v>
      </c>
      <c r="I501" s="666">
        <v>82</v>
      </c>
      <c r="J501" s="580">
        <f t="shared" si="155"/>
        <v>0</v>
      </c>
      <c r="K501" s="631">
        <f t="shared" si="156"/>
        <v>0</v>
      </c>
      <c r="L501" s="1062"/>
      <c r="M501" s="574"/>
      <c r="N501" s="629">
        <f t="shared" si="154"/>
        <v>0</v>
      </c>
      <c r="O501" s="630">
        <v>0</v>
      </c>
      <c r="P501" s="624"/>
      <c r="Q501" s="574"/>
      <c r="R501" s="574"/>
      <c r="S501" s="574"/>
    </row>
    <row r="502" spans="1:19" ht="21.3">
      <c r="A502" s="665"/>
      <c r="B502" s="617" t="s">
        <v>264</v>
      </c>
      <c r="C502" s="1125" t="s">
        <v>265</v>
      </c>
      <c r="D502" s="1126"/>
      <c r="E502" s="637">
        <f>+N502</f>
        <v>0</v>
      </c>
      <c r="F502" s="625" t="s">
        <v>34</v>
      </c>
      <c r="G502" s="666">
        <v>88</v>
      </c>
      <c r="H502" s="633">
        <f t="shared" ref="H502:H508" si="157">SUM(E502*G502)</f>
        <v>0</v>
      </c>
      <c r="I502" s="666">
        <v>95</v>
      </c>
      <c r="J502" s="580">
        <f t="shared" si="155"/>
        <v>0</v>
      </c>
      <c r="K502" s="631">
        <f t="shared" si="156"/>
        <v>0</v>
      </c>
      <c r="L502" s="1062"/>
      <c r="M502" s="574"/>
      <c r="N502" s="667">
        <f t="shared" si="154"/>
        <v>0</v>
      </c>
      <c r="O502" s="636">
        <v>0</v>
      </c>
      <c r="P502" s="637"/>
      <c r="Q502" s="574"/>
      <c r="R502" s="574"/>
      <c r="S502" s="574"/>
    </row>
    <row r="503" spans="1:19" ht="21.3">
      <c r="A503" s="665"/>
      <c r="B503" s="617"/>
      <c r="C503" s="1125" t="s">
        <v>266</v>
      </c>
      <c r="D503" s="1126"/>
      <c r="E503" s="637">
        <f t="shared" ref="E503:E554" si="158">+N503</f>
        <v>0</v>
      </c>
      <c r="F503" s="625" t="s">
        <v>34</v>
      </c>
      <c r="G503" s="2048">
        <v>69</v>
      </c>
      <c r="H503" s="633">
        <f t="shared" si="157"/>
        <v>0</v>
      </c>
      <c r="I503" s="2048">
        <v>28</v>
      </c>
      <c r="J503" s="580">
        <f t="shared" si="155"/>
        <v>0</v>
      </c>
      <c r="K503" s="631">
        <f t="shared" si="156"/>
        <v>0</v>
      </c>
      <c r="L503" s="2049"/>
      <c r="M503" s="574"/>
      <c r="N503" s="667">
        <f t="shared" si="154"/>
        <v>0</v>
      </c>
      <c r="O503" s="636">
        <v>0</v>
      </c>
      <c r="P503" s="637"/>
      <c r="Q503" s="574"/>
      <c r="R503" s="574"/>
      <c r="S503" s="574"/>
    </row>
    <row r="504" spans="1:19" ht="21.3">
      <c r="A504" s="665"/>
      <c r="B504" s="617" t="s">
        <v>267</v>
      </c>
      <c r="C504" s="1125" t="s">
        <v>268</v>
      </c>
      <c r="D504" s="1126"/>
      <c r="E504" s="637">
        <f t="shared" si="158"/>
        <v>0</v>
      </c>
      <c r="F504" s="625" t="s">
        <v>34</v>
      </c>
      <c r="G504" s="666">
        <v>88</v>
      </c>
      <c r="H504" s="633">
        <f t="shared" si="157"/>
        <v>0</v>
      </c>
      <c r="I504" s="666">
        <v>82</v>
      </c>
      <c r="J504" s="580">
        <f t="shared" si="155"/>
        <v>0</v>
      </c>
      <c r="K504" s="631">
        <f t="shared" si="156"/>
        <v>0</v>
      </c>
      <c r="L504" s="1062"/>
      <c r="M504" s="574"/>
      <c r="N504" s="667">
        <f t="shared" si="154"/>
        <v>0</v>
      </c>
      <c r="O504" s="636">
        <v>0</v>
      </c>
      <c r="P504" s="637"/>
      <c r="Q504" s="574"/>
      <c r="R504" s="574"/>
      <c r="S504" s="574"/>
    </row>
    <row r="505" spans="1:19" ht="21.3">
      <c r="A505" s="665"/>
      <c r="B505" s="617" t="s">
        <v>269</v>
      </c>
      <c r="C505" s="1125" t="s">
        <v>265</v>
      </c>
      <c r="D505" s="1126"/>
      <c r="E505" s="637">
        <f t="shared" si="158"/>
        <v>273.89999999999998</v>
      </c>
      <c r="F505" s="625" t="s">
        <v>34</v>
      </c>
      <c r="G505" s="666">
        <v>88</v>
      </c>
      <c r="H505" s="633">
        <f t="shared" si="157"/>
        <v>24103.199999999997</v>
      </c>
      <c r="I505" s="666">
        <v>82</v>
      </c>
      <c r="J505" s="580">
        <f t="shared" si="155"/>
        <v>22459.8</v>
      </c>
      <c r="K505" s="631">
        <f t="shared" si="156"/>
        <v>46563</v>
      </c>
      <c r="L505" s="1062"/>
      <c r="M505" s="574"/>
      <c r="N505" s="667">
        <f t="shared" si="154"/>
        <v>273.89999999999998</v>
      </c>
      <c r="O505" s="636">
        <v>0</v>
      </c>
      <c r="P505" s="637">
        <v>273.89999999999998</v>
      </c>
      <c r="Q505" s="574"/>
      <c r="R505" s="574"/>
      <c r="S505" s="574"/>
    </row>
    <row r="506" spans="1:19" ht="21.3">
      <c r="A506" s="665"/>
      <c r="B506" s="617"/>
      <c r="C506" s="1125" t="s">
        <v>270</v>
      </c>
      <c r="D506" s="1126"/>
      <c r="E506" s="637">
        <f t="shared" si="158"/>
        <v>273.89999999999998</v>
      </c>
      <c r="F506" s="625" t="s">
        <v>34</v>
      </c>
      <c r="G506" s="2048">
        <v>69</v>
      </c>
      <c r="H506" s="633">
        <f t="shared" si="157"/>
        <v>18899.099999999999</v>
      </c>
      <c r="I506" s="2048">
        <v>28</v>
      </c>
      <c r="J506" s="580">
        <f t="shared" si="155"/>
        <v>7669.1999999999989</v>
      </c>
      <c r="K506" s="631">
        <f t="shared" si="156"/>
        <v>26568.299999999996</v>
      </c>
      <c r="L506" s="2049"/>
      <c r="M506" s="574"/>
      <c r="N506" s="667">
        <f t="shared" si="154"/>
        <v>273.89999999999998</v>
      </c>
      <c r="O506" s="636">
        <v>0</v>
      </c>
      <c r="P506" s="637">
        <v>273.89999999999998</v>
      </c>
      <c r="Q506" s="574"/>
      <c r="R506" s="574"/>
      <c r="S506" s="574"/>
    </row>
    <row r="507" spans="1:19" ht="21.3">
      <c r="A507" s="665"/>
      <c r="B507" s="617" t="s">
        <v>271</v>
      </c>
      <c r="C507" s="1125" t="s">
        <v>272</v>
      </c>
      <c r="D507" s="1126"/>
      <c r="E507" s="637">
        <f t="shared" si="158"/>
        <v>0</v>
      </c>
      <c r="F507" s="625" t="s">
        <v>34</v>
      </c>
      <c r="G507" s="666">
        <v>103</v>
      </c>
      <c r="H507" s="633">
        <f t="shared" si="157"/>
        <v>0</v>
      </c>
      <c r="I507" s="666">
        <v>115</v>
      </c>
      <c r="J507" s="580">
        <f t="shared" si="155"/>
        <v>0</v>
      </c>
      <c r="K507" s="631">
        <f t="shared" si="156"/>
        <v>0</v>
      </c>
      <c r="L507" s="1062"/>
      <c r="M507" s="574"/>
      <c r="N507" s="667">
        <f t="shared" si="154"/>
        <v>0</v>
      </c>
      <c r="O507" s="636">
        <v>0</v>
      </c>
      <c r="P507" s="637"/>
      <c r="Q507" s="574"/>
      <c r="R507" s="574"/>
      <c r="S507" s="574"/>
    </row>
    <row r="508" spans="1:19" ht="21.3">
      <c r="A508" s="665"/>
      <c r="B508" s="617"/>
      <c r="C508" s="1125" t="s">
        <v>273</v>
      </c>
      <c r="D508" s="1126"/>
      <c r="E508" s="637">
        <f t="shared" si="158"/>
        <v>0</v>
      </c>
      <c r="F508" s="625" t="s">
        <v>34</v>
      </c>
      <c r="G508" s="2048">
        <v>69</v>
      </c>
      <c r="H508" s="633">
        <f t="shared" si="157"/>
        <v>0</v>
      </c>
      <c r="I508" s="2048">
        <v>28</v>
      </c>
      <c r="J508" s="580">
        <f t="shared" si="155"/>
        <v>0</v>
      </c>
      <c r="K508" s="631">
        <f t="shared" si="156"/>
        <v>0</v>
      </c>
      <c r="L508" s="2049"/>
      <c r="M508" s="574"/>
      <c r="N508" s="667">
        <f t="shared" si="154"/>
        <v>0</v>
      </c>
      <c r="O508" s="636">
        <v>0</v>
      </c>
      <c r="P508" s="637"/>
      <c r="Q508" s="574"/>
      <c r="R508" s="574"/>
      <c r="S508" s="574"/>
    </row>
    <row r="509" spans="1:19" ht="21.3">
      <c r="A509" s="665"/>
      <c r="B509" s="617"/>
      <c r="C509" s="1125"/>
      <c r="D509" s="1126"/>
      <c r="E509" s="637"/>
      <c r="F509" s="625"/>
      <c r="G509" s="2048"/>
      <c r="H509" s="633"/>
      <c r="I509" s="2048"/>
      <c r="J509" s="580"/>
      <c r="K509" s="631"/>
      <c r="L509" s="2049"/>
      <c r="M509" s="574"/>
      <c r="N509" s="667"/>
      <c r="O509" s="636"/>
      <c r="P509" s="637"/>
      <c r="Q509" s="574"/>
      <c r="R509" s="574"/>
      <c r="S509" s="574"/>
    </row>
    <row r="510" spans="1:19" ht="21.3">
      <c r="A510" s="665"/>
      <c r="B510" s="617" t="s">
        <v>274</v>
      </c>
      <c r="C510" s="1125" t="s">
        <v>275</v>
      </c>
      <c r="D510" s="1126"/>
      <c r="E510" s="637">
        <f t="shared" si="158"/>
        <v>0</v>
      </c>
      <c r="F510" s="625" t="s">
        <v>34</v>
      </c>
      <c r="G510" s="572">
        <v>1500</v>
      </c>
      <c r="H510" s="580">
        <f t="shared" ref="H510" si="159">E510*G510</f>
        <v>0</v>
      </c>
      <c r="I510" s="572">
        <v>500</v>
      </c>
      <c r="J510" s="580">
        <f t="shared" si="155"/>
        <v>0</v>
      </c>
      <c r="K510" s="631">
        <f t="shared" si="156"/>
        <v>0</v>
      </c>
      <c r="L510" s="1061"/>
      <c r="M510" s="574"/>
      <c r="N510" s="667">
        <f t="shared" si="154"/>
        <v>0</v>
      </c>
      <c r="O510" s="636">
        <v>0</v>
      </c>
      <c r="P510" s="637"/>
      <c r="Q510" s="574"/>
      <c r="R510" s="574"/>
      <c r="S510" s="574"/>
    </row>
    <row r="511" spans="1:19" ht="21.3">
      <c r="A511" s="665"/>
      <c r="B511" s="617"/>
      <c r="C511" s="1125" t="s">
        <v>273</v>
      </c>
      <c r="D511" s="1126"/>
      <c r="E511" s="637">
        <f t="shared" si="158"/>
        <v>0</v>
      </c>
      <c r="F511" s="625" t="s">
        <v>34</v>
      </c>
      <c r="G511" s="2048">
        <v>69</v>
      </c>
      <c r="H511" s="633">
        <f t="shared" ref="H511" si="160">SUM(E511*G511)</f>
        <v>0</v>
      </c>
      <c r="I511" s="2048">
        <v>28</v>
      </c>
      <c r="J511" s="580">
        <f t="shared" si="155"/>
        <v>0</v>
      </c>
      <c r="K511" s="631">
        <f t="shared" si="156"/>
        <v>0</v>
      </c>
      <c r="L511" s="2049"/>
      <c r="M511" s="574"/>
      <c r="N511" s="667">
        <f t="shared" si="154"/>
        <v>0</v>
      </c>
      <c r="O511" s="636">
        <v>0</v>
      </c>
      <c r="P511" s="637"/>
      <c r="Q511" s="574"/>
      <c r="R511" s="574"/>
      <c r="S511" s="574"/>
    </row>
    <row r="512" spans="1:19" ht="21.3">
      <c r="A512" s="665"/>
      <c r="B512" s="617" t="s">
        <v>276</v>
      </c>
      <c r="C512" s="1125" t="s">
        <v>277</v>
      </c>
      <c r="D512" s="1126"/>
      <c r="E512" s="637">
        <f t="shared" si="158"/>
        <v>0</v>
      </c>
      <c r="F512" s="625" t="s">
        <v>34</v>
      </c>
      <c r="G512" s="572">
        <v>492</v>
      </c>
      <c r="H512" s="580">
        <f t="shared" ref="H512" si="161">E512*G512</f>
        <v>0</v>
      </c>
      <c r="I512" s="572">
        <v>130</v>
      </c>
      <c r="J512" s="580">
        <f t="shared" si="155"/>
        <v>0</v>
      </c>
      <c r="K512" s="631">
        <f t="shared" si="156"/>
        <v>0</v>
      </c>
      <c r="L512" s="2049"/>
      <c r="M512" s="574"/>
      <c r="N512" s="667">
        <f t="shared" si="154"/>
        <v>0</v>
      </c>
      <c r="O512" s="636">
        <v>0</v>
      </c>
      <c r="P512" s="637"/>
      <c r="Q512" s="574"/>
      <c r="R512" s="574"/>
      <c r="S512" s="574"/>
    </row>
    <row r="513" spans="1:19" ht="21.3">
      <c r="A513" s="665"/>
      <c r="B513" s="617"/>
      <c r="C513" s="1125" t="s">
        <v>278</v>
      </c>
      <c r="D513" s="1126"/>
      <c r="E513" s="637">
        <f t="shared" si="158"/>
        <v>0</v>
      </c>
      <c r="F513" s="619"/>
      <c r="G513" s="572"/>
      <c r="H513" s="580"/>
      <c r="I513" s="572"/>
      <c r="J513" s="580">
        <f t="shared" si="155"/>
        <v>0</v>
      </c>
      <c r="K513" s="631">
        <f t="shared" si="156"/>
        <v>0</v>
      </c>
      <c r="L513" s="2049"/>
      <c r="M513" s="574"/>
      <c r="N513" s="629">
        <f t="shared" si="154"/>
        <v>0</v>
      </c>
      <c r="O513" s="630">
        <v>0</v>
      </c>
      <c r="P513" s="624"/>
      <c r="Q513" s="574"/>
      <c r="R513" s="574"/>
      <c r="S513" s="574"/>
    </row>
    <row r="514" spans="1:19" ht="21.3">
      <c r="A514" s="665"/>
      <c r="B514" s="617"/>
      <c r="C514" s="1125"/>
      <c r="D514" s="1126"/>
      <c r="E514" s="637"/>
      <c r="F514" s="619"/>
      <c r="G514" s="572"/>
      <c r="H514" s="580"/>
      <c r="I514" s="572"/>
      <c r="J514" s="580"/>
      <c r="K514" s="631"/>
      <c r="L514" s="2049"/>
      <c r="M514" s="574"/>
      <c r="N514" s="629"/>
      <c r="O514" s="630"/>
      <c r="P514" s="624"/>
      <c r="Q514" s="574"/>
      <c r="R514" s="574"/>
      <c r="S514" s="574"/>
    </row>
    <row r="515" spans="1:19" ht="21.3">
      <c r="A515" s="665"/>
      <c r="B515" s="617" t="s">
        <v>279</v>
      </c>
      <c r="C515" s="1125" t="s">
        <v>280</v>
      </c>
      <c r="D515" s="1126"/>
      <c r="E515" s="637">
        <f t="shared" si="158"/>
        <v>0</v>
      </c>
      <c r="F515" s="625" t="s">
        <v>34</v>
      </c>
      <c r="G515" s="572">
        <v>256</v>
      </c>
      <c r="H515" s="580">
        <f t="shared" ref="H515" si="162">E515*G515</f>
        <v>0</v>
      </c>
      <c r="I515" s="572">
        <v>100</v>
      </c>
      <c r="J515" s="580">
        <f t="shared" si="155"/>
        <v>0</v>
      </c>
      <c r="K515" s="631">
        <f t="shared" si="156"/>
        <v>0</v>
      </c>
      <c r="L515" s="2049"/>
      <c r="M515" s="574"/>
      <c r="N515" s="667">
        <f t="shared" si="154"/>
        <v>0</v>
      </c>
      <c r="O515" s="636">
        <v>0</v>
      </c>
      <c r="P515" s="637"/>
      <c r="Q515" s="574"/>
      <c r="R515" s="574"/>
      <c r="S515" s="574"/>
    </row>
    <row r="516" spans="1:19" ht="21.3">
      <c r="A516" s="665"/>
      <c r="B516" s="617"/>
      <c r="C516" s="1125" t="s">
        <v>281</v>
      </c>
      <c r="D516" s="1126"/>
      <c r="E516" s="637">
        <f t="shared" si="158"/>
        <v>0</v>
      </c>
      <c r="F516" s="619"/>
      <c r="G516" s="572"/>
      <c r="H516" s="580"/>
      <c r="I516" s="572"/>
      <c r="J516" s="580">
        <f t="shared" si="155"/>
        <v>0</v>
      </c>
      <c r="K516" s="631">
        <f t="shared" si="156"/>
        <v>0</v>
      </c>
      <c r="L516" s="2049"/>
      <c r="M516" s="574"/>
      <c r="N516" s="629">
        <f t="shared" si="154"/>
        <v>0</v>
      </c>
      <c r="O516" s="630">
        <v>0</v>
      </c>
      <c r="P516" s="624"/>
      <c r="Q516" s="574"/>
      <c r="R516" s="574"/>
      <c r="S516" s="574"/>
    </row>
    <row r="517" spans="1:19" ht="21.3">
      <c r="A517" s="665"/>
      <c r="B517" s="617" t="s">
        <v>282</v>
      </c>
      <c r="C517" s="1125" t="s">
        <v>280</v>
      </c>
      <c r="D517" s="1126"/>
      <c r="E517" s="637">
        <f t="shared" si="158"/>
        <v>0</v>
      </c>
      <c r="F517" s="625" t="s">
        <v>34</v>
      </c>
      <c r="G517" s="572">
        <v>256</v>
      </c>
      <c r="H517" s="580">
        <f t="shared" ref="H517" si="163">E517*G517</f>
        <v>0</v>
      </c>
      <c r="I517" s="572">
        <v>100</v>
      </c>
      <c r="J517" s="580">
        <f t="shared" si="155"/>
        <v>0</v>
      </c>
      <c r="K517" s="631">
        <f t="shared" si="156"/>
        <v>0</v>
      </c>
      <c r="L517" s="2049"/>
      <c r="M517" s="574"/>
      <c r="N517" s="667">
        <f t="shared" si="154"/>
        <v>0</v>
      </c>
      <c r="O517" s="636">
        <v>0</v>
      </c>
      <c r="P517" s="637"/>
      <c r="Q517" s="574"/>
      <c r="R517" s="574"/>
      <c r="S517" s="574"/>
    </row>
    <row r="518" spans="1:19" ht="21.3">
      <c r="A518" s="665"/>
      <c r="B518" s="617"/>
      <c r="C518" s="1125" t="s">
        <v>281</v>
      </c>
      <c r="D518" s="1126"/>
      <c r="E518" s="637">
        <f t="shared" si="158"/>
        <v>0</v>
      </c>
      <c r="F518" s="619"/>
      <c r="G518" s="572"/>
      <c r="H518" s="580"/>
      <c r="I518" s="572"/>
      <c r="J518" s="580">
        <f t="shared" si="155"/>
        <v>0</v>
      </c>
      <c r="K518" s="631">
        <f t="shared" si="156"/>
        <v>0</v>
      </c>
      <c r="L518" s="1062"/>
      <c r="M518" s="574"/>
      <c r="N518" s="629">
        <f t="shared" si="154"/>
        <v>0</v>
      </c>
      <c r="O518" s="630">
        <v>0</v>
      </c>
      <c r="P518" s="624"/>
      <c r="Q518" s="574"/>
      <c r="R518" s="574"/>
      <c r="S518" s="574"/>
    </row>
    <row r="519" spans="1:19" ht="21.3">
      <c r="A519" s="665"/>
      <c r="B519" s="617"/>
      <c r="C519" s="1125" t="s">
        <v>283</v>
      </c>
      <c r="D519" s="1126"/>
      <c r="E519" s="637">
        <f t="shared" si="158"/>
        <v>0</v>
      </c>
      <c r="F519" s="625" t="s">
        <v>34</v>
      </c>
      <c r="G519" s="2048">
        <v>69</v>
      </c>
      <c r="H519" s="633">
        <f t="shared" ref="H519" si="164">SUM(E519*G519)</f>
        <v>0</v>
      </c>
      <c r="I519" s="2048">
        <v>28</v>
      </c>
      <c r="J519" s="580">
        <f t="shared" si="155"/>
        <v>0</v>
      </c>
      <c r="K519" s="631">
        <f t="shared" si="156"/>
        <v>0</v>
      </c>
      <c r="L519" s="2049"/>
      <c r="M519" s="574"/>
      <c r="N519" s="667">
        <f t="shared" si="154"/>
        <v>0</v>
      </c>
      <c r="O519" s="636">
        <v>0</v>
      </c>
      <c r="P519" s="637"/>
      <c r="Q519" s="574"/>
      <c r="R519" s="574"/>
      <c r="S519" s="574"/>
    </row>
    <row r="520" spans="1:19" ht="21.3">
      <c r="A520" s="665"/>
      <c r="B520" s="617" t="s">
        <v>284</v>
      </c>
      <c r="C520" s="1125" t="s">
        <v>280</v>
      </c>
      <c r="D520" s="1126"/>
      <c r="E520" s="637">
        <f t="shared" si="158"/>
        <v>0</v>
      </c>
      <c r="F520" s="625" t="s">
        <v>34</v>
      </c>
      <c r="G520" s="572">
        <v>592</v>
      </c>
      <c r="H520" s="580">
        <f t="shared" ref="H520" si="165">E520*G520</f>
        <v>0</v>
      </c>
      <c r="I520" s="572">
        <v>165</v>
      </c>
      <c r="J520" s="580">
        <f t="shared" si="155"/>
        <v>0</v>
      </c>
      <c r="K520" s="631">
        <f t="shared" si="156"/>
        <v>0</v>
      </c>
      <c r="L520" s="2049"/>
      <c r="M520" s="574"/>
      <c r="N520" s="667">
        <f t="shared" si="154"/>
        <v>0</v>
      </c>
      <c r="O520" s="636">
        <v>0</v>
      </c>
      <c r="P520" s="637"/>
      <c r="Q520" s="574"/>
      <c r="R520" s="574"/>
      <c r="S520" s="574"/>
    </row>
    <row r="521" spans="1:19" ht="21.3">
      <c r="A521" s="665"/>
      <c r="B521" s="617"/>
      <c r="C521" s="1125" t="s">
        <v>285</v>
      </c>
      <c r="D521" s="1126"/>
      <c r="E521" s="637">
        <f t="shared" si="158"/>
        <v>0</v>
      </c>
      <c r="F521" s="619"/>
      <c r="G521" s="572"/>
      <c r="H521" s="580"/>
      <c r="I521" s="572"/>
      <c r="J521" s="580">
        <f t="shared" si="155"/>
        <v>0</v>
      </c>
      <c r="K521" s="631">
        <f t="shared" si="156"/>
        <v>0</v>
      </c>
      <c r="L521" s="1062"/>
      <c r="M521" s="574"/>
      <c r="N521" s="629">
        <f t="shared" si="154"/>
        <v>0</v>
      </c>
      <c r="O521" s="630">
        <v>0</v>
      </c>
      <c r="P521" s="624"/>
      <c r="Q521" s="574"/>
      <c r="R521" s="574"/>
      <c r="S521" s="574"/>
    </row>
    <row r="522" spans="1:19" ht="21.3">
      <c r="A522" s="665"/>
      <c r="B522" s="617" t="s">
        <v>286</v>
      </c>
      <c r="C522" s="1125" t="s">
        <v>280</v>
      </c>
      <c r="D522" s="1126"/>
      <c r="E522" s="637">
        <f t="shared" si="158"/>
        <v>0</v>
      </c>
      <c r="F522" s="625" t="s">
        <v>34</v>
      </c>
      <c r="G522" s="572">
        <v>642</v>
      </c>
      <c r="H522" s="580">
        <f t="shared" ref="H522" si="166">E522*G522</f>
        <v>0</v>
      </c>
      <c r="I522" s="572">
        <v>183</v>
      </c>
      <c r="J522" s="580">
        <f t="shared" si="155"/>
        <v>0</v>
      </c>
      <c r="K522" s="631">
        <f t="shared" si="156"/>
        <v>0</v>
      </c>
      <c r="L522" s="2049"/>
      <c r="M522" s="574"/>
      <c r="N522" s="667">
        <f t="shared" si="154"/>
        <v>0</v>
      </c>
      <c r="O522" s="636">
        <v>0</v>
      </c>
      <c r="P522" s="637"/>
      <c r="Q522" s="574"/>
      <c r="R522" s="574"/>
      <c r="S522" s="574"/>
    </row>
    <row r="523" spans="1:19" ht="21.3">
      <c r="A523" s="665"/>
      <c r="B523" s="617"/>
      <c r="C523" s="1125" t="s">
        <v>287</v>
      </c>
      <c r="D523" s="1126"/>
      <c r="E523" s="637">
        <f t="shared" si="158"/>
        <v>0</v>
      </c>
      <c r="F523" s="619"/>
      <c r="G523" s="572"/>
      <c r="H523" s="580"/>
      <c r="I523" s="572"/>
      <c r="J523" s="580">
        <f t="shared" si="155"/>
        <v>0</v>
      </c>
      <c r="K523" s="631">
        <f t="shared" si="156"/>
        <v>0</v>
      </c>
      <c r="L523" s="1073"/>
      <c r="M523" s="574"/>
      <c r="N523" s="629">
        <f t="shared" si="154"/>
        <v>0</v>
      </c>
      <c r="O523" s="630">
        <v>0</v>
      </c>
      <c r="P523" s="624"/>
      <c r="Q523" s="574"/>
      <c r="R523" s="574"/>
      <c r="S523" s="574"/>
    </row>
    <row r="524" spans="1:19" ht="21.3">
      <c r="A524" s="665"/>
      <c r="B524" s="617"/>
      <c r="C524" s="1125" t="s">
        <v>288</v>
      </c>
      <c r="D524" s="1126"/>
      <c r="E524" s="637">
        <f t="shared" si="158"/>
        <v>0</v>
      </c>
      <c r="F524" s="619"/>
      <c r="G524" s="572"/>
      <c r="H524" s="580"/>
      <c r="I524" s="572"/>
      <c r="J524" s="580">
        <f t="shared" si="155"/>
        <v>0</v>
      </c>
      <c r="K524" s="631">
        <f t="shared" si="156"/>
        <v>0</v>
      </c>
      <c r="L524" s="1073"/>
      <c r="M524" s="574"/>
      <c r="N524" s="629">
        <f t="shared" si="154"/>
        <v>0</v>
      </c>
      <c r="O524" s="630">
        <v>0</v>
      </c>
      <c r="P524" s="624"/>
      <c r="Q524" s="574"/>
      <c r="R524" s="574"/>
      <c r="S524" s="574"/>
    </row>
    <row r="525" spans="1:19" ht="21.3">
      <c r="A525" s="665"/>
      <c r="B525" s="617" t="s">
        <v>289</v>
      </c>
      <c r="C525" s="1125" t="s">
        <v>280</v>
      </c>
      <c r="D525" s="1126"/>
      <c r="E525" s="637">
        <f t="shared" si="158"/>
        <v>0</v>
      </c>
      <c r="F525" s="625" t="s">
        <v>34</v>
      </c>
      <c r="G525" s="572">
        <v>520</v>
      </c>
      <c r="H525" s="580">
        <f t="shared" ref="H525" si="167">E525*G525</f>
        <v>0</v>
      </c>
      <c r="I525" s="572">
        <v>270</v>
      </c>
      <c r="J525" s="580">
        <f t="shared" si="155"/>
        <v>0</v>
      </c>
      <c r="K525" s="631">
        <f t="shared" si="156"/>
        <v>0</v>
      </c>
      <c r="L525" s="1074"/>
      <c r="M525" s="574"/>
      <c r="N525" s="667">
        <f t="shared" si="154"/>
        <v>0</v>
      </c>
      <c r="O525" s="636">
        <v>0</v>
      </c>
      <c r="P525" s="637"/>
      <c r="Q525" s="574"/>
      <c r="R525" s="574"/>
      <c r="S525" s="574"/>
    </row>
    <row r="526" spans="1:19" ht="21.3">
      <c r="A526" s="665"/>
      <c r="B526" s="617"/>
      <c r="C526" s="1125" t="s">
        <v>290</v>
      </c>
      <c r="D526" s="1126"/>
      <c r="E526" s="637">
        <f t="shared" si="158"/>
        <v>0</v>
      </c>
      <c r="F526" s="619"/>
      <c r="G526" s="572"/>
      <c r="H526" s="580"/>
      <c r="I526" s="572"/>
      <c r="J526" s="580">
        <f t="shared" si="155"/>
        <v>0</v>
      </c>
      <c r="K526" s="631">
        <f t="shared" si="156"/>
        <v>0</v>
      </c>
      <c r="L526" s="1073"/>
      <c r="M526" s="574"/>
      <c r="N526" s="629">
        <f t="shared" si="154"/>
        <v>0</v>
      </c>
      <c r="O526" s="630">
        <v>0</v>
      </c>
      <c r="P526" s="624"/>
      <c r="Q526" s="574"/>
      <c r="R526" s="574"/>
      <c r="S526" s="574"/>
    </row>
    <row r="527" spans="1:19" ht="21.3">
      <c r="A527" s="665"/>
      <c r="B527" s="617" t="s">
        <v>291</v>
      </c>
      <c r="C527" s="1125" t="s">
        <v>280</v>
      </c>
      <c r="D527" s="1126"/>
      <c r="E527" s="637">
        <f t="shared" si="158"/>
        <v>0</v>
      </c>
      <c r="F527" s="625" t="s">
        <v>34</v>
      </c>
      <c r="G527" s="572">
        <v>256</v>
      </c>
      <c r="H527" s="580">
        <f t="shared" ref="H527:H528" si="168">E527*G527</f>
        <v>0</v>
      </c>
      <c r="I527" s="572">
        <v>100</v>
      </c>
      <c r="J527" s="580">
        <f t="shared" si="155"/>
        <v>0</v>
      </c>
      <c r="K527" s="631">
        <f t="shared" si="156"/>
        <v>0</v>
      </c>
      <c r="L527" s="2049"/>
      <c r="M527" s="574"/>
      <c r="N527" s="667">
        <f t="shared" si="154"/>
        <v>0</v>
      </c>
      <c r="O527" s="636">
        <v>0</v>
      </c>
      <c r="P527" s="637"/>
      <c r="Q527" s="574"/>
      <c r="R527" s="574"/>
      <c r="S527" s="574"/>
    </row>
    <row r="528" spans="1:19" ht="21.3">
      <c r="A528" s="665"/>
      <c r="B528" s="617"/>
      <c r="C528" s="1125" t="s">
        <v>292</v>
      </c>
      <c r="D528" s="1126"/>
      <c r="E528" s="637">
        <f t="shared" si="158"/>
        <v>0</v>
      </c>
      <c r="F528" s="619"/>
      <c r="G528" s="572">
        <v>0</v>
      </c>
      <c r="H528" s="580">
        <f t="shared" si="168"/>
        <v>0</v>
      </c>
      <c r="I528" s="572">
        <v>0</v>
      </c>
      <c r="J528" s="580">
        <f t="shared" si="155"/>
        <v>0</v>
      </c>
      <c r="K528" s="631">
        <f t="shared" si="156"/>
        <v>0</v>
      </c>
      <c r="L528" s="1073"/>
      <c r="M528" s="574"/>
      <c r="N528" s="629">
        <f t="shared" si="154"/>
        <v>0</v>
      </c>
      <c r="O528" s="630">
        <v>0</v>
      </c>
      <c r="P528" s="624"/>
      <c r="Q528" s="574"/>
      <c r="R528" s="574"/>
      <c r="S528" s="574"/>
    </row>
    <row r="529" spans="1:19" ht="21.3">
      <c r="A529" s="665"/>
      <c r="B529" s="617"/>
      <c r="C529" s="1125" t="s">
        <v>293</v>
      </c>
      <c r="D529" s="1126"/>
      <c r="E529" s="637">
        <f t="shared" si="158"/>
        <v>0</v>
      </c>
      <c r="F529" s="625" t="s">
        <v>34</v>
      </c>
      <c r="G529" s="666">
        <v>520</v>
      </c>
      <c r="H529" s="580"/>
      <c r="I529" s="666">
        <v>30</v>
      </c>
      <c r="J529" s="580">
        <f t="shared" si="155"/>
        <v>0</v>
      </c>
      <c r="K529" s="631">
        <f t="shared" si="156"/>
        <v>0</v>
      </c>
      <c r="L529" s="1073"/>
      <c r="M529" s="574"/>
      <c r="N529" s="629">
        <f t="shared" si="154"/>
        <v>0</v>
      </c>
      <c r="O529" s="630">
        <v>0</v>
      </c>
      <c r="P529" s="624"/>
      <c r="Q529" s="574"/>
      <c r="R529" s="574"/>
      <c r="S529" s="574"/>
    </row>
    <row r="530" spans="1:19" ht="21.3">
      <c r="A530" s="665"/>
      <c r="B530" s="617" t="s">
        <v>294</v>
      </c>
      <c r="C530" s="1125" t="s">
        <v>295</v>
      </c>
      <c r="D530" s="1126"/>
      <c r="E530" s="637">
        <f t="shared" si="158"/>
        <v>0</v>
      </c>
      <c r="F530" s="625" t="s">
        <v>34</v>
      </c>
      <c r="G530" s="666">
        <v>91</v>
      </c>
      <c r="H530" s="633">
        <f>SUM(E530*G530)</f>
        <v>0</v>
      </c>
      <c r="I530" s="666">
        <v>100</v>
      </c>
      <c r="J530" s="580">
        <f t="shared" si="155"/>
        <v>0</v>
      </c>
      <c r="K530" s="631">
        <f t="shared" si="156"/>
        <v>0</v>
      </c>
      <c r="L530" s="1062"/>
      <c r="M530" s="574"/>
      <c r="N530" s="667">
        <f t="shared" si="154"/>
        <v>0</v>
      </c>
      <c r="O530" s="636">
        <v>0</v>
      </c>
      <c r="P530" s="637"/>
      <c r="Q530" s="574"/>
      <c r="R530" s="574"/>
      <c r="S530" s="574"/>
    </row>
    <row r="531" spans="1:19" ht="21.3">
      <c r="A531" s="665"/>
      <c r="B531" s="617" t="s">
        <v>296</v>
      </c>
      <c r="C531" s="1125" t="s">
        <v>297</v>
      </c>
      <c r="D531" s="1126"/>
      <c r="E531" s="637">
        <f t="shared" si="158"/>
        <v>0</v>
      </c>
      <c r="F531" s="625" t="s">
        <v>34</v>
      </c>
      <c r="G531" s="666">
        <v>294</v>
      </c>
      <c r="H531" s="633">
        <f t="shared" ref="H531:H539" si="169">SUM(E531*G531)</f>
        <v>0</v>
      </c>
      <c r="I531" s="666">
        <v>189</v>
      </c>
      <c r="J531" s="580">
        <f t="shared" si="155"/>
        <v>0</v>
      </c>
      <c r="K531" s="631">
        <f t="shared" si="156"/>
        <v>0</v>
      </c>
      <c r="L531" s="1073"/>
      <c r="M531" s="574"/>
      <c r="N531" s="667">
        <f t="shared" si="154"/>
        <v>0</v>
      </c>
      <c r="O531" s="636">
        <v>0</v>
      </c>
      <c r="P531" s="637"/>
      <c r="Q531" s="574"/>
      <c r="R531" s="574"/>
      <c r="S531" s="574"/>
    </row>
    <row r="532" spans="1:19" ht="21.3">
      <c r="A532" s="665"/>
      <c r="B532" s="617" t="s">
        <v>298</v>
      </c>
      <c r="C532" s="1125" t="s">
        <v>299</v>
      </c>
      <c r="D532" s="1126"/>
      <c r="E532" s="637">
        <f t="shared" si="158"/>
        <v>0</v>
      </c>
      <c r="F532" s="625" t="s">
        <v>34</v>
      </c>
      <c r="G532" s="666">
        <v>608</v>
      </c>
      <c r="H532" s="633">
        <f t="shared" si="169"/>
        <v>0</v>
      </c>
      <c r="I532" s="666">
        <v>189</v>
      </c>
      <c r="J532" s="580">
        <f t="shared" si="155"/>
        <v>0</v>
      </c>
      <c r="K532" s="631">
        <f t="shared" si="156"/>
        <v>0</v>
      </c>
      <c r="L532" s="1073"/>
      <c r="M532" s="574"/>
      <c r="N532" s="667">
        <f t="shared" si="154"/>
        <v>0</v>
      </c>
      <c r="O532" s="636">
        <v>0</v>
      </c>
      <c r="P532" s="637"/>
      <c r="Q532" s="574"/>
      <c r="R532" s="574"/>
      <c r="S532" s="574"/>
    </row>
    <row r="533" spans="1:19" ht="21.3">
      <c r="A533" s="665"/>
      <c r="B533" s="623" t="s">
        <v>2549</v>
      </c>
      <c r="C533" s="1125" t="s">
        <v>299</v>
      </c>
      <c r="D533" s="1126"/>
      <c r="E533" s="637">
        <f t="shared" si="158"/>
        <v>0</v>
      </c>
      <c r="F533" s="625" t="s">
        <v>34</v>
      </c>
      <c r="G533" s="666">
        <v>399</v>
      </c>
      <c r="H533" s="633">
        <f t="shared" si="169"/>
        <v>0</v>
      </c>
      <c r="I533" s="666">
        <v>189</v>
      </c>
      <c r="J533" s="580">
        <f t="shared" si="155"/>
        <v>0</v>
      </c>
      <c r="K533" s="631">
        <f t="shared" si="156"/>
        <v>0</v>
      </c>
      <c r="L533" s="1073"/>
      <c r="M533" s="574"/>
      <c r="N533" s="667">
        <f t="shared" si="154"/>
        <v>0</v>
      </c>
      <c r="O533" s="636">
        <v>0</v>
      </c>
      <c r="P533" s="637"/>
      <c r="Q533" s="574"/>
      <c r="R533" s="574"/>
      <c r="S533" s="574"/>
    </row>
    <row r="534" spans="1:19" ht="21.3">
      <c r="A534" s="665"/>
      <c r="B534" s="617" t="s">
        <v>300</v>
      </c>
      <c r="C534" s="1125" t="s">
        <v>301</v>
      </c>
      <c r="D534" s="1126"/>
      <c r="E534" s="637">
        <f t="shared" si="158"/>
        <v>0</v>
      </c>
      <c r="F534" s="625" t="s">
        <v>34</v>
      </c>
      <c r="G534" s="666">
        <v>88</v>
      </c>
      <c r="H534" s="633">
        <f t="shared" si="169"/>
        <v>0</v>
      </c>
      <c r="I534" s="666">
        <v>82</v>
      </c>
      <c r="J534" s="580">
        <f t="shared" si="155"/>
        <v>0</v>
      </c>
      <c r="K534" s="631">
        <f t="shared" si="156"/>
        <v>0</v>
      </c>
      <c r="L534" s="1062"/>
      <c r="M534" s="574"/>
      <c r="N534" s="667">
        <f t="shared" si="154"/>
        <v>0</v>
      </c>
      <c r="O534" s="636">
        <v>0</v>
      </c>
      <c r="P534" s="637"/>
      <c r="Q534" s="574"/>
      <c r="R534" s="574"/>
      <c r="S534" s="574"/>
    </row>
    <row r="535" spans="1:19" ht="21.3">
      <c r="A535" s="665"/>
      <c r="B535" s="617"/>
      <c r="C535" s="1125" t="s">
        <v>302</v>
      </c>
      <c r="D535" s="1126"/>
      <c r="E535" s="637">
        <f t="shared" si="158"/>
        <v>0</v>
      </c>
      <c r="F535" s="625" t="s">
        <v>34</v>
      </c>
      <c r="G535" s="2048">
        <v>69</v>
      </c>
      <c r="H535" s="633">
        <f t="shared" si="169"/>
        <v>0</v>
      </c>
      <c r="I535" s="2048">
        <v>28</v>
      </c>
      <c r="J535" s="580">
        <f t="shared" si="155"/>
        <v>0</v>
      </c>
      <c r="K535" s="631">
        <f t="shared" si="156"/>
        <v>0</v>
      </c>
      <c r="L535" s="1062"/>
      <c r="M535" s="574"/>
      <c r="N535" s="667">
        <f t="shared" si="154"/>
        <v>0</v>
      </c>
      <c r="O535" s="636">
        <v>0</v>
      </c>
      <c r="P535" s="637"/>
      <c r="Q535" s="574"/>
      <c r="R535" s="574"/>
      <c r="S535" s="574"/>
    </row>
    <row r="536" spans="1:19" ht="21.3">
      <c r="A536" s="665"/>
      <c r="B536" s="617"/>
      <c r="C536" s="1125"/>
      <c r="D536" s="1126"/>
      <c r="E536" s="637"/>
      <c r="F536" s="625"/>
      <c r="G536" s="2048"/>
      <c r="H536" s="633"/>
      <c r="I536" s="2048"/>
      <c r="J536" s="580"/>
      <c r="K536" s="631"/>
      <c r="L536" s="1062"/>
      <c r="M536" s="574"/>
      <c r="N536" s="667"/>
      <c r="O536" s="636"/>
      <c r="P536" s="637"/>
      <c r="Q536" s="574"/>
      <c r="R536" s="574"/>
      <c r="S536" s="574"/>
    </row>
    <row r="537" spans="1:19" ht="21.3">
      <c r="A537" s="665"/>
      <c r="B537" s="617" t="s">
        <v>303</v>
      </c>
      <c r="C537" s="1125" t="s">
        <v>304</v>
      </c>
      <c r="D537" s="1126"/>
      <c r="E537" s="637">
        <f t="shared" ref="E537:E538" si="170">+N537</f>
        <v>0</v>
      </c>
      <c r="F537" s="625" t="s">
        <v>34</v>
      </c>
      <c r="G537" s="666">
        <v>870</v>
      </c>
      <c r="H537" s="633">
        <f t="shared" ref="H537" si="171">SUM(E537*G537)</f>
        <v>0</v>
      </c>
      <c r="I537" s="666">
        <v>242</v>
      </c>
      <c r="J537" s="580">
        <f t="shared" ref="J537:J538" si="172">E537*I537</f>
        <v>0</v>
      </c>
      <c r="K537" s="631">
        <f t="shared" ref="K537:K538" si="173">H537+J537</f>
        <v>0</v>
      </c>
      <c r="L537" s="1073"/>
      <c r="M537" s="574"/>
      <c r="N537" s="667">
        <f t="shared" ref="N537:N538" si="174">+(1+O537)*P537</f>
        <v>0</v>
      </c>
      <c r="O537" s="636">
        <v>0</v>
      </c>
      <c r="P537" s="637"/>
      <c r="Q537" s="574"/>
      <c r="R537" s="574"/>
      <c r="S537" s="574"/>
    </row>
    <row r="538" spans="1:19" ht="21.3">
      <c r="A538" s="665"/>
      <c r="B538" s="617"/>
      <c r="C538" s="1125" t="s">
        <v>305</v>
      </c>
      <c r="D538" s="1126"/>
      <c r="E538" s="637">
        <f t="shared" si="170"/>
        <v>0</v>
      </c>
      <c r="F538" s="619"/>
      <c r="G538" s="572"/>
      <c r="H538" s="580"/>
      <c r="I538" s="572"/>
      <c r="J538" s="580">
        <f t="shared" si="172"/>
        <v>0</v>
      </c>
      <c r="K538" s="631">
        <f t="shared" si="173"/>
        <v>0</v>
      </c>
      <c r="L538" s="1073"/>
      <c r="M538" s="574"/>
      <c r="N538" s="629">
        <f t="shared" si="174"/>
        <v>0</v>
      </c>
      <c r="O538" s="630">
        <v>0</v>
      </c>
      <c r="P538" s="624"/>
      <c r="Q538" s="574"/>
      <c r="R538" s="574"/>
      <c r="S538" s="574"/>
    </row>
    <row r="539" spans="1:19" ht="21.3">
      <c r="A539" s="665"/>
      <c r="B539" s="623" t="s">
        <v>2550</v>
      </c>
      <c r="C539" s="1125" t="s">
        <v>304</v>
      </c>
      <c r="D539" s="1126"/>
      <c r="E539" s="637">
        <f t="shared" si="158"/>
        <v>0</v>
      </c>
      <c r="F539" s="625" t="s">
        <v>34</v>
      </c>
      <c r="G539" s="666">
        <v>765</v>
      </c>
      <c r="H539" s="633">
        <f t="shared" si="169"/>
        <v>0</v>
      </c>
      <c r="I539" s="666">
        <v>242</v>
      </c>
      <c r="J539" s="580">
        <f t="shared" si="155"/>
        <v>0</v>
      </c>
      <c r="K539" s="631">
        <f t="shared" si="156"/>
        <v>0</v>
      </c>
      <c r="L539" s="1073"/>
      <c r="M539" s="574"/>
      <c r="N539" s="667">
        <f t="shared" si="154"/>
        <v>0</v>
      </c>
      <c r="O539" s="636">
        <v>0</v>
      </c>
      <c r="P539" s="637"/>
      <c r="Q539" s="574"/>
      <c r="R539" s="574"/>
      <c r="S539" s="574"/>
    </row>
    <row r="540" spans="1:19" ht="21.3">
      <c r="A540" s="665"/>
      <c r="B540" s="617"/>
      <c r="C540" s="1125" t="s">
        <v>305</v>
      </c>
      <c r="D540" s="1126"/>
      <c r="E540" s="637">
        <f t="shared" si="158"/>
        <v>0</v>
      </c>
      <c r="F540" s="619"/>
      <c r="G540" s="572"/>
      <c r="H540" s="580"/>
      <c r="I540" s="572"/>
      <c r="J540" s="580">
        <f t="shared" si="155"/>
        <v>0</v>
      </c>
      <c r="K540" s="631">
        <f t="shared" si="156"/>
        <v>0</v>
      </c>
      <c r="L540" s="1073"/>
      <c r="M540" s="574"/>
      <c r="N540" s="629">
        <f t="shared" si="154"/>
        <v>0</v>
      </c>
      <c r="O540" s="630">
        <v>0</v>
      </c>
      <c r="P540" s="624"/>
      <c r="Q540" s="574"/>
      <c r="R540" s="574"/>
      <c r="S540" s="574"/>
    </row>
    <row r="541" spans="1:19" ht="21.3">
      <c r="A541" s="665"/>
      <c r="B541" s="617" t="s">
        <v>306</v>
      </c>
      <c r="C541" s="1125" t="s">
        <v>307</v>
      </c>
      <c r="D541" s="1126"/>
      <c r="E541" s="637">
        <f t="shared" si="158"/>
        <v>0</v>
      </c>
      <c r="F541" s="625" t="s">
        <v>34</v>
      </c>
      <c r="G541" s="666"/>
      <c r="H541" s="633">
        <v>0</v>
      </c>
      <c r="I541" s="666"/>
      <c r="J541" s="580">
        <f t="shared" si="155"/>
        <v>0</v>
      </c>
      <c r="K541" s="631">
        <f t="shared" si="156"/>
        <v>0</v>
      </c>
      <c r="L541" s="1073"/>
      <c r="M541" s="574"/>
      <c r="N541" s="667">
        <f t="shared" si="154"/>
        <v>0</v>
      </c>
      <c r="O541" s="636">
        <v>0</v>
      </c>
      <c r="P541" s="637"/>
      <c r="Q541" s="574"/>
      <c r="R541" s="574"/>
      <c r="S541" s="574"/>
    </row>
    <row r="542" spans="1:19" ht="21.3">
      <c r="A542" s="665"/>
      <c r="B542" s="617" t="s">
        <v>308</v>
      </c>
      <c r="C542" s="617" t="s">
        <v>309</v>
      </c>
      <c r="D542" s="617"/>
      <c r="E542" s="637">
        <f t="shared" si="158"/>
        <v>0</v>
      </c>
      <c r="F542" s="625" t="s">
        <v>34</v>
      </c>
      <c r="G542" s="666">
        <v>1296</v>
      </c>
      <c r="H542" s="633">
        <f t="shared" ref="H542:H553" si="175">SUM(E542*G542)</f>
        <v>0</v>
      </c>
      <c r="I542" s="666">
        <v>1600</v>
      </c>
      <c r="J542" s="580">
        <f t="shared" si="155"/>
        <v>0</v>
      </c>
      <c r="K542" s="631">
        <f t="shared" si="156"/>
        <v>0</v>
      </c>
      <c r="L542" s="1073"/>
      <c r="M542" s="574"/>
      <c r="N542" s="667">
        <f t="shared" si="154"/>
        <v>0</v>
      </c>
      <c r="O542" s="636">
        <v>0</v>
      </c>
      <c r="P542" s="637"/>
      <c r="Q542" s="574"/>
      <c r="R542" s="574"/>
      <c r="S542" s="574"/>
    </row>
    <row r="543" spans="1:19" ht="21.3">
      <c r="A543" s="665"/>
      <c r="B543" s="617"/>
      <c r="C543" s="617" t="s">
        <v>310</v>
      </c>
      <c r="D543" s="617"/>
      <c r="E543" s="637">
        <f t="shared" si="158"/>
        <v>0</v>
      </c>
      <c r="F543" s="619"/>
      <c r="G543" s="666"/>
      <c r="H543" s="633">
        <f t="shared" si="175"/>
        <v>0</v>
      </c>
      <c r="I543" s="666"/>
      <c r="J543" s="580">
        <f t="shared" si="155"/>
        <v>0</v>
      </c>
      <c r="K543" s="631">
        <f t="shared" si="156"/>
        <v>0</v>
      </c>
      <c r="L543" s="1073"/>
      <c r="M543" s="574"/>
      <c r="N543" s="629">
        <f t="shared" si="154"/>
        <v>0</v>
      </c>
      <c r="O543" s="630">
        <v>0</v>
      </c>
      <c r="P543" s="624"/>
      <c r="Q543" s="574"/>
      <c r="R543" s="574"/>
      <c r="S543" s="574"/>
    </row>
    <row r="544" spans="1:19" ht="21.3">
      <c r="A544" s="665"/>
      <c r="B544" s="617" t="s">
        <v>311</v>
      </c>
      <c r="C544" s="1125" t="s">
        <v>312</v>
      </c>
      <c r="D544" s="1126"/>
      <c r="E544" s="637">
        <f t="shared" si="158"/>
        <v>0</v>
      </c>
      <c r="F544" s="625" t="s">
        <v>34</v>
      </c>
      <c r="G544" s="666"/>
      <c r="H544" s="633">
        <f t="shared" si="175"/>
        <v>0</v>
      </c>
      <c r="I544" s="666"/>
      <c r="J544" s="580">
        <f t="shared" si="155"/>
        <v>0</v>
      </c>
      <c r="K544" s="631">
        <f t="shared" si="156"/>
        <v>0</v>
      </c>
      <c r="L544" s="1073"/>
      <c r="M544" s="574"/>
      <c r="N544" s="667">
        <f t="shared" si="154"/>
        <v>0</v>
      </c>
      <c r="O544" s="636">
        <v>0</v>
      </c>
      <c r="P544" s="637"/>
      <c r="Q544" s="574"/>
      <c r="R544" s="574"/>
      <c r="S544" s="574"/>
    </row>
    <row r="545" spans="1:19" ht="21.3">
      <c r="A545" s="665"/>
      <c r="B545" s="617" t="s">
        <v>313</v>
      </c>
      <c r="C545" s="1125" t="s">
        <v>314</v>
      </c>
      <c r="D545" s="1126"/>
      <c r="E545" s="637">
        <f t="shared" si="158"/>
        <v>0</v>
      </c>
      <c r="F545" s="625" t="s">
        <v>34</v>
      </c>
      <c r="G545" s="666"/>
      <c r="H545" s="633">
        <f t="shared" si="175"/>
        <v>0</v>
      </c>
      <c r="I545" s="666"/>
      <c r="J545" s="580">
        <f t="shared" si="155"/>
        <v>0</v>
      </c>
      <c r="K545" s="631">
        <f t="shared" si="156"/>
        <v>0</v>
      </c>
      <c r="L545" s="1073"/>
      <c r="M545" s="574"/>
      <c r="N545" s="667">
        <f t="shared" si="154"/>
        <v>0</v>
      </c>
      <c r="O545" s="636">
        <v>0</v>
      </c>
      <c r="P545" s="637"/>
      <c r="Q545" s="574"/>
      <c r="R545" s="574"/>
      <c r="S545" s="574"/>
    </row>
    <row r="546" spans="1:19" ht="21.3">
      <c r="A546" s="665"/>
      <c r="B546" s="617" t="s">
        <v>315</v>
      </c>
      <c r="C546" s="1125" t="s">
        <v>316</v>
      </c>
      <c r="D546" s="1126"/>
      <c r="E546" s="637">
        <f t="shared" si="158"/>
        <v>0</v>
      </c>
      <c r="F546" s="625" t="s">
        <v>34</v>
      </c>
      <c r="G546" s="572">
        <v>15000</v>
      </c>
      <c r="H546" s="580">
        <f t="shared" si="175"/>
        <v>0</v>
      </c>
      <c r="I546" s="572">
        <v>500</v>
      </c>
      <c r="J546" s="580">
        <f t="shared" si="155"/>
        <v>0</v>
      </c>
      <c r="K546" s="631">
        <f t="shared" si="156"/>
        <v>0</v>
      </c>
      <c r="L546" s="1061"/>
      <c r="M546" s="574"/>
      <c r="N546" s="667">
        <f t="shared" si="154"/>
        <v>0</v>
      </c>
      <c r="O546" s="636">
        <v>0</v>
      </c>
      <c r="P546" s="637"/>
      <c r="Q546" s="574"/>
      <c r="R546" s="574"/>
      <c r="S546" s="574"/>
    </row>
    <row r="547" spans="1:19" ht="21.3">
      <c r="A547" s="665"/>
      <c r="B547" s="617" t="s">
        <v>317</v>
      </c>
      <c r="C547" s="1125" t="s">
        <v>318</v>
      </c>
      <c r="D547" s="1126"/>
      <c r="E547" s="637">
        <f t="shared" si="158"/>
        <v>944.14099999999985</v>
      </c>
      <c r="F547" s="625" t="s">
        <v>34</v>
      </c>
      <c r="G547" s="666">
        <v>88</v>
      </c>
      <c r="H547" s="633">
        <f t="shared" si="175"/>
        <v>83084.407999999981</v>
      </c>
      <c r="I547" s="666">
        <v>82</v>
      </c>
      <c r="J547" s="580">
        <f t="shared" si="155"/>
        <v>77419.561999999991</v>
      </c>
      <c r="K547" s="631">
        <f t="shared" si="156"/>
        <v>160503.96999999997</v>
      </c>
      <c r="L547" s="1062"/>
      <c r="M547" s="574"/>
      <c r="N547" s="667">
        <f t="shared" si="154"/>
        <v>944.14099999999985</v>
      </c>
      <c r="O547" s="636">
        <v>0</v>
      </c>
      <c r="P547" s="637">
        <v>944.14099999999985</v>
      </c>
      <c r="Q547" s="574">
        <v>0</v>
      </c>
      <c r="R547" s="574">
        <v>0</v>
      </c>
      <c r="S547" s="574">
        <v>1976.4360000000001</v>
      </c>
    </row>
    <row r="548" spans="1:19" ht="21.3">
      <c r="A548" s="665"/>
      <c r="B548" s="617" t="s">
        <v>319</v>
      </c>
      <c r="C548" s="1125" t="s">
        <v>320</v>
      </c>
      <c r="D548" s="1126"/>
      <c r="E548" s="637">
        <f t="shared" si="158"/>
        <v>0</v>
      </c>
      <c r="F548" s="625" t="s">
        <v>34</v>
      </c>
      <c r="G548" s="666">
        <v>1955</v>
      </c>
      <c r="H548" s="633">
        <f t="shared" si="175"/>
        <v>0</v>
      </c>
      <c r="I548" s="666">
        <v>1700</v>
      </c>
      <c r="J548" s="580">
        <f t="shared" si="155"/>
        <v>0</v>
      </c>
      <c r="K548" s="631">
        <f t="shared" si="156"/>
        <v>0</v>
      </c>
      <c r="L548" s="1073"/>
      <c r="M548" s="574"/>
      <c r="N548" s="667">
        <f t="shared" si="154"/>
        <v>0</v>
      </c>
      <c r="O548" s="636">
        <v>0</v>
      </c>
      <c r="P548" s="637"/>
      <c r="Q548" s="574"/>
      <c r="R548" s="574"/>
      <c r="S548" s="574"/>
    </row>
    <row r="549" spans="1:19" ht="21.3">
      <c r="A549" s="665"/>
      <c r="B549" s="617"/>
      <c r="C549" s="1125" t="s">
        <v>321</v>
      </c>
      <c r="D549" s="1126"/>
      <c r="E549" s="637">
        <f t="shared" si="158"/>
        <v>0</v>
      </c>
      <c r="F549" s="625"/>
      <c r="G549" s="666">
        <v>0</v>
      </c>
      <c r="H549" s="633">
        <f t="shared" si="175"/>
        <v>0</v>
      </c>
      <c r="I549" s="666">
        <v>0</v>
      </c>
      <c r="J549" s="580">
        <f t="shared" si="155"/>
        <v>0</v>
      </c>
      <c r="K549" s="631">
        <f t="shared" si="156"/>
        <v>0</v>
      </c>
      <c r="L549" s="1073"/>
      <c r="M549" s="574"/>
      <c r="N549" s="667">
        <f t="shared" si="154"/>
        <v>0</v>
      </c>
      <c r="O549" s="636">
        <v>0</v>
      </c>
      <c r="P549" s="637"/>
      <c r="Q549" s="574"/>
      <c r="R549" s="574"/>
      <c r="S549" s="574"/>
    </row>
    <row r="550" spans="1:19" ht="21.3">
      <c r="A550" s="665"/>
      <c r="B550" s="617" t="s">
        <v>322</v>
      </c>
      <c r="C550" s="1125" t="s">
        <v>323</v>
      </c>
      <c r="D550" s="1126"/>
      <c r="E550" s="637">
        <f t="shared" si="158"/>
        <v>0</v>
      </c>
      <c r="F550" s="625" t="s">
        <v>34</v>
      </c>
      <c r="G550" s="666">
        <v>1296</v>
      </c>
      <c r="H550" s="633">
        <f t="shared" si="175"/>
        <v>0</v>
      </c>
      <c r="I550" s="666">
        <v>1600</v>
      </c>
      <c r="J550" s="580">
        <f t="shared" si="155"/>
        <v>0</v>
      </c>
      <c r="K550" s="631">
        <f t="shared" si="156"/>
        <v>0</v>
      </c>
      <c r="L550" s="1073"/>
      <c r="M550" s="574"/>
      <c r="N550" s="667">
        <f t="shared" si="154"/>
        <v>0</v>
      </c>
      <c r="O550" s="636">
        <v>0</v>
      </c>
      <c r="P550" s="637"/>
      <c r="Q550" s="574"/>
      <c r="R550" s="574"/>
      <c r="S550" s="574"/>
    </row>
    <row r="551" spans="1:19" ht="21.3">
      <c r="A551" s="665"/>
      <c r="B551" s="617" t="s">
        <v>324</v>
      </c>
      <c r="C551" s="1125" t="s">
        <v>325</v>
      </c>
      <c r="D551" s="1126"/>
      <c r="E551" s="637">
        <f t="shared" si="158"/>
        <v>1976.4360000000001</v>
      </c>
      <c r="F551" s="625" t="s">
        <v>34</v>
      </c>
      <c r="G551" s="2048">
        <f>13+69</f>
        <v>82</v>
      </c>
      <c r="H551" s="633">
        <f t="shared" si="175"/>
        <v>162067.75200000001</v>
      </c>
      <c r="I551" s="2048">
        <f>30+28</f>
        <v>58</v>
      </c>
      <c r="J551" s="580">
        <f t="shared" si="155"/>
        <v>114633.28800000002</v>
      </c>
      <c r="K551" s="631">
        <f t="shared" si="156"/>
        <v>276701.04000000004</v>
      </c>
      <c r="L551" s="2049"/>
      <c r="M551" s="574"/>
      <c r="N551" s="667">
        <f t="shared" si="154"/>
        <v>1976.4360000000001</v>
      </c>
      <c r="O551" s="636">
        <v>0</v>
      </c>
      <c r="P551" s="637">
        <v>1976.4360000000001</v>
      </c>
      <c r="Q551" s="574"/>
      <c r="R551" s="574"/>
      <c r="S551" s="574"/>
    </row>
    <row r="552" spans="1:19" ht="21.3">
      <c r="A552" s="665"/>
      <c r="B552" s="617" t="s">
        <v>326</v>
      </c>
      <c r="C552" s="1125" t="s">
        <v>327</v>
      </c>
      <c r="D552" s="1126"/>
      <c r="E552" s="637">
        <f t="shared" si="158"/>
        <v>0</v>
      </c>
      <c r="F552" s="625" t="s">
        <v>34</v>
      </c>
      <c r="G552" s="666"/>
      <c r="H552" s="633">
        <f t="shared" si="175"/>
        <v>0</v>
      </c>
      <c r="I552" s="666"/>
      <c r="J552" s="580">
        <f t="shared" si="155"/>
        <v>0</v>
      </c>
      <c r="K552" s="631">
        <f t="shared" si="156"/>
        <v>0</v>
      </c>
      <c r="L552" s="1073"/>
      <c r="M552" s="574"/>
      <c r="N552" s="667">
        <f t="shared" si="154"/>
        <v>0</v>
      </c>
      <c r="O552" s="636">
        <v>0</v>
      </c>
      <c r="P552" s="637"/>
      <c r="Q552" s="574"/>
      <c r="R552" s="574"/>
      <c r="S552" s="574"/>
    </row>
    <row r="553" spans="1:19" ht="21.3">
      <c r="A553" s="665"/>
      <c r="B553" s="617" t="s">
        <v>328</v>
      </c>
      <c r="C553" s="617" t="s">
        <v>329</v>
      </c>
      <c r="D553" s="1126"/>
      <c r="E553" s="637">
        <f t="shared" si="158"/>
        <v>0</v>
      </c>
      <c r="F553" s="625" t="s">
        <v>34</v>
      </c>
      <c r="G553" s="666"/>
      <c r="H553" s="633">
        <f t="shared" si="175"/>
        <v>0</v>
      </c>
      <c r="I553" s="666"/>
      <c r="J553" s="580">
        <f t="shared" si="155"/>
        <v>0</v>
      </c>
      <c r="K553" s="631">
        <f t="shared" si="156"/>
        <v>0</v>
      </c>
      <c r="L553" s="1073"/>
      <c r="M553" s="574"/>
      <c r="N553" s="667">
        <f t="shared" si="154"/>
        <v>0</v>
      </c>
      <c r="O553" s="636">
        <v>0</v>
      </c>
      <c r="P553" s="637"/>
      <c r="Q553" s="574"/>
      <c r="R553" s="574"/>
      <c r="S553" s="574"/>
    </row>
    <row r="554" spans="1:19" ht="21.3">
      <c r="A554" s="665"/>
      <c r="B554" s="617"/>
      <c r="C554" s="617" t="s">
        <v>330</v>
      </c>
      <c r="D554" s="1129"/>
      <c r="E554" s="637">
        <f t="shared" si="158"/>
        <v>0</v>
      </c>
      <c r="F554" s="625"/>
      <c r="G554" s="642"/>
      <c r="H554" s="668"/>
      <c r="I554" s="642"/>
      <c r="J554" s="580">
        <f t="shared" si="155"/>
        <v>0</v>
      </c>
      <c r="K554" s="631">
        <f t="shared" si="156"/>
        <v>0</v>
      </c>
      <c r="L554" s="1065"/>
      <c r="M554" s="574"/>
      <c r="N554" s="669">
        <f t="shared" si="154"/>
        <v>0</v>
      </c>
      <c r="O554" s="636">
        <v>0</v>
      </c>
      <c r="P554" s="637"/>
      <c r="Q554" s="574"/>
      <c r="R554" s="574"/>
      <c r="S554" s="574"/>
    </row>
    <row r="555" spans="1:19" ht="21.3">
      <c r="A555" s="665"/>
      <c r="B555" s="1114"/>
      <c r="C555" s="617"/>
      <c r="D555" s="1124"/>
      <c r="E555" s="624"/>
      <c r="F555" s="619"/>
      <c r="G555" s="572"/>
      <c r="H555" s="580"/>
      <c r="I555" s="572"/>
      <c r="J555" s="580">
        <f t="shared" si="155"/>
        <v>0</v>
      </c>
      <c r="K555" s="631">
        <f t="shared" si="156"/>
        <v>0</v>
      </c>
      <c r="L555" s="1061"/>
      <c r="M555" s="574"/>
      <c r="N555" s="629">
        <f t="shared" si="154"/>
        <v>0</v>
      </c>
      <c r="O555" s="630">
        <v>0</v>
      </c>
      <c r="P555" s="624"/>
      <c r="Q555" s="574"/>
      <c r="R555" s="574"/>
      <c r="S555" s="574"/>
    </row>
    <row r="556" spans="1:19" ht="21.3">
      <c r="A556" s="665" t="s">
        <v>331</v>
      </c>
      <c r="B556" s="1114" t="s">
        <v>332</v>
      </c>
      <c r="C556" s="617"/>
      <c r="D556" s="1124"/>
      <c r="E556" s="624"/>
      <c r="F556" s="625"/>
      <c r="G556" s="651"/>
      <c r="H556" s="580">
        <f t="shared" ref="H556" si="176">E556*G556</f>
        <v>0</v>
      </c>
      <c r="I556" s="651"/>
      <c r="J556" s="580">
        <f t="shared" si="155"/>
        <v>0</v>
      </c>
      <c r="K556" s="631">
        <f t="shared" si="156"/>
        <v>0</v>
      </c>
      <c r="L556" s="1065"/>
      <c r="M556" s="574"/>
      <c r="N556" s="629">
        <f t="shared" si="154"/>
        <v>0</v>
      </c>
      <c r="O556" s="630">
        <v>0</v>
      </c>
      <c r="P556" s="624"/>
      <c r="Q556" s="574"/>
      <c r="R556" s="574"/>
      <c r="S556" s="574"/>
    </row>
    <row r="557" spans="1:19" ht="21.3">
      <c r="A557" s="665"/>
      <c r="B557" s="1114"/>
      <c r="C557" s="1125" t="s">
        <v>259</v>
      </c>
      <c r="D557" s="1124"/>
      <c r="E557" s="624">
        <v>1132.4274999999998</v>
      </c>
      <c r="F557" s="625" t="s">
        <v>34</v>
      </c>
      <c r="G557" s="666">
        <v>281</v>
      </c>
      <c r="H557" s="633">
        <f>SUM(E557*G557)</f>
        <v>318212.12749999994</v>
      </c>
      <c r="I557" s="666">
        <v>80</v>
      </c>
      <c r="J557" s="580">
        <f t="shared" si="155"/>
        <v>90594.199999999983</v>
      </c>
      <c r="K557" s="631">
        <f t="shared" si="156"/>
        <v>408806.3274999999</v>
      </c>
      <c r="L557" s="1073"/>
      <c r="M557" s="574"/>
      <c r="N557" s="629">
        <f t="shared" si="154"/>
        <v>0</v>
      </c>
      <c r="O557" s="630">
        <v>0</v>
      </c>
      <c r="P557" s="624"/>
      <c r="Q557" s="574"/>
      <c r="R557" s="574"/>
      <c r="S557" s="574"/>
    </row>
    <row r="558" spans="1:19" ht="21.3">
      <c r="A558" s="665"/>
      <c r="B558" s="1114"/>
      <c r="C558" s="1125" t="s">
        <v>260</v>
      </c>
      <c r="D558" s="1124"/>
      <c r="E558" s="624">
        <f>+E592/2</f>
        <v>0</v>
      </c>
      <c r="F558" s="625" t="s">
        <v>34</v>
      </c>
      <c r="G558" s="666">
        <v>712</v>
      </c>
      <c r="H558" s="633">
        <f>SUM(E558*G558)</f>
        <v>0</v>
      </c>
      <c r="I558" s="666">
        <v>98</v>
      </c>
      <c r="J558" s="580">
        <f t="shared" si="155"/>
        <v>0</v>
      </c>
      <c r="K558" s="631">
        <f t="shared" si="156"/>
        <v>0</v>
      </c>
      <c r="L558" s="1073"/>
      <c r="M558" s="574"/>
      <c r="N558" s="629">
        <f t="shared" si="154"/>
        <v>0</v>
      </c>
      <c r="O558" s="630">
        <v>0</v>
      </c>
      <c r="P558" s="624"/>
      <c r="Q558" s="574"/>
      <c r="R558" s="574"/>
      <c r="S558" s="574"/>
    </row>
    <row r="559" spans="1:19" ht="21.3">
      <c r="A559" s="665"/>
      <c r="B559" s="1114"/>
      <c r="C559" s="1125" t="s">
        <v>261</v>
      </c>
      <c r="D559" s="1124"/>
      <c r="E559" s="624">
        <f>+E557*1.33</f>
        <v>1506.1285749999997</v>
      </c>
      <c r="F559" s="625" t="s">
        <v>226</v>
      </c>
      <c r="G559" s="666">
        <v>119</v>
      </c>
      <c r="H559" s="633">
        <f>SUM(E559*G559)</f>
        <v>179229.30042499996</v>
      </c>
      <c r="I559" s="666">
        <v>44</v>
      </c>
      <c r="J559" s="580">
        <f t="shared" si="155"/>
        <v>66269.657299999992</v>
      </c>
      <c r="K559" s="631">
        <f t="shared" si="156"/>
        <v>245498.95772499996</v>
      </c>
      <c r="L559" s="1073"/>
      <c r="M559" s="574"/>
      <c r="N559" s="629">
        <f t="shared" si="154"/>
        <v>0</v>
      </c>
      <c r="O559" s="630">
        <v>0</v>
      </c>
      <c r="P559" s="624"/>
      <c r="Q559" s="574"/>
      <c r="R559" s="574"/>
      <c r="S559" s="574"/>
    </row>
    <row r="560" spans="1:19" ht="21.3">
      <c r="A560" s="665"/>
      <c r="B560" s="1114"/>
      <c r="C560" s="1125" t="s">
        <v>262</v>
      </c>
      <c r="D560" s="1124"/>
      <c r="E560" s="624">
        <f>+E558*1.33</f>
        <v>0</v>
      </c>
      <c r="F560" s="625" t="s">
        <v>226</v>
      </c>
      <c r="G560" s="666">
        <v>208</v>
      </c>
      <c r="H560" s="633">
        <f>SUM(E560*G560)</f>
        <v>0</v>
      </c>
      <c r="I560" s="666">
        <v>78</v>
      </c>
      <c r="J560" s="580">
        <f t="shared" si="155"/>
        <v>0</v>
      </c>
      <c r="K560" s="631">
        <f t="shared" si="156"/>
        <v>0</v>
      </c>
      <c r="L560" s="1073"/>
      <c r="M560" s="574"/>
      <c r="N560" s="629">
        <f t="shared" si="154"/>
        <v>0</v>
      </c>
      <c r="O560" s="630">
        <v>0</v>
      </c>
      <c r="P560" s="624"/>
      <c r="Q560" s="574"/>
      <c r="R560" s="574"/>
      <c r="S560" s="574"/>
    </row>
    <row r="561" spans="1:19" ht="21.3">
      <c r="A561" s="665"/>
      <c r="B561" s="1114"/>
      <c r="C561" s="1125" t="s">
        <v>263</v>
      </c>
      <c r="D561" s="1124"/>
      <c r="E561" s="624">
        <f>+E588+E589+E591+E596+E598+E609</f>
        <v>129.53699999999998</v>
      </c>
      <c r="F561" s="625" t="s">
        <v>34</v>
      </c>
      <c r="G561" s="666">
        <v>88</v>
      </c>
      <c r="H561" s="633">
        <f>SUM(E561*G561)</f>
        <v>11399.255999999998</v>
      </c>
      <c r="I561" s="666">
        <v>82</v>
      </c>
      <c r="J561" s="580">
        <f t="shared" si="155"/>
        <v>10622.033999999998</v>
      </c>
      <c r="K561" s="631">
        <f t="shared" si="156"/>
        <v>22021.289999999994</v>
      </c>
      <c r="L561" s="1062"/>
      <c r="M561" s="574"/>
      <c r="N561" s="629">
        <f t="shared" si="154"/>
        <v>0</v>
      </c>
      <c r="O561" s="630">
        <v>0</v>
      </c>
      <c r="P561" s="624"/>
      <c r="Q561" s="574"/>
      <c r="R561" s="574"/>
      <c r="S561" s="574"/>
    </row>
    <row r="562" spans="1:19" ht="21.3">
      <c r="A562" s="665"/>
      <c r="B562" s="617" t="s">
        <v>264</v>
      </c>
      <c r="C562" s="1125" t="s">
        <v>265</v>
      </c>
      <c r="D562" s="1126"/>
      <c r="E562" s="637">
        <f>+N562</f>
        <v>0</v>
      </c>
      <c r="F562" s="625" t="s">
        <v>34</v>
      </c>
      <c r="G562" s="666">
        <v>88</v>
      </c>
      <c r="H562" s="633">
        <f t="shared" ref="H562:H568" si="177">SUM(E562*G562)</f>
        <v>0</v>
      </c>
      <c r="I562" s="666">
        <v>95</v>
      </c>
      <c r="J562" s="580">
        <f t="shared" si="155"/>
        <v>0</v>
      </c>
      <c r="K562" s="631">
        <f t="shared" si="156"/>
        <v>0</v>
      </c>
      <c r="L562" s="1062"/>
      <c r="M562" s="574"/>
      <c r="N562" s="667">
        <f t="shared" si="154"/>
        <v>0</v>
      </c>
      <c r="O562" s="636">
        <v>0</v>
      </c>
      <c r="P562" s="637"/>
      <c r="Q562" s="574"/>
      <c r="R562" s="574"/>
      <c r="S562" s="574"/>
    </row>
    <row r="563" spans="1:19" ht="21.3">
      <c r="A563" s="665"/>
      <c r="B563" s="617"/>
      <c r="C563" s="1125" t="s">
        <v>266</v>
      </c>
      <c r="D563" s="1126"/>
      <c r="E563" s="637">
        <f t="shared" ref="E563:E610" si="178">+N563</f>
        <v>0</v>
      </c>
      <c r="F563" s="625" t="s">
        <v>34</v>
      </c>
      <c r="G563" s="2048">
        <v>69</v>
      </c>
      <c r="H563" s="633">
        <f t="shared" si="177"/>
        <v>0</v>
      </c>
      <c r="I563" s="2048">
        <v>28</v>
      </c>
      <c r="J563" s="580">
        <f t="shared" si="155"/>
        <v>0</v>
      </c>
      <c r="K563" s="631">
        <f t="shared" si="156"/>
        <v>0</v>
      </c>
      <c r="L563" s="2049"/>
      <c r="M563" s="574"/>
      <c r="N563" s="667">
        <f t="shared" si="154"/>
        <v>0</v>
      </c>
      <c r="O563" s="636">
        <v>0</v>
      </c>
      <c r="P563" s="637"/>
      <c r="Q563" s="574"/>
      <c r="R563" s="574"/>
      <c r="S563" s="574"/>
    </row>
    <row r="564" spans="1:19" ht="21.3">
      <c r="A564" s="665"/>
      <c r="B564" s="617" t="s">
        <v>267</v>
      </c>
      <c r="C564" s="1125" t="s">
        <v>268</v>
      </c>
      <c r="D564" s="1126"/>
      <c r="E564" s="637">
        <f t="shared" si="178"/>
        <v>0</v>
      </c>
      <c r="F564" s="625" t="s">
        <v>34</v>
      </c>
      <c r="G564" s="666">
        <v>88</v>
      </c>
      <c r="H564" s="633">
        <f t="shared" si="177"/>
        <v>0</v>
      </c>
      <c r="I564" s="666">
        <v>82</v>
      </c>
      <c r="J564" s="580">
        <f t="shared" si="155"/>
        <v>0</v>
      </c>
      <c r="K564" s="631">
        <f t="shared" si="156"/>
        <v>0</v>
      </c>
      <c r="L564" s="1062"/>
      <c r="M564" s="574"/>
      <c r="N564" s="667">
        <f t="shared" si="154"/>
        <v>0</v>
      </c>
      <c r="O564" s="636">
        <v>0</v>
      </c>
      <c r="P564" s="637"/>
      <c r="Q564" s="574"/>
      <c r="R564" s="574"/>
      <c r="S564" s="574"/>
    </row>
    <row r="565" spans="1:19" ht="21.3">
      <c r="A565" s="665"/>
      <c r="B565" s="617" t="s">
        <v>269</v>
      </c>
      <c r="C565" s="1125" t="s">
        <v>265</v>
      </c>
      <c r="D565" s="1126"/>
      <c r="E565" s="637">
        <v>1420.5</v>
      </c>
      <c r="F565" s="625" t="s">
        <v>34</v>
      </c>
      <c r="G565" s="666">
        <v>88</v>
      </c>
      <c r="H565" s="633">
        <f t="shared" si="177"/>
        <v>125004</v>
      </c>
      <c r="I565" s="666">
        <v>82</v>
      </c>
      <c r="J565" s="580">
        <f t="shared" si="155"/>
        <v>116481</v>
      </c>
      <c r="K565" s="631">
        <f t="shared" si="156"/>
        <v>241485</v>
      </c>
      <c r="L565" s="1062"/>
      <c r="M565" s="574"/>
      <c r="N565" s="667">
        <f t="shared" si="154"/>
        <v>1385.4879999999998</v>
      </c>
      <c r="O565" s="636">
        <v>0</v>
      </c>
      <c r="P565" s="637">
        <v>1385.4879999999998</v>
      </c>
      <c r="Q565" s="574"/>
      <c r="R565" s="574"/>
      <c r="S565" s="574"/>
    </row>
    <row r="566" spans="1:19" ht="21.3">
      <c r="A566" s="665"/>
      <c r="B566" s="617"/>
      <c r="C566" s="1125" t="s">
        <v>270</v>
      </c>
      <c r="D566" s="1126"/>
      <c r="E566" s="637">
        <f t="shared" si="178"/>
        <v>0</v>
      </c>
      <c r="F566" s="625" t="s">
        <v>34</v>
      </c>
      <c r="G566" s="2048">
        <v>69</v>
      </c>
      <c r="H566" s="633">
        <f t="shared" si="177"/>
        <v>0</v>
      </c>
      <c r="I566" s="2048">
        <v>28</v>
      </c>
      <c r="J566" s="580">
        <f t="shared" si="155"/>
        <v>0</v>
      </c>
      <c r="K566" s="631">
        <f t="shared" si="156"/>
        <v>0</v>
      </c>
      <c r="L566" s="2049"/>
      <c r="M566" s="574"/>
      <c r="N566" s="667">
        <f t="shared" ref="N566:N637" si="179">+(1+O566)*P566</f>
        <v>0</v>
      </c>
      <c r="O566" s="636">
        <v>0</v>
      </c>
      <c r="P566" s="637"/>
      <c r="Q566" s="574"/>
      <c r="R566" s="574"/>
      <c r="S566" s="574"/>
    </row>
    <row r="567" spans="1:19" ht="21.3">
      <c r="A567" s="665"/>
      <c r="B567" s="617" t="s">
        <v>271</v>
      </c>
      <c r="C567" s="1125" t="s">
        <v>272</v>
      </c>
      <c r="D567" s="1126"/>
      <c r="E567" s="637">
        <f t="shared" si="178"/>
        <v>0</v>
      </c>
      <c r="F567" s="625" t="s">
        <v>34</v>
      </c>
      <c r="G567" s="666">
        <v>103</v>
      </c>
      <c r="H567" s="633">
        <f t="shared" si="177"/>
        <v>0</v>
      </c>
      <c r="I567" s="666">
        <v>115</v>
      </c>
      <c r="J567" s="580">
        <f t="shared" ref="J567:J638" si="180">E567*I567</f>
        <v>0</v>
      </c>
      <c r="K567" s="631">
        <f t="shared" ref="K567:K638" si="181">H567+J567</f>
        <v>0</v>
      </c>
      <c r="L567" s="1062"/>
      <c r="M567" s="574"/>
      <c r="N567" s="667">
        <f t="shared" si="179"/>
        <v>0</v>
      </c>
      <c r="O567" s="636">
        <v>0</v>
      </c>
      <c r="P567" s="637"/>
      <c r="Q567" s="574"/>
      <c r="R567" s="574"/>
      <c r="S567" s="574"/>
    </row>
    <row r="568" spans="1:19" ht="21.3">
      <c r="A568" s="665"/>
      <c r="B568" s="617"/>
      <c r="C568" s="1125" t="s">
        <v>273</v>
      </c>
      <c r="D568" s="1126"/>
      <c r="E568" s="637">
        <f t="shared" si="178"/>
        <v>0</v>
      </c>
      <c r="F568" s="625" t="s">
        <v>34</v>
      </c>
      <c r="G568" s="2048">
        <v>69</v>
      </c>
      <c r="H568" s="633">
        <f t="shared" si="177"/>
        <v>0</v>
      </c>
      <c r="I568" s="2048">
        <v>28</v>
      </c>
      <c r="J568" s="580">
        <f t="shared" si="180"/>
        <v>0</v>
      </c>
      <c r="K568" s="631">
        <f t="shared" si="181"/>
        <v>0</v>
      </c>
      <c r="L568" s="2049"/>
      <c r="M568" s="574"/>
      <c r="N568" s="667">
        <f t="shared" si="179"/>
        <v>0</v>
      </c>
      <c r="O568" s="636">
        <v>0</v>
      </c>
      <c r="P568" s="637"/>
      <c r="Q568" s="574"/>
      <c r="R568" s="574"/>
      <c r="S568" s="574"/>
    </row>
    <row r="569" spans="1:19" ht="21.3">
      <c r="A569" s="665"/>
      <c r="B569" s="617" t="s">
        <v>274</v>
      </c>
      <c r="C569" s="1125" t="s">
        <v>275</v>
      </c>
      <c r="D569" s="1126"/>
      <c r="E569" s="637">
        <f t="shared" si="178"/>
        <v>0</v>
      </c>
      <c r="F569" s="625" t="s">
        <v>34</v>
      </c>
      <c r="G569" s="572">
        <v>1500</v>
      </c>
      <c r="H569" s="580">
        <f t="shared" ref="H569" si="182">E569*G569</f>
        <v>0</v>
      </c>
      <c r="I569" s="572">
        <v>500</v>
      </c>
      <c r="J569" s="580">
        <f t="shared" si="180"/>
        <v>0</v>
      </c>
      <c r="K569" s="631">
        <f t="shared" si="181"/>
        <v>0</v>
      </c>
      <c r="L569" s="1061"/>
      <c r="M569" s="574"/>
      <c r="N569" s="667">
        <f t="shared" si="179"/>
        <v>0</v>
      </c>
      <c r="O569" s="636">
        <v>0</v>
      </c>
      <c r="P569" s="637"/>
      <c r="Q569" s="574"/>
      <c r="R569" s="574"/>
      <c r="S569" s="574"/>
    </row>
    <row r="570" spans="1:19" ht="21.3">
      <c r="A570" s="665"/>
      <c r="B570" s="617"/>
      <c r="C570" s="1125" t="s">
        <v>273</v>
      </c>
      <c r="D570" s="1126"/>
      <c r="E570" s="637">
        <f t="shared" si="178"/>
        <v>0</v>
      </c>
      <c r="F570" s="625" t="s">
        <v>34</v>
      </c>
      <c r="G570" s="2048">
        <v>69</v>
      </c>
      <c r="H570" s="633">
        <f t="shared" ref="H570" si="183">SUM(E570*G570)</f>
        <v>0</v>
      </c>
      <c r="I570" s="2048">
        <v>28</v>
      </c>
      <c r="J570" s="580">
        <f t="shared" si="180"/>
        <v>0</v>
      </c>
      <c r="K570" s="631">
        <f t="shared" si="181"/>
        <v>0</v>
      </c>
      <c r="L570" s="2049"/>
      <c r="M570" s="574"/>
      <c r="N570" s="667">
        <f t="shared" si="179"/>
        <v>0</v>
      </c>
      <c r="O570" s="636">
        <v>0</v>
      </c>
      <c r="P570" s="637"/>
      <c r="Q570" s="574"/>
      <c r="R570" s="574"/>
      <c r="S570" s="574"/>
    </row>
    <row r="571" spans="1:19" ht="21.3">
      <c r="A571" s="665"/>
      <c r="B571" s="617" t="s">
        <v>276</v>
      </c>
      <c r="C571" s="1125" t="s">
        <v>277</v>
      </c>
      <c r="D571" s="1126"/>
      <c r="E571" s="637">
        <f t="shared" si="178"/>
        <v>0</v>
      </c>
      <c r="F571" s="625" t="s">
        <v>34</v>
      </c>
      <c r="G571" s="572">
        <v>492</v>
      </c>
      <c r="H571" s="580">
        <f t="shared" ref="H571" si="184">E571*G571</f>
        <v>0</v>
      </c>
      <c r="I571" s="572">
        <v>130</v>
      </c>
      <c r="J571" s="580">
        <f t="shared" si="180"/>
        <v>0</v>
      </c>
      <c r="K571" s="631">
        <f t="shared" si="181"/>
        <v>0</v>
      </c>
      <c r="L571" s="2049"/>
      <c r="M571" s="574"/>
      <c r="N571" s="667">
        <f t="shared" si="179"/>
        <v>0</v>
      </c>
      <c r="O571" s="636">
        <v>0</v>
      </c>
      <c r="P571" s="637"/>
      <c r="Q571" s="574"/>
      <c r="R571" s="574"/>
      <c r="S571" s="574"/>
    </row>
    <row r="572" spans="1:19" ht="21.3">
      <c r="A572" s="665"/>
      <c r="B572" s="617"/>
      <c r="C572" s="1125" t="s">
        <v>278</v>
      </c>
      <c r="D572" s="1126"/>
      <c r="E572" s="637">
        <f t="shared" si="178"/>
        <v>0</v>
      </c>
      <c r="F572" s="619"/>
      <c r="G572" s="572"/>
      <c r="H572" s="580"/>
      <c r="I572" s="572"/>
      <c r="J572" s="580">
        <f t="shared" si="180"/>
        <v>0</v>
      </c>
      <c r="K572" s="631">
        <f t="shared" si="181"/>
        <v>0</v>
      </c>
      <c r="L572" s="2049"/>
      <c r="M572" s="574"/>
      <c r="N572" s="629">
        <f t="shared" si="179"/>
        <v>0</v>
      </c>
      <c r="O572" s="630">
        <v>0</v>
      </c>
      <c r="P572" s="624"/>
      <c r="Q572" s="574"/>
      <c r="R572" s="574"/>
      <c r="S572" s="574"/>
    </row>
    <row r="573" spans="1:19" ht="21.3">
      <c r="A573" s="665"/>
      <c r="B573" s="617" t="s">
        <v>279</v>
      </c>
      <c r="C573" s="1125" t="s">
        <v>280</v>
      </c>
      <c r="D573" s="1126"/>
      <c r="E573" s="637">
        <f t="shared" si="178"/>
        <v>0</v>
      </c>
      <c r="F573" s="625" t="s">
        <v>34</v>
      </c>
      <c r="G573" s="572">
        <v>256</v>
      </c>
      <c r="H573" s="580">
        <f t="shared" ref="H573" si="185">E573*G573</f>
        <v>0</v>
      </c>
      <c r="I573" s="572">
        <v>100</v>
      </c>
      <c r="J573" s="580">
        <f t="shared" si="180"/>
        <v>0</v>
      </c>
      <c r="K573" s="631">
        <f t="shared" si="181"/>
        <v>0</v>
      </c>
      <c r="L573" s="2049"/>
      <c r="M573" s="574"/>
      <c r="N573" s="667">
        <f t="shared" si="179"/>
        <v>0</v>
      </c>
      <c r="O573" s="636">
        <v>0</v>
      </c>
      <c r="P573" s="637"/>
      <c r="Q573" s="574"/>
      <c r="R573" s="574"/>
      <c r="S573" s="574"/>
    </row>
    <row r="574" spans="1:19" ht="21.3">
      <c r="A574" s="665"/>
      <c r="B574" s="617"/>
      <c r="C574" s="1125" t="s">
        <v>281</v>
      </c>
      <c r="D574" s="1126"/>
      <c r="E574" s="637">
        <f t="shared" si="178"/>
        <v>0</v>
      </c>
      <c r="F574" s="619"/>
      <c r="G574" s="572"/>
      <c r="H574" s="580"/>
      <c r="I574" s="572"/>
      <c r="J574" s="580">
        <f t="shared" si="180"/>
        <v>0</v>
      </c>
      <c r="K574" s="631">
        <f t="shared" si="181"/>
        <v>0</v>
      </c>
      <c r="L574" s="2049"/>
      <c r="M574" s="574"/>
      <c r="N574" s="629">
        <f t="shared" si="179"/>
        <v>0</v>
      </c>
      <c r="O574" s="630">
        <v>0</v>
      </c>
      <c r="P574" s="624"/>
      <c r="Q574" s="574"/>
      <c r="R574" s="574"/>
      <c r="S574" s="574"/>
    </row>
    <row r="575" spans="1:19" ht="21.3">
      <c r="A575" s="665"/>
      <c r="B575" s="617" t="s">
        <v>282</v>
      </c>
      <c r="C575" s="1125" t="s">
        <v>280</v>
      </c>
      <c r="D575" s="1126"/>
      <c r="E575" s="637">
        <f t="shared" si="178"/>
        <v>0</v>
      </c>
      <c r="F575" s="625" t="s">
        <v>34</v>
      </c>
      <c r="G575" s="572">
        <v>256</v>
      </c>
      <c r="H575" s="580">
        <f t="shared" ref="H575" si="186">E575*G575</f>
        <v>0</v>
      </c>
      <c r="I575" s="572">
        <v>100</v>
      </c>
      <c r="J575" s="580">
        <f t="shared" si="180"/>
        <v>0</v>
      </c>
      <c r="K575" s="631">
        <f t="shared" si="181"/>
        <v>0</v>
      </c>
      <c r="L575" s="2049"/>
      <c r="M575" s="574"/>
      <c r="N575" s="667">
        <f t="shared" si="179"/>
        <v>0</v>
      </c>
      <c r="O575" s="636">
        <v>0</v>
      </c>
      <c r="P575" s="637"/>
      <c r="Q575" s="574"/>
      <c r="R575" s="574"/>
      <c r="S575" s="574"/>
    </row>
    <row r="576" spans="1:19" ht="21.3">
      <c r="A576" s="665"/>
      <c r="B576" s="617"/>
      <c r="C576" s="1125" t="s">
        <v>281</v>
      </c>
      <c r="D576" s="1126"/>
      <c r="E576" s="637">
        <f t="shared" si="178"/>
        <v>0</v>
      </c>
      <c r="F576" s="619"/>
      <c r="G576" s="572"/>
      <c r="H576" s="580"/>
      <c r="I576" s="572"/>
      <c r="J576" s="580">
        <f t="shared" si="180"/>
        <v>0</v>
      </c>
      <c r="K576" s="631">
        <f t="shared" si="181"/>
        <v>0</v>
      </c>
      <c r="L576" s="1062"/>
      <c r="M576" s="574"/>
      <c r="N576" s="629">
        <f t="shared" si="179"/>
        <v>0</v>
      </c>
      <c r="O576" s="630">
        <v>0</v>
      </c>
      <c r="P576" s="624"/>
      <c r="Q576" s="574"/>
      <c r="R576" s="574"/>
      <c r="S576" s="574"/>
    </row>
    <row r="577" spans="1:19" ht="21.3">
      <c r="A577" s="665"/>
      <c r="B577" s="617"/>
      <c r="C577" s="1125" t="s">
        <v>283</v>
      </c>
      <c r="D577" s="1126"/>
      <c r="E577" s="637">
        <f t="shared" si="178"/>
        <v>0</v>
      </c>
      <c r="F577" s="625" t="s">
        <v>34</v>
      </c>
      <c r="G577" s="2048">
        <v>69</v>
      </c>
      <c r="H577" s="633">
        <f t="shared" ref="H577" si="187">SUM(E577*G577)</f>
        <v>0</v>
      </c>
      <c r="I577" s="2048">
        <v>28</v>
      </c>
      <c r="J577" s="580">
        <f t="shared" si="180"/>
        <v>0</v>
      </c>
      <c r="K577" s="631">
        <f t="shared" si="181"/>
        <v>0</v>
      </c>
      <c r="L577" s="2049"/>
      <c r="M577" s="574"/>
      <c r="N577" s="667">
        <f t="shared" si="179"/>
        <v>0</v>
      </c>
      <c r="O577" s="636">
        <v>0</v>
      </c>
      <c r="P577" s="637"/>
      <c r="Q577" s="574"/>
      <c r="R577" s="574"/>
      <c r="S577" s="574"/>
    </row>
    <row r="578" spans="1:19" ht="21.3">
      <c r="A578" s="665"/>
      <c r="B578" s="617" t="s">
        <v>284</v>
      </c>
      <c r="C578" s="1125" t="s">
        <v>280</v>
      </c>
      <c r="D578" s="1126"/>
      <c r="E578" s="637">
        <f t="shared" si="178"/>
        <v>0</v>
      </c>
      <c r="F578" s="625" t="s">
        <v>34</v>
      </c>
      <c r="G578" s="572">
        <v>592</v>
      </c>
      <c r="H578" s="580">
        <f t="shared" ref="H578" si="188">E578*G578</f>
        <v>0</v>
      </c>
      <c r="I578" s="572">
        <v>165</v>
      </c>
      <c r="J578" s="580">
        <f t="shared" si="180"/>
        <v>0</v>
      </c>
      <c r="K578" s="631">
        <f t="shared" si="181"/>
        <v>0</v>
      </c>
      <c r="L578" s="2049"/>
      <c r="M578" s="574"/>
      <c r="N578" s="667">
        <f t="shared" si="179"/>
        <v>0</v>
      </c>
      <c r="O578" s="636">
        <v>0</v>
      </c>
      <c r="P578" s="637"/>
      <c r="Q578" s="574"/>
      <c r="R578" s="574"/>
      <c r="S578" s="574"/>
    </row>
    <row r="579" spans="1:19" ht="21.3">
      <c r="A579" s="665"/>
      <c r="B579" s="617"/>
      <c r="C579" s="1125" t="s">
        <v>285</v>
      </c>
      <c r="D579" s="1126"/>
      <c r="E579" s="637">
        <f t="shared" si="178"/>
        <v>0</v>
      </c>
      <c r="F579" s="619"/>
      <c r="G579" s="572"/>
      <c r="H579" s="580"/>
      <c r="I579" s="572"/>
      <c r="J579" s="580">
        <f t="shared" si="180"/>
        <v>0</v>
      </c>
      <c r="K579" s="631">
        <f t="shared" si="181"/>
        <v>0</v>
      </c>
      <c r="L579" s="1062"/>
      <c r="M579" s="574"/>
      <c r="N579" s="629">
        <f t="shared" si="179"/>
        <v>0</v>
      </c>
      <c r="O579" s="630">
        <v>0</v>
      </c>
      <c r="P579" s="624"/>
      <c r="Q579" s="574"/>
      <c r="R579" s="574"/>
      <c r="S579" s="574"/>
    </row>
    <row r="580" spans="1:19" ht="21.3">
      <c r="A580" s="665"/>
      <c r="B580" s="617" t="s">
        <v>286</v>
      </c>
      <c r="C580" s="1125" t="s">
        <v>280</v>
      </c>
      <c r="D580" s="1126"/>
      <c r="E580" s="637">
        <f t="shared" si="178"/>
        <v>0</v>
      </c>
      <c r="F580" s="625" t="s">
        <v>34</v>
      </c>
      <c r="G580" s="572">
        <v>642</v>
      </c>
      <c r="H580" s="580">
        <f t="shared" ref="H580" si="189">E580*G580</f>
        <v>0</v>
      </c>
      <c r="I580" s="572">
        <v>183</v>
      </c>
      <c r="J580" s="580">
        <f t="shared" si="180"/>
        <v>0</v>
      </c>
      <c r="K580" s="631">
        <f t="shared" si="181"/>
        <v>0</v>
      </c>
      <c r="L580" s="2049"/>
      <c r="M580" s="574"/>
      <c r="N580" s="667">
        <f t="shared" si="179"/>
        <v>0</v>
      </c>
      <c r="O580" s="636">
        <v>0</v>
      </c>
      <c r="P580" s="637"/>
      <c r="Q580" s="574"/>
      <c r="R580" s="574"/>
      <c r="S580" s="574"/>
    </row>
    <row r="581" spans="1:19" ht="21.3">
      <c r="A581" s="665"/>
      <c r="B581" s="617"/>
      <c r="C581" s="1125" t="s">
        <v>287</v>
      </c>
      <c r="D581" s="1126"/>
      <c r="E581" s="637">
        <f t="shared" si="178"/>
        <v>0</v>
      </c>
      <c r="F581" s="619"/>
      <c r="G581" s="572"/>
      <c r="H581" s="580"/>
      <c r="I581" s="572"/>
      <c r="J581" s="580">
        <f t="shared" si="180"/>
        <v>0</v>
      </c>
      <c r="K581" s="631">
        <f t="shared" si="181"/>
        <v>0</v>
      </c>
      <c r="L581" s="1073"/>
      <c r="M581" s="574"/>
      <c r="N581" s="629">
        <f t="shared" si="179"/>
        <v>0</v>
      </c>
      <c r="O581" s="630">
        <v>0</v>
      </c>
      <c r="P581" s="624"/>
      <c r="Q581" s="574"/>
      <c r="R581" s="574"/>
      <c r="S581" s="574"/>
    </row>
    <row r="582" spans="1:19" ht="21.3">
      <c r="A582" s="665"/>
      <c r="B582" s="617"/>
      <c r="C582" s="1125" t="s">
        <v>288</v>
      </c>
      <c r="D582" s="1126"/>
      <c r="E582" s="637">
        <f t="shared" si="178"/>
        <v>0</v>
      </c>
      <c r="F582" s="619"/>
      <c r="G582" s="572"/>
      <c r="H582" s="580"/>
      <c r="I582" s="572"/>
      <c r="J582" s="580">
        <f t="shared" si="180"/>
        <v>0</v>
      </c>
      <c r="K582" s="631">
        <f t="shared" si="181"/>
        <v>0</v>
      </c>
      <c r="L582" s="1073"/>
      <c r="M582" s="574"/>
      <c r="N582" s="629">
        <f t="shared" si="179"/>
        <v>0</v>
      </c>
      <c r="O582" s="630">
        <v>0</v>
      </c>
      <c r="P582" s="624"/>
      <c r="Q582" s="574"/>
      <c r="R582" s="574"/>
      <c r="S582" s="574"/>
    </row>
    <row r="583" spans="1:19" ht="21.3">
      <c r="A583" s="665"/>
      <c r="B583" s="617" t="s">
        <v>289</v>
      </c>
      <c r="C583" s="1125" t="s">
        <v>280</v>
      </c>
      <c r="D583" s="1126"/>
      <c r="E583" s="637">
        <f t="shared" si="178"/>
        <v>0</v>
      </c>
      <c r="F583" s="625" t="s">
        <v>34</v>
      </c>
      <c r="G583" s="572">
        <v>520</v>
      </c>
      <c r="H583" s="580">
        <f t="shared" ref="H583" si="190">E583*G583</f>
        <v>0</v>
      </c>
      <c r="I583" s="572">
        <v>270</v>
      </c>
      <c r="J583" s="580">
        <f t="shared" si="180"/>
        <v>0</v>
      </c>
      <c r="K583" s="631">
        <f t="shared" si="181"/>
        <v>0</v>
      </c>
      <c r="L583" s="1074"/>
      <c r="M583" s="574"/>
      <c r="N583" s="667">
        <f t="shared" si="179"/>
        <v>0</v>
      </c>
      <c r="O583" s="636">
        <v>0</v>
      </c>
      <c r="P583" s="637"/>
      <c r="Q583" s="574"/>
      <c r="R583" s="574"/>
      <c r="S583" s="574"/>
    </row>
    <row r="584" spans="1:19" ht="21.3">
      <c r="A584" s="665"/>
      <c r="B584" s="617"/>
      <c r="C584" s="1125" t="s">
        <v>290</v>
      </c>
      <c r="D584" s="1126"/>
      <c r="E584" s="637">
        <f t="shared" si="178"/>
        <v>0</v>
      </c>
      <c r="F584" s="619"/>
      <c r="G584" s="572"/>
      <c r="H584" s="580"/>
      <c r="I584" s="572"/>
      <c r="J584" s="580">
        <f t="shared" si="180"/>
        <v>0</v>
      </c>
      <c r="K584" s="631">
        <f t="shared" si="181"/>
        <v>0</v>
      </c>
      <c r="L584" s="1073"/>
      <c r="M584" s="574"/>
      <c r="N584" s="629">
        <f t="shared" si="179"/>
        <v>0</v>
      </c>
      <c r="O584" s="630">
        <v>0</v>
      </c>
      <c r="P584" s="624"/>
      <c r="Q584" s="574"/>
      <c r="R584" s="574"/>
      <c r="S584" s="574"/>
    </row>
    <row r="585" spans="1:19" ht="21.3">
      <c r="A585" s="665"/>
      <c r="B585" s="617" t="s">
        <v>291</v>
      </c>
      <c r="C585" s="1125" t="s">
        <v>280</v>
      </c>
      <c r="D585" s="1126"/>
      <c r="E585" s="637">
        <f t="shared" si="178"/>
        <v>0</v>
      </c>
      <c r="F585" s="625" t="s">
        <v>34</v>
      </c>
      <c r="G585" s="572">
        <v>256</v>
      </c>
      <c r="H585" s="580">
        <f t="shared" ref="H585:H586" si="191">E585*G585</f>
        <v>0</v>
      </c>
      <c r="I585" s="572">
        <v>100</v>
      </c>
      <c r="J585" s="580">
        <f t="shared" si="180"/>
        <v>0</v>
      </c>
      <c r="K585" s="631">
        <f t="shared" si="181"/>
        <v>0</v>
      </c>
      <c r="L585" s="2049"/>
      <c r="M585" s="574"/>
      <c r="N585" s="667">
        <f t="shared" si="179"/>
        <v>0</v>
      </c>
      <c r="O585" s="636">
        <v>0</v>
      </c>
      <c r="P585" s="637"/>
      <c r="Q585" s="574"/>
      <c r="R585" s="574"/>
      <c r="S585" s="574"/>
    </row>
    <row r="586" spans="1:19" ht="21.3">
      <c r="A586" s="665"/>
      <c r="B586" s="617"/>
      <c r="C586" s="1125" t="s">
        <v>292</v>
      </c>
      <c r="D586" s="1126"/>
      <c r="E586" s="637">
        <f t="shared" si="178"/>
        <v>0</v>
      </c>
      <c r="F586" s="619"/>
      <c r="G586" s="572">
        <v>0</v>
      </c>
      <c r="H586" s="580">
        <f t="shared" si="191"/>
        <v>0</v>
      </c>
      <c r="I586" s="572">
        <v>0</v>
      </c>
      <c r="J586" s="580">
        <f t="shared" si="180"/>
        <v>0</v>
      </c>
      <c r="K586" s="631">
        <f t="shared" si="181"/>
        <v>0</v>
      </c>
      <c r="L586" s="1073"/>
      <c r="M586" s="574"/>
      <c r="N586" s="629">
        <f t="shared" si="179"/>
        <v>0</v>
      </c>
      <c r="O586" s="630">
        <v>0</v>
      </c>
      <c r="P586" s="624"/>
      <c r="Q586" s="574"/>
      <c r="R586" s="574"/>
      <c r="S586" s="574"/>
    </row>
    <row r="587" spans="1:19" ht="21.3">
      <c r="A587" s="665"/>
      <c r="B587" s="617"/>
      <c r="C587" s="1125" t="s">
        <v>293</v>
      </c>
      <c r="D587" s="1126"/>
      <c r="E587" s="637">
        <f t="shared" si="178"/>
        <v>0</v>
      </c>
      <c r="F587" s="625" t="s">
        <v>34</v>
      </c>
      <c r="G587" s="666">
        <v>520</v>
      </c>
      <c r="H587" s="580"/>
      <c r="I587" s="666">
        <v>30</v>
      </c>
      <c r="J587" s="580">
        <f t="shared" si="180"/>
        <v>0</v>
      </c>
      <c r="K587" s="631">
        <f t="shared" si="181"/>
        <v>0</v>
      </c>
      <c r="L587" s="1073"/>
      <c r="M587" s="574"/>
      <c r="N587" s="629">
        <f t="shared" si="179"/>
        <v>0</v>
      </c>
      <c r="O587" s="630">
        <v>0</v>
      </c>
      <c r="P587" s="624"/>
      <c r="Q587" s="574"/>
      <c r="R587" s="574"/>
      <c r="S587" s="574"/>
    </row>
    <row r="588" spans="1:19" ht="21.3">
      <c r="A588" s="665"/>
      <c r="B588" s="617" t="s">
        <v>294</v>
      </c>
      <c r="C588" s="1125" t="s">
        <v>295</v>
      </c>
      <c r="D588" s="1126"/>
      <c r="E588" s="637">
        <f t="shared" si="178"/>
        <v>0</v>
      </c>
      <c r="F588" s="625" t="s">
        <v>34</v>
      </c>
      <c r="G588" s="666">
        <v>91</v>
      </c>
      <c r="H588" s="633">
        <f>SUM(E588*G588)</f>
        <v>0</v>
      </c>
      <c r="I588" s="666">
        <v>100</v>
      </c>
      <c r="J588" s="580">
        <f t="shared" si="180"/>
        <v>0</v>
      </c>
      <c r="K588" s="631">
        <f t="shared" si="181"/>
        <v>0</v>
      </c>
      <c r="L588" s="1062"/>
      <c r="M588" s="574"/>
      <c r="N588" s="667">
        <f t="shared" si="179"/>
        <v>0</v>
      </c>
      <c r="O588" s="636">
        <v>0</v>
      </c>
      <c r="P588" s="637"/>
      <c r="Q588" s="574"/>
      <c r="R588" s="574"/>
      <c r="S588" s="574"/>
    </row>
    <row r="589" spans="1:19" ht="21.3">
      <c r="A589" s="665"/>
      <c r="B589" s="617" t="s">
        <v>296</v>
      </c>
      <c r="C589" s="1125" t="s">
        <v>297</v>
      </c>
      <c r="D589" s="1126"/>
      <c r="E589" s="637">
        <f t="shared" si="178"/>
        <v>129.53699999999998</v>
      </c>
      <c r="F589" s="625" t="s">
        <v>34</v>
      </c>
      <c r="G589" s="666">
        <v>294</v>
      </c>
      <c r="H589" s="633">
        <f t="shared" ref="H589:H596" si="192">SUM(E589*G589)</f>
        <v>38083.877999999997</v>
      </c>
      <c r="I589" s="666">
        <v>189</v>
      </c>
      <c r="J589" s="580">
        <f t="shared" si="180"/>
        <v>24482.492999999995</v>
      </c>
      <c r="K589" s="631">
        <f t="shared" si="181"/>
        <v>62566.370999999992</v>
      </c>
      <c r="L589" s="1073"/>
      <c r="M589" s="574"/>
      <c r="N589" s="667">
        <f t="shared" si="179"/>
        <v>129.53699999999998</v>
      </c>
      <c r="O589" s="636">
        <v>0</v>
      </c>
      <c r="P589" s="637">
        <v>129.53699999999998</v>
      </c>
      <c r="Q589" s="574"/>
      <c r="R589" s="574"/>
      <c r="S589" s="574"/>
    </row>
    <row r="590" spans="1:19" ht="21.3">
      <c r="A590" s="665"/>
      <c r="B590" s="617" t="s">
        <v>298</v>
      </c>
      <c r="C590" s="1125" t="s">
        <v>299</v>
      </c>
      <c r="D590" s="1126"/>
      <c r="E590" s="637">
        <f t="shared" si="178"/>
        <v>0</v>
      </c>
      <c r="F590" s="625" t="s">
        <v>34</v>
      </c>
      <c r="G590" s="666">
        <v>608</v>
      </c>
      <c r="H590" s="633">
        <f t="shared" si="192"/>
        <v>0</v>
      </c>
      <c r="I590" s="666">
        <v>189</v>
      </c>
      <c r="J590" s="580">
        <f t="shared" si="180"/>
        <v>0</v>
      </c>
      <c r="K590" s="631">
        <f t="shared" si="181"/>
        <v>0</v>
      </c>
      <c r="L590" s="1073"/>
      <c r="M590" s="574"/>
      <c r="N590" s="667">
        <f t="shared" si="179"/>
        <v>0</v>
      </c>
      <c r="O590" s="636">
        <v>0</v>
      </c>
      <c r="P590" s="637"/>
      <c r="Q590" s="574"/>
      <c r="R590" s="574"/>
      <c r="S590" s="574"/>
    </row>
    <row r="591" spans="1:19" ht="21.3">
      <c r="A591" s="665"/>
      <c r="B591" s="623" t="s">
        <v>2549</v>
      </c>
      <c r="C591" s="1125" t="s">
        <v>299</v>
      </c>
      <c r="D591" s="1126"/>
      <c r="E591" s="637">
        <f t="shared" si="178"/>
        <v>0</v>
      </c>
      <c r="F591" s="625" t="s">
        <v>34</v>
      </c>
      <c r="G591" s="666">
        <v>399</v>
      </c>
      <c r="H591" s="633">
        <f t="shared" si="192"/>
        <v>0</v>
      </c>
      <c r="I591" s="666">
        <v>189</v>
      </c>
      <c r="J591" s="580">
        <f t="shared" si="180"/>
        <v>0</v>
      </c>
      <c r="K591" s="631">
        <f t="shared" si="181"/>
        <v>0</v>
      </c>
      <c r="L591" s="1073"/>
      <c r="M591" s="574"/>
      <c r="N591" s="667">
        <f t="shared" si="179"/>
        <v>0</v>
      </c>
      <c r="O591" s="636">
        <v>0</v>
      </c>
      <c r="P591" s="637"/>
      <c r="Q591" s="574"/>
      <c r="R591" s="574"/>
      <c r="S591" s="574"/>
    </row>
    <row r="592" spans="1:19" ht="21.3">
      <c r="A592" s="665"/>
      <c r="B592" s="617" t="s">
        <v>300</v>
      </c>
      <c r="C592" s="1125" t="s">
        <v>301</v>
      </c>
      <c r="D592" s="1126"/>
      <c r="E592" s="637">
        <f t="shared" si="178"/>
        <v>0</v>
      </c>
      <c r="F592" s="625" t="s">
        <v>34</v>
      </c>
      <c r="G592" s="666">
        <v>88</v>
      </c>
      <c r="H592" s="633">
        <f t="shared" si="192"/>
        <v>0</v>
      </c>
      <c r="I592" s="666">
        <v>82</v>
      </c>
      <c r="J592" s="580">
        <f t="shared" si="180"/>
        <v>0</v>
      </c>
      <c r="K592" s="631">
        <f t="shared" si="181"/>
        <v>0</v>
      </c>
      <c r="L592" s="1062"/>
      <c r="M592" s="574"/>
      <c r="N592" s="667">
        <f t="shared" si="179"/>
        <v>0</v>
      </c>
      <c r="O592" s="636">
        <v>0</v>
      </c>
      <c r="P592" s="637"/>
      <c r="Q592" s="574"/>
      <c r="R592" s="574"/>
      <c r="S592" s="574"/>
    </row>
    <row r="593" spans="1:19" ht="21.3">
      <c r="A593" s="665"/>
      <c r="B593" s="617"/>
      <c r="C593" s="1125" t="s">
        <v>302</v>
      </c>
      <c r="D593" s="1126"/>
      <c r="E593" s="637">
        <f t="shared" si="178"/>
        <v>0</v>
      </c>
      <c r="F593" s="625" t="s">
        <v>34</v>
      </c>
      <c r="G593" s="2048">
        <v>69</v>
      </c>
      <c r="H593" s="633">
        <f t="shared" si="192"/>
        <v>0</v>
      </c>
      <c r="I593" s="2048">
        <v>28</v>
      </c>
      <c r="J593" s="580">
        <f t="shared" si="180"/>
        <v>0</v>
      </c>
      <c r="K593" s="631">
        <f t="shared" si="181"/>
        <v>0</v>
      </c>
      <c r="L593" s="1062"/>
      <c r="M593" s="574"/>
      <c r="N593" s="667">
        <f t="shared" si="179"/>
        <v>0</v>
      </c>
      <c r="O593" s="636">
        <v>0</v>
      </c>
      <c r="P593" s="637"/>
      <c r="Q593" s="574"/>
      <c r="R593" s="574"/>
      <c r="S593" s="574"/>
    </row>
    <row r="594" spans="1:19" ht="21.3">
      <c r="A594" s="665"/>
      <c r="B594" s="617" t="s">
        <v>303</v>
      </c>
      <c r="C594" s="1125" t="s">
        <v>304</v>
      </c>
      <c r="D594" s="1126"/>
      <c r="E594" s="637">
        <f t="shared" si="178"/>
        <v>0</v>
      </c>
      <c r="F594" s="625" t="s">
        <v>34</v>
      </c>
      <c r="G594" s="666">
        <v>870</v>
      </c>
      <c r="H594" s="633">
        <f t="shared" si="192"/>
        <v>0</v>
      </c>
      <c r="I594" s="666">
        <v>242</v>
      </c>
      <c r="J594" s="580">
        <f t="shared" si="180"/>
        <v>0</v>
      </c>
      <c r="K594" s="631">
        <f t="shared" si="181"/>
        <v>0</v>
      </c>
      <c r="L594" s="1073"/>
      <c r="M594" s="574"/>
      <c r="N594" s="667">
        <f t="shared" si="179"/>
        <v>0</v>
      </c>
      <c r="O594" s="636">
        <v>0</v>
      </c>
      <c r="P594" s="637"/>
      <c r="Q594" s="574"/>
      <c r="R594" s="574"/>
      <c r="S594" s="574"/>
    </row>
    <row r="595" spans="1:19" ht="21.3">
      <c r="A595" s="665"/>
      <c r="B595" s="617"/>
      <c r="C595" s="1125" t="s">
        <v>305</v>
      </c>
      <c r="D595" s="1126"/>
      <c r="E595" s="637">
        <f t="shared" si="178"/>
        <v>0</v>
      </c>
      <c r="F595" s="619"/>
      <c r="G595" s="572"/>
      <c r="H595" s="580"/>
      <c r="I595" s="572"/>
      <c r="J595" s="580">
        <f t="shared" si="180"/>
        <v>0</v>
      </c>
      <c r="K595" s="631">
        <f t="shared" si="181"/>
        <v>0</v>
      </c>
      <c r="L595" s="1073"/>
      <c r="M595" s="574"/>
      <c r="N595" s="629">
        <f t="shared" si="179"/>
        <v>0</v>
      </c>
      <c r="O595" s="630">
        <v>0</v>
      </c>
      <c r="P595" s="624"/>
      <c r="Q595" s="574"/>
      <c r="R595" s="574"/>
      <c r="S595" s="574"/>
    </row>
    <row r="596" spans="1:19" ht="21.3">
      <c r="A596" s="665"/>
      <c r="B596" s="623" t="s">
        <v>2550</v>
      </c>
      <c r="C596" s="1125" t="s">
        <v>304</v>
      </c>
      <c r="D596" s="1126"/>
      <c r="E596" s="637">
        <f t="shared" si="178"/>
        <v>0</v>
      </c>
      <c r="F596" s="625" t="s">
        <v>34</v>
      </c>
      <c r="G596" s="666">
        <v>765</v>
      </c>
      <c r="H596" s="633">
        <f t="shared" si="192"/>
        <v>0</v>
      </c>
      <c r="I596" s="666">
        <v>242</v>
      </c>
      <c r="J596" s="580">
        <f t="shared" si="180"/>
        <v>0</v>
      </c>
      <c r="K596" s="631">
        <f t="shared" si="181"/>
        <v>0</v>
      </c>
      <c r="L596" s="1073"/>
      <c r="M596" s="574"/>
      <c r="N596" s="667">
        <f t="shared" si="179"/>
        <v>0</v>
      </c>
      <c r="O596" s="636">
        <v>0</v>
      </c>
      <c r="P596" s="637"/>
      <c r="Q596" s="574"/>
      <c r="R596" s="574"/>
      <c r="S596" s="574"/>
    </row>
    <row r="597" spans="1:19" ht="21.3">
      <c r="A597" s="665"/>
      <c r="B597" s="617"/>
      <c r="C597" s="1125" t="s">
        <v>305</v>
      </c>
      <c r="D597" s="1126"/>
      <c r="E597" s="637">
        <f t="shared" si="178"/>
        <v>0</v>
      </c>
      <c r="F597" s="619"/>
      <c r="G597" s="572"/>
      <c r="H597" s="580"/>
      <c r="I597" s="572"/>
      <c r="J597" s="580">
        <f t="shared" si="180"/>
        <v>0</v>
      </c>
      <c r="K597" s="631">
        <f t="shared" si="181"/>
        <v>0</v>
      </c>
      <c r="L597" s="1073"/>
      <c r="M597" s="574"/>
      <c r="N597" s="629">
        <f t="shared" si="179"/>
        <v>0</v>
      </c>
      <c r="O597" s="630">
        <v>0</v>
      </c>
      <c r="P597" s="624"/>
      <c r="Q597" s="574"/>
      <c r="R597" s="574"/>
      <c r="S597" s="574"/>
    </row>
    <row r="598" spans="1:19" ht="21.3">
      <c r="A598" s="665"/>
      <c r="B598" s="617" t="s">
        <v>306</v>
      </c>
      <c r="C598" s="1125" t="s">
        <v>307</v>
      </c>
      <c r="D598" s="1126"/>
      <c r="E598" s="637">
        <f t="shared" si="178"/>
        <v>0</v>
      </c>
      <c r="F598" s="625" t="s">
        <v>34</v>
      </c>
      <c r="G598" s="666"/>
      <c r="H598" s="633">
        <v>0</v>
      </c>
      <c r="I598" s="666"/>
      <c r="J598" s="580">
        <f t="shared" si="180"/>
        <v>0</v>
      </c>
      <c r="K598" s="631">
        <f t="shared" si="181"/>
        <v>0</v>
      </c>
      <c r="L598" s="1073"/>
      <c r="M598" s="574"/>
      <c r="N598" s="667">
        <f t="shared" si="179"/>
        <v>0</v>
      </c>
      <c r="O598" s="636">
        <v>0</v>
      </c>
      <c r="P598" s="637"/>
      <c r="Q598" s="574"/>
      <c r="R598" s="574"/>
      <c r="S598" s="574"/>
    </row>
    <row r="599" spans="1:19" ht="21.3">
      <c r="A599" s="665"/>
      <c r="B599" s="617" t="s">
        <v>308</v>
      </c>
      <c r="C599" s="617" t="s">
        <v>309</v>
      </c>
      <c r="D599" s="617"/>
      <c r="E599" s="637">
        <f t="shared" si="178"/>
        <v>0</v>
      </c>
      <c r="F599" s="625" t="s">
        <v>34</v>
      </c>
      <c r="G599" s="666">
        <v>1296</v>
      </c>
      <c r="H599" s="633">
        <f t="shared" ref="H599:H610" si="193">SUM(E599*G599)</f>
        <v>0</v>
      </c>
      <c r="I599" s="666">
        <v>1600</v>
      </c>
      <c r="J599" s="580">
        <f t="shared" si="180"/>
        <v>0</v>
      </c>
      <c r="K599" s="631">
        <f t="shared" si="181"/>
        <v>0</v>
      </c>
      <c r="L599" s="1073"/>
      <c r="M599" s="574"/>
      <c r="N599" s="667">
        <f t="shared" si="179"/>
        <v>0</v>
      </c>
      <c r="O599" s="636">
        <v>0</v>
      </c>
      <c r="P599" s="637"/>
      <c r="Q599" s="574"/>
      <c r="R599" s="574"/>
      <c r="S599" s="574"/>
    </row>
    <row r="600" spans="1:19" ht="21.3">
      <c r="A600" s="665"/>
      <c r="B600" s="617"/>
      <c r="C600" s="617" t="s">
        <v>310</v>
      </c>
      <c r="D600" s="617"/>
      <c r="E600" s="637">
        <f t="shared" si="178"/>
        <v>0</v>
      </c>
      <c r="F600" s="619"/>
      <c r="G600" s="666"/>
      <c r="H600" s="633">
        <f t="shared" si="193"/>
        <v>0</v>
      </c>
      <c r="I600" s="666"/>
      <c r="J600" s="580">
        <f t="shared" si="180"/>
        <v>0</v>
      </c>
      <c r="K600" s="631">
        <f t="shared" si="181"/>
        <v>0</v>
      </c>
      <c r="L600" s="1073"/>
      <c r="M600" s="574"/>
      <c r="N600" s="629">
        <f t="shared" si="179"/>
        <v>0</v>
      </c>
      <c r="O600" s="630">
        <v>0</v>
      </c>
      <c r="P600" s="624"/>
      <c r="Q600" s="574"/>
      <c r="R600" s="574"/>
      <c r="S600" s="574"/>
    </row>
    <row r="601" spans="1:19" ht="21.3">
      <c r="A601" s="665"/>
      <c r="B601" s="617" t="s">
        <v>311</v>
      </c>
      <c r="C601" s="1125" t="s">
        <v>312</v>
      </c>
      <c r="D601" s="1126"/>
      <c r="E601" s="637">
        <f t="shared" si="178"/>
        <v>0</v>
      </c>
      <c r="F601" s="625" t="s">
        <v>34</v>
      </c>
      <c r="G601" s="666"/>
      <c r="H601" s="633">
        <f t="shared" si="193"/>
        <v>0</v>
      </c>
      <c r="I601" s="666"/>
      <c r="J601" s="580">
        <f t="shared" si="180"/>
        <v>0</v>
      </c>
      <c r="K601" s="631">
        <f t="shared" si="181"/>
        <v>0</v>
      </c>
      <c r="L601" s="1073"/>
      <c r="M601" s="574"/>
      <c r="N601" s="667">
        <f t="shared" si="179"/>
        <v>0</v>
      </c>
      <c r="O601" s="636">
        <v>0</v>
      </c>
      <c r="P601" s="637"/>
      <c r="Q601" s="574"/>
      <c r="R601" s="574"/>
      <c r="S601" s="574"/>
    </row>
    <row r="602" spans="1:19" ht="21.3">
      <c r="A602" s="665"/>
      <c r="B602" s="617" t="s">
        <v>313</v>
      </c>
      <c r="C602" s="1125" t="s">
        <v>314</v>
      </c>
      <c r="D602" s="1126"/>
      <c r="E602" s="637">
        <f t="shared" si="178"/>
        <v>0</v>
      </c>
      <c r="F602" s="625" t="s">
        <v>34</v>
      </c>
      <c r="G602" s="666"/>
      <c r="H602" s="633">
        <f t="shared" si="193"/>
        <v>0</v>
      </c>
      <c r="I602" s="666"/>
      <c r="J602" s="580">
        <f t="shared" si="180"/>
        <v>0</v>
      </c>
      <c r="K602" s="631">
        <f t="shared" si="181"/>
        <v>0</v>
      </c>
      <c r="L602" s="1073"/>
      <c r="M602" s="574"/>
      <c r="N602" s="667">
        <f t="shared" si="179"/>
        <v>0</v>
      </c>
      <c r="O602" s="636">
        <v>0</v>
      </c>
      <c r="P602" s="637"/>
      <c r="Q602" s="574"/>
      <c r="R602" s="574"/>
      <c r="S602" s="574"/>
    </row>
    <row r="603" spans="1:19" ht="21.3">
      <c r="A603" s="665"/>
      <c r="B603" s="617" t="s">
        <v>315</v>
      </c>
      <c r="C603" s="1125" t="s">
        <v>316</v>
      </c>
      <c r="D603" s="1126"/>
      <c r="E603" s="637">
        <v>30</v>
      </c>
      <c r="F603" s="625" t="s">
        <v>34</v>
      </c>
      <c r="G603" s="572">
        <v>15000</v>
      </c>
      <c r="H603" s="580">
        <f t="shared" si="193"/>
        <v>450000</v>
      </c>
      <c r="I603" s="572">
        <v>500</v>
      </c>
      <c r="J603" s="580">
        <f t="shared" si="180"/>
        <v>15000</v>
      </c>
      <c r="K603" s="631">
        <f t="shared" si="181"/>
        <v>465000</v>
      </c>
      <c r="L603" s="1061"/>
      <c r="M603" s="574"/>
      <c r="N603" s="667">
        <f t="shared" si="179"/>
        <v>0</v>
      </c>
      <c r="O603" s="636">
        <v>0</v>
      </c>
      <c r="P603" s="637"/>
      <c r="Q603" s="574"/>
      <c r="R603" s="574"/>
      <c r="S603" s="574"/>
    </row>
    <row r="604" spans="1:19" ht="21.3">
      <c r="A604" s="665"/>
      <c r="B604" s="617" t="s">
        <v>317</v>
      </c>
      <c r="C604" s="1125" t="s">
        <v>318</v>
      </c>
      <c r="D604" s="1126"/>
      <c r="E604" s="637">
        <f t="shared" si="178"/>
        <v>1555.5179999999998</v>
      </c>
      <c r="F604" s="625" t="s">
        <v>34</v>
      </c>
      <c r="G604" s="666">
        <v>88</v>
      </c>
      <c r="H604" s="633">
        <f t="shared" si="193"/>
        <v>136885.58399999997</v>
      </c>
      <c r="I604" s="666">
        <v>82</v>
      </c>
      <c r="J604" s="580">
        <f t="shared" si="180"/>
        <v>127552.47599999998</v>
      </c>
      <c r="K604" s="631">
        <f t="shared" si="181"/>
        <v>264438.05999999994</v>
      </c>
      <c r="L604" s="1062"/>
      <c r="M604" s="574"/>
      <c r="N604" s="667">
        <f t="shared" si="179"/>
        <v>1555.5179999999998</v>
      </c>
      <c r="O604" s="636">
        <v>0</v>
      </c>
      <c r="P604" s="637">
        <v>1555.5179999999998</v>
      </c>
      <c r="Q604" s="574"/>
      <c r="R604" s="574"/>
      <c r="S604" s="574"/>
    </row>
    <row r="605" spans="1:19" ht="21.3">
      <c r="A605" s="665"/>
      <c r="B605" s="617" t="s">
        <v>319</v>
      </c>
      <c r="C605" s="1125" t="s">
        <v>320</v>
      </c>
      <c r="D605" s="1126"/>
      <c r="E605" s="637">
        <f t="shared" si="178"/>
        <v>0</v>
      </c>
      <c r="F605" s="625" t="s">
        <v>34</v>
      </c>
      <c r="G605" s="666">
        <v>1955</v>
      </c>
      <c r="H605" s="633">
        <f t="shared" si="193"/>
        <v>0</v>
      </c>
      <c r="I605" s="666">
        <v>1700</v>
      </c>
      <c r="J605" s="580">
        <f t="shared" si="180"/>
        <v>0</v>
      </c>
      <c r="K605" s="631">
        <f t="shared" si="181"/>
        <v>0</v>
      </c>
      <c r="L605" s="1073"/>
      <c r="M605" s="574"/>
      <c r="N605" s="667">
        <f t="shared" si="179"/>
        <v>0</v>
      </c>
      <c r="O605" s="636">
        <v>0</v>
      </c>
      <c r="P605" s="637"/>
      <c r="Q605" s="574"/>
      <c r="R605" s="574"/>
      <c r="S605" s="574"/>
    </row>
    <row r="606" spans="1:19" ht="21.3">
      <c r="A606" s="665"/>
      <c r="B606" s="617"/>
      <c r="C606" s="1125" t="s">
        <v>321</v>
      </c>
      <c r="D606" s="1126"/>
      <c r="E606" s="637">
        <f t="shared" si="178"/>
        <v>0</v>
      </c>
      <c r="F606" s="625" t="s">
        <v>34</v>
      </c>
      <c r="G606" s="666">
        <v>0</v>
      </c>
      <c r="H606" s="633">
        <f t="shared" si="193"/>
        <v>0</v>
      </c>
      <c r="I606" s="666">
        <v>0</v>
      </c>
      <c r="J606" s="580">
        <f t="shared" si="180"/>
        <v>0</v>
      </c>
      <c r="K606" s="631">
        <f t="shared" si="181"/>
        <v>0</v>
      </c>
      <c r="L606" s="1073"/>
      <c r="M606" s="574"/>
      <c r="N606" s="667">
        <f t="shared" si="179"/>
        <v>0</v>
      </c>
      <c r="O606" s="636">
        <v>0</v>
      </c>
      <c r="P606" s="637"/>
      <c r="Q606" s="574"/>
      <c r="R606" s="574"/>
      <c r="S606" s="574"/>
    </row>
    <row r="607" spans="1:19" ht="21.3">
      <c r="A607" s="665"/>
      <c r="B607" s="617" t="s">
        <v>322</v>
      </c>
      <c r="C607" s="1125" t="s">
        <v>323</v>
      </c>
      <c r="D607" s="1126"/>
      <c r="E607" s="637">
        <f t="shared" si="178"/>
        <v>0</v>
      </c>
      <c r="F607" s="625" t="s">
        <v>34</v>
      </c>
      <c r="G607" s="666">
        <v>1296</v>
      </c>
      <c r="H607" s="633">
        <f t="shared" si="193"/>
        <v>0</v>
      </c>
      <c r="I607" s="666">
        <v>1600</v>
      </c>
      <c r="J607" s="580">
        <f t="shared" si="180"/>
        <v>0</v>
      </c>
      <c r="K607" s="631">
        <f t="shared" si="181"/>
        <v>0</v>
      </c>
      <c r="L607" s="1073"/>
      <c r="M607" s="574"/>
      <c r="N607" s="667">
        <f t="shared" si="179"/>
        <v>0</v>
      </c>
      <c r="O607" s="636">
        <v>0</v>
      </c>
      <c r="P607" s="637"/>
      <c r="Q607" s="574"/>
      <c r="R607" s="574"/>
      <c r="S607" s="574"/>
    </row>
    <row r="608" spans="1:19" ht="21.3">
      <c r="A608" s="665"/>
      <c r="B608" s="617" t="s">
        <v>324</v>
      </c>
      <c r="C608" s="1125" t="s">
        <v>325</v>
      </c>
      <c r="D608" s="1126"/>
      <c r="E608" s="637">
        <f t="shared" si="178"/>
        <v>2216.0039999999999</v>
      </c>
      <c r="F608" s="625" t="s">
        <v>34</v>
      </c>
      <c r="G608" s="2048">
        <f>13+69</f>
        <v>82</v>
      </c>
      <c r="H608" s="633">
        <f t="shared" si="193"/>
        <v>181712.32799999998</v>
      </c>
      <c r="I608" s="2048">
        <f>30+28</f>
        <v>58</v>
      </c>
      <c r="J608" s="580">
        <f t="shared" si="180"/>
        <v>128528.23199999999</v>
      </c>
      <c r="K608" s="631">
        <f t="shared" si="181"/>
        <v>310240.55999999994</v>
      </c>
      <c r="L608" s="2049"/>
      <c r="M608" s="574"/>
      <c r="N608" s="667">
        <f t="shared" si="179"/>
        <v>2216.0039999999999</v>
      </c>
      <c r="O608" s="636">
        <v>0</v>
      </c>
      <c r="P608" s="637">
        <v>2216.0039999999999</v>
      </c>
      <c r="Q608" s="574"/>
      <c r="R608" s="574"/>
      <c r="S608" s="574"/>
    </row>
    <row r="609" spans="1:19" ht="21.3">
      <c r="A609" s="665"/>
      <c r="B609" s="617" t="s">
        <v>326</v>
      </c>
      <c r="C609" s="1125" t="s">
        <v>327</v>
      </c>
      <c r="D609" s="1126"/>
      <c r="E609" s="637">
        <f t="shared" si="178"/>
        <v>0</v>
      </c>
      <c r="F609" s="625" t="s">
        <v>34</v>
      </c>
      <c r="G609" s="666"/>
      <c r="H609" s="633">
        <f t="shared" si="193"/>
        <v>0</v>
      </c>
      <c r="I609" s="666"/>
      <c r="J609" s="580">
        <f t="shared" si="180"/>
        <v>0</v>
      </c>
      <c r="K609" s="631">
        <f t="shared" si="181"/>
        <v>0</v>
      </c>
      <c r="L609" s="1073"/>
      <c r="M609" s="574"/>
      <c r="N609" s="667">
        <f t="shared" si="179"/>
        <v>0</v>
      </c>
      <c r="O609" s="636">
        <v>0</v>
      </c>
      <c r="P609" s="637"/>
      <c r="Q609" s="574"/>
      <c r="R609" s="574"/>
      <c r="S609" s="574"/>
    </row>
    <row r="610" spans="1:19" ht="21.3">
      <c r="A610" s="665"/>
      <c r="B610" s="617" t="s">
        <v>328</v>
      </c>
      <c r="C610" s="617" t="s">
        <v>329</v>
      </c>
      <c r="D610" s="1126"/>
      <c r="E610" s="637">
        <f t="shared" si="178"/>
        <v>0</v>
      </c>
      <c r="F610" s="625" t="s">
        <v>34</v>
      </c>
      <c r="G610" s="666"/>
      <c r="H610" s="633">
        <f t="shared" si="193"/>
        <v>0</v>
      </c>
      <c r="I610" s="666"/>
      <c r="J610" s="580">
        <f t="shared" si="180"/>
        <v>0</v>
      </c>
      <c r="K610" s="631">
        <f t="shared" si="181"/>
        <v>0</v>
      </c>
      <c r="L610" s="1073"/>
      <c r="M610" s="574"/>
      <c r="N610" s="667">
        <f t="shared" si="179"/>
        <v>0</v>
      </c>
      <c r="O610" s="636">
        <v>0</v>
      </c>
      <c r="P610" s="637"/>
      <c r="Q610" s="574"/>
      <c r="R610" s="574"/>
      <c r="S610" s="574"/>
    </row>
    <row r="611" spans="1:19" ht="21.3">
      <c r="A611" s="665"/>
      <c r="B611" s="617"/>
      <c r="C611" s="617" t="s">
        <v>330</v>
      </c>
      <c r="D611" s="1129"/>
      <c r="E611" s="637"/>
      <c r="F611" s="625"/>
      <c r="G611" s="642"/>
      <c r="H611" s="668"/>
      <c r="I611" s="642"/>
      <c r="J611" s="580">
        <f t="shared" si="180"/>
        <v>0</v>
      </c>
      <c r="K611" s="631">
        <f t="shared" si="181"/>
        <v>0</v>
      </c>
      <c r="L611" s="1065"/>
      <c r="M611" s="574"/>
      <c r="N611" s="669">
        <f t="shared" si="179"/>
        <v>0</v>
      </c>
      <c r="O611" s="636">
        <v>0</v>
      </c>
      <c r="P611" s="637"/>
      <c r="Q611" s="574"/>
      <c r="R611" s="574"/>
      <c r="S611" s="574"/>
    </row>
    <row r="612" spans="1:19" ht="21.3">
      <c r="A612" s="665"/>
      <c r="B612" s="617"/>
      <c r="C612" s="617"/>
      <c r="D612" s="1129"/>
      <c r="E612" s="637"/>
      <c r="F612" s="625"/>
      <c r="G612" s="642"/>
      <c r="H612" s="668"/>
      <c r="I612" s="642"/>
      <c r="J612" s="580"/>
      <c r="K612" s="631"/>
      <c r="L612" s="1065"/>
      <c r="M612" s="574"/>
      <c r="N612" s="669"/>
      <c r="O612" s="636"/>
      <c r="P612" s="637"/>
      <c r="Q612" s="574"/>
      <c r="R612" s="574"/>
      <c r="S612" s="574"/>
    </row>
    <row r="613" spans="1:19" ht="21.3">
      <c r="A613" s="665"/>
      <c r="B613" s="617"/>
      <c r="C613" s="617"/>
      <c r="D613" s="1129"/>
      <c r="E613" s="637"/>
      <c r="F613" s="625"/>
      <c r="G613" s="642"/>
      <c r="H613" s="668"/>
      <c r="I613" s="642"/>
      <c r="J613" s="580"/>
      <c r="K613" s="631"/>
      <c r="L613" s="1065"/>
      <c r="M613" s="574"/>
      <c r="N613" s="669"/>
      <c r="O613" s="636"/>
      <c r="P613" s="637"/>
      <c r="Q613" s="574"/>
      <c r="R613" s="574"/>
      <c r="S613" s="574"/>
    </row>
    <row r="614" spans="1:19" ht="21.3">
      <c r="A614" s="665"/>
      <c r="B614" s="617"/>
      <c r="C614" s="617"/>
      <c r="D614" s="1129"/>
      <c r="E614" s="637"/>
      <c r="F614" s="625"/>
      <c r="G614" s="642"/>
      <c r="H614" s="668"/>
      <c r="I614" s="642"/>
      <c r="J614" s="580"/>
      <c r="K614" s="631"/>
      <c r="L614" s="1065"/>
      <c r="M614" s="574"/>
      <c r="N614" s="669"/>
      <c r="O614" s="636"/>
      <c r="P614" s="637"/>
      <c r="Q614" s="574"/>
      <c r="R614" s="574"/>
      <c r="S614" s="574"/>
    </row>
    <row r="615" spans="1:19" ht="21.3">
      <c r="A615" s="665"/>
      <c r="B615" s="617"/>
      <c r="C615" s="617"/>
      <c r="D615" s="1129"/>
      <c r="E615" s="637"/>
      <c r="F615" s="625"/>
      <c r="G615" s="642"/>
      <c r="H615" s="668"/>
      <c r="I615" s="642"/>
      <c r="J615" s="580"/>
      <c r="K615" s="631"/>
      <c r="L615" s="1065"/>
      <c r="M615" s="574"/>
      <c r="N615" s="669"/>
      <c r="O615" s="636"/>
      <c r="P615" s="637"/>
      <c r="Q615" s="574"/>
      <c r="R615" s="574"/>
      <c r="S615" s="574"/>
    </row>
    <row r="616" spans="1:19" ht="21.3">
      <c r="A616" s="665"/>
      <c r="B616" s="617"/>
      <c r="C616" s="617"/>
      <c r="D616" s="1129"/>
      <c r="E616" s="637"/>
      <c r="F616" s="625"/>
      <c r="G616" s="642"/>
      <c r="H616" s="668"/>
      <c r="I616" s="642"/>
      <c r="J616" s="580"/>
      <c r="K616" s="631"/>
      <c r="L616" s="1065"/>
      <c r="M616" s="574"/>
      <c r="N616" s="669"/>
      <c r="O616" s="636"/>
      <c r="P616" s="637"/>
      <c r="Q616" s="574"/>
      <c r="R616" s="574"/>
      <c r="S616" s="574"/>
    </row>
    <row r="617" spans="1:19" ht="21.3">
      <c r="A617" s="638"/>
      <c r="B617" s="579"/>
      <c r="C617" s="617"/>
      <c r="D617" s="1124"/>
      <c r="E617" s="637"/>
      <c r="F617" s="625"/>
      <c r="G617" s="572"/>
      <c r="H617" s="668"/>
      <c r="I617" s="572"/>
      <c r="J617" s="580">
        <f t="shared" si="180"/>
        <v>0</v>
      </c>
      <c r="K617" s="631">
        <f t="shared" si="181"/>
        <v>0</v>
      </c>
      <c r="L617" s="1061"/>
      <c r="M617" s="574"/>
      <c r="N617" s="669">
        <f t="shared" si="179"/>
        <v>0</v>
      </c>
      <c r="O617" s="636">
        <v>0</v>
      </c>
      <c r="P617" s="637"/>
      <c r="Q617" s="574"/>
      <c r="R617" s="574"/>
      <c r="S617" s="574"/>
    </row>
    <row r="618" spans="1:19" ht="21.3">
      <c r="A618" s="665" t="s">
        <v>333</v>
      </c>
      <c r="B618" s="1134" t="s">
        <v>334</v>
      </c>
      <c r="C618" s="1135"/>
      <c r="D618" s="1136"/>
      <c r="E618" s="624"/>
      <c r="F618" s="625"/>
      <c r="G618" s="572"/>
      <c r="H618" s="668"/>
      <c r="I618" s="572"/>
      <c r="J618" s="580">
        <f t="shared" si="180"/>
        <v>0</v>
      </c>
      <c r="K618" s="631">
        <f t="shared" si="181"/>
        <v>0</v>
      </c>
      <c r="L618" s="1061"/>
      <c r="M618" s="574"/>
      <c r="N618" s="629">
        <f t="shared" si="179"/>
        <v>0</v>
      </c>
      <c r="O618" s="630">
        <v>0</v>
      </c>
      <c r="P618" s="624"/>
      <c r="Q618" s="574"/>
      <c r="R618" s="574"/>
      <c r="S618" s="574"/>
    </row>
    <row r="619" spans="1:19" ht="21.3">
      <c r="A619" s="665"/>
      <c r="B619" s="1114"/>
      <c r="C619" s="1125" t="s">
        <v>259</v>
      </c>
      <c r="D619" s="1124"/>
      <c r="E619" s="896">
        <v>1853.9759999999997</v>
      </c>
      <c r="F619" s="625" t="s">
        <v>34</v>
      </c>
      <c r="G619" s="666">
        <v>281</v>
      </c>
      <c r="H619" s="633">
        <f>SUM(E619*G619)</f>
        <v>520967.25599999988</v>
      </c>
      <c r="I619" s="666">
        <v>80</v>
      </c>
      <c r="J619" s="580">
        <f t="shared" si="180"/>
        <v>148318.07999999996</v>
      </c>
      <c r="K619" s="631">
        <f t="shared" si="181"/>
        <v>669285.33599999989</v>
      </c>
      <c r="L619" s="1073"/>
      <c r="M619" s="574"/>
      <c r="N619" s="629">
        <f t="shared" si="179"/>
        <v>0</v>
      </c>
      <c r="O619" s="630">
        <v>0</v>
      </c>
      <c r="P619" s="624"/>
      <c r="Q619" s="574"/>
      <c r="R619" s="574"/>
      <c r="S619" s="574"/>
    </row>
    <row r="620" spans="1:19" ht="21.3">
      <c r="A620" s="665"/>
      <c r="B620" s="1114"/>
      <c r="C620" s="1125" t="s">
        <v>260</v>
      </c>
      <c r="D620" s="1124"/>
      <c r="E620" s="624">
        <f>+E654/2</f>
        <v>0</v>
      </c>
      <c r="F620" s="625" t="s">
        <v>34</v>
      </c>
      <c r="G620" s="666">
        <v>712</v>
      </c>
      <c r="H620" s="633">
        <f>SUM(E620*G620)</f>
        <v>0</v>
      </c>
      <c r="I620" s="666">
        <v>98</v>
      </c>
      <c r="J620" s="580">
        <f t="shared" si="180"/>
        <v>0</v>
      </c>
      <c r="K620" s="631">
        <f t="shared" si="181"/>
        <v>0</v>
      </c>
      <c r="L620" s="1073"/>
      <c r="M620" s="574"/>
      <c r="N620" s="629">
        <f t="shared" si="179"/>
        <v>0</v>
      </c>
      <c r="O620" s="630">
        <v>0</v>
      </c>
      <c r="P620" s="624"/>
      <c r="Q620" s="574"/>
      <c r="R620" s="574"/>
      <c r="S620" s="574"/>
    </row>
    <row r="621" spans="1:19" ht="21.3">
      <c r="A621" s="665"/>
      <c r="B621" s="1114"/>
      <c r="C621" s="1125" t="s">
        <v>261</v>
      </c>
      <c r="D621" s="1124"/>
      <c r="E621" s="624">
        <f>+E619*1.33</f>
        <v>2465.7880799999998</v>
      </c>
      <c r="F621" s="625" t="s">
        <v>226</v>
      </c>
      <c r="G621" s="666">
        <v>119</v>
      </c>
      <c r="H621" s="633">
        <f>SUM(E621*G621)</f>
        <v>293428.78151999996</v>
      </c>
      <c r="I621" s="666">
        <v>44</v>
      </c>
      <c r="J621" s="580">
        <f t="shared" si="180"/>
        <v>108494.67551999999</v>
      </c>
      <c r="K621" s="631">
        <f t="shared" si="181"/>
        <v>401923.45703999995</v>
      </c>
      <c r="L621" s="1073"/>
      <c r="M621" s="574"/>
      <c r="N621" s="629">
        <f t="shared" si="179"/>
        <v>0</v>
      </c>
      <c r="O621" s="630">
        <v>0</v>
      </c>
      <c r="P621" s="624"/>
      <c r="Q621" s="574"/>
      <c r="R621" s="574"/>
      <c r="S621" s="574"/>
    </row>
    <row r="622" spans="1:19" ht="21.3">
      <c r="A622" s="665"/>
      <c r="B622" s="1114"/>
      <c r="C622" s="1125" t="s">
        <v>262</v>
      </c>
      <c r="D622" s="1124"/>
      <c r="E622" s="624">
        <f>+E620*1.33</f>
        <v>0</v>
      </c>
      <c r="F622" s="625" t="s">
        <v>226</v>
      </c>
      <c r="G622" s="666">
        <v>208</v>
      </c>
      <c r="H622" s="633">
        <f>SUM(E622*G622)</f>
        <v>0</v>
      </c>
      <c r="I622" s="666">
        <v>78</v>
      </c>
      <c r="J622" s="580">
        <f t="shared" si="180"/>
        <v>0</v>
      </c>
      <c r="K622" s="631">
        <f t="shared" si="181"/>
        <v>0</v>
      </c>
      <c r="L622" s="1073"/>
      <c r="M622" s="574"/>
      <c r="N622" s="629">
        <f t="shared" si="179"/>
        <v>0</v>
      </c>
      <c r="O622" s="630">
        <v>0</v>
      </c>
      <c r="P622" s="624"/>
      <c r="Q622" s="574"/>
      <c r="R622" s="574"/>
      <c r="S622" s="574"/>
    </row>
    <row r="623" spans="1:19" ht="21.3">
      <c r="A623" s="665"/>
      <c r="B623" s="1114"/>
      <c r="C623" s="1125" t="s">
        <v>263</v>
      </c>
      <c r="D623" s="1124"/>
      <c r="E623" s="624">
        <f>+E650+E651+E653+E658+E660+E671</f>
        <v>911.51999999999987</v>
      </c>
      <c r="F623" s="625" t="s">
        <v>34</v>
      </c>
      <c r="G623" s="666">
        <v>88</v>
      </c>
      <c r="H623" s="633">
        <f>SUM(E623*G623)</f>
        <v>80213.759999999995</v>
      </c>
      <c r="I623" s="666">
        <v>82</v>
      </c>
      <c r="J623" s="580">
        <f t="shared" si="180"/>
        <v>74744.639999999985</v>
      </c>
      <c r="K623" s="631">
        <f t="shared" si="181"/>
        <v>154958.39999999997</v>
      </c>
      <c r="L623" s="1062"/>
      <c r="M623" s="574"/>
      <c r="N623" s="629">
        <f t="shared" si="179"/>
        <v>0</v>
      </c>
      <c r="O623" s="630">
        <v>0</v>
      </c>
      <c r="P623" s="624"/>
      <c r="Q623" s="574"/>
      <c r="R623" s="574"/>
      <c r="S623" s="574"/>
    </row>
    <row r="624" spans="1:19" ht="21.3">
      <c r="A624" s="665"/>
      <c r="B624" s="617" t="s">
        <v>264</v>
      </c>
      <c r="C624" s="1125" t="s">
        <v>265</v>
      </c>
      <c r="D624" s="1126"/>
      <c r="E624" s="637">
        <f>+N624</f>
        <v>0</v>
      </c>
      <c r="F624" s="625" t="s">
        <v>34</v>
      </c>
      <c r="G624" s="666">
        <v>88</v>
      </c>
      <c r="H624" s="633">
        <f t="shared" ref="H624:H630" si="194">SUM(E624*G624)</f>
        <v>0</v>
      </c>
      <c r="I624" s="666">
        <v>95</v>
      </c>
      <c r="J624" s="580">
        <f t="shared" si="180"/>
        <v>0</v>
      </c>
      <c r="K624" s="631">
        <f t="shared" si="181"/>
        <v>0</v>
      </c>
      <c r="L624" s="1062"/>
      <c r="M624" s="574"/>
      <c r="N624" s="667">
        <f t="shared" si="179"/>
        <v>0</v>
      </c>
      <c r="O624" s="636">
        <v>0</v>
      </c>
      <c r="P624" s="1075">
        <v>0</v>
      </c>
      <c r="Q624" s="574"/>
      <c r="R624" s="574"/>
      <c r="S624" s="574"/>
    </row>
    <row r="625" spans="1:19" ht="21.3">
      <c r="A625" s="665"/>
      <c r="B625" s="617"/>
      <c r="C625" s="1125" t="s">
        <v>266</v>
      </c>
      <c r="D625" s="1126"/>
      <c r="E625" s="637">
        <f t="shared" ref="E625:E672" si="195">+N625</f>
        <v>0</v>
      </c>
      <c r="F625" s="625" t="s">
        <v>34</v>
      </c>
      <c r="G625" s="2048">
        <v>69</v>
      </c>
      <c r="H625" s="633">
        <f t="shared" si="194"/>
        <v>0</v>
      </c>
      <c r="I625" s="2048">
        <v>28</v>
      </c>
      <c r="J625" s="580">
        <f t="shared" si="180"/>
        <v>0</v>
      </c>
      <c r="K625" s="631">
        <f t="shared" si="181"/>
        <v>0</v>
      </c>
      <c r="L625" s="2049"/>
      <c r="M625" s="574"/>
      <c r="N625" s="667">
        <f t="shared" si="179"/>
        <v>0</v>
      </c>
      <c r="O625" s="636">
        <v>0</v>
      </c>
      <c r="P625" s="637">
        <v>0</v>
      </c>
      <c r="Q625" s="574"/>
      <c r="R625" s="574"/>
      <c r="S625" s="574"/>
    </row>
    <row r="626" spans="1:19" ht="21.3">
      <c r="A626" s="665"/>
      <c r="B626" s="617" t="s">
        <v>267</v>
      </c>
      <c r="C626" s="1125" t="s">
        <v>268</v>
      </c>
      <c r="D626" s="1126"/>
      <c r="E626" s="637">
        <f t="shared" si="195"/>
        <v>1898.1679999999999</v>
      </c>
      <c r="F626" s="625" t="s">
        <v>34</v>
      </c>
      <c r="G626" s="666">
        <v>88</v>
      </c>
      <c r="H626" s="633">
        <f t="shared" si="194"/>
        <v>167038.78399999999</v>
      </c>
      <c r="I626" s="666">
        <v>82</v>
      </c>
      <c r="J626" s="580">
        <f t="shared" si="180"/>
        <v>155649.77599999998</v>
      </c>
      <c r="K626" s="631">
        <f t="shared" si="181"/>
        <v>322688.55999999994</v>
      </c>
      <c r="L626" s="1062"/>
      <c r="M626" s="574"/>
      <c r="N626" s="667">
        <f t="shared" si="179"/>
        <v>1898.1679999999999</v>
      </c>
      <c r="O626" s="636">
        <v>0</v>
      </c>
      <c r="P626" s="637">
        <v>1898.1679999999999</v>
      </c>
      <c r="Q626" s="574">
        <f>77*3.72*3.8</f>
        <v>1088.472</v>
      </c>
      <c r="R626" s="574"/>
      <c r="S626" s="574"/>
    </row>
    <row r="627" spans="1:19" ht="21.3">
      <c r="A627" s="665"/>
      <c r="B627" s="617" t="s">
        <v>269</v>
      </c>
      <c r="C627" s="1125" t="s">
        <v>265</v>
      </c>
      <c r="D627" s="1126"/>
      <c r="E627" s="637">
        <v>691.96</v>
      </c>
      <c r="F627" s="625" t="s">
        <v>34</v>
      </c>
      <c r="G627" s="666">
        <v>88</v>
      </c>
      <c r="H627" s="633">
        <f t="shared" si="194"/>
        <v>60892.480000000003</v>
      </c>
      <c r="I627" s="666">
        <v>82</v>
      </c>
      <c r="J627" s="580">
        <f t="shared" si="180"/>
        <v>56740.72</v>
      </c>
      <c r="K627" s="631">
        <f t="shared" si="181"/>
        <v>117633.20000000001</v>
      </c>
      <c r="L627" s="1062"/>
      <c r="M627" s="574"/>
      <c r="N627" s="667">
        <f t="shared" si="179"/>
        <v>651.95999999999981</v>
      </c>
      <c r="O627" s="636">
        <v>0</v>
      </c>
      <c r="P627" s="637">
        <v>651.95999999999981</v>
      </c>
      <c r="Q627" s="574"/>
      <c r="R627" s="574"/>
      <c r="S627" s="574"/>
    </row>
    <row r="628" spans="1:19" ht="21.3">
      <c r="A628" s="665"/>
      <c r="B628" s="617"/>
      <c r="C628" s="1125" t="s">
        <v>270</v>
      </c>
      <c r="D628" s="1126"/>
      <c r="E628" s="637">
        <v>691.96</v>
      </c>
      <c r="F628" s="625" t="s">
        <v>34</v>
      </c>
      <c r="G628" s="2048">
        <v>69</v>
      </c>
      <c r="H628" s="633">
        <f t="shared" si="194"/>
        <v>47745.240000000005</v>
      </c>
      <c r="I628" s="2048">
        <v>28</v>
      </c>
      <c r="J628" s="580">
        <f t="shared" si="180"/>
        <v>19374.88</v>
      </c>
      <c r="K628" s="631">
        <f t="shared" si="181"/>
        <v>67120.12000000001</v>
      </c>
      <c r="L628" s="2049"/>
      <c r="M628" s="574"/>
      <c r="N628" s="667">
        <f t="shared" si="179"/>
        <v>651.95999999999981</v>
      </c>
      <c r="O628" s="636">
        <v>0</v>
      </c>
      <c r="P628" s="637">
        <v>651.95999999999981</v>
      </c>
      <c r="Q628" s="574"/>
      <c r="R628" s="574"/>
      <c r="S628" s="574"/>
    </row>
    <row r="629" spans="1:19" ht="21.3">
      <c r="A629" s="665"/>
      <c r="B629" s="617" t="s">
        <v>271</v>
      </c>
      <c r="C629" s="1125" t="s">
        <v>272</v>
      </c>
      <c r="D629" s="1126"/>
      <c r="E629" s="637">
        <f t="shared" si="195"/>
        <v>0</v>
      </c>
      <c r="F629" s="625" t="s">
        <v>34</v>
      </c>
      <c r="G629" s="666">
        <v>103</v>
      </c>
      <c r="H629" s="633">
        <f t="shared" si="194"/>
        <v>0</v>
      </c>
      <c r="I629" s="666">
        <v>115</v>
      </c>
      <c r="J629" s="580">
        <f t="shared" si="180"/>
        <v>0</v>
      </c>
      <c r="K629" s="631">
        <f t="shared" si="181"/>
        <v>0</v>
      </c>
      <c r="L629" s="1062"/>
      <c r="M629" s="574"/>
      <c r="N629" s="667">
        <f t="shared" si="179"/>
        <v>0</v>
      </c>
      <c r="O629" s="636">
        <v>0</v>
      </c>
      <c r="P629" s="637"/>
      <c r="Q629" s="574"/>
      <c r="R629" s="574"/>
      <c r="S629" s="574"/>
    </row>
    <row r="630" spans="1:19" ht="21.3">
      <c r="A630" s="665"/>
      <c r="B630" s="617"/>
      <c r="C630" s="1125" t="s">
        <v>273</v>
      </c>
      <c r="D630" s="1126"/>
      <c r="E630" s="637">
        <v>20.46</v>
      </c>
      <c r="F630" s="625" t="s">
        <v>34</v>
      </c>
      <c r="G630" s="2048">
        <v>69</v>
      </c>
      <c r="H630" s="633">
        <f t="shared" si="194"/>
        <v>1411.74</v>
      </c>
      <c r="I630" s="2048">
        <v>28</v>
      </c>
      <c r="J630" s="580">
        <f t="shared" si="180"/>
        <v>572.88</v>
      </c>
      <c r="K630" s="631">
        <f t="shared" si="181"/>
        <v>1984.62</v>
      </c>
      <c r="L630" s="2049"/>
      <c r="M630" s="574"/>
      <c r="N630" s="667">
        <f t="shared" si="179"/>
        <v>0</v>
      </c>
      <c r="O630" s="636">
        <v>0</v>
      </c>
      <c r="P630" s="637"/>
      <c r="Q630" s="574"/>
      <c r="R630" s="574"/>
      <c r="S630" s="574"/>
    </row>
    <row r="631" spans="1:19" ht="21.3">
      <c r="A631" s="665"/>
      <c r="B631" s="617" t="s">
        <v>274</v>
      </c>
      <c r="C631" s="1125" t="s">
        <v>275</v>
      </c>
      <c r="D631" s="1126"/>
      <c r="E631" s="637">
        <f t="shared" si="195"/>
        <v>0</v>
      </c>
      <c r="F631" s="625" t="s">
        <v>34</v>
      </c>
      <c r="G631" s="572">
        <v>1500</v>
      </c>
      <c r="H631" s="580">
        <f t="shared" ref="H631" si="196">E631*G631</f>
        <v>0</v>
      </c>
      <c r="I631" s="572">
        <v>500</v>
      </c>
      <c r="J631" s="580">
        <f t="shared" si="180"/>
        <v>0</v>
      </c>
      <c r="K631" s="631">
        <f t="shared" si="181"/>
        <v>0</v>
      </c>
      <c r="L631" s="1061"/>
      <c r="M631" s="574"/>
      <c r="N631" s="667">
        <f t="shared" si="179"/>
        <v>0</v>
      </c>
      <c r="O631" s="636">
        <v>0</v>
      </c>
      <c r="P631" s="637"/>
      <c r="Q631" s="574"/>
      <c r="R631" s="574"/>
      <c r="S631" s="574"/>
    </row>
    <row r="632" spans="1:19" ht="21.3">
      <c r="A632" s="665"/>
      <c r="B632" s="617"/>
      <c r="C632" s="1125" t="s">
        <v>273</v>
      </c>
      <c r="D632" s="1126"/>
      <c r="E632" s="637">
        <f t="shared" si="195"/>
        <v>0</v>
      </c>
      <c r="F632" s="625" t="s">
        <v>34</v>
      </c>
      <c r="G632" s="2048">
        <v>69</v>
      </c>
      <c r="H632" s="633">
        <f t="shared" ref="H632" si="197">SUM(E632*G632)</f>
        <v>0</v>
      </c>
      <c r="I632" s="2048">
        <v>28</v>
      </c>
      <c r="J632" s="580">
        <f t="shared" si="180"/>
        <v>0</v>
      </c>
      <c r="K632" s="631">
        <f t="shared" si="181"/>
        <v>0</v>
      </c>
      <c r="L632" s="2049"/>
      <c r="M632" s="574"/>
      <c r="N632" s="667">
        <f t="shared" si="179"/>
        <v>0</v>
      </c>
      <c r="O632" s="636">
        <v>0</v>
      </c>
      <c r="P632" s="637"/>
      <c r="Q632" s="574"/>
      <c r="R632" s="574"/>
      <c r="S632" s="574"/>
    </row>
    <row r="633" spans="1:19" ht="21.3">
      <c r="A633" s="665"/>
      <c r="B633" s="617" t="s">
        <v>276</v>
      </c>
      <c r="C633" s="1125" t="s">
        <v>277</v>
      </c>
      <c r="D633" s="1126"/>
      <c r="E633" s="637">
        <f t="shared" si="195"/>
        <v>0</v>
      </c>
      <c r="F633" s="625" t="s">
        <v>34</v>
      </c>
      <c r="G633" s="572">
        <v>492</v>
      </c>
      <c r="H633" s="580">
        <f t="shared" ref="H633" si="198">E633*G633</f>
        <v>0</v>
      </c>
      <c r="I633" s="572">
        <v>130</v>
      </c>
      <c r="J633" s="580">
        <f t="shared" si="180"/>
        <v>0</v>
      </c>
      <c r="K633" s="631">
        <f t="shared" si="181"/>
        <v>0</v>
      </c>
      <c r="L633" s="2049"/>
      <c r="M633" s="574"/>
      <c r="N633" s="667">
        <f t="shared" si="179"/>
        <v>0</v>
      </c>
      <c r="O633" s="636">
        <v>0</v>
      </c>
      <c r="P633" s="637"/>
      <c r="Q633" s="574"/>
      <c r="R633" s="574"/>
      <c r="S633" s="574"/>
    </row>
    <row r="634" spans="1:19" ht="21.3">
      <c r="A634" s="665"/>
      <c r="B634" s="617"/>
      <c r="C634" s="1125" t="s">
        <v>278</v>
      </c>
      <c r="D634" s="1126"/>
      <c r="E634" s="637">
        <f t="shared" si="195"/>
        <v>0</v>
      </c>
      <c r="F634" s="619"/>
      <c r="G634" s="572"/>
      <c r="H634" s="580"/>
      <c r="I634" s="572"/>
      <c r="J634" s="580">
        <f t="shared" si="180"/>
        <v>0</v>
      </c>
      <c r="K634" s="631">
        <f t="shared" si="181"/>
        <v>0</v>
      </c>
      <c r="L634" s="2049"/>
      <c r="M634" s="574"/>
      <c r="N634" s="629">
        <f t="shared" si="179"/>
        <v>0</v>
      </c>
      <c r="O634" s="630">
        <v>0</v>
      </c>
      <c r="P634" s="624"/>
      <c r="Q634" s="574"/>
      <c r="R634" s="574"/>
      <c r="S634" s="574"/>
    </row>
    <row r="635" spans="1:19" ht="21.3">
      <c r="A635" s="665"/>
      <c r="B635" s="617" t="s">
        <v>279</v>
      </c>
      <c r="C635" s="1125" t="s">
        <v>280</v>
      </c>
      <c r="D635" s="1126"/>
      <c r="E635" s="637">
        <f t="shared" si="195"/>
        <v>0</v>
      </c>
      <c r="F635" s="625" t="s">
        <v>34</v>
      </c>
      <c r="G635" s="572">
        <v>256</v>
      </c>
      <c r="H635" s="580">
        <f t="shared" ref="H635" si="199">E635*G635</f>
        <v>0</v>
      </c>
      <c r="I635" s="572">
        <v>100</v>
      </c>
      <c r="J635" s="580">
        <f t="shared" si="180"/>
        <v>0</v>
      </c>
      <c r="K635" s="631">
        <f t="shared" si="181"/>
        <v>0</v>
      </c>
      <c r="L635" s="2049"/>
      <c r="M635" s="574"/>
      <c r="N635" s="667">
        <f t="shared" si="179"/>
        <v>0</v>
      </c>
      <c r="O635" s="636">
        <v>0</v>
      </c>
      <c r="P635" s="637"/>
      <c r="Q635" s="574"/>
      <c r="R635" s="574"/>
      <c r="S635" s="574"/>
    </row>
    <row r="636" spans="1:19" ht="21.3">
      <c r="A636" s="665"/>
      <c r="B636" s="617"/>
      <c r="C636" s="1125" t="s">
        <v>281</v>
      </c>
      <c r="D636" s="1126"/>
      <c r="E636" s="637">
        <f t="shared" si="195"/>
        <v>0</v>
      </c>
      <c r="F636" s="619"/>
      <c r="G636" s="572"/>
      <c r="H636" s="580"/>
      <c r="I636" s="572"/>
      <c r="J636" s="580">
        <f t="shared" si="180"/>
        <v>0</v>
      </c>
      <c r="K636" s="631">
        <f t="shared" si="181"/>
        <v>0</v>
      </c>
      <c r="L636" s="2049"/>
      <c r="M636" s="574"/>
      <c r="N636" s="629">
        <f t="shared" si="179"/>
        <v>0</v>
      </c>
      <c r="O636" s="630">
        <v>0</v>
      </c>
      <c r="P636" s="624"/>
      <c r="Q636" s="574"/>
      <c r="R636" s="574"/>
      <c r="S636" s="574"/>
    </row>
    <row r="637" spans="1:19" ht="21.3">
      <c r="A637" s="665"/>
      <c r="B637" s="617" t="s">
        <v>282</v>
      </c>
      <c r="C637" s="1125" t="s">
        <v>280</v>
      </c>
      <c r="D637" s="1126"/>
      <c r="E637" s="637">
        <f t="shared" si="195"/>
        <v>0</v>
      </c>
      <c r="F637" s="625" t="s">
        <v>34</v>
      </c>
      <c r="G637" s="572">
        <v>256</v>
      </c>
      <c r="H637" s="580">
        <f t="shared" ref="H637" si="200">E637*G637</f>
        <v>0</v>
      </c>
      <c r="I637" s="572">
        <v>100</v>
      </c>
      <c r="J637" s="580">
        <f t="shared" si="180"/>
        <v>0</v>
      </c>
      <c r="K637" s="631">
        <f t="shared" si="181"/>
        <v>0</v>
      </c>
      <c r="L637" s="2049"/>
      <c r="M637" s="574"/>
      <c r="N637" s="667">
        <f t="shared" si="179"/>
        <v>0</v>
      </c>
      <c r="O637" s="636">
        <v>0</v>
      </c>
      <c r="P637" s="637"/>
      <c r="Q637" s="574"/>
      <c r="R637" s="574"/>
      <c r="S637" s="574"/>
    </row>
    <row r="638" spans="1:19" ht="21.3">
      <c r="A638" s="665"/>
      <c r="B638" s="617"/>
      <c r="C638" s="1125" t="s">
        <v>281</v>
      </c>
      <c r="D638" s="1126"/>
      <c r="E638" s="637">
        <f t="shared" si="195"/>
        <v>0</v>
      </c>
      <c r="F638" s="619"/>
      <c r="G638" s="572"/>
      <c r="H638" s="580"/>
      <c r="I638" s="572"/>
      <c r="J638" s="580">
        <f t="shared" si="180"/>
        <v>0</v>
      </c>
      <c r="K638" s="631">
        <f t="shared" si="181"/>
        <v>0</v>
      </c>
      <c r="L638" s="1062"/>
      <c r="M638" s="574"/>
      <c r="N638" s="629">
        <f t="shared" ref="N638:N706" si="201">+(1+O638)*P638</f>
        <v>0</v>
      </c>
      <c r="O638" s="630">
        <v>0</v>
      </c>
      <c r="P638" s="624"/>
      <c r="Q638" s="574"/>
      <c r="R638" s="574"/>
      <c r="S638" s="574"/>
    </row>
    <row r="639" spans="1:19" ht="21.3">
      <c r="A639" s="665"/>
      <c r="B639" s="617"/>
      <c r="C639" s="1125" t="s">
        <v>283</v>
      </c>
      <c r="D639" s="1126"/>
      <c r="E639" s="637">
        <f t="shared" si="195"/>
        <v>0</v>
      </c>
      <c r="F639" s="625" t="s">
        <v>34</v>
      </c>
      <c r="G639" s="2048">
        <v>69</v>
      </c>
      <c r="H639" s="633">
        <f t="shared" ref="H639" si="202">SUM(E639*G639)</f>
        <v>0</v>
      </c>
      <c r="I639" s="2048">
        <v>28</v>
      </c>
      <c r="J639" s="580">
        <f t="shared" ref="J639:J707" si="203">E639*I639</f>
        <v>0</v>
      </c>
      <c r="K639" s="631">
        <f t="shared" ref="K639:K707" si="204">H639+J639</f>
        <v>0</v>
      </c>
      <c r="L639" s="2049"/>
      <c r="M639" s="574"/>
      <c r="N639" s="667">
        <f t="shared" si="201"/>
        <v>0</v>
      </c>
      <c r="O639" s="636">
        <v>0</v>
      </c>
      <c r="P639" s="637"/>
      <c r="Q639" s="574"/>
      <c r="R639" s="574"/>
      <c r="S639" s="574"/>
    </row>
    <row r="640" spans="1:19" ht="21.3">
      <c r="A640" s="665"/>
      <c r="B640" s="617" t="s">
        <v>284</v>
      </c>
      <c r="C640" s="1125" t="s">
        <v>280</v>
      </c>
      <c r="D640" s="1126"/>
      <c r="E640" s="637">
        <f t="shared" si="195"/>
        <v>0</v>
      </c>
      <c r="F640" s="625" t="s">
        <v>34</v>
      </c>
      <c r="G640" s="572">
        <v>592</v>
      </c>
      <c r="H640" s="580">
        <f t="shared" ref="H640" si="205">E640*G640</f>
        <v>0</v>
      </c>
      <c r="I640" s="572">
        <v>165</v>
      </c>
      <c r="J640" s="580">
        <f t="shared" si="203"/>
        <v>0</v>
      </c>
      <c r="K640" s="631">
        <f t="shared" si="204"/>
        <v>0</v>
      </c>
      <c r="L640" s="2049"/>
      <c r="M640" s="574"/>
      <c r="N640" s="667">
        <f t="shared" si="201"/>
        <v>0</v>
      </c>
      <c r="O640" s="636">
        <v>0</v>
      </c>
      <c r="P640" s="637"/>
      <c r="Q640" s="574"/>
      <c r="R640" s="574"/>
      <c r="S640" s="574"/>
    </row>
    <row r="641" spans="1:19" ht="21.3">
      <c r="A641" s="665"/>
      <c r="B641" s="617"/>
      <c r="C641" s="1125" t="s">
        <v>285</v>
      </c>
      <c r="D641" s="1126"/>
      <c r="E641" s="637">
        <f t="shared" si="195"/>
        <v>0</v>
      </c>
      <c r="F641" s="619"/>
      <c r="G641" s="572"/>
      <c r="H641" s="580"/>
      <c r="I641" s="572"/>
      <c r="J641" s="580">
        <f t="shared" si="203"/>
        <v>0</v>
      </c>
      <c r="K641" s="631">
        <f t="shared" si="204"/>
        <v>0</v>
      </c>
      <c r="L641" s="1062"/>
      <c r="M641" s="574"/>
      <c r="N641" s="629">
        <f t="shared" si="201"/>
        <v>0</v>
      </c>
      <c r="O641" s="630">
        <v>0</v>
      </c>
      <c r="P641" s="624"/>
      <c r="Q641" s="574"/>
      <c r="R641" s="574"/>
      <c r="S641" s="574"/>
    </row>
    <row r="642" spans="1:19" ht="21.3">
      <c r="A642" s="665"/>
      <c r="B642" s="617" t="s">
        <v>286</v>
      </c>
      <c r="C642" s="1125" t="s">
        <v>280</v>
      </c>
      <c r="D642" s="1126"/>
      <c r="E642" s="637">
        <f t="shared" si="195"/>
        <v>0</v>
      </c>
      <c r="F642" s="625" t="s">
        <v>34</v>
      </c>
      <c r="G642" s="572">
        <v>642</v>
      </c>
      <c r="H642" s="580">
        <f t="shared" ref="H642" si="206">E642*G642</f>
        <v>0</v>
      </c>
      <c r="I642" s="572">
        <v>183</v>
      </c>
      <c r="J642" s="580">
        <f t="shared" si="203"/>
        <v>0</v>
      </c>
      <c r="K642" s="631">
        <f t="shared" si="204"/>
        <v>0</v>
      </c>
      <c r="L642" s="2049"/>
      <c r="M642" s="574"/>
      <c r="N642" s="667">
        <f t="shared" si="201"/>
        <v>0</v>
      </c>
      <c r="O642" s="636">
        <v>0</v>
      </c>
      <c r="P642" s="637"/>
      <c r="Q642" s="574"/>
      <c r="R642" s="574"/>
      <c r="S642" s="574"/>
    </row>
    <row r="643" spans="1:19" ht="21.3">
      <c r="A643" s="665"/>
      <c r="B643" s="617"/>
      <c r="C643" s="1125" t="s">
        <v>287</v>
      </c>
      <c r="D643" s="1126"/>
      <c r="E643" s="637">
        <f t="shared" si="195"/>
        <v>0</v>
      </c>
      <c r="F643" s="619"/>
      <c r="G643" s="572"/>
      <c r="H643" s="580"/>
      <c r="I643" s="572"/>
      <c r="J643" s="580">
        <f t="shared" si="203"/>
        <v>0</v>
      </c>
      <c r="K643" s="631">
        <f t="shared" si="204"/>
        <v>0</v>
      </c>
      <c r="L643" s="1073"/>
      <c r="M643" s="574"/>
      <c r="N643" s="629">
        <f t="shared" si="201"/>
        <v>0</v>
      </c>
      <c r="O643" s="630">
        <v>0</v>
      </c>
      <c r="P643" s="624"/>
      <c r="Q643" s="574"/>
      <c r="R643" s="574"/>
      <c r="S643" s="574"/>
    </row>
    <row r="644" spans="1:19" ht="21.3">
      <c r="A644" s="665"/>
      <c r="B644" s="617"/>
      <c r="C644" s="1125" t="s">
        <v>288</v>
      </c>
      <c r="D644" s="1126"/>
      <c r="E644" s="637">
        <f t="shared" si="195"/>
        <v>0</v>
      </c>
      <c r="F644" s="619"/>
      <c r="G644" s="572"/>
      <c r="H644" s="580"/>
      <c r="I644" s="572"/>
      <c r="J644" s="580">
        <f t="shared" si="203"/>
        <v>0</v>
      </c>
      <c r="K644" s="631">
        <f t="shared" si="204"/>
        <v>0</v>
      </c>
      <c r="L644" s="1073"/>
      <c r="M644" s="574"/>
      <c r="N644" s="629">
        <f t="shared" si="201"/>
        <v>0</v>
      </c>
      <c r="O644" s="630">
        <v>0</v>
      </c>
      <c r="P644" s="624"/>
      <c r="Q644" s="574"/>
      <c r="R644" s="574"/>
      <c r="S644" s="574"/>
    </row>
    <row r="645" spans="1:19" ht="21.3">
      <c r="A645" s="665"/>
      <c r="B645" s="617" t="s">
        <v>289</v>
      </c>
      <c r="C645" s="1125" t="s">
        <v>280</v>
      </c>
      <c r="D645" s="1126"/>
      <c r="E645" s="637">
        <f t="shared" si="195"/>
        <v>0</v>
      </c>
      <c r="F645" s="625" t="s">
        <v>34</v>
      </c>
      <c r="G645" s="572">
        <v>520</v>
      </c>
      <c r="H645" s="580">
        <f t="shared" ref="H645" si="207">E645*G645</f>
        <v>0</v>
      </c>
      <c r="I645" s="572">
        <v>270</v>
      </c>
      <c r="J645" s="580">
        <f t="shared" si="203"/>
        <v>0</v>
      </c>
      <c r="K645" s="631">
        <f t="shared" si="204"/>
        <v>0</v>
      </c>
      <c r="L645" s="1074"/>
      <c r="M645" s="574"/>
      <c r="N645" s="667">
        <f t="shared" si="201"/>
        <v>0</v>
      </c>
      <c r="O645" s="636">
        <v>0</v>
      </c>
      <c r="P645" s="637"/>
      <c r="Q645" s="574"/>
      <c r="R645" s="574"/>
      <c r="S645" s="574"/>
    </row>
    <row r="646" spans="1:19" ht="21.3">
      <c r="A646" s="665"/>
      <c r="B646" s="617"/>
      <c r="C646" s="1125" t="s">
        <v>290</v>
      </c>
      <c r="D646" s="1126"/>
      <c r="E646" s="637">
        <f t="shared" si="195"/>
        <v>0</v>
      </c>
      <c r="F646" s="619"/>
      <c r="G646" s="572"/>
      <c r="H646" s="580"/>
      <c r="I646" s="572"/>
      <c r="J646" s="580">
        <f t="shared" si="203"/>
        <v>0</v>
      </c>
      <c r="K646" s="631">
        <f t="shared" si="204"/>
        <v>0</v>
      </c>
      <c r="L646" s="1073"/>
      <c r="M646" s="574"/>
      <c r="N646" s="629">
        <f t="shared" si="201"/>
        <v>0</v>
      </c>
      <c r="O646" s="630">
        <v>0</v>
      </c>
      <c r="P646" s="624"/>
      <c r="Q646" s="574"/>
      <c r="R646" s="574"/>
      <c r="S646" s="574"/>
    </row>
    <row r="647" spans="1:19" ht="21.3">
      <c r="A647" s="665"/>
      <c r="B647" s="617" t="s">
        <v>291</v>
      </c>
      <c r="C647" s="1125" t="s">
        <v>280</v>
      </c>
      <c r="D647" s="1126"/>
      <c r="E647" s="637">
        <f t="shared" si="195"/>
        <v>0</v>
      </c>
      <c r="F647" s="625" t="s">
        <v>34</v>
      </c>
      <c r="G647" s="572">
        <v>256</v>
      </c>
      <c r="H647" s="580">
        <f t="shared" ref="H647:H648" si="208">E647*G647</f>
        <v>0</v>
      </c>
      <c r="I647" s="572">
        <v>100</v>
      </c>
      <c r="J647" s="580">
        <f t="shared" si="203"/>
        <v>0</v>
      </c>
      <c r="K647" s="631">
        <f t="shared" si="204"/>
        <v>0</v>
      </c>
      <c r="L647" s="2049"/>
      <c r="M647" s="574"/>
      <c r="N647" s="667">
        <f t="shared" si="201"/>
        <v>0</v>
      </c>
      <c r="O647" s="636">
        <v>0</v>
      </c>
      <c r="P647" s="637"/>
      <c r="Q647" s="574"/>
      <c r="R647" s="574"/>
      <c r="S647" s="574"/>
    </row>
    <row r="648" spans="1:19" ht="21.3">
      <c r="A648" s="665"/>
      <c r="B648" s="617"/>
      <c r="C648" s="1125" t="s">
        <v>292</v>
      </c>
      <c r="D648" s="1126"/>
      <c r="E648" s="637">
        <f t="shared" si="195"/>
        <v>0</v>
      </c>
      <c r="F648" s="619"/>
      <c r="G648" s="572">
        <v>0</v>
      </c>
      <c r="H648" s="580">
        <f t="shared" si="208"/>
        <v>0</v>
      </c>
      <c r="I648" s="572">
        <v>0</v>
      </c>
      <c r="J648" s="580">
        <f t="shared" si="203"/>
        <v>0</v>
      </c>
      <c r="K648" s="631">
        <f t="shared" si="204"/>
        <v>0</v>
      </c>
      <c r="L648" s="1073"/>
      <c r="M648" s="574"/>
      <c r="N648" s="629">
        <f t="shared" si="201"/>
        <v>0</v>
      </c>
      <c r="O648" s="630">
        <v>0</v>
      </c>
      <c r="P648" s="624"/>
      <c r="Q648" s="574"/>
      <c r="R648" s="574"/>
      <c r="S648" s="574"/>
    </row>
    <row r="649" spans="1:19" ht="21.3">
      <c r="A649" s="665"/>
      <c r="B649" s="617"/>
      <c r="C649" s="1125" t="s">
        <v>293</v>
      </c>
      <c r="D649" s="1126"/>
      <c r="E649" s="637">
        <f t="shared" si="195"/>
        <v>0</v>
      </c>
      <c r="F649" s="625" t="s">
        <v>34</v>
      </c>
      <c r="G649" s="666">
        <v>520</v>
      </c>
      <c r="H649" s="580"/>
      <c r="I649" s="666">
        <v>30</v>
      </c>
      <c r="J649" s="580">
        <f t="shared" si="203"/>
        <v>0</v>
      </c>
      <c r="K649" s="631">
        <f t="shared" si="204"/>
        <v>0</v>
      </c>
      <c r="L649" s="1073"/>
      <c r="M649" s="574"/>
      <c r="N649" s="629">
        <f t="shared" si="201"/>
        <v>0</v>
      </c>
      <c r="O649" s="630">
        <v>0</v>
      </c>
      <c r="P649" s="624"/>
      <c r="Q649" s="574"/>
      <c r="R649" s="574"/>
      <c r="S649" s="574"/>
    </row>
    <row r="650" spans="1:19" ht="21.3">
      <c r="A650" s="665"/>
      <c r="B650" s="617" t="s">
        <v>294</v>
      </c>
      <c r="C650" s="1125" t="s">
        <v>295</v>
      </c>
      <c r="D650" s="1126"/>
      <c r="E650" s="637">
        <f t="shared" si="195"/>
        <v>0</v>
      </c>
      <c r="F650" s="625" t="s">
        <v>34</v>
      </c>
      <c r="G650" s="666">
        <v>91</v>
      </c>
      <c r="H650" s="633">
        <f>SUM(E650*G650)</f>
        <v>0</v>
      </c>
      <c r="I650" s="666">
        <v>100</v>
      </c>
      <c r="J650" s="580">
        <f t="shared" si="203"/>
        <v>0</v>
      </c>
      <c r="K650" s="631">
        <f t="shared" si="204"/>
        <v>0</v>
      </c>
      <c r="L650" s="1062"/>
      <c r="M650" s="574"/>
      <c r="N650" s="667">
        <f t="shared" si="201"/>
        <v>0</v>
      </c>
      <c r="O650" s="636">
        <v>0</v>
      </c>
      <c r="P650" s="637"/>
      <c r="Q650" s="574"/>
      <c r="R650" s="574"/>
      <c r="S650" s="574"/>
    </row>
    <row r="651" spans="1:19" ht="21.3">
      <c r="A651" s="665"/>
      <c r="B651" s="617" t="s">
        <v>296</v>
      </c>
      <c r="C651" s="1125" t="s">
        <v>297</v>
      </c>
      <c r="D651" s="1126"/>
      <c r="E651" s="637">
        <f t="shared" si="195"/>
        <v>0</v>
      </c>
      <c r="F651" s="625" t="s">
        <v>34</v>
      </c>
      <c r="G651" s="666">
        <v>294</v>
      </c>
      <c r="H651" s="633">
        <f t="shared" ref="H651:H658" si="209">SUM(E651*G651)</f>
        <v>0</v>
      </c>
      <c r="I651" s="666">
        <v>189</v>
      </c>
      <c r="J651" s="580">
        <f t="shared" si="203"/>
        <v>0</v>
      </c>
      <c r="K651" s="631">
        <f t="shared" si="204"/>
        <v>0</v>
      </c>
      <c r="L651" s="1073"/>
      <c r="M651" s="574"/>
      <c r="N651" s="667">
        <f t="shared" si="201"/>
        <v>0</v>
      </c>
      <c r="O651" s="636">
        <v>0</v>
      </c>
      <c r="P651" s="637"/>
      <c r="Q651" s="574"/>
      <c r="R651" s="574"/>
      <c r="S651" s="574"/>
    </row>
    <row r="652" spans="1:19" ht="21.3">
      <c r="A652" s="665"/>
      <c r="B652" s="617" t="s">
        <v>298</v>
      </c>
      <c r="C652" s="1125" t="s">
        <v>299</v>
      </c>
      <c r="D652" s="1126"/>
      <c r="E652" s="637"/>
      <c r="F652" s="625" t="s">
        <v>34</v>
      </c>
      <c r="G652" s="666">
        <v>608</v>
      </c>
      <c r="H652" s="633">
        <f t="shared" si="209"/>
        <v>0</v>
      </c>
      <c r="I652" s="666">
        <v>189</v>
      </c>
      <c r="J652" s="580">
        <f t="shared" si="203"/>
        <v>0</v>
      </c>
      <c r="K652" s="631">
        <f t="shared" si="204"/>
        <v>0</v>
      </c>
      <c r="L652" s="1073"/>
      <c r="M652" s="574"/>
      <c r="N652" s="667">
        <f t="shared" si="201"/>
        <v>745.91999999999985</v>
      </c>
      <c r="O652" s="636">
        <v>0</v>
      </c>
      <c r="P652" s="637">
        <v>745.91999999999985</v>
      </c>
      <c r="Q652" s="574"/>
      <c r="R652" s="574"/>
      <c r="S652" s="574"/>
    </row>
    <row r="653" spans="1:19" ht="21.3">
      <c r="A653" s="665"/>
      <c r="B653" s="623" t="s">
        <v>2549</v>
      </c>
      <c r="C653" s="1125" t="s">
        <v>299</v>
      </c>
      <c r="D653" s="1126"/>
      <c r="E653" s="637">
        <f t="shared" si="195"/>
        <v>745.91999999999985</v>
      </c>
      <c r="F653" s="625" t="s">
        <v>34</v>
      </c>
      <c r="G653" s="666">
        <v>399</v>
      </c>
      <c r="H653" s="633">
        <f t="shared" si="209"/>
        <v>297622.07999999996</v>
      </c>
      <c r="I653" s="666">
        <v>189</v>
      </c>
      <c r="J653" s="580">
        <f t="shared" si="203"/>
        <v>140978.87999999998</v>
      </c>
      <c r="K653" s="631">
        <f t="shared" si="204"/>
        <v>438600.95999999996</v>
      </c>
      <c r="L653" s="1073"/>
      <c r="M653" s="574"/>
      <c r="N653" s="667">
        <f t="shared" si="201"/>
        <v>745.91999999999985</v>
      </c>
      <c r="O653" s="636">
        <v>0</v>
      </c>
      <c r="P653" s="637">
        <v>745.91999999999985</v>
      </c>
      <c r="Q653" s="574"/>
      <c r="R653" s="574"/>
      <c r="S653" s="574"/>
    </row>
    <row r="654" spans="1:19" ht="21.3">
      <c r="A654" s="665"/>
      <c r="B654" s="617" t="s">
        <v>300</v>
      </c>
      <c r="C654" s="1125" t="s">
        <v>301</v>
      </c>
      <c r="D654" s="1126"/>
      <c r="E654" s="637">
        <f t="shared" si="195"/>
        <v>0</v>
      </c>
      <c r="F654" s="625" t="s">
        <v>34</v>
      </c>
      <c r="G654" s="666">
        <v>88</v>
      </c>
      <c r="H654" s="633">
        <f t="shared" si="209"/>
        <v>0</v>
      </c>
      <c r="I654" s="666">
        <v>82</v>
      </c>
      <c r="J654" s="580">
        <f t="shared" si="203"/>
        <v>0</v>
      </c>
      <c r="K654" s="631">
        <f t="shared" si="204"/>
        <v>0</v>
      </c>
      <c r="L654" s="1062"/>
      <c r="M654" s="574"/>
      <c r="N654" s="667">
        <f t="shared" si="201"/>
        <v>0</v>
      </c>
      <c r="O654" s="636">
        <v>0</v>
      </c>
      <c r="P654" s="637"/>
      <c r="Q654" s="574"/>
      <c r="R654" s="574"/>
      <c r="S654" s="574"/>
    </row>
    <row r="655" spans="1:19" ht="21.3">
      <c r="A655" s="665"/>
      <c r="B655" s="617"/>
      <c r="C655" s="1125" t="s">
        <v>302</v>
      </c>
      <c r="D655" s="1126"/>
      <c r="E655" s="637">
        <f t="shared" si="195"/>
        <v>0</v>
      </c>
      <c r="F655" s="625" t="s">
        <v>34</v>
      </c>
      <c r="G655" s="2048">
        <v>69</v>
      </c>
      <c r="H655" s="633">
        <f t="shared" si="209"/>
        <v>0</v>
      </c>
      <c r="I655" s="2048">
        <v>28</v>
      </c>
      <c r="J655" s="580">
        <f t="shared" si="203"/>
        <v>0</v>
      </c>
      <c r="K655" s="631">
        <f t="shared" si="204"/>
        <v>0</v>
      </c>
      <c r="L655" s="1062"/>
      <c r="M655" s="574"/>
      <c r="N655" s="667">
        <f t="shared" si="201"/>
        <v>0</v>
      </c>
      <c r="O655" s="636">
        <v>0</v>
      </c>
      <c r="P655" s="637"/>
      <c r="Q655" s="574"/>
      <c r="R655" s="574"/>
      <c r="S655" s="574"/>
    </row>
    <row r="656" spans="1:19" ht="21.3">
      <c r="A656" s="665"/>
      <c r="B656" s="617" t="s">
        <v>303</v>
      </c>
      <c r="C656" s="1125" t="s">
        <v>304</v>
      </c>
      <c r="D656" s="1126"/>
      <c r="E656" s="637"/>
      <c r="F656" s="625" t="s">
        <v>34</v>
      </c>
      <c r="G656" s="666">
        <v>870</v>
      </c>
      <c r="H656" s="633">
        <f t="shared" si="209"/>
        <v>0</v>
      </c>
      <c r="I656" s="666">
        <v>242</v>
      </c>
      <c r="J656" s="580">
        <f t="shared" si="203"/>
        <v>0</v>
      </c>
      <c r="K656" s="631">
        <f t="shared" si="204"/>
        <v>0</v>
      </c>
      <c r="L656" s="1073"/>
      <c r="M656" s="574"/>
      <c r="N656" s="667">
        <f t="shared" si="201"/>
        <v>165.60000000000002</v>
      </c>
      <c r="O656" s="636">
        <v>0</v>
      </c>
      <c r="P656" s="637">
        <v>165.60000000000002</v>
      </c>
      <c r="Q656" s="574"/>
      <c r="R656" s="574"/>
      <c r="S656" s="574"/>
    </row>
    <row r="657" spans="1:19" ht="21.3">
      <c r="A657" s="665"/>
      <c r="B657" s="617"/>
      <c r="C657" s="1125" t="s">
        <v>305</v>
      </c>
      <c r="D657" s="1126"/>
      <c r="E657" s="637">
        <f t="shared" ref="E657" si="210">+N657</f>
        <v>0</v>
      </c>
      <c r="F657" s="619"/>
      <c r="G657" s="572"/>
      <c r="H657" s="580"/>
      <c r="I657" s="572"/>
      <c r="J657" s="580">
        <f t="shared" si="203"/>
        <v>0</v>
      </c>
      <c r="K657" s="631">
        <f t="shared" si="204"/>
        <v>0</v>
      </c>
      <c r="L657" s="1073"/>
      <c r="M657" s="574"/>
      <c r="N657" s="629">
        <f t="shared" si="201"/>
        <v>0</v>
      </c>
      <c r="O657" s="630">
        <v>0</v>
      </c>
      <c r="P657" s="624"/>
      <c r="Q657" s="574"/>
      <c r="R657" s="574"/>
      <c r="S657" s="574"/>
    </row>
    <row r="658" spans="1:19" ht="21.3">
      <c r="A658" s="665"/>
      <c r="B658" s="623" t="s">
        <v>2550</v>
      </c>
      <c r="C658" s="1125" t="s">
        <v>304</v>
      </c>
      <c r="D658" s="1126"/>
      <c r="E658" s="637">
        <f t="shared" si="195"/>
        <v>165.60000000000002</v>
      </c>
      <c r="F658" s="625" t="s">
        <v>34</v>
      </c>
      <c r="G658" s="666">
        <v>765</v>
      </c>
      <c r="H658" s="633">
        <f t="shared" si="209"/>
        <v>126684.00000000001</v>
      </c>
      <c r="I658" s="666">
        <v>242</v>
      </c>
      <c r="J658" s="580">
        <f t="shared" si="203"/>
        <v>40075.200000000004</v>
      </c>
      <c r="K658" s="631">
        <f t="shared" si="204"/>
        <v>166759.20000000001</v>
      </c>
      <c r="L658" s="1073"/>
      <c r="M658" s="574"/>
      <c r="N658" s="667">
        <f t="shared" si="201"/>
        <v>165.60000000000002</v>
      </c>
      <c r="O658" s="636">
        <v>0</v>
      </c>
      <c r="P658" s="637">
        <v>165.60000000000002</v>
      </c>
      <c r="Q658" s="574"/>
      <c r="R658" s="574"/>
      <c r="S658" s="574"/>
    </row>
    <row r="659" spans="1:19" ht="21.3">
      <c r="A659" s="665"/>
      <c r="B659" s="617"/>
      <c r="C659" s="1125" t="s">
        <v>305</v>
      </c>
      <c r="D659" s="1126"/>
      <c r="E659" s="637">
        <f t="shared" si="195"/>
        <v>0</v>
      </c>
      <c r="F659" s="619"/>
      <c r="G659" s="572"/>
      <c r="H659" s="580"/>
      <c r="I659" s="572"/>
      <c r="J659" s="580">
        <f t="shared" si="203"/>
        <v>0</v>
      </c>
      <c r="K659" s="631">
        <f t="shared" si="204"/>
        <v>0</v>
      </c>
      <c r="L659" s="1073"/>
      <c r="M659" s="574"/>
      <c r="N659" s="629">
        <f t="shared" si="201"/>
        <v>0</v>
      </c>
      <c r="O659" s="630">
        <v>0</v>
      </c>
      <c r="P659" s="624"/>
      <c r="Q659" s="574"/>
      <c r="R659" s="574"/>
      <c r="S659" s="574"/>
    </row>
    <row r="660" spans="1:19" ht="21.3">
      <c r="A660" s="665"/>
      <c r="B660" s="617" t="s">
        <v>306</v>
      </c>
      <c r="C660" s="1125" t="s">
        <v>307</v>
      </c>
      <c r="D660" s="1126"/>
      <c r="E660" s="637">
        <f t="shared" si="195"/>
        <v>0</v>
      </c>
      <c r="F660" s="625" t="s">
        <v>34</v>
      </c>
      <c r="G660" s="666"/>
      <c r="H660" s="633">
        <v>0</v>
      </c>
      <c r="I660" s="666"/>
      <c r="J660" s="580">
        <f t="shared" si="203"/>
        <v>0</v>
      </c>
      <c r="K660" s="631">
        <f t="shared" si="204"/>
        <v>0</v>
      </c>
      <c r="L660" s="1073"/>
      <c r="M660" s="574"/>
      <c r="N660" s="667">
        <f t="shared" si="201"/>
        <v>0</v>
      </c>
      <c r="O660" s="636">
        <v>0</v>
      </c>
      <c r="P660" s="637"/>
      <c r="Q660" s="574"/>
      <c r="R660" s="574"/>
      <c r="S660" s="574"/>
    </row>
    <row r="661" spans="1:19" ht="21.3">
      <c r="A661" s="665"/>
      <c r="B661" s="617" t="s">
        <v>308</v>
      </c>
      <c r="C661" s="617" t="s">
        <v>309</v>
      </c>
      <c r="D661" s="617"/>
      <c r="E661" s="637">
        <f t="shared" si="195"/>
        <v>0</v>
      </c>
      <c r="F661" s="625" t="s">
        <v>34</v>
      </c>
      <c r="G661" s="666">
        <v>1296</v>
      </c>
      <c r="H661" s="633">
        <f t="shared" ref="H661:H672" si="211">SUM(E661*G661)</f>
        <v>0</v>
      </c>
      <c r="I661" s="666">
        <v>1600</v>
      </c>
      <c r="J661" s="580">
        <f t="shared" si="203"/>
        <v>0</v>
      </c>
      <c r="K661" s="631">
        <f t="shared" si="204"/>
        <v>0</v>
      </c>
      <c r="L661" s="1073"/>
      <c r="M661" s="574"/>
      <c r="N661" s="667">
        <f t="shared" si="201"/>
        <v>0</v>
      </c>
      <c r="O661" s="636">
        <v>0</v>
      </c>
      <c r="P661" s="637"/>
      <c r="Q661" s="574"/>
      <c r="R661" s="574"/>
      <c r="S661" s="574"/>
    </row>
    <row r="662" spans="1:19" ht="21.3">
      <c r="A662" s="665"/>
      <c r="B662" s="617"/>
      <c r="C662" s="617" t="s">
        <v>310</v>
      </c>
      <c r="D662" s="617"/>
      <c r="E662" s="637">
        <f t="shared" si="195"/>
        <v>0</v>
      </c>
      <c r="F662" s="619"/>
      <c r="G662" s="666"/>
      <c r="H662" s="633">
        <f t="shared" si="211"/>
        <v>0</v>
      </c>
      <c r="I662" s="666"/>
      <c r="J662" s="580">
        <f t="shared" si="203"/>
        <v>0</v>
      </c>
      <c r="K662" s="631">
        <f t="shared" si="204"/>
        <v>0</v>
      </c>
      <c r="L662" s="1073"/>
      <c r="M662" s="574"/>
      <c r="N662" s="629">
        <f t="shared" si="201"/>
        <v>0</v>
      </c>
      <c r="O662" s="630">
        <v>0</v>
      </c>
      <c r="P662" s="624"/>
      <c r="Q662" s="574"/>
      <c r="R662" s="574"/>
      <c r="S662" s="574"/>
    </row>
    <row r="663" spans="1:19" ht="21.3">
      <c r="A663" s="665"/>
      <c r="B663" s="617" t="s">
        <v>311</v>
      </c>
      <c r="C663" s="1125" t="s">
        <v>312</v>
      </c>
      <c r="D663" s="1126"/>
      <c r="E663" s="637">
        <f t="shared" si="195"/>
        <v>0</v>
      </c>
      <c r="F663" s="625" t="s">
        <v>34</v>
      </c>
      <c r="G663" s="666"/>
      <c r="H663" s="633">
        <f t="shared" si="211"/>
        <v>0</v>
      </c>
      <c r="I663" s="666"/>
      <c r="J663" s="580">
        <f t="shared" si="203"/>
        <v>0</v>
      </c>
      <c r="K663" s="631">
        <f t="shared" si="204"/>
        <v>0</v>
      </c>
      <c r="L663" s="1073"/>
      <c r="M663" s="574"/>
      <c r="N663" s="667">
        <f t="shared" si="201"/>
        <v>0</v>
      </c>
      <c r="O663" s="636">
        <v>0</v>
      </c>
      <c r="P663" s="637"/>
      <c r="Q663" s="574"/>
      <c r="R663" s="574"/>
      <c r="S663" s="574"/>
    </row>
    <row r="664" spans="1:19" ht="21.3">
      <c r="A664" s="665"/>
      <c r="B664" s="617" t="s">
        <v>313</v>
      </c>
      <c r="C664" s="1125" t="s">
        <v>314</v>
      </c>
      <c r="D664" s="1126"/>
      <c r="E664" s="637">
        <f t="shared" si="195"/>
        <v>0</v>
      </c>
      <c r="F664" s="625" t="s">
        <v>34</v>
      </c>
      <c r="G664" s="666"/>
      <c r="H664" s="633">
        <f t="shared" si="211"/>
        <v>0</v>
      </c>
      <c r="I664" s="666"/>
      <c r="J664" s="580">
        <f t="shared" si="203"/>
        <v>0</v>
      </c>
      <c r="K664" s="631">
        <f t="shared" si="204"/>
        <v>0</v>
      </c>
      <c r="L664" s="1073"/>
      <c r="M664" s="574"/>
      <c r="N664" s="667">
        <f t="shared" si="201"/>
        <v>0</v>
      </c>
      <c r="O664" s="636">
        <v>0</v>
      </c>
      <c r="P664" s="637"/>
      <c r="Q664" s="574"/>
      <c r="R664" s="574"/>
      <c r="S664" s="574"/>
    </row>
    <row r="665" spans="1:19" ht="21.3">
      <c r="A665" s="665"/>
      <c r="B665" s="617" t="s">
        <v>315</v>
      </c>
      <c r="C665" s="1125" t="s">
        <v>316</v>
      </c>
      <c r="D665" s="1126"/>
      <c r="E665" s="637">
        <f t="shared" si="195"/>
        <v>0</v>
      </c>
      <c r="F665" s="625" t="s">
        <v>34</v>
      </c>
      <c r="G665" s="572">
        <v>15000</v>
      </c>
      <c r="H665" s="580">
        <f t="shared" si="211"/>
        <v>0</v>
      </c>
      <c r="I665" s="572">
        <v>500</v>
      </c>
      <c r="J665" s="580">
        <f t="shared" si="203"/>
        <v>0</v>
      </c>
      <c r="K665" s="631">
        <f t="shared" si="204"/>
        <v>0</v>
      </c>
      <c r="L665" s="1061"/>
      <c r="M665" s="574"/>
      <c r="N665" s="667">
        <f t="shared" si="201"/>
        <v>0</v>
      </c>
      <c r="O665" s="636">
        <v>0</v>
      </c>
      <c r="P665" s="637"/>
      <c r="Q665" s="574"/>
      <c r="R665" s="574"/>
      <c r="S665" s="574"/>
    </row>
    <row r="666" spans="1:19" ht="21.3">
      <c r="A666" s="665"/>
      <c r="B666" s="617" t="s">
        <v>317</v>
      </c>
      <c r="C666" s="1125" t="s">
        <v>318</v>
      </c>
      <c r="D666" s="1126"/>
      <c r="E666" s="637">
        <f t="shared" si="195"/>
        <v>772.73599999999999</v>
      </c>
      <c r="F666" s="625" t="s">
        <v>34</v>
      </c>
      <c r="G666" s="666">
        <v>88</v>
      </c>
      <c r="H666" s="633">
        <f t="shared" si="211"/>
        <v>68000.767999999996</v>
      </c>
      <c r="I666" s="666">
        <v>82</v>
      </c>
      <c r="J666" s="580">
        <f t="shared" si="203"/>
        <v>63364.351999999999</v>
      </c>
      <c r="K666" s="631">
        <f t="shared" si="204"/>
        <v>131365.12</v>
      </c>
      <c r="L666" s="1062"/>
      <c r="M666" s="574"/>
      <c r="N666" s="667">
        <f t="shared" si="201"/>
        <v>772.73599999999999</v>
      </c>
      <c r="O666" s="636">
        <v>0</v>
      </c>
      <c r="P666" s="637">
        <v>772.73599999999999</v>
      </c>
      <c r="Q666" s="574"/>
      <c r="R666" s="574"/>
      <c r="S666" s="574"/>
    </row>
    <row r="667" spans="1:19" ht="21.3">
      <c r="A667" s="665"/>
      <c r="B667" s="617" t="s">
        <v>319</v>
      </c>
      <c r="C667" s="1125" t="s">
        <v>320</v>
      </c>
      <c r="D667" s="1126"/>
      <c r="E667" s="637">
        <f t="shared" si="195"/>
        <v>0</v>
      </c>
      <c r="F667" s="625" t="s">
        <v>34</v>
      </c>
      <c r="G667" s="666">
        <v>1955</v>
      </c>
      <c r="H667" s="633">
        <f t="shared" si="211"/>
        <v>0</v>
      </c>
      <c r="I667" s="666">
        <v>1700</v>
      </c>
      <c r="J667" s="580">
        <f t="shared" si="203"/>
        <v>0</v>
      </c>
      <c r="K667" s="631">
        <f t="shared" si="204"/>
        <v>0</v>
      </c>
      <c r="L667" s="1073"/>
      <c r="M667" s="574"/>
      <c r="N667" s="667">
        <f t="shared" si="201"/>
        <v>0</v>
      </c>
      <c r="O667" s="636">
        <v>0</v>
      </c>
      <c r="P667" s="637"/>
      <c r="Q667" s="574"/>
      <c r="R667" s="574"/>
      <c r="S667" s="574"/>
    </row>
    <row r="668" spans="1:19" ht="21.3">
      <c r="A668" s="665"/>
      <c r="B668" s="617"/>
      <c r="C668" s="1125" t="s">
        <v>321</v>
      </c>
      <c r="D668" s="1126"/>
      <c r="E668" s="637">
        <f t="shared" si="195"/>
        <v>0</v>
      </c>
      <c r="F668" s="625" t="s">
        <v>34</v>
      </c>
      <c r="G668" s="666">
        <v>0</v>
      </c>
      <c r="H668" s="633">
        <f t="shared" si="211"/>
        <v>0</v>
      </c>
      <c r="I668" s="666">
        <v>0</v>
      </c>
      <c r="J668" s="580">
        <f t="shared" si="203"/>
        <v>0</v>
      </c>
      <c r="K668" s="631">
        <f t="shared" si="204"/>
        <v>0</v>
      </c>
      <c r="L668" s="1073"/>
      <c r="M668" s="574"/>
      <c r="N668" s="667">
        <f t="shared" si="201"/>
        <v>0</v>
      </c>
      <c r="O668" s="636">
        <v>0</v>
      </c>
      <c r="P668" s="637"/>
      <c r="Q668" s="574"/>
      <c r="R668" s="574"/>
      <c r="S668" s="574"/>
    </row>
    <row r="669" spans="1:19" ht="21.3">
      <c r="A669" s="665"/>
      <c r="B669" s="617" t="s">
        <v>322</v>
      </c>
      <c r="C669" s="1125" t="s">
        <v>323</v>
      </c>
      <c r="D669" s="1126"/>
      <c r="E669" s="637">
        <f t="shared" si="195"/>
        <v>0</v>
      </c>
      <c r="F669" s="625" t="s">
        <v>34</v>
      </c>
      <c r="G669" s="666">
        <v>1296</v>
      </c>
      <c r="H669" s="633">
        <f t="shared" si="211"/>
        <v>0</v>
      </c>
      <c r="I669" s="666">
        <v>1600</v>
      </c>
      <c r="J669" s="580">
        <f t="shared" si="203"/>
        <v>0</v>
      </c>
      <c r="K669" s="631">
        <f t="shared" si="204"/>
        <v>0</v>
      </c>
      <c r="L669" s="1073"/>
      <c r="M669" s="574"/>
      <c r="N669" s="667">
        <f t="shared" si="201"/>
        <v>0</v>
      </c>
      <c r="O669" s="636">
        <v>0</v>
      </c>
      <c r="P669" s="637"/>
      <c r="Q669" s="574"/>
      <c r="R669" s="574"/>
      <c r="S669" s="574"/>
    </row>
    <row r="670" spans="1:19" ht="21.3">
      <c r="A670" s="665"/>
      <c r="B670" s="617" t="s">
        <v>324</v>
      </c>
      <c r="C670" s="1125" t="s">
        <v>325</v>
      </c>
      <c r="D670" s="1126"/>
      <c r="E670" s="637">
        <f t="shared" si="195"/>
        <v>0</v>
      </c>
      <c r="F670" s="625" t="s">
        <v>34</v>
      </c>
      <c r="G670" s="2048">
        <f>13+69</f>
        <v>82</v>
      </c>
      <c r="H670" s="633">
        <f t="shared" si="211"/>
        <v>0</v>
      </c>
      <c r="I670" s="2048">
        <f>30+28</f>
        <v>58</v>
      </c>
      <c r="J670" s="580">
        <f t="shared" si="203"/>
        <v>0</v>
      </c>
      <c r="K670" s="631">
        <f t="shared" si="204"/>
        <v>0</v>
      </c>
      <c r="L670" s="2049"/>
      <c r="M670" s="574"/>
      <c r="N670" s="667">
        <f t="shared" si="201"/>
        <v>0</v>
      </c>
      <c r="O670" s="636">
        <v>0</v>
      </c>
      <c r="P670" s="637"/>
      <c r="Q670" s="574"/>
      <c r="R670" s="574"/>
      <c r="S670" s="574"/>
    </row>
    <row r="671" spans="1:19" ht="21.3">
      <c r="A671" s="665"/>
      <c r="B671" s="617" t="s">
        <v>326</v>
      </c>
      <c r="C671" s="1125" t="s">
        <v>327</v>
      </c>
      <c r="D671" s="1126"/>
      <c r="E671" s="637">
        <f t="shared" si="195"/>
        <v>0</v>
      </c>
      <c r="F671" s="625" t="s">
        <v>34</v>
      </c>
      <c r="G671" s="666"/>
      <c r="H671" s="633">
        <f t="shared" si="211"/>
        <v>0</v>
      </c>
      <c r="I671" s="666"/>
      <c r="J671" s="580">
        <f t="shared" si="203"/>
        <v>0</v>
      </c>
      <c r="K671" s="631">
        <f t="shared" si="204"/>
        <v>0</v>
      </c>
      <c r="L671" s="1073"/>
      <c r="M671" s="574"/>
      <c r="N671" s="667">
        <f t="shared" si="201"/>
        <v>0</v>
      </c>
      <c r="O671" s="636">
        <v>0</v>
      </c>
      <c r="P671" s="637"/>
      <c r="Q671" s="574"/>
      <c r="R671" s="574"/>
      <c r="S671" s="574"/>
    </row>
    <row r="672" spans="1:19" ht="21.3">
      <c r="A672" s="665"/>
      <c r="B672" s="617" t="s">
        <v>328</v>
      </c>
      <c r="C672" s="617" t="s">
        <v>329</v>
      </c>
      <c r="D672" s="1126"/>
      <c r="E672" s="637">
        <f t="shared" si="195"/>
        <v>0</v>
      </c>
      <c r="F672" s="625" t="s">
        <v>34</v>
      </c>
      <c r="G672" s="666"/>
      <c r="H672" s="633">
        <f t="shared" si="211"/>
        <v>0</v>
      </c>
      <c r="I672" s="666"/>
      <c r="J672" s="580">
        <f t="shared" si="203"/>
        <v>0</v>
      </c>
      <c r="K672" s="631">
        <f t="shared" si="204"/>
        <v>0</v>
      </c>
      <c r="L672" s="1073"/>
      <c r="M672" s="574"/>
      <c r="N672" s="667">
        <f t="shared" si="201"/>
        <v>0</v>
      </c>
      <c r="O672" s="636">
        <v>0</v>
      </c>
      <c r="P672" s="637"/>
      <c r="Q672" s="574"/>
      <c r="R672" s="574"/>
      <c r="S672" s="574"/>
    </row>
    <row r="673" spans="1:19" ht="21.3">
      <c r="A673" s="665"/>
      <c r="B673" s="617"/>
      <c r="C673" s="617" t="s">
        <v>330</v>
      </c>
      <c r="D673" s="1129"/>
      <c r="E673" s="637"/>
      <c r="F673" s="625"/>
      <c r="G673" s="642"/>
      <c r="H673" s="668"/>
      <c r="I673" s="642"/>
      <c r="J673" s="580">
        <f t="shared" si="203"/>
        <v>0</v>
      </c>
      <c r="K673" s="631">
        <f t="shared" si="204"/>
        <v>0</v>
      </c>
      <c r="L673" s="1065"/>
      <c r="M673" s="574"/>
      <c r="N673" s="669">
        <f t="shared" si="201"/>
        <v>0</v>
      </c>
      <c r="O673" s="636">
        <v>0</v>
      </c>
      <c r="P673" s="637"/>
      <c r="Q673" s="574"/>
      <c r="R673" s="574"/>
      <c r="S673" s="574"/>
    </row>
    <row r="674" spans="1:19" ht="21.3">
      <c r="A674" s="665"/>
      <c r="B674" s="617"/>
      <c r="C674" s="1127" t="s">
        <v>1043</v>
      </c>
      <c r="D674" s="1126"/>
      <c r="E674" s="637">
        <f t="shared" ref="E674" si="212">+N674</f>
        <v>0</v>
      </c>
      <c r="F674" s="625" t="s">
        <v>34</v>
      </c>
      <c r="G674" s="2048">
        <v>69</v>
      </c>
      <c r="H674" s="633">
        <f t="shared" ref="H674" si="213">SUM(E674*G674)</f>
        <v>0</v>
      </c>
      <c r="I674" s="2048">
        <v>28</v>
      </c>
      <c r="J674" s="580">
        <f t="shared" si="203"/>
        <v>0</v>
      </c>
      <c r="K674" s="631">
        <f t="shared" si="204"/>
        <v>0</v>
      </c>
      <c r="L674" s="2049"/>
      <c r="M674" s="574"/>
      <c r="N674" s="667">
        <f t="shared" si="201"/>
        <v>0</v>
      </c>
      <c r="O674" s="636">
        <v>0</v>
      </c>
      <c r="P674" s="637"/>
      <c r="Q674" s="574"/>
      <c r="R674" s="574"/>
      <c r="S674" s="574"/>
    </row>
    <row r="675" spans="1:19" ht="21.3">
      <c r="A675" s="665"/>
      <c r="B675" s="617"/>
      <c r="C675" s="617"/>
      <c r="D675" s="617"/>
      <c r="E675" s="637"/>
      <c r="F675" s="625"/>
      <c r="G675" s="2048"/>
      <c r="H675" s="633"/>
      <c r="I675" s="2048"/>
      <c r="J675" s="580"/>
      <c r="K675" s="631"/>
      <c r="L675" s="2049"/>
      <c r="M675" s="574"/>
      <c r="N675" s="667"/>
      <c r="O675" s="636"/>
      <c r="P675" s="637"/>
      <c r="Q675" s="574"/>
      <c r="R675" s="574"/>
      <c r="S675" s="574"/>
    </row>
    <row r="676" spans="1:19" ht="28.5">
      <c r="A676" s="665" t="s">
        <v>335</v>
      </c>
      <c r="B676" s="1114" t="s">
        <v>336</v>
      </c>
      <c r="C676" s="670"/>
      <c r="D676" s="670"/>
      <c r="E676" s="624"/>
      <c r="F676" s="625"/>
      <c r="G676" s="572"/>
      <c r="H676" s="668"/>
      <c r="I676" s="572"/>
      <c r="J676" s="580">
        <f t="shared" si="203"/>
        <v>0</v>
      </c>
      <c r="K676" s="631">
        <f t="shared" si="204"/>
        <v>0</v>
      </c>
      <c r="L676" s="1061"/>
      <c r="M676" s="574"/>
      <c r="N676" s="629">
        <f t="shared" si="201"/>
        <v>0</v>
      </c>
      <c r="O676" s="630">
        <v>0</v>
      </c>
      <c r="P676" s="624"/>
      <c r="Q676" s="574"/>
      <c r="R676" s="574"/>
      <c r="S676" s="574"/>
    </row>
    <row r="677" spans="1:19" ht="21.3">
      <c r="A677" s="665"/>
      <c r="B677" s="1114"/>
      <c r="C677" s="1125" t="s">
        <v>259</v>
      </c>
      <c r="D677" s="1124"/>
      <c r="E677" s="624">
        <v>1966.2624999999998</v>
      </c>
      <c r="F677" s="625" t="s">
        <v>34</v>
      </c>
      <c r="G677" s="666">
        <v>281</v>
      </c>
      <c r="H677" s="633">
        <f>SUM(E677*G677)</f>
        <v>552519.76249999995</v>
      </c>
      <c r="I677" s="666">
        <v>80</v>
      </c>
      <c r="J677" s="580">
        <f t="shared" si="203"/>
        <v>157301</v>
      </c>
      <c r="K677" s="631">
        <f t="shared" si="204"/>
        <v>709820.76249999995</v>
      </c>
      <c r="L677" s="1073"/>
      <c r="M677" s="574"/>
      <c r="N677" s="629">
        <f t="shared" si="201"/>
        <v>0</v>
      </c>
      <c r="O677" s="630">
        <v>0</v>
      </c>
      <c r="P677" s="624"/>
      <c r="Q677" s="574"/>
      <c r="R677" s="574"/>
      <c r="S677" s="574"/>
    </row>
    <row r="678" spans="1:19" ht="21.3">
      <c r="A678" s="665"/>
      <c r="B678" s="1114"/>
      <c r="C678" s="1125" t="s">
        <v>260</v>
      </c>
      <c r="D678" s="1124"/>
      <c r="E678" s="624">
        <f>+E713/2</f>
        <v>0</v>
      </c>
      <c r="F678" s="625" t="s">
        <v>34</v>
      </c>
      <c r="G678" s="666">
        <v>712</v>
      </c>
      <c r="H678" s="633">
        <f>SUM(E678*G678)</f>
        <v>0</v>
      </c>
      <c r="I678" s="666">
        <v>98</v>
      </c>
      <c r="J678" s="580">
        <f t="shared" si="203"/>
        <v>0</v>
      </c>
      <c r="K678" s="631">
        <f t="shared" si="204"/>
        <v>0</v>
      </c>
      <c r="L678" s="1073"/>
      <c r="M678" s="574"/>
      <c r="N678" s="629">
        <f t="shared" si="201"/>
        <v>0</v>
      </c>
      <c r="O678" s="630">
        <v>0</v>
      </c>
      <c r="P678" s="624"/>
      <c r="Q678" s="574"/>
      <c r="R678" s="574"/>
      <c r="S678" s="574"/>
    </row>
    <row r="679" spans="1:19" ht="21.3">
      <c r="A679" s="665"/>
      <c r="B679" s="1114"/>
      <c r="C679" s="1125" t="s">
        <v>261</v>
      </c>
      <c r="D679" s="1124"/>
      <c r="E679" s="624">
        <f>+E677*1.33</f>
        <v>2615.1291249999999</v>
      </c>
      <c r="F679" s="625" t="s">
        <v>226</v>
      </c>
      <c r="G679" s="666">
        <v>119</v>
      </c>
      <c r="H679" s="633">
        <f>SUM(E679*G679)</f>
        <v>311200.36587500002</v>
      </c>
      <c r="I679" s="666">
        <v>44</v>
      </c>
      <c r="J679" s="580">
        <f t="shared" si="203"/>
        <v>115065.68149999999</v>
      </c>
      <c r="K679" s="631">
        <f t="shared" si="204"/>
        <v>426266.04737500002</v>
      </c>
      <c r="L679" s="1073"/>
      <c r="M679" s="574"/>
      <c r="N679" s="629">
        <f t="shared" si="201"/>
        <v>0</v>
      </c>
      <c r="O679" s="630">
        <v>0</v>
      </c>
      <c r="P679" s="624"/>
      <c r="Q679" s="574"/>
      <c r="R679" s="574"/>
      <c r="S679" s="574"/>
    </row>
    <row r="680" spans="1:19" ht="21.3">
      <c r="A680" s="665"/>
      <c r="B680" s="1114"/>
      <c r="C680" s="1125" t="s">
        <v>262</v>
      </c>
      <c r="D680" s="1124"/>
      <c r="E680" s="624">
        <f>+E678*1.33</f>
        <v>0</v>
      </c>
      <c r="F680" s="625" t="s">
        <v>226</v>
      </c>
      <c r="G680" s="666">
        <v>208</v>
      </c>
      <c r="H680" s="633">
        <f>SUM(E680*G680)</f>
        <v>0</v>
      </c>
      <c r="I680" s="666">
        <v>78</v>
      </c>
      <c r="J680" s="580">
        <f t="shared" si="203"/>
        <v>0</v>
      </c>
      <c r="K680" s="631">
        <f t="shared" si="204"/>
        <v>0</v>
      </c>
      <c r="L680" s="1073"/>
      <c r="M680" s="574"/>
      <c r="N680" s="629">
        <f t="shared" si="201"/>
        <v>0</v>
      </c>
      <c r="O680" s="630">
        <v>0</v>
      </c>
      <c r="P680" s="624"/>
      <c r="Q680" s="574"/>
      <c r="R680" s="574"/>
      <c r="S680" s="574"/>
    </row>
    <row r="681" spans="1:19" ht="21.3">
      <c r="A681" s="665"/>
      <c r="B681" s="1114"/>
      <c r="C681" s="1125" t="s">
        <v>263</v>
      </c>
      <c r="D681" s="1124"/>
      <c r="E681" s="624">
        <f>+E709+E710+E712+E717+E719+E730</f>
        <v>948.12</v>
      </c>
      <c r="F681" s="625" t="s">
        <v>34</v>
      </c>
      <c r="G681" s="666">
        <v>88</v>
      </c>
      <c r="H681" s="633">
        <f>SUM(E681*G681)</f>
        <v>83434.559999999998</v>
      </c>
      <c r="I681" s="666">
        <v>82</v>
      </c>
      <c r="J681" s="580">
        <f t="shared" si="203"/>
        <v>77745.84</v>
      </c>
      <c r="K681" s="631">
        <f t="shared" si="204"/>
        <v>161180.4</v>
      </c>
      <c r="L681" s="1062"/>
      <c r="M681" s="574"/>
      <c r="N681" s="629">
        <f t="shared" si="201"/>
        <v>0</v>
      </c>
      <c r="O681" s="630">
        <v>0</v>
      </c>
      <c r="P681" s="624"/>
      <c r="Q681" s="574"/>
      <c r="R681" s="574"/>
      <c r="S681" s="574"/>
    </row>
    <row r="682" spans="1:19" ht="21.3">
      <c r="A682" s="665"/>
      <c r="B682" s="617" t="s">
        <v>264</v>
      </c>
      <c r="C682" s="1125" t="s">
        <v>265</v>
      </c>
      <c r="D682" s="1126"/>
      <c r="E682" s="637">
        <f>+N682</f>
        <v>0</v>
      </c>
      <c r="F682" s="625" t="s">
        <v>34</v>
      </c>
      <c r="G682" s="666">
        <v>88</v>
      </c>
      <c r="H682" s="633">
        <f t="shared" ref="H682:H688" si="214">SUM(E682*G682)</f>
        <v>0</v>
      </c>
      <c r="I682" s="666">
        <v>95</v>
      </c>
      <c r="J682" s="580">
        <f t="shared" si="203"/>
        <v>0</v>
      </c>
      <c r="K682" s="631">
        <f t="shared" si="204"/>
        <v>0</v>
      </c>
      <c r="L682" s="1062"/>
      <c r="M682" s="574"/>
      <c r="N682" s="667">
        <f t="shared" si="201"/>
        <v>0</v>
      </c>
      <c r="O682" s="636">
        <v>0</v>
      </c>
      <c r="P682" s="637"/>
      <c r="Q682" s="574"/>
      <c r="R682" s="574"/>
      <c r="S682" s="574"/>
    </row>
    <row r="683" spans="1:19" ht="21.3">
      <c r="A683" s="665"/>
      <c r="B683" s="617"/>
      <c r="C683" s="1125" t="s">
        <v>266</v>
      </c>
      <c r="D683" s="1126"/>
      <c r="E683" s="637">
        <f t="shared" ref="E683:E731" si="215">+N683</f>
        <v>0</v>
      </c>
      <c r="F683" s="625" t="s">
        <v>34</v>
      </c>
      <c r="G683" s="2048">
        <v>69</v>
      </c>
      <c r="H683" s="633">
        <f t="shared" si="214"/>
        <v>0</v>
      </c>
      <c r="I683" s="2048">
        <v>28</v>
      </c>
      <c r="J683" s="580">
        <f t="shared" si="203"/>
        <v>0</v>
      </c>
      <c r="K683" s="631">
        <f t="shared" si="204"/>
        <v>0</v>
      </c>
      <c r="L683" s="2049"/>
      <c r="M683" s="574"/>
      <c r="N683" s="667">
        <f t="shared" si="201"/>
        <v>0</v>
      </c>
      <c r="O683" s="636">
        <v>0</v>
      </c>
      <c r="P683" s="637"/>
      <c r="Q683" s="574"/>
      <c r="R683" s="574"/>
      <c r="S683" s="574"/>
    </row>
    <row r="684" spans="1:19" ht="21.3">
      <c r="A684" s="665"/>
      <c r="B684" s="617" t="s">
        <v>267</v>
      </c>
      <c r="C684" s="1125" t="s">
        <v>268</v>
      </c>
      <c r="D684" s="1126"/>
      <c r="E684" s="637">
        <f t="shared" si="215"/>
        <v>2141.6539999999995</v>
      </c>
      <c r="F684" s="625" t="s">
        <v>34</v>
      </c>
      <c r="G684" s="666">
        <v>88</v>
      </c>
      <c r="H684" s="633">
        <f t="shared" si="214"/>
        <v>188465.55199999997</v>
      </c>
      <c r="I684" s="666">
        <v>82</v>
      </c>
      <c r="J684" s="580">
        <f t="shared" si="203"/>
        <v>175615.62799999997</v>
      </c>
      <c r="K684" s="631">
        <f t="shared" si="204"/>
        <v>364081.17999999993</v>
      </c>
      <c r="L684" s="1062"/>
      <c r="M684" s="574"/>
      <c r="N684" s="667">
        <f t="shared" si="201"/>
        <v>2141.6539999999995</v>
      </c>
      <c r="O684" s="636">
        <v>0</v>
      </c>
      <c r="P684" s="637">
        <v>2141.6539999999995</v>
      </c>
      <c r="Q684" s="574">
        <f>76*3.72*4.05</f>
        <v>1145.0160000000001</v>
      </c>
      <c r="R684" s="574"/>
      <c r="S684" s="574"/>
    </row>
    <row r="685" spans="1:19" ht="21.3">
      <c r="A685" s="665"/>
      <c r="B685" s="617" t="s">
        <v>269</v>
      </c>
      <c r="C685" s="1125" t="s">
        <v>265</v>
      </c>
      <c r="D685" s="1126"/>
      <c r="E685" s="637">
        <f t="shared" si="215"/>
        <v>628.91499999999996</v>
      </c>
      <c r="F685" s="625" t="s">
        <v>34</v>
      </c>
      <c r="G685" s="666">
        <v>88</v>
      </c>
      <c r="H685" s="633">
        <f t="shared" si="214"/>
        <v>55344.52</v>
      </c>
      <c r="I685" s="666">
        <v>82</v>
      </c>
      <c r="J685" s="580">
        <f t="shared" si="203"/>
        <v>51571.03</v>
      </c>
      <c r="K685" s="631">
        <f t="shared" si="204"/>
        <v>106915.54999999999</v>
      </c>
      <c r="L685" s="1062"/>
      <c r="M685" s="574"/>
      <c r="N685" s="667">
        <f t="shared" si="201"/>
        <v>628.91499999999996</v>
      </c>
      <c r="O685" s="636">
        <v>0</v>
      </c>
      <c r="P685" s="637">
        <v>628.91499999999996</v>
      </c>
      <c r="Q685" s="574"/>
      <c r="R685" s="574"/>
      <c r="S685" s="574"/>
    </row>
    <row r="686" spans="1:19" ht="21.3">
      <c r="A686" s="665"/>
      <c r="B686" s="617"/>
      <c r="C686" s="1125" t="s">
        <v>270</v>
      </c>
      <c r="D686" s="1126"/>
      <c r="E686" s="637">
        <f t="shared" si="215"/>
        <v>628.91499999999996</v>
      </c>
      <c r="F686" s="625" t="s">
        <v>34</v>
      </c>
      <c r="G686" s="2048">
        <v>69</v>
      </c>
      <c r="H686" s="633">
        <f t="shared" si="214"/>
        <v>43395.134999999995</v>
      </c>
      <c r="I686" s="2048">
        <v>28</v>
      </c>
      <c r="J686" s="580">
        <f t="shared" si="203"/>
        <v>17609.62</v>
      </c>
      <c r="K686" s="631">
        <f t="shared" si="204"/>
        <v>61004.75499999999</v>
      </c>
      <c r="L686" s="2049"/>
      <c r="M686" s="574"/>
      <c r="N686" s="667">
        <f t="shared" si="201"/>
        <v>628.91499999999996</v>
      </c>
      <c r="O686" s="636">
        <v>0</v>
      </c>
      <c r="P686" s="637">
        <v>628.91499999999996</v>
      </c>
      <c r="Q686" s="574"/>
      <c r="R686" s="574"/>
      <c r="S686" s="574"/>
    </row>
    <row r="687" spans="1:19" ht="21.3">
      <c r="A687" s="665"/>
      <c r="B687" s="617" t="s">
        <v>271</v>
      </c>
      <c r="C687" s="1125" t="s">
        <v>272</v>
      </c>
      <c r="D687" s="1126"/>
      <c r="E687" s="637">
        <f t="shared" si="215"/>
        <v>0</v>
      </c>
      <c r="F687" s="625" t="s">
        <v>34</v>
      </c>
      <c r="G687" s="666">
        <v>103</v>
      </c>
      <c r="H687" s="633">
        <f t="shared" si="214"/>
        <v>0</v>
      </c>
      <c r="I687" s="666">
        <v>115</v>
      </c>
      <c r="J687" s="580">
        <f t="shared" si="203"/>
        <v>0</v>
      </c>
      <c r="K687" s="631">
        <f t="shared" si="204"/>
        <v>0</v>
      </c>
      <c r="L687" s="1062"/>
      <c r="M687" s="574"/>
      <c r="N687" s="667">
        <f t="shared" si="201"/>
        <v>0</v>
      </c>
      <c r="O687" s="636">
        <v>0</v>
      </c>
      <c r="P687" s="637"/>
      <c r="Q687" s="574"/>
      <c r="R687" s="574"/>
      <c r="S687" s="574"/>
    </row>
    <row r="688" spans="1:19" ht="21.3">
      <c r="A688" s="665"/>
      <c r="B688" s="617"/>
      <c r="C688" s="1125" t="s">
        <v>273</v>
      </c>
      <c r="D688" s="1126"/>
      <c r="E688" s="637">
        <f t="shared" si="215"/>
        <v>0</v>
      </c>
      <c r="F688" s="625" t="s">
        <v>34</v>
      </c>
      <c r="G688" s="2048">
        <v>69</v>
      </c>
      <c r="H688" s="633">
        <f t="shared" si="214"/>
        <v>0</v>
      </c>
      <c r="I688" s="2048">
        <v>28</v>
      </c>
      <c r="J688" s="580">
        <f t="shared" si="203"/>
        <v>0</v>
      </c>
      <c r="K688" s="631">
        <f t="shared" si="204"/>
        <v>0</v>
      </c>
      <c r="L688" s="2049"/>
      <c r="M688" s="574"/>
      <c r="N688" s="667">
        <f t="shared" si="201"/>
        <v>0</v>
      </c>
      <c r="O688" s="636">
        <v>0</v>
      </c>
      <c r="P688" s="637"/>
      <c r="Q688" s="574"/>
      <c r="R688" s="574"/>
      <c r="S688" s="574"/>
    </row>
    <row r="689" spans="1:19" ht="21.3">
      <c r="A689" s="665"/>
      <c r="B689" s="617" t="s">
        <v>274</v>
      </c>
      <c r="C689" s="1125" t="s">
        <v>275</v>
      </c>
      <c r="D689" s="1126"/>
      <c r="E689" s="637">
        <f t="shared" si="215"/>
        <v>0</v>
      </c>
      <c r="F689" s="625" t="s">
        <v>34</v>
      </c>
      <c r="G689" s="572">
        <v>1500</v>
      </c>
      <c r="H689" s="580">
        <f t="shared" ref="H689" si="216">E689*G689</f>
        <v>0</v>
      </c>
      <c r="I689" s="572">
        <v>500</v>
      </c>
      <c r="J689" s="580">
        <f t="shared" si="203"/>
        <v>0</v>
      </c>
      <c r="K689" s="631">
        <f t="shared" si="204"/>
        <v>0</v>
      </c>
      <c r="L689" s="1061"/>
      <c r="M689" s="574"/>
      <c r="N689" s="667">
        <f t="shared" si="201"/>
        <v>0</v>
      </c>
      <c r="O689" s="636">
        <v>0</v>
      </c>
      <c r="P689" s="637"/>
      <c r="Q689" s="574"/>
      <c r="R689" s="574"/>
      <c r="S689" s="574"/>
    </row>
    <row r="690" spans="1:19" ht="21.3">
      <c r="A690" s="665"/>
      <c r="B690" s="617"/>
      <c r="C690" s="1125" t="s">
        <v>273</v>
      </c>
      <c r="D690" s="1126"/>
      <c r="E690" s="637">
        <f t="shared" si="215"/>
        <v>0</v>
      </c>
      <c r="F690" s="625" t="s">
        <v>34</v>
      </c>
      <c r="G690" s="2048">
        <v>69</v>
      </c>
      <c r="H690" s="633">
        <f t="shared" ref="H690" si="217">SUM(E690*G690)</f>
        <v>0</v>
      </c>
      <c r="I690" s="2048">
        <v>28</v>
      </c>
      <c r="J690" s="580">
        <f t="shared" si="203"/>
        <v>0</v>
      </c>
      <c r="K690" s="631">
        <f t="shared" si="204"/>
        <v>0</v>
      </c>
      <c r="L690" s="2049"/>
      <c r="M690" s="574"/>
      <c r="N690" s="667">
        <f t="shared" si="201"/>
        <v>0</v>
      </c>
      <c r="O690" s="636">
        <v>0</v>
      </c>
      <c r="P690" s="637"/>
      <c r="Q690" s="574"/>
      <c r="R690" s="574"/>
      <c r="S690" s="574"/>
    </row>
    <row r="691" spans="1:19" ht="21.3">
      <c r="A691" s="665"/>
      <c r="B691" s="617"/>
      <c r="C691" s="1125"/>
      <c r="D691" s="1126"/>
      <c r="E691" s="637"/>
      <c r="F691" s="625"/>
      <c r="G691" s="2048"/>
      <c r="H691" s="633"/>
      <c r="I691" s="2048"/>
      <c r="J691" s="580"/>
      <c r="K691" s="631"/>
      <c r="L691" s="2049"/>
      <c r="M691" s="574"/>
      <c r="N691" s="667"/>
      <c r="O691" s="636"/>
      <c r="P691" s="637"/>
      <c r="Q691" s="574"/>
      <c r="R691" s="574"/>
      <c r="S691" s="574"/>
    </row>
    <row r="692" spans="1:19" ht="21.3">
      <c r="A692" s="665"/>
      <c r="B692" s="617" t="s">
        <v>276</v>
      </c>
      <c r="C692" s="1125" t="s">
        <v>277</v>
      </c>
      <c r="D692" s="1126"/>
      <c r="E692" s="637">
        <f t="shared" si="215"/>
        <v>0</v>
      </c>
      <c r="F692" s="625" t="s">
        <v>34</v>
      </c>
      <c r="G692" s="572">
        <v>492</v>
      </c>
      <c r="H692" s="580">
        <f t="shared" ref="H692" si="218">E692*G692</f>
        <v>0</v>
      </c>
      <c r="I692" s="572">
        <v>130</v>
      </c>
      <c r="J692" s="580">
        <f t="shared" si="203"/>
        <v>0</v>
      </c>
      <c r="K692" s="631">
        <f t="shared" si="204"/>
        <v>0</v>
      </c>
      <c r="L692" s="2049"/>
      <c r="M692" s="574"/>
      <c r="N692" s="667">
        <f t="shared" si="201"/>
        <v>0</v>
      </c>
      <c r="O692" s="636">
        <v>0</v>
      </c>
      <c r="P692" s="637"/>
      <c r="Q692" s="574"/>
      <c r="R692" s="574"/>
      <c r="S692" s="574"/>
    </row>
    <row r="693" spans="1:19" ht="21.3">
      <c r="A693" s="665"/>
      <c r="B693" s="617"/>
      <c r="C693" s="1125" t="s">
        <v>278</v>
      </c>
      <c r="D693" s="1126"/>
      <c r="E693" s="637">
        <f t="shared" si="215"/>
        <v>0</v>
      </c>
      <c r="F693" s="619"/>
      <c r="G693" s="572"/>
      <c r="H693" s="580"/>
      <c r="I693" s="572"/>
      <c r="J693" s="580">
        <f t="shared" si="203"/>
        <v>0</v>
      </c>
      <c r="K693" s="631">
        <f t="shared" si="204"/>
        <v>0</v>
      </c>
      <c r="L693" s="2049"/>
      <c r="M693" s="574"/>
      <c r="N693" s="629">
        <f t="shared" si="201"/>
        <v>0</v>
      </c>
      <c r="O693" s="630">
        <v>0</v>
      </c>
      <c r="P693" s="624"/>
      <c r="Q693" s="574"/>
      <c r="R693" s="574"/>
      <c r="S693" s="574"/>
    </row>
    <row r="694" spans="1:19" ht="21.3">
      <c r="A694" s="665"/>
      <c r="B694" s="617" t="s">
        <v>279</v>
      </c>
      <c r="C694" s="1125" t="s">
        <v>280</v>
      </c>
      <c r="D694" s="1126"/>
      <c r="E694" s="637">
        <f t="shared" si="215"/>
        <v>0</v>
      </c>
      <c r="F694" s="625" t="s">
        <v>34</v>
      </c>
      <c r="G694" s="572">
        <v>256</v>
      </c>
      <c r="H694" s="580">
        <f t="shared" ref="H694" si="219">E694*G694</f>
        <v>0</v>
      </c>
      <c r="I694" s="572">
        <v>100</v>
      </c>
      <c r="J694" s="580">
        <f t="shared" si="203"/>
        <v>0</v>
      </c>
      <c r="K694" s="631">
        <f t="shared" si="204"/>
        <v>0</v>
      </c>
      <c r="L694" s="2049"/>
      <c r="M694" s="574"/>
      <c r="N694" s="667">
        <f t="shared" si="201"/>
        <v>0</v>
      </c>
      <c r="O694" s="636">
        <v>0</v>
      </c>
      <c r="P694" s="637"/>
      <c r="Q694" s="574"/>
      <c r="R694" s="574"/>
      <c r="S694" s="574"/>
    </row>
    <row r="695" spans="1:19" ht="21.3">
      <c r="A695" s="665"/>
      <c r="B695" s="617"/>
      <c r="C695" s="1125" t="s">
        <v>281</v>
      </c>
      <c r="D695" s="1126"/>
      <c r="E695" s="637">
        <f t="shared" si="215"/>
        <v>0</v>
      </c>
      <c r="F695" s="619"/>
      <c r="G695" s="572"/>
      <c r="H695" s="580"/>
      <c r="I695" s="572"/>
      <c r="J695" s="580">
        <f t="shared" si="203"/>
        <v>0</v>
      </c>
      <c r="K695" s="631">
        <f t="shared" si="204"/>
        <v>0</v>
      </c>
      <c r="L695" s="2049"/>
      <c r="M695" s="574"/>
      <c r="N695" s="629">
        <f t="shared" si="201"/>
        <v>0</v>
      </c>
      <c r="O695" s="630">
        <v>0</v>
      </c>
      <c r="P695" s="624"/>
      <c r="Q695" s="574"/>
      <c r="R695" s="574"/>
      <c r="S695" s="574"/>
    </row>
    <row r="696" spans="1:19" ht="21.3">
      <c r="A696" s="665"/>
      <c r="B696" s="617" t="s">
        <v>282</v>
      </c>
      <c r="C696" s="1125" t="s">
        <v>280</v>
      </c>
      <c r="D696" s="1126"/>
      <c r="E696" s="637">
        <f t="shared" si="215"/>
        <v>0</v>
      </c>
      <c r="F696" s="625" t="s">
        <v>34</v>
      </c>
      <c r="G696" s="572">
        <v>256</v>
      </c>
      <c r="H696" s="580">
        <f t="shared" ref="H696" si="220">E696*G696</f>
        <v>0</v>
      </c>
      <c r="I696" s="572">
        <v>100</v>
      </c>
      <c r="J696" s="580">
        <f t="shared" si="203"/>
        <v>0</v>
      </c>
      <c r="K696" s="631">
        <f t="shared" si="204"/>
        <v>0</v>
      </c>
      <c r="L696" s="2049"/>
      <c r="M696" s="574"/>
      <c r="N696" s="667">
        <f t="shared" si="201"/>
        <v>0</v>
      </c>
      <c r="O696" s="636">
        <v>0</v>
      </c>
      <c r="P696" s="637"/>
      <c r="Q696" s="574"/>
      <c r="R696" s="574"/>
      <c r="S696" s="574"/>
    </row>
    <row r="697" spans="1:19" ht="21.3">
      <c r="A697" s="665"/>
      <c r="B697" s="617"/>
      <c r="C697" s="1125" t="s">
        <v>281</v>
      </c>
      <c r="D697" s="1126"/>
      <c r="E697" s="637">
        <f t="shared" si="215"/>
        <v>0</v>
      </c>
      <c r="F697" s="619"/>
      <c r="G697" s="572"/>
      <c r="H697" s="580"/>
      <c r="I697" s="572"/>
      <c r="J697" s="580">
        <f t="shared" si="203"/>
        <v>0</v>
      </c>
      <c r="K697" s="631">
        <f t="shared" si="204"/>
        <v>0</v>
      </c>
      <c r="L697" s="1062"/>
      <c r="M697" s="574"/>
      <c r="N697" s="629">
        <f t="shared" si="201"/>
        <v>0</v>
      </c>
      <c r="O697" s="630">
        <v>0</v>
      </c>
      <c r="P697" s="624"/>
      <c r="Q697" s="574"/>
      <c r="R697" s="574"/>
      <c r="S697" s="574"/>
    </row>
    <row r="698" spans="1:19" ht="21.3">
      <c r="A698" s="665"/>
      <c r="B698" s="617"/>
      <c r="C698" s="1125" t="s">
        <v>283</v>
      </c>
      <c r="D698" s="1126"/>
      <c r="E698" s="637">
        <f t="shared" si="215"/>
        <v>0</v>
      </c>
      <c r="F698" s="625" t="s">
        <v>34</v>
      </c>
      <c r="G698" s="2048">
        <v>69</v>
      </c>
      <c r="H698" s="633">
        <f t="shared" ref="H698" si="221">SUM(E698*G698)</f>
        <v>0</v>
      </c>
      <c r="I698" s="2048">
        <v>28</v>
      </c>
      <c r="J698" s="580">
        <f t="shared" si="203"/>
        <v>0</v>
      </c>
      <c r="K698" s="631">
        <f t="shared" si="204"/>
        <v>0</v>
      </c>
      <c r="L698" s="2049"/>
      <c r="M698" s="574"/>
      <c r="N698" s="667">
        <f t="shared" si="201"/>
        <v>0</v>
      </c>
      <c r="O698" s="636">
        <v>0</v>
      </c>
      <c r="P698" s="637"/>
      <c r="Q698" s="574"/>
      <c r="R698" s="574"/>
      <c r="S698" s="574"/>
    </row>
    <row r="699" spans="1:19" ht="21.3">
      <c r="A699" s="665"/>
      <c r="B699" s="617" t="s">
        <v>284</v>
      </c>
      <c r="C699" s="1125" t="s">
        <v>280</v>
      </c>
      <c r="D699" s="1126"/>
      <c r="E699" s="637">
        <f t="shared" si="215"/>
        <v>0</v>
      </c>
      <c r="F699" s="625" t="s">
        <v>34</v>
      </c>
      <c r="G699" s="572">
        <v>592</v>
      </c>
      <c r="H699" s="580">
        <f t="shared" ref="H699" si="222">E699*G699</f>
        <v>0</v>
      </c>
      <c r="I699" s="572">
        <v>165</v>
      </c>
      <c r="J699" s="580">
        <f t="shared" si="203"/>
        <v>0</v>
      </c>
      <c r="K699" s="631">
        <f t="shared" si="204"/>
        <v>0</v>
      </c>
      <c r="L699" s="2049"/>
      <c r="M699" s="574"/>
      <c r="N699" s="667">
        <f t="shared" si="201"/>
        <v>0</v>
      </c>
      <c r="O699" s="636">
        <v>0</v>
      </c>
      <c r="P699" s="637"/>
      <c r="Q699" s="574"/>
      <c r="R699" s="574"/>
      <c r="S699" s="574"/>
    </row>
    <row r="700" spans="1:19" ht="21.3">
      <c r="A700" s="665"/>
      <c r="B700" s="617"/>
      <c r="C700" s="1125" t="s">
        <v>285</v>
      </c>
      <c r="D700" s="1126"/>
      <c r="E700" s="637">
        <f t="shared" si="215"/>
        <v>0</v>
      </c>
      <c r="F700" s="619"/>
      <c r="G700" s="572"/>
      <c r="H700" s="580"/>
      <c r="I700" s="572"/>
      <c r="J700" s="580">
        <f t="shared" si="203"/>
        <v>0</v>
      </c>
      <c r="K700" s="631">
        <f t="shared" si="204"/>
        <v>0</v>
      </c>
      <c r="L700" s="1062"/>
      <c r="M700" s="574"/>
      <c r="N700" s="629">
        <f t="shared" si="201"/>
        <v>0</v>
      </c>
      <c r="O700" s="630">
        <v>0</v>
      </c>
      <c r="P700" s="624"/>
      <c r="Q700" s="574"/>
      <c r="R700" s="574"/>
      <c r="S700" s="574"/>
    </row>
    <row r="701" spans="1:19" ht="21.3">
      <c r="A701" s="665"/>
      <c r="B701" s="617" t="s">
        <v>286</v>
      </c>
      <c r="C701" s="1125" t="s">
        <v>280</v>
      </c>
      <c r="D701" s="1126"/>
      <c r="E701" s="637">
        <f t="shared" si="215"/>
        <v>0</v>
      </c>
      <c r="F701" s="625" t="s">
        <v>34</v>
      </c>
      <c r="G701" s="572">
        <v>642</v>
      </c>
      <c r="H701" s="580">
        <f t="shared" ref="H701" si="223">E701*G701</f>
        <v>0</v>
      </c>
      <c r="I701" s="572">
        <v>183</v>
      </c>
      <c r="J701" s="580">
        <f t="shared" si="203"/>
        <v>0</v>
      </c>
      <c r="K701" s="631">
        <f t="shared" si="204"/>
        <v>0</v>
      </c>
      <c r="L701" s="2049"/>
      <c r="M701" s="574"/>
      <c r="N701" s="667">
        <f t="shared" si="201"/>
        <v>0</v>
      </c>
      <c r="O701" s="636">
        <v>0</v>
      </c>
      <c r="P701" s="637"/>
      <c r="Q701" s="574"/>
      <c r="R701" s="574"/>
      <c r="S701" s="574"/>
    </row>
    <row r="702" spans="1:19" ht="21.3">
      <c r="A702" s="665"/>
      <c r="B702" s="617"/>
      <c r="C702" s="1125" t="s">
        <v>287</v>
      </c>
      <c r="D702" s="1126"/>
      <c r="E702" s="637">
        <f t="shared" si="215"/>
        <v>0</v>
      </c>
      <c r="F702" s="619"/>
      <c r="G702" s="572"/>
      <c r="H702" s="580"/>
      <c r="I702" s="572"/>
      <c r="J702" s="580">
        <f t="shared" si="203"/>
        <v>0</v>
      </c>
      <c r="K702" s="631">
        <f t="shared" si="204"/>
        <v>0</v>
      </c>
      <c r="L702" s="1073"/>
      <c r="M702" s="574"/>
      <c r="N702" s="629">
        <f t="shared" si="201"/>
        <v>0</v>
      </c>
      <c r="O702" s="630">
        <v>0</v>
      </c>
      <c r="P702" s="624"/>
      <c r="Q702" s="574"/>
      <c r="R702" s="574"/>
      <c r="S702" s="574"/>
    </row>
    <row r="703" spans="1:19" ht="21.3">
      <c r="A703" s="665"/>
      <c r="B703" s="617"/>
      <c r="C703" s="1125" t="s">
        <v>288</v>
      </c>
      <c r="D703" s="1126"/>
      <c r="E703" s="637">
        <f t="shared" si="215"/>
        <v>0</v>
      </c>
      <c r="F703" s="619"/>
      <c r="G703" s="572"/>
      <c r="H703" s="580"/>
      <c r="I703" s="572"/>
      <c r="J703" s="580">
        <f t="shared" si="203"/>
        <v>0</v>
      </c>
      <c r="K703" s="631">
        <f t="shared" si="204"/>
        <v>0</v>
      </c>
      <c r="L703" s="1073"/>
      <c r="M703" s="574"/>
      <c r="N703" s="629">
        <f t="shared" si="201"/>
        <v>0</v>
      </c>
      <c r="O703" s="630">
        <v>0</v>
      </c>
      <c r="P703" s="624"/>
      <c r="Q703" s="574"/>
      <c r="R703" s="574"/>
      <c r="S703" s="574"/>
    </row>
    <row r="704" spans="1:19" ht="21.3">
      <c r="A704" s="665"/>
      <c r="B704" s="617" t="s">
        <v>289</v>
      </c>
      <c r="C704" s="1125" t="s">
        <v>280</v>
      </c>
      <c r="D704" s="1126"/>
      <c r="E704" s="637">
        <f t="shared" si="215"/>
        <v>0</v>
      </c>
      <c r="F704" s="625" t="s">
        <v>34</v>
      </c>
      <c r="G704" s="572">
        <v>520</v>
      </c>
      <c r="H704" s="580">
        <f t="shared" ref="H704" si="224">E704*G704</f>
        <v>0</v>
      </c>
      <c r="I704" s="572">
        <v>270</v>
      </c>
      <c r="J704" s="580">
        <f t="shared" si="203"/>
        <v>0</v>
      </c>
      <c r="K704" s="631">
        <f t="shared" si="204"/>
        <v>0</v>
      </c>
      <c r="L704" s="1074"/>
      <c r="M704" s="574"/>
      <c r="N704" s="667">
        <f t="shared" si="201"/>
        <v>0</v>
      </c>
      <c r="O704" s="636">
        <v>0</v>
      </c>
      <c r="P704" s="637"/>
      <c r="Q704" s="574"/>
      <c r="R704" s="574"/>
      <c r="S704" s="574"/>
    </row>
    <row r="705" spans="1:19" ht="21.3">
      <c r="A705" s="665"/>
      <c r="B705" s="617"/>
      <c r="C705" s="1125" t="s">
        <v>290</v>
      </c>
      <c r="D705" s="1126"/>
      <c r="E705" s="637">
        <f t="shared" si="215"/>
        <v>0</v>
      </c>
      <c r="F705" s="619"/>
      <c r="G705" s="572"/>
      <c r="H705" s="580"/>
      <c r="I705" s="572"/>
      <c r="J705" s="580">
        <f t="shared" si="203"/>
        <v>0</v>
      </c>
      <c r="K705" s="631">
        <f t="shared" si="204"/>
        <v>0</v>
      </c>
      <c r="L705" s="1073"/>
      <c r="M705" s="574"/>
      <c r="N705" s="629">
        <f t="shared" si="201"/>
        <v>0</v>
      </c>
      <c r="O705" s="630">
        <v>0</v>
      </c>
      <c r="P705" s="624"/>
      <c r="Q705" s="574"/>
      <c r="R705" s="574"/>
      <c r="S705" s="574"/>
    </row>
    <row r="706" spans="1:19" ht="21.3">
      <c r="A706" s="665"/>
      <c r="B706" s="617" t="s">
        <v>291</v>
      </c>
      <c r="C706" s="1125" t="s">
        <v>280</v>
      </c>
      <c r="D706" s="1126"/>
      <c r="E706" s="637">
        <f t="shared" si="215"/>
        <v>0</v>
      </c>
      <c r="F706" s="625" t="s">
        <v>34</v>
      </c>
      <c r="G706" s="572">
        <v>256</v>
      </c>
      <c r="H706" s="580">
        <f t="shared" ref="H706:H707" si="225">E706*G706</f>
        <v>0</v>
      </c>
      <c r="I706" s="572">
        <v>100</v>
      </c>
      <c r="J706" s="580">
        <f t="shared" si="203"/>
        <v>0</v>
      </c>
      <c r="K706" s="631">
        <f t="shared" si="204"/>
        <v>0</v>
      </c>
      <c r="L706" s="2049"/>
      <c r="M706" s="574"/>
      <c r="N706" s="667">
        <f t="shared" si="201"/>
        <v>0</v>
      </c>
      <c r="O706" s="636">
        <v>0</v>
      </c>
      <c r="P706" s="637"/>
      <c r="Q706" s="574"/>
      <c r="R706" s="574"/>
      <c r="S706" s="574"/>
    </row>
    <row r="707" spans="1:19" ht="21.3">
      <c r="A707" s="665"/>
      <c r="B707" s="617"/>
      <c r="C707" s="1125" t="s">
        <v>292</v>
      </c>
      <c r="D707" s="1126"/>
      <c r="E707" s="637">
        <f t="shared" si="215"/>
        <v>0</v>
      </c>
      <c r="F707" s="619"/>
      <c r="G707" s="572">
        <v>0</v>
      </c>
      <c r="H707" s="580">
        <f t="shared" si="225"/>
        <v>0</v>
      </c>
      <c r="I707" s="572">
        <v>0</v>
      </c>
      <c r="J707" s="580">
        <f t="shared" si="203"/>
        <v>0</v>
      </c>
      <c r="K707" s="631">
        <f t="shared" si="204"/>
        <v>0</v>
      </c>
      <c r="L707" s="1073"/>
      <c r="M707" s="574"/>
      <c r="N707" s="629">
        <f t="shared" ref="N707:N778" si="226">+(1+O707)*P707</f>
        <v>0</v>
      </c>
      <c r="O707" s="630">
        <v>0</v>
      </c>
      <c r="P707" s="624"/>
      <c r="Q707" s="574"/>
      <c r="R707" s="574"/>
      <c r="S707" s="574"/>
    </row>
    <row r="708" spans="1:19" ht="21.3">
      <c r="A708" s="665"/>
      <c r="B708" s="617"/>
      <c r="C708" s="1125" t="s">
        <v>293</v>
      </c>
      <c r="D708" s="1126"/>
      <c r="E708" s="637">
        <f t="shared" si="215"/>
        <v>0</v>
      </c>
      <c r="F708" s="625" t="s">
        <v>34</v>
      </c>
      <c r="G708" s="666">
        <v>520</v>
      </c>
      <c r="H708" s="580"/>
      <c r="I708" s="666">
        <v>30</v>
      </c>
      <c r="J708" s="580">
        <f t="shared" ref="J708:J780" si="227">E708*I708</f>
        <v>0</v>
      </c>
      <c r="K708" s="631">
        <f t="shared" ref="K708:K780" si="228">H708+J708</f>
        <v>0</v>
      </c>
      <c r="L708" s="1073"/>
      <c r="M708" s="574"/>
      <c r="N708" s="629">
        <f t="shared" si="226"/>
        <v>0</v>
      </c>
      <c r="O708" s="630">
        <v>0</v>
      </c>
      <c r="P708" s="624"/>
      <c r="Q708" s="574"/>
      <c r="R708" s="574"/>
      <c r="S708" s="574"/>
    </row>
    <row r="709" spans="1:19" ht="21.3">
      <c r="A709" s="665"/>
      <c r="B709" s="617" t="s">
        <v>294</v>
      </c>
      <c r="C709" s="1125" t="s">
        <v>295</v>
      </c>
      <c r="D709" s="1126"/>
      <c r="E709" s="637">
        <f t="shared" si="215"/>
        <v>0</v>
      </c>
      <c r="F709" s="625" t="s">
        <v>34</v>
      </c>
      <c r="G709" s="666">
        <v>91</v>
      </c>
      <c r="H709" s="633">
        <f>SUM(E709*G709)</f>
        <v>0</v>
      </c>
      <c r="I709" s="666">
        <v>100</v>
      </c>
      <c r="J709" s="580">
        <f t="shared" si="227"/>
        <v>0</v>
      </c>
      <c r="K709" s="631">
        <f t="shared" si="228"/>
        <v>0</v>
      </c>
      <c r="L709" s="1062"/>
      <c r="M709" s="574"/>
      <c r="N709" s="667">
        <f t="shared" si="226"/>
        <v>0</v>
      </c>
      <c r="O709" s="636">
        <v>0</v>
      </c>
      <c r="P709" s="637"/>
      <c r="Q709" s="574"/>
      <c r="R709" s="574"/>
      <c r="S709" s="574"/>
    </row>
    <row r="710" spans="1:19" ht="21.3">
      <c r="A710" s="665"/>
      <c r="B710" s="617" t="s">
        <v>296</v>
      </c>
      <c r="C710" s="1125" t="s">
        <v>297</v>
      </c>
      <c r="D710" s="1126"/>
      <c r="E710" s="637">
        <f t="shared" si="215"/>
        <v>0</v>
      </c>
      <c r="F710" s="625" t="s">
        <v>34</v>
      </c>
      <c r="G710" s="666">
        <v>294</v>
      </c>
      <c r="H710" s="633">
        <f t="shared" ref="H710:H717" si="229">SUM(E710*G710)</f>
        <v>0</v>
      </c>
      <c r="I710" s="666">
        <v>189</v>
      </c>
      <c r="J710" s="580">
        <f t="shared" si="227"/>
        <v>0</v>
      </c>
      <c r="K710" s="631">
        <f t="shared" si="228"/>
        <v>0</v>
      </c>
      <c r="L710" s="1073"/>
      <c r="M710" s="574"/>
      <c r="N710" s="667">
        <f t="shared" si="226"/>
        <v>0</v>
      </c>
      <c r="O710" s="636">
        <v>0</v>
      </c>
      <c r="P710" s="637"/>
      <c r="Q710" s="574"/>
      <c r="R710" s="574"/>
      <c r="S710" s="574"/>
    </row>
    <row r="711" spans="1:19" ht="21.3">
      <c r="A711" s="665"/>
      <c r="B711" s="617" t="s">
        <v>298</v>
      </c>
      <c r="C711" s="1125" t="s">
        <v>299</v>
      </c>
      <c r="D711" s="1126"/>
      <c r="E711" s="637"/>
      <c r="F711" s="625" t="s">
        <v>34</v>
      </c>
      <c r="G711" s="666">
        <v>608</v>
      </c>
      <c r="H711" s="633">
        <f t="shared" si="229"/>
        <v>0</v>
      </c>
      <c r="I711" s="666">
        <v>189</v>
      </c>
      <c r="J711" s="580">
        <f t="shared" si="227"/>
        <v>0</v>
      </c>
      <c r="K711" s="631">
        <f t="shared" si="228"/>
        <v>0</v>
      </c>
      <c r="L711" s="1073"/>
      <c r="M711" s="574"/>
      <c r="N711" s="667">
        <f t="shared" si="226"/>
        <v>771.02</v>
      </c>
      <c r="O711" s="636">
        <v>0</v>
      </c>
      <c r="P711" s="637">
        <v>771.02</v>
      </c>
      <c r="Q711" s="574"/>
      <c r="R711" s="574"/>
      <c r="S711" s="574"/>
    </row>
    <row r="712" spans="1:19" ht="21.3">
      <c r="A712" s="665"/>
      <c r="B712" s="623" t="s">
        <v>2549</v>
      </c>
      <c r="C712" s="1125" t="s">
        <v>299</v>
      </c>
      <c r="D712" s="1126"/>
      <c r="E712" s="637">
        <f t="shared" si="215"/>
        <v>771.02</v>
      </c>
      <c r="F712" s="625" t="s">
        <v>34</v>
      </c>
      <c r="G712" s="666">
        <v>399</v>
      </c>
      <c r="H712" s="633">
        <f t="shared" si="229"/>
        <v>307636.98</v>
      </c>
      <c r="I712" s="666">
        <v>189</v>
      </c>
      <c r="J712" s="580">
        <f t="shared" si="227"/>
        <v>145722.78</v>
      </c>
      <c r="K712" s="631">
        <f t="shared" si="228"/>
        <v>453359.76</v>
      </c>
      <c r="L712" s="1073"/>
      <c r="M712" s="574"/>
      <c r="N712" s="667">
        <f t="shared" si="226"/>
        <v>771.02</v>
      </c>
      <c r="O712" s="636">
        <v>0</v>
      </c>
      <c r="P712" s="637">
        <v>771.02</v>
      </c>
      <c r="Q712" s="574"/>
      <c r="R712" s="574"/>
      <c r="S712" s="574"/>
    </row>
    <row r="713" spans="1:19" ht="21.3">
      <c r="A713" s="665"/>
      <c r="B713" s="617" t="s">
        <v>300</v>
      </c>
      <c r="C713" s="1125" t="s">
        <v>301</v>
      </c>
      <c r="D713" s="1126"/>
      <c r="E713" s="637">
        <f t="shared" si="215"/>
        <v>0</v>
      </c>
      <c r="F713" s="625" t="s">
        <v>34</v>
      </c>
      <c r="G713" s="666">
        <v>88</v>
      </c>
      <c r="H713" s="633">
        <f t="shared" si="229"/>
        <v>0</v>
      </c>
      <c r="I713" s="666">
        <v>82</v>
      </c>
      <c r="J713" s="580">
        <f t="shared" si="227"/>
        <v>0</v>
      </c>
      <c r="K713" s="631">
        <f t="shared" si="228"/>
        <v>0</v>
      </c>
      <c r="L713" s="1062"/>
      <c r="M713" s="574"/>
      <c r="N713" s="667">
        <f t="shared" si="226"/>
        <v>0</v>
      </c>
      <c r="O713" s="636">
        <v>0</v>
      </c>
      <c r="P713" s="637"/>
      <c r="Q713" s="574"/>
      <c r="R713" s="574"/>
      <c r="S713" s="574"/>
    </row>
    <row r="714" spans="1:19" ht="21.3">
      <c r="A714" s="665"/>
      <c r="B714" s="617"/>
      <c r="C714" s="1125" t="s">
        <v>302</v>
      </c>
      <c r="D714" s="1126"/>
      <c r="E714" s="637">
        <f t="shared" si="215"/>
        <v>0</v>
      </c>
      <c r="F714" s="625" t="s">
        <v>34</v>
      </c>
      <c r="G714" s="2048">
        <v>69</v>
      </c>
      <c r="H714" s="633">
        <f t="shared" si="229"/>
        <v>0</v>
      </c>
      <c r="I714" s="2048">
        <v>28</v>
      </c>
      <c r="J714" s="580">
        <f t="shared" si="227"/>
        <v>0</v>
      </c>
      <c r="K714" s="631">
        <f t="shared" si="228"/>
        <v>0</v>
      </c>
      <c r="L714" s="1062"/>
      <c r="M714" s="574"/>
      <c r="N714" s="667">
        <f t="shared" si="226"/>
        <v>0</v>
      </c>
      <c r="O714" s="636">
        <v>0</v>
      </c>
      <c r="P714" s="637"/>
      <c r="Q714" s="574"/>
      <c r="R714" s="574"/>
      <c r="S714" s="574"/>
    </row>
    <row r="715" spans="1:19" ht="21.3">
      <c r="A715" s="665"/>
      <c r="B715" s="617" t="s">
        <v>303</v>
      </c>
      <c r="C715" s="1125" t="s">
        <v>304</v>
      </c>
      <c r="D715" s="1126"/>
      <c r="E715" s="637"/>
      <c r="F715" s="625" t="s">
        <v>34</v>
      </c>
      <c r="G715" s="666">
        <v>870</v>
      </c>
      <c r="H715" s="633">
        <f t="shared" si="229"/>
        <v>0</v>
      </c>
      <c r="I715" s="666">
        <v>242</v>
      </c>
      <c r="J715" s="580">
        <f t="shared" si="227"/>
        <v>0</v>
      </c>
      <c r="K715" s="631">
        <f t="shared" si="228"/>
        <v>0</v>
      </c>
      <c r="L715" s="1073"/>
      <c r="M715" s="574"/>
      <c r="N715" s="667">
        <f t="shared" si="226"/>
        <v>177.10000000000002</v>
      </c>
      <c r="O715" s="636">
        <v>0</v>
      </c>
      <c r="P715" s="637">
        <v>177.10000000000002</v>
      </c>
      <c r="Q715" s="574"/>
      <c r="R715" s="574"/>
      <c r="S715" s="574"/>
    </row>
    <row r="716" spans="1:19" ht="21.3">
      <c r="A716" s="665"/>
      <c r="B716" s="617"/>
      <c r="C716" s="1125" t="s">
        <v>305</v>
      </c>
      <c r="D716" s="1126"/>
      <c r="E716" s="637">
        <f t="shared" ref="E716" si="230">+N716</f>
        <v>0</v>
      </c>
      <c r="F716" s="619"/>
      <c r="G716" s="572"/>
      <c r="H716" s="580"/>
      <c r="I716" s="572"/>
      <c r="J716" s="580">
        <f t="shared" si="227"/>
        <v>0</v>
      </c>
      <c r="K716" s="631">
        <f t="shared" si="228"/>
        <v>0</v>
      </c>
      <c r="L716" s="1073"/>
      <c r="M716" s="574"/>
      <c r="N716" s="629">
        <f t="shared" si="226"/>
        <v>0</v>
      </c>
      <c r="O716" s="630">
        <v>0</v>
      </c>
      <c r="P716" s="624"/>
      <c r="Q716" s="574"/>
      <c r="R716" s="574"/>
      <c r="S716" s="574"/>
    </row>
    <row r="717" spans="1:19" ht="21.3">
      <c r="A717" s="665"/>
      <c r="B717" s="623" t="s">
        <v>2550</v>
      </c>
      <c r="C717" s="1125" t="s">
        <v>304</v>
      </c>
      <c r="D717" s="1126"/>
      <c r="E717" s="637">
        <f t="shared" si="215"/>
        <v>177.10000000000002</v>
      </c>
      <c r="F717" s="625" t="s">
        <v>34</v>
      </c>
      <c r="G717" s="666">
        <v>765</v>
      </c>
      <c r="H717" s="633">
        <f t="shared" si="229"/>
        <v>135481.50000000003</v>
      </c>
      <c r="I717" s="666">
        <v>242</v>
      </c>
      <c r="J717" s="580">
        <f t="shared" si="227"/>
        <v>42858.200000000004</v>
      </c>
      <c r="K717" s="631">
        <f t="shared" si="228"/>
        <v>178339.70000000004</v>
      </c>
      <c r="L717" s="1073"/>
      <c r="M717" s="574"/>
      <c r="N717" s="667">
        <f t="shared" si="226"/>
        <v>177.10000000000002</v>
      </c>
      <c r="O717" s="636">
        <v>0</v>
      </c>
      <c r="P717" s="637">
        <v>177.10000000000002</v>
      </c>
      <c r="Q717" s="574"/>
      <c r="R717" s="574"/>
      <c r="S717" s="574"/>
    </row>
    <row r="718" spans="1:19" ht="21.3">
      <c r="A718" s="665"/>
      <c r="B718" s="617"/>
      <c r="C718" s="1125" t="s">
        <v>305</v>
      </c>
      <c r="D718" s="1126"/>
      <c r="E718" s="637">
        <f t="shared" si="215"/>
        <v>0</v>
      </c>
      <c r="F718" s="619"/>
      <c r="G718" s="572"/>
      <c r="H718" s="580"/>
      <c r="I718" s="572"/>
      <c r="J718" s="580">
        <f t="shared" si="227"/>
        <v>0</v>
      </c>
      <c r="K718" s="631">
        <f t="shared" si="228"/>
        <v>0</v>
      </c>
      <c r="L718" s="1073"/>
      <c r="M718" s="574"/>
      <c r="N718" s="629">
        <f t="shared" si="226"/>
        <v>0</v>
      </c>
      <c r="O718" s="630">
        <v>0</v>
      </c>
      <c r="P718" s="624"/>
      <c r="Q718" s="574"/>
      <c r="R718" s="574"/>
      <c r="S718" s="574"/>
    </row>
    <row r="719" spans="1:19" ht="21.3">
      <c r="A719" s="665"/>
      <c r="B719" s="617" t="s">
        <v>306</v>
      </c>
      <c r="C719" s="1125" t="s">
        <v>307</v>
      </c>
      <c r="D719" s="1126"/>
      <c r="E719" s="637">
        <f t="shared" si="215"/>
        <v>0</v>
      </c>
      <c r="F719" s="625" t="s">
        <v>34</v>
      </c>
      <c r="G719" s="666"/>
      <c r="H719" s="633">
        <v>0</v>
      </c>
      <c r="I719" s="666"/>
      <c r="J719" s="580">
        <f t="shared" si="227"/>
        <v>0</v>
      </c>
      <c r="K719" s="631">
        <f t="shared" si="228"/>
        <v>0</v>
      </c>
      <c r="L719" s="1073"/>
      <c r="M719" s="574"/>
      <c r="N719" s="667">
        <f t="shared" si="226"/>
        <v>0</v>
      </c>
      <c r="O719" s="636">
        <v>0</v>
      </c>
      <c r="P719" s="637"/>
      <c r="Q719" s="574"/>
      <c r="R719" s="574"/>
      <c r="S719" s="574"/>
    </row>
    <row r="720" spans="1:19" ht="21.3">
      <c r="A720" s="665"/>
      <c r="B720" s="617" t="s">
        <v>308</v>
      </c>
      <c r="C720" s="617" t="s">
        <v>309</v>
      </c>
      <c r="D720" s="617"/>
      <c r="E720" s="637">
        <f t="shared" si="215"/>
        <v>0</v>
      </c>
      <c r="F720" s="625" t="s">
        <v>34</v>
      </c>
      <c r="G720" s="666">
        <v>1296</v>
      </c>
      <c r="H720" s="633">
        <f t="shared" ref="H720:H731" si="231">SUM(E720*G720)</f>
        <v>0</v>
      </c>
      <c r="I720" s="666">
        <v>1600</v>
      </c>
      <c r="J720" s="580">
        <f t="shared" si="227"/>
        <v>0</v>
      </c>
      <c r="K720" s="631">
        <f t="shared" si="228"/>
        <v>0</v>
      </c>
      <c r="L720" s="1073"/>
      <c r="M720" s="574"/>
      <c r="N720" s="667">
        <f t="shared" si="226"/>
        <v>0</v>
      </c>
      <c r="O720" s="636">
        <v>0</v>
      </c>
      <c r="P720" s="637"/>
      <c r="Q720" s="574"/>
      <c r="R720" s="574"/>
      <c r="S720" s="574"/>
    </row>
    <row r="721" spans="1:19" ht="21.3">
      <c r="A721" s="665"/>
      <c r="B721" s="617"/>
      <c r="C721" s="617" t="s">
        <v>310</v>
      </c>
      <c r="D721" s="617"/>
      <c r="E721" s="637">
        <f t="shared" si="215"/>
        <v>0</v>
      </c>
      <c r="F721" s="619"/>
      <c r="G721" s="666"/>
      <c r="H721" s="633">
        <f t="shared" si="231"/>
        <v>0</v>
      </c>
      <c r="I721" s="666"/>
      <c r="J721" s="580">
        <f t="shared" si="227"/>
        <v>0</v>
      </c>
      <c r="K721" s="631">
        <f t="shared" si="228"/>
        <v>0</v>
      </c>
      <c r="L721" s="1073"/>
      <c r="M721" s="574"/>
      <c r="N721" s="629">
        <f t="shared" si="226"/>
        <v>0</v>
      </c>
      <c r="O721" s="630">
        <v>0</v>
      </c>
      <c r="P721" s="624"/>
      <c r="Q721" s="574"/>
      <c r="R721" s="574"/>
      <c r="S721" s="574"/>
    </row>
    <row r="722" spans="1:19" ht="21.3">
      <c r="A722" s="665"/>
      <c r="B722" s="617" t="s">
        <v>311</v>
      </c>
      <c r="C722" s="1125" t="s">
        <v>312</v>
      </c>
      <c r="D722" s="1126"/>
      <c r="E722" s="637">
        <f t="shared" si="215"/>
        <v>0</v>
      </c>
      <c r="F722" s="625" t="s">
        <v>34</v>
      </c>
      <c r="G722" s="666"/>
      <c r="H722" s="633">
        <f t="shared" si="231"/>
        <v>0</v>
      </c>
      <c r="I722" s="666"/>
      <c r="J722" s="580">
        <f t="shared" si="227"/>
        <v>0</v>
      </c>
      <c r="K722" s="631">
        <f t="shared" si="228"/>
        <v>0</v>
      </c>
      <c r="L722" s="1073"/>
      <c r="M722" s="574"/>
      <c r="N722" s="667">
        <f t="shared" si="226"/>
        <v>0</v>
      </c>
      <c r="O722" s="636">
        <v>0</v>
      </c>
      <c r="P722" s="637"/>
      <c r="Q722" s="574"/>
      <c r="R722" s="574"/>
      <c r="S722" s="574"/>
    </row>
    <row r="723" spans="1:19" ht="21.3">
      <c r="A723" s="665"/>
      <c r="B723" s="617" t="s">
        <v>313</v>
      </c>
      <c r="C723" s="1125" t="s">
        <v>314</v>
      </c>
      <c r="D723" s="1126"/>
      <c r="E723" s="637">
        <f t="shared" si="215"/>
        <v>0</v>
      </c>
      <c r="F723" s="625" t="s">
        <v>34</v>
      </c>
      <c r="G723" s="666"/>
      <c r="H723" s="633">
        <f t="shared" si="231"/>
        <v>0</v>
      </c>
      <c r="I723" s="666"/>
      <c r="J723" s="580">
        <f t="shared" si="227"/>
        <v>0</v>
      </c>
      <c r="K723" s="631">
        <f t="shared" si="228"/>
        <v>0</v>
      </c>
      <c r="L723" s="1073"/>
      <c r="M723" s="574"/>
      <c r="N723" s="667">
        <f t="shared" si="226"/>
        <v>0</v>
      </c>
      <c r="O723" s="636">
        <v>0</v>
      </c>
      <c r="P723" s="637"/>
      <c r="Q723" s="574"/>
      <c r="R723" s="574"/>
      <c r="S723" s="574"/>
    </row>
    <row r="724" spans="1:19" ht="21.3">
      <c r="A724" s="665"/>
      <c r="B724" s="617" t="s">
        <v>315</v>
      </c>
      <c r="C724" s="1125" t="s">
        <v>316</v>
      </c>
      <c r="D724" s="1126"/>
      <c r="E724" s="637">
        <f t="shared" si="215"/>
        <v>0</v>
      </c>
      <c r="F724" s="625" t="s">
        <v>34</v>
      </c>
      <c r="G724" s="572">
        <v>15000</v>
      </c>
      <c r="H724" s="580">
        <f t="shared" si="231"/>
        <v>0</v>
      </c>
      <c r="I724" s="572">
        <v>500</v>
      </c>
      <c r="J724" s="580">
        <f t="shared" si="227"/>
        <v>0</v>
      </c>
      <c r="K724" s="631">
        <f t="shared" si="228"/>
        <v>0</v>
      </c>
      <c r="L724" s="1061"/>
      <c r="M724" s="574"/>
      <c r="N724" s="667">
        <f t="shared" si="226"/>
        <v>0</v>
      </c>
      <c r="O724" s="636">
        <v>0</v>
      </c>
      <c r="P724" s="637"/>
      <c r="Q724" s="574"/>
      <c r="R724" s="574"/>
      <c r="S724" s="574"/>
    </row>
    <row r="725" spans="1:19" ht="21.3">
      <c r="A725" s="665"/>
      <c r="B725" s="617" t="s">
        <v>317</v>
      </c>
      <c r="C725" s="1125" t="s">
        <v>318</v>
      </c>
      <c r="D725" s="1126"/>
      <c r="E725" s="637">
        <f t="shared" si="215"/>
        <v>664.58100000000002</v>
      </c>
      <c r="F725" s="625" t="s">
        <v>34</v>
      </c>
      <c r="G725" s="666">
        <v>88</v>
      </c>
      <c r="H725" s="633">
        <f t="shared" si="231"/>
        <v>58483.128000000004</v>
      </c>
      <c r="I725" s="666">
        <v>82</v>
      </c>
      <c r="J725" s="580">
        <f t="shared" si="227"/>
        <v>54495.642</v>
      </c>
      <c r="K725" s="631">
        <f t="shared" si="228"/>
        <v>112978.77</v>
      </c>
      <c r="L725" s="1062"/>
      <c r="M725" s="574"/>
      <c r="N725" s="667">
        <f t="shared" si="226"/>
        <v>664.58100000000002</v>
      </c>
      <c r="O725" s="636">
        <v>0</v>
      </c>
      <c r="P725" s="637">
        <v>664.58100000000002</v>
      </c>
      <c r="Q725" s="574"/>
      <c r="R725" s="574"/>
      <c r="S725" s="574"/>
    </row>
    <row r="726" spans="1:19" ht="21.3">
      <c r="A726" s="665"/>
      <c r="B726" s="617" t="s">
        <v>319</v>
      </c>
      <c r="C726" s="1125" t="s">
        <v>320</v>
      </c>
      <c r="D726" s="1126"/>
      <c r="E726" s="637">
        <f t="shared" si="215"/>
        <v>0</v>
      </c>
      <c r="F726" s="625" t="s">
        <v>34</v>
      </c>
      <c r="G726" s="666">
        <v>1955</v>
      </c>
      <c r="H726" s="633">
        <f t="shared" si="231"/>
        <v>0</v>
      </c>
      <c r="I726" s="666">
        <v>1700</v>
      </c>
      <c r="J726" s="580">
        <f t="shared" si="227"/>
        <v>0</v>
      </c>
      <c r="K726" s="631">
        <f t="shared" si="228"/>
        <v>0</v>
      </c>
      <c r="L726" s="1073"/>
      <c r="M726" s="574"/>
      <c r="N726" s="667">
        <f t="shared" si="226"/>
        <v>0</v>
      </c>
      <c r="O726" s="636">
        <v>0</v>
      </c>
      <c r="P726" s="637"/>
      <c r="Q726" s="574"/>
      <c r="R726" s="574"/>
      <c r="S726" s="574"/>
    </row>
    <row r="727" spans="1:19" ht="21.3">
      <c r="A727" s="665"/>
      <c r="B727" s="617"/>
      <c r="C727" s="1125" t="s">
        <v>321</v>
      </c>
      <c r="D727" s="1126"/>
      <c r="E727" s="637">
        <f t="shared" si="215"/>
        <v>0</v>
      </c>
      <c r="F727" s="625" t="s">
        <v>34</v>
      </c>
      <c r="G727" s="666">
        <v>0</v>
      </c>
      <c r="H727" s="633">
        <f t="shared" si="231"/>
        <v>0</v>
      </c>
      <c r="I727" s="666">
        <v>0</v>
      </c>
      <c r="J727" s="580">
        <f t="shared" si="227"/>
        <v>0</v>
      </c>
      <c r="K727" s="631">
        <f t="shared" si="228"/>
        <v>0</v>
      </c>
      <c r="L727" s="1073"/>
      <c r="M727" s="574"/>
      <c r="N727" s="667">
        <f t="shared" si="226"/>
        <v>0</v>
      </c>
      <c r="O727" s="636">
        <v>0</v>
      </c>
      <c r="P727" s="637"/>
      <c r="Q727" s="574"/>
      <c r="R727" s="574"/>
      <c r="S727" s="574"/>
    </row>
    <row r="728" spans="1:19" ht="21.3">
      <c r="A728" s="665"/>
      <c r="B728" s="617" t="s">
        <v>322</v>
      </c>
      <c r="C728" s="1125" t="s">
        <v>323</v>
      </c>
      <c r="D728" s="1126"/>
      <c r="E728" s="637">
        <f t="shared" si="215"/>
        <v>0</v>
      </c>
      <c r="F728" s="625" t="s">
        <v>34</v>
      </c>
      <c r="G728" s="666">
        <v>1296</v>
      </c>
      <c r="H728" s="633">
        <f t="shared" si="231"/>
        <v>0</v>
      </c>
      <c r="I728" s="666">
        <v>1600</v>
      </c>
      <c r="J728" s="580">
        <f t="shared" si="227"/>
        <v>0</v>
      </c>
      <c r="K728" s="631">
        <f t="shared" si="228"/>
        <v>0</v>
      </c>
      <c r="L728" s="1073"/>
      <c r="M728" s="574"/>
      <c r="N728" s="667">
        <f t="shared" si="226"/>
        <v>0</v>
      </c>
      <c r="O728" s="636">
        <v>0</v>
      </c>
      <c r="P728" s="637"/>
      <c r="Q728" s="574"/>
      <c r="R728" s="574"/>
      <c r="S728" s="574"/>
    </row>
    <row r="729" spans="1:19" ht="21.3">
      <c r="A729" s="665"/>
      <c r="B729" s="617" t="s">
        <v>324</v>
      </c>
      <c r="C729" s="1125" t="s">
        <v>325</v>
      </c>
      <c r="D729" s="1126"/>
      <c r="E729" s="637">
        <f t="shared" si="215"/>
        <v>0</v>
      </c>
      <c r="F729" s="625" t="s">
        <v>34</v>
      </c>
      <c r="G729" s="2048">
        <f>13+69</f>
        <v>82</v>
      </c>
      <c r="H729" s="633">
        <f t="shared" si="231"/>
        <v>0</v>
      </c>
      <c r="I729" s="2048">
        <f>30+28</f>
        <v>58</v>
      </c>
      <c r="J729" s="580">
        <f t="shared" si="227"/>
        <v>0</v>
      </c>
      <c r="K729" s="631">
        <f t="shared" si="228"/>
        <v>0</v>
      </c>
      <c r="L729" s="2049"/>
      <c r="M729" s="574"/>
      <c r="N729" s="667">
        <f t="shared" si="226"/>
        <v>0</v>
      </c>
      <c r="O729" s="636">
        <v>0</v>
      </c>
      <c r="P729" s="637"/>
      <c r="Q729" s="574"/>
      <c r="R729" s="574"/>
      <c r="S729" s="574"/>
    </row>
    <row r="730" spans="1:19" ht="21.3">
      <c r="A730" s="665"/>
      <c r="B730" s="617" t="s">
        <v>326</v>
      </c>
      <c r="C730" s="1125" t="s">
        <v>327</v>
      </c>
      <c r="D730" s="1126"/>
      <c r="E730" s="637">
        <f t="shared" si="215"/>
        <v>0</v>
      </c>
      <c r="F730" s="625" t="s">
        <v>34</v>
      </c>
      <c r="G730" s="666"/>
      <c r="H730" s="633">
        <f t="shared" si="231"/>
        <v>0</v>
      </c>
      <c r="I730" s="666"/>
      <c r="J730" s="580">
        <f t="shared" si="227"/>
        <v>0</v>
      </c>
      <c r="K730" s="631">
        <f t="shared" si="228"/>
        <v>0</v>
      </c>
      <c r="L730" s="1073"/>
      <c r="M730" s="574"/>
      <c r="N730" s="667">
        <f t="shared" si="226"/>
        <v>0</v>
      </c>
      <c r="O730" s="636">
        <v>0</v>
      </c>
      <c r="P730" s="637"/>
      <c r="Q730" s="574"/>
      <c r="R730" s="574"/>
      <c r="S730" s="574"/>
    </row>
    <row r="731" spans="1:19" ht="21.3">
      <c r="A731" s="665"/>
      <c r="B731" s="617" t="s">
        <v>328</v>
      </c>
      <c r="C731" s="617" t="s">
        <v>329</v>
      </c>
      <c r="D731" s="1126"/>
      <c r="E731" s="637">
        <f t="shared" si="215"/>
        <v>0</v>
      </c>
      <c r="F731" s="625" t="s">
        <v>34</v>
      </c>
      <c r="G731" s="666"/>
      <c r="H731" s="633">
        <f t="shared" si="231"/>
        <v>0</v>
      </c>
      <c r="I731" s="666"/>
      <c r="J731" s="580">
        <f t="shared" si="227"/>
        <v>0</v>
      </c>
      <c r="K731" s="631">
        <f t="shared" si="228"/>
        <v>0</v>
      </c>
      <c r="L731" s="1073"/>
      <c r="M731" s="574"/>
      <c r="N731" s="667">
        <f t="shared" si="226"/>
        <v>0</v>
      </c>
      <c r="O731" s="636">
        <v>0</v>
      </c>
      <c r="P731" s="637"/>
      <c r="Q731" s="574"/>
      <c r="R731" s="574"/>
      <c r="S731" s="574"/>
    </row>
    <row r="732" spans="1:19" ht="21.3">
      <c r="A732" s="665"/>
      <c r="B732" s="617"/>
      <c r="C732" s="617" t="s">
        <v>330</v>
      </c>
      <c r="D732" s="1129"/>
      <c r="E732" s="637"/>
      <c r="F732" s="625"/>
      <c r="G732" s="642"/>
      <c r="H732" s="668"/>
      <c r="I732" s="642"/>
      <c r="J732" s="580">
        <f t="shared" si="227"/>
        <v>0</v>
      </c>
      <c r="K732" s="631">
        <f t="shared" si="228"/>
        <v>0</v>
      </c>
      <c r="L732" s="1065"/>
      <c r="M732" s="574"/>
      <c r="N732" s="669">
        <f t="shared" si="226"/>
        <v>0</v>
      </c>
      <c r="O732" s="636">
        <v>0</v>
      </c>
      <c r="P732" s="637"/>
      <c r="Q732" s="574"/>
      <c r="R732" s="574"/>
      <c r="S732" s="574"/>
    </row>
    <row r="733" spans="1:19" ht="21.3">
      <c r="A733" s="665"/>
      <c r="B733" s="617"/>
      <c r="C733" s="1127" t="s">
        <v>1043</v>
      </c>
      <c r="D733" s="1126"/>
      <c r="E733" s="637">
        <f t="shared" ref="E733" si="232">+N733</f>
        <v>0</v>
      </c>
      <c r="F733" s="625" t="s">
        <v>34</v>
      </c>
      <c r="G733" s="2048">
        <v>69</v>
      </c>
      <c r="H733" s="633">
        <f t="shared" ref="H733:H735" si="233">SUM(E733*G733)</f>
        <v>0</v>
      </c>
      <c r="I733" s="2048">
        <v>28</v>
      </c>
      <c r="J733" s="580">
        <f t="shared" si="227"/>
        <v>0</v>
      </c>
      <c r="K733" s="631">
        <f t="shared" si="228"/>
        <v>0</v>
      </c>
      <c r="L733" s="2049"/>
      <c r="M733" s="574"/>
      <c r="N733" s="667">
        <f t="shared" si="226"/>
        <v>0</v>
      </c>
      <c r="O733" s="636">
        <v>0</v>
      </c>
      <c r="P733" s="637"/>
      <c r="Q733" s="574"/>
      <c r="R733" s="574"/>
      <c r="S733" s="574"/>
    </row>
    <row r="734" spans="1:19" ht="28.5">
      <c r="A734" s="665"/>
      <c r="B734" s="1114"/>
      <c r="C734" s="670"/>
      <c r="D734" s="670"/>
      <c r="E734" s="637"/>
      <c r="F734" s="625"/>
      <c r="G734" s="572">
        <f>+G555</f>
        <v>0</v>
      </c>
      <c r="H734" s="668">
        <f t="shared" si="233"/>
        <v>0</v>
      </c>
      <c r="I734" s="572">
        <f>+I555</f>
        <v>0</v>
      </c>
      <c r="J734" s="580">
        <f t="shared" si="227"/>
        <v>0</v>
      </c>
      <c r="K734" s="631">
        <f t="shared" si="228"/>
        <v>0</v>
      </c>
      <c r="L734" s="1061"/>
      <c r="M734" s="574"/>
      <c r="N734" s="669">
        <f t="shared" si="226"/>
        <v>0</v>
      </c>
      <c r="O734" s="636">
        <v>0</v>
      </c>
      <c r="P734" s="637"/>
      <c r="Q734" s="574"/>
      <c r="R734" s="574"/>
      <c r="S734" s="574"/>
    </row>
    <row r="735" spans="1:19" ht="21.3">
      <c r="A735" s="665" t="s">
        <v>337</v>
      </c>
      <c r="B735" s="1114" t="s">
        <v>338</v>
      </c>
      <c r="C735" s="617"/>
      <c r="D735" s="1129"/>
      <c r="E735" s="624"/>
      <c r="F735" s="625"/>
      <c r="G735" s="642">
        <f>+G556</f>
        <v>0</v>
      </c>
      <c r="H735" s="668">
        <f t="shared" si="233"/>
        <v>0</v>
      </c>
      <c r="I735" s="642">
        <f>+I556</f>
        <v>0</v>
      </c>
      <c r="J735" s="580">
        <f t="shared" si="227"/>
        <v>0</v>
      </c>
      <c r="K735" s="631">
        <f t="shared" si="228"/>
        <v>0</v>
      </c>
      <c r="L735" s="1061"/>
      <c r="M735" s="574"/>
      <c r="N735" s="629">
        <f t="shared" si="226"/>
        <v>0</v>
      </c>
      <c r="O735" s="630">
        <v>0</v>
      </c>
      <c r="P735" s="624"/>
      <c r="Q735" s="574"/>
      <c r="R735" s="574"/>
      <c r="S735" s="574"/>
    </row>
    <row r="736" spans="1:19" ht="21.3">
      <c r="A736" s="665"/>
      <c r="B736" s="1114"/>
      <c r="C736" s="1125" t="s">
        <v>259</v>
      </c>
      <c r="D736" s="1124"/>
      <c r="E736" s="624">
        <v>1853.652</v>
      </c>
      <c r="F736" s="625" t="s">
        <v>34</v>
      </c>
      <c r="G736" s="666">
        <v>281</v>
      </c>
      <c r="H736" s="633">
        <f>SUM(E736*G736)</f>
        <v>520876.212</v>
      </c>
      <c r="I736" s="666">
        <v>80</v>
      </c>
      <c r="J736" s="580">
        <f t="shared" si="227"/>
        <v>148292.16</v>
      </c>
      <c r="K736" s="631">
        <f t="shared" si="228"/>
        <v>669168.37199999997</v>
      </c>
      <c r="L736" s="1073"/>
      <c r="M736" s="574"/>
      <c r="N736" s="629">
        <f t="shared" si="226"/>
        <v>0</v>
      </c>
      <c r="O736" s="630">
        <v>0</v>
      </c>
      <c r="P736" s="624"/>
      <c r="Q736" s="574"/>
      <c r="R736" s="574"/>
      <c r="S736" s="574"/>
    </row>
    <row r="737" spans="1:19" ht="21.3">
      <c r="A737" s="665"/>
      <c r="B737" s="1114"/>
      <c r="C737" s="1125" t="s">
        <v>260</v>
      </c>
      <c r="D737" s="1124"/>
      <c r="E737" s="624">
        <f>+E772/2</f>
        <v>0</v>
      </c>
      <c r="F737" s="625" t="s">
        <v>34</v>
      </c>
      <c r="G737" s="666">
        <v>712</v>
      </c>
      <c r="H737" s="633">
        <f>SUM(E737*G737)</f>
        <v>0</v>
      </c>
      <c r="I737" s="666">
        <v>98</v>
      </c>
      <c r="J737" s="580">
        <f t="shared" si="227"/>
        <v>0</v>
      </c>
      <c r="K737" s="631">
        <f t="shared" si="228"/>
        <v>0</v>
      </c>
      <c r="L737" s="1073"/>
      <c r="M737" s="574"/>
      <c r="N737" s="629">
        <f t="shared" si="226"/>
        <v>0</v>
      </c>
      <c r="O737" s="630">
        <v>0</v>
      </c>
      <c r="P737" s="624"/>
      <c r="Q737" s="574"/>
      <c r="R737" s="574"/>
      <c r="S737" s="574"/>
    </row>
    <row r="738" spans="1:19" ht="21.3">
      <c r="A738" s="665"/>
      <c r="B738" s="1114"/>
      <c r="C738" s="1125" t="s">
        <v>261</v>
      </c>
      <c r="D738" s="1124"/>
      <c r="E738" s="624">
        <f>+E736*1.33</f>
        <v>2465.35716</v>
      </c>
      <c r="F738" s="625" t="s">
        <v>226</v>
      </c>
      <c r="G738" s="666">
        <v>119</v>
      </c>
      <c r="H738" s="633">
        <f>SUM(E738*G738)</f>
        <v>293377.50203999999</v>
      </c>
      <c r="I738" s="666">
        <v>44</v>
      </c>
      <c r="J738" s="580">
        <f t="shared" si="227"/>
        <v>108475.71504</v>
      </c>
      <c r="K738" s="631">
        <f t="shared" si="228"/>
        <v>401853.21707999997</v>
      </c>
      <c r="L738" s="1073"/>
      <c r="M738" s="574"/>
      <c r="N738" s="629">
        <f t="shared" si="226"/>
        <v>0</v>
      </c>
      <c r="O738" s="630">
        <v>0</v>
      </c>
      <c r="P738" s="624"/>
      <c r="Q738" s="574"/>
      <c r="R738" s="574"/>
      <c r="S738" s="574"/>
    </row>
    <row r="739" spans="1:19" ht="21.3">
      <c r="A739" s="665"/>
      <c r="B739" s="1114"/>
      <c r="C739" s="1125" t="s">
        <v>262</v>
      </c>
      <c r="D739" s="1124"/>
      <c r="E739" s="624">
        <f>+E737*1.33</f>
        <v>0</v>
      </c>
      <c r="F739" s="625" t="s">
        <v>226</v>
      </c>
      <c r="G739" s="666">
        <v>208</v>
      </c>
      <c r="H739" s="633">
        <f>SUM(E739*G739)</f>
        <v>0</v>
      </c>
      <c r="I739" s="666">
        <v>78</v>
      </c>
      <c r="J739" s="580">
        <f t="shared" si="227"/>
        <v>0</v>
      </c>
      <c r="K739" s="631">
        <f t="shared" si="228"/>
        <v>0</v>
      </c>
      <c r="L739" s="1073"/>
      <c r="M739" s="574"/>
      <c r="N739" s="629">
        <f t="shared" si="226"/>
        <v>0</v>
      </c>
      <c r="O739" s="630">
        <v>0</v>
      </c>
      <c r="P739" s="624"/>
      <c r="Q739" s="574"/>
      <c r="R739" s="574"/>
      <c r="S739" s="574"/>
    </row>
    <row r="740" spans="1:19" ht="21.3">
      <c r="A740" s="665"/>
      <c r="B740" s="1114"/>
      <c r="C740" s="1125" t="s">
        <v>263</v>
      </c>
      <c r="D740" s="1124"/>
      <c r="E740" s="624">
        <f>+E768+E769+E771+E776+E778+E790</f>
        <v>837.68</v>
      </c>
      <c r="F740" s="625" t="s">
        <v>34</v>
      </c>
      <c r="G740" s="666">
        <v>88</v>
      </c>
      <c r="H740" s="633">
        <f>SUM(E740*G740)</f>
        <v>73715.839999999997</v>
      </c>
      <c r="I740" s="666">
        <v>82</v>
      </c>
      <c r="J740" s="580">
        <f t="shared" si="227"/>
        <v>68689.759999999995</v>
      </c>
      <c r="K740" s="631">
        <f t="shared" si="228"/>
        <v>142405.59999999998</v>
      </c>
      <c r="L740" s="1062"/>
      <c r="M740" s="574"/>
      <c r="N740" s="629">
        <f t="shared" si="226"/>
        <v>0</v>
      </c>
      <c r="O740" s="630">
        <v>0</v>
      </c>
      <c r="P740" s="624"/>
      <c r="Q740" s="574"/>
      <c r="R740" s="574"/>
      <c r="S740" s="574"/>
    </row>
    <row r="741" spans="1:19" ht="21.3">
      <c r="A741" s="665"/>
      <c r="B741" s="617" t="s">
        <v>264</v>
      </c>
      <c r="C741" s="1125" t="s">
        <v>265</v>
      </c>
      <c r="D741" s="1126"/>
      <c r="E741" s="637">
        <f>+N741</f>
        <v>0</v>
      </c>
      <c r="F741" s="625" t="s">
        <v>34</v>
      </c>
      <c r="G741" s="666">
        <v>88</v>
      </c>
      <c r="H741" s="633">
        <f t="shared" ref="H741:H747" si="234">SUM(E741*G741)</f>
        <v>0</v>
      </c>
      <c r="I741" s="666">
        <v>95</v>
      </c>
      <c r="J741" s="580">
        <f t="shared" si="227"/>
        <v>0</v>
      </c>
      <c r="K741" s="631">
        <f t="shared" si="228"/>
        <v>0</v>
      </c>
      <c r="L741" s="1062"/>
      <c r="M741" s="574"/>
      <c r="N741" s="667">
        <f t="shared" si="226"/>
        <v>0</v>
      </c>
      <c r="O741" s="636">
        <v>0</v>
      </c>
      <c r="P741" s="637"/>
      <c r="Q741" s="574"/>
      <c r="R741" s="574"/>
      <c r="S741" s="574"/>
    </row>
    <row r="742" spans="1:19" ht="21.3">
      <c r="A742" s="665"/>
      <c r="B742" s="617"/>
      <c r="C742" s="1125" t="s">
        <v>266</v>
      </c>
      <c r="D742" s="1126"/>
      <c r="E742" s="637">
        <f t="shared" ref="E742:E791" si="235">+N742</f>
        <v>0</v>
      </c>
      <c r="F742" s="625" t="s">
        <v>34</v>
      </c>
      <c r="G742" s="2048">
        <v>69</v>
      </c>
      <c r="H742" s="633">
        <f t="shared" si="234"/>
        <v>0</v>
      </c>
      <c r="I742" s="2048">
        <v>28</v>
      </c>
      <c r="J742" s="580">
        <f t="shared" si="227"/>
        <v>0</v>
      </c>
      <c r="K742" s="631">
        <f t="shared" si="228"/>
        <v>0</v>
      </c>
      <c r="L742" s="2049"/>
      <c r="M742" s="574"/>
      <c r="N742" s="667">
        <f t="shared" si="226"/>
        <v>0</v>
      </c>
      <c r="O742" s="636">
        <v>0</v>
      </c>
      <c r="P742" s="637"/>
      <c r="Q742" s="574"/>
      <c r="R742" s="574"/>
      <c r="S742" s="574"/>
    </row>
    <row r="743" spans="1:19" ht="21.3">
      <c r="A743" s="665"/>
      <c r="B743" s="617" t="s">
        <v>267</v>
      </c>
      <c r="C743" s="1125" t="s">
        <v>268</v>
      </c>
      <c r="D743" s="1126"/>
      <c r="E743" s="637">
        <f t="shared" si="235"/>
        <v>1982.21</v>
      </c>
      <c r="F743" s="625" t="s">
        <v>34</v>
      </c>
      <c r="G743" s="666">
        <v>88</v>
      </c>
      <c r="H743" s="633">
        <f t="shared" si="234"/>
        <v>174434.48</v>
      </c>
      <c r="I743" s="666">
        <v>82</v>
      </c>
      <c r="J743" s="580">
        <f t="shared" si="227"/>
        <v>162541.22</v>
      </c>
      <c r="K743" s="631">
        <f t="shared" si="228"/>
        <v>336975.7</v>
      </c>
      <c r="L743" s="1062"/>
      <c r="M743" s="574"/>
      <c r="N743" s="667">
        <f t="shared" si="226"/>
        <v>1982.21</v>
      </c>
      <c r="O743" s="636">
        <v>0</v>
      </c>
      <c r="P743" s="637">
        <v>1982.21</v>
      </c>
      <c r="Q743" s="574">
        <f>81*3.72*3.6</f>
        <v>1084.752</v>
      </c>
      <c r="R743" s="574"/>
      <c r="S743" s="574"/>
    </row>
    <row r="744" spans="1:19" ht="21.3">
      <c r="A744" s="665"/>
      <c r="B744" s="617" t="s">
        <v>269</v>
      </c>
      <c r="C744" s="1125" t="s">
        <v>265</v>
      </c>
      <c r="D744" s="1126"/>
      <c r="E744" s="637">
        <f t="shared" si="235"/>
        <v>547.41999999999996</v>
      </c>
      <c r="F744" s="625" t="s">
        <v>34</v>
      </c>
      <c r="G744" s="666">
        <v>88</v>
      </c>
      <c r="H744" s="633">
        <f t="shared" si="234"/>
        <v>48172.959999999999</v>
      </c>
      <c r="I744" s="666">
        <v>82</v>
      </c>
      <c r="J744" s="580">
        <f t="shared" si="227"/>
        <v>44888.439999999995</v>
      </c>
      <c r="K744" s="631">
        <f t="shared" si="228"/>
        <v>93061.4</v>
      </c>
      <c r="L744" s="1062"/>
      <c r="M744" s="574"/>
      <c r="N744" s="667">
        <f t="shared" si="226"/>
        <v>547.41999999999996</v>
      </c>
      <c r="O744" s="636">
        <v>0</v>
      </c>
      <c r="P744" s="637">
        <v>547.41999999999996</v>
      </c>
      <c r="Q744" s="574"/>
      <c r="R744" s="574"/>
      <c r="S744" s="574"/>
    </row>
    <row r="745" spans="1:19" ht="21.3">
      <c r="A745" s="665"/>
      <c r="B745" s="617"/>
      <c r="C745" s="1125" t="s">
        <v>270</v>
      </c>
      <c r="D745" s="1126"/>
      <c r="E745" s="637">
        <f t="shared" si="235"/>
        <v>547.41999999999996</v>
      </c>
      <c r="F745" s="625" t="s">
        <v>34</v>
      </c>
      <c r="G745" s="2048">
        <v>69</v>
      </c>
      <c r="H745" s="633">
        <f t="shared" si="234"/>
        <v>37771.979999999996</v>
      </c>
      <c r="I745" s="2048">
        <v>28</v>
      </c>
      <c r="J745" s="580">
        <f t="shared" si="227"/>
        <v>15327.759999999998</v>
      </c>
      <c r="K745" s="631">
        <f t="shared" si="228"/>
        <v>53099.739999999991</v>
      </c>
      <c r="L745" s="2049"/>
      <c r="M745" s="574"/>
      <c r="N745" s="667">
        <f t="shared" si="226"/>
        <v>547.41999999999996</v>
      </c>
      <c r="O745" s="636">
        <v>0</v>
      </c>
      <c r="P745" s="637">
        <v>547.41999999999996</v>
      </c>
      <c r="Q745" s="574"/>
      <c r="R745" s="574"/>
      <c r="S745" s="574"/>
    </row>
    <row r="746" spans="1:19" ht="21.3">
      <c r="A746" s="665"/>
      <c r="B746" s="617" t="s">
        <v>271</v>
      </c>
      <c r="C746" s="1125" t="s">
        <v>272</v>
      </c>
      <c r="D746" s="1126"/>
      <c r="E746" s="637">
        <f t="shared" si="235"/>
        <v>0</v>
      </c>
      <c r="F746" s="625" t="s">
        <v>34</v>
      </c>
      <c r="G746" s="666">
        <v>103</v>
      </c>
      <c r="H746" s="633">
        <f t="shared" si="234"/>
        <v>0</v>
      </c>
      <c r="I746" s="666">
        <v>115</v>
      </c>
      <c r="J746" s="580">
        <f t="shared" si="227"/>
        <v>0</v>
      </c>
      <c r="K746" s="631">
        <f t="shared" si="228"/>
        <v>0</v>
      </c>
      <c r="L746" s="1062"/>
      <c r="M746" s="574"/>
      <c r="N746" s="667">
        <f t="shared" si="226"/>
        <v>0</v>
      </c>
      <c r="O746" s="636">
        <v>0</v>
      </c>
      <c r="P746" s="637"/>
      <c r="Q746" s="574"/>
      <c r="R746" s="574"/>
      <c r="S746" s="574"/>
    </row>
    <row r="747" spans="1:19" ht="21.3">
      <c r="A747" s="665"/>
      <c r="B747" s="617"/>
      <c r="C747" s="1125" t="s">
        <v>273</v>
      </c>
      <c r="D747" s="1126"/>
      <c r="E747" s="637">
        <f t="shared" si="235"/>
        <v>0</v>
      </c>
      <c r="F747" s="625" t="s">
        <v>34</v>
      </c>
      <c r="G747" s="2048">
        <v>69</v>
      </c>
      <c r="H747" s="633">
        <f t="shared" si="234"/>
        <v>0</v>
      </c>
      <c r="I747" s="2048">
        <v>28</v>
      </c>
      <c r="J747" s="580">
        <f t="shared" si="227"/>
        <v>0</v>
      </c>
      <c r="K747" s="631">
        <f t="shared" si="228"/>
        <v>0</v>
      </c>
      <c r="L747" s="2049"/>
      <c r="M747" s="574"/>
      <c r="N747" s="667">
        <f t="shared" si="226"/>
        <v>0</v>
      </c>
      <c r="O747" s="636">
        <v>0</v>
      </c>
      <c r="P747" s="637"/>
      <c r="Q747" s="574"/>
      <c r="R747" s="574"/>
      <c r="S747" s="574"/>
    </row>
    <row r="748" spans="1:19" ht="21.3">
      <c r="A748" s="665"/>
      <c r="B748" s="617"/>
      <c r="C748" s="1125"/>
      <c r="D748" s="1126"/>
      <c r="E748" s="637"/>
      <c r="F748" s="625"/>
      <c r="G748" s="2048"/>
      <c r="H748" s="633"/>
      <c r="I748" s="2048"/>
      <c r="J748" s="580"/>
      <c r="K748" s="631"/>
      <c r="L748" s="2049"/>
      <c r="M748" s="574"/>
      <c r="N748" s="667"/>
      <c r="O748" s="636"/>
      <c r="P748" s="637"/>
      <c r="Q748" s="574"/>
      <c r="R748" s="574"/>
      <c r="S748" s="574"/>
    </row>
    <row r="749" spans="1:19" ht="21.3">
      <c r="A749" s="665"/>
      <c r="B749" s="617" t="s">
        <v>274</v>
      </c>
      <c r="C749" s="1125" t="s">
        <v>275</v>
      </c>
      <c r="D749" s="1126"/>
      <c r="E749" s="637">
        <f t="shared" si="235"/>
        <v>0</v>
      </c>
      <c r="F749" s="625" t="s">
        <v>34</v>
      </c>
      <c r="G749" s="572">
        <v>1500</v>
      </c>
      <c r="H749" s="580">
        <f t="shared" ref="H749" si="236">E749*G749</f>
        <v>0</v>
      </c>
      <c r="I749" s="572">
        <v>500</v>
      </c>
      <c r="J749" s="580">
        <f t="shared" si="227"/>
        <v>0</v>
      </c>
      <c r="K749" s="631">
        <f t="shared" si="228"/>
        <v>0</v>
      </c>
      <c r="L749" s="1061"/>
      <c r="M749" s="574"/>
      <c r="N749" s="667">
        <f t="shared" si="226"/>
        <v>0</v>
      </c>
      <c r="O749" s="636">
        <v>0</v>
      </c>
      <c r="P749" s="637"/>
      <c r="Q749" s="574"/>
      <c r="R749" s="574"/>
      <c r="S749" s="574"/>
    </row>
    <row r="750" spans="1:19" ht="21.3">
      <c r="A750" s="665"/>
      <c r="B750" s="617"/>
      <c r="C750" s="1125" t="s">
        <v>273</v>
      </c>
      <c r="D750" s="1126"/>
      <c r="E750" s="637">
        <f t="shared" si="235"/>
        <v>0</v>
      </c>
      <c r="F750" s="625" t="s">
        <v>34</v>
      </c>
      <c r="G750" s="2048">
        <v>69</v>
      </c>
      <c r="H750" s="633">
        <f t="shared" ref="H750" si="237">SUM(E750*G750)</f>
        <v>0</v>
      </c>
      <c r="I750" s="2048">
        <v>28</v>
      </c>
      <c r="J750" s="580">
        <f t="shared" si="227"/>
        <v>0</v>
      </c>
      <c r="K750" s="631">
        <f t="shared" si="228"/>
        <v>0</v>
      </c>
      <c r="L750" s="2049"/>
      <c r="M750" s="574"/>
      <c r="N750" s="667">
        <f t="shared" si="226"/>
        <v>0</v>
      </c>
      <c r="O750" s="636">
        <v>0</v>
      </c>
      <c r="P750" s="637"/>
      <c r="Q750" s="574"/>
      <c r="R750" s="574"/>
      <c r="S750" s="574"/>
    </row>
    <row r="751" spans="1:19" ht="21.3">
      <c r="A751" s="665"/>
      <c r="B751" s="617" t="s">
        <v>276</v>
      </c>
      <c r="C751" s="1125" t="s">
        <v>277</v>
      </c>
      <c r="D751" s="1126"/>
      <c r="E751" s="637">
        <f t="shared" si="235"/>
        <v>0</v>
      </c>
      <c r="F751" s="625" t="s">
        <v>34</v>
      </c>
      <c r="G751" s="572">
        <v>492</v>
      </c>
      <c r="H751" s="580">
        <f t="shared" ref="H751" si="238">E751*G751</f>
        <v>0</v>
      </c>
      <c r="I751" s="572">
        <v>130</v>
      </c>
      <c r="J751" s="580">
        <f t="shared" si="227"/>
        <v>0</v>
      </c>
      <c r="K751" s="631">
        <f t="shared" si="228"/>
        <v>0</v>
      </c>
      <c r="L751" s="2049"/>
      <c r="M751" s="574"/>
      <c r="N751" s="667">
        <f t="shared" si="226"/>
        <v>0</v>
      </c>
      <c r="O751" s="636">
        <v>0</v>
      </c>
      <c r="P751" s="637"/>
      <c r="Q751" s="574"/>
      <c r="R751" s="574"/>
      <c r="S751" s="574"/>
    </row>
    <row r="752" spans="1:19" ht="21.3">
      <c r="A752" s="665"/>
      <c r="B752" s="617"/>
      <c r="C752" s="1125" t="s">
        <v>278</v>
      </c>
      <c r="D752" s="1126"/>
      <c r="E752" s="637">
        <f t="shared" si="235"/>
        <v>0</v>
      </c>
      <c r="F752" s="619"/>
      <c r="G752" s="572"/>
      <c r="H752" s="580"/>
      <c r="I752" s="572"/>
      <c r="J752" s="580">
        <f t="shared" si="227"/>
        <v>0</v>
      </c>
      <c r="K752" s="631">
        <f t="shared" si="228"/>
        <v>0</v>
      </c>
      <c r="L752" s="2049"/>
      <c r="M752" s="574"/>
      <c r="N752" s="629">
        <f t="shared" si="226"/>
        <v>0</v>
      </c>
      <c r="O752" s="630">
        <v>0</v>
      </c>
      <c r="P752" s="624"/>
      <c r="Q752" s="574"/>
      <c r="R752" s="574"/>
      <c r="S752" s="574"/>
    </row>
    <row r="753" spans="1:19" ht="21.3">
      <c r="A753" s="665"/>
      <c r="B753" s="617" t="s">
        <v>279</v>
      </c>
      <c r="C753" s="1125" t="s">
        <v>280</v>
      </c>
      <c r="D753" s="1126"/>
      <c r="E753" s="637">
        <f t="shared" si="235"/>
        <v>0</v>
      </c>
      <c r="F753" s="625" t="s">
        <v>34</v>
      </c>
      <c r="G753" s="572">
        <v>256</v>
      </c>
      <c r="H753" s="580">
        <f t="shared" ref="H753" si="239">E753*G753</f>
        <v>0</v>
      </c>
      <c r="I753" s="572">
        <v>100</v>
      </c>
      <c r="J753" s="580">
        <f t="shared" si="227"/>
        <v>0</v>
      </c>
      <c r="K753" s="631">
        <f t="shared" si="228"/>
        <v>0</v>
      </c>
      <c r="L753" s="2049"/>
      <c r="M753" s="574"/>
      <c r="N753" s="667">
        <f t="shared" si="226"/>
        <v>0</v>
      </c>
      <c r="O753" s="636">
        <v>0</v>
      </c>
      <c r="P753" s="637"/>
      <c r="Q753" s="574"/>
      <c r="R753" s="574"/>
      <c r="S753" s="574"/>
    </row>
    <row r="754" spans="1:19" ht="21.3">
      <c r="A754" s="665"/>
      <c r="B754" s="617"/>
      <c r="C754" s="1125" t="s">
        <v>281</v>
      </c>
      <c r="D754" s="1126"/>
      <c r="E754" s="637">
        <f t="shared" si="235"/>
        <v>0</v>
      </c>
      <c r="F754" s="619"/>
      <c r="G754" s="572"/>
      <c r="H754" s="580"/>
      <c r="I754" s="572"/>
      <c r="J754" s="580">
        <f t="shared" si="227"/>
        <v>0</v>
      </c>
      <c r="K754" s="631">
        <f t="shared" si="228"/>
        <v>0</v>
      </c>
      <c r="L754" s="2049"/>
      <c r="M754" s="574"/>
      <c r="N754" s="629">
        <f t="shared" si="226"/>
        <v>0</v>
      </c>
      <c r="O754" s="630">
        <v>0</v>
      </c>
      <c r="P754" s="624"/>
      <c r="Q754" s="574"/>
      <c r="R754" s="574"/>
      <c r="S754" s="574"/>
    </row>
    <row r="755" spans="1:19" ht="21.3">
      <c r="A755" s="665"/>
      <c r="B755" s="617" t="s">
        <v>282</v>
      </c>
      <c r="C755" s="1125" t="s">
        <v>280</v>
      </c>
      <c r="D755" s="1126"/>
      <c r="E755" s="637">
        <f t="shared" si="235"/>
        <v>0</v>
      </c>
      <c r="F755" s="625" t="s">
        <v>34</v>
      </c>
      <c r="G755" s="572">
        <v>256</v>
      </c>
      <c r="H755" s="580">
        <f t="shared" ref="H755" si="240">E755*G755</f>
        <v>0</v>
      </c>
      <c r="I755" s="572">
        <v>100</v>
      </c>
      <c r="J755" s="580">
        <f t="shared" si="227"/>
        <v>0</v>
      </c>
      <c r="K755" s="631">
        <f t="shared" si="228"/>
        <v>0</v>
      </c>
      <c r="L755" s="2049"/>
      <c r="M755" s="574"/>
      <c r="N755" s="667">
        <f t="shared" si="226"/>
        <v>0</v>
      </c>
      <c r="O755" s="636">
        <v>0</v>
      </c>
      <c r="P755" s="637"/>
      <c r="Q755" s="574"/>
      <c r="R755" s="574"/>
      <c r="S755" s="574"/>
    </row>
    <row r="756" spans="1:19" ht="21.3">
      <c r="A756" s="665"/>
      <c r="B756" s="617"/>
      <c r="C756" s="1125" t="s">
        <v>281</v>
      </c>
      <c r="D756" s="1126"/>
      <c r="E756" s="637">
        <f t="shared" si="235"/>
        <v>0</v>
      </c>
      <c r="F756" s="619"/>
      <c r="G756" s="572"/>
      <c r="H756" s="580"/>
      <c r="I756" s="572"/>
      <c r="J756" s="580">
        <f t="shared" si="227"/>
        <v>0</v>
      </c>
      <c r="K756" s="631">
        <f t="shared" si="228"/>
        <v>0</v>
      </c>
      <c r="L756" s="1062"/>
      <c r="M756" s="574"/>
      <c r="N756" s="629">
        <f t="shared" si="226"/>
        <v>0</v>
      </c>
      <c r="O756" s="630">
        <v>0</v>
      </c>
      <c r="P756" s="624"/>
      <c r="Q756" s="574"/>
      <c r="R756" s="574"/>
      <c r="S756" s="574"/>
    </row>
    <row r="757" spans="1:19" ht="21.3">
      <c r="A757" s="665"/>
      <c r="B757" s="617"/>
      <c r="C757" s="1125" t="s">
        <v>283</v>
      </c>
      <c r="D757" s="1126"/>
      <c r="E757" s="637">
        <f t="shared" si="235"/>
        <v>0</v>
      </c>
      <c r="F757" s="625" t="s">
        <v>34</v>
      </c>
      <c r="G757" s="2048">
        <v>69</v>
      </c>
      <c r="H757" s="633">
        <f t="shared" ref="H757" si="241">SUM(E757*G757)</f>
        <v>0</v>
      </c>
      <c r="I757" s="2048">
        <v>28</v>
      </c>
      <c r="J757" s="580">
        <f t="shared" si="227"/>
        <v>0</v>
      </c>
      <c r="K757" s="631">
        <f t="shared" si="228"/>
        <v>0</v>
      </c>
      <c r="L757" s="2049"/>
      <c r="M757" s="574"/>
      <c r="N757" s="667">
        <f t="shared" si="226"/>
        <v>0</v>
      </c>
      <c r="O757" s="636">
        <v>0</v>
      </c>
      <c r="P757" s="637"/>
      <c r="Q757" s="574"/>
      <c r="R757" s="574"/>
      <c r="S757" s="574"/>
    </row>
    <row r="758" spans="1:19" ht="21.3">
      <c r="A758" s="665"/>
      <c r="B758" s="617" t="s">
        <v>284</v>
      </c>
      <c r="C758" s="1125" t="s">
        <v>280</v>
      </c>
      <c r="D758" s="1126"/>
      <c r="E758" s="637">
        <f t="shared" si="235"/>
        <v>0</v>
      </c>
      <c r="F758" s="625" t="s">
        <v>34</v>
      </c>
      <c r="G758" s="572">
        <v>592</v>
      </c>
      <c r="H758" s="580">
        <f t="shared" ref="H758" si="242">E758*G758</f>
        <v>0</v>
      </c>
      <c r="I758" s="572">
        <v>165</v>
      </c>
      <c r="J758" s="580">
        <f t="shared" si="227"/>
        <v>0</v>
      </c>
      <c r="K758" s="631">
        <f t="shared" si="228"/>
        <v>0</v>
      </c>
      <c r="L758" s="2049"/>
      <c r="M758" s="574"/>
      <c r="N758" s="667">
        <f t="shared" si="226"/>
        <v>0</v>
      </c>
      <c r="O758" s="636">
        <v>0</v>
      </c>
      <c r="P758" s="637"/>
      <c r="Q758" s="574"/>
      <c r="R758" s="574"/>
      <c r="S758" s="574"/>
    </row>
    <row r="759" spans="1:19" ht="21.3">
      <c r="A759" s="665"/>
      <c r="B759" s="617"/>
      <c r="C759" s="1125" t="s">
        <v>285</v>
      </c>
      <c r="D759" s="1126"/>
      <c r="E759" s="637">
        <f t="shared" si="235"/>
        <v>0</v>
      </c>
      <c r="F759" s="619"/>
      <c r="G759" s="572"/>
      <c r="H759" s="580"/>
      <c r="I759" s="572"/>
      <c r="J759" s="580">
        <f t="shared" si="227"/>
        <v>0</v>
      </c>
      <c r="K759" s="631">
        <f t="shared" si="228"/>
        <v>0</v>
      </c>
      <c r="L759" s="1062"/>
      <c r="M759" s="574"/>
      <c r="N759" s="629">
        <f t="shared" si="226"/>
        <v>0</v>
      </c>
      <c r="O759" s="630">
        <v>0</v>
      </c>
      <c r="P759" s="624"/>
      <c r="Q759" s="574"/>
      <c r="R759" s="574"/>
      <c r="S759" s="574"/>
    </row>
    <row r="760" spans="1:19" ht="21.3">
      <c r="A760" s="665"/>
      <c r="B760" s="617" t="s">
        <v>286</v>
      </c>
      <c r="C760" s="1125" t="s">
        <v>280</v>
      </c>
      <c r="D760" s="1126"/>
      <c r="E760" s="637">
        <f t="shared" si="235"/>
        <v>0</v>
      </c>
      <c r="F760" s="625" t="s">
        <v>34</v>
      </c>
      <c r="G760" s="572">
        <v>642</v>
      </c>
      <c r="H760" s="580">
        <f t="shared" ref="H760" si="243">E760*G760</f>
        <v>0</v>
      </c>
      <c r="I760" s="572">
        <v>183</v>
      </c>
      <c r="J760" s="580">
        <f t="shared" si="227"/>
        <v>0</v>
      </c>
      <c r="K760" s="631">
        <f t="shared" si="228"/>
        <v>0</v>
      </c>
      <c r="L760" s="2049"/>
      <c r="M760" s="574"/>
      <c r="N760" s="667">
        <f t="shared" si="226"/>
        <v>0</v>
      </c>
      <c r="O760" s="636">
        <v>0</v>
      </c>
      <c r="P760" s="637"/>
      <c r="Q760" s="574"/>
      <c r="R760" s="574"/>
      <c r="S760" s="574"/>
    </row>
    <row r="761" spans="1:19" ht="21.3">
      <c r="A761" s="665"/>
      <c r="B761" s="617"/>
      <c r="C761" s="1125" t="s">
        <v>287</v>
      </c>
      <c r="D761" s="1126"/>
      <c r="E761" s="637">
        <f t="shared" si="235"/>
        <v>0</v>
      </c>
      <c r="F761" s="619"/>
      <c r="G761" s="572"/>
      <c r="H761" s="580"/>
      <c r="I761" s="572"/>
      <c r="J761" s="580">
        <f t="shared" si="227"/>
        <v>0</v>
      </c>
      <c r="K761" s="631">
        <f t="shared" si="228"/>
        <v>0</v>
      </c>
      <c r="L761" s="1073"/>
      <c r="M761" s="574"/>
      <c r="N761" s="629">
        <f t="shared" si="226"/>
        <v>0</v>
      </c>
      <c r="O761" s="630">
        <v>0</v>
      </c>
      <c r="P761" s="624"/>
      <c r="Q761" s="574"/>
      <c r="R761" s="574"/>
      <c r="S761" s="574"/>
    </row>
    <row r="762" spans="1:19" ht="21.3">
      <c r="A762" s="665"/>
      <c r="B762" s="617"/>
      <c r="C762" s="1125" t="s">
        <v>288</v>
      </c>
      <c r="D762" s="1126"/>
      <c r="E762" s="637">
        <f t="shared" si="235"/>
        <v>0</v>
      </c>
      <c r="F762" s="619"/>
      <c r="G762" s="572"/>
      <c r="H762" s="580"/>
      <c r="I762" s="572"/>
      <c r="J762" s="580">
        <f t="shared" si="227"/>
        <v>0</v>
      </c>
      <c r="K762" s="631">
        <f t="shared" si="228"/>
        <v>0</v>
      </c>
      <c r="L762" s="1073"/>
      <c r="M762" s="574"/>
      <c r="N762" s="629">
        <f t="shared" si="226"/>
        <v>0</v>
      </c>
      <c r="O762" s="630">
        <v>0</v>
      </c>
      <c r="P762" s="624"/>
      <c r="Q762" s="574"/>
      <c r="R762" s="574"/>
      <c r="S762" s="574"/>
    </row>
    <row r="763" spans="1:19" ht="21.3">
      <c r="A763" s="665"/>
      <c r="B763" s="617" t="s">
        <v>289</v>
      </c>
      <c r="C763" s="1125" t="s">
        <v>280</v>
      </c>
      <c r="D763" s="1126"/>
      <c r="E763" s="637">
        <f t="shared" si="235"/>
        <v>0</v>
      </c>
      <c r="F763" s="625" t="s">
        <v>34</v>
      </c>
      <c r="G763" s="572">
        <v>520</v>
      </c>
      <c r="H763" s="580">
        <f t="shared" ref="H763" si="244">E763*G763</f>
        <v>0</v>
      </c>
      <c r="I763" s="572">
        <v>270</v>
      </c>
      <c r="J763" s="580">
        <f t="shared" si="227"/>
        <v>0</v>
      </c>
      <c r="K763" s="631">
        <f t="shared" si="228"/>
        <v>0</v>
      </c>
      <c r="L763" s="1074"/>
      <c r="M763" s="574"/>
      <c r="N763" s="667">
        <f t="shared" si="226"/>
        <v>0</v>
      </c>
      <c r="O763" s="636">
        <v>0</v>
      </c>
      <c r="P763" s="637"/>
      <c r="Q763" s="574"/>
      <c r="R763" s="574"/>
      <c r="S763" s="574"/>
    </row>
    <row r="764" spans="1:19" ht="21.3">
      <c r="A764" s="665"/>
      <c r="B764" s="617"/>
      <c r="C764" s="1125" t="s">
        <v>290</v>
      </c>
      <c r="D764" s="1126"/>
      <c r="E764" s="637">
        <f t="shared" si="235"/>
        <v>0</v>
      </c>
      <c r="F764" s="619"/>
      <c r="G764" s="572"/>
      <c r="H764" s="580"/>
      <c r="I764" s="572"/>
      <c r="J764" s="580">
        <f t="shared" si="227"/>
        <v>0</v>
      </c>
      <c r="K764" s="631">
        <f t="shared" si="228"/>
        <v>0</v>
      </c>
      <c r="L764" s="1073"/>
      <c r="M764" s="574"/>
      <c r="N764" s="629">
        <f t="shared" si="226"/>
        <v>0</v>
      </c>
      <c r="O764" s="630">
        <v>0</v>
      </c>
      <c r="P764" s="624"/>
      <c r="Q764" s="574"/>
      <c r="R764" s="574"/>
      <c r="S764" s="574"/>
    </row>
    <row r="765" spans="1:19" ht="21.3">
      <c r="A765" s="665"/>
      <c r="B765" s="617" t="s">
        <v>291</v>
      </c>
      <c r="C765" s="1125" t="s">
        <v>280</v>
      </c>
      <c r="D765" s="1126"/>
      <c r="E765" s="637">
        <f t="shared" si="235"/>
        <v>0</v>
      </c>
      <c r="F765" s="625" t="s">
        <v>34</v>
      </c>
      <c r="G765" s="572">
        <v>256</v>
      </c>
      <c r="H765" s="580">
        <f t="shared" ref="H765:H766" si="245">E765*G765</f>
        <v>0</v>
      </c>
      <c r="I765" s="572">
        <v>100</v>
      </c>
      <c r="J765" s="580">
        <f t="shared" si="227"/>
        <v>0</v>
      </c>
      <c r="K765" s="631">
        <f t="shared" si="228"/>
        <v>0</v>
      </c>
      <c r="L765" s="2049"/>
      <c r="M765" s="574"/>
      <c r="N765" s="667">
        <f t="shared" si="226"/>
        <v>0</v>
      </c>
      <c r="O765" s="636">
        <v>0</v>
      </c>
      <c r="P765" s="637"/>
      <c r="Q765" s="574"/>
      <c r="R765" s="574"/>
      <c r="S765" s="574"/>
    </row>
    <row r="766" spans="1:19" ht="21.3">
      <c r="A766" s="665"/>
      <c r="B766" s="617"/>
      <c r="C766" s="1125" t="s">
        <v>292</v>
      </c>
      <c r="D766" s="1126"/>
      <c r="E766" s="637">
        <f t="shared" si="235"/>
        <v>0</v>
      </c>
      <c r="F766" s="619"/>
      <c r="G766" s="572">
        <v>0</v>
      </c>
      <c r="H766" s="580">
        <f t="shared" si="245"/>
        <v>0</v>
      </c>
      <c r="I766" s="572">
        <v>0</v>
      </c>
      <c r="J766" s="580">
        <f t="shared" si="227"/>
        <v>0</v>
      </c>
      <c r="K766" s="631">
        <f t="shared" si="228"/>
        <v>0</v>
      </c>
      <c r="L766" s="1073"/>
      <c r="M766" s="574"/>
      <c r="N766" s="629">
        <f t="shared" si="226"/>
        <v>0</v>
      </c>
      <c r="O766" s="630">
        <v>0</v>
      </c>
      <c r="P766" s="624"/>
      <c r="Q766" s="574"/>
      <c r="R766" s="574"/>
      <c r="S766" s="574"/>
    </row>
    <row r="767" spans="1:19" ht="21.3">
      <c r="A767" s="665"/>
      <c r="B767" s="617"/>
      <c r="C767" s="1125" t="s">
        <v>293</v>
      </c>
      <c r="D767" s="1126"/>
      <c r="E767" s="637">
        <f t="shared" si="235"/>
        <v>0</v>
      </c>
      <c r="F767" s="625" t="s">
        <v>34</v>
      </c>
      <c r="G767" s="666">
        <v>520</v>
      </c>
      <c r="H767" s="580"/>
      <c r="I767" s="666">
        <v>30</v>
      </c>
      <c r="J767" s="580">
        <f t="shared" si="227"/>
        <v>0</v>
      </c>
      <c r="K767" s="631">
        <f t="shared" si="228"/>
        <v>0</v>
      </c>
      <c r="L767" s="1073"/>
      <c r="M767" s="574"/>
      <c r="N767" s="629">
        <f t="shared" si="226"/>
        <v>0</v>
      </c>
      <c r="O767" s="630">
        <v>0</v>
      </c>
      <c r="P767" s="624"/>
      <c r="Q767" s="574"/>
      <c r="R767" s="574"/>
      <c r="S767" s="574"/>
    </row>
    <row r="768" spans="1:19" ht="21.3">
      <c r="A768" s="665"/>
      <c r="B768" s="617" t="s">
        <v>294</v>
      </c>
      <c r="C768" s="1125" t="s">
        <v>295</v>
      </c>
      <c r="D768" s="1126"/>
      <c r="E768" s="637">
        <f t="shared" si="235"/>
        <v>0</v>
      </c>
      <c r="F768" s="625" t="s">
        <v>34</v>
      </c>
      <c r="G768" s="666">
        <v>91</v>
      </c>
      <c r="H768" s="633">
        <f>SUM(E768*G768)</f>
        <v>0</v>
      </c>
      <c r="I768" s="666">
        <v>100</v>
      </c>
      <c r="J768" s="580">
        <f t="shared" si="227"/>
        <v>0</v>
      </c>
      <c r="K768" s="631">
        <f t="shared" si="228"/>
        <v>0</v>
      </c>
      <c r="L768" s="1062"/>
      <c r="M768" s="574"/>
      <c r="N768" s="667">
        <f t="shared" si="226"/>
        <v>0</v>
      </c>
      <c r="O768" s="636">
        <v>0</v>
      </c>
      <c r="P768" s="637"/>
      <c r="Q768" s="574"/>
      <c r="R768" s="574"/>
      <c r="S768" s="574"/>
    </row>
    <row r="769" spans="1:19" ht="21.3">
      <c r="A769" s="665"/>
      <c r="B769" s="617" t="s">
        <v>296</v>
      </c>
      <c r="C769" s="1125" t="s">
        <v>297</v>
      </c>
      <c r="D769" s="1126"/>
      <c r="E769" s="637">
        <f t="shared" si="235"/>
        <v>0</v>
      </c>
      <c r="F769" s="625" t="s">
        <v>34</v>
      </c>
      <c r="G769" s="666">
        <v>294</v>
      </c>
      <c r="H769" s="633">
        <f t="shared" ref="H769:H776" si="246">SUM(E769*G769)</f>
        <v>0</v>
      </c>
      <c r="I769" s="666">
        <v>189</v>
      </c>
      <c r="J769" s="580">
        <f t="shared" si="227"/>
        <v>0</v>
      </c>
      <c r="K769" s="631">
        <f t="shared" si="228"/>
        <v>0</v>
      </c>
      <c r="L769" s="1073"/>
      <c r="M769" s="574"/>
      <c r="N769" s="667">
        <f t="shared" si="226"/>
        <v>0</v>
      </c>
      <c r="O769" s="636">
        <v>0</v>
      </c>
      <c r="P769" s="637"/>
      <c r="Q769" s="574"/>
      <c r="R769" s="574"/>
      <c r="S769" s="574"/>
    </row>
    <row r="770" spans="1:19" ht="21.3">
      <c r="A770" s="665"/>
      <c r="B770" s="617" t="s">
        <v>298</v>
      </c>
      <c r="C770" s="1125" t="s">
        <v>299</v>
      </c>
      <c r="D770" s="1126"/>
      <c r="E770" s="637"/>
      <c r="F770" s="625" t="s">
        <v>34</v>
      </c>
      <c r="G770" s="666">
        <v>608</v>
      </c>
      <c r="H770" s="633">
        <f t="shared" si="246"/>
        <v>0</v>
      </c>
      <c r="I770" s="666">
        <v>189</v>
      </c>
      <c r="J770" s="580">
        <f t="shared" si="227"/>
        <v>0</v>
      </c>
      <c r="K770" s="631">
        <f t="shared" si="228"/>
        <v>0</v>
      </c>
      <c r="L770" s="1073"/>
      <c r="M770" s="574"/>
      <c r="N770" s="667">
        <f t="shared" si="226"/>
        <v>681.28</v>
      </c>
      <c r="O770" s="636">
        <v>0</v>
      </c>
      <c r="P770" s="637">
        <v>681.28</v>
      </c>
      <c r="Q770" s="574"/>
      <c r="R770" s="574"/>
      <c r="S770" s="574"/>
    </row>
    <row r="771" spans="1:19" ht="21.3">
      <c r="A771" s="665"/>
      <c r="B771" s="623" t="s">
        <v>2549</v>
      </c>
      <c r="C771" s="1125" t="s">
        <v>299</v>
      </c>
      <c r="D771" s="1126"/>
      <c r="E771" s="637">
        <f t="shared" si="235"/>
        <v>681.28</v>
      </c>
      <c r="F771" s="625" t="s">
        <v>34</v>
      </c>
      <c r="G771" s="666">
        <v>399</v>
      </c>
      <c r="H771" s="633">
        <f t="shared" si="246"/>
        <v>271830.71999999997</v>
      </c>
      <c r="I771" s="666">
        <v>189</v>
      </c>
      <c r="J771" s="580">
        <f t="shared" si="227"/>
        <v>128761.92</v>
      </c>
      <c r="K771" s="631">
        <f t="shared" si="228"/>
        <v>400592.63999999996</v>
      </c>
      <c r="L771" s="1073"/>
      <c r="M771" s="574"/>
      <c r="N771" s="667">
        <f t="shared" si="226"/>
        <v>681.28</v>
      </c>
      <c r="O771" s="636">
        <v>0</v>
      </c>
      <c r="P771" s="637">
        <v>681.28</v>
      </c>
      <c r="Q771" s="574"/>
      <c r="R771" s="574"/>
      <c r="S771" s="574"/>
    </row>
    <row r="772" spans="1:19" ht="21.3">
      <c r="A772" s="665"/>
      <c r="B772" s="617" t="s">
        <v>300</v>
      </c>
      <c r="C772" s="1125" t="s">
        <v>301</v>
      </c>
      <c r="D772" s="1126"/>
      <c r="E772" s="637">
        <f t="shared" si="235"/>
        <v>0</v>
      </c>
      <c r="F772" s="625" t="s">
        <v>34</v>
      </c>
      <c r="G772" s="666">
        <v>88</v>
      </c>
      <c r="H772" s="633">
        <f t="shared" si="246"/>
        <v>0</v>
      </c>
      <c r="I772" s="666">
        <v>82</v>
      </c>
      <c r="J772" s="580">
        <f t="shared" si="227"/>
        <v>0</v>
      </c>
      <c r="K772" s="631">
        <f t="shared" si="228"/>
        <v>0</v>
      </c>
      <c r="L772" s="1062"/>
      <c r="M772" s="574"/>
      <c r="N772" s="667">
        <f t="shared" si="226"/>
        <v>0</v>
      </c>
      <c r="O772" s="636">
        <v>0</v>
      </c>
      <c r="P772" s="637"/>
      <c r="Q772" s="574"/>
      <c r="R772" s="574"/>
      <c r="S772" s="574"/>
    </row>
    <row r="773" spans="1:19" ht="21.3">
      <c r="A773" s="665"/>
      <c r="B773" s="617"/>
      <c r="C773" s="1125" t="s">
        <v>302</v>
      </c>
      <c r="D773" s="1126"/>
      <c r="E773" s="637">
        <f t="shared" si="235"/>
        <v>0</v>
      </c>
      <c r="F773" s="625" t="s">
        <v>34</v>
      </c>
      <c r="G773" s="2048">
        <v>69</v>
      </c>
      <c r="H773" s="633">
        <f t="shared" si="246"/>
        <v>0</v>
      </c>
      <c r="I773" s="2048">
        <v>28</v>
      </c>
      <c r="J773" s="580">
        <f t="shared" si="227"/>
        <v>0</v>
      </c>
      <c r="K773" s="631">
        <f t="shared" si="228"/>
        <v>0</v>
      </c>
      <c r="L773" s="1062"/>
      <c r="M773" s="574"/>
      <c r="N773" s="667">
        <f t="shared" si="226"/>
        <v>0</v>
      </c>
      <c r="O773" s="636">
        <v>0</v>
      </c>
      <c r="P773" s="637"/>
      <c r="Q773" s="574"/>
      <c r="R773" s="574"/>
      <c r="S773" s="574"/>
    </row>
    <row r="774" spans="1:19" ht="21.3">
      <c r="A774" s="665"/>
      <c r="B774" s="617" t="s">
        <v>303</v>
      </c>
      <c r="C774" s="1125" t="s">
        <v>304</v>
      </c>
      <c r="D774" s="1126"/>
      <c r="E774" s="637"/>
      <c r="F774" s="625" t="s">
        <v>34</v>
      </c>
      <c r="G774" s="666">
        <v>870</v>
      </c>
      <c r="H774" s="633">
        <f t="shared" si="246"/>
        <v>0</v>
      </c>
      <c r="I774" s="666">
        <v>242</v>
      </c>
      <c r="J774" s="580">
        <f t="shared" si="227"/>
        <v>0</v>
      </c>
      <c r="K774" s="631">
        <f t="shared" si="228"/>
        <v>0</v>
      </c>
      <c r="L774" s="1073"/>
      <c r="M774" s="574"/>
      <c r="N774" s="667">
        <f t="shared" si="226"/>
        <v>156.39999999999998</v>
      </c>
      <c r="O774" s="636">
        <v>0</v>
      </c>
      <c r="P774" s="637">
        <v>156.39999999999998</v>
      </c>
      <c r="Q774" s="574"/>
      <c r="R774" s="574"/>
      <c r="S774" s="574"/>
    </row>
    <row r="775" spans="1:19" ht="21.3">
      <c r="A775" s="665"/>
      <c r="B775" s="617"/>
      <c r="C775" s="1125" t="s">
        <v>305</v>
      </c>
      <c r="D775" s="1126"/>
      <c r="E775" s="637">
        <f t="shared" ref="E775" si="247">+N775</f>
        <v>0</v>
      </c>
      <c r="F775" s="619"/>
      <c r="G775" s="572"/>
      <c r="H775" s="580"/>
      <c r="I775" s="572"/>
      <c r="J775" s="580">
        <f t="shared" si="227"/>
        <v>0</v>
      </c>
      <c r="K775" s="631">
        <f t="shared" si="228"/>
        <v>0</v>
      </c>
      <c r="L775" s="1073"/>
      <c r="M775" s="574"/>
      <c r="N775" s="629">
        <f t="shared" si="226"/>
        <v>0</v>
      </c>
      <c r="O775" s="630">
        <v>0</v>
      </c>
      <c r="P775" s="624"/>
      <c r="Q775" s="574"/>
      <c r="R775" s="574"/>
      <c r="S775" s="574"/>
    </row>
    <row r="776" spans="1:19" ht="21.3">
      <c r="A776" s="665"/>
      <c r="B776" s="623" t="s">
        <v>2550</v>
      </c>
      <c r="C776" s="1125" t="s">
        <v>304</v>
      </c>
      <c r="D776" s="1126"/>
      <c r="E776" s="637">
        <f t="shared" si="235"/>
        <v>156.39999999999998</v>
      </c>
      <c r="F776" s="625" t="s">
        <v>34</v>
      </c>
      <c r="G776" s="666">
        <v>765</v>
      </c>
      <c r="H776" s="633">
        <f t="shared" si="246"/>
        <v>119645.99999999999</v>
      </c>
      <c r="I776" s="666">
        <v>242</v>
      </c>
      <c r="J776" s="580">
        <f t="shared" si="227"/>
        <v>37848.799999999996</v>
      </c>
      <c r="K776" s="631">
        <f t="shared" si="228"/>
        <v>157494.79999999999</v>
      </c>
      <c r="L776" s="1073"/>
      <c r="M776" s="574"/>
      <c r="N776" s="667">
        <f t="shared" si="226"/>
        <v>156.39999999999998</v>
      </c>
      <c r="O776" s="636">
        <v>0</v>
      </c>
      <c r="P776" s="637">
        <v>156.39999999999998</v>
      </c>
      <c r="Q776" s="574"/>
      <c r="R776" s="574"/>
      <c r="S776" s="574"/>
    </row>
    <row r="777" spans="1:19" ht="21.3">
      <c r="A777" s="665"/>
      <c r="B777" s="617"/>
      <c r="C777" s="1125" t="s">
        <v>305</v>
      </c>
      <c r="D777" s="1126"/>
      <c r="E777" s="637">
        <f t="shared" si="235"/>
        <v>0</v>
      </c>
      <c r="F777" s="619"/>
      <c r="G777" s="572"/>
      <c r="H777" s="580"/>
      <c r="I777" s="572"/>
      <c r="J777" s="580">
        <f t="shared" si="227"/>
        <v>0</v>
      </c>
      <c r="K777" s="631">
        <f t="shared" si="228"/>
        <v>0</v>
      </c>
      <c r="L777" s="1073"/>
      <c r="M777" s="574"/>
      <c r="N777" s="629">
        <f t="shared" si="226"/>
        <v>0</v>
      </c>
      <c r="O777" s="630">
        <v>0</v>
      </c>
      <c r="P777" s="624"/>
      <c r="Q777" s="574"/>
      <c r="R777" s="574"/>
      <c r="S777" s="574"/>
    </row>
    <row r="778" spans="1:19" ht="21.3">
      <c r="A778" s="665"/>
      <c r="B778" s="617" t="s">
        <v>306</v>
      </c>
      <c r="C778" s="1125" t="s">
        <v>307</v>
      </c>
      <c r="D778" s="1126"/>
      <c r="E778" s="637">
        <f t="shared" si="235"/>
        <v>0</v>
      </c>
      <c r="F778" s="625" t="s">
        <v>34</v>
      </c>
      <c r="G778" s="666"/>
      <c r="H778" s="633">
        <v>0</v>
      </c>
      <c r="I778" s="666"/>
      <c r="J778" s="580">
        <f t="shared" si="227"/>
        <v>0</v>
      </c>
      <c r="K778" s="631">
        <f t="shared" si="228"/>
        <v>0</v>
      </c>
      <c r="L778" s="1073"/>
      <c r="M778" s="574"/>
      <c r="N778" s="667">
        <f t="shared" si="226"/>
        <v>0</v>
      </c>
      <c r="O778" s="636">
        <v>0</v>
      </c>
      <c r="P778" s="637"/>
      <c r="Q778" s="574"/>
      <c r="R778" s="574"/>
      <c r="S778" s="574"/>
    </row>
    <row r="779" spans="1:19" ht="21.3">
      <c r="A779" s="665"/>
      <c r="B779" s="617"/>
      <c r="C779" s="617"/>
      <c r="D779" s="617"/>
      <c r="E779" s="637"/>
      <c r="F779" s="625"/>
      <c r="G779" s="666"/>
      <c r="H779" s="633"/>
      <c r="I779" s="666"/>
      <c r="J779" s="580"/>
      <c r="K779" s="631"/>
      <c r="L779" s="1073"/>
      <c r="M779" s="574"/>
      <c r="N779" s="667"/>
      <c r="O779" s="636"/>
      <c r="P779" s="637"/>
      <c r="Q779" s="574"/>
      <c r="R779" s="574"/>
      <c r="S779" s="574"/>
    </row>
    <row r="780" spans="1:19" ht="21.3">
      <c r="A780" s="665"/>
      <c r="B780" s="617" t="s">
        <v>308</v>
      </c>
      <c r="C780" s="617" t="s">
        <v>309</v>
      </c>
      <c r="D780" s="617"/>
      <c r="E780" s="637">
        <f t="shared" si="235"/>
        <v>0</v>
      </c>
      <c r="F780" s="625" t="s">
        <v>34</v>
      </c>
      <c r="G780" s="666">
        <v>1296</v>
      </c>
      <c r="H780" s="633">
        <f t="shared" ref="H780:H791" si="248">SUM(E780*G780)</f>
        <v>0</v>
      </c>
      <c r="I780" s="666">
        <v>1600</v>
      </c>
      <c r="J780" s="580">
        <f t="shared" si="227"/>
        <v>0</v>
      </c>
      <c r="K780" s="631">
        <f t="shared" si="228"/>
        <v>0</v>
      </c>
      <c r="L780" s="1073"/>
      <c r="M780" s="574"/>
      <c r="N780" s="667">
        <f t="shared" ref="N780:N849" si="249">+(1+O780)*P780</f>
        <v>0</v>
      </c>
      <c r="O780" s="636">
        <v>0</v>
      </c>
      <c r="P780" s="637"/>
      <c r="Q780" s="574"/>
      <c r="R780" s="574"/>
      <c r="S780" s="574"/>
    </row>
    <row r="781" spans="1:19" ht="21.3">
      <c r="A781" s="665"/>
      <c r="B781" s="617"/>
      <c r="C781" s="617" t="s">
        <v>310</v>
      </c>
      <c r="D781" s="617"/>
      <c r="E781" s="637">
        <f t="shared" si="235"/>
        <v>0</v>
      </c>
      <c r="F781" s="619"/>
      <c r="G781" s="666"/>
      <c r="H781" s="633">
        <f t="shared" si="248"/>
        <v>0</v>
      </c>
      <c r="I781" s="666"/>
      <c r="J781" s="580">
        <f t="shared" ref="J781:J850" si="250">E781*I781</f>
        <v>0</v>
      </c>
      <c r="K781" s="631">
        <f t="shared" ref="K781:K850" si="251">H781+J781</f>
        <v>0</v>
      </c>
      <c r="L781" s="1073"/>
      <c r="M781" s="574"/>
      <c r="N781" s="629">
        <f t="shared" si="249"/>
        <v>0</v>
      </c>
      <c r="O781" s="630">
        <v>0</v>
      </c>
      <c r="P781" s="624"/>
      <c r="Q781" s="574"/>
      <c r="R781" s="574"/>
      <c r="S781" s="574"/>
    </row>
    <row r="782" spans="1:19" ht="21.3">
      <c r="A782" s="665"/>
      <c r="B782" s="617" t="s">
        <v>311</v>
      </c>
      <c r="C782" s="1125" t="s">
        <v>312</v>
      </c>
      <c r="D782" s="1126"/>
      <c r="E782" s="637">
        <f t="shared" si="235"/>
        <v>0</v>
      </c>
      <c r="F782" s="625" t="s">
        <v>34</v>
      </c>
      <c r="G782" s="666"/>
      <c r="H782" s="633">
        <f t="shared" si="248"/>
        <v>0</v>
      </c>
      <c r="I782" s="666"/>
      <c r="J782" s="580">
        <f t="shared" si="250"/>
        <v>0</v>
      </c>
      <c r="K782" s="631">
        <f t="shared" si="251"/>
        <v>0</v>
      </c>
      <c r="L782" s="1073"/>
      <c r="M782" s="574"/>
      <c r="N782" s="667">
        <f t="shared" si="249"/>
        <v>0</v>
      </c>
      <c r="O782" s="636">
        <v>0</v>
      </c>
      <c r="P782" s="637"/>
      <c r="Q782" s="574"/>
      <c r="R782" s="574"/>
      <c r="S782" s="574"/>
    </row>
    <row r="783" spans="1:19" ht="21.3">
      <c r="A783" s="665"/>
      <c r="B783" s="617" t="s">
        <v>313</v>
      </c>
      <c r="C783" s="1125" t="s">
        <v>314</v>
      </c>
      <c r="D783" s="1126"/>
      <c r="E783" s="637">
        <f t="shared" si="235"/>
        <v>0</v>
      </c>
      <c r="F783" s="625" t="s">
        <v>34</v>
      </c>
      <c r="G783" s="666"/>
      <c r="H783" s="633">
        <f t="shared" si="248"/>
        <v>0</v>
      </c>
      <c r="I783" s="666"/>
      <c r="J783" s="580">
        <f t="shared" si="250"/>
        <v>0</v>
      </c>
      <c r="K783" s="631">
        <f t="shared" si="251"/>
        <v>0</v>
      </c>
      <c r="L783" s="1073"/>
      <c r="M783" s="574"/>
      <c r="N783" s="667">
        <f t="shared" si="249"/>
        <v>0</v>
      </c>
      <c r="O783" s="636">
        <v>0</v>
      </c>
      <c r="P783" s="637"/>
      <c r="Q783" s="574"/>
      <c r="R783" s="574"/>
      <c r="S783" s="574"/>
    </row>
    <row r="784" spans="1:19" ht="21.3">
      <c r="A784" s="665"/>
      <c r="B784" s="617" t="s">
        <v>315</v>
      </c>
      <c r="C784" s="1125" t="s">
        <v>316</v>
      </c>
      <c r="D784" s="1126"/>
      <c r="E784" s="637">
        <f t="shared" si="235"/>
        <v>0</v>
      </c>
      <c r="F784" s="625" t="s">
        <v>34</v>
      </c>
      <c r="G784" s="572">
        <v>15000</v>
      </c>
      <c r="H784" s="580">
        <f t="shared" si="248"/>
        <v>0</v>
      </c>
      <c r="I784" s="572">
        <v>500</v>
      </c>
      <c r="J784" s="580">
        <f t="shared" si="250"/>
        <v>0</v>
      </c>
      <c r="K784" s="631">
        <f t="shared" si="251"/>
        <v>0</v>
      </c>
      <c r="L784" s="1061"/>
      <c r="M784" s="574"/>
      <c r="N784" s="667">
        <f t="shared" si="249"/>
        <v>0</v>
      </c>
      <c r="O784" s="636">
        <v>0</v>
      </c>
      <c r="P784" s="637"/>
      <c r="Q784" s="574"/>
      <c r="R784" s="574"/>
      <c r="S784" s="574"/>
    </row>
    <row r="785" spans="1:20" ht="21.3">
      <c r="A785" s="665"/>
      <c r="B785" s="617" t="s">
        <v>317</v>
      </c>
      <c r="C785" s="1125" t="s">
        <v>318</v>
      </c>
      <c r="D785" s="1126"/>
      <c r="E785" s="637">
        <f t="shared" si="235"/>
        <v>584.00399999999991</v>
      </c>
      <c r="F785" s="625" t="s">
        <v>34</v>
      </c>
      <c r="G785" s="666">
        <v>88</v>
      </c>
      <c r="H785" s="633">
        <f t="shared" si="248"/>
        <v>51392.351999999992</v>
      </c>
      <c r="I785" s="666">
        <v>82</v>
      </c>
      <c r="J785" s="580">
        <f t="shared" si="250"/>
        <v>47888.327999999994</v>
      </c>
      <c r="K785" s="631">
        <f t="shared" si="251"/>
        <v>99280.68</v>
      </c>
      <c r="L785" s="1062"/>
      <c r="M785" s="574"/>
      <c r="N785" s="667">
        <f t="shared" si="249"/>
        <v>584.00399999999991</v>
      </c>
      <c r="O785" s="636">
        <v>0</v>
      </c>
      <c r="P785" s="637">
        <v>584.00399999999991</v>
      </c>
      <c r="Q785" s="574"/>
      <c r="R785" s="574"/>
      <c r="S785" s="574"/>
    </row>
    <row r="786" spans="1:20" ht="21.3">
      <c r="A786" s="665"/>
      <c r="B786" s="617" t="s">
        <v>319</v>
      </c>
      <c r="C786" s="1125" t="s">
        <v>320</v>
      </c>
      <c r="D786" s="1126"/>
      <c r="E786" s="637">
        <f t="shared" si="235"/>
        <v>0</v>
      </c>
      <c r="F786" s="625" t="s">
        <v>34</v>
      </c>
      <c r="G786" s="666">
        <v>1955</v>
      </c>
      <c r="H786" s="633">
        <f t="shared" si="248"/>
        <v>0</v>
      </c>
      <c r="I786" s="666">
        <v>1700</v>
      </c>
      <c r="J786" s="580">
        <f t="shared" si="250"/>
        <v>0</v>
      </c>
      <c r="K786" s="631">
        <f t="shared" si="251"/>
        <v>0</v>
      </c>
      <c r="L786" s="1073"/>
      <c r="M786" s="574"/>
      <c r="N786" s="667">
        <f t="shared" si="249"/>
        <v>0</v>
      </c>
      <c r="O786" s="636">
        <v>0</v>
      </c>
      <c r="P786" s="637"/>
      <c r="Q786" s="574"/>
      <c r="R786" s="574"/>
      <c r="S786" s="574"/>
    </row>
    <row r="787" spans="1:20" ht="21.3">
      <c r="A787" s="665"/>
      <c r="B787" s="617"/>
      <c r="C787" s="1125" t="s">
        <v>321</v>
      </c>
      <c r="D787" s="1126"/>
      <c r="E787" s="637">
        <f t="shared" si="235"/>
        <v>0</v>
      </c>
      <c r="F787" s="625" t="s">
        <v>34</v>
      </c>
      <c r="G787" s="666">
        <v>0</v>
      </c>
      <c r="H787" s="633">
        <f t="shared" si="248"/>
        <v>0</v>
      </c>
      <c r="I787" s="666">
        <v>0</v>
      </c>
      <c r="J787" s="580">
        <f t="shared" si="250"/>
        <v>0</v>
      </c>
      <c r="K787" s="631">
        <f t="shared" si="251"/>
        <v>0</v>
      </c>
      <c r="L787" s="1073"/>
      <c r="M787" s="574"/>
      <c r="N787" s="667">
        <f t="shared" si="249"/>
        <v>0</v>
      </c>
      <c r="O787" s="636">
        <v>0</v>
      </c>
      <c r="P787" s="637"/>
      <c r="Q787" s="574"/>
      <c r="R787" s="574"/>
      <c r="S787" s="574"/>
    </row>
    <row r="788" spans="1:20" ht="21.3">
      <c r="A788" s="665"/>
      <c r="B788" s="617" t="s">
        <v>322</v>
      </c>
      <c r="C788" s="1125" t="s">
        <v>323</v>
      </c>
      <c r="D788" s="1126"/>
      <c r="E788" s="637">
        <f t="shared" si="235"/>
        <v>0</v>
      </c>
      <c r="F788" s="625" t="s">
        <v>34</v>
      </c>
      <c r="G788" s="666">
        <v>1296</v>
      </c>
      <c r="H788" s="633">
        <f t="shared" si="248"/>
        <v>0</v>
      </c>
      <c r="I788" s="666">
        <v>1600</v>
      </c>
      <c r="J788" s="580">
        <f t="shared" si="250"/>
        <v>0</v>
      </c>
      <c r="K788" s="631">
        <f t="shared" si="251"/>
        <v>0</v>
      </c>
      <c r="L788" s="1073"/>
      <c r="M788" s="574"/>
      <c r="N788" s="667">
        <f t="shared" si="249"/>
        <v>0</v>
      </c>
      <c r="O788" s="636">
        <v>0</v>
      </c>
      <c r="P788" s="637"/>
      <c r="Q788" s="574"/>
      <c r="R788" s="574"/>
      <c r="S788" s="574"/>
    </row>
    <row r="789" spans="1:20" ht="21.3">
      <c r="A789" s="665"/>
      <c r="B789" s="617" t="s">
        <v>324</v>
      </c>
      <c r="C789" s="1125" t="s">
        <v>325</v>
      </c>
      <c r="D789" s="1126"/>
      <c r="E789" s="637">
        <f t="shared" si="235"/>
        <v>0</v>
      </c>
      <c r="F789" s="625" t="s">
        <v>34</v>
      </c>
      <c r="G789" s="2048">
        <f>13+69</f>
        <v>82</v>
      </c>
      <c r="H789" s="633">
        <f t="shared" si="248"/>
        <v>0</v>
      </c>
      <c r="I789" s="2048">
        <f>30+28</f>
        <v>58</v>
      </c>
      <c r="J789" s="580">
        <f t="shared" si="250"/>
        <v>0</v>
      </c>
      <c r="K789" s="631">
        <f t="shared" si="251"/>
        <v>0</v>
      </c>
      <c r="L789" s="2049"/>
      <c r="M789" s="574"/>
      <c r="N789" s="667">
        <f t="shared" si="249"/>
        <v>0</v>
      </c>
      <c r="O789" s="636">
        <v>0</v>
      </c>
      <c r="P789" s="637"/>
      <c r="Q789" s="574"/>
      <c r="R789" s="574"/>
      <c r="S789" s="574"/>
    </row>
    <row r="790" spans="1:20" ht="21.3">
      <c r="A790" s="665"/>
      <c r="B790" s="617" t="s">
        <v>326</v>
      </c>
      <c r="C790" s="1125" t="s">
        <v>327</v>
      </c>
      <c r="D790" s="1126"/>
      <c r="E790" s="637">
        <f t="shared" si="235"/>
        <v>0</v>
      </c>
      <c r="F790" s="625" t="s">
        <v>34</v>
      </c>
      <c r="G790" s="666"/>
      <c r="H790" s="633">
        <f t="shared" si="248"/>
        <v>0</v>
      </c>
      <c r="I790" s="666"/>
      <c r="J790" s="580">
        <f t="shared" si="250"/>
        <v>0</v>
      </c>
      <c r="K790" s="631">
        <f t="shared" si="251"/>
        <v>0</v>
      </c>
      <c r="L790" s="1073"/>
      <c r="M790" s="574"/>
      <c r="N790" s="667">
        <f t="shared" si="249"/>
        <v>0</v>
      </c>
      <c r="O790" s="636">
        <v>0</v>
      </c>
      <c r="P790" s="637"/>
      <c r="Q790" s="574"/>
      <c r="R790" s="574"/>
      <c r="S790" s="574"/>
    </row>
    <row r="791" spans="1:20" ht="21.3">
      <c r="A791" s="665"/>
      <c r="B791" s="617" t="s">
        <v>328</v>
      </c>
      <c r="C791" s="617" t="s">
        <v>329</v>
      </c>
      <c r="D791" s="1126"/>
      <c r="E791" s="637">
        <f t="shared" si="235"/>
        <v>0</v>
      </c>
      <c r="F791" s="625" t="s">
        <v>34</v>
      </c>
      <c r="G791" s="666"/>
      <c r="H791" s="633">
        <f t="shared" si="248"/>
        <v>0</v>
      </c>
      <c r="I791" s="666"/>
      <c r="J791" s="580">
        <f t="shared" si="250"/>
        <v>0</v>
      </c>
      <c r="K791" s="631">
        <f t="shared" si="251"/>
        <v>0</v>
      </c>
      <c r="L791" s="1073"/>
      <c r="M791" s="574"/>
      <c r="N791" s="667">
        <f t="shared" si="249"/>
        <v>0</v>
      </c>
      <c r="O791" s="636">
        <v>0</v>
      </c>
      <c r="P791" s="637"/>
      <c r="Q791" s="574"/>
      <c r="R791" s="574"/>
      <c r="S791" s="574"/>
    </row>
    <row r="792" spans="1:20" ht="21.3">
      <c r="A792" s="665"/>
      <c r="B792" s="617"/>
      <c r="C792" s="617" t="s">
        <v>330</v>
      </c>
      <c r="D792" s="1129"/>
      <c r="E792" s="637"/>
      <c r="F792" s="625"/>
      <c r="G792" s="642"/>
      <c r="H792" s="668"/>
      <c r="I792" s="642"/>
      <c r="J792" s="580">
        <f t="shared" si="250"/>
        <v>0</v>
      </c>
      <c r="K792" s="631">
        <f t="shared" si="251"/>
        <v>0</v>
      </c>
      <c r="L792" s="1065"/>
      <c r="M792" s="574"/>
      <c r="N792" s="669">
        <f t="shared" si="249"/>
        <v>0</v>
      </c>
      <c r="O792" s="636">
        <v>0</v>
      </c>
      <c r="P792" s="637"/>
      <c r="Q792" s="574"/>
      <c r="R792" s="574"/>
      <c r="S792" s="574"/>
    </row>
    <row r="793" spans="1:20" ht="21.3">
      <c r="A793" s="665"/>
      <c r="B793" s="617"/>
      <c r="C793" s="1127" t="s">
        <v>1043</v>
      </c>
      <c r="D793" s="1126"/>
      <c r="E793" s="637">
        <f t="shared" ref="E793" si="252">+N793</f>
        <v>0</v>
      </c>
      <c r="F793" s="625" t="s">
        <v>34</v>
      </c>
      <c r="G793" s="2048">
        <v>69</v>
      </c>
      <c r="H793" s="633">
        <f t="shared" ref="H793" si="253">SUM(E793*G793)</f>
        <v>0</v>
      </c>
      <c r="I793" s="2048">
        <v>28</v>
      </c>
      <c r="J793" s="580">
        <f t="shared" si="250"/>
        <v>0</v>
      </c>
      <c r="K793" s="631">
        <f t="shared" si="251"/>
        <v>0</v>
      </c>
      <c r="L793" s="2049"/>
      <c r="M793" s="574"/>
      <c r="N793" s="667">
        <f t="shared" si="249"/>
        <v>0</v>
      </c>
      <c r="O793" s="636">
        <v>0</v>
      </c>
      <c r="P793" s="637"/>
      <c r="Q793" s="574"/>
      <c r="R793" s="574"/>
      <c r="S793" s="574"/>
    </row>
    <row r="794" spans="1:20" ht="21.3">
      <c r="A794" s="665"/>
      <c r="B794" s="1114"/>
      <c r="C794" s="617"/>
      <c r="D794" s="1129"/>
      <c r="E794" s="637"/>
      <c r="F794" s="625"/>
      <c r="G794" s="642"/>
      <c r="H794" s="668"/>
      <c r="I794" s="642"/>
      <c r="J794" s="580">
        <f t="shared" si="250"/>
        <v>0</v>
      </c>
      <c r="K794" s="631">
        <f t="shared" si="251"/>
        <v>0</v>
      </c>
      <c r="L794" s="1061"/>
      <c r="M794" s="574"/>
      <c r="N794" s="669">
        <f t="shared" si="249"/>
        <v>0</v>
      </c>
      <c r="O794" s="636">
        <v>0</v>
      </c>
      <c r="P794" s="637"/>
      <c r="Q794" s="574"/>
      <c r="R794" s="574"/>
      <c r="S794" s="574"/>
    </row>
    <row r="795" spans="1:20" ht="21.3">
      <c r="A795" s="665" t="s">
        <v>339</v>
      </c>
      <c r="B795" s="1114" t="s">
        <v>340</v>
      </c>
      <c r="C795" s="617"/>
      <c r="D795" s="1129"/>
      <c r="E795" s="624"/>
      <c r="F795" s="625"/>
      <c r="G795" s="642"/>
      <c r="H795" s="668"/>
      <c r="I795" s="642"/>
      <c r="J795" s="580">
        <f t="shared" si="250"/>
        <v>0</v>
      </c>
      <c r="K795" s="631">
        <f t="shared" si="251"/>
        <v>0</v>
      </c>
      <c r="L795" s="1061"/>
      <c r="M795" s="574"/>
      <c r="N795" s="629">
        <f t="shared" si="249"/>
        <v>0</v>
      </c>
      <c r="O795" s="630">
        <v>0</v>
      </c>
      <c r="P795" s="624"/>
      <c r="Q795" s="574"/>
      <c r="R795" s="574"/>
      <c r="S795" s="574"/>
    </row>
    <row r="796" spans="1:20" ht="21.3">
      <c r="A796" s="665"/>
      <c r="B796" s="1114"/>
      <c r="C796" s="1125" t="s">
        <v>259</v>
      </c>
      <c r="D796" s="1124"/>
      <c r="E796" s="624">
        <v>3008.0869999999995</v>
      </c>
      <c r="F796" s="625" t="s">
        <v>34</v>
      </c>
      <c r="G796" s="666">
        <v>281</v>
      </c>
      <c r="H796" s="633">
        <f>SUM(E796*G796)</f>
        <v>845272.44699999993</v>
      </c>
      <c r="I796" s="666">
        <v>80</v>
      </c>
      <c r="J796" s="580">
        <f t="shared" si="250"/>
        <v>240646.95999999996</v>
      </c>
      <c r="K796" s="631">
        <f t="shared" si="251"/>
        <v>1085919.4069999999</v>
      </c>
      <c r="L796" s="1073"/>
      <c r="M796" s="574"/>
      <c r="N796" s="629">
        <f t="shared" si="249"/>
        <v>0</v>
      </c>
      <c r="O796" s="630">
        <v>0</v>
      </c>
      <c r="P796" s="624"/>
      <c r="Q796" s="574"/>
      <c r="R796" s="574"/>
      <c r="S796" s="574"/>
      <c r="T796" s="495">
        <v>11</v>
      </c>
    </row>
    <row r="797" spans="1:20" ht="21.3">
      <c r="A797" s="665"/>
      <c r="B797" s="1114"/>
      <c r="C797" s="1125" t="s">
        <v>260</v>
      </c>
      <c r="D797" s="1124"/>
      <c r="E797" s="624">
        <f>+E832/2</f>
        <v>0</v>
      </c>
      <c r="F797" s="625" t="s">
        <v>34</v>
      </c>
      <c r="G797" s="666">
        <v>712</v>
      </c>
      <c r="H797" s="633">
        <f>SUM(E797*G797)</f>
        <v>0</v>
      </c>
      <c r="I797" s="666">
        <v>98</v>
      </c>
      <c r="J797" s="580">
        <f t="shared" si="250"/>
        <v>0</v>
      </c>
      <c r="K797" s="631">
        <f t="shared" si="251"/>
        <v>0</v>
      </c>
      <c r="L797" s="1073"/>
      <c r="M797" s="574"/>
      <c r="N797" s="629">
        <f t="shared" si="249"/>
        <v>0</v>
      </c>
      <c r="O797" s="630">
        <v>0</v>
      </c>
      <c r="P797" s="624"/>
      <c r="Q797" s="574"/>
      <c r="R797" s="574"/>
      <c r="S797" s="574"/>
    </row>
    <row r="798" spans="1:20" ht="21.3">
      <c r="A798" s="665"/>
      <c r="B798" s="1114"/>
      <c r="C798" s="1125" t="s">
        <v>261</v>
      </c>
      <c r="D798" s="1124"/>
      <c r="E798" s="624">
        <f>+E796*1.33</f>
        <v>4000.7557099999995</v>
      </c>
      <c r="F798" s="625" t="s">
        <v>226</v>
      </c>
      <c r="G798" s="666">
        <v>119</v>
      </c>
      <c r="H798" s="633">
        <f>SUM(E798*G798)</f>
        <v>476089.92948999995</v>
      </c>
      <c r="I798" s="666">
        <v>44</v>
      </c>
      <c r="J798" s="580">
        <f t="shared" si="250"/>
        <v>176033.25123999998</v>
      </c>
      <c r="K798" s="631">
        <f t="shared" si="251"/>
        <v>652123.18072999991</v>
      </c>
      <c r="L798" s="1073"/>
      <c r="M798" s="574"/>
      <c r="N798" s="629">
        <f t="shared" si="249"/>
        <v>0</v>
      </c>
      <c r="O798" s="630">
        <v>0</v>
      </c>
      <c r="P798" s="624"/>
      <c r="Q798" s="574"/>
      <c r="R798" s="574"/>
      <c r="S798" s="574"/>
    </row>
    <row r="799" spans="1:20" ht="21.3">
      <c r="A799" s="665"/>
      <c r="B799" s="1114"/>
      <c r="C799" s="1125" t="s">
        <v>262</v>
      </c>
      <c r="D799" s="1124"/>
      <c r="E799" s="624">
        <f>+E797*1.33</f>
        <v>0</v>
      </c>
      <c r="F799" s="625" t="s">
        <v>226</v>
      </c>
      <c r="G799" s="666">
        <v>208</v>
      </c>
      <c r="H799" s="633">
        <f>SUM(E799*G799)</f>
        <v>0</v>
      </c>
      <c r="I799" s="666">
        <v>78</v>
      </c>
      <c r="J799" s="580">
        <f t="shared" si="250"/>
        <v>0</v>
      </c>
      <c r="K799" s="631">
        <f t="shared" si="251"/>
        <v>0</v>
      </c>
      <c r="L799" s="1073"/>
      <c r="M799" s="574"/>
      <c r="N799" s="629">
        <f t="shared" si="249"/>
        <v>0</v>
      </c>
      <c r="O799" s="630">
        <v>0</v>
      </c>
      <c r="P799" s="624"/>
      <c r="Q799" s="574"/>
      <c r="R799" s="574"/>
      <c r="S799" s="574"/>
    </row>
    <row r="800" spans="1:20" ht="21.3">
      <c r="A800" s="665"/>
      <c r="B800" s="1114"/>
      <c r="C800" s="1125" t="s">
        <v>263</v>
      </c>
      <c r="D800" s="1124"/>
      <c r="E800" s="624">
        <f>+E828+E829+E831+E837+E839+E850</f>
        <v>837.68</v>
      </c>
      <c r="F800" s="625" t="s">
        <v>34</v>
      </c>
      <c r="G800" s="666">
        <v>88</v>
      </c>
      <c r="H800" s="633">
        <f>SUM(E800*G800)</f>
        <v>73715.839999999997</v>
      </c>
      <c r="I800" s="666">
        <v>82</v>
      </c>
      <c r="J800" s="580">
        <f t="shared" si="250"/>
        <v>68689.759999999995</v>
      </c>
      <c r="K800" s="631">
        <f t="shared" si="251"/>
        <v>142405.59999999998</v>
      </c>
      <c r="L800" s="1062"/>
      <c r="M800" s="574"/>
      <c r="N800" s="629">
        <f t="shared" si="249"/>
        <v>0</v>
      </c>
      <c r="O800" s="630">
        <v>0</v>
      </c>
      <c r="P800" s="624"/>
      <c r="Q800" s="574"/>
      <c r="R800" s="574"/>
      <c r="S800" s="574"/>
    </row>
    <row r="801" spans="1:19" ht="21.3">
      <c r="A801" s="665"/>
      <c r="B801" s="617" t="s">
        <v>264</v>
      </c>
      <c r="C801" s="1125" t="s">
        <v>265</v>
      </c>
      <c r="D801" s="1126"/>
      <c r="E801" s="637">
        <f>+N801</f>
        <v>0</v>
      </c>
      <c r="F801" s="625" t="s">
        <v>34</v>
      </c>
      <c r="G801" s="666">
        <v>88</v>
      </c>
      <c r="H801" s="633">
        <f t="shared" ref="H801:H808" si="254">SUM(E801*G801)</f>
        <v>0</v>
      </c>
      <c r="I801" s="666">
        <v>95</v>
      </c>
      <c r="J801" s="580">
        <f t="shared" si="250"/>
        <v>0</v>
      </c>
      <c r="K801" s="631">
        <f t="shared" si="251"/>
        <v>0</v>
      </c>
      <c r="L801" s="1062"/>
      <c r="M801" s="574"/>
      <c r="N801" s="667">
        <f t="shared" si="249"/>
        <v>0</v>
      </c>
      <c r="O801" s="636">
        <v>0</v>
      </c>
      <c r="P801" s="637"/>
      <c r="Q801" s="574"/>
      <c r="R801" s="574"/>
      <c r="S801" s="574"/>
    </row>
    <row r="802" spans="1:19" ht="21.3">
      <c r="A802" s="665"/>
      <c r="B802" s="617"/>
      <c r="C802" s="1125" t="s">
        <v>266</v>
      </c>
      <c r="D802" s="1126"/>
      <c r="E802" s="637">
        <f t="shared" ref="E802:E851" si="255">+N802</f>
        <v>0</v>
      </c>
      <c r="F802" s="625" t="s">
        <v>34</v>
      </c>
      <c r="G802" s="2048">
        <v>69</v>
      </c>
      <c r="H802" s="633">
        <f t="shared" si="254"/>
        <v>0</v>
      </c>
      <c r="I802" s="2048">
        <v>28</v>
      </c>
      <c r="J802" s="580">
        <f t="shared" si="250"/>
        <v>0</v>
      </c>
      <c r="K802" s="631">
        <f t="shared" si="251"/>
        <v>0</v>
      </c>
      <c r="L802" s="2049"/>
      <c r="M802" s="574"/>
      <c r="N802" s="667">
        <f t="shared" si="249"/>
        <v>0</v>
      </c>
      <c r="O802" s="636">
        <v>0</v>
      </c>
      <c r="P802" s="637"/>
      <c r="Q802" s="574"/>
      <c r="R802" s="574"/>
      <c r="S802" s="574"/>
    </row>
    <row r="803" spans="1:19" ht="21.3">
      <c r="A803" s="665"/>
      <c r="B803" s="617" t="s">
        <v>267</v>
      </c>
      <c r="C803" s="1125" t="s">
        <v>268</v>
      </c>
      <c r="D803" s="1126"/>
      <c r="E803" s="637">
        <f t="shared" si="255"/>
        <v>3327.4539999999997</v>
      </c>
      <c r="F803" s="625" t="s">
        <v>34</v>
      </c>
      <c r="G803" s="666">
        <v>88</v>
      </c>
      <c r="H803" s="633">
        <f t="shared" si="254"/>
        <v>292815.95199999999</v>
      </c>
      <c r="I803" s="666">
        <v>82</v>
      </c>
      <c r="J803" s="580">
        <f t="shared" si="250"/>
        <v>272851.228</v>
      </c>
      <c r="K803" s="631">
        <f t="shared" si="251"/>
        <v>565667.17999999993</v>
      </c>
      <c r="L803" s="1062"/>
      <c r="M803" s="574"/>
      <c r="N803" s="667">
        <f t="shared" si="249"/>
        <v>3327.4539999999997</v>
      </c>
      <c r="O803" s="636">
        <v>0</v>
      </c>
      <c r="P803" s="637">
        <v>3327.4539999999997</v>
      </c>
      <c r="Q803" s="574">
        <f>79*3.72*3.6</f>
        <v>1057.9680000000001</v>
      </c>
      <c r="R803" s="574"/>
      <c r="S803" s="574"/>
    </row>
    <row r="804" spans="1:19" ht="21.3">
      <c r="A804" s="665"/>
      <c r="B804" s="617" t="s">
        <v>269</v>
      </c>
      <c r="C804" s="1125" t="s">
        <v>265</v>
      </c>
      <c r="D804" s="1126"/>
      <c r="E804" s="637">
        <f t="shared" si="255"/>
        <v>547.41999999999996</v>
      </c>
      <c r="F804" s="625" t="s">
        <v>34</v>
      </c>
      <c r="G804" s="666">
        <v>88</v>
      </c>
      <c r="H804" s="633">
        <f t="shared" si="254"/>
        <v>48172.959999999999</v>
      </c>
      <c r="I804" s="666">
        <v>82</v>
      </c>
      <c r="J804" s="580">
        <f t="shared" si="250"/>
        <v>44888.439999999995</v>
      </c>
      <c r="K804" s="631">
        <f t="shared" si="251"/>
        <v>93061.4</v>
      </c>
      <c r="L804" s="1062"/>
      <c r="M804" s="574"/>
      <c r="N804" s="667">
        <f t="shared" si="249"/>
        <v>547.41999999999996</v>
      </c>
      <c r="O804" s="636">
        <v>0</v>
      </c>
      <c r="P804" s="637">
        <v>547.41999999999996</v>
      </c>
      <c r="Q804" s="574"/>
      <c r="R804" s="574"/>
      <c r="S804" s="574"/>
    </row>
    <row r="805" spans="1:19" ht="21.3">
      <c r="A805" s="665"/>
      <c r="B805" s="617"/>
      <c r="C805" s="1125" t="s">
        <v>270</v>
      </c>
      <c r="D805" s="1126"/>
      <c r="E805" s="637">
        <f t="shared" si="255"/>
        <v>547.41999999999996</v>
      </c>
      <c r="F805" s="625" t="s">
        <v>34</v>
      </c>
      <c r="G805" s="2048">
        <v>69</v>
      </c>
      <c r="H805" s="633">
        <f t="shared" si="254"/>
        <v>37771.979999999996</v>
      </c>
      <c r="I805" s="2048">
        <v>28</v>
      </c>
      <c r="J805" s="580">
        <f t="shared" si="250"/>
        <v>15327.759999999998</v>
      </c>
      <c r="K805" s="631">
        <f t="shared" si="251"/>
        <v>53099.739999999991</v>
      </c>
      <c r="L805" s="2049"/>
      <c r="M805" s="574"/>
      <c r="N805" s="667">
        <f t="shared" si="249"/>
        <v>547.41999999999996</v>
      </c>
      <c r="O805" s="636">
        <v>0</v>
      </c>
      <c r="P805" s="637">
        <v>547.41999999999996</v>
      </c>
      <c r="Q805" s="574"/>
      <c r="R805" s="574"/>
      <c r="S805" s="574"/>
    </row>
    <row r="806" spans="1:19" ht="21.3">
      <c r="A806" s="665"/>
      <c r="B806" s="617"/>
      <c r="C806" s="1125"/>
      <c r="D806" s="1126"/>
      <c r="E806" s="637"/>
      <c r="F806" s="625"/>
      <c r="G806" s="2048"/>
      <c r="H806" s="633"/>
      <c r="I806" s="2048"/>
      <c r="J806" s="580"/>
      <c r="K806" s="631"/>
      <c r="L806" s="2049"/>
      <c r="M806" s="574"/>
      <c r="N806" s="667"/>
      <c r="O806" s="636"/>
      <c r="P806" s="637"/>
      <c r="Q806" s="574"/>
      <c r="R806" s="574"/>
      <c r="S806" s="574"/>
    </row>
    <row r="807" spans="1:19" ht="21.3">
      <c r="A807" s="665"/>
      <c r="B807" s="617" t="s">
        <v>271</v>
      </c>
      <c r="C807" s="1125" t="s">
        <v>272</v>
      </c>
      <c r="D807" s="1126"/>
      <c r="E807" s="637">
        <f t="shared" si="255"/>
        <v>0</v>
      </c>
      <c r="F807" s="625" t="s">
        <v>34</v>
      </c>
      <c r="G807" s="666">
        <v>103</v>
      </c>
      <c r="H807" s="633">
        <f t="shared" si="254"/>
        <v>0</v>
      </c>
      <c r="I807" s="666">
        <v>115</v>
      </c>
      <c r="J807" s="580">
        <f t="shared" si="250"/>
        <v>0</v>
      </c>
      <c r="K807" s="631">
        <f t="shared" si="251"/>
        <v>0</v>
      </c>
      <c r="L807" s="1062"/>
      <c r="M807" s="574"/>
      <c r="N807" s="667">
        <f t="shared" si="249"/>
        <v>0</v>
      </c>
      <c r="O807" s="636">
        <v>0</v>
      </c>
      <c r="P807" s="637"/>
      <c r="Q807" s="574"/>
      <c r="R807" s="574"/>
      <c r="S807" s="574"/>
    </row>
    <row r="808" spans="1:19" ht="21.3">
      <c r="A808" s="665"/>
      <c r="B808" s="617"/>
      <c r="C808" s="1125" t="s">
        <v>273</v>
      </c>
      <c r="D808" s="1126"/>
      <c r="E808" s="637">
        <f t="shared" si="255"/>
        <v>0</v>
      </c>
      <c r="F808" s="625" t="s">
        <v>34</v>
      </c>
      <c r="G808" s="2048">
        <v>69</v>
      </c>
      <c r="H808" s="633">
        <f t="shared" si="254"/>
        <v>0</v>
      </c>
      <c r="I808" s="2048">
        <v>28</v>
      </c>
      <c r="J808" s="580">
        <f t="shared" si="250"/>
        <v>0</v>
      </c>
      <c r="K808" s="631">
        <f t="shared" si="251"/>
        <v>0</v>
      </c>
      <c r="L808" s="2049"/>
      <c r="M808" s="574"/>
      <c r="N808" s="667">
        <f t="shared" si="249"/>
        <v>0</v>
      </c>
      <c r="O808" s="636">
        <v>0</v>
      </c>
      <c r="P808" s="637"/>
      <c r="Q808" s="574"/>
      <c r="R808" s="574"/>
      <c r="S808" s="574"/>
    </row>
    <row r="809" spans="1:19" ht="21.3">
      <c r="A809" s="665"/>
      <c r="B809" s="617" t="s">
        <v>274</v>
      </c>
      <c r="C809" s="1125" t="s">
        <v>275</v>
      </c>
      <c r="D809" s="1126"/>
      <c r="E809" s="637">
        <f t="shared" si="255"/>
        <v>0</v>
      </c>
      <c r="F809" s="625" t="s">
        <v>34</v>
      </c>
      <c r="G809" s="572">
        <v>1500</v>
      </c>
      <c r="H809" s="580">
        <f t="shared" ref="H809" si="256">E809*G809</f>
        <v>0</v>
      </c>
      <c r="I809" s="572">
        <v>500</v>
      </c>
      <c r="J809" s="580">
        <f t="shared" si="250"/>
        <v>0</v>
      </c>
      <c r="K809" s="631">
        <f t="shared" si="251"/>
        <v>0</v>
      </c>
      <c r="L809" s="1061"/>
      <c r="M809" s="574"/>
      <c r="N809" s="667">
        <f t="shared" si="249"/>
        <v>0</v>
      </c>
      <c r="O809" s="636">
        <v>0</v>
      </c>
      <c r="P809" s="637"/>
      <c r="Q809" s="574"/>
      <c r="R809" s="574"/>
      <c r="S809" s="574"/>
    </row>
    <row r="810" spans="1:19" ht="21.3">
      <c r="A810" s="665"/>
      <c r="B810" s="617"/>
      <c r="C810" s="1125" t="s">
        <v>273</v>
      </c>
      <c r="D810" s="1126"/>
      <c r="E810" s="637">
        <f t="shared" si="255"/>
        <v>0</v>
      </c>
      <c r="F810" s="625" t="s">
        <v>34</v>
      </c>
      <c r="G810" s="2048">
        <v>69</v>
      </c>
      <c r="H810" s="633">
        <f t="shared" ref="H810" si="257">SUM(E810*G810)</f>
        <v>0</v>
      </c>
      <c r="I810" s="2048">
        <v>28</v>
      </c>
      <c r="J810" s="580">
        <f t="shared" si="250"/>
        <v>0</v>
      </c>
      <c r="K810" s="631">
        <f t="shared" si="251"/>
        <v>0</v>
      </c>
      <c r="L810" s="2049"/>
      <c r="M810" s="574"/>
      <c r="N810" s="667">
        <f t="shared" si="249"/>
        <v>0</v>
      </c>
      <c r="O810" s="636">
        <v>0</v>
      </c>
      <c r="P810" s="637"/>
      <c r="Q810" s="574"/>
      <c r="R810" s="574"/>
      <c r="S810" s="574"/>
    </row>
    <row r="811" spans="1:19" ht="21.3">
      <c r="A811" s="665"/>
      <c r="B811" s="617" t="s">
        <v>276</v>
      </c>
      <c r="C811" s="1125" t="s">
        <v>277</v>
      </c>
      <c r="D811" s="1126"/>
      <c r="E811" s="637">
        <f t="shared" si="255"/>
        <v>0</v>
      </c>
      <c r="F811" s="625" t="s">
        <v>34</v>
      </c>
      <c r="G811" s="572">
        <v>492</v>
      </c>
      <c r="H811" s="580">
        <f t="shared" ref="H811" si="258">E811*G811</f>
        <v>0</v>
      </c>
      <c r="I811" s="572">
        <v>130</v>
      </c>
      <c r="J811" s="580">
        <f t="shared" si="250"/>
        <v>0</v>
      </c>
      <c r="K811" s="631">
        <f t="shared" si="251"/>
        <v>0</v>
      </c>
      <c r="L811" s="2049"/>
      <c r="M811" s="574"/>
      <c r="N811" s="667">
        <f t="shared" si="249"/>
        <v>0</v>
      </c>
      <c r="O811" s="636">
        <v>0</v>
      </c>
      <c r="P811" s="637"/>
      <c r="Q811" s="574"/>
      <c r="R811" s="574"/>
      <c r="S811" s="574"/>
    </row>
    <row r="812" spans="1:19" ht="21.3">
      <c r="A812" s="665"/>
      <c r="B812" s="617"/>
      <c r="C812" s="1125" t="s">
        <v>278</v>
      </c>
      <c r="D812" s="1126"/>
      <c r="E812" s="637">
        <f t="shared" si="255"/>
        <v>0</v>
      </c>
      <c r="F812" s="619"/>
      <c r="G812" s="572"/>
      <c r="H812" s="580"/>
      <c r="I812" s="572"/>
      <c r="J812" s="580">
        <f t="shared" si="250"/>
        <v>0</v>
      </c>
      <c r="K812" s="631">
        <f t="shared" si="251"/>
        <v>0</v>
      </c>
      <c r="L812" s="2049"/>
      <c r="M812" s="574"/>
      <c r="N812" s="629">
        <f t="shared" si="249"/>
        <v>0</v>
      </c>
      <c r="O812" s="630">
        <v>0</v>
      </c>
      <c r="P812" s="624"/>
      <c r="Q812" s="574"/>
      <c r="R812" s="574"/>
      <c r="S812" s="574"/>
    </row>
    <row r="813" spans="1:19" ht="21.3">
      <c r="A813" s="665"/>
      <c r="B813" s="617" t="s">
        <v>279</v>
      </c>
      <c r="C813" s="1125" t="s">
        <v>280</v>
      </c>
      <c r="D813" s="1126"/>
      <c r="E813" s="637">
        <f t="shared" si="255"/>
        <v>0</v>
      </c>
      <c r="F813" s="625" t="s">
        <v>34</v>
      </c>
      <c r="G813" s="572">
        <v>256</v>
      </c>
      <c r="H813" s="580">
        <f t="shared" ref="H813" si="259">E813*G813</f>
        <v>0</v>
      </c>
      <c r="I813" s="572">
        <v>100</v>
      </c>
      <c r="J813" s="580">
        <f t="shared" si="250"/>
        <v>0</v>
      </c>
      <c r="K813" s="631">
        <f t="shared" si="251"/>
        <v>0</v>
      </c>
      <c r="L813" s="2049"/>
      <c r="M813" s="574"/>
      <c r="N813" s="667">
        <f t="shared" si="249"/>
        <v>0</v>
      </c>
      <c r="O813" s="636">
        <v>0</v>
      </c>
      <c r="P813" s="637"/>
      <c r="Q813" s="574"/>
      <c r="R813" s="574"/>
      <c r="S813" s="574"/>
    </row>
    <row r="814" spans="1:19" ht="21.3">
      <c r="A814" s="665"/>
      <c r="B814" s="617"/>
      <c r="C814" s="1125" t="s">
        <v>281</v>
      </c>
      <c r="D814" s="1126"/>
      <c r="E814" s="637">
        <f t="shared" si="255"/>
        <v>0</v>
      </c>
      <c r="F814" s="619"/>
      <c r="G814" s="572"/>
      <c r="H814" s="580"/>
      <c r="I814" s="572"/>
      <c r="J814" s="580">
        <f t="shared" si="250"/>
        <v>0</v>
      </c>
      <c r="K814" s="631">
        <f t="shared" si="251"/>
        <v>0</v>
      </c>
      <c r="L814" s="2049"/>
      <c r="M814" s="574"/>
      <c r="N814" s="629">
        <f t="shared" si="249"/>
        <v>0</v>
      </c>
      <c r="O814" s="630">
        <v>0</v>
      </c>
      <c r="P814" s="624"/>
      <c r="Q814" s="574"/>
      <c r="R814" s="574"/>
      <c r="S814" s="574"/>
    </row>
    <row r="815" spans="1:19" ht="21.3">
      <c r="A815" s="665"/>
      <c r="B815" s="617" t="s">
        <v>282</v>
      </c>
      <c r="C815" s="1125" t="s">
        <v>280</v>
      </c>
      <c r="D815" s="1126"/>
      <c r="E815" s="637">
        <f t="shared" si="255"/>
        <v>0</v>
      </c>
      <c r="F815" s="625" t="s">
        <v>34</v>
      </c>
      <c r="G815" s="572">
        <v>256</v>
      </c>
      <c r="H815" s="580">
        <f t="shared" ref="H815" si="260">E815*G815</f>
        <v>0</v>
      </c>
      <c r="I815" s="572">
        <v>100</v>
      </c>
      <c r="J815" s="580">
        <f t="shared" si="250"/>
        <v>0</v>
      </c>
      <c r="K815" s="631">
        <f t="shared" si="251"/>
        <v>0</v>
      </c>
      <c r="L815" s="2049"/>
      <c r="M815" s="574"/>
      <c r="N815" s="667">
        <f t="shared" si="249"/>
        <v>0</v>
      </c>
      <c r="O815" s="636">
        <v>0</v>
      </c>
      <c r="P815" s="637"/>
      <c r="Q815" s="574"/>
      <c r="R815" s="574"/>
      <c r="S815" s="574"/>
    </row>
    <row r="816" spans="1:19" ht="21.3">
      <c r="A816" s="665"/>
      <c r="B816" s="617"/>
      <c r="C816" s="1125" t="s">
        <v>281</v>
      </c>
      <c r="D816" s="1126"/>
      <c r="E816" s="637">
        <f t="shared" si="255"/>
        <v>0</v>
      </c>
      <c r="F816" s="619"/>
      <c r="G816" s="572"/>
      <c r="H816" s="580"/>
      <c r="I816" s="572"/>
      <c r="J816" s="580">
        <f t="shared" si="250"/>
        <v>0</v>
      </c>
      <c r="K816" s="631">
        <f t="shared" si="251"/>
        <v>0</v>
      </c>
      <c r="L816" s="1062"/>
      <c r="M816" s="574"/>
      <c r="N816" s="629">
        <f t="shared" si="249"/>
        <v>0</v>
      </c>
      <c r="O816" s="630">
        <v>0</v>
      </c>
      <c r="P816" s="624"/>
      <c r="Q816" s="574"/>
      <c r="R816" s="574"/>
      <c r="S816" s="574"/>
    </row>
    <row r="817" spans="1:19" ht="21.3">
      <c r="A817" s="665"/>
      <c r="B817" s="617"/>
      <c r="C817" s="1125" t="s">
        <v>283</v>
      </c>
      <c r="D817" s="1126"/>
      <c r="E817" s="637">
        <f t="shared" si="255"/>
        <v>0</v>
      </c>
      <c r="F817" s="625" t="s">
        <v>34</v>
      </c>
      <c r="G817" s="2048">
        <v>69</v>
      </c>
      <c r="H817" s="633">
        <f t="shared" ref="H817" si="261">SUM(E817*G817)</f>
        <v>0</v>
      </c>
      <c r="I817" s="2048">
        <v>28</v>
      </c>
      <c r="J817" s="580">
        <f t="shared" si="250"/>
        <v>0</v>
      </c>
      <c r="K817" s="631">
        <f t="shared" si="251"/>
        <v>0</v>
      </c>
      <c r="L817" s="2049"/>
      <c r="M817" s="574"/>
      <c r="N817" s="667">
        <f t="shared" si="249"/>
        <v>0</v>
      </c>
      <c r="O817" s="636">
        <v>0</v>
      </c>
      <c r="P817" s="637"/>
      <c r="Q817" s="574"/>
      <c r="R817" s="574"/>
      <c r="S817" s="574"/>
    </row>
    <row r="818" spans="1:19" ht="21.3">
      <c r="A818" s="665"/>
      <c r="B818" s="617" t="s">
        <v>284</v>
      </c>
      <c r="C818" s="1125" t="s">
        <v>280</v>
      </c>
      <c r="D818" s="1126"/>
      <c r="E818" s="637">
        <f t="shared" si="255"/>
        <v>0</v>
      </c>
      <c r="F818" s="625" t="s">
        <v>34</v>
      </c>
      <c r="G818" s="572">
        <v>592</v>
      </c>
      <c r="H818" s="580">
        <f t="shared" ref="H818" si="262">E818*G818</f>
        <v>0</v>
      </c>
      <c r="I818" s="572">
        <v>165</v>
      </c>
      <c r="J818" s="580">
        <f t="shared" si="250"/>
        <v>0</v>
      </c>
      <c r="K818" s="631">
        <f t="shared" si="251"/>
        <v>0</v>
      </c>
      <c r="L818" s="2049"/>
      <c r="M818" s="574"/>
      <c r="N818" s="667">
        <f t="shared" si="249"/>
        <v>0</v>
      </c>
      <c r="O818" s="636">
        <v>0</v>
      </c>
      <c r="P818" s="637"/>
      <c r="Q818" s="574"/>
      <c r="R818" s="574"/>
      <c r="S818" s="574"/>
    </row>
    <row r="819" spans="1:19" ht="21.3">
      <c r="A819" s="665"/>
      <c r="B819" s="617"/>
      <c r="C819" s="1125" t="s">
        <v>285</v>
      </c>
      <c r="D819" s="1126"/>
      <c r="E819" s="637">
        <f t="shared" si="255"/>
        <v>0</v>
      </c>
      <c r="F819" s="619"/>
      <c r="G819" s="572"/>
      <c r="H819" s="580"/>
      <c r="I819" s="572"/>
      <c r="J819" s="580">
        <f t="shared" si="250"/>
        <v>0</v>
      </c>
      <c r="K819" s="631">
        <f t="shared" si="251"/>
        <v>0</v>
      </c>
      <c r="L819" s="1062"/>
      <c r="M819" s="574"/>
      <c r="N819" s="629">
        <f t="shared" si="249"/>
        <v>0</v>
      </c>
      <c r="O819" s="630">
        <v>0</v>
      </c>
      <c r="P819" s="624"/>
      <c r="Q819" s="574"/>
      <c r="R819" s="574"/>
      <c r="S819" s="574"/>
    </row>
    <row r="820" spans="1:19" ht="21.3">
      <c r="A820" s="665"/>
      <c r="B820" s="617" t="s">
        <v>286</v>
      </c>
      <c r="C820" s="1125" t="s">
        <v>280</v>
      </c>
      <c r="D820" s="1126"/>
      <c r="E820" s="637">
        <f t="shared" si="255"/>
        <v>0</v>
      </c>
      <c r="F820" s="625" t="s">
        <v>34</v>
      </c>
      <c r="G820" s="572">
        <v>642</v>
      </c>
      <c r="H820" s="580">
        <f t="shared" ref="H820" si="263">E820*G820</f>
        <v>0</v>
      </c>
      <c r="I820" s="572">
        <v>183</v>
      </c>
      <c r="J820" s="580">
        <f t="shared" si="250"/>
        <v>0</v>
      </c>
      <c r="K820" s="631">
        <f t="shared" si="251"/>
        <v>0</v>
      </c>
      <c r="L820" s="2049"/>
      <c r="M820" s="574"/>
      <c r="N820" s="667">
        <f t="shared" si="249"/>
        <v>0</v>
      </c>
      <c r="O820" s="636">
        <v>0</v>
      </c>
      <c r="P820" s="637"/>
      <c r="Q820" s="574"/>
      <c r="R820" s="574"/>
      <c r="S820" s="574"/>
    </row>
    <row r="821" spans="1:19" ht="21.3">
      <c r="A821" s="665"/>
      <c r="B821" s="617"/>
      <c r="C821" s="1125" t="s">
        <v>287</v>
      </c>
      <c r="D821" s="1126"/>
      <c r="E821" s="637">
        <f t="shared" si="255"/>
        <v>0</v>
      </c>
      <c r="F821" s="619"/>
      <c r="G821" s="572"/>
      <c r="H821" s="580"/>
      <c r="I821" s="572"/>
      <c r="J821" s="580">
        <f t="shared" si="250"/>
        <v>0</v>
      </c>
      <c r="K821" s="631">
        <f t="shared" si="251"/>
        <v>0</v>
      </c>
      <c r="L821" s="1073"/>
      <c r="M821" s="574"/>
      <c r="N821" s="629">
        <f t="shared" si="249"/>
        <v>0</v>
      </c>
      <c r="O821" s="630">
        <v>0</v>
      </c>
      <c r="P821" s="624"/>
      <c r="Q821" s="574"/>
      <c r="R821" s="574"/>
      <c r="S821" s="574"/>
    </row>
    <row r="822" spans="1:19" ht="21.3">
      <c r="A822" s="665"/>
      <c r="B822" s="617"/>
      <c r="C822" s="1125" t="s">
        <v>288</v>
      </c>
      <c r="D822" s="1126"/>
      <c r="E822" s="637">
        <f t="shared" si="255"/>
        <v>0</v>
      </c>
      <c r="F822" s="619"/>
      <c r="G822" s="572"/>
      <c r="H822" s="580"/>
      <c r="I822" s="572"/>
      <c r="J822" s="580">
        <f t="shared" si="250"/>
        <v>0</v>
      </c>
      <c r="K822" s="631">
        <f t="shared" si="251"/>
        <v>0</v>
      </c>
      <c r="L822" s="1073"/>
      <c r="M822" s="574"/>
      <c r="N822" s="629">
        <f t="shared" si="249"/>
        <v>0</v>
      </c>
      <c r="O822" s="630">
        <v>0</v>
      </c>
      <c r="P822" s="624"/>
      <c r="Q822" s="574"/>
      <c r="R822" s="574"/>
      <c r="S822" s="574"/>
    </row>
    <row r="823" spans="1:19" ht="21.3">
      <c r="A823" s="665"/>
      <c r="B823" s="617" t="s">
        <v>289</v>
      </c>
      <c r="C823" s="1125" t="s">
        <v>280</v>
      </c>
      <c r="D823" s="1126"/>
      <c r="E823" s="637">
        <f t="shared" si="255"/>
        <v>0</v>
      </c>
      <c r="F823" s="625" t="s">
        <v>34</v>
      </c>
      <c r="G823" s="572">
        <v>520</v>
      </c>
      <c r="H823" s="580">
        <f t="shared" ref="H823" si="264">E823*G823</f>
        <v>0</v>
      </c>
      <c r="I823" s="572">
        <v>270</v>
      </c>
      <c r="J823" s="580">
        <f t="shared" si="250"/>
        <v>0</v>
      </c>
      <c r="K823" s="631">
        <f t="shared" si="251"/>
        <v>0</v>
      </c>
      <c r="L823" s="1074"/>
      <c r="M823" s="574"/>
      <c r="N823" s="667">
        <f t="shared" si="249"/>
        <v>0</v>
      </c>
      <c r="O823" s="636">
        <v>0</v>
      </c>
      <c r="P823" s="637"/>
      <c r="Q823" s="574"/>
      <c r="R823" s="574"/>
      <c r="S823" s="574"/>
    </row>
    <row r="824" spans="1:19" ht="21.3">
      <c r="A824" s="665"/>
      <c r="B824" s="617"/>
      <c r="C824" s="1125" t="s">
        <v>290</v>
      </c>
      <c r="D824" s="1126"/>
      <c r="E824" s="637">
        <f t="shared" si="255"/>
        <v>0</v>
      </c>
      <c r="F824" s="619"/>
      <c r="G824" s="572"/>
      <c r="H824" s="580"/>
      <c r="I824" s="572"/>
      <c r="J824" s="580">
        <f t="shared" si="250"/>
        <v>0</v>
      </c>
      <c r="K824" s="631">
        <f t="shared" si="251"/>
        <v>0</v>
      </c>
      <c r="L824" s="1073"/>
      <c r="M824" s="574"/>
      <c r="N824" s="629">
        <f t="shared" si="249"/>
        <v>0</v>
      </c>
      <c r="O824" s="630">
        <v>0</v>
      </c>
      <c r="P824" s="624"/>
      <c r="Q824" s="574"/>
      <c r="R824" s="574"/>
      <c r="S824" s="574"/>
    </row>
    <row r="825" spans="1:19" ht="21.3">
      <c r="A825" s="665"/>
      <c r="B825" s="617" t="s">
        <v>291</v>
      </c>
      <c r="C825" s="1125" t="s">
        <v>280</v>
      </c>
      <c r="D825" s="1126"/>
      <c r="E825" s="637">
        <f t="shared" si="255"/>
        <v>0</v>
      </c>
      <c r="F825" s="625" t="s">
        <v>34</v>
      </c>
      <c r="G825" s="572">
        <v>256</v>
      </c>
      <c r="H825" s="580">
        <f t="shared" ref="H825:H826" si="265">E825*G825</f>
        <v>0</v>
      </c>
      <c r="I825" s="572">
        <v>100</v>
      </c>
      <c r="J825" s="580">
        <f t="shared" si="250"/>
        <v>0</v>
      </c>
      <c r="K825" s="631">
        <f t="shared" si="251"/>
        <v>0</v>
      </c>
      <c r="L825" s="2049"/>
      <c r="M825" s="574"/>
      <c r="N825" s="667">
        <f t="shared" si="249"/>
        <v>0</v>
      </c>
      <c r="O825" s="636">
        <v>0</v>
      </c>
      <c r="P825" s="637"/>
      <c r="Q825" s="574"/>
      <c r="R825" s="574"/>
      <c r="S825" s="574"/>
    </row>
    <row r="826" spans="1:19" ht="21.3">
      <c r="A826" s="665"/>
      <c r="B826" s="617"/>
      <c r="C826" s="1125" t="s">
        <v>292</v>
      </c>
      <c r="D826" s="1126"/>
      <c r="E826" s="637">
        <f t="shared" si="255"/>
        <v>0</v>
      </c>
      <c r="F826" s="619"/>
      <c r="G826" s="572">
        <v>0</v>
      </c>
      <c r="H826" s="580">
        <f t="shared" si="265"/>
        <v>0</v>
      </c>
      <c r="I826" s="572">
        <v>0</v>
      </c>
      <c r="J826" s="580">
        <f t="shared" si="250"/>
        <v>0</v>
      </c>
      <c r="K826" s="631">
        <f t="shared" si="251"/>
        <v>0</v>
      </c>
      <c r="L826" s="1073"/>
      <c r="M826" s="574"/>
      <c r="N826" s="629">
        <f t="shared" si="249"/>
        <v>0</v>
      </c>
      <c r="O826" s="630">
        <v>0</v>
      </c>
      <c r="P826" s="624"/>
      <c r="Q826" s="574"/>
      <c r="R826" s="574"/>
      <c r="S826" s="574"/>
    </row>
    <row r="827" spans="1:19" ht="21.3">
      <c r="A827" s="665"/>
      <c r="B827" s="617"/>
      <c r="C827" s="1125" t="s">
        <v>293</v>
      </c>
      <c r="D827" s="1126"/>
      <c r="E827" s="637">
        <f t="shared" si="255"/>
        <v>0</v>
      </c>
      <c r="F827" s="625" t="s">
        <v>34</v>
      </c>
      <c r="G827" s="666">
        <v>520</v>
      </c>
      <c r="H827" s="580"/>
      <c r="I827" s="666">
        <v>30</v>
      </c>
      <c r="J827" s="580">
        <f t="shared" si="250"/>
        <v>0</v>
      </c>
      <c r="K827" s="631">
        <f t="shared" si="251"/>
        <v>0</v>
      </c>
      <c r="L827" s="1073"/>
      <c r="M827" s="574"/>
      <c r="N827" s="629">
        <f t="shared" si="249"/>
        <v>0</v>
      </c>
      <c r="O827" s="630">
        <v>0</v>
      </c>
      <c r="P827" s="624"/>
      <c r="Q827" s="574"/>
      <c r="R827" s="574"/>
      <c r="S827" s="574"/>
    </row>
    <row r="828" spans="1:19" ht="21.3">
      <c r="A828" s="665"/>
      <c r="B828" s="617" t="s">
        <v>294</v>
      </c>
      <c r="C828" s="1125" t="s">
        <v>295</v>
      </c>
      <c r="D828" s="1126"/>
      <c r="E828" s="637">
        <f t="shared" si="255"/>
        <v>0</v>
      </c>
      <c r="F828" s="625" t="s">
        <v>34</v>
      </c>
      <c r="G828" s="666">
        <v>91</v>
      </c>
      <c r="H828" s="633">
        <f>SUM(E828*G828)</f>
        <v>0</v>
      </c>
      <c r="I828" s="666">
        <v>100</v>
      </c>
      <c r="J828" s="580">
        <f t="shared" si="250"/>
        <v>0</v>
      </c>
      <c r="K828" s="631">
        <f t="shared" si="251"/>
        <v>0</v>
      </c>
      <c r="L828" s="1062"/>
      <c r="M828" s="574"/>
      <c r="N828" s="667">
        <f t="shared" si="249"/>
        <v>0</v>
      </c>
      <c r="O828" s="636">
        <v>0</v>
      </c>
      <c r="P828" s="637"/>
      <c r="Q828" s="574"/>
      <c r="R828" s="574"/>
      <c r="S828" s="574"/>
    </row>
    <row r="829" spans="1:19" ht="21.3">
      <c r="A829" s="665"/>
      <c r="B829" s="617" t="s">
        <v>296</v>
      </c>
      <c r="C829" s="1125" t="s">
        <v>297</v>
      </c>
      <c r="D829" s="1126"/>
      <c r="E829" s="637">
        <f t="shared" si="255"/>
        <v>0</v>
      </c>
      <c r="F829" s="625" t="s">
        <v>34</v>
      </c>
      <c r="G829" s="666">
        <v>294</v>
      </c>
      <c r="H829" s="633">
        <f t="shared" ref="H829:H837" si="266">SUM(E829*G829)</f>
        <v>0</v>
      </c>
      <c r="I829" s="666">
        <v>189</v>
      </c>
      <c r="J829" s="580">
        <f t="shared" si="250"/>
        <v>0</v>
      </c>
      <c r="K829" s="631">
        <f t="shared" si="251"/>
        <v>0</v>
      </c>
      <c r="L829" s="1073"/>
      <c r="M829" s="574"/>
      <c r="N829" s="667">
        <f t="shared" si="249"/>
        <v>0</v>
      </c>
      <c r="O829" s="636">
        <v>0</v>
      </c>
      <c r="P829" s="637"/>
      <c r="Q829" s="574"/>
      <c r="R829" s="574"/>
      <c r="S829" s="574"/>
    </row>
    <row r="830" spans="1:19" ht="21.3">
      <c r="A830" s="665"/>
      <c r="B830" s="617" t="s">
        <v>298</v>
      </c>
      <c r="C830" s="1125" t="s">
        <v>299</v>
      </c>
      <c r="D830" s="1126"/>
      <c r="E830" s="637"/>
      <c r="F830" s="625" t="s">
        <v>34</v>
      </c>
      <c r="G830" s="666">
        <v>608</v>
      </c>
      <c r="H830" s="633">
        <f t="shared" si="266"/>
        <v>0</v>
      </c>
      <c r="I830" s="666">
        <v>189</v>
      </c>
      <c r="J830" s="580">
        <f t="shared" si="250"/>
        <v>0</v>
      </c>
      <c r="K830" s="631">
        <f t="shared" si="251"/>
        <v>0</v>
      </c>
      <c r="L830" s="1073"/>
      <c r="M830" s="574"/>
      <c r="N830" s="667">
        <f t="shared" si="249"/>
        <v>681.28</v>
      </c>
      <c r="O830" s="636">
        <v>0</v>
      </c>
      <c r="P830" s="637">
        <v>681.28</v>
      </c>
      <c r="Q830" s="574"/>
      <c r="R830" s="574"/>
      <c r="S830" s="574"/>
    </row>
    <row r="831" spans="1:19" ht="21.3">
      <c r="A831" s="665"/>
      <c r="B831" s="623" t="s">
        <v>2549</v>
      </c>
      <c r="C831" s="1125" t="s">
        <v>299</v>
      </c>
      <c r="D831" s="1126"/>
      <c r="E831" s="637">
        <f t="shared" si="255"/>
        <v>681.28</v>
      </c>
      <c r="F831" s="625" t="s">
        <v>34</v>
      </c>
      <c r="G831" s="666">
        <v>399</v>
      </c>
      <c r="H831" s="633">
        <f t="shared" si="266"/>
        <v>271830.71999999997</v>
      </c>
      <c r="I831" s="666">
        <v>189</v>
      </c>
      <c r="J831" s="580">
        <f t="shared" si="250"/>
        <v>128761.92</v>
      </c>
      <c r="K831" s="631">
        <f t="shared" si="251"/>
        <v>400592.63999999996</v>
      </c>
      <c r="L831" s="1073"/>
      <c r="M831" s="574"/>
      <c r="N831" s="667">
        <f t="shared" si="249"/>
        <v>681.28</v>
      </c>
      <c r="O831" s="636">
        <v>0</v>
      </c>
      <c r="P831" s="637">
        <v>681.28</v>
      </c>
      <c r="Q831" s="574"/>
      <c r="R831" s="574"/>
      <c r="S831" s="574"/>
    </row>
    <row r="832" spans="1:19" ht="21.3">
      <c r="A832" s="665"/>
      <c r="B832" s="617" t="s">
        <v>300</v>
      </c>
      <c r="C832" s="1125" t="s">
        <v>301</v>
      </c>
      <c r="D832" s="1126"/>
      <c r="E832" s="637">
        <f t="shared" si="255"/>
        <v>0</v>
      </c>
      <c r="F832" s="625" t="s">
        <v>34</v>
      </c>
      <c r="G832" s="666">
        <v>88</v>
      </c>
      <c r="H832" s="633">
        <f t="shared" si="266"/>
        <v>0</v>
      </c>
      <c r="I832" s="666">
        <v>82</v>
      </c>
      <c r="J832" s="580">
        <f t="shared" si="250"/>
        <v>0</v>
      </c>
      <c r="K832" s="631">
        <f t="shared" si="251"/>
        <v>0</v>
      </c>
      <c r="L832" s="1062"/>
      <c r="M832" s="574"/>
      <c r="N832" s="667">
        <f t="shared" si="249"/>
        <v>0</v>
      </c>
      <c r="O832" s="636">
        <v>0</v>
      </c>
      <c r="P832" s="637"/>
      <c r="Q832" s="574"/>
      <c r="R832" s="574"/>
      <c r="S832" s="574"/>
    </row>
    <row r="833" spans="1:19" ht="21.3">
      <c r="A833" s="665"/>
      <c r="B833" s="617"/>
      <c r="C833" s="1125" t="s">
        <v>302</v>
      </c>
      <c r="D833" s="1126"/>
      <c r="E833" s="637">
        <f t="shared" si="255"/>
        <v>0</v>
      </c>
      <c r="F833" s="625" t="s">
        <v>34</v>
      </c>
      <c r="G833" s="2048">
        <v>69</v>
      </c>
      <c r="H833" s="633">
        <f t="shared" si="266"/>
        <v>0</v>
      </c>
      <c r="I833" s="2048">
        <v>28</v>
      </c>
      <c r="J833" s="580">
        <f t="shared" si="250"/>
        <v>0</v>
      </c>
      <c r="K833" s="631">
        <f t="shared" si="251"/>
        <v>0</v>
      </c>
      <c r="L833" s="1062"/>
      <c r="M833" s="574"/>
      <c r="N833" s="667">
        <f t="shared" si="249"/>
        <v>0</v>
      </c>
      <c r="O833" s="636">
        <v>0</v>
      </c>
      <c r="P833" s="637"/>
      <c r="Q833" s="574"/>
      <c r="R833" s="574"/>
      <c r="S833" s="574"/>
    </row>
    <row r="834" spans="1:19" ht="21.3">
      <c r="A834" s="665"/>
      <c r="B834" s="617"/>
      <c r="C834" s="1125"/>
      <c r="D834" s="1126"/>
      <c r="E834" s="637"/>
      <c r="F834" s="625"/>
      <c r="G834" s="2048"/>
      <c r="H834" s="633"/>
      <c r="I834" s="2048"/>
      <c r="J834" s="580"/>
      <c r="K834" s="631"/>
      <c r="L834" s="1062"/>
      <c r="M834" s="574"/>
      <c r="N834" s="667"/>
      <c r="O834" s="636"/>
      <c r="P834" s="637"/>
      <c r="Q834" s="574"/>
      <c r="R834" s="574"/>
      <c r="S834" s="574"/>
    </row>
    <row r="835" spans="1:19" ht="21.3">
      <c r="A835" s="665"/>
      <c r="B835" s="617" t="s">
        <v>303</v>
      </c>
      <c r="C835" s="1125" t="s">
        <v>304</v>
      </c>
      <c r="D835" s="1126"/>
      <c r="E835" s="637"/>
      <c r="F835" s="625" t="s">
        <v>34</v>
      </c>
      <c r="G835" s="666">
        <v>870</v>
      </c>
      <c r="H835" s="633">
        <f t="shared" ref="H835" si="267">SUM(E835*G835)</f>
        <v>0</v>
      </c>
      <c r="I835" s="666">
        <v>242</v>
      </c>
      <c r="J835" s="580">
        <f t="shared" ref="J835:J836" si="268">E835*I835</f>
        <v>0</v>
      </c>
      <c r="K835" s="631">
        <f t="shared" ref="K835:K836" si="269">H835+J835</f>
        <v>0</v>
      </c>
      <c r="L835" s="1073"/>
      <c r="M835" s="574"/>
      <c r="N835" s="667">
        <f t="shared" ref="N835:N836" si="270">+(1+O835)*P835</f>
        <v>156.39999999999998</v>
      </c>
      <c r="O835" s="636">
        <v>0</v>
      </c>
      <c r="P835" s="637">
        <v>156.39999999999998</v>
      </c>
      <c r="Q835" s="574"/>
      <c r="R835" s="574"/>
      <c r="S835" s="574"/>
    </row>
    <row r="836" spans="1:19" ht="21.3">
      <c r="A836" s="665"/>
      <c r="B836" s="617"/>
      <c r="C836" s="1125" t="s">
        <v>305</v>
      </c>
      <c r="D836" s="1126"/>
      <c r="E836" s="637">
        <f t="shared" ref="E836" si="271">+N836</f>
        <v>0</v>
      </c>
      <c r="F836" s="619"/>
      <c r="G836" s="572"/>
      <c r="H836" s="580"/>
      <c r="I836" s="572"/>
      <c r="J836" s="580">
        <f t="shared" si="268"/>
        <v>0</v>
      </c>
      <c r="K836" s="631">
        <f t="shared" si="269"/>
        <v>0</v>
      </c>
      <c r="L836" s="1073"/>
      <c r="M836" s="574"/>
      <c r="N836" s="629">
        <f t="shared" si="270"/>
        <v>0</v>
      </c>
      <c r="O836" s="630">
        <v>0</v>
      </c>
      <c r="P836" s="624"/>
      <c r="Q836" s="574"/>
      <c r="R836" s="574"/>
      <c r="S836" s="574"/>
    </row>
    <row r="837" spans="1:19" ht="21.3">
      <c r="A837" s="665"/>
      <c r="B837" s="623" t="s">
        <v>2550</v>
      </c>
      <c r="C837" s="1125" t="s">
        <v>304</v>
      </c>
      <c r="D837" s="1126"/>
      <c r="E837" s="637">
        <f t="shared" si="255"/>
        <v>156.39999999999998</v>
      </c>
      <c r="F837" s="625" t="s">
        <v>34</v>
      </c>
      <c r="G837" s="666">
        <v>765</v>
      </c>
      <c r="H837" s="633">
        <f t="shared" si="266"/>
        <v>119645.99999999999</v>
      </c>
      <c r="I837" s="666">
        <v>242</v>
      </c>
      <c r="J837" s="580">
        <f t="shared" si="250"/>
        <v>37848.799999999996</v>
      </c>
      <c r="K837" s="631">
        <f t="shared" si="251"/>
        <v>157494.79999999999</v>
      </c>
      <c r="L837" s="1073"/>
      <c r="M837" s="574"/>
      <c r="N837" s="667">
        <f t="shared" si="249"/>
        <v>156.39999999999998</v>
      </c>
      <c r="O837" s="636">
        <v>0</v>
      </c>
      <c r="P837" s="637">
        <v>156.39999999999998</v>
      </c>
      <c r="Q837" s="574"/>
      <c r="R837" s="574"/>
      <c r="S837" s="574"/>
    </row>
    <row r="838" spans="1:19" ht="21.3">
      <c r="A838" s="665"/>
      <c r="B838" s="617"/>
      <c r="C838" s="1125" t="s">
        <v>305</v>
      </c>
      <c r="D838" s="1126"/>
      <c r="E838" s="637">
        <f t="shared" si="255"/>
        <v>0</v>
      </c>
      <c r="F838" s="619"/>
      <c r="G838" s="572"/>
      <c r="H838" s="580"/>
      <c r="I838" s="572"/>
      <c r="J838" s="580">
        <f t="shared" si="250"/>
        <v>0</v>
      </c>
      <c r="K838" s="631">
        <f t="shared" si="251"/>
        <v>0</v>
      </c>
      <c r="L838" s="1073"/>
      <c r="M838" s="574"/>
      <c r="N838" s="629">
        <f t="shared" si="249"/>
        <v>0</v>
      </c>
      <c r="O838" s="630">
        <v>0</v>
      </c>
      <c r="P838" s="624"/>
      <c r="Q838" s="574"/>
      <c r="R838" s="574"/>
      <c r="S838" s="574"/>
    </row>
    <row r="839" spans="1:19" ht="21.3">
      <c r="A839" s="665"/>
      <c r="B839" s="617" t="s">
        <v>306</v>
      </c>
      <c r="C839" s="1125" t="s">
        <v>307</v>
      </c>
      <c r="D839" s="1126"/>
      <c r="E839" s="637">
        <f t="shared" si="255"/>
        <v>0</v>
      </c>
      <c r="F839" s="625" t="s">
        <v>34</v>
      </c>
      <c r="G839" s="666"/>
      <c r="H839" s="633">
        <v>0</v>
      </c>
      <c r="I839" s="666"/>
      <c r="J839" s="580">
        <f t="shared" si="250"/>
        <v>0</v>
      </c>
      <c r="K839" s="631">
        <f t="shared" si="251"/>
        <v>0</v>
      </c>
      <c r="L839" s="1073"/>
      <c r="M839" s="574"/>
      <c r="N839" s="667">
        <f t="shared" si="249"/>
        <v>0</v>
      </c>
      <c r="O839" s="636">
        <v>0</v>
      </c>
      <c r="P839" s="637"/>
      <c r="Q839" s="574"/>
      <c r="R839" s="574"/>
      <c r="S839" s="574"/>
    </row>
    <row r="840" spans="1:19" ht="21.3">
      <c r="A840" s="665"/>
      <c r="B840" s="617" t="s">
        <v>308</v>
      </c>
      <c r="C840" s="617" t="s">
        <v>309</v>
      </c>
      <c r="D840" s="617"/>
      <c r="E840" s="637">
        <f t="shared" si="255"/>
        <v>0</v>
      </c>
      <c r="F840" s="625" t="s">
        <v>34</v>
      </c>
      <c r="G840" s="666">
        <v>1296</v>
      </c>
      <c r="H840" s="633">
        <f t="shared" ref="H840:H851" si="272">SUM(E840*G840)</f>
        <v>0</v>
      </c>
      <c r="I840" s="666">
        <v>1600</v>
      </c>
      <c r="J840" s="580">
        <f t="shared" si="250"/>
        <v>0</v>
      </c>
      <c r="K840" s="631">
        <f t="shared" si="251"/>
        <v>0</v>
      </c>
      <c r="L840" s="1073"/>
      <c r="M840" s="574"/>
      <c r="N840" s="667">
        <f t="shared" si="249"/>
        <v>0</v>
      </c>
      <c r="O840" s="636">
        <v>0</v>
      </c>
      <c r="P840" s="637"/>
      <c r="Q840" s="574"/>
      <c r="R840" s="574"/>
      <c r="S840" s="574"/>
    </row>
    <row r="841" spans="1:19" ht="21.3">
      <c r="A841" s="665"/>
      <c r="B841" s="617"/>
      <c r="C841" s="617" t="s">
        <v>310</v>
      </c>
      <c r="D841" s="617"/>
      <c r="E841" s="637">
        <f t="shared" si="255"/>
        <v>0</v>
      </c>
      <c r="F841" s="619"/>
      <c r="G841" s="666"/>
      <c r="H841" s="633">
        <f t="shared" si="272"/>
        <v>0</v>
      </c>
      <c r="I841" s="666"/>
      <c r="J841" s="580">
        <f t="shared" si="250"/>
        <v>0</v>
      </c>
      <c r="K841" s="631">
        <f t="shared" si="251"/>
        <v>0</v>
      </c>
      <c r="L841" s="1073"/>
      <c r="M841" s="574"/>
      <c r="N841" s="629">
        <f t="shared" si="249"/>
        <v>0</v>
      </c>
      <c r="O841" s="630">
        <v>0</v>
      </c>
      <c r="P841" s="624"/>
      <c r="Q841" s="574"/>
      <c r="R841" s="574"/>
      <c r="S841" s="574"/>
    </row>
    <row r="842" spans="1:19" ht="21.3">
      <c r="A842" s="665"/>
      <c r="B842" s="617" t="s">
        <v>311</v>
      </c>
      <c r="C842" s="1125" t="s">
        <v>312</v>
      </c>
      <c r="D842" s="1126"/>
      <c r="E842" s="637">
        <f t="shared" si="255"/>
        <v>0</v>
      </c>
      <c r="F842" s="625" t="s">
        <v>34</v>
      </c>
      <c r="G842" s="666"/>
      <c r="H842" s="633">
        <f t="shared" si="272"/>
        <v>0</v>
      </c>
      <c r="I842" s="666"/>
      <c r="J842" s="580">
        <f t="shared" si="250"/>
        <v>0</v>
      </c>
      <c r="K842" s="631">
        <f t="shared" si="251"/>
        <v>0</v>
      </c>
      <c r="L842" s="1073"/>
      <c r="M842" s="574"/>
      <c r="N842" s="667">
        <f t="shared" si="249"/>
        <v>0</v>
      </c>
      <c r="O842" s="636">
        <v>0</v>
      </c>
      <c r="P842" s="637"/>
      <c r="Q842" s="574"/>
      <c r="R842" s="574"/>
      <c r="S842" s="574"/>
    </row>
    <row r="843" spans="1:19" ht="21.3">
      <c r="A843" s="665"/>
      <c r="B843" s="617" t="s">
        <v>313</v>
      </c>
      <c r="C843" s="1125" t="s">
        <v>314</v>
      </c>
      <c r="D843" s="1126"/>
      <c r="E843" s="637">
        <f t="shared" si="255"/>
        <v>0</v>
      </c>
      <c r="F843" s="625" t="s">
        <v>34</v>
      </c>
      <c r="G843" s="666"/>
      <c r="H843" s="633">
        <f t="shared" si="272"/>
        <v>0</v>
      </c>
      <c r="I843" s="666"/>
      <c r="J843" s="580">
        <f t="shared" si="250"/>
        <v>0</v>
      </c>
      <c r="K843" s="631">
        <f t="shared" si="251"/>
        <v>0</v>
      </c>
      <c r="L843" s="1073"/>
      <c r="M843" s="574"/>
      <c r="N843" s="667">
        <f t="shared" si="249"/>
        <v>0</v>
      </c>
      <c r="O843" s="636">
        <v>0</v>
      </c>
      <c r="P843" s="637"/>
      <c r="Q843" s="574"/>
      <c r="R843" s="574"/>
      <c r="S843" s="574"/>
    </row>
    <row r="844" spans="1:19" ht="21.3">
      <c r="A844" s="665"/>
      <c r="B844" s="617" t="s">
        <v>315</v>
      </c>
      <c r="C844" s="1125" t="s">
        <v>316</v>
      </c>
      <c r="D844" s="1126"/>
      <c r="E844" s="637">
        <f t="shared" si="255"/>
        <v>0</v>
      </c>
      <c r="F844" s="625" t="s">
        <v>34</v>
      </c>
      <c r="G844" s="572">
        <v>15000</v>
      </c>
      <c r="H844" s="580">
        <f t="shared" si="272"/>
        <v>0</v>
      </c>
      <c r="I844" s="572">
        <v>500</v>
      </c>
      <c r="J844" s="580">
        <f t="shared" si="250"/>
        <v>0</v>
      </c>
      <c r="K844" s="631">
        <f t="shared" si="251"/>
        <v>0</v>
      </c>
      <c r="L844" s="1061"/>
      <c r="M844" s="574"/>
      <c r="N844" s="667">
        <f t="shared" si="249"/>
        <v>0</v>
      </c>
      <c r="O844" s="636">
        <v>0</v>
      </c>
      <c r="P844" s="637"/>
      <c r="Q844" s="574"/>
      <c r="R844" s="574"/>
      <c r="S844" s="574"/>
    </row>
    <row r="845" spans="1:19" ht="21.3">
      <c r="A845" s="665"/>
      <c r="B845" s="617" t="s">
        <v>317</v>
      </c>
      <c r="C845" s="1125" t="s">
        <v>318</v>
      </c>
      <c r="D845" s="1126"/>
      <c r="E845" s="637">
        <f t="shared" si="255"/>
        <v>942.70199999999966</v>
      </c>
      <c r="F845" s="625" t="s">
        <v>34</v>
      </c>
      <c r="G845" s="666">
        <v>88</v>
      </c>
      <c r="H845" s="633">
        <f t="shared" si="272"/>
        <v>82957.775999999969</v>
      </c>
      <c r="I845" s="666">
        <v>82</v>
      </c>
      <c r="J845" s="580">
        <f t="shared" si="250"/>
        <v>77301.563999999969</v>
      </c>
      <c r="K845" s="631">
        <f t="shared" si="251"/>
        <v>160259.33999999994</v>
      </c>
      <c r="L845" s="1062"/>
      <c r="M845" s="574"/>
      <c r="N845" s="667">
        <f t="shared" si="249"/>
        <v>942.70199999999966</v>
      </c>
      <c r="O845" s="636">
        <v>0</v>
      </c>
      <c r="P845" s="637">
        <v>942.70199999999966</v>
      </c>
      <c r="Q845" s="574"/>
      <c r="R845" s="574"/>
      <c r="S845" s="574"/>
    </row>
    <row r="846" spans="1:19" ht="21.3">
      <c r="A846" s="665"/>
      <c r="B846" s="617" t="s">
        <v>319</v>
      </c>
      <c r="C846" s="1125" t="s">
        <v>320</v>
      </c>
      <c r="D846" s="1126"/>
      <c r="E846" s="637">
        <f t="shared" si="255"/>
        <v>0</v>
      </c>
      <c r="F846" s="625" t="s">
        <v>34</v>
      </c>
      <c r="G846" s="666">
        <v>1955</v>
      </c>
      <c r="H846" s="633">
        <f t="shared" si="272"/>
        <v>0</v>
      </c>
      <c r="I846" s="666">
        <v>1700</v>
      </c>
      <c r="J846" s="580">
        <f t="shared" si="250"/>
        <v>0</v>
      </c>
      <c r="K846" s="631">
        <f t="shared" si="251"/>
        <v>0</v>
      </c>
      <c r="L846" s="1073"/>
      <c r="M846" s="574"/>
      <c r="N846" s="667">
        <f t="shared" si="249"/>
        <v>0</v>
      </c>
      <c r="O846" s="636">
        <v>0</v>
      </c>
      <c r="P846" s="637"/>
      <c r="Q846" s="574"/>
      <c r="R846" s="574"/>
      <c r="S846" s="574"/>
    </row>
    <row r="847" spans="1:19" ht="21.3">
      <c r="A847" s="665"/>
      <c r="B847" s="617"/>
      <c r="C847" s="1125" t="s">
        <v>321</v>
      </c>
      <c r="D847" s="1126"/>
      <c r="E847" s="637">
        <f t="shared" si="255"/>
        <v>0</v>
      </c>
      <c r="F847" s="625" t="s">
        <v>34</v>
      </c>
      <c r="G847" s="666">
        <v>0</v>
      </c>
      <c r="H847" s="633">
        <f t="shared" si="272"/>
        <v>0</v>
      </c>
      <c r="I847" s="666">
        <v>0</v>
      </c>
      <c r="J847" s="580">
        <f t="shared" si="250"/>
        <v>0</v>
      </c>
      <c r="K847" s="631">
        <f t="shared" si="251"/>
        <v>0</v>
      </c>
      <c r="L847" s="1073"/>
      <c r="M847" s="574"/>
      <c r="N847" s="667">
        <f t="shared" si="249"/>
        <v>0</v>
      </c>
      <c r="O847" s="636">
        <v>0</v>
      </c>
      <c r="P847" s="637"/>
      <c r="Q847" s="574"/>
      <c r="R847" s="574"/>
      <c r="S847" s="574"/>
    </row>
    <row r="848" spans="1:19" ht="21.3">
      <c r="A848" s="665"/>
      <c r="B848" s="617" t="s">
        <v>322</v>
      </c>
      <c r="C848" s="1125" t="s">
        <v>323</v>
      </c>
      <c r="D848" s="1126"/>
      <c r="E848" s="637">
        <f t="shared" si="255"/>
        <v>0</v>
      </c>
      <c r="F848" s="625" t="s">
        <v>34</v>
      </c>
      <c r="G848" s="666">
        <v>1296</v>
      </c>
      <c r="H848" s="633">
        <f t="shared" si="272"/>
        <v>0</v>
      </c>
      <c r="I848" s="666">
        <v>1600</v>
      </c>
      <c r="J848" s="580">
        <f t="shared" si="250"/>
        <v>0</v>
      </c>
      <c r="K848" s="631">
        <f t="shared" si="251"/>
        <v>0</v>
      </c>
      <c r="L848" s="1073"/>
      <c r="M848" s="574"/>
      <c r="N848" s="667">
        <f t="shared" si="249"/>
        <v>0</v>
      </c>
      <c r="O848" s="636">
        <v>0</v>
      </c>
      <c r="P848" s="637"/>
      <c r="Q848" s="574"/>
      <c r="R848" s="574"/>
      <c r="S848" s="574"/>
    </row>
    <row r="849" spans="1:19" ht="21.3">
      <c r="A849" s="665"/>
      <c r="B849" s="617" t="s">
        <v>324</v>
      </c>
      <c r="C849" s="1125" t="s">
        <v>325</v>
      </c>
      <c r="D849" s="1126"/>
      <c r="E849" s="637">
        <f t="shared" si="255"/>
        <v>0</v>
      </c>
      <c r="F849" s="625" t="s">
        <v>34</v>
      </c>
      <c r="G849" s="2048">
        <f>13+69</f>
        <v>82</v>
      </c>
      <c r="H849" s="633">
        <f t="shared" si="272"/>
        <v>0</v>
      </c>
      <c r="I849" s="2048">
        <f>30+28</f>
        <v>58</v>
      </c>
      <c r="J849" s="580">
        <f t="shared" si="250"/>
        <v>0</v>
      </c>
      <c r="K849" s="631">
        <f t="shared" si="251"/>
        <v>0</v>
      </c>
      <c r="L849" s="2049"/>
      <c r="M849" s="574"/>
      <c r="N849" s="667">
        <f t="shared" si="249"/>
        <v>0</v>
      </c>
      <c r="O849" s="636">
        <v>0</v>
      </c>
      <c r="P849" s="637"/>
      <c r="Q849" s="574"/>
      <c r="R849" s="574"/>
      <c r="S849" s="574"/>
    </row>
    <row r="850" spans="1:19" ht="21.3">
      <c r="A850" s="665"/>
      <c r="B850" s="617" t="s">
        <v>326</v>
      </c>
      <c r="C850" s="1125" t="s">
        <v>327</v>
      </c>
      <c r="D850" s="1126"/>
      <c r="E850" s="637">
        <f t="shared" si="255"/>
        <v>0</v>
      </c>
      <c r="F850" s="625" t="s">
        <v>34</v>
      </c>
      <c r="G850" s="666"/>
      <c r="H850" s="633">
        <f t="shared" si="272"/>
        <v>0</v>
      </c>
      <c r="I850" s="666"/>
      <c r="J850" s="580">
        <f t="shared" si="250"/>
        <v>0</v>
      </c>
      <c r="K850" s="631">
        <f t="shared" si="251"/>
        <v>0</v>
      </c>
      <c r="L850" s="1073"/>
      <c r="M850" s="574"/>
      <c r="N850" s="667">
        <f t="shared" ref="N850:N925" si="273">+(1+O850)*P850</f>
        <v>0</v>
      </c>
      <c r="O850" s="636">
        <v>0</v>
      </c>
      <c r="P850" s="637"/>
      <c r="Q850" s="574"/>
      <c r="R850" s="574"/>
      <c r="S850" s="574"/>
    </row>
    <row r="851" spans="1:19" ht="21.3">
      <c r="A851" s="665"/>
      <c r="B851" s="617" t="s">
        <v>328</v>
      </c>
      <c r="C851" s="617" t="s">
        <v>329</v>
      </c>
      <c r="D851" s="1126"/>
      <c r="E851" s="637">
        <f t="shared" si="255"/>
        <v>0</v>
      </c>
      <c r="F851" s="625" t="s">
        <v>34</v>
      </c>
      <c r="G851" s="666"/>
      <c r="H851" s="633">
        <f t="shared" si="272"/>
        <v>0</v>
      </c>
      <c r="I851" s="666"/>
      <c r="J851" s="580">
        <f t="shared" ref="J851:J927" si="274">E851*I851</f>
        <v>0</v>
      </c>
      <c r="K851" s="631">
        <f t="shared" ref="K851:K927" si="275">H851+J851</f>
        <v>0</v>
      </c>
      <c r="L851" s="1073"/>
      <c r="M851" s="574"/>
      <c r="N851" s="667">
        <f t="shared" si="273"/>
        <v>0</v>
      </c>
      <c r="O851" s="636">
        <v>0</v>
      </c>
      <c r="P851" s="637"/>
      <c r="Q851" s="574"/>
      <c r="R851" s="574"/>
      <c r="S851" s="574"/>
    </row>
    <row r="852" spans="1:19" ht="21.3">
      <c r="A852" s="665"/>
      <c r="B852" s="617"/>
      <c r="C852" s="617" t="s">
        <v>330</v>
      </c>
      <c r="D852" s="1129"/>
      <c r="E852" s="637"/>
      <c r="F852" s="625"/>
      <c r="G852" s="642"/>
      <c r="H852" s="668"/>
      <c r="I852" s="642"/>
      <c r="J852" s="580">
        <f t="shared" si="274"/>
        <v>0</v>
      </c>
      <c r="K852" s="631">
        <f t="shared" si="275"/>
        <v>0</v>
      </c>
      <c r="L852" s="1065"/>
      <c r="M852" s="574"/>
      <c r="N852" s="669">
        <f t="shared" si="273"/>
        <v>0</v>
      </c>
      <c r="O852" s="636">
        <v>0</v>
      </c>
      <c r="P852" s="637"/>
      <c r="Q852" s="574"/>
      <c r="R852" s="574"/>
      <c r="S852" s="574"/>
    </row>
    <row r="853" spans="1:19" ht="21.3">
      <c r="A853" s="665"/>
      <c r="B853" s="617"/>
      <c r="C853" s="1127" t="s">
        <v>1043</v>
      </c>
      <c r="D853" s="1126"/>
      <c r="E853" s="637">
        <f t="shared" ref="E853" si="276">+N853</f>
        <v>0</v>
      </c>
      <c r="F853" s="625" t="s">
        <v>34</v>
      </c>
      <c r="G853" s="2048">
        <v>69</v>
      </c>
      <c r="H853" s="633">
        <f t="shared" ref="H853" si="277">SUM(E853*G853)</f>
        <v>0</v>
      </c>
      <c r="I853" s="2048">
        <v>28</v>
      </c>
      <c r="J853" s="580">
        <f t="shared" si="274"/>
        <v>0</v>
      </c>
      <c r="K853" s="631">
        <f t="shared" si="275"/>
        <v>0</v>
      </c>
      <c r="L853" s="2049"/>
      <c r="M853" s="574"/>
      <c r="N853" s="667">
        <f t="shared" si="273"/>
        <v>0</v>
      </c>
      <c r="O853" s="636">
        <v>0</v>
      </c>
      <c r="P853" s="637"/>
      <c r="Q853" s="574"/>
      <c r="R853" s="574"/>
      <c r="S853" s="574"/>
    </row>
    <row r="854" spans="1:19" ht="21.3">
      <c r="A854" s="665"/>
      <c r="B854" s="617"/>
      <c r="C854" s="623"/>
      <c r="D854" s="617"/>
      <c r="E854" s="637"/>
      <c r="F854" s="625"/>
      <c r="G854" s="2048"/>
      <c r="H854" s="633"/>
      <c r="I854" s="2048"/>
      <c r="J854" s="580"/>
      <c r="K854" s="631"/>
      <c r="L854" s="2049"/>
      <c r="M854" s="574"/>
      <c r="N854" s="667"/>
      <c r="O854" s="636"/>
      <c r="P854" s="637"/>
      <c r="Q854" s="574"/>
      <c r="R854" s="574"/>
      <c r="S854" s="574"/>
    </row>
    <row r="855" spans="1:19" ht="21.3">
      <c r="A855" s="665"/>
      <c r="B855" s="617"/>
      <c r="C855" s="623"/>
      <c r="D855" s="617"/>
      <c r="E855" s="637"/>
      <c r="F855" s="625"/>
      <c r="G855" s="2048"/>
      <c r="H855" s="633"/>
      <c r="I855" s="2048"/>
      <c r="J855" s="580"/>
      <c r="K855" s="631"/>
      <c r="L855" s="2049"/>
      <c r="M855" s="574"/>
      <c r="N855" s="667"/>
      <c r="O855" s="636"/>
      <c r="P855" s="637"/>
      <c r="Q855" s="574"/>
      <c r="R855" s="574"/>
      <c r="S855" s="574"/>
    </row>
    <row r="856" spans="1:19" ht="21.3">
      <c r="A856" s="665"/>
      <c r="B856" s="617"/>
      <c r="C856" s="623"/>
      <c r="D856" s="617"/>
      <c r="E856" s="637"/>
      <c r="F856" s="625"/>
      <c r="G856" s="2048"/>
      <c r="H856" s="633"/>
      <c r="I856" s="2048"/>
      <c r="J856" s="580"/>
      <c r="K856" s="631"/>
      <c r="L856" s="2049"/>
      <c r="M856" s="574"/>
      <c r="N856" s="667"/>
      <c r="O856" s="636"/>
      <c r="P856" s="637"/>
      <c r="Q856" s="574"/>
      <c r="R856" s="574"/>
      <c r="S856" s="574"/>
    </row>
    <row r="857" spans="1:19" ht="21.3">
      <c r="A857" s="665"/>
      <c r="B857" s="617"/>
      <c r="C857" s="623"/>
      <c r="D857" s="617"/>
      <c r="E857" s="637"/>
      <c r="F857" s="625"/>
      <c r="G857" s="2048"/>
      <c r="H857" s="633"/>
      <c r="I857" s="2048"/>
      <c r="J857" s="580"/>
      <c r="K857" s="631"/>
      <c r="L857" s="2049"/>
      <c r="M857" s="574"/>
      <c r="N857" s="667"/>
      <c r="O857" s="636"/>
      <c r="P857" s="637"/>
      <c r="Q857" s="574"/>
      <c r="R857" s="574"/>
      <c r="S857" s="574"/>
    </row>
    <row r="858" spans="1:19" ht="21.3">
      <c r="A858" s="665"/>
      <c r="B858" s="617"/>
      <c r="C858" s="623"/>
      <c r="D858" s="617"/>
      <c r="E858" s="637"/>
      <c r="F858" s="625"/>
      <c r="G858" s="2048"/>
      <c r="H858" s="633"/>
      <c r="I858" s="2048"/>
      <c r="J858" s="580"/>
      <c r="K858" s="631"/>
      <c r="L858" s="2049"/>
      <c r="M858" s="574"/>
      <c r="N858" s="667"/>
      <c r="O858" s="636"/>
      <c r="P858" s="637"/>
      <c r="Q858" s="574"/>
      <c r="R858" s="574"/>
      <c r="S858" s="574"/>
    </row>
    <row r="859" spans="1:19" ht="21.3">
      <c r="A859" s="665"/>
      <c r="B859" s="617"/>
      <c r="C859" s="623"/>
      <c r="D859" s="617"/>
      <c r="E859" s="637"/>
      <c r="F859" s="625"/>
      <c r="G859" s="2048"/>
      <c r="H859" s="633"/>
      <c r="I859" s="2048"/>
      <c r="J859" s="580"/>
      <c r="K859" s="631"/>
      <c r="L859" s="2049"/>
      <c r="M859" s="574"/>
      <c r="N859" s="667"/>
      <c r="O859" s="636"/>
      <c r="P859" s="637"/>
      <c r="Q859" s="574"/>
      <c r="R859" s="574"/>
      <c r="S859" s="574"/>
    </row>
    <row r="860" spans="1:19" ht="21.3">
      <c r="A860" s="665"/>
      <c r="B860" s="617"/>
      <c r="C860" s="623"/>
      <c r="D860" s="617"/>
      <c r="E860" s="637"/>
      <c r="F860" s="625"/>
      <c r="G860" s="2048"/>
      <c r="H860" s="633"/>
      <c r="I860" s="2048"/>
      <c r="J860" s="580"/>
      <c r="K860" s="631"/>
      <c r="L860" s="2049"/>
      <c r="M860" s="574"/>
      <c r="N860" s="667"/>
      <c r="O860" s="636"/>
      <c r="P860" s="637"/>
      <c r="Q860" s="574"/>
      <c r="R860" s="574"/>
      <c r="S860" s="574"/>
    </row>
    <row r="861" spans="1:19" ht="21.3">
      <c r="A861" s="665" t="s">
        <v>341</v>
      </c>
      <c r="B861" s="1114" t="s">
        <v>342</v>
      </c>
      <c r="C861" s="617"/>
      <c r="D861" s="1129"/>
      <c r="E861" s="624"/>
      <c r="F861" s="625"/>
      <c r="G861" s="642"/>
      <c r="H861" s="668"/>
      <c r="I861" s="642"/>
      <c r="J861" s="580">
        <f t="shared" si="274"/>
        <v>0</v>
      </c>
      <c r="K861" s="631">
        <f t="shared" si="275"/>
        <v>0</v>
      </c>
      <c r="L861" s="1061"/>
      <c r="M861" s="574"/>
      <c r="N861" s="629">
        <f t="shared" si="273"/>
        <v>0</v>
      </c>
      <c r="O861" s="630">
        <v>0</v>
      </c>
      <c r="P861" s="624"/>
      <c r="Q861" s="574"/>
      <c r="R861" s="574"/>
      <c r="S861" s="574"/>
    </row>
    <row r="862" spans="1:19" ht="21.3">
      <c r="A862" s="665"/>
      <c r="B862" s="1114"/>
      <c r="C862" s="1125" t="s">
        <v>259</v>
      </c>
      <c r="D862" s="1124"/>
      <c r="E862" s="624">
        <v>1769.116</v>
      </c>
      <c r="F862" s="625" t="s">
        <v>34</v>
      </c>
      <c r="G862" s="666">
        <v>281</v>
      </c>
      <c r="H862" s="633">
        <f>SUM(E862*G862)</f>
        <v>497121.59600000002</v>
      </c>
      <c r="I862" s="666">
        <v>80</v>
      </c>
      <c r="J862" s="580">
        <f t="shared" si="274"/>
        <v>141529.28</v>
      </c>
      <c r="K862" s="631">
        <f t="shared" si="275"/>
        <v>638650.87600000005</v>
      </c>
      <c r="L862" s="1073"/>
      <c r="M862" s="574"/>
      <c r="N862" s="629">
        <f t="shared" si="273"/>
        <v>0</v>
      </c>
      <c r="O862" s="630">
        <v>0</v>
      </c>
      <c r="P862" s="624"/>
      <c r="Q862" s="574"/>
      <c r="R862" s="574"/>
      <c r="S862" s="574"/>
    </row>
    <row r="863" spans="1:19" ht="21.3">
      <c r="A863" s="665"/>
      <c r="B863" s="1114"/>
      <c r="C863" s="1125" t="s">
        <v>260</v>
      </c>
      <c r="D863" s="1124"/>
      <c r="E863" s="624">
        <f>+E898/2</f>
        <v>0</v>
      </c>
      <c r="F863" s="625" t="s">
        <v>34</v>
      </c>
      <c r="G863" s="666">
        <v>712</v>
      </c>
      <c r="H863" s="633">
        <f>SUM(E863*G863)</f>
        <v>0</v>
      </c>
      <c r="I863" s="666">
        <v>98</v>
      </c>
      <c r="J863" s="580">
        <f t="shared" si="274"/>
        <v>0</v>
      </c>
      <c r="K863" s="631">
        <f t="shared" si="275"/>
        <v>0</v>
      </c>
      <c r="L863" s="1073"/>
      <c r="M863" s="574"/>
      <c r="N863" s="629">
        <f t="shared" si="273"/>
        <v>0</v>
      </c>
      <c r="O863" s="630">
        <v>0</v>
      </c>
      <c r="P863" s="624"/>
      <c r="Q863" s="574"/>
      <c r="R863" s="574"/>
      <c r="S863" s="574"/>
    </row>
    <row r="864" spans="1:19" ht="21.3">
      <c r="A864" s="665"/>
      <c r="B864" s="1114"/>
      <c r="C864" s="1125" t="s">
        <v>261</v>
      </c>
      <c r="D864" s="1124"/>
      <c r="E864" s="624">
        <f>+E862*1.33</f>
        <v>2352.9242800000002</v>
      </c>
      <c r="F864" s="625" t="s">
        <v>226</v>
      </c>
      <c r="G864" s="666">
        <v>119</v>
      </c>
      <c r="H864" s="633">
        <f>SUM(E864*G864)</f>
        <v>279997.98931999999</v>
      </c>
      <c r="I864" s="666">
        <v>44</v>
      </c>
      <c r="J864" s="580">
        <f t="shared" si="274"/>
        <v>103528.66832000001</v>
      </c>
      <c r="K864" s="631">
        <f t="shared" si="275"/>
        <v>383526.65763999999</v>
      </c>
      <c r="L864" s="1073"/>
      <c r="M864" s="574"/>
      <c r="N864" s="629">
        <f t="shared" si="273"/>
        <v>0</v>
      </c>
      <c r="O864" s="630">
        <v>0</v>
      </c>
      <c r="P864" s="624"/>
      <c r="Q864" s="574"/>
      <c r="R864" s="574"/>
      <c r="S864" s="574"/>
    </row>
    <row r="865" spans="1:19" ht="21.3">
      <c r="A865" s="665"/>
      <c r="B865" s="1114"/>
      <c r="C865" s="1125" t="s">
        <v>262</v>
      </c>
      <c r="D865" s="1124"/>
      <c r="E865" s="624">
        <f>+E863*1.33</f>
        <v>0</v>
      </c>
      <c r="F865" s="625" t="s">
        <v>226</v>
      </c>
      <c r="G865" s="666">
        <v>208</v>
      </c>
      <c r="H865" s="633">
        <f>SUM(E865*G865)</f>
        <v>0</v>
      </c>
      <c r="I865" s="666">
        <v>78</v>
      </c>
      <c r="J865" s="580">
        <f t="shared" si="274"/>
        <v>0</v>
      </c>
      <c r="K865" s="631">
        <f t="shared" si="275"/>
        <v>0</v>
      </c>
      <c r="L865" s="1073"/>
      <c r="M865" s="574"/>
      <c r="N865" s="629">
        <f t="shared" si="273"/>
        <v>0</v>
      </c>
      <c r="O865" s="630">
        <v>0</v>
      </c>
      <c r="P865" s="624"/>
      <c r="Q865" s="574"/>
      <c r="R865" s="574"/>
      <c r="S865" s="574"/>
    </row>
    <row r="866" spans="1:19" ht="21.3">
      <c r="A866" s="665"/>
      <c r="B866" s="1114"/>
      <c r="C866" s="1125" t="s">
        <v>263</v>
      </c>
      <c r="D866" s="1124"/>
      <c r="E866" s="624">
        <f>+E893+E894+E896+E902+E904+E915</f>
        <v>837.68</v>
      </c>
      <c r="F866" s="625" t="s">
        <v>34</v>
      </c>
      <c r="G866" s="666">
        <v>88</v>
      </c>
      <c r="H866" s="633">
        <f>SUM(E866*G866)</f>
        <v>73715.839999999997</v>
      </c>
      <c r="I866" s="666">
        <v>82</v>
      </c>
      <c r="J866" s="580">
        <f t="shared" si="274"/>
        <v>68689.759999999995</v>
      </c>
      <c r="K866" s="631">
        <f t="shared" si="275"/>
        <v>142405.59999999998</v>
      </c>
      <c r="L866" s="1062"/>
      <c r="M866" s="574"/>
      <c r="N866" s="629">
        <f t="shared" si="273"/>
        <v>0</v>
      </c>
      <c r="O866" s="630">
        <v>0</v>
      </c>
      <c r="P866" s="624"/>
      <c r="Q866" s="574"/>
      <c r="R866" s="574"/>
      <c r="S866" s="574"/>
    </row>
    <row r="867" spans="1:19" ht="21.3">
      <c r="A867" s="665"/>
      <c r="B867" s="617" t="s">
        <v>264</v>
      </c>
      <c r="C867" s="1125" t="s">
        <v>265</v>
      </c>
      <c r="D867" s="1126"/>
      <c r="E867" s="637">
        <f>+N867</f>
        <v>0</v>
      </c>
      <c r="F867" s="625" t="s">
        <v>34</v>
      </c>
      <c r="G867" s="666">
        <v>88</v>
      </c>
      <c r="H867" s="633">
        <f t="shared" ref="H867:H873" si="278">SUM(E867*G867)</f>
        <v>0</v>
      </c>
      <c r="I867" s="666">
        <v>95</v>
      </c>
      <c r="J867" s="580">
        <f t="shared" si="274"/>
        <v>0</v>
      </c>
      <c r="K867" s="631">
        <f t="shared" si="275"/>
        <v>0</v>
      </c>
      <c r="L867" s="1062"/>
      <c r="M867" s="574"/>
      <c r="N867" s="667">
        <f t="shared" si="273"/>
        <v>0</v>
      </c>
      <c r="O867" s="636">
        <v>0</v>
      </c>
      <c r="P867" s="637"/>
      <c r="Q867" s="574"/>
      <c r="R867" s="574"/>
      <c r="S867" s="574"/>
    </row>
    <row r="868" spans="1:19" ht="21.3">
      <c r="A868" s="665"/>
      <c r="B868" s="617"/>
      <c r="C868" s="1125" t="s">
        <v>266</v>
      </c>
      <c r="D868" s="1126"/>
      <c r="E868" s="637">
        <f t="shared" ref="E868:E916" si="279">+N868</f>
        <v>0</v>
      </c>
      <c r="F868" s="625" t="s">
        <v>34</v>
      </c>
      <c r="G868" s="2048">
        <v>69</v>
      </c>
      <c r="H868" s="633">
        <f t="shared" si="278"/>
        <v>0</v>
      </c>
      <c r="I868" s="2048">
        <v>28</v>
      </c>
      <c r="J868" s="580">
        <f t="shared" si="274"/>
        <v>0</v>
      </c>
      <c r="K868" s="631">
        <f t="shared" si="275"/>
        <v>0</v>
      </c>
      <c r="L868" s="2049"/>
      <c r="M868" s="574"/>
      <c r="N868" s="667">
        <f t="shared" si="273"/>
        <v>0</v>
      </c>
      <c r="O868" s="636">
        <v>0</v>
      </c>
      <c r="P868" s="637"/>
      <c r="Q868" s="574"/>
      <c r="R868" s="574"/>
      <c r="S868" s="574"/>
    </row>
    <row r="869" spans="1:19" ht="21.3">
      <c r="A869" s="665"/>
      <c r="B869" s="617" t="s">
        <v>267</v>
      </c>
      <c r="C869" s="1125" t="s">
        <v>268</v>
      </c>
      <c r="D869" s="1126"/>
      <c r="E869" s="637">
        <f t="shared" si="279"/>
        <v>2222.442</v>
      </c>
      <c r="F869" s="625" t="s">
        <v>34</v>
      </c>
      <c r="G869" s="666">
        <v>88</v>
      </c>
      <c r="H869" s="633">
        <f t="shared" si="278"/>
        <v>195574.89600000001</v>
      </c>
      <c r="I869" s="666">
        <v>82</v>
      </c>
      <c r="J869" s="580">
        <f t="shared" si="274"/>
        <v>182240.24400000001</v>
      </c>
      <c r="K869" s="631">
        <f t="shared" si="275"/>
        <v>377815.14</v>
      </c>
      <c r="L869" s="1062"/>
      <c r="M869" s="574"/>
      <c r="N869" s="667">
        <f t="shared" si="273"/>
        <v>2222.442</v>
      </c>
      <c r="O869" s="636">
        <v>0</v>
      </c>
      <c r="P869" s="637">
        <v>2222.442</v>
      </c>
      <c r="Q869" s="574">
        <f>80*3.72*3.6</f>
        <v>1071.3600000000001</v>
      </c>
      <c r="R869" s="574"/>
      <c r="S869" s="574"/>
    </row>
    <row r="870" spans="1:19" ht="21.3">
      <c r="A870" s="665"/>
      <c r="B870" s="617" t="s">
        <v>269</v>
      </c>
      <c r="C870" s="1125" t="s">
        <v>265</v>
      </c>
      <c r="D870" s="1126"/>
      <c r="E870" s="637">
        <f t="shared" si="279"/>
        <v>547.41999999999996</v>
      </c>
      <c r="F870" s="625" t="s">
        <v>34</v>
      </c>
      <c r="G870" s="666">
        <v>88</v>
      </c>
      <c r="H870" s="633">
        <f t="shared" si="278"/>
        <v>48172.959999999999</v>
      </c>
      <c r="I870" s="666">
        <v>82</v>
      </c>
      <c r="J870" s="580">
        <f t="shared" si="274"/>
        <v>44888.439999999995</v>
      </c>
      <c r="K870" s="631">
        <f t="shared" si="275"/>
        <v>93061.4</v>
      </c>
      <c r="L870" s="1062"/>
      <c r="M870" s="574"/>
      <c r="N870" s="667">
        <f t="shared" si="273"/>
        <v>547.41999999999996</v>
      </c>
      <c r="O870" s="636">
        <v>0</v>
      </c>
      <c r="P870" s="637">
        <v>547.41999999999996</v>
      </c>
      <c r="Q870" s="574"/>
      <c r="R870" s="574"/>
      <c r="S870" s="574"/>
    </row>
    <row r="871" spans="1:19" ht="21.3">
      <c r="A871" s="665"/>
      <c r="B871" s="617"/>
      <c r="C871" s="1125" t="s">
        <v>270</v>
      </c>
      <c r="D871" s="1126"/>
      <c r="E871" s="637">
        <f t="shared" si="279"/>
        <v>547.41999999999996</v>
      </c>
      <c r="F871" s="625" t="s">
        <v>34</v>
      </c>
      <c r="G871" s="2048">
        <v>69</v>
      </c>
      <c r="H871" s="633">
        <f t="shared" si="278"/>
        <v>37771.979999999996</v>
      </c>
      <c r="I871" s="2048">
        <v>28</v>
      </c>
      <c r="J871" s="580">
        <f t="shared" si="274"/>
        <v>15327.759999999998</v>
      </c>
      <c r="K871" s="631">
        <f t="shared" si="275"/>
        <v>53099.739999999991</v>
      </c>
      <c r="L871" s="2049"/>
      <c r="M871" s="574"/>
      <c r="N871" s="667">
        <f t="shared" si="273"/>
        <v>547.41999999999996</v>
      </c>
      <c r="O871" s="636">
        <v>0</v>
      </c>
      <c r="P871" s="637">
        <v>547.41999999999996</v>
      </c>
      <c r="Q871" s="574"/>
      <c r="R871" s="574"/>
      <c r="S871" s="574"/>
    </row>
    <row r="872" spans="1:19" ht="21.3">
      <c r="A872" s="665"/>
      <c r="B872" s="617" t="s">
        <v>271</v>
      </c>
      <c r="C872" s="1125" t="s">
        <v>272</v>
      </c>
      <c r="D872" s="1126"/>
      <c r="E872" s="637">
        <f t="shared" si="279"/>
        <v>0</v>
      </c>
      <c r="F872" s="625" t="s">
        <v>34</v>
      </c>
      <c r="G872" s="666">
        <v>103</v>
      </c>
      <c r="H872" s="633">
        <f t="shared" si="278"/>
        <v>0</v>
      </c>
      <c r="I872" s="666">
        <v>115</v>
      </c>
      <c r="J872" s="580">
        <f t="shared" si="274"/>
        <v>0</v>
      </c>
      <c r="K872" s="631">
        <f t="shared" si="275"/>
        <v>0</v>
      </c>
      <c r="L872" s="1062"/>
      <c r="M872" s="574"/>
      <c r="N872" s="667">
        <f t="shared" si="273"/>
        <v>0</v>
      </c>
      <c r="O872" s="636">
        <v>0</v>
      </c>
      <c r="P872" s="637"/>
      <c r="Q872" s="574"/>
      <c r="R872" s="574"/>
      <c r="S872" s="574"/>
    </row>
    <row r="873" spans="1:19" ht="21.3">
      <c r="A873" s="665"/>
      <c r="B873" s="617"/>
      <c r="C873" s="1125" t="s">
        <v>273</v>
      </c>
      <c r="D873" s="1126"/>
      <c r="E873" s="637">
        <f t="shared" si="279"/>
        <v>0</v>
      </c>
      <c r="F873" s="625" t="s">
        <v>34</v>
      </c>
      <c r="G873" s="2048">
        <v>69</v>
      </c>
      <c r="H873" s="633">
        <f t="shared" si="278"/>
        <v>0</v>
      </c>
      <c r="I873" s="2048">
        <v>28</v>
      </c>
      <c r="J873" s="580">
        <f t="shared" si="274"/>
        <v>0</v>
      </c>
      <c r="K873" s="631">
        <f t="shared" si="275"/>
        <v>0</v>
      </c>
      <c r="L873" s="2049"/>
      <c r="M873" s="574"/>
      <c r="N873" s="667">
        <f t="shared" si="273"/>
        <v>0</v>
      </c>
      <c r="O873" s="636">
        <v>0</v>
      </c>
      <c r="P873" s="637"/>
      <c r="Q873" s="574"/>
      <c r="R873" s="574"/>
      <c r="S873" s="574"/>
    </row>
    <row r="874" spans="1:19" ht="21.3">
      <c r="A874" s="665"/>
      <c r="B874" s="617" t="s">
        <v>274</v>
      </c>
      <c r="C874" s="1125" t="s">
        <v>275</v>
      </c>
      <c r="D874" s="1126"/>
      <c r="E874" s="637">
        <f t="shared" si="279"/>
        <v>0</v>
      </c>
      <c r="F874" s="625" t="s">
        <v>34</v>
      </c>
      <c r="G874" s="572">
        <v>1500</v>
      </c>
      <c r="H874" s="580">
        <f t="shared" ref="H874" si="280">E874*G874</f>
        <v>0</v>
      </c>
      <c r="I874" s="572">
        <v>500</v>
      </c>
      <c r="J874" s="580">
        <f t="shared" si="274"/>
        <v>0</v>
      </c>
      <c r="K874" s="631">
        <f t="shared" si="275"/>
        <v>0</v>
      </c>
      <c r="L874" s="1061"/>
      <c r="M874" s="574"/>
      <c r="N874" s="667">
        <f t="shared" si="273"/>
        <v>0</v>
      </c>
      <c r="O874" s="636">
        <v>0</v>
      </c>
      <c r="P874" s="637"/>
      <c r="Q874" s="574"/>
      <c r="R874" s="574"/>
      <c r="S874" s="574"/>
    </row>
    <row r="875" spans="1:19" ht="21.3">
      <c r="A875" s="665"/>
      <c r="B875" s="617"/>
      <c r="C875" s="1125" t="s">
        <v>273</v>
      </c>
      <c r="D875" s="1126"/>
      <c r="E875" s="637">
        <f t="shared" si="279"/>
        <v>0</v>
      </c>
      <c r="F875" s="625" t="s">
        <v>34</v>
      </c>
      <c r="G875" s="2048">
        <v>69</v>
      </c>
      <c r="H875" s="633">
        <f t="shared" ref="H875" si="281">SUM(E875*G875)</f>
        <v>0</v>
      </c>
      <c r="I875" s="2048">
        <v>28</v>
      </c>
      <c r="J875" s="580">
        <f t="shared" si="274"/>
        <v>0</v>
      </c>
      <c r="K875" s="631">
        <f t="shared" si="275"/>
        <v>0</v>
      </c>
      <c r="L875" s="2049"/>
      <c r="M875" s="574"/>
      <c r="N875" s="667">
        <f t="shared" si="273"/>
        <v>0</v>
      </c>
      <c r="O875" s="636">
        <v>0</v>
      </c>
      <c r="P875" s="637"/>
      <c r="Q875" s="574"/>
      <c r="R875" s="574"/>
      <c r="S875" s="574"/>
    </row>
    <row r="876" spans="1:19" ht="21.3">
      <c r="A876" s="665"/>
      <c r="B876" s="617" t="s">
        <v>276</v>
      </c>
      <c r="C876" s="1125" t="s">
        <v>277</v>
      </c>
      <c r="D876" s="1126"/>
      <c r="E876" s="637">
        <f t="shared" si="279"/>
        <v>0</v>
      </c>
      <c r="F876" s="625" t="s">
        <v>34</v>
      </c>
      <c r="G876" s="572">
        <v>492</v>
      </c>
      <c r="H876" s="580">
        <f t="shared" ref="H876" si="282">E876*G876</f>
        <v>0</v>
      </c>
      <c r="I876" s="572">
        <v>130</v>
      </c>
      <c r="J876" s="580">
        <f t="shared" si="274"/>
        <v>0</v>
      </c>
      <c r="K876" s="631">
        <f t="shared" si="275"/>
        <v>0</v>
      </c>
      <c r="L876" s="2049"/>
      <c r="M876" s="574"/>
      <c r="N876" s="667">
        <f t="shared" si="273"/>
        <v>0</v>
      </c>
      <c r="O876" s="636">
        <v>0</v>
      </c>
      <c r="P876" s="637"/>
      <c r="Q876" s="574"/>
      <c r="R876" s="574"/>
      <c r="S876" s="574"/>
    </row>
    <row r="877" spans="1:19" ht="21.3">
      <c r="A877" s="665"/>
      <c r="B877" s="617"/>
      <c r="C877" s="1125" t="s">
        <v>278</v>
      </c>
      <c r="D877" s="1126"/>
      <c r="E877" s="637">
        <f t="shared" si="279"/>
        <v>0</v>
      </c>
      <c r="F877" s="619"/>
      <c r="G877" s="572"/>
      <c r="H877" s="580"/>
      <c r="I877" s="572"/>
      <c r="J877" s="580">
        <f t="shared" si="274"/>
        <v>0</v>
      </c>
      <c r="K877" s="631">
        <f t="shared" si="275"/>
        <v>0</v>
      </c>
      <c r="L877" s="2049"/>
      <c r="M877" s="574"/>
      <c r="N877" s="629">
        <f t="shared" si="273"/>
        <v>0</v>
      </c>
      <c r="O877" s="630">
        <v>0</v>
      </c>
      <c r="P877" s="624"/>
      <c r="Q877" s="574"/>
      <c r="R877" s="574"/>
      <c r="S877" s="574"/>
    </row>
    <row r="878" spans="1:19" ht="21.3">
      <c r="A878" s="665"/>
      <c r="B878" s="617" t="s">
        <v>279</v>
      </c>
      <c r="C878" s="1125" t="s">
        <v>280</v>
      </c>
      <c r="D878" s="1126"/>
      <c r="E878" s="637">
        <f t="shared" si="279"/>
        <v>0</v>
      </c>
      <c r="F878" s="625" t="s">
        <v>34</v>
      </c>
      <c r="G878" s="572">
        <v>256</v>
      </c>
      <c r="H878" s="580">
        <f t="shared" ref="H878" si="283">E878*G878</f>
        <v>0</v>
      </c>
      <c r="I878" s="572">
        <v>100</v>
      </c>
      <c r="J878" s="580">
        <f t="shared" si="274"/>
        <v>0</v>
      </c>
      <c r="K878" s="631">
        <f t="shared" si="275"/>
        <v>0</v>
      </c>
      <c r="L878" s="2049"/>
      <c r="M878" s="574"/>
      <c r="N878" s="667">
        <f t="shared" si="273"/>
        <v>0</v>
      </c>
      <c r="O878" s="636">
        <v>0</v>
      </c>
      <c r="P878" s="637"/>
      <c r="Q878" s="574"/>
      <c r="R878" s="574"/>
      <c r="S878" s="574"/>
    </row>
    <row r="879" spans="1:19" ht="21.3">
      <c r="A879" s="665"/>
      <c r="B879" s="617"/>
      <c r="C879" s="1125" t="s">
        <v>281</v>
      </c>
      <c r="D879" s="1126"/>
      <c r="E879" s="637">
        <f t="shared" si="279"/>
        <v>0</v>
      </c>
      <c r="F879" s="619"/>
      <c r="G879" s="572"/>
      <c r="H879" s="580"/>
      <c r="I879" s="572"/>
      <c r="J879" s="580">
        <f t="shared" si="274"/>
        <v>0</v>
      </c>
      <c r="K879" s="631">
        <f t="shared" si="275"/>
        <v>0</v>
      </c>
      <c r="L879" s="2049"/>
      <c r="M879" s="574"/>
      <c r="N879" s="629">
        <f t="shared" si="273"/>
        <v>0</v>
      </c>
      <c r="O879" s="630">
        <v>0</v>
      </c>
      <c r="P879" s="624"/>
      <c r="Q879" s="574"/>
      <c r="R879" s="574"/>
      <c r="S879" s="574"/>
    </row>
    <row r="880" spans="1:19" ht="21.3">
      <c r="A880" s="665"/>
      <c r="B880" s="617" t="s">
        <v>282</v>
      </c>
      <c r="C880" s="1125" t="s">
        <v>280</v>
      </c>
      <c r="D880" s="1126"/>
      <c r="E880" s="637">
        <f t="shared" si="279"/>
        <v>0</v>
      </c>
      <c r="F880" s="625" t="s">
        <v>34</v>
      </c>
      <c r="G880" s="572">
        <v>256</v>
      </c>
      <c r="H880" s="580">
        <f t="shared" ref="H880" si="284">E880*G880</f>
        <v>0</v>
      </c>
      <c r="I880" s="572">
        <v>100</v>
      </c>
      <c r="J880" s="580">
        <f t="shared" si="274"/>
        <v>0</v>
      </c>
      <c r="K880" s="631">
        <f t="shared" si="275"/>
        <v>0</v>
      </c>
      <c r="L880" s="2049"/>
      <c r="M880" s="574"/>
      <c r="N880" s="667">
        <f t="shared" si="273"/>
        <v>0</v>
      </c>
      <c r="O880" s="636">
        <v>0</v>
      </c>
      <c r="P880" s="637"/>
      <c r="Q880" s="574"/>
      <c r="R880" s="574"/>
      <c r="S880" s="574"/>
    </row>
    <row r="881" spans="1:19" ht="21.3">
      <c r="A881" s="665"/>
      <c r="B881" s="617"/>
      <c r="C881" s="1125" t="s">
        <v>281</v>
      </c>
      <c r="D881" s="1126"/>
      <c r="E881" s="637">
        <f t="shared" si="279"/>
        <v>0</v>
      </c>
      <c r="F881" s="619"/>
      <c r="G881" s="572"/>
      <c r="H881" s="580"/>
      <c r="I881" s="572"/>
      <c r="J881" s="580">
        <f t="shared" si="274"/>
        <v>0</v>
      </c>
      <c r="K881" s="631">
        <f t="shared" si="275"/>
        <v>0</v>
      </c>
      <c r="L881" s="1062"/>
      <c r="M881" s="574"/>
      <c r="N881" s="629">
        <f t="shared" si="273"/>
        <v>0</v>
      </c>
      <c r="O881" s="630">
        <v>0</v>
      </c>
      <c r="P881" s="624"/>
      <c r="Q881" s="574"/>
      <c r="R881" s="574"/>
      <c r="S881" s="574"/>
    </row>
    <row r="882" spans="1:19" ht="21.3">
      <c r="A882" s="665"/>
      <c r="B882" s="617"/>
      <c r="C882" s="1125" t="s">
        <v>283</v>
      </c>
      <c r="D882" s="1126"/>
      <c r="E882" s="637">
        <f t="shared" si="279"/>
        <v>0</v>
      </c>
      <c r="F882" s="625" t="s">
        <v>34</v>
      </c>
      <c r="G882" s="2048">
        <v>69</v>
      </c>
      <c r="H882" s="633">
        <f t="shared" ref="H882" si="285">SUM(E882*G882)</f>
        <v>0</v>
      </c>
      <c r="I882" s="2048">
        <v>28</v>
      </c>
      <c r="J882" s="580">
        <f t="shared" si="274"/>
        <v>0</v>
      </c>
      <c r="K882" s="631">
        <f t="shared" si="275"/>
        <v>0</v>
      </c>
      <c r="L882" s="2049"/>
      <c r="M882" s="574"/>
      <c r="N882" s="667">
        <f t="shared" si="273"/>
        <v>0</v>
      </c>
      <c r="O882" s="636">
        <v>0</v>
      </c>
      <c r="P882" s="637"/>
      <c r="Q882" s="574"/>
      <c r="R882" s="574"/>
      <c r="S882" s="574"/>
    </row>
    <row r="883" spans="1:19" ht="21.3">
      <c r="A883" s="665"/>
      <c r="B883" s="617" t="s">
        <v>284</v>
      </c>
      <c r="C883" s="1125" t="s">
        <v>280</v>
      </c>
      <c r="D883" s="1126"/>
      <c r="E883" s="637">
        <f t="shared" si="279"/>
        <v>0</v>
      </c>
      <c r="F883" s="625" t="s">
        <v>34</v>
      </c>
      <c r="G883" s="572">
        <v>592</v>
      </c>
      <c r="H883" s="580">
        <f t="shared" ref="H883" si="286">E883*G883</f>
        <v>0</v>
      </c>
      <c r="I883" s="572">
        <v>165</v>
      </c>
      <c r="J883" s="580">
        <f t="shared" si="274"/>
        <v>0</v>
      </c>
      <c r="K883" s="631">
        <f t="shared" si="275"/>
        <v>0</v>
      </c>
      <c r="L883" s="2049"/>
      <c r="M883" s="574"/>
      <c r="N883" s="667">
        <f t="shared" si="273"/>
        <v>0</v>
      </c>
      <c r="O883" s="636">
        <v>0</v>
      </c>
      <c r="P883" s="637"/>
      <c r="Q883" s="574"/>
      <c r="R883" s="574"/>
      <c r="S883" s="574"/>
    </row>
    <row r="884" spans="1:19" ht="21.3">
      <c r="A884" s="665"/>
      <c r="B884" s="617"/>
      <c r="C884" s="1125" t="s">
        <v>285</v>
      </c>
      <c r="D884" s="1126"/>
      <c r="E884" s="637">
        <f t="shared" si="279"/>
        <v>0</v>
      </c>
      <c r="F884" s="619"/>
      <c r="G884" s="572"/>
      <c r="H884" s="580"/>
      <c r="I884" s="572"/>
      <c r="J884" s="580">
        <f t="shared" si="274"/>
        <v>0</v>
      </c>
      <c r="K884" s="631">
        <f t="shared" si="275"/>
        <v>0</v>
      </c>
      <c r="L884" s="1062"/>
      <c r="M884" s="574"/>
      <c r="N884" s="629">
        <f t="shared" si="273"/>
        <v>0</v>
      </c>
      <c r="O884" s="630">
        <v>0</v>
      </c>
      <c r="P884" s="624"/>
      <c r="Q884" s="574"/>
      <c r="R884" s="574"/>
      <c r="S884" s="574"/>
    </row>
    <row r="885" spans="1:19" ht="21.3">
      <c r="A885" s="665"/>
      <c r="B885" s="617" t="s">
        <v>286</v>
      </c>
      <c r="C885" s="1125" t="s">
        <v>280</v>
      </c>
      <c r="D885" s="1126"/>
      <c r="E885" s="637">
        <f t="shared" si="279"/>
        <v>0</v>
      </c>
      <c r="F885" s="625" t="s">
        <v>34</v>
      </c>
      <c r="G885" s="572">
        <v>642</v>
      </c>
      <c r="H885" s="580">
        <f t="shared" ref="H885" si="287">E885*G885</f>
        <v>0</v>
      </c>
      <c r="I885" s="572">
        <v>183</v>
      </c>
      <c r="J885" s="580">
        <f t="shared" si="274"/>
        <v>0</v>
      </c>
      <c r="K885" s="631">
        <f t="shared" si="275"/>
        <v>0</v>
      </c>
      <c r="L885" s="2049"/>
      <c r="M885" s="574"/>
      <c r="N885" s="667">
        <f t="shared" si="273"/>
        <v>0</v>
      </c>
      <c r="O885" s="636">
        <v>0</v>
      </c>
      <c r="P885" s="637"/>
      <c r="Q885" s="574"/>
      <c r="R885" s="574"/>
      <c r="S885" s="574"/>
    </row>
    <row r="886" spans="1:19" ht="21.3">
      <c r="A886" s="665"/>
      <c r="B886" s="617"/>
      <c r="C886" s="1125" t="s">
        <v>287</v>
      </c>
      <c r="D886" s="1126"/>
      <c r="E886" s="637">
        <f t="shared" si="279"/>
        <v>0</v>
      </c>
      <c r="F886" s="619"/>
      <c r="G886" s="572"/>
      <c r="H886" s="580"/>
      <c r="I886" s="572"/>
      <c r="J886" s="580">
        <f t="shared" si="274"/>
        <v>0</v>
      </c>
      <c r="K886" s="631">
        <f t="shared" si="275"/>
        <v>0</v>
      </c>
      <c r="L886" s="1073"/>
      <c r="M886" s="574"/>
      <c r="N886" s="629">
        <f t="shared" si="273"/>
        <v>0</v>
      </c>
      <c r="O886" s="630">
        <v>0</v>
      </c>
      <c r="P886" s="624"/>
      <c r="Q886" s="574"/>
      <c r="R886" s="574"/>
      <c r="S886" s="574"/>
    </row>
    <row r="887" spans="1:19" ht="21.3">
      <c r="A887" s="665"/>
      <c r="B887" s="617"/>
      <c r="C887" s="1125" t="s">
        <v>288</v>
      </c>
      <c r="D887" s="1126"/>
      <c r="E887" s="637">
        <f t="shared" si="279"/>
        <v>0</v>
      </c>
      <c r="F887" s="619"/>
      <c r="G887" s="572"/>
      <c r="H887" s="580"/>
      <c r="I887" s="572"/>
      <c r="J887" s="580">
        <f t="shared" si="274"/>
        <v>0</v>
      </c>
      <c r="K887" s="631">
        <f t="shared" si="275"/>
        <v>0</v>
      </c>
      <c r="L887" s="1073"/>
      <c r="M887" s="574"/>
      <c r="N887" s="629">
        <f t="shared" si="273"/>
        <v>0</v>
      </c>
      <c r="O887" s="630">
        <v>0</v>
      </c>
      <c r="P887" s="624"/>
      <c r="Q887" s="574"/>
      <c r="R887" s="574"/>
      <c r="S887" s="574"/>
    </row>
    <row r="888" spans="1:19" ht="21.3">
      <c r="A888" s="665"/>
      <c r="B888" s="617" t="s">
        <v>289</v>
      </c>
      <c r="C888" s="1125" t="s">
        <v>280</v>
      </c>
      <c r="D888" s="1126"/>
      <c r="E888" s="637">
        <f t="shared" si="279"/>
        <v>0</v>
      </c>
      <c r="F888" s="625" t="s">
        <v>34</v>
      </c>
      <c r="G888" s="572">
        <v>520</v>
      </c>
      <c r="H888" s="580">
        <f t="shared" ref="H888" si="288">E888*G888</f>
        <v>0</v>
      </c>
      <c r="I888" s="572">
        <v>270</v>
      </c>
      <c r="J888" s="580">
        <f t="shared" si="274"/>
        <v>0</v>
      </c>
      <c r="K888" s="631">
        <f t="shared" si="275"/>
        <v>0</v>
      </c>
      <c r="L888" s="1074"/>
      <c r="M888" s="574"/>
      <c r="N888" s="667">
        <f t="shared" si="273"/>
        <v>0</v>
      </c>
      <c r="O888" s="636">
        <v>0</v>
      </c>
      <c r="P888" s="637"/>
      <c r="Q888" s="574"/>
      <c r="R888" s="574"/>
      <c r="S888" s="574"/>
    </row>
    <row r="889" spans="1:19" ht="21.3">
      <c r="A889" s="665"/>
      <c r="B889" s="617"/>
      <c r="C889" s="1125" t="s">
        <v>290</v>
      </c>
      <c r="D889" s="1126"/>
      <c r="E889" s="637">
        <f t="shared" si="279"/>
        <v>0</v>
      </c>
      <c r="F889" s="619"/>
      <c r="G889" s="572"/>
      <c r="H889" s="580"/>
      <c r="I889" s="572"/>
      <c r="J889" s="580">
        <f t="shared" si="274"/>
        <v>0</v>
      </c>
      <c r="K889" s="631">
        <f t="shared" si="275"/>
        <v>0</v>
      </c>
      <c r="L889" s="1073"/>
      <c r="M889" s="574"/>
      <c r="N889" s="629">
        <f t="shared" si="273"/>
        <v>0</v>
      </c>
      <c r="O889" s="630">
        <v>0</v>
      </c>
      <c r="P889" s="624"/>
      <c r="Q889" s="574"/>
      <c r="R889" s="574"/>
      <c r="S889" s="574"/>
    </row>
    <row r="890" spans="1:19" ht="21.3">
      <c r="A890" s="665"/>
      <c r="B890" s="617" t="s">
        <v>291</v>
      </c>
      <c r="C890" s="1125" t="s">
        <v>280</v>
      </c>
      <c r="D890" s="1126"/>
      <c r="E890" s="637">
        <f t="shared" si="279"/>
        <v>0</v>
      </c>
      <c r="F890" s="625" t="s">
        <v>34</v>
      </c>
      <c r="G890" s="572">
        <v>256</v>
      </c>
      <c r="H890" s="580">
        <f t="shared" ref="H890:H891" si="289">E890*G890</f>
        <v>0</v>
      </c>
      <c r="I890" s="572">
        <v>100</v>
      </c>
      <c r="J890" s="580">
        <f t="shared" si="274"/>
        <v>0</v>
      </c>
      <c r="K890" s="631">
        <f t="shared" si="275"/>
        <v>0</v>
      </c>
      <c r="L890" s="2049"/>
      <c r="M890" s="574"/>
      <c r="N890" s="667">
        <f t="shared" si="273"/>
        <v>0</v>
      </c>
      <c r="O890" s="636">
        <v>0</v>
      </c>
      <c r="P890" s="637"/>
      <c r="Q890" s="574"/>
      <c r="R890" s="574"/>
      <c r="S890" s="574"/>
    </row>
    <row r="891" spans="1:19" ht="21.3">
      <c r="A891" s="665"/>
      <c r="B891" s="617"/>
      <c r="C891" s="1125" t="s">
        <v>292</v>
      </c>
      <c r="D891" s="1126"/>
      <c r="E891" s="637">
        <f t="shared" si="279"/>
        <v>0</v>
      </c>
      <c r="F891" s="619"/>
      <c r="G891" s="572">
        <v>0</v>
      </c>
      <c r="H891" s="580">
        <f t="shared" si="289"/>
        <v>0</v>
      </c>
      <c r="I891" s="572">
        <v>0</v>
      </c>
      <c r="J891" s="580">
        <f t="shared" si="274"/>
        <v>0</v>
      </c>
      <c r="K891" s="631">
        <f t="shared" si="275"/>
        <v>0</v>
      </c>
      <c r="L891" s="1073"/>
      <c r="M891" s="574"/>
      <c r="N891" s="629">
        <f t="shared" si="273"/>
        <v>0</v>
      </c>
      <c r="O891" s="630">
        <v>0</v>
      </c>
      <c r="P891" s="624"/>
      <c r="Q891" s="574"/>
      <c r="R891" s="574"/>
      <c r="S891" s="574"/>
    </row>
    <row r="892" spans="1:19" ht="21.3">
      <c r="A892" s="665"/>
      <c r="B892" s="617"/>
      <c r="C892" s="1125" t="s">
        <v>293</v>
      </c>
      <c r="D892" s="1126"/>
      <c r="E892" s="637">
        <f t="shared" si="279"/>
        <v>0</v>
      </c>
      <c r="F892" s="625" t="s">
        <v>34</v>
      </c>
      <c r="G892" s="666">
        <v>520</v>
      </c>
      <c r="H892" s="580"/>
      <c r="I892" s="666">
        <v>30</v>
      </c>
      <c r="J892" s="580">
        <f t="shared" si="274"/>
        <v>0</v>
      </c>
      <c r="K892" s="631">
        <f t="shared" si="275"/>
        <v>0</v>
      </c>
      <c r="L892" s="1073"/>
      <c r="M892" s="574"/>
      <c r="N892" s="629">
        <f t="shared" si="273"/>
        <v>0</v>
      </c>
      <c r="O892" s="630">
        <v>0</v>
      </c>
      <c r="P892" s="624"/>
      <c r="Q892" s="574"/>
      <c r="R892" s="574"/>
      <c r="S892" s="574"/>
    </row>
    <row r="893" spans="1:19" ht="21.3">
      <c r="A893" s="665"/>
      <c r="B893" s="617" t="s">
        <v>294</v>
      </c>
      <c r="C893" s="1125" t="s">
        <v>295</v>
      </c>
      <c r="D893" s="1126"/>
      <c r="E893" s="637">
        <f t="shared" si="279"/>
        <v>0</v>
      </c>
      <c r="F893" s="625" t="s">
        <v>34</v>
      </c>
      <c r="G893" s="666">
        <v>91</v>
      </c>
      <c r="H893" s="633">
        <f>SUM(E893*G893)</f>
        <v>0</v>
      </c>
      <c r="I893" s="666">
        <v>100</v>
      </c>
      <c r="J893" s="580">
        <f t="shared" si="274"/>
        <v>0</v>
      </c>
      <c r="K893" s="631">
        <f t="shared" si="275"/>
        <v>0</v>
      </c>
      <c r="L893" s="1062"/>
      <c r="M893" s="574"/>
      <c r="N893" s="667">
        <f t="shared" si="273"/>
        <v>0</v>
      </c>
      <c r="O893" s="636">
        <v>0</v>
      </c>
      <c r="P893" s="637"/>
      <c r="Q893" s="574"/>
      <c r="R893" s="574"/>
      <c r="S893" s="574"/>
    </row>
    <row r="894" spans="1:19" ht="21.3">
      <c r="A894" s="665"/>
      <c r="B894" s="617" t="s">
        <v>296</v>
      </c>
      <c r="C894" s="1125" t="s">
        <v>297</v>
      </c>
      <c r="D894" s="1126"/>
      <c r="E894" s="637">
        <f t="shared" si="279"/>
        <v>0</v>
      </c>
      <c r="F894" s="625" t="s">
        <v>34</v>
      </c>
      <c r="G894" s="666">
        <v>294</v>
      </c>
      <c r="H894" s="633">
        <f t="shared" ref="H894:H902" si="290">SUM(E894*G894)</f>
        <v>0</v>
      </c>
      <c r="I894" s="666">
        <v>189</v>
      </c>
      <c r="J894" s="580">
        <f t="shared" si="274"/>
        <v>0</v>
      </c>
      <c r="K894" s="631">
        <f t="shared" si="275"/>
        <v>0</v>
      </c>
      <c r="L894" s="1073"/>
      <c r="M894" s="574"/>
      <c r="N894" s="667">
        <f t="shared" si="273"/>
        <v>0</v>
      </c>
      <c r="O894" s="636">
        <v>0</v>
      </c>
      <c r="P894" s="637"/>
      <c r="Q894" s="574"/>
      <c r="R894" s="574"/>
      <c r="S894" s="574"/>
    </row>
    <row r="895" spans="1:19" ht="21.3">
      <c r="A895" s="665"/>
      <c r="B895" s="617" t="s">
        <v>298</v>
      </c>
      <c r="C895" s="1125" t="s">
        <v>299</v>
      </c>
      <c r="D895" s="1126"/>
      <c r="E895" s="637"/>
      <c r="F895" s="625" t="s">
        <v>34</v>
      </c>
      <c r="G895" s="666">
        <v>608</v>
      </c>
      <c r="H895" s="633">
        <f t="shared" si="290"/>
        <v>0</v>
      </c>
      <c r="I895" s="666">
        <v>189</v>
      </c>
      <c r="J895" s="580">
        <f t="shared" si="274"/>
        <v>0</v>
      </c>
      <c r="K895" s="631">
        <f t="shared" si="275"/>
        <v>0</v>
      </c>
      <c r="L895" s="1073"/>
      <c r="M895" s="574"/>
      <c r="N895" s="667">
        <f t="shared" si="273"/>
        <v>681.28</v>
      </c>
      <c r="O895" s="636">
        <v>0</v>
      </c>
      <c r="P895" s="637">
        <v>681.28</v>
      </c>
      <c r="Q895" s="574"/>
      <c r="R895" s="574"/>
      <c r="S895" s="574"/>
    </row>
    <row r="896" spans="1:19" ht="21.3">
      <c r="A896" s="665"/>
      <c r="B896" s="623" t="s">
        <v>2549</v>
      </c>
      <c r="C896" s="1125" t="s">
        <v>299</v>
      </c>
      <c r="D896" s="1126"/>
      <c r="E896" s="637">
        <f t="shared" si="279"/>
        <v>681.28</v>
      </c>
      <c r="F896" s="625" t="s">
        <v>34</v>
      </c>
      <c r="G896" s="666">
        <v>399</v>
      </c>
      <c r="H896" s="633">
        <f t="shared" si="290"/>
        <v>271830.71999999997</v>
      </c>
      <c r="I896" s="666">
        <v>189</v>
      </c>
      <c r="J896" s="580">
        <f t="shared" si="274"/>
        <v>128761.92</v>
      </c>
      <c r="K896" s="631">
        <f t="shared" si="275"/>
        <v>400592.63999999996</v>
      </c>
      <c r="L896" s="1073"/>
      <c r="M896" s="574"/>
      <c r="N896" s="667">
        <f t="shared" si="273"/>
        <v>681.28</v>
      </c>
      <c r="O896" s="636">
        <v>0</v>
      </c>
      <c r="P896" s="637">
        <v>681.28</v>
      </c>
      <c r="Q896" s="574"/>
      <c r="R896" s="574"/>
      <c r="S896" s="574"/>
    </row>
    <row r="897" spans="1:19" ht="21.3">
      <c r="A897" s="665"/>
      <c r="B897" s="617"/>
      <c r="C897" s="1125"/>
      <c r="D897" s="1126"/>
      <c r="E897" s="637"/>
      <c r="F897" s="625"/>
      <c r="G897" s="666"/>
      <c r="H897" s="633"/>
      <c r="I897" s="666"/>
      <c r="J897" s="580"/>
      <c r="K897" s="631"/>
      <c r="L897" s="1073"/>
      <c r="M897" s="574"/>
      <c r="N897" s="667"/>
      <c r="O897" s="636"/>
      <c r="P897" s="637"/>
      <c r="Q897" s="574"/>
      <c r="R897" s="574"/>
      <c r="S897" s="574"/>
    </row>
    <row r="898" spans="1:19" ht="21.3">
      <c r="A898" s="665"/>
      <c r="B898" s="617" t="s">
        <v>300</v>
      </c>
      <c r="C898" s="1125" t="s">
        <v>301</v>
      </c>
      <c r="D898" s="1126"/>
      <c r="E898" s="637">
        <f t="shared" si="279"/>
        <v>0</v>
      </c>
      <c r="F898" s="625" t="s">
        <v>34</v>
      </c>
      <c r="G898" s="666">
        <v>88</v>
      </c>
      <c r="H898" s="633">
        <f t="shared" si="290"/>
        <v>0</v>
      </c>
      <c r="I898" s="666">
        <v>82</v>
      </c>
      <c r="J898" s="580">
        <f t="shared" si="274"/>
        <v>0</v>
      </c>
      <c r="K898" s="631">
        <f t="shared" si="275"/>
        <v>0</v>
      </c>
      <c r="L898" s="1062"/>
      <c r="M898" s="574"/>
      <c r="N898" s="667">
        <f t="shared" si="273"/>
        <v>0</v>
      </c>
      <c r="O898" s="636">
        <v>0</v>
      </c>
      <c r="P898" s="637"/>
      <c r="Q898" s="574"/>
      <c r="R898" s="574"/>
      <c r="S898" s="574"/>
    </row>
    <row r="899" spans="1:19" ht="21.3">
      <c r="A899" s="665"/>
      <c r="B899" s="617"/>
      <c r="C899" s="1125" t="s">
        <v>302</v>
      </c>
      <c r="D899" s="1126"/>
      <c r="E899" s="637">
        <f t="shared" si="279"/>
        <v>0</v>
      </c>
      <c r="F899" s="625" t="s">
        <v>34</v>
      </c>
      <c r="G899" s="2048">
        <v>69</v>
      </c>
      <c r="H899" s="633">
        <f t="shared" si="290"/>
        <v>0</v>
      </c>
      <c r="I899" s="2048">
        <v>28</v>
      </c>
      <c r="J899" s="580">
        <f t="shared" si="274"/>
        <v>0</v>
      </c>
      <c r="K899" s="631">
        <f t="shared" si="275"/>
        <v>0</v>
      </c>
      <c r="L899" s="1062"/>
      <c r="M899" s="574"/>
      <c r="N899" s="667">
        <f t="shared" si="273"/>
        <v>0</v>
      </c>
      <c r="O899" s="636">
        <v>0</v>
      </c>
      <c r="P899" s="637"/>
      <c r="Q899" s="574"/>
      <c r="R899" s="574"/>
      <c r="S899" s="574"/>
    </row>
    <row r="900" spans="1:19" ht="21.3">
      <c r="A900" s="665"/>
      <c r="B900" s="617" t="s">
        <v>303</v>
      </c>
      <c r="C900" s="1125" t="s">
        <v>304</v>
      </c>
      <c r="D900" s="1126"/>
      <c r="E900" s="637"/>
      <c r="F900" s="625" t="s">
        <v>34</v>
      </c>
      <c r="G900" s="666">
        <v>870</v>
      </c>
      <c r="H900" s="633">
        <f t="shared" si="290"/>
        <v>0</v>
      </c>
      <c r="I900" s="666">
        <v>242</v>
      </c>
      <c r="J900" s="580">
        <f t="shared" si="274"/>
        <v>0</v>
      </c>
      <c r="K900" s="631">
        <f t="shared" si="275"/>
        <v>0</v>
      </c>
      <c r="L900" s="1073"/>
      <c r="M900" s="574"/>
      <c r="N900" s="667">
        <f t="shared" si="273"/>
        <v>156.39999999999998</v>
      </c>
      <c r="O900" s="636">
        <v>0</v>
      </c>
      <c r="P900" s="637">
        <v>156.39999999999998</v>
      </c>
      <c r="Q900" s="574"/>
      <c r="R900" s="574"/>
      <c r="S900" s="574"/>
    </row>
    <row r="901" spans="1:19" ht="21.3">
      <c r="A901" s="665"/>
      <c r="B901" s="617"/>
      <c r="C901" s="1125" t="s">
        <v>305</v>
      </c>
      <c r="D901" s="1126"/>
      <c r="E901" s="637">
        <f t="shared" ref="E901" si="291">+N901</f>
        <v>0</v>
      </c>
      <c r="F901" s="619"/>
      <c r="G901" s="572"/>
      <c r="H901" s="580"/>
      <c r="I901" s="572"/>
      <c r="J901" s="580">
        <f t="shared" si="274"/>
        <v>0</v>
      </c>
      <c r="K901" s="631">
        <f t="shared" si="275"/>
        <v>0</v>
      </c>
      <c r="L901" s="1073"/>
      <c r="M901" s="574"/>
      <c r="N901" s="629">
        <f t="shared" si="273"/>
        <v>0</v>
      </c>
      <c r="O901" s="630">
        <v>0</v>
      </c>
      <c r="P901" s="624"/>
      <c r="Q901" s="574"/>
      <c r="R901" s="574"/>
      <c r="S901" s="574"/>
    </row>
    <row r="902" spans="1:19" ht="21.3">
      <c r="A902" s="665"/>
      <c r="B902" s="623" t="s">
        <v>2550</v>
      </c>
      <c r="C902" s="1125" t="s">
        <v>304</v>
      </c>
      <c r="D902" s="1126"/>
      <c r="E902" s="637">
        <f t="shared" si="279"/>
        <v>156.39999999999998</v>
      </c>
      <c r="F902" s="625" t="s">
        <v>34</v>
      </c>
      <c r="G902" s="666">
        <v>765</v>
      </c>
      <c r="H902" s="633">
        <f t="shared" si="290"/>
        <v>119645.99999999999</v>
      </c>
      <c r="I902" s="666">
        <v>242</v>
      </c>
      <c r="J902" s="580">
        <f t="shared" si="274"/>
        <v>37848.799999999996</v>
      </c>
      <c r="K902" s="631">
        <f t="shared" si="275"/>
        <v>157494.79999999999</v>
      </c>
      <c r="L902" s="1073"/>
      <c r="M902" s="574"/>
      <c r="N902" s="667">
        <f t="shared" si="273"/>
        <v>156.39999999999998</v>
      </c>
      <c r="O902" s="636">
        <v>0</v>
      </c>
      <c r="P902" s="637">
        <v>156.39999999999998</v>
      </c>
      <c r="Q902" s="574"/>
      <c r="R902" s="574"/>
      <c r="S902" s="574"/>
    </row>
    <row r="903" spans="1:19" ht="21.3">
      <c r="A903" s="665"/>
      <c r="B903" s="617"/>
      <c r="C903" s="1125" t="s">
        <v>305</v>
      </c>
      <c r="D903" s="1126"/>
      <c r="E903" s="637">
        <f t="shared" si="279"/>
        <v>0</v>
      </c>
      <c r="F903" s="619"/>
      <c r="G903" s="572"/>
      <c r="H903" s="580"/>
      <c r="I903" s="572"/>
      <c r="J903" s="580">
        <f t="shared" si="274"/>
        <v>0</v>
      </c>
      <c r="K903" s="631">
        <f t="shared" si="275"/>
        <v>0</v>
      </c>
      <c r="L903" s="1073"/>
      <c r="M903" s="574"/>
      <c r="N903" s="629">
        <f t="shared" si="273"/>
        <v>0</v>
      </c>
      <c r="O903" s="630">
        <v>0</v>
      </c>
      <c r="P903" s="624"/>
      <c r="Q903" s="574"/>
      <c r="R903" s="574"/>
      <c r="S903" s="574"/>
    </row>
    <row r="904" spans="1:19" ht="21.3">
      <c r="A904" s="665"/>
      <c r="B904" s="617" t="s">
        <v>306</v>
      </c>
      <c r="C904" s="1125" t="s">
        <v>307</v>
      </c>
      <c r="D904" s="1126"/>
      <c r="E904" s="637">
        <f t="shared" si="279"/>
        <v>0</v>
      </c>
      <c r="F904" s="625" t="s">
        <v>34</v>
      </c>
      <c r="G904" s="666"/>
      <c r="H904" s="633">
        <v>0</v>
      </c>
      <c r="I904" s="666"/>
      <c r="J904" s="580">
        <f t="shared" si="274"/>
        <v>0</v>
      </c>
      <c r="K904" s="631">
        <f t="shared" si="275"/>
        <v>0</v>
      </c>
      <c r="L904" s="1073"/>
      <c r="M904" s="574"/>
      <c r="N904" s="667">
        <f t="shared" si="273"/>
        <v>0</v>
      </c>
      <c r="O904" s="636">
        <v>0</v>
      </c>
      <c r="P904" s="637"/>
      <c r="Q904" s="574"/>
      <c r="R904" s="574"/>
      <c r="S904" s="574"/>
    </row>
    <row r="905" spans="1:19" ht="21.3">
      <c r="A905" s="665"/>
      <c r="B905" s="617" t="s">
        <v>308</v>
      </c>
      <c r="C905" s="617" t="s">
        <v>309</v>
      </c>
      <c r="D905" s="617"/>
      <c r="E905" s="637">
        <f t="shared" si="279"/>
        <v>0</v>
      </c>
      <c r="F905" s="625" t="s">
        <v>34</v>
      </c>
      <c r="G905" s="666">
        <v>1296</v>
      </c>
      <c r="H905" s="633">
        <f t="shared" ref="H905:H916" si="292">SUM(E905*G905)</f>
        <v>0</v>
      </c>
      <c r="I905" s="666">
        <v>1600</v>
      </c>
      <c r="J905" s="580">
        <f t="shared" si="274"/>
        <v>0</v>
      </c>
      <c r="K905" s="631">
        <f t="shared" si="275"/>
        <v>0</v>
      </c>
      <c r="L905" s="1073"/>
      <c r="M905" s="574"/>
      <c r="N905" s="667">
        <f t="shared" si="273"/>
        <v>0</v>
      </c>
      <c r="O905" s="636">
        <v>0</v>
      </c>
      <c r="P905" s="637"/>
      <c r="Q905" s="574"/>
      <c r="R905" s="574"/>
      <c r="S905" s="574"/>
    </row>
    <row r="906" spans="1:19" ht="21.3">
      <c r="A906" s="665"/>
      <c r="B906" s="617"/>
      <c r="C906" s="617" t="s">
        <v>310</v>
      </c>
      <c r="D906" s="617"/>
      <c r="E906" s="637">
        <f t="shared" si="279"/>
        <v>0</v>
      </c>
      <c r="F906" s="619"/>
      <c r="G906" s="666"/>
      <c r="H906" s="633">
        <f t="shared" si="292"/>
        <v>0</v>
      </c>
      <c r="I906" s="666"/>
      <c r="J906" s="580">
        <f t="shared" si="274"/>
        <v>0</v>
      </c>
      <c r="K906" s="631">
        <f t="shared" si="275"/>
        <v>0</v>
      </c>
      <c r="L906" s="1073"/>
      <c r="M906" s="574"/>
      <c r="N906" s="629">
        <f t="shared" si="273"/>
        <v>0</v>
      </c>
      <c r="O906" s="630">
        <v>0</v>
      </c>
      <c r="P906" s="624"/>
      <c r="Q906" s="574"/>
      <c r="R906" s="574"/>
      <c r="S906" s="574"/>
    </row>
    <row r="907" spans="1:19" ht="21.3">
      <c r="A907" s="665"/>
      <c r="B907" s="617" t="s">
        <v>311</v>
      </c>
      <c r="C907" s="1125" t="s">
        <v>312</v>
      </c>
      <c r="D907" s="1126"/>
      <c r="E907" s="637">
        <f t="shared" si="279"/>
        <v>0</v>
      </c>
      <c r="F907" s="625" t="s">
        <v>34</v>
      </c>
      <c r="G907" s="666"/>
      <c r="H907" s="633">
        <f t="shared" si="292"/>
        <v>0</v>
      </c>
      <c r="I907" s="666"/>
      <c r="J907" s="580">
        <f t="shared" si="274"/>
        <v>0</v>
      </c>
      <c r="K907" s="631">
        <f t="shared" si="275"/>
        <v>0</v>
      </c>
      <c r="L907" s="1073"/>
      <c r="M907" s="574"/>
      <c r="N907" s="667">
        <f t="shared" si="273"/>
        <v>0</v>
      </c>
      <c r="O907" s="636">
        <v>0</v>
      </c>
      <c r="P907" s="637"/>
      <c r="Q907" s="574"/>
      <c r="R907" s="574"/>
      <c r="S907" s="574"/>
    </row>
    <row r="908" spans="1:19" ht="21.3">
      <c r="A908" s="665"/>
      <c r="B908" s="617" t="s">
        <v>313</v>
      </c>
      <c r="C908" s="1125" t="s">
        <v>314</v>
      </c>
      <c r="D908" s="1126"/>
      <c r="E908" s="637">
        <f t="shared" si="279"/>
        <v>0</v>
      </c>
      <c r="F908" s="625" t="s">
        <v>34</v>
      </c>
      <c r="G908" s="666"/>
      <c r="H908" s="633">
        <f t="shared" si="292"/>
        <v>0</v>
      </c>
      <c r="I908" s="666"/>
      <c r="J908" s="580">
        <f t="shared" si="274"/>
        <v>0</v>
      </c>
      <c r="K908" s="631">
        <f t="shared" si="275"/>
        <v>0</v>
      </c>
      <c r="L908" s="1073"/>
      <c r="M908" s="574"/>
      <c r="N908" s="667">
        <f t="shared" si="273"/>
        <v>0</v>
      </c>
      <c r="O908" s="636">
        <v>0</v>
      </c>
      <c r="P908" s="637"/>
      <c r="Q908" s="574"/>
      <c r="R908" s="574"/>
      <c r="S908" s="574"/>
    </row>
    <row r="909" spans="1:19" ht="21.3">
      <c r="A909" s="665"/>
      <c r="B909" s="617" t="s">
        <v>315</v>
      </c>
      <c r="C909" s="1125" t="s">
        <v>316</v>
      </c>
      <c r="D909" s="1126"/>
      <c r="E909" s="637">
        <f t="shared" si="279"/>
        <v>0</v>
      </c>
      <c r="F909" s="625" t="s">
        <v>34</v>
      </c>
      <c r="G909" s="572">
        <v>15000</v>
      </c>
      <c r="H909" s="580">
        <f t="shared" si="292"/>
        <v>0</v>
      </c>
      <c r="I909" s="572">
        <v>500</v>
      </c>
      <c r="J909" s="580">
        <f t="shared" si="274"/>
        <v>0</v>
      </c>
      <c r="K909" s="631">
        <f t="shared" si="275"/>
        <v>0</v>
      </c>
      <c r="L909" s="1061"/>
      <c r="M909" s="574"/>
      <c r="N909" s="667">
        <f t="shared" si="273"/>
        <v>0</v>
      </c>
      <c r="O909" s="636">
        <v>0</v>
      </c>
      <c r="P909" s="637"/>
      <c r="Q909" s="574"/>
      <c r="R909" s="574"/>
      <c r="S909" s="574"/>
    </row>
    <row r="910" spans="1:19" ht="21.3">
      <c r="A910" s="665"/>
      <c r="B910" s="617" t="s">
        <v>317</v>
      </c>
      <c r="C910" s="1125" t="s">
        <v>318</v>
      </c>
      <c r="D910" s="1126"/>
      <c r="E910" s="637">
        <f t="shared" si="279"/>
        <v>584.00399999999991</v>
      </c>
      <c r="F910" s="625" t="s">
        <v>34</v>
      </c>
      <c r="G910" s="666">
        <v>88</v>
      </c>
      <c r="H910" s="633">
        <f t="shared" si="292"/>
        <v>51392.351999999992</v>
      </c>
      <c r="I910" s="666">
        <v>82</v>
      </c>
      <c r="J910" s="580">
        <f t="shared" si="274"/>
        <v>47888.327999999994</v>
      </c>
      <c r="K910" s="631">
        <f t="shared" si="275"/>
        <v>99280.68</v>
      </c>
      <c r="L910" s="1062"/>
      <c r="M910" s="574"/>
      <c r="N910" s="667">
        <f t="shared" si="273"/>
        <v>584.00399999999991</v>
      </c>
      <c r="O910" s="636">
        <v>0</v>
      </c>
      <c r="P910" s="637">
        <v>584.00399999999991</v>
      </c>
      <c r="Q910" s="574"/>
      <c r="R910" s="574"/>
      <c r="S910" s="574"/>
    </row>
    <row r="911" spans="1:19" ht="21.3">
      <c r="A911" s="665"/>
      <c r="B911" s="617" t="s">
        <v>319</v>
      </c>
      <c r="C911" s="1125" t="s">
        <v>320</v>
      </c>
      <c r="D911" s="1126"/>
      <c r="E911" s="637">
        <f t="shared" si="279"/>
        <v>0</v>
      </c>
      <c r="F911" s="625" t="s">
        <v>34</v>
      </c>
      <c r="G911" s="666">
        <v>1955</v>
      </c>
      <c r="H911" s="633">
        <f t="shared" si="292"/>
        <v>0</v>
      </c>
      <c r="I911" s="666">
        <v>1700</v>
      </c>
      <c r="J911" s="580">
        <f t="shared" si="274"/>
        <v>0</v>
      </c>
      <c r="K911" s="631">
        <f t="shared" si="275"/>
        <v>0</v>
      </c>
      <c r="L911" s="1073"/>
      <c r="M911" s="574"/>
      <c r="N911" s="667">
        <f t="shared" si="273"/>
        <v>0</v>
      </c>
      <c r="O911" s="636">
        <v>0</v>
      </c>
      <c r="P911" s="637"/>
      <c r="Q911" s="574"/>
      <c r="R911" s="574"/>
      <c r="S911" s="574"/>
    </row>
    <row r="912" spans="1:19" ht="21.3">
      <c r="A912" s="665"/>
      <c r="B912" s="617"/>
      <c r="C912" s="1125" t="s">
        <v>321</v>
      </c>
      <c r="D912" s="1126"/>
      <c r="E912" s="637">
        <f t="shared" si="279"/>
        <v>0</v>
      </c>
      <c r="F912" s="625" t="s">
        <v>34</v>
      </c>
      <c r="G912" s="666">
        <v>0</v>
      </c>
      <c r="H912" s="633">
        <f t="shared" si="292"/>
        <v>0</v>
      </c>
      <c r="I912" s="666">
        <v>0</v>
      </c>
      <c r="J912" s="580">
        <f t="shared" si="274"/>
        <v>0</v>
      </c>
      <c r="K912" s="631">
        <f t="shared" si="275"/>
        <v>0</v>
      </c>
      <c r="L912" s="1073"/>
      <c r="M912" s="574"/>
      <c r="N912" s="667">
        <f t="shared" si="273"/>
        <v>0</v>
      </c>
      <c r="O912" s="636">
        <v>0</v>
      </c>
      <c r="P912" s="637"/>
      <c r="Q912" s="574"/>
      <c r="R912" s="574"/>
      <c r="S912" s="574"/>
    </row>
    <row r="913" spans="1:19" ht="21.3">
      <c r="A913" s="665"/>
      <c r="B913" s="617" t="s">
        <v>322</v>
      </c>
      <c r="C913" s="1125" t="s">
        <v>323</v>
      </c>
      <c r="D913" s="1126"/>
      <c r="E913" s="637">
        <f t="shared" si="279"/>
        <v>0</v>
      </c>
      <c r="F913" s="625" t="s">
        <v>34</v>
      </c>
      <c r="G913" s="666">
        <v>1296</v>
      </c>
      <c r="H913" s="633">
        <f t="shared" si="292"/>
        <v>0</v>
      </c>
      <c r="I913" s="666">
        <v>1600</v>
      </c>
      <c r="J913" s="580">
        <f t="shared" si="274"/>
        <v>0</v>
      </c>
      <c r="K913" s="631">
        <f t="shared" si="275"/>
        <v>0</v>
      </c>
      <c r="L913" s="1073"/>
      <c r="M913" s="574"/>
      <c r="N913" s="667">
        <f t="shared" si="273"/>
        <v>0</v>
      </c>
      <c r="O913" s="636">
        <v>0</v>
      </c>
      <c r="P913" s="637"/>
      <c r="Q913" s="574"/>
      <c r="R913" s="574"/>
      <c r="S913" s="574"/>
    </row>
    <row r="914" spans="1:19" ht="21.3">
      <c r="A914" s="665"/>
      <c r="B914" s="617" t="s">
        <v>324</v>
      </c>
      <c r="C914" s="1125" t="s">
        <v>325</v>
      </c>
      <c r="D914" s="1126"/>
      <c r="E914" s="637">
        <f t="shared" si="279"/>
        <v>0</v>
      </c>
      <c r="F914" s="625" t="s">
        <v>34</v>
      </c>
      <c r="G914" s="2048">
        <f>13+69</f>
        <v>82</v>
      </c>
      <c r="H914" s="633">
        <f t="shared" si="292"/>
        <v>0</v>
      </c>
      <c r="I914" s="2048">
        <f>30+28</f>
        <v>58</v>
      </c>
      <c r="J914" s="580">
        <f t="shared" si="274"/>
        <v>0</v>
      </c>
      <c r="K914" s="631">
        <f t="shared" si="275"/>
        <v>0</v>
      </c>
      <c r="L914" s="2049"/>
      <c r="M914" s="574"/>
      <c r="N914" s="667">
        <f t="shared" si="273"/>
        <v>0</v>
      </c>
      <c r="O914" s="636">
        <v>0</v>
      </c>
      <c r="P914" s="637"/>
      <c r="Q914" s="574"/>
      <c r="R914" s="574"/>
      <c r="S914" s="574"/>
    </row>
    <row r="915" spans="1:19" ht="21.3">
      <c r="A915" s="665"/>
      <c r="B915" s="617" t="s">
        <v>326</v>
      </c>
      <c r="C915" s="1125" t="s">
        <v>327</v>
      </c>
      <c r="D915" s="1126"/>
      <c r="E915" s="637">
        <f t="shared" si="279"/>
        <v>0</v>
      </c>
      <c r="F915" s="625" t="s">
        <v>34</v>
      </c>
      <c r="G915" s="666"/>
      <c r="H915" s="633">
        <f t="shared" si="292"/>
        <v>0</v>
      </c>
      <c r="I915" s="666"/>
      <c r="J915" s="580">
        <f t="shared" si="274"/>
        <v>0</v>
      </c>
      <c r="K915" s="631">
        <f t="shared" si="275"/>
        <v>0</v>
      </c>
      <c r="L915" s="1073"/>
      <c r="M915" s="574"/>
      <c r="N915" s="667">
        <f t="shared" si="273"/>
        <v>0</v>
      </c>
      <c r="O915" s="636">
        <v>0</v>
      </c>
      <c r="P915" s="637"/>
      <c r="Q915" s="574"/>
      <c r="R915" s="574"/>
      <c r="S915" s="574"/>
    </row>
    <row r="916" spans="1:19" ht="21.3">
      <c r="A916" s="665"/>
      <c r="B916" s="617" t="s">
        <v>328</v>
      </c>
      <c r="C916" s="617" t="s">
        <v>329</v>
      </c>
      <c r="D916" s="1126"/>
      <c r="E916" s="637">
        <f t="shared" si="279"/>
        <v>0</v>
      </c>
      <c r="F916" s="625" t="s">
        <v>34</v>
      </c>
      <c r="G916" s="666"/>
      <c r="H916" s="633">
        <f t="shared" si="292"/>
        <v>0</v>
      </c>
      <c r="I916" s="666"/>
      <c r="J916" s="580">
        <f t="shared" si="274"/>
        <v>0</v>
      </c>
      <c r="K916" s="631">
        <f t="shared" si="275"/>
        <v>0</v>
      </c>
      <c r="L916" s="1073"/>
      <c r="M916" s="574"/>
      <c r="N916" s="667">
        <f t="shared" si="273"/>
        <v>0</v>
      </c>
      <c r="O916" s="636">
        <v>0</v>
      </c>
      <c r="P916" s="637"/>
      <c r="Q916" s="574"/>
      <c r="R916" s="574"/>
      <c r="S916" s="574"/>
    </row>
    <row r="917" spans="1:19" ht="21.3">
      <c r="A917" s="665"/>
      <c r="B917" s="617"/>
      <c r="C917" s="617" t="s">
        <v>330</v>
      </c>
      <c r="D917" s="1129"/>
      <c r="E917" s="637"/>
      <c r="F917" s="625"/>
      <c r="G917" s="642"/>
      <c r="H917" s="668"/>
      <c r="I917" s="642"/>
      <c r="J917" s="580">
        <f t="shared" si="274"/>
        <v>0</v>
      </c>
      <c r="K917" s="631">
        <f t="shared" si="275"/>
        <v>0</v>
      </c>
      <c r="L917" s="1065"/>
      <c r="M917" s="574"/>
      <c r="N917" s="669">
        <f t="shared" si="273"/>
        <v>0</v>
      </c>
      <c r="O917" s="636">
        <v>0</v>
      </c>
      <c r="P917" s="637"/>
      <c r="Q917" s="574"/>
      <c r="R917" s="574"/>
      <c r="S917" s="574"/>
    </row>
    <row r="918" spans="1:19" ht="21.3">
      <c r="A918" s="665"/>
      <c r="B918" s="617"/>
      <c r="C918" s="1127" t="s">
        <v>1043</v>
      </c>
      <c r="D918" s="1126"/>
      <c r="E918" s="637">
        <f t="shared" ref="E918" si="293">+N918</f>
        <v>0</v>
      </c>
      <c r="F918" s="625" t="s">
        <v>34</v>
      </c>
      <c r="G918" s="2048">
        <v>69</v>
      </c>
      <c r="H918" s="633">
        <f t="shared" ref="H918" si="294">SUM(E918*G918)</f>
        <v>0</v>
      </c>
      <c r="I918" s="2048">
        <v>28</v>
      </c>
      <c r="J918" s="580">
        <f t="shared" si="274"/>
        <v>0</v>
      </c>
      <c r="K918" s="631">
        <f t="shared" si="275"/>
        <v>0</v>
      </c>
      <c r="L918" s="2049"/>
      <c r="M918" s="574"/>
      <c r="N918" s="667">
        <f t="shared" si="273"/>
        <v>0</v>
      </c>
      <c r="O918" s="636">
        <v>0</v>
      </c>
      <c r="P918" s="637"/>
      <c r="Q918" s="574"/>
      <c r="R918" s="574"/>
      <c r="S918" s="574"/>
    </row>
    <row r="919" spans="1:19" ht="21.3">
      <c r="A919" s="665"/>
      <c r="B919" s="1114"/>
      <c r="C919" s="617"/>
      <c r="D919" s="1129"/>
      <c r="E919" s="637"/>
      <c r="F919" s="625"/>
      <c r="G919" s="642"/>
      <c r="H919" s="668"/>
      <c r="I919" s="642"/>
      <c r="J919" s="580">
        <f t="shared" si="274"/>
        <v>0</v>
      </c>
      <c r="K919" s="631">
        <f t="shared" si="275"/>
        <v>0</v>
      </c>
      <c r="L919" s="1061"/>
      <c r="M919" s="574"/>
      <c r="N919" s="669">
        <f t="shared" si="273"/>
        <v>0</v>
      </c>
      <c r="O919" s="636">
        <v>0</v>
      </c>
      <c r="P919" s="637"/>
      <c r="Q919" s="574"/>
      <c r="R919" s="574"/>
      <c r="S919" s="574"/>
    </row>
    <row r="920" spans="1:19" ht="21.3">
      <c r="A920" s="665" t="s">
        <v>343</v>
      </c>
      <c r="B920" s="1114" t="s">
        <v>344</v>
      </c>
      <c r="C920" s="617"/>
      <c r="D920" s="1129"/>
      <c r="E920" s="624"/>
      <c r="F920" s="625"/>
      <c r="G920" s="642"/>
      <c r="H920" s="668"/>
      <c r="I920" s="642"/>
      <c r="J920" s="580">
        <f t="shared" si="274"/>
        <v>0</v>
      </c>
      <c r="K920" s="631">
        <f t="shared" si="275"/>
        <v>0</v>
      </c>
      <c r="L920" s="1061"/>
      <c r="M920" s="574"/>
      <c r="N920" s="629">
        <f t="shared" si="273"/>
        <v>0</v>
      </c>
      <c r="O920" s="630">
        <v>0</v>
      </c>
      <c r="P920" s="624"/>
      <c r="Q920" s="574"/>
      <c r="R920" s="574"/>
      <c r="S920" s="574"/>
    </row>
    <row r="921" spans="1:19" ht="21.3">
      <c r="A921" s="665"/>
      <c r="B921" s="1114"/>
      <c r="C921" s="1125" t="s">
        <v>259</v>
      </c>
      <c r="D921" s="1124"/>
      <c r="E921" s="624">
        <v>3386.9040000000005</v>
      </c>
      <c r="F921" s="625" t="s">
        <v>34</v>
      </c>
      <c r="G921" s="666">
        <v>281</v>
      </c>
      <c r="H921" s="633">
        <f>SUM(E921*G921)</f>
        <v>951720.02400000009</v>
      </c>
      <c r="I921" s="666">
        <v>80</v>
      </c>
      <c r="J921" s="580">
        <f t="shared" si="274"/>
        <v>270952.32000000007</v>
      </c>
      <c r="K921" s="631">
        <f t="shared" si="275"/>
        <v>1222672.344</v>
      </c>
      <c r="L921" s="1073"/>
      <c r="M921" s="574"/>
      <c r="N921" s="629">
        <f t="shared" si="273"/>
        <v>0</v>
      </c>
      <c r="O921" s="630">
        <v>0</v>
      </c>
      <c r="P921" s="624"/>
      <c r="Q921" s="574"/>
      <c r="R921" s="574"/>
      <c r="S921" s="574"/>
    </row>
    <row r="922" spans="1:19" ht="21.3">
      <c r="A922" s="665"/>
      <c r="B922" s="1114"/>
      <c r="C922" s="1125" t="s">
        <v>260</v>
      </c>
      <c r="D922" s="1124"/>
      <c r="E922" s="624">
        <f>+E959/2</f>
        <v>0</v>
      </c>
      <c r="F922" s="625" t="s">
        <v>34</v>
      </c>
      <c r="G922" s="666">
        <v>712</v>
      </c>
      <c r="H922" s="633">
        <f>SUM(E922*G922)</f>
        <v>0</v>
      </c>
      <c r="I922" s="666">
        <v>98</v>
      </c>
      <c r="J922" s="580">
        <f t="shared" si="274"/>
        <v>0</v>
      </c>
      <c r="K922" s="631">
        <f t="shared" si="275"/>
        <v>0</v>
      </c>
      <c r="L922" s="1073"/>
      <c r="M922" s="574"/>
      <c r="N922" s="629">
        <f t="shared" si="273"/>
        <v>0</v>
      </c>
      <c r="O922" s="630">
        <v>0</v>
      </c>
      <c r="P922" s="624"/>
      <c r="Q922" s="574"/>
      <c r="R922" s="574"/>
      <c r="S922" s="574"/>
    </row>
    <row r="923" spans="1:19" ht="21.3">
      <c r="A923" s="665"/>
      <c r="B923" s="1114"/>
      <c r="C923" s="1125" t="s">
        <v>261</v>
      </c>
      <c r="D923" s="1124"/>
      <c r="E923" s="624">
        <f>+E921*1.33</f>
        <v>4504.5823200000004</v>
      </c>
      <c r="F923" s="625" t="s">
        <v>226</v>
      </c>
      <c r="G923" s="666">
        <v>119</v>
      </c>
      <c r="H923" s="633">
        <f>SUM(E923*G923)</f>
        <v>536045.29608</v>
      </c>
      <c r="I923" s="666">
        <v>44</v>
      </c>
      <c r="J923" s="580">
        <f t="shared" si="274"/>
        <v>198201.62208000003</v>
      </c>
      <c r="K923" s="631">
        <f t="shared" si="275"/>
        <v>734246.91816</v>
      </c>
      <c r="L923" s="1073"/>
      <c r="M923" s="574"/>
      <c r="N923" s="629">
        <f t="shared" si="273"/>
        <v>0</v>
      </c>
      <c r="O923" s="630">
        <v>0</v>
      </c>
      <c r="P923" s="624"/>
      <c r="Q923" s="574"/>
      <c r="R923" s="574"/>
      <c r="S923" s="574"/>
    </row>
    <row r="924" spans="1:19" ht="21.3">
      <c r="A924" s="665"/>
      <c r="B924" s="1114"/>
      <c r="C924" s="1125" t="s">
        <v>262</v>
      </c>
      <c r="D924" s="1124"/>
      <c r="E924" s="624">
        <f>+E922*1.33</f>
        <v>0</v>
      </c>
      <c r="F924" s="625" t="s">
        <v>226</v>
      </c>
      <c r="G924" s="666">
        <v>208</v>
      </c>
      <c r="H924" s="633">
        <f>SUM(E924*G924)</f>
        <v>0</v>
      </c>
      <c r="I924" s="666">
        <v>78</v>
      </c>
      <c r="J924" s="580">
        <f t="shared" si="274"/>
        <v>0</v>
      </c>
      <c r="K924" s="631">
        <f t="shared" si="275"/>
        <v>0</v>
      </c>
      <c r="L924" s="1073"/>
      <c r="M924" s="574"/>
      <c r="N924" s="629">
        <f t="shared" si="273"/>
        <v>0</v>
      </c>
      <c r="O924" s="630">
        <v>0</v>
      </c>
      <c r="P924" s="624"/>
      <c r="Q924" s="574"/>
      <c r="R924" s="574"/>
      <c r="S924" s="574"/>
    </row>
    <row r="925" spans="1:19" ht="21.3">
      <c r="A925" s="665"/>
      <c r="B925" s="1114"/>
      <c r="C925" s="1125" t="s">
        <v>263</v>
      </c>
      <c r="D925" s="1124"/>
      <c r="E925" s="624">
        <f>+E955+E956+E958+E963+E965+E976</f>
        <v>837.68</v>
      </c>
      <c r="F925" s="625" t="s">
        <v>34</v>
      </c>
      <c r="G925" s="666">
        <v>88</v>
      </c>
      <c r="H925" s="633">
        <f>SUM(E925*G925)</f>
        <v>73715.839999999997</v>
      </c>
      <c r="I925" s="666">
        <v>82</v>
      </c>
      <c r="J925" s="580">
        <f t="shared" si="274"/>
        <v>68689.759999999995</v>
      </c>
      <c r="K925" s="631">
        <f t="shared" si="275"/>
        <v>142405.59999999998</v>
      </c>
      <c r="L925" s="1062"/>
      <c r="M925" s="574"/>
      <c r="N925" s="629">
        <f t="shared" si="273"/>
        <v>0</v>
      </c>
      <c r="O925" s="630">
        <v>0</v>
      </c>
      <c r="P925" s="624"/>
      <c r="Q925" s="574"/>
      <c r="R925" s="574"/>
      <c r="S925" s="574"/>
    </row>
    <row r="926" spans="1:19" ht="21.3">
      <c r="A926" s="665"/>
      <c r="B926" s="1114"/>
      <c r="C926" s="1125"/>
      <c r="D926" s="1124"/>
      <c r="E926" s="624"/>
      <c r="F926" s="625"/>
      <c r="G926" s="666"/>
      <c r="H926" s="633"/>
      <c r="I926" s="666"/>
      <c r="J926" s="580"/>
      <c r="K926" s="631"/>
      <c r="L926" s="1062"/>
      <c r="M926" s="574"/>
      <c r="N926" s="629"/>
      <c r="O926" s="630"/>
      <c r="P926" s="624"/>
      <c r="Q926" s="574"/>
      <c r="R926" s="574"/>
      <c r="S926" s="574"/>
    </row>
    <row r="927" spans="1:19" ht="21.3">
      <c r="A927" s="665"/>
      <c r="B927" s="617" t="s">
        <v>264</v>
      </c>
      <c r="C927" s="1125" t="s">
        <v>265</v>
      </c>
      <c r="D927" s="1126"/>
      <c r="E927" s="637">
        <f>+N927</f>
        <v>0</v>
      </c>
      <c r="F927" s="625" t="s">
        <v>34</v>
      </c>
      <c r="G927" s="666">
        <v>88</v>
      </c>
      <c r="H927" s="633">
        <f t="shared" ref="H927:H933" si="295">SUM(E927*G927)</f>
        <v>0</v>
      </c>
      <c r="I927" s="666">
        <v>95</v>
      </c>
      <c r="J927" s="580">
        <f t="shared" si="274"/>
        <v>0</v>
      </c>
      <c r="K927" s="631">
        <f t="shared" si="275"/>
        <v>0</v>
      </c>
      <c r="L927" s="1062"/>
      <c r="M927" s="574"/>
      <c r="N927" s="667">
        <f t="shared" ref="N927:N996" si="296">+(1+O927)*P927</f>
        <v>0</v>
      </c>
      <c r="O927" s="636">
        <v>0</v>
      </c>
      <c r="P927" s="637"/>
      <c r="Q927" s="574"/>
      <c r="R927" s="574"/>
      <c r="S927" s="574"/>
    </row>
    <row r="928" spans="1:19" ht="21.3">
      <c r="A928" s="665"/>
      <c r="B928" s="617"/>
      <c r="C928" s="1125" t="s">
        <v>266</v>
      </c>
      <c r="D928" s="1126"/>
      <c r="E928" s="637">
        <f t="shared" ref="E928:E977" si="297">+N928</f>
        <v>0</v>
      </c>
      <c r="F928" s="625" t="s">
        <v>34</v>
      </c>
      <c r="G928" s="2048">
        <v>69</v>
      </c>
      <c r="H928" s="633">
        <f t="shared" si="295"/>
        <v>0</v>
      </c>
      <c r="I928" s="2048">
        <v>28</v>
      </c>
      <c r="J928" s="580">
        <f t="shared" ref="J928:J997" si="298">E928*I928</f>
        <v>0</v>
      </c>
      <c r="K928" s="631">
        <f t="shared" ref="K928:K997" si="299">H928+J928</f>
        <v>0</v>
      </c>
      <c r="L928" s="2049"/>
      <c r="M928" s="574"/>
      <c r="N928" s="667">
        <f t="shared" si="296"/>
        <v>0</v>
      </c>
      <c r="O928" s="636">
        <v>0</v>
      </c>
      <c r="P928" s="637"/>
      <c r="Q928" s="574"/>
      <c r="R928" s="574"/>
      <c r="S928" s="574"/>
    </row>
    <row r="929" spans="1:19" ht="21.3">
      <c r="A929" s="665"/>
      <c r="B929" s="617" t="s">
        <v>267</v>
      </c>
      <c r="C929" s="1125" t="s">
        <v>268</v>
      </c>
      <c r="D929" s="1126"/>
      <c r="E929" s="637">
        <f t="shared" si="297"/>
        <v>3750.9120000000003</v>
      </c>
      <c r="F929" s="625" t="s">
        <v>34</v>
      </c>
      <c r="G929" s="666">
        <v>88</v>
      </c>
      <c r="H929" s="633">
        <f t="shared" si="295"/>
        <v>330080.25600000005</v>
      </c>
      <c r="I929" s="666">
        <v>82</v>
      </c>
      <c r="J929" s="580">
        <f t="shared" si="298"/>
        <v>307574.78400000004</v>
      </c>
      <c r="K929" s="631">
        <f t="shared" si="299"/>
        <v>637655.04000000004</v>
      </c>
      <c r="L929" s="1062"/>
      <c r="M929" s="574"/>
      <c r="N929" s="667">
        <f t="shared" si="296"/>
        <v>3750.9120000000003</v>
      </c>
      <c r="O929" s="636">
        <v>0</v>
      </c>
      <c r="P929" s="637">
        <v>3750.9120000000003</v>
      </c>
      <c r="Q929" s="574">
        <f>81*3.72*3.6</f>
        <v>1084.752</v>
      </c>
      <c r="R929" s="574"/>
      <c r="S929" s="574"/>
    </row>
    <row r="930" spans="1:19" ht="21.3">
      <c r="A930" s="665"/>
      <c r="B930" s="617" t="s">
        <v>269</v>
      </c>
      <c r="C930" s="1125" t="s">
        <v>265</v>
      </c>
      <c r="D930" s="1126"/>
      <c r="E930" s="637">
        <f t="shared" si="297"/>
        <v>547.41999999999996</v>
      </c>
      <c r="F930" s="625" t="s">
        <v>34</v>
      </c>
      <c r="G930" s="666">
        <v>88</v>
      </c>
      <c r="H930" s="633">
        <f t="shared" si="295"/>
        <v>48172.959999999999</v>
      </c>
      <c r="I930" s="666">
        <v>82</v>
      </c>
      <c r="J930" s="580">
        <f t="shared" si="298"/>
        <v>44888.439999999995</v>
      </c>
      <c r="K930" s="631">
        <f t="shared" si="299"/>
        <v>93061.4</v>
      </c>
      <c r="L930" s="1062"/>
      <c r="M930" s="574"/>
      <c r="N930" s="667">
        <f t="shared" si="296"/>
        <v>547.41999999999996</v>
      </c>
      <c r="O930" s="636">
        <v>0</v>
      </c>
      <c r="P930" s="637">
        <v>547.41999999999996</v>
      </c>
      <c r="Q930" s="574"/>
      <c r="R930" s="574"/>
      <c r="S930" s="574"/>
    </row>
    <row r="931" spans="1:19" ht="21.3">
      <c r="A931" s="665"/>
      <c r="B931" s="617"/>
      <c r="C931" s="1125" t="s">
        <v>270</v>
      </c>
      <c r="D931" s="1126"/>
      <c r="E931" s="637">
        <f t="shared" si="297"/>
        <v>547.41999999999996</v>
      </c>
      <c r="F931" s="625" t="s">
        <v>34</v>
      </c>
      <c r="G931" s="2048">
        <v>69</v>
      </c>
      <c r="H931" s="633">
        <f t="shared" si="295"/>
        <v>37771.979999999996</v>
      </c>
      <c r="I931" s="2048">
        <v>28</v>
      </c>
      <c r="J931" s="580">
        <f t="shared" si="298"/>
        <v>15327.759999999998</v>
      </c>
      <c r="K931" s="631">
        <f t="shared" si="299"/>
        <v>53099.739999999991</v>
      </c>
      <c r="L931" s="2049"/>
      <c r="M931" s="574"/>
      <c r="N931" s="667">
        <f t="shared" si="296"/>
        <v>547.41999999999996</v>
      </c>
      <c r="O931" s="636">
        <v>0</v>
      </c>
      <c r="P931" s="637">
        <v>547.41999999999996</v>
      </c>
      <c r="Q931" s="574"/>
      <c r="R931" s="574"/>
      <c r="S931" s="574"/>
    </row>
    <row r="932" spans="1:19" ht="21.3">
      <c r="A932" s="665"/>
      <c r="B932" s="617" t="s">
        <v>271</v>
      </c>
      <c r="C932" s="1125" t="s">
        <v>272</v>
      </c>
      <c r="D932" s="1126"/>
      <c r="E932" s="637">
        <f t="shared" si="297"/>
        <v>0</v>
      </c>
      <c r="F932" s="625" t="s">
        <v>34</v>
      </c>
      <c r="G932" s="666">
        <v>103</v>
      </c>
      <c r="H932" s="633">
        <f t="shared" si="295"/>
        <v>0</v>
      </c>
      <c r="I932" s="666">
        <v>115</v>
      </c>
      <c r="J932" s="580">
        <f t="shared" si="298"/>
        <v>0</v>
      </c>
      <c r="K932" s="631">
        <f t="shared" si="299"/>
        <v>0</v>
      </c>
      <c r="L932" s="1062"/>
      <c r="M932" s="574"/>
      <c r="N932" s="667">
        <f t="shared" si="296"/>
        <v>0</v>
      </c>
      <c r="O932" s="636">
        <v>0</v>
      </c>
      <c r="P932" s="637"/>
      <c r="Q932" s="574"/>
      <c r="R932" s="574"/>
      <c r="S932" s="574"/>
    </row>
    <row r="933" spans="1:19" ht="21.3">
      <c r="A933" s="665"/>
      <c r="B933" s="617"/>
      <c r="C933" s="1125" t="s">
        <v>273</v>
      </c>
      <c r="D933" s="1126"/>
      <c r="E933" s="637">
        <f t="shared" si="297"/>
        <v>0</v>
      </c>
      <c r="F933" s="625" t="s">
        <v>34</v>
      </c>
      <c r="G933" s="2048">
        <v>69</v>
      </c>
      <c r="H933" s="633">
        <f t="shared" si="295"/>
        <v>0</v>
      </c>
      <c r="I933" s="2048">
        <v>28</v>
      </c>
      <c r="J933" s="580">
        <f t="shared" si="298"/>
        <v>0</v>
      </c>
      <c r="K933" s="631">
        <f t="shared" si="299"/>
        <v>0</v>
      </c>
      <c r="L933" s="2049"/>
      <c r="M933" s="574"/>
      <c r="N933" s="667">
        <f t="shared" si="296"/>
        <v>0</v>
      </c>
      <c r="O933" s="636">
        <v>0</v>
      </c>
      <c r="P933" s="637"/>
      <c r="Q933" s="574"/>
      <c r="R933" s="574"/>
      <c r="S933" s="574"/>
    </row>
    <row r="934" spans="1:19" ht="21.3">
      <c r="A934" s="665"/>
      <c r="B934" s="617" t="s">
        <v>274</v>
      </c>
      <c r="C934" s="1125" t="s">
        <v>275</v>
      </c>
      <c r="D934" s="1126"/>
      <c r="E934" s="637">
        <f t="shared" si="297"/>
        <v>0</v>
      </c>
      <c r="F934" s="625" t="s">
        <v>34</v>
      </c>
      <c r="G934" s="572">
        <v>1500</v>
      </c>
      <c r="H934" s="580">
        <f t="shared" ref="H934" si="300">E934*G934</f>
        <v>0</v>
      </c>
      <c r="I934" s="572">
        <v>500</v>
      </c>
      <c r="J934" s="580">
        <f t="shared" si="298"/>
        <v>0</v>
      </c>
      <c r="K934" s="631">
        <f t="shared" si="299"/>
        <v>0</v>
      </c>
      <c r="L934" s="1061"/>
      <c r="M934" s="574"/>
      <c r="N934" s="667">
        <f t="shared" si="296"/>
        <v>0</v>
      </c>
      <c r="O934" s="636">
        <v>0</v>
      </c>
      <c r="P934" s="637"/>
      <c r="Q934" s="574"/>
      <c r="R934" s="574"/>
      <c r="S934" s="574"/>
    </row>
    <row r="935" spans="1:19" ht="21.3">
      <c r="A935" s="665"/>
      <c r="B935" s="617"/>
      <c r="C935" s="1125" t="s">
        <v>273</v>
      </c>
      <c r="D935" s="1126"/>
      <c r="E935" s="637">
        <f t="shared" si="297"/>
        <v>0</v>
      </c>
      <c r="F935" s="625" t="s">
        <v>34</v>
      </c>
      <c r="G935" s="2048">
        <v>69</v>
      </c>
      <c r="H935" s="633">
        <f t="shared" ref="H935" si="301">SUM(E935*G935)</f>
        <v>0</v>
      </c>
      <c r="I935" s="2048">
        <v>28</v>
      </c>
      <c r="J935" s="580">
        <f t="shared" si="298"/>
        <v>0</v>
      </c>
      <c r="K935" s="631">
        <f t="shared" si="299"/>
        <v>0</v>
      </c>
      <c r="L935" s="2049"/>
      <c r="M935" s="574"/>
      <c r="N935" s="667">
        <f t="shared" si="296"/>
        <v>0</v>
      </c>
      <c r="O935" s="636">
        <v>0</v>
      </c>
      <c r="P935" s="637"/>
      <c r="Q935" s="574"/>
      <c r="R935" s="574"/>
      <c r="S935" s="574"/>
    </row>
    <row r="936" spans="1:19" ht="21.3">
      <c r="A936" s="665"/>
      <c r="B936" s="617" t="s">
        <v>276</v>
      </c>
      <c r="C936" s="1125" t="s">
        <v>277</v>
      </c>
      <c r="D936" s="1126"/>
      <c r="E936" s="637">
        <f t="shared" si="297"/>
        <v>0</v>
      </c>
      <c r="F936" s="625" t="s">
        <v>34</v>
      </c>
      <c r="G936" s="572">
        <v>492</v>
      </c>
      <c r="H936" s="580">
        <f t="shared" ref="H936" si="302">E936*G936</f>
        <v>0</v>
      </c>
      <c r="I936" s="572">
        <v>130</v>
      </c>
      <c r="J936" s="580">
        <f t="shared" si="298"/>
        <v>0</v>
      </c>
      <c r="K936" s="631">
        <f t="shared" si="299"/>
        <v>0</v>
      </c>
      <c r="L936" s="2049"/>
      <c r="M936" s="574"/>
      <c r="N936" s="667">
        <f t="shared" si="296"/>
        <v>0</v>
      </c>
      <c r="O936" s="636">
        <v>0</v>
      </c>
      <c r="P936" s="637"/>
      <c r="Q936" s="574"/>
      <c r="R936" s="574"/>
      <c r="S936" s="574"/>
    </row>
    <row r="937" spans="1:19" ht="21.3">
      <c r="A937" s="665"/>
      <c r="B937" s="617"/>
      <c r="C937" s="1125" t="s">
        <v>278</v>
      </c>
      <c r="D937" s="1126"/>
      <c r="E937" s="637">
        <f t="shared" si="297"/>
        <v>0</v>
      </c>
      <c r="F937" s="619"/>
      <c r="G937" s="572"/>
      <c r="H937" s="580"/>
      <c r="I937" s="572"/>
      <c r="J937" s="580">
        <f t="shared" si="298"/>
        <v>0</v>
      </c>
      <c r="K937" s="631">
        <f t="shared" si="299"/>
        <v>0</v>
      </c>
      <c r="L937" s="2049"/>
      <c r="M937" s="574"/>
      <c r="N937" s="629">
        <f t="shared" si="296"/>
        <v>0</v>
      </c>
      <c r="O937" s="630">
        <v>0</v>
      </c>
      <c r="P937" s="624"/>
      <c r="Q937" s="574"/>
      <c r="R937" s="574"/>
      <c r="S937" s="574"/>
    </row>
    <row r="938" spans="1:19" ht="21.3">
      <c r="A938" s="665"/>
      <c r="B938" s="617" t="s">
        <v>279</v>
      </c>
      <c r="C938" s="1125" t="s">
        <v>280</v>
      </c>
      <c r="D938" s="1126"/>
      <c r="E938" s="637">
        <f t="shared" si="297"/>
        <v>0</v>
      </c>
      <c r="F938" s="625" t="s">
        <v>34</v>
      </c>
      <c r="G938" s="572">
        <v>256</v>
      </c>
      <c r="H938" s="580">
        <f t="shared" ref="H938" si="303">E938*G938</f>
        <v>0</v>
      </c>
      <c r="I938" s="572">
        <v>100</v>
      </c>
      <c r="J938" s="580">
        <f t="shared" si="298"/>
        <v>0</v>
      </c>
      <c r="K938" s="631">
        <f t="shared" si="299"/>
        <v>0</v>
      </c>
      <c r="L938" s="2049"/>
      <c r="M938" s="574"/>
      <c r="N938" s="667">
        <f t="shared" si="296"/>
        <v>0</v>
      </c>
      <c r="O938" s="636">
        <v>0</v>
      </c>
      <c r="P938" s="624"/>
      <c r="Q938" s="574"/>
      <c r="R938" s="574"/>
      <c r="S938" s="574"/>
    </row>
    <row r="939" spans="1:19" ht="21.3">
      <c r="A939" s="665"/>
      <c r="B939" s="617"/>
      <c r="C939" s="1125" t="s">
        <v>281</v>
      </c>
      <c r="D939" s="1126"/>
      <c r="E939" s="637">
        <f t="shared" si="297"/>
        <v>0</v>
      </c>
      <c r="F939" s="619"/>
      <c r="G939" s="572"/>
      <c r="H939" s="580"/>
      <c r="I939" s="572"/>
      <c r="J939" s="580">
        <f t="shared" si="298"/>
        <v>0</v>
      </c>
      <c r="K939" s="631">
        <f t="shared" si="299"/>
        <v>0</v>
      </c>
      <c r="L939" s="2049"/>
      <c r="M939" s="574"/>
      <c r="N939" s="629">
        <f t="shared" si="296"/>
        <v>0</v>
      </c>
      <c r="O939" s="630">
        <v>0</v>
      </c>
      <c r="P939" s="624"/>
      <c r="Q939" s="574"/>
      <c r="R939" s="574"/>
      <c r="S939" s="574"/>
    </row>
    <row r="940" spans="1:19" ht="21.3">
      <c r="A940" s="665"/>
      <c r="B940" s="617"/>
      <c r="C940" s="1125"/>
      <c r="D940" s="1126"/>
      <c r="E940" s="637"/>
      <c r="F940" s="619"/>
      <c r="G940" s="572"/>
      <c r="H940" s="580"/>
      <c r="I940" s="572"/>
      <c r="J940" s="580"/>
      <c r="K940" s="631"/>
      <c r="L940" s="2049"/>
      <c r="M940" s="574"/>
      <c r="N940" s="629"/>
      <c r="O940" s="630"/>
      <c r="P940" s="624"/>
      <c r="Q940" s="574"/>
      <c r="R940" s="574"/>
      <c r="S940" s="574"/>
    </row>
    <row r="941" spans="1:19" ht="21.3">
      <c r="A941" s="665"/>
      <c r="B941" s="617"/>
      <c r="C941" s="1125"/>
      <c r="D941" s="1126"/>
      <c r="E941" s="637"/>
      <c r="F941" s="619"/>
      <c r="G941" s="572"/>
      <c r="H941" s="580"/>
      <c r="I941" s="572"/>
      <c r="J941" s="580"/>
      <c r="K941" s="631"/>
      <c r="L941" s="2049"/>
      <c r="M941" s="574"/>
      <c r="N941" s="629"/>
      <c r="O941" s="630"/>
      <c r="P941" s="624"/>
      <c r="Q941" s="574"/>
      <c r="R941" s="574"/>
      <c r="S941" s="574"/>
    </row>
    <row r="942" spans="1:19" ht="21.3">
      <c r="A942" s="665"/>
      <c r="B942" s="617" t="s">
        <v>282</v>
      </c>
      <c r="C942" s="1125" t="s">
        <v>280</v>
      </c>
      <c r="D942" s="1126"/>
      <c r="E942" s="637">
        <f t="shared" si="297"/>
        <v>0</v>
      </c>
      <c r="F942" s="625" t="s">
        <v>34</v>
      </c>
      <c r="G942" s="572">
        <v>256</v>
      </c>
      <c r="H942" s="580">
        <f t="shared" ref="H942" si="304">E942*G942</f>
        <v>0</v>
      </c>
      <c r="I942" s="572">
        <v>100</v>
      </c>
      <c r="J942" s="580">
        <f t="shared" si="298"/>
        <v>0</v>
      </c>
      <c r="K942" s="631">
        <f t="shared" si="299"/>
        <v>0</v>
      </c>
      <c r="L942" s="2049"/>
      <c r="M942" s="574"/>
      <c r="N942" s="667">
        <f t="shared" si="296"/>
        <v>0</v>
      </c>
      <c r="O942" s="636">
        <v>0</v>
      </c>
      <c r="P942" s="637"/>
      <c r="Q942" s="574"/>
      <c r="R942" s="574"/>
      <c r="S942" s="574"/>
    </row>
    <row r="943" spans="1:19" ht="21.3">
      <c r="A943" s="665"/>
      <c r="B943" s="617"/>
      <c r="C943" s="1125" t="s">
        <v>281</v>
      </c>
      <c r="D943" s="1126"/>
      <c r="E943" s="637">
        <f t="shared" si="297"/>
        <v>0</v>
      </c>
      <c r="F943" s="619"/>
      <c r="G943" s="572"/>
      <c r="H943" s="580"/>
      <c r="I943" s="572"/>
      <c r="J943" s="580">
        <f t="shared" si="298"/>
        <v>0</v>
      </c>
      <c r="K943" s="631">
        <f t="shared" si="299"/>
        <v>0</v>
      </c>
      <c r="L943" s="1062"/>
      <c r="M943" s="574"/>
      <c r="N943" s="629">
        <f t="shared" si="296"/>
        <v>0</v>
      </c>
      <c r="O943" s="630">
        <v>0</v>
      </c>
      <c r="P943" s="624"/>
      <c r="Q943" s="574"/>
      <c r="R943" s="574"/>
      <c r="S943" s="574"/>
    </row>
    <row r="944" spans="1:19" ht="21.3">
      <c r="A944" s="665"/>
      <c r="B944" s="617"/>
      <c r="C944" s="1125" t="s">
        <v>283</v>
      </c>
      <c r="D944" s="1126"/>
      <c r="E944" s="637">
        <f t="shared" si="297"/>
        <v>0</v>
      </c>
      <c r="F944" s="625" t="s">
        <v>34</v>
      </c>
      <c r="G944" s="2048">
        <v>69</v>
      </c>
      <c r="H944" s="633">
        <f t="shared" ref="H944" si="305">SUM(E944*G944)</f>
        <v>0</v>
      </c>
      <c r="I944" s="2048">
        <v>28</v>
      </c>
      <c r="J944" s="580">
        <f t="shared" si="298"/>
        <v>0</v>
      </c>
      <c r="K944" s="631">
        <f t="shared" si="299"/>
        <v>0</v>
      </c>
      <c r="L944" s="2049"/>
      <c r="M944" s="574"/>
      <c r="N944" s="667">
        <f t="shared" si="296"/>
        <v>0</v>
      </c>
      <c r="O944" s="636">
        <v>0</v>
      </c>
      <c r="P944" s="637"/>
      <c r="Q944" s="574"/>
      <c r="R944" s="574"/>
      <c r="S944" s="574"/>
    </row>
    <row r="945" spans="1:19" ht="21.3">
      <c r="A945" s="665"/>
      <c r="B945" s="617" t="s">
        <v>284</v>
      </c>
      <c r="C945" s="1125" t="s">
        <v>280</v>
      </c>
      <c r="D945" s="1126"/>
      <c r="E945" s="637">
        <f t="shared" si="297"/>
        <v>0</v>
      </c>
      <c r="F945" s="625" t="s">
        <v>34</v>
      </c>
      <c r="G945" s="572">
        <v>592</v>
      </c>
      <c r="H945" s="580">
        <f t="shared" ref="H945" si="306">E945*G945</f>
        <v>0</v>
      </c>
      <c r="I945" s="572">
        <v>165</v>
      </c>
      <c r="J945" s="580">
        <f t="shared" si="298"/>
        <v>0</v>
      </c>
      <c r="K945" s="631">
        <f t="shared" si="299"/>
        <v>0</v>
      </c>
      <c r="L945" s="2049"/>
      <c r="M945" s="574"/>
      <c r="N945" s="667">
        <f t="shared" si="296"/>
        <v>0</v>
      </c>
      <c r="O945" s="636">
        <v>0</v>
      </c>
      <c r="P945" s="637"/>
      <c r="Q945" s="574"/>
      <c r="R945" s="574"/>
      <c r="S945" s="574"/>
    </row>
    <row r="946" spans="1:19" ht="21.3">
      <c r="A946" s="665"/>
      <c r="B946" s="617"/>
      <c r="C946" s="1125" t="s">
        <v>285</v>
      </c>
      <c r="D946" s="1126"/>
      <c r="E946" s="637">
        <f t="shared" si="297"/>
        <v>0</v>
      </c>
      <c r="F946" s="619"/>
      <c r="G946" s="572"/>
      <c r="H946" s="580"/>
      <c r="I946" s="572"/>
      <c r="J946" s="580">
        <f t="shared" si="298"/>
        <v>0</v>
      </c>
      <c r="K946" s="631">
        <f t="shared" si="299"/>
        <v>0</v>
      </c>
      <c r="L946" s="1062"/>
      <c r="M946" s="574"/>
      <c r="N946" s="629">
        <f t="shared" si="296"/>
        <v>0</v>
      </c>
      <c r="O946" s="630">
        <v>0</v>
      </c>
      <c r="P946" s="624"/>
      <c r="Q946" s="574"/>
      <c r="R946" s="574"/>
      <c r="S946" s="574"/>
    </row>
    <row r="947" spans="1:19" ht="21.3">
      <c r="A947" s="665"/>
      <c r="B947" s="617" t="s">
        <v>286</v>
      </c>
      <c r="C947" s="1125" t="s">
        <v>280</v>
      </c>
      <c r="D947" s="1126"/>
      <c r="E947" s="637">
        <f t="shared" si="297"/>
        <v>0</v>
      </c>
      <c r="F947" s="625" t="s">
        <v>34</v>
      </c>
      <c r="G947" s="572">
        <v>642</v>
      </c>
      <c r="H947" s="580">
        <f t="shared" ref="H947" si="307">E947*G947</f>
        <v>0</v>
      </c>
      <c r="I947" s="572">
        <v>183</v>
      </c>
      <c r="J947" s="580">
        <f t="shared" si="298"/>
        <v>0</v>
      </c>
      <c r="K947" s="631">
        <f t="shared" si="299"/>
        <v>0</v>
      </c>
      <c r="L947" s="2049"/>
      <c r="M947" s="574"/>
      <c r="N947" s="667">
        <f t="shared" si="296"/>
        <v>0</v>
      </c>
      <c r="O947" s="636">
        <v>0</v>
      </c>
      <c r="P947" s="637"/>
      <c r="Q947" s="574"/>
      <c r="R947" s="574"/>
      <c r="S947" s="574"/>
    </row>
    <row r="948" spans="1:19" ht="21.3">
      <c r="A948" s="665"/>
      <c r="B948" s="617"/>
      <c r="C948" s="1125" t="s">
        <v>287</v>
      </c>
      <c r="D948" s="1126"/>
      <c r="E948" s="637">
        <f t="shared" si="297"/>
        <v>0</v>
      </c>
      <c r="F948" s="619"/>
      <c r="G948" s="572"/>
      <c r="H948" s="580"/>
      <c r="I948" s="572"/>
      <c r="J948" s="580">
        <f t="shared" si="298"/>
        <v>0</v>
      </c>
      <c r="K948" s="631">
        <f t="shared" si="299"/>
        <v>0</v>
      </c>
      <c r="L948" s="1073"/>
      <c r="M948" s="574"/>
      <c r="N948" s="629">
        <f t="shared" si="296"/>
        <v>0</v>
      </c>
      <c r="O948" s="630">
        <v>0</v>
      </c>
      <c r="P948" s="624"/>
      <c r="Q948" s="574"/>
      <c r="R948" s="574"/>
      <c r="S948" s="574"/>
    </row>
    <row r="949" spans="1:19" ht="21.3">
      <c r="A949" s="665"/>
      <c r="B949" s="617"/>
      <c r="C949" s="1125" t="s">
        <v>288</v>
      </c>
      <c r="D949" s="1126"/>
      <c r="E949" s="637">
        <f t="shared" si="297"/>
        <v>0</v>
      </c>
      <c r="F949" s="619"/>
      <c r="G949" s="572"/>
      <c r="H949" s="580"/>
      <c r="I949" s="572"/>
      <c r="J949" s="580">
        <f t="shared" si="298"/>
        <v>0</v>
      </c>
      <c r="K949" s="631">
        <f t="shared" si="299"/>
        <v>0</v>
      </c>
      <c r="L949" s="1073"/>
      <c r="M949" s="574"/>
      <c r="N949" s="629">
        <f t="shared" si="296"/>
        <v>0</v>
      </c>
      <c r="O949" s="630">
        <v>0</v>
      </c>
      <c r="P949" s="624"/>
      <c r="Q949" s="574"/>
      <c r="R949" s="574"/>
      <c r="S949" s="574"/>
    </row>
    <row r="950" spans="1:19" ht="21.3">
      <c r="A950" s="665"/>
      <c r="B950" s="617" t="s">
        <v>289</v>
      </c>
      <c r="C950" s="1125" t="s">
        <v>280</v>
      </c>
      <c r="D950" s="1126"/>
      <c r="E950" s="637">
        <f t="shared" si="297"/>
        <v>0</v>
      </c>
      <c r="F950" s="625" t="s">
        <v>34</v>
      </c>
      <c r="G950" s="572">
        <v>520</v>
      </c>
      <c r="H950" s="580">
        <f t="shared" ref="H950" si="308">E950*G950</f>
        <v>0</v>
      </c>
      <c r="I950" s="572">
        <v>270</v>
      </c>
      <c r="J950" s="580">
        <f t="shared" si="298"/>
        <v>0</v>
      </c>
      <c r="K950" s="631">
        <f t="shared" si="299"/>
        <v>0</v>
      </c>
      <c r="L950" s="1074"/>
      <c r="M950" s="574"/>
      <c r="N950" s="667">
        <f t="shared" si="296"/>
        <v>0</v>
      </c>
      <c r="O950" s="636">
        <v>0</v>
      </c>
      <c r="P950" s="637"/>
      <c r="Q950" s="574"/>
      <c r="R950" s="574"/>
      <c r="S950" s="574"/>
    </row>
    <row r="951" spans="1:19" ht="21.3">
      <c r="A951" s="665"/>
      <c r="B951" s="617"/>
      <c r="C951" s="1125" t="s">
        <v>290</v>
      </c>
      <c r="D951" s="1126"/>
      <c r="E951" s="637">
        <f t="shared" si="297"/>
        <v>0</v>
      </c>
      <c r="F951" s="619"/>
      <c r="G951" s="572"/>
      <c r="H951" s="580"/>
      <c r="I951" s="572"/>
      <c r="J951" s="580">
        <f t="shared" si="298"/>
        <v>0</v>
      </c>
      <c r="K951" s="631">
        <f t="shared" si="299"/>
        <v>0</v>
      </c>
      <c r="L951" s="1073"/>
      <c r="M951" s="574"/>
      <c r="N951" s="629">
        <f t="shared" si="296"/>
        <v>0</v>
      </c>
      <c r="O951" s="630">
        <v>0</v>
      </c>
      <c r="P951" s="624"/>
      <c r="Q951" s="574"/>
      <c r="R951" s="574"/>
      <c r="S951" s="574"/>
    </row>
    <row r="952" spans="1:19" ht="21.3">
      <c r="A952" s="665"/>
      <c r="B952" s="617" t="s">
        <v>291</v>
      </c>
      <c r="C952" s="1125" t="s">
        <v>280</v>
      </c>
      <c r="D952" s="1126"/>
      <c r="E952" s="637">
        <f t="shared" si="297"/>
        <v>0</v>
      </c>
      <c r="F952" s="625" t="s">
        <v>34</v>
      </c>
      <c r="G952" s="572">
        <v>256</v>
      </c>
      <c r="H952" s="580">
        <f t="shared" ref="H952:H953" si="309">E952*G952</f>
        <v>0</v>
      </c>
      <c r="I952" s="572">
        <v>100</v>
      </c>
      <c r="J952" s="580">
        <f t="shared" si="298"/>
        <v>0</v>
      </c>
      <c r="K952" s="631">
        <f t="shared" si="299"/>
        <v>0</v>
      </c>
      <c r="L952" s="2049"/>
      <c r="M952" s="574"/>
      <c r="N952" s="667">
        <f t="shared" si="296"/>
        <v>0</v>
      </c>
      <c r="O952" s="636">
        <v>0</v>
      </c>
      <c r="P952" s="637"/>
      <c r="Q952" s="574"/>
      <c r="R952" s="574"/>
      <c r="S952" s="574"/>
    </row>
    <row r="953" spans="1:19" ht="21.3">
      <c r="A953" s="665"/>
      <c r="B953" s="617"/>
      <c r="C953" s="1125" t="s">
        <v>292</v>
      </c>
      <c r="D953" s="1126"/>
      <c r="E953" s="637">
        <f t="shared" si="297"/>
        <v>0</v>
      </c>
      <c r="F953" s="619"/>
      <c r="G953" s="572">
        <v>0</v>
      </c>
      <c r="H953" s="580">
        <f t="shared" si="309"/>
        <v>0</v>
      </c>
      <c r="I953" s="572">
        <v>0</v>
      </c>
      <c r="J953" s="580">
        <f t="shared" si="298"/>
        <v>0</v>
      </c>
      <c r="K953" s="631">
        <f t="shared" si="299"/>
        <v>0</v>
      </c>
      <c r="L953" s="1073"/>
      <c r="M953" s="574"/>
      <c r="N953" s="629">
        <f t="shared" si="296"/>
        <v>0</v>
      </c>
      <c r="O953" s="630">
        <v>0</v>
      </c>
      <c r="P953" s="624"/>
      <c r="Q953" s="574"/>
      <c r="R953" s="574"/>
      <c r="S953" s="574"/>
    </row>
    <row r="954" spans="1:19" ht="21.3">
      <c r="A954" s="665"/>
      <c r="B954" s="617"/>
      <c r="C954" s="1125" t="s">
        <v>293</v>
      </c>
      <c r="D954" s="1126"/>
      <c r="E954" s="637">
        <f t="shared" si="297"/>
        <v>0</v>
      </c>
      <c r="F954" s="625" t="s">
        <v>34</v>
      </c>
      <c r="G954" s="666">
        <v>520</v>
      </c>
      <c r="H954" s="580"/>
      <c r="I954" s="666">
        <v>30</v>
      </c>
      <c r="J954" s="580">
        <f t="shared" si="298"/>
        <v>0</v>
      </c>
      <c r="K954" s="631">
        <f t="shared" si="299"/>
        <v>0</v>
      </c>
      <c r="L954" s="1073"/>
      <c r="M954" s="574"/>
      <c r="N954" s="629">
        <f t="shared" si="296"/>
        <v>0</v>
      </c>
      <c r="O954" s="630">
        <v>0</v>
      </c>
      <c r="P954" s="624"/>
      <c r="Q954" s="574"/>
      <c r="R954" s="574"/>
      <c r="S954" s="574"/>
    </row>
    <row r="955" spans="1:19" ht="21.3">
      <c r="A955" s="665"/>
      <c r="B955" s="617" t="s">
        <v>294</v>
      </c>
      <c r="C955" s="1125" t="s">
        <v>295</v>
      </c>
      <c r="D955" s="1126"/>
      <c r="E955" s="637">
        <f t="shared" si="297"/>
        <v>0</v>
      </c>
      <c r="F955" s="625" t="s">
        <v>34</v>
      </c>
      <c r="G955" s="666">
        <v>91</v>
      </c>
      <c r="H955" s="633">
        <f>SUM(E955*G955)</f>
        <v>0</v>
      </c>
      <c r="I955" s="666">
        <v>100</v>
      </c>
      <c r="J955" s="580">
        <f t="shared" si="298"/>
        <v>0</v>
      </c>
      <c r="K955" s="631">
        <f t="shared" si="299"/>
        <v>0</v>
      </c>
      <c r="L955" s="1062"/>
      <c r="M955" s="574"/>
      <c r="N955" s="667">
        <f t="shared" si="296"/>
        <v>0</v>
      </c>
      <c r="O955" s="636">
        <v>0</v>
      </c>
      <c r="P955" s="637"/>
      <c r="Q955" s="574"/>
      <c r="R955" s="574"/>
      <c r="S955" s="574"/>
    </row>
    <row r="956" spans="1:19" ht="21.3">
      <c r="A956" s="665"/>
      <c r="B956" s="617" t="s">
        <v>296</v>
      </c>
      <c r="C956" s="1125" t="s">
        <v>297</v>
      </c>
      <c r="D956" s="1126"/>
      <c r="E956" s="637">
        <f t="shared" si="297"/>
        <v>0</v>
      </c>
      <c r="F956" s="625" t="s">
        <v>34</v>
      </c>
      <c r="G956" s="666">
        <v>294</v>
      </c>
      <c r="H956" s="633">
        <f t="shared" ref="H956:H963" si="310">SUM(E956*G956)</f>
        <v>0</v>
      </c>
      <c r="I956" s="666">
        <v>189</v>
      </c>
      <c r="J956" s="580">
        <f t="shared" si="298"/>
        <v>0</v>
      </c>
      <c r="K956" s="631">
        <f t="shared" si="299"/>
        <v>0</v>
      </c>
      <c r="L956" s="1073"/>
      <c r="M956" s="574"/>
      <c r="N956" s="667">
        <f t="shared" si="296"/>
        <v>0</v>
      </c>
      <c r="O956" s="636">
        <v>0</v>
      </c>
      <c r="P956" s="637"/>
      <c r="Q956" s="574"/>
      <c r="R956" s="574"/>
      <c r="S956" s="574"/>
    </row>
    <row r="957" spans="1:19" ht="21.3">
      <c r="A957" s="665"/>
      <c r="B957" s="617" t="s">
        <v>298</v>
      </c>
      <c r="C957" s="1125" t="s">
        <v>299</v>
      </c>
      <c r="D957" s="1126"/>
      <c r="E957" s="637"/>
      <c r="F957" s="625" t="s">
        <v>34</v>
      </c>
      <c r="G957" s="666">
        <v>608</v>
      </c>
      <c r="H957" s="633">
        <f t="shared" si="310"/>
        <v>0</v>
      </c>
      <c r="I957" s="666">
        <v>189</v>
      </c>
      <c r="J957" s="580">
        <f t="shared" si="298"/>
        <v>0</v>
      </c>
      <c r="K957" s="631">
        <f t="shared" si="299"/>
        <v>0</v>
      </c>
      <c r="L957" s="1073"/>
      <c r="M957" s="574"/>
      <c r="N957" s="667">
        <f t="shared" si="296"/>
        <v>681.28</v>
      </c>
      <c r="O957" s="636">
        <v>0</v>
      </c>
      <c r="P957" s="637">
        <v>681.28</v>
      </c>
      <c r="Q957" s="574"/>
      <c r="R957" s="574"/>
      <c r="S957" s="574"/>
    </row>
    <row r="958" spans="1:19" ht="21.3">
      <c r="A958" s="665"/>
      <c r="B958" s="623" t="s">
        <v>2549</v>
      </c>
      <c r="C958" s="1125" t="s">
        <v>299</v>
      </c>
      <c r="D958" s="1126"/>
      <c r="E958" s="637">
        <f t="shared" si="297"/>
        <v>681.28</v>
      </c>
      <c r="F958" s="625" t="s">
        <v>34</v>
      </c>
      <c r="G958" s="666">
        <v>399</v>
      </c>
      <c r="H958" s="633">
        <f t="shared" si="310"/>
        <v>271830.71999999997</v>
      </c>
      <c r="I958" s="666">
        <v>189</v>
      </c>
      <c r="J958" s="580">
        <f t="shared" si="298"/>
        <v>128761.92</v>
      </c>
      <c r="K958" s="631">
        <f t="shared" si="299"/>
        <v>400592.63999999996</v>
      </c>
      <c r="L958" s="1073"/>
      <c r="M958" s="574"/>
      <c r="N958" s="667">
        <f t="shared" si="296"/>
        <v>681.28</v>
      </c>
      <c r="O958" s="636">
        <v>0</v>
      </c>
      <c r="P958" s="637">
        <v>681.28</v>
      </c>
      <c r="Q958" s="574"/>
      <c r="R958" s="574"/>
      <c r="S958" s="574"/>
    </row>
    <row r="959" spans="1:19" ht="21.3">
      <c r="A959" s="665"/>
      <c r="B959" s="617" t="s">
        <v>300</v>
      </c>
      <c r="C959" s="1125" t="s">
        <v>301</v>
      </c>
      <c r="D959" s="1126"/>
      <c r="E959" s="637">
        <f t="shared" si="297"/>
        <v>0</v>
      </c>
      <c r="F959" s="625" t="s">
        <v>34</v>
      </c>
      <c r="G959" s="666">
        <v>88</v>
      </c>
      <c r="H959" s="633">
        <f t="shared" si="310"/>
        <v>0</v>
      </c>
      <c r="I959" s="666">
        <v>82</v>
      </c>
      <c r="J959" s="580">
        <f t="shared" si="298"/>
        <v>0</v>
      </c>
      <c r="K959" s="631">
        <f t="shared" si="299"/>
        <v>0</v>
      </c>
      <c r="L959" s="1062"/>
      <c r="M959" s="574"/>
      <c r="N959" s="667">
        <f t="shared" si="296"/>
        <v>0</v>
      </c>
      <c r="O959" s="636">
        <v>0</v>
      </c>
      <c r="P959" s="637"/>
      <c r="Q959" s="574"/>
      <c r="R959" s="574"/>
      <c r="S959" s="574"/>
    </row>
    <row r="960" spans="1:19" ht="21.3">
      <c r="A960" s="665"/>
      <c r="B960" s="617"/>
      <c r="C960" s="1125" t="s">
        <v>302</v>
      </c>
      <c r="D960" s="1126"/>
      <c r="E960" s="637">
        <f t="shared" si="297"/>
        <v>0</v>
      </c>
      <c r="F960" s="625" t="s">
        <v>34</v>
      </c>
      <c r="G960" s="2048">
        <v>69</v>
      </c>
      <c r="H960" s="633">
        <f t="shared" si="310"/>
        <v>0</v>
      </c>
      <c r="I960" s="2048">
        <v>28</v>
      </c>
      <c r="J960" s="580">
        <f t="shared" si="298"/>
        <v>0</v>
      </c>
      <c r="K960" s="631">
        <f t="shared" si="299"/>
        <v>0</v>
      </c>
      <c r="L960" s="1062"/>
      <c r="M960" s="574"/>
      <c r="N960" s="667">
        <f t="shared" si="296"/>
        <v>0</v>
      </c>
      <c r="O960" s="636">
        <v>0</v>
      </c>
      <c r="P960" s="637"/>
      <c r="Q960" s="574"/>
      <c r="R960" s="574"/>
      <c r="S960" s="574"/>
    </row>
    <row r="961" spans="1:19" ht="21.3">
      <c r="A961" s="665"/>
      <c r="B961" s="617" t="s">
        <v>303</v>
      </c>
      <c r="C961" s="1125" t="s">
        <v>304</v>
      </c>
      <c r="D961" s="1126"/>
      <c r="E961" s="637"/>
      <c r="F961" s="625" t="s">
        <v>34</v>
      </c>
      <c r="G961" s="666">
        <v>870</v>
      </c>
      <c r="H961" s="633">
        <f t="shared" si="310"/>
        <v>0</v>
      </c>
      <c r="I961" s="666">
        <v>242</v>
      </c>
      <c r="J961" s="580">
        <f t="shared" si="298"/>
        <v>0</v>
      </c>
      <c r="K961" s="631">
        <f t="shared" si="299"/>
        <v>0</v>
      </c>
      <c r="L961" s="1073"/>
      <c r="M961" s="574"/>
      <c r="N961" s="667">
        <f t="shared" si="296"/>
        <v>156.39999999999998</v>
      </c>
      <c r="O961" s="636">
        <v>0</v>
      </c>
      <c r="P961" s="637">
        <v>156.39999999999998</v>
      </c>
      <c r="Q961" s="574"/>
      <c r="R961" s="574"/>
      <c r="S961" s="574"/>
    </row>
    <row r="962" spans="1:19" ht="21.3">
      <c r="A962" s="665"/>
      <c r="B962" s="617"/>
      <c r="C962" s="1125" t="s">
        <v>305</v>
      </c>
      <c r="D962" s="1126"/>
      <c r="E962" s="637">
        <f t="shared" ref="E962" si="311">+N962</f>
        <v>0</v>
      </c>
      <c r="F962" s="619"/>
      <c r="G962" s="572"/>
      <c r="H962" s="580"/>
      <c r="I962" s="572"/>
      <c r="J962" s="580">
        <f t="shared" si="298"/>
        <v>0</v>
      </c>
      <c r="K962" s="631">
        <f t="shared" si="299"/>
        <v>0</v>
      </c>
      <c r="L962" s="1073"/>
      <c r="M962" s="574"/>
      <c r="N962" s="629">
        <f t="shared" si="296"/>
        <v>0</v>
      </c>
      <c r="O962" s="630">
        <v>0</v>
      </c>
      <c r="P962" s="624"/>
      <c r="Q962" s="574"/>
      <c r="R962" s="574"/>
      <c r="S962" s="574"/>
    </row>
    <row r="963" spans="1:19" ht="21.3">
      <c r="A963" s="665"/>
      <c r="B963" s="623" t="s">
        <v>2550</v>
      </c>
      <c r="C963" s="1125" t="s">
        <v>304</v>
      </c>
      <c r="D963" s="1126"/>
      <c r="E963" s="637">
        <f t="shared" si="297"/>
        <v>156.39999999999998</v>
      </c>
      <c r="F963" s="625" t="s">
        <v>34</v>
      </c>
      <c r="G963" s="666">
        <v>765</v>
      </c>
      <c r="H963" s="633">
        <f t="shared" si="310"/>
        <v>119645.99999999999</v>
      </c>
      <c r="I963" s="666">
        <v>242</v>
      </c>
      <c r="J963" s="580">
        <f t="shared" si="298"/>
        <v>37848.799999999996</v>
      </c>
      <c r="K963" s="631">
        <f t="shared" si="299"/>
        <v>157494.79999999999</v>
      </c>
      <c r="L963" s="1073"/>
      <c r="M963" s="574"/>
      <c r="N963" s="667">
        <f t="shared" si="296"/>
        <v>156.39999999999998</v>
      </c>
      <c r="O963" s="636">
        <v>0</v>
      </c>
      <c r="P963" s="637">
        <v>156.39999999999998</v>
      </c>
      <c r="Q963" s="574"/>
      <c r="R963" s="574"/>
      <c r="S963" s="574"/>
    </row>
    <row r="964" spans="1:19" ht="21.3">
      <c r="A964" s="665"/>
      <c r="B964" s="617"/>
      <c r="C964" s="1125" t="s">
        <v>305</v>
      </c>
      <c r="D964" s="1126"/>
      <c r="E964" s="637">
        <f t="shared" si="297"/>
        <v>0</v>
      </c>
      <c r="F964" s="619"/>
      <c r="G964" s="572"/>
      <c r="H964" s="580"/>
      <c r="I964" s="572"/>
      <c r="J964" s="580">
        <f t="shared" si="298"/>
        <v>0</v>
      </c>
      <c r="K964" s="631">
        <f t="shared" si="299"/>
        <v>0</v>
      </c>
      <c r="L964" s="1073"/>
      <c r="M964" s="574"/>
      <c r="N964" s="629">
        <f t="shared" si="296"/>
        <v>0</v>
      </c>
      <c r="O964" s="630">
        <v>0</v>
      </c>
      <c r="P964" s="624"/>
      <c r="Q964" s="574"/>
      <c r="R964" s="574"/>
      <c r="S964" s="574"/>
    </row>
    <row r="965" spans="1:19" ht="21.3">
      <c r="A965" s="665"/>
      <c r="B965" s="617" t="s">
        <v>306</v>
      </c>
      <c r="C965" s="1125" t="s">
        <v>307</v>
      </c>
      <c r="D965" s="1126"/>
      <c r="E965" s="637">
        <f t="shared" si="297"/>
        <v>0</v>
      </c>
      <c r="F965" s="625" t="s">
        <v>34</v>
      </c>
      <c r="G965" s="666"/>
      <c r="H965" s="633">
        <v>0</v>
      </c>
      <c r="I965" s="666"/>
      <c r="J965" s="580">
        <f t="shared" si="298"/>
        <v>0</v>
      </c>
      <c r="K965" s="631">
        <f t="shared" si="299"/>
        <v>0</v>
      </c>
      <c r="L965" s="1073"/>
      <c r="M965" s="574"/>
      <c r="N965" s="667">
        <f t="shared" si="296"/>
        <v>0</v>
      </c>
      <c r="O965" s="636">
        <v>0</v>
      </c>
      <c r="P965" s="637"/>
      <c r="Q965" s="574"/>
      <c r="R965" s="574"/>
      <c r="S965" s="574"/>
    </row>
    <row r="966" spans="1:19" ht="21.3">
      <c r="A966" s="665"/>
      <c r="B966" s="617" t="s">
        <v>308</v>
      </c>
      <c r="C966" s="617" t="s">
        <v>309</v>
      </c>
      <c r="D966" s="617"/>
      <c r="E966" s="637">
        <f t="shared" si="297"/>
        <v>0</v>
      </c>
      <c r="F966" s="625" t="s">
        <v>34</v>
      </c>
      <c r="G966" s="666">
        <v>1296</v>
      </c>
      <c r="H966" s="633">
        <f t="shared" ref="H966:H977" si="312">SUM(E966*G966)</f>
        <v>0</v>
      </c>
      <c r="I966" s="666">
        <v>1600</v>
      </c>
      <c r="J966" s="580">
        <f t="shared" si="298"/>
        <v>0</v>
      </c>
      <c r="K966" s="631">
        <f t="shared" si="299"/>
        <v>0</v>
      </c>
      <c r="L966" s="1073"/>
      <c r="M966" s="574"/>
      <c r="N966" s="667">
        <f t="shared" si="296"/>
        <v>0</v>
      </c>
      <c r="O966" s="636">
        <v>0</v>
      </c>
      <c r="P966" s="637"/>
      <c r="Q966" s="574"/>
      <c r="R966" s="574"/>
      <c r="S966" s="574"/>
    </row>
    <row r="967" spans="1:19" ht="21.3">
      <c r="A967" s="665"/>
      <c r="B967" s="617"/>
      <c r="C967" s="617" t="s">
        <v>310</v>
      </c>
      <c r="D967" s="617"/>
      <c r="E967" s="637">
        <f t="shared" si="297"/>
        <v>0</v>
      </c>
      <c r="F967" s="619"/>
      <c r="G967" s="666"/>
      <c r="H967" s="633">
        <f t="shared" si="312"/>
        <v>0</v>
      </c>
      <c r="I967" s="666"/>
      <c r="J967" s="580">
        <f t="shared" si="298"/>
        <v>0</v>
      </c>
      <c r="K967" s="631">
        <f t="shared" si="299"/>
        <v>0</v>
      </c>
      <c r="L967" s="1073"/>
      <c r="M967" s="574"/>
      <c r="N967" s="629">
        <f t="shared" si="296"/>
        <v>0</v>
      </c>
      <c r="O967" s="630">
        <v>0</v>
      </c>
      <c r="P967" s="624"/>
      <c r="Q967" s="574"/>
      <c r="R967" s="574"/>
      <c r="S967" s="574"/>
    </row>
    <row r="968" spans="1:19" ht="21.3">
      <c r="A968" s="665"/>
      <c r="B968" s="617" t="s">
        <v>311</v>
      </c>
      <c r="C968" s="1125" t="s">
        <v>312</v>
      </c>
      <c r="D968" s="1126"/>
      <c r="E968" s="637">
        <f t="shared" si="297"/>
        <v>0</v>
      </c>
      <c r="F968" s="625" t="s">
        <v>34</v>
      </c>
      <c r="G968" s="666"/>
      <c r="H968" s="633">
        <f t="shared" si="312"/>
        <v>0</v>
      </c>
      <c r="I968" s="666"/>
      <c r="J968" s="580">
        <f t="shared" si="298"/>
        <v>0</v>
      </c>
      <c r="K968" s="631">
        <f t="shared" si="299"/>
        <v>0</v>
      </c>
      <c r="L968" s="1073"/>
      <c r="M968" s="574"/>
      <c r="N968" s="667">
        <f t="shared" si="296"/>
        <v>0</v>
      </c>
      <c r="O968" s="636">
        <v>0</v>
      </c>
      <c r="P968" s="637"/>
      <c r="Q968" s="574"/>
      <c r="R968" s="574"/>
      <c r="S968" s="574"/>
    </row>
    <row r="969" spans="1:19" ht="21.3">
      <c r="A969" s="665"/>
      <c r="B969" s="617" t="s">
        <v>313</v>
      </c>
      <c r="C969" s="1125" t="s">
        <v>314</v>
      </c>
      <c r="D969" s="1126"/>
      <c r="E969" s="637">
        <f t="shared" si="297"/>
        <v>0</v>
      </c>
      <c r="F969" s="625" t="s">
        <v>34</v>
      </c>
      <c r="G969" s="666"/>
      <c r="H969" s="633">
        <f t="shared" si="312"/>
        <v>0</v>
      </c>
      <c r="I969" s="666"/>
      <c r="J969" s="580">
        <f t="shared" si="298"/>
        <v>0</v>
      </c>
      <c r="K969" s="631">
        <f t="shared" si="299"/>
        <v>0</v>
      </c>
      <c r="L969" s="1073"/>
      <c r="M969" s="574"/>
      <c r="N969" s="667">
        <f t="shared" si="296"/>
        <v>0</v>
      </c>
      <c r="O969" s="636">
        <v>0</v>
      </c>
      <c r="P969" s="637"/>
      <c r="Q969" s="574"/>
      <c r="R969" s="574"/>
      <c r="S969" s="574"/>
    </row>
    <row r="970" spans="1:19" ht="21.3">
      <c r="A970" s="665"/>
      <c r="B970" s="617" t="s">
        <v>315</v>
      </c>
      <c r="C970" s="1125" t="s">
        <v>316</v>
      </c>
      <c r="D970" s="1126"/>
      <c r="E970" s="637">
        <f t="shared" si="297"/>
        <v>0</v>
      </c>
      <c r="F970" s="625" t="s">
        <v>34</v>
      </c>
      <c r="G970" s="572">
        <v>15000</v>
      </c>
      <c r="H970" s="580">
        <f t="shared" si="312"/>
        <v>0</v>
      </c>
      <c r="I970" s="572">
        <v>500</v>
      </c>
      <c r="J970" s="580">
        <f t="shared" si="298"/>
        <v>0</v>
      </c>
      <c r="K970" s="631">
        <f t="shared" si="299"/>
        <v>0</v>
      </c>
      <c r="L970" s="1061"/>
      <c r="M970" s="574"/>
      <c r="N970" s="667">
        <f t="shared" si="296"/>
        <v>0</v>
      </c>
      <c r="O970" s="636">
        <v>0</v>
      </c>
      <c r="P970" s="637"/>
      <c r="Q970" s="574"/>
      <c r="R970" s="574"/>
      <c r="S970" s="574"/>
    </row>
    <row r="971" spans="1:19" ht="21.3">
      <c r="A971" s="665"/>
      <c r="B971" s="617" t="s">
        <v>317</v>
      </c>
      <c r="C971" s="1125" t="s">
        <v>318</v>
      </c>
      <c r="D971" s="1126"/>
      <c r="E971" s="637">
        <f t="shared" si="297"/>
        <v>584.00399999999991</v>
      </c>
      <c r="F971" s="625" t="s">
        <v>34</v>
      </c>
      <c r="G971" s="666">
        <v>88</v>
      </c>
      <c r="H971" s="633">
        <f t="shared" si="312"/>
        <v>51392.351999999992</v>
      </c>
      <c r="I971" s="666">
        <v>82</v>
      </c>
      <c r="J971" s="580">
        <f t="shared" si="298"/>
        <v>47888.327999999994</v>
      </c>
      <c r="K971" s="631">
        <f t="shared" si="299"/>
        <v>99280.68</v>
      </c>
      <c r="L971" s="1062"/>
      <c r="M971" s="574"/>
      <c r="N971" s="667">
        <f t="shared" si="296"/>
        <v>584.00399999999991</v>
      </c>
      <c r="O971" s="636">
        <v>0</v>
      </c>
      <c r="P971" s="637">
        <v>584.00399999999991</v>
      </c>
      <c r="Q971" s="574"/>
      <c r="R971" s="574"/>
      <c r="S971" s="574"/>
    </row>
    <row r="972" spans="1:19" ht="21.3">
      <c r="A972" s="665"/>
      <c r="B972" s="617" t="s">
        <v>319</v>
      </c>
      <c r="C972" s="1125" t="s">
        <v>320</v>
      </c>
      <c r="D972" s="1126"/>
      <c r="E972" s="637">
        <f t="shared" si="297"/>
        <v>0</v>
      </c>
      <c r="F972" s="625" t="s">
        <v>34</v>
      </c>
      <c r="G972" s="666">
        <v>1955</v>
      </c>
      <c r="H972" s="633">
        <f t="shared" si="312"/>
        <v>0</v>
      </c>
      <c r="I972" s="666">
        <v>1700</v>
      </c>
      <c r="J972" s="580">
        <f t="shared" si="298"/>
        <v>0</v>
      </c>
      <c r="K972" s="631">
        <f t="shared" si="299"/>
        <v>0</v>
      </c>
      <c r="L972" s="1073"/>
      <c r="M972" s="574"/>
      <c r="N972" s="667">
        <f t="shared" si="296"/>
        <v>0</v>
      </c>
      <c r="O972" s="636">
        <v>0</v>
      </c>
      <c r="P972" s="637"/>
      <c r="Q972" s="574"/>
      <c r="R972" s="574"/>
      <c r="S972" s="574"/>
    </row>
    <row r="973" spans="1:19" ht="21.3">
      <c r="A973" s="665"/>
      <c r="B973" s="617"/>
      <c r="C973" s="1125" t="s">
        <v>321</v>
      </c>
      <c r="D973" s="1126"/>
      <c r="E973" s="637">
        <f t="shared" si="297"/>
        <v>0</v>
      </c>
      <c r="F973" s="625" t="s">
        <v>34</v>
      </c>
      <c r="G973" s="666">
        <v>0</v>
      </c>
      <c r="H973" s="633">
        <f t="shared" si="312"/>
        <v>0</v>
      </c>
      <c r="I973" s="666">
        <v>0</v>
      </c>
      <c r="J973" s="580">
        <f t="shared" si="298"/>
        <v>0</v>
      </c>
      <c r="K973" s="631">
        <f t="shared" si="299"/>
        <v>0</v>
      </c>
      <c r="L973" s="1073"/>
      <c r="M973" s="574"/>
      <c r="N973" s="667">
        <f t="shared" si="296"/>
        <v>0</v>
      </c>
      <c r="O973" s="636">
        <v>0</v>
      </c>
      <c r="P973" s="637"/>
      <c r="Q973" s="574"/>
      <c r="R973" s="574"/>
      <c r="S973" s="574"/>
    </row>
    <row r="974" spans="1:19" ht="21.3">
      <c r="A974" s="665"/>
      <c r="B974" s="617" t="s">
        <v>322</v>
      </c>
      <c r="C974" s="1125" t="s">
        <v>323</v>
      </c>
      <c r="D974" s="1126"/>
      <c r="E974" s="637">
        <f t="shared" si="297"/>
        <v>0</v>
      </c>
      <c r="F974" s="625" t="s">
        <v>34</v>
      </c>
      <c r="G974" s="666">
        <v>1296</v>
      </c>
      <c r="H974" s="633">
        <f t="shared" si="312"/>
        <v>0</v>
      </c>
      <c r="I974" s="666">
        <v>1600</v>
      </c>
      <c r="J974" s="580">
        <f t="shared" si="298"/>
        <v>0</v>
      </c>
      <c r="K974" s="631">
        <f t="shared" si="299"/>
        <v>0</v>
      </c>
      <c r="L974" s="1073"/>
      <c r="M974" s="574"/>
      <c r="N974" s="667">
        <f t="shared" si="296"/>
        <v>0</v>
      </c>
      <c r="O974" s="636">
        <v>0</v>
      </c>
      <c r="P974" s="637"/>
      <c r="Q974" s="574"/>
      <c r="R974" s="574"/>
      <c r="S974" s="574"/>
    </row>
    <row r="975" spans="1:19" ht="21.3">
      <c r="A975" s="665"/>
      <c r="B975" s="617" t="s">
        <v>324</v>
      </c>
      <c r="C975" s="1125" t="s">
        <v>325</v>
      </c>
      <c r="D975" s="1126"/>
      <c r="E975" s="637">
        <f t="shared" si="297"/>
        <v>0</v>
      </c>
      <c r="F975" s="625" t="s">
        <v>34</v>
      </c>
      <c r="G975" s="2048">
        <f>13+69</f>
        <v>82</v>
      </c>
      <c r="H975" s="633">
        <f t="shared" si="312"/>
        <v>0</v>
      </c>
      <c r="I975" s="2048">
        <f>30+28</f>
        <v>58</v>
      </c>
      <c r="J975" s="580">
        <f t="shared" si="298"/>
        <v>0</v>
      </c>
      <c r="K975" s="631">
        <f t="shared" si="299"/>
        <v>0</v>
      </c>
      <c r="L975" s="2049"/>
      <c r="M975" s="574"/>
      <c r="N975" s="667">
        <f t="shared" si="296"/>
        <v>0</v>
      </c>
      <c r="O975" s="636">
        <v>0</v>
      </c>
      <c r="P975" s="637"/>
      <c r="Q975" s="574"/>
      <c r="R975" s="574"/>
      <c r="S975" s="574"/>
    </row>
    <row r="976" spans="1:19" ht="21.3">
      <c r="A976" s="665"/>
      <c r="B976" s="617" t="s">
        <v>326</v>
      </c>
      <c r="C976" s="1125" t="s">
        <v>327</v>
      </c>
      <c r="D976" s="1126"/>
      <c r="E976" s="637">
        <f t="shared" si="297"/>
        <v>0</v>
      </c>
      <c r="F976" s="625" t="s">
        <v>34</v>
      </c>
      <c r="G976" s="666"/>
      <c r="H976" s="633">
        <f t="shared" si="312"/>
        <v>0</v>
      </c>
      <c r="I976" s="666"/>
      <c r="J976" s="580">
        <f t="shared" si="298"/>
        <v>0</v>
      </c>
      <c r="K976" s="631">
        <f t="shared" si="299"/>
        <v>0</v>
      </c>
      <c r="L976" s="1073"/>
      <c r="M976" s="574"/>
      <c r="N976" s="667">
        <f t="shared" si="296"/>
        <v>0</v>
      </c>
      <c r="O976" s="636">
        <v>0</v>
      </c>
      <c r="P976" s="637"/>
      <c r="Q976" s="574"/>
      <c r="R976" s="574"/>
      <c r="S976" s="574"/>
    </row>
    <row r="977" spans="1:19" ht="21.3">
      <c r="A977" s="665"/>
      <c r="B977" s="617" t="s">
        <v>328</v>
      </c>
      <c r="C977" s="617" t="s">
        <v>329</v>
      </c>
      <c r="D977" s="1126"/>
      <c r="E977" s="637">
        <f t="shared" si="297"/>
        <v>0</v>
      </c>
      <c r="F977" s="625" t="s">
        <v>34</v>
      </c>
      <c r="G977" s="666"/>
      <c r="H977" s="633">
        <f t="shared" si="312"/>
        <v>0</v>
      </c>
      <c r="I977" s="666"/>
      <c r="J977" s="580">
        <f t="shared" si="298"/>
        <v>0</v>
      </c>
      <c r="K977" s="631">
        <f t="shared" si="299"/>
        <v>0</v>
      </c>
      <c r="L977" s="1073"/>
      <c r="M977" s="574"/>
      <c r="N977" s="667">
        <f t="shared" si="296"/>
        <v>0</v>
      </c>
      <c r="O977" s="636">
        <v>0</v>
      </c>
      <c r="P977" s="637"/>
      <c r="Q977" s="574"/>
      <c r="R977" s="574"/>
      <c r="S977" s="574"/>
    </row>
    <row r="978" spans="1:19" ht="21.3">
      <c r="A978" s="665"/>
      <c r="B978" s="617"/>
      <c r="C978" s="617" t="s">
        <v>330</v>
      </c>
      <c r="D978" s="1129"/>
      <c r="E978" s="637"/>
      <c r="F978" s="625"/>
      <c r="G978" s="642"/>
      <c r="H978" s="668"/>
      <c r="I978" s="642"/>
      <c r="J978" s="580">
        <f t="shared" si="298"/>
        <v>0</v>
      </c>
      <c r="K978" s="631">
        <f t="shared" si="299"/>
        <v>0</v>
      </c>
      <c r="L978" s="1065"/>
      <c r="M978" s="574"/>
      <c r="N978" s="669">
        <f t="shared" si="296"/>
        <v>0</v>
      </c>
      <c r="O978" s="636">
        <v>0</v>
      </c>
      <c r="P978" s="637"/>
      <c r="Q978" s="574"/>
      <c r="R978" s="574"/>
      <c r="S978" s="574"/>
    </row>
    <row r="979" spans="1:19" ht="21.3">
      <c r="A979" s="665"/>
      <c r="B979" s="617"/>
      <c r="C979" s="1127" t="s">
        <v>1043</v>
      </c>
      <c r="D979" s="1126"/>
      <c r="E979" s="637">
        <f t="shared" ref="E979" si="313">+N979</f>
        <v>0</v>
      </c>
      <c r="F979" s="625" t="s">
        <v>34</v>
      </c>
      <c r="G979" s="2048">
        <v>69</v>
      </c>
      <c r="H979" s="633">
        <f t="shared" ref="H979" si="314">SUM(E979*G979)</f>
        <v>0</v>
      </c>
      <c r="I979" s="2048">
        <v>28</v>
      </c>
      <c r="J979" s="580">
        <f t="shared" si="298"/>
        <v>0</v>
      </c>
      <c r="K979" s="631">
        <f t="shared" si="299"/>
        <v>0</v>
      </c>
      <c r="L979" s="2049"/>
      <c r="M979" s="574"/>
      <c r="N979" s="667">
        <f t="shared" si="296"/>
        <v>0</v>
      </c>
      <c r="O979" s="636">
        <v>0</v>
      </c>
      <c r="P979" s="637"/>
      <c r="Q979" s="574"/>
      <c r="R979" s="574"/>
      <c r="S979" s="574"/>
    </row>
    <row r="980" spans="1:19" ht="21.3">
      <c r="A980" s="665"/>
      <c r="B980" s="1114"/>
      <c r="C980" s="617"/>
      <c r="D980" s="1129"/>
      <c r="E980" s="637"/>
      <c r="F980" s="625"/>
      <c r="G980" s="642"/>
      <c r="H980" s="668"/>
      <c r="I980" s="642"/>
      <c r="J980" s="580">
        <f t="shared" si="298"/>
        <v>0</v>
      </c>
      <c r="K980" s="631">
        <f t="shared" si="299"/>
        <v>0</v>
      </c>
      <c r="L980" s="1061"/>
      <c r="M980" s="574"/>
      <c r="N980" s="669">
        <f t="shared" si="296"/>
        <v>0</v>
      </c>
      <c r="O980" s="636">
        <v>0</v>
      </c>
      <c r="P980" s="637"/>
      <c r="Q980" s="574"/>
      <c r="R980" s="574"/>
      <c r="S980" s="574"/>
    </row>
    <row r="981" spans="1:19" ht="21.3">
      <c r="A981" s="665" t="s">
        <v>345</v>
      </c>
      <c r="B981" s="1114" t="s">
        <v>346</v>
      </c>
      <c r="C981" s="617"/>
      <c r="D981" s="1129"/>
      <c r="E981" s="624"/>
      <c r="F981" s="625"/>
      <c r="G981" s="642"/>
      <c r="H981" s="668"/>
      <c r="I981" s="642"/>
      <c r="J981" s="580">
        <f t="shared" si="298"/>
        <v>0</v>
      </c>
      <c r="K981" s="631">
        <f t="shared" si="299"/>
        <v>0</v>
      </c>
      <c r="L981" s="1061"/>
      <c r="M981" s="574"/>
      <c r="N981" s="629">
        <f t="shared" si="296"/>
        <v>0</v>
      </c>
      <c r="O981" s="630">
        <v>0</v>
      </c>
      <c r="P981" s="624"/>
      <c r="Q981" s="574"/>
      <c r="R981" s="574"/>
      <c r="S981" s="574"/>
    </row>
    <row r="982" spans="1:19" ht="21.3">
      <c r="A982" s="665"/>
      <c r="B982" s="1114"/>
      <c r="C982" s="1125" t="s">
        <v>259</v>
      </c>
      <c r="D982" s="1124"/>
      <c r="E982" s="624">
        <v>3567.0630000000006</v>
      </c>
      <c r="F982" s="625" t="s">
        <v>34</v>
      </c>
      <c r="G982" s="666">
        <v>281</v>
      </c>
      <c r="H982" s="633">
        <f>SUM(E982*G982)</f>
        <v>1002344.7030000002</v>
      </c>
      <c r="I982" s="666">
        <v>80</v>
      </c>
      <c r="J982" s="580">
        <f t="shared" si="298"/>
        <v>285365.04000000004</v>
      </c>
      <c r="K982" s="631">
        <f t="shared" si="299"/>
        <v>1287709.7430000002</v>
      </c>
      <c r="L982" s="1073"/>
      <c r="M982" s="574"/>
      <c r="N982" s="629">
        <f t="shared" si="296"/>
        <v>0</v>
      </c>
      <c r="O982" s="630">
        <v>0</v>
      </c>
      <c r="P982" s="624"/>
      <c r="Q982" s="574"/>
      <c r="R982" s="574"/>
      <c r="S982" s="574"/>
    </row>
    <row r="983" spans="1:19" ht="21.3">
      <c r="A983" s="665"/>
      <c r="B983" s="1114"/>
      <c r="C983" s="1125" t="s">
        <v>260</v>
      </c>
      <c r="D983" s="1124"/>
      <c r="E983" s="624">
        <f>+E1017/2</f>
        <v>0</v>
      </c>
      <c r="F983" s="625" t="s">
        <v>34</v>
      </c>
      <c r="G983" s="666">
        <v>712</v>
      </c>
      <c r="H983" s="633">
        <f>SUM(E983*G983)</f>
        <v>0</v>
      </c>
      <c r="I983" s="666">
        <v>98</v>
      </c>
      <c r="J983" s="580">
        <f t="shared" si="298"/>
        <v>0</v>
      </c>
      <c r="K983" s="631">
        <f t="shared" si="299"/>
        <v>0</v>
      </c>
      <c r="L983" s="1073"/>
      <c r="M983" s="574"/>
      <c r="N983" s="629">
        <f t="shared" si="296"/>
        <v>0</v>
      </c>
      <c r="O983" s="630">
        <v>0</v>
      </c>
      <c r="P983" s="624"/>
      <c r="Q983" s="574"/>
      <c r="R983" s="574"/>
      <c r="S983" s="574"/>
    </row>
    <row r="984" spans="1:19" ht="21.3">
      <c r="A984" s="665"/>
      <c r="B984" s="1114"/>
      <c r="C984" s="1125" t="s">
        <v>261</v>
      </c>
      <c r="D984" s="1124"/>
      <c r="E984" s="624">
        <f>+E982*1.33</f>
        <v>4744.1937900000012</v>
      </c>
      <c r="F984" s="625" t="s">
        <v>226</v>
      </c>
      <c r="G984" s="666">
        <v>119</v>
      </c>
      <c r="H984" s="633">
        <f>SUM(E984*G984)</f>
        <v>564559.06101000018</v>
      </c>
      <c r="I984" s="666">
        <v>44</v>
      </c>
      <c r="J984" s="580">
        <f t="shared" si="298"/>
        <v>208744.52676000004</v>
      </c>
      <c r="K984" s="631">
        <f t="shared" si="299"/>
        <v>773303.58777000022</v>
      </c>
      <c r="L984" s="1073"/>
      <c r="M984" s="574"/>
      <c r="N984" s="629">
        <f t="shared" si="296"/>
        <v>0</v>
      </c>
      <c r="O984" s="630">
        <v>0</v>
      </c>
      <c r="P984" s="624"/>
      <c r="Q984" s="574"/>
      <c r="R984" s="574"/>
      <c r="S984" s="574"/>
    </row>
    <row r="985" spans="1:19" ht="21.3">
      <c r="A985" s="665"/>
      <c r="B985" s="1114"/>
      <c r="C985" s="1125" t="s">
        <v>262</v>
      </c>
      <c r="D985" s="1124"/>
      <c r="E985" s="624">
        <f>+E983*1.33</f>
        <v>0</v>
      </c>
      <c r="F985" s="625" t="s">
        <v>226</v>
      </c>
      <c r="G985" s="666">
        <v>208</v>
      </c>
      <c r="H985" s="633">
        <f>SUM(E985*G985)</f>
        <v>0</v>
      </c>
      <c r="I985" s="666">
        <v>78</v>
      </c>
      <c r="J985" s="580">
        <f t="shared" si="298"/>
        <v>0</v>
      </c>
      <c r="K985" s="631">
        <f t="shared" si="299"/>
        <v>0</v>
      </c>
      <c r="L985" s="1073"/>
      <c r="M985" s="574"/>
      <c r="N985" s="629">
        <f t="shared" si="296"/>
        <v>0</v>
      </c>
      <c r="O985" s="630">
        <v>0</v>
      </c>
      <c r="P985" s="624"/>
      <c r="Q985" s="574"/>
      <c r="R985" s="574"/>
      <c r="S985" s="574"/>
    </row>
    <row r="986" spans="1:19" ht="21.3">
      <c r="A986" s="665"/>
      <c r="B986" s="1114"/>
      <c r="C986" s="1125" t="s">
        <v>263</v>
      </c>
      <c r="D986" s="1124"/>
      <c r="E986" s="624">
        <f>+E1013+E1014+E1016+E1021+E1023+E1034</f>
        <v>837.68</v>
      </c>
      <c r="F986" s="625" t="s">
        <v>34</v>
      </c>
      <c r="G986" s="666">
        <v>88</v>
      </c>
      <c r="H986" s="633">
        <f>SUM(E986*G986)</f>
        <v>73715.839999999997</v>
      </c>
      <c r="I986" s="666">
        <v>82</v>
      </c>
      <c r="J986" s="580">
        <f t="shared" si="298"/>
        <v>68689.759999999995</v>
      </c>
      <c r="K986" s="631">
        <f t="shared" si="299"/>
        <v>142405.59999999998</v>
      </c>
      <c r="L986" s="1062"/>
      <c r="M986" s="574"/>
      <c r="N986" s="629">
        <f t="shared" si="296"/>
        <v>0</v>
      </c>
      <c r="O986" s="630">
        <v>0</v>
      </c>
      <c r="P986" s="624"/>
      <c r="Q986" s="574"/>
      <c r="R986" s="574"/>
      <c r="S986" s="574"/>
    </row>
    <row r="987" spans="1:19" ht="21.3">
      <c r="A987" s="665"/>
      <c r="B987" s="617" t="s">
        <v>264</v>
      </c>
      <c r="C987" s="1125" t="s">
        <v>265</v>
      </c>
      <c r="D987" s="1126"/>
      <c r="E987" s="637">
        <f>+N987</f>
        <v>0</v>
      </c>
      <c r="F987" s="625" t="s">
        <v>34</v>
      </c>
      <c r="G987" s="666">
        <v>88</v>
      </c>
      <c r="H987" s="633">
        <f t="shared" ref="H987:H993" si="315">SUM(E987*G987)</f>
        <v>0</v>
      </c>
      <c r="I987" s="666">
        <v>95</v>
      </c>
      <c r="J987" s="580">
        <f t="shared" si="298"/>
        <v>0</v>
      </c>
      <c r="K987" s="631">
        <f t="shared" si="299"/>
        <v>0</v>
      </c>
      <c r="L987" s="1062"/>
      <c r="M987" s="574"/>
      <c r="N987" s="667">
        <f t="shared" si="296"/>
        <v>0</v>
      </c>
      <c r="O987" s="636">
        <v>0</v>
      </c>
      <c r="P987" s="637"/>
      <c r="Q987" s="574"/>
      <c r="R987" s="574"/>
      <c r="S987" s="574"/>
    </row>
    <row r="988" spans="1:19" ht="21.3">
      <c r="A988" s="665"/>
      <c r="B988" s="617"/>
      <c r="C988" s="1125" t="s">
        <v>266</v>
      </c>
      <c r="D988" s="1126"/>
      <c r="E988" s="637">
        <f t="shared" ref="E988:E1035" si="316">+N988</f>
        <v>0</v>
      </c>
      <c r="F988" s="625" t="s">
        <v>34</v>
      </c>
      <c r="G988" s="2048">
        <v>69</v>
      </c>
      <c r="H988" s="633">
        <f t="shared" si="315"/>
        <v>0</v>
      </c>
      <c r="I988" s="2048">
        <v>28</v>
      </c>
      <c r="J988" s="580">
        <f t="shared" si="298"/>
        <v>0</v>
      </c>
      <c r="K988" s="631">
        <f t="shared" si="299"/>
        <v>0</v>
      </c>
      <c r="L988" s="2049"/>
      <c r="M988" s="574"/>
      <c r="N988" s="667">
        <f t="shared" si="296"/>
        <v>0</v>
      </c>
      <c r="O988" s="636">
        <v>0</v>
      </c>
      <c r="P988" s="637"/>
      <c r="Q988" s="574"/>
      <c r="R988" s="574"/>
      <c r="S988" s="574"/>
    </row>
    <row r="989" spans="1:19" ht="21.3">
      <c r="A989" s="665"/>
      <c r="B989" s="617" t="s">
        <v>267</v>
      </c>
      <c r="C989" s="1125" t="s">
        <v>268</v>
      </c>
      <c r="D989" s="1126"/>
      <c r="E989" s="637">
        <f t="shared" si="316"/>
        <v>3931.0710000000008</v>
      </c>
      <c r="F989" s="625" t="s">
        <v>34</v>
      </c>
      <c r="G989" s="666">
        <v>88</v>
      </c>
      <c r="H989" s="633">
        <f t="shared" si="315"/>
        <v>345934.24800000008</v>
      </c>
      <c r="I989" s="666">
        <v>82</v>
      </c>
      <c r="J989" s="580">
        <f t="shared" si="298"/>
        <v>322347.82200000004</v>
      </c>
      <c r="K989" s="631">
        <f t="shared" si="299"/>
        <v>668282.07000000007</v>
      </c>
      <c r="L989" s="1062"/>
      <c r="M989" s="574"/>
      <c r="N989" s="667">
        <f t="shared" si="296"/>
        <v>3931.0710000000008</v>
      </c>
      <c r="O989" s="636">
        <v>0</v>
      </c>
      <c r="P989" s="637">
        <v>3931.0710000000008</v>
      </c>
      <c r="Q989" s="574">
        <f>81*3.72*3.6</f>
        <v>1084.752</v>
      </c>
      <c r="R989" s="574"/>
      <c r="S989" s="574"/>
    </row>
    <row r="990" spans="1:19" ht="21.3">
      <c r="A990" s="665"/>
      <c r="B990" s="617" t="s">
        <v>269</v>
      </c>
      <c r="C990" s="1125" t="s">
        <v>265</v>
      </c>
      <c r="D990" s="1126"/>
      <c r="E990" s="637">
        <f t="shared" si="316"/>
        <v>547.41999999999996</v>
      </c>
      <c r="F990" s="625" t="s">
        <v>34</v>
      </c>
      <c r="G990" s="666">
        <v>88</v>
      </c>
      <c r="H990" s="633">
        <f t="shared" si="315"/>
        <v>48172.959999999999</v>
      </c>
      <c r="I990" s="666">
        <v>82</v>
      </c>
      <c r="J990" s="580">
        <f t="shared" si="298"/>
        <v>44888.439999999995</v>
      </c>
      <c r="K990" s="631">
        <f t="shared" si="299"/>
        <v>93061.4</v>
      </c>
      <c r="L990" s="1062"/>
      <c r="M990" s="574"/>
      <c r="N990" s="667">
        <f t="shared" si="296"/>
        <v>547.41999999999996</v>
      </c>
      <c r="O990" s="636">
        <v>0</v>
      </c>
      <c r="P990" s="637">
        <v>547.41999999999996</v>
      </c>
      <c r="Q990" s="574"/>
      <c r="R990" s="574"/>
      <c r="S990" s="574"/>
    </row>
    <row r="991" spans="1:19" ht="21.3">
      <c r="A991" s="665"/>
      <c r="B991" s="617"/>
      <c r="C991" s="1125" t="s">
        <v>270</v>
      </c>
      <c r="D991" s="1126"/>
      <c r="E991" s="637">
        <f t="shared" si="316"/>
        <v>547.41999999999996</v>
      </c>
      <c r="F991" s="625" t="s">
        <v>34</v>
      </c>
      <c r="G991" s="2048">
        <v>69</v>
      </c>
      <c r="H991" s="633">
        <f t="shared" si="315"/>
        <v>37771.979999999996</v>
      </c>
      <c r="I991" s="2048">
        <v>28</v>
      </c>
      <c r="J991" s="580">
        <f t="shared" si="298"/>
        <v>15327.759999999998</v>
      </c>
      <c r="K991" s="631">
        <f t="shared" si="299"/>
        <v>53099.739999999991</v>
      </c>
      <c r="L991" s="2049"/>
      <c r="M991" s="574"/>
      <c r="N991" s="667">
        <f t="shared" si="296"/>
        <v>547.41999999999996</v>
      </c>
      <c r="O991" s="636">
        <v>0</v>
      </c>
      <c r="P991" s="637">
        <v>547.41999999999996</v>
      </c>
      <c r="Q991" s="574"/>
      <c r="R991" s="574"/>
      <c r="S991" s="574"/>
    </row>
    <row r="992" spans="1:19" ht="21.3">
      <c r="A992" s="665"/>
      <c r="B992" s="617" t="s">
        <v>271</v>
      </c>
      <c r="C992" s="1125" t="s">
        <v>272</v>
      </c>
      <c r="D992" s="1126"/>
      <c r="E992" s="637">
        <f t="shared" si="316"/>
        <v>0</v>
      </c>
      <c r="F992" s="625" t="s">
        <v>34</v>
      </c>
      <c r="G992" s="666">
        <v>103</v>
      </c>
      <c r="H992" s="633">
        <f t="shared" si="315"/>
        <v>0</v>
      </c>
      <c r="I992" s="666">
        <v>115</v>
      </c>
      <c r="J992" s="580">
        <f t="shared" si="298"/>
        <v>0</v>
      </c>
      <c r="K992" s="631">
        <f t="shared" si="299"/>
        <v>0</v>
      </c>
      <c r="L992" s="1062"/>
      <c r="M992" s="574"/>
      <c r="N992" s="667">
        <f t="shared" si="296"/>
        <v>0</v>
      </c>
      <c r="O992" s="636">
        <v>0</v>
      </c>
      <c r="P992" s="637"/>
      <c r="Q992" s="574"/>
      <c r="R992" s="574"/>
      <c r="S992" s="574"/>
    </row>
    <row r="993" spans="1:19" ht="21.3">
      <c r="A993" s="665"/>
      <c r="B993" s="617"/>
      <c r="C993" s="1125" t="s">
        <v>273</v>
      </c>
      <c r="D993" s="1126"/>
      <c r="E993" s="637">
        <f t="shared" si="316"/>
        <v>0</v>
      </c>
      <c r="F993" s="625" t="s">
        <v>34</v>
      </c>
      <c r="G993" s="2048">
        <v>69</v>
      </c>
      <c r="H993" s="633">
        <f t="shared" si="315"/>
        <v>0</v>
      </c>
      <c r="I993" s="2048">
        <v>28</v>
      </c>
      <c r="J993" s="580">
        <f t="shared" si="298"/>
        <v>0</v>
      </c>
      <c r="K993" s="631">
        <f t="shared" si="299"/>
        <v>0</v>
      </c>
      <c r="L993" s="2049"/>
      <c r="M993" s="574"/>
      <c r="N993" s="667">
        <f t="shared" si="296"/>
        <v>0</v>
      </c>
      <c r="O993" s="636">
        <v>0</v>
      </c>
      <c r="P993" s="637"/>
      <c r="Q993" s="574"/>
      <c r="R993" s="574"/>
      <c r="S993" s="574"/>
    </row>
    <row r="994" spans="1:19" ht="21.3">
      <c r="A994" s="665"/>
      <c r="B994" s="617" t="s">
        <v>274</v>
      </c>
      <c r="C994" s="1125" t="s">
        <v>275</v>
      </c>
      <c r="D994" s="1126"/>
      <c r="E994" s="637">
        <f t="shared" si="316"/>
        <v>0</v>
      </c>
      <c r="F994" s="625" t="s">
        <v>34</v>
      </c>
      <c r="G994" s="572">
        <v>1500</v>
      </c>
      <c r="H994" s="580">
        <f t="shared" ref="H994" si="317">E994*G994</f>
        <v>0</v>
      </c>
      <c r="I994" s="572">
        <v>500</v>
      </c>
      <c r="J994" s="580">
        <f t="shared" si="298"/>
        <v>0</v>
      </c>
      <c r="K994" s="631">
        <f t="shared" si="299"/>
        <v>0</v>
      </c>
      <c r="L994" s="1061"/>
      <c r="M994" s="574"/>
      <c r="N994" s="667">
        <f t="shared" si="296"/>
        <v>0</v>
      </c>
      <c r="O994" s="636">
        <v>0</v>
      </c>
      <c r="P994" s="637"/>
      <c r="Q994" s="574"/>
      <c r="R994" s="574"/>
      <c r="S994" s="574"/>
    </row>
    <row r="995" spans="1:19" ht="21.3">
      <c r="A995" s="665"/>
      <c r="B995" s="617"/>
      <c r="C995" s="1125" t="s">
        <v>273</v>
      </c>
      <c r="D995" s="1126"/>
      <c r="E995" s="637">
        <f t="shared" si="316"/>
        <v>0</v>
      </c>
      <c r="F995" s="625" t="s">
        <v>34</v>
      </c>
      <c r="G995" s="2048">
        <v>69</v>
      </c>
      <c r="H995" s="633">
        <f t="shared" ref="H995" si="318">SUM(E995*G995)</f>
        <v>0</v>
      </c>
      <c r="I995" s="2048">
        <v>28</v>
      </c>
      <c r="J995" s="580">
        <f t="shared" si="298"/>
        <v>0</v>
      </c>
      <c r="K995" s="631">
        <f t="shared" si="299"/>
        <v>0</v>
      </c>
      <c r="L995" s="2049"/>
      <c r="M995" s="574"/>
      <c r="N995" s="667">
        <f t="shared" si="296"/>
        <v>0</v>
      </c>
      <c r="O995" s="636">
        <v>0</v>
      </c>
      <c r="P995" s="637"/>
      <c r="Q995" s="574"/>
      <c r="R995" s="574"/>
      <c r="S995" s="574"/>
    </row>
    <row r="996" spans="1:19" ht="21.3">
      <c r="A996" s="665"/>
      <c r="B996" s="617" t="s">
        <v>276</v>
      </c>
      <c r="C996" s="1125" t="s">
        <v>277</v>
      </c>
      <c r="D996" s="1126"/>
      <c r="E996" s="637">
        <f t="shared" si="316"/>
        <v>0</v>
      </c>
      <c r="F996" s="625" t="s">
        <v>34</v>
      </c>
      <c r="G996" s="572">
        <v>492</v>
      </c>
      <c r="H996" s="580">
        <f t="shared" ref="H996" si="319">E996*G996</f>
        <v>0</v>
      </c>
      <c r="I996" s="572">
        <v>130</v>
      </c>
      <c r="J996" s="580">
        <f t="shared" si="298"/>
        <v>0</v>
      </c>
      <c r="K996" s="631">
        <f t="shared" si="299"/>
        <v>0</v>
      </c>
      <c r="L996" s="2049"/>
      <c r="M996" s="574"/>
      <c r="N996" s="667">
        <f t="shared" si="296"/>
        <v>0</v>
      </c>
      <c r="O996" s="636">
        <v>0</v>
      </c>
      <c r="P996" s="637"/>
      <c r="Q996" s="574"/>
      <c r="R996" s="574"/>
      <c r="S996" s="574"/>
    </row>
    <row r="997" spans="1:19" ht="21.3">
      <c r="A997" s="665"/>
      <c r="B997" s="617"/>
      <c r="C997" s="1125" t="s">
        <v>278</v>
      </c>
      <c r="D997" s="1126"/>
      <c r="E997" s="637">
        <f t="shared" si="316"/>
        <v>0</v>
      </c>
      <c r="F997" s="619"/>
      <c r="G997" s="572"/>
      <c r="H997" s="580"/>
      <c r="I997" s="572"/>
      <c r="J997" s="580">
        <f t="shared" si="298"/>
        <v>0</v>
      </c>
      <c r="K997" s="631">
        <f t="shared" si="299"/>
        <v>0</v>
      </c>
      <c r="L997" s="2049"/>
      <c r="M997" s="574"/>
      <c r="N997" s="629">
        <f t="shared" ref="N997:N1064" si="320">+(1+O997)*P997</f>
        <v>0</v>
      </c>
      <c r="O997" s="630">
        <v>0</v>
      </c>
      <c r="P997" s="624"/>
      <c r="Q997" s="574"/>
      <c r="R997" s="574"/>
      <c r="S997" s="574"/>
    </row>
    <row r="998" spans="1:19" ht="21.3">
      <c r="A998" s="665"/>
      <c r="B998" s="617" t="s">
        <v>279</v>
      </c>
      <c r="C998" s="1125" t="s">
        <v>280</v>
      </c>
      <c r="D998" s="1126"/>
      <c r="E998" s="637">
        <f t="shared" si="316"/>
        <v>0</v>
      </c>
      <c r="F998" s="625" t="s">
        <v>34</v>
      </c>
      <c r="G998" s="572">
        <v>256</v>
      </c>
      <c r="H998" s="580">
        <f t="shared" ref="H998" si="321">E998*G998</f>
        <v>0</v>
      </c>
      <c r="I998" s="572">
        <v>100</v>
      </c>
      <c r="J998" s="580">
        <f t="shared" ref="J998:J1067" si="322">E998*I998</f>
        <v>0</v>
      </c>
      <c r="K998" s="631">
        <f t="shared" ref="K998:K1067" si="323">H998+J998</f>
        <v>0</v>
      </c>
      <c r="L998" s="2049"/>
      <c r="M998" s="574"/>
      <c r="N998" s="667">
        <f t="shared" si="320"/>
        <v>0</v>
      </c>
      <c r="O998" s="636">
        <v>0</v>
      </c>
      <c r="P998" s="637"/>
      <c r="Q998" s="574"/>
      <c r="R998" s="574"/>
      <c r="S998" s="574"/>
    </row>
    <row r="999" spans="1:19" ht="21.3">
      <c r="A999" s="665"/>
      <c r="B999" s="617"/>
      <c r="C999" s="1125" t="s">
        <v>281</v>
      </c>
      <c r="D999" s="1126"/>
      <c r="E999" s="637">
        <f t="shared" si="316"/>
        <v>0</v>
      </c>
      <c r="F999" s="619"/>
      <c r="G999" s="572"/>
      <c r="H999" s="580"/>
      <c r="I999" s="572"/>
      <c r="J999" s="580">
        <f t="shared" si="322"/>
        <v>0</v>
      </c>
      <c r="K999" s="631">
        <f t="shared" si="323"/>
        <v>0</v>
      </c>
      <c r="L999" s="2049"/>
      <c r="M999" s="574"/>
      <c r="N999" s="629">
        <f t="shared" si="320"/>
        <v>0</v>
      </c>
      <c r="O999" s="630">
        <v>0</v>
      </c>
      <c r="P999" s="624"/>
      <c r="Q999" s="574"/>
      <c r="R999" s="574"/>
      <c r="S999" s="574"/>
    </row>
    <row r="1000" spans="1:19" ht="21.3">
      <c r="A1000" s="665"/>
      <c r="B1000" s="617" t="s">
        <v>282</v>
      </c>
      <c r="C1000" s="1125" t="s">
        <v>280</v>
      </c>
      <c r="D1000" s="1126"/>
      <c r="E1000" s="637">
        <f t="shared" si="316"/>
        <v>0</v>
      </c>
      <c r="F1000" s="625" t="s">
        <v>34</v>
      </c>
      <c r="G1000" s="572">
        <v>256</v>
      </c>
      <c r="H1000" s="580">
        <f t="shared" ref="H1000" si="324">E1000*G1000</f>
        <v>0</v>
      </c>
      <c r="I1000" s="572">
        <v>100</v>
      </c>
      <c r="J1000" s="580">
        <f t="shared" si="322"/>
        <v>0</v>
      </c>
      <c r="K1000" s="631">
        <f t="shared" si="323"/>
        <v>0</v>
      </c>
      <c r="L1000" s="2049"/>
      <c r="M1000" s="574"/>
      <c r="N1000" s="667">
        <f t="shared" si="320"/>
        <v>0</v>
      </c>
      <c r="O1000" s="636">
        <v>0</v>
      </c>
      <c r="P1000" s="637"/>
      <c r="Q1000" s="574"/>
      <c r="R1000" s="574"/>
      <c r="S1000" s="574"/>
    </row>
    <row r="1001" spans="1:19" ht="21.3">
      <c r="A1001" s="665"/>
      <c r="B1001" s="617"/>
      <c r="C1001" s="1125" t="s">
        <v>281</v>
      </c>
      <c r="D1001" s="1126"/>
      <c r="E1001" s="637">
        <f t="shared" si="316"/>
        <v>0</v>
      </c>
      <c r="F1001" s="619"/>
      <c r="G1001" s="572"/>
      <c r="H1001" s="580"/>
      <c r="I1001" s="572"/>
      <c r="J1001" s="580">
        <f t="shared" si="322"/>
        <v>0</v>
      </c>
      <c r="K1001" s="631">
        <f t="shared" si="323"/>
        <v>0</v>
      </c>
      <c r="L1001" s="1062"/>
      <c r="M1001" s="574"/>
      <c r="N1001" s="629">
        <f t="shared" si="320"/>
        <v>0</v>
      </c>
      <c r="O1001" s="630">
        <v>0</v>
      </c>
      <c r="P1001" s="624"/>
      <c r="Q1001" s="574"/>
      <c r="R1001" s="574"/>
      <c r="S1001" s="574"/>
    </row>
    <row r="1002" spans="1:19" ht="21.3">
      <c r="A1002" s="665"/>
      <c r="B1002" s="617"/>
      <c r="C1002" s="1125" t="s">
        <v>283</v>
      </c>
      <c r="D1002" s="1126"/>
      <c r="E1002" s="637">
        <f t="shared" si="316"/>
        <v>0</v>
      </c>
      <c r="F1002" s="625" t="s">
        <v>34</v>
      </c>
      <c r="G1002" s="2048">
        <v>69</v>
      </c>
      <c r="H1002" s="633">
        <f t="shared" ref="H1002" si="325">SUM(E1002*G1002)</f>
        <v>0</v>
      </c>
      <c r="I1002" s="2048">
        <v>28</v>
      </c>
      <c r="J1002" s="580">
        <f t="shared" si="322"/>
        <v>0</v>
      </c>
      <c r="K1002" s="631">
        <f t="shared" si="323"/>
        <v>0</v>
      </c>
      <c r="L1002" s="2049"/>
      <c r="M1002" s="574"/>
      <c r="N1002" s="667">
        <f t="shared" si="320"/>
        <v>0</v>
      </c>
      <c r="O1002" s="636">
        <v>0</v>
      </c>
      <c r="P1002" s="637"/>
      <c r="Q1002" s="574"/>
      <c r="R1002" s="574"/>
      <c r="S1002" s="574"/>
    </row>
    <row r="1003" spans="1:19" ht="21.3">
      <c r="A1003" s="665"/>
      <c r="B1003" s="617" t="s">
        <v>284</v>
      </c>
      <c r="C1003" s="1125" t="s">
        <v>280</v>
      </c>
      <c r="D1003" s="1126"/>
      <c r="E1003" s="637">
        <f t="shared" si="316"/>
        <v>0</v>
      </c>
      <c r="F1003" s="625" t="s">
        <v>34</v>
      </c>
      <c r="G1003" s="572">
        <v>592</v>
      </c>
      <c r="H1003" s="580">
        <f t="shared" ref="H1003" si="326">E1003*G1003</f>
        <v>0</v>
      </c>
      <c r="I1003" s="572">
        <v>165</v>
      </c>
      <c r="J1003" s="580">
        <f t="shared" si="322"/>
        <v>0</v>
      </c>
      <c r="K1003" s="631">
        <f t="shared" si="323"/>
        <v>0</v>
      </c>
      <c r="L1003" s="2049"/>
      <c r="M1003" s="574"/>
      <c r="N1003" s="667">
        <f t="shared" si="320"/>
        <v>0</v>
      </c>
      <c r="O1003" s="636">
        <v>0</v>
      </c>
      <c r="P1003" s="637"/>
      <c r="Q1003" s="574"/>
      <c r="R1003" s="574"/>
      <c r="S1003" s="574"/>
    </row>
    <row r="1004" spans="1:19" ht="21.3">
      <c r="A1004" s="665"/>
      <c r="B1004" s="617"/>
      <c r="C1004" s="1125" t="s">
        <v>285</v>
      </c>
      <c r="D1004" s="1126"/>
      <c r="E1004" s="637">
        <f t="shared" si="316"/>
        <v>0</v>
      </c>
      <c r="F1004" s="619"/>
      <c r="G1004" s="572"/>
      <c r="H1004" s="580"/>
      <c r="I1004" s="572"/>
      <c r="J1004" s="580">
        <f t="shared" si="322"/>
        <v>0</v>
      </c>
      <c r="K1004" s="631">
        <f t="shared" si="323"/>
        <v>0</v>
      </c>
      <c r="L1004" s="1062"/>
      <c r="M1004" s="574"/>
      <c r="N1004" s="629">
        <f t="shared" si="320"/>
        <v>0</v>
      </c>
      <c r="O1004" s="630">
        <v>0</v>
      </c>
      <c r="P1004" s="624"/>
      <c r="Q1004" s="574"/>
      <c r="R1004" s="574"/>
      <c r="S1004" s="574"/>
    </row>
    <row r="1005" spans="1:19" ht="21.3">
      <c r="A1005" s="665"/>
      <c r="B1005" s="617" t="s">
        <v>286</v>
      </c>
      <c r="C1005" s="1125" t="s">
        <v>280</v>
      </c>
      <c r="D1005" s="1126"/>
      <c r="E1005" s="637">
        <f t="shared" si="316"/>
        <v>0</v>
      </c>
      <c r="F1005" s="625" t="s">
        <v>34</v>
      </c>
      <c r="G1005" s="572">
        <v>642</v>
      </c>
      <c r="H1005" s="580">
        <f t="shared" ref="H1005" si="327">E1005*G1005</f>
        <v>0</v>
      </c>
      <c r="I1005" s="572">
        <v>183</v>
      </c>
      <c r="J1005" s="580">
        <f t="shared" si="322"/>
        <v>0</v>
      </c>
      <c r="K1005" s="631">
        <f t="shared" si="323"/>
        <v>0</v>
      </c>
      <c r="L1005" s="2049"/>
      <c r="M1005" s="574"/>
      <c r="N1005" s="667">
        <f t="shared" si="320"/>
        <v>0</v>
      </c>
      <c r="O1005" s="636">
        <v>0</v>
      </c>
      <c r="P1005" s="637"/>
      <c r="Q1005" s="574"/>
      <c r="R1005" s="574"/>
      <c r="S1005" s="574"/>
    </row>
    <row r="1006" spans="1:19" ht="21.3">
      <c r="A1006" s="665"/>
      <c r="B1006" s="617"/>
      <c r="C1006" s="1125" t="s">
        <v>287</v>
      </c>
      <c r="D1006" s="1126"/>
      <c r="E1006" s="637">
        <f t="shared" si="316"/>
        <v>0</v>
      </c>
      <c r="F1006" s="619"/>
      <c r="G1006" s="572"/>
      <c r="H1006" s="580"/>
      <c r="I1006" s="572"/>
      <c r="J1006" s="580">
        <f t="shared" si="322"/>
        <v>0</v>
      </c>
      <c r="K1006" s="631">
        <f t="shared" si="323"/>
        <v>0</v>
      </c>
      <c r="L1006" s="1073"/>
      <c r="M1006" s="574"/>
      <c r="N1006" s="629">
        <f t="shared" si="320"/>
        <v>0</v>
      </c>
      <c r="O1006" s="630">
        <v>0</v>
      </c>
      <c r="P1006" s="624"/>
      <c r="Q1006" s="574"/>
      <c r="R1006" s="574"/>
      <c r="S1006" s="574"/>
    </row>
    <row r="1007" spans="1:19" ht="21.3">
      <c r="A1007" s="665"/>
      <c r="B1007" s="617"/>
      <c r="C1007" s="1125" t="s">
        <v>288</v>
      </c>
      <c r="D1007" s="1126"/>
      <c r="E1007" s="637">
        <f t="shared" si="316"/>
        <v>0</v>
      </c>
      <c r="F1007" s="619"/>
      <c r="G1007" s="572"/>
      <c r="H1007" s="580"/>
      <c r="I1007" s="572"/>
      <c r="J1007" s="580">
        <f t="shared" si="322"/>
        <v>0</v>
      </c>
      <c r="K1007" s="631">
        <f t="shared" si="323"/>
        <v>0</v>
      </c>
      <c r="L1007" s="1073"/>
      <c r="M1007" s="574"/>
      <c r="N1007" s="629">
        <f t="shared" si="320"/>
        <v>0</v>
      </c>
      <c r="O1007" s="630">
        <v>0</v>
      </c>
      <c r="P1007" s="624"/>
      <c r="Q1007" s="574"/>
      <c r="R1007" s="574"/>
      <c r="S1007" s="574"/>
    </row>
    <row r="1008" spans="1:19" ht="21.3">
      <c r="A1008" s="665"/>
      <c r="B1008" s="617" t="s">
        <v>289</v>
      </c>
      <c r="C1008" s="1125" t="s">
        <v>280</v>
      </c>
      <c r="D1008" s="1126"/>
      <c r="E1008" s="637">
        <f t="shared" si="316"/>
        <v>0</v>
      </c>
      <c r="F1008" s="625" t="s">
        <v>34</v>
      </c>
      <c r="G1008" s="572">
        <v>520</v>
      </c>
      <c r="H1008" s="580">
        <f t="shared" ref="H1008" si="328">E1008*G1008</f>
        <v>0</v>
      </c>
      <c r="I1008" s="572">
        <v>270</v>
      </c>
      <c r="J1008" s="580">
        <f t="shared" si="322"/>
        <v>0</v>
      </c>
      <c r="K1008" s="631">
        <f t="shared" si="323"/>
        <v>0</v>
      </c>
      <c r="L1008" s="1074"/>
      <c r="M1008" s="574"/>
      <c r="N1008" s="667">
        <f t="shared" si="320"/>
        <v>0</v>
      </c>
      <c r="O1008" s="636">
        <v>0</v>
      </c>
      <c r="P1008" s="637"/>
      <c r="Q1008" s="574"/>
      <c r="R1008" s="574"/>
      <c r="S1008" s="574"/>
    </row>
    <row r="1009" spans="1:19" ht="21.3">
      <c r="A1009" s="665"/>
      <c r="B1009" s="617"/>
      <c r="C1009" s="1125" t="s">
        <v>290</v>
      </c>
      <c r="D1009" s="1126"/>
      <c r="E1009" s="637">
        <f t="shared" si="316"/>
        <v>0</v>
      </c>
      <c r="F1009" s="619"/>
      <c r="G1009" s="572"/>
      <c r="H1009" s="580"/>
      <c r="I1009" s="572"/>
      <c r="J1009" s="580">
        <f t="shared" si="322"/>
        <v>0</v>
      </c>
      <c r="K1009" s="631">
        <f t="shared" si="323"/>
        <v>0</v>
      </c>
      <c r="L1009" s="1073"/>
      <c r="M1009" s="574"/>
      <c r="N1009" s="629">
        <f t="shared" si="320"/>
        <v>0</v>
      </c>
      <c r="O1009" s="630">
        <v>0</v>
      </c>
      <c r="P1009" s="624"/>
      <c r="Q1009" s="574"/>
      <c r="R1009" s="574"/>
      <c r="S1009" s="574"/>
    </row>
    <row r="1010" spans="1:19" ht="21.3">
      <c r="A1010" s="665"/>
      <c r="B1010" s="617" t="s">
        <v>291</v>
      </c>
      <c r="C1010" s="1125" t="s">
        <v>280</v>
      </c>
      <c r="D1010" s="1126"/>
      <c r="E1010" s="637">
        <f t="shared" si="316"/>
        <v>0</v>
      </c>
      <c r="F1010" s="625" t="s">
        <v>34</v>
      </c>
      <c r="G1010" s="572">
        <v>256</v>
      </c>
      <c r="H1010" s="580">
        <f t="shared" ref="H1010:H1011" si="329">E1010*G1010</f>
        <v>0</v>
      </c>
      <c r="I1010" s="572">
        <v>100</v>
      </c>
      <c r="J1010" s="580">
        <f t="shared" si="322"/>
        <v>0</v>
      </c>
      <c r="K1010" s="631">
        <f t="shared" si="323"/>
        <v>0</v>
      </c>
      <c r="L1010" s="2049"/>
      <c r="M1010" s="574"/>
      <c r="N1010" s="667">
        <f t="shared" si="320"/>
        <v>0</v>
      </c>
      <c r="O1010" s="636">
        <v>0</v>
      </c>
      <c r="P1010" s="637"/>
      <c r="Q1010" s="574"/>
      <c r="R1010" s="574"/>
      <c r="S1010" s="574"/>
    </row>
    <row r="1011" spans="1:19" ht="21.3">
      <c r="A1011" s="665"/>
      <c r="B1011" s="617"/>
      <c r="C1011" s="1125" t="s">
        <v>292</v>
      </c>
      <c r="D1011" s="1126"/>
      <c r="E1011" s="637">
        <f t="shared" si="316"/>
        <v>0</v>
      </c>
      <c r="F1011" s="619"/>
      <c r="G1011" s="572">
        <v>0</v>
      </c>
      <c r="H1011" s="580">
        <f t="shared" si="329"/>
        <v>0</v>
      </c>
      <c r="I1011" s="572">
        <v>0</v>
      </c>
      <c r="J1011" s="580">
        <f t="shared" si="322"/>
        <v>0</v>
      </c>
      <c r="K1011" s="631">
        <f t="shared" si="323"/>
        <v>0</v>
      </c>
      <c r="L1011" s="1073"/>
      <c r="M1011" s="574"/>
      <c r="N1011" s="629">
        <f t="shared" si="320"/>
        <v>0</v>
      </c>
      <c r="O1011" s="630">
        <v>0</v>
      </c>
      <c r="P1011" s="624"/>
      <c r="Q1011" s="574"/>
      <c r="R1011" s="574"/>
      <c r="S1011" s="574"/>
    </row>
    <row r="1012" spans="1:19" ht="21.3">
      <c r="A1012" s="665"/>
      <c r="B1012" s="617"/>
      <c r="C1012" s="1125" t="s">
        <v>293</v>
      </c>
      <c r="D1012" s="1126"/>
      <c r="E1012" s="637">
        <f t="shared" si="316"/>
        <v>0</v>
      </c>
      <c r="F1012" s="625" t="s">
        <v>34</v>
      </c>
      <c r="G1012" s="666">
        <v>520</v>
      </c>
      <c r="H1012" s="580"/>
      <c r="I1012" s="666">
        <v>30</v>
      </c>
      <c r="J1012" s="580">
        <f t="shared" si="322"/>
        <v>0</v>
      </c>
      <c r="K1012" s="631">
        <f t="shared" si="323"/>
        <v>0</v>
      </c>
      <c r="L1012" s="1073"/>
      <c r="M1012" s="574"/>
      <c r="N1012" s="629">
        <f t="shared" si="320"/>
        <v>0</v>
      </c>
      <c r="O1012" s="630">
        <v>0</v>
      </c>
      <c r="P1012" s="624"/>
      <c r="Q1012" s="574"/>
      <c r="R1012" s="574"/>
      <c r="S1012" s="574"/>
    </row>
    <row r="1013" spans="1:19" ht="21.3">
      <c r="A1013" s="665"/>
      <c r="B1013" s="617" t="s">
        <v>294</v>
      </c>
      <c r="C1013" s="1125" t="s">
        <v>295</v>
      </c>
      <c r="D1013" s="1126"/>
      <c r="E1013" s="637">
        <f t="shared" si="316"/>
        <v>0</v>
      </c>
      <c r="F1013" s="625" t="s">
        <v>34</v>
      </c>
      <c r="G1013" s="666">
        <v>91</v>
      </c>
      <c r="H1013" s="633">
        <f>SUM(E1013*G1013)</f>
        <v>0</v>
      </c>
      <c r="I1013" s="666">
        <v>100</v>
      </c>
      <c r="J1013" s="580">
        <f t="shared" si="322"/>
        <v>0</v>
      </c>
      <c r="K1013" s="631">
        <f t="shared" si="323"/>
        <v>0</v>
      </c>
      <c r="L1013" s="1062"/>
      <c r="M1013" s="574"/>
      <c r="N1013" s="667">
        <f t="shared" si="320"/>
        <v>0</v>
      </c>
      <c r="O1013" s="636">
        <v>0</v>
      </c>
      <c r="P1013" s="637"/>
      <c r="Q1013" s="574"/>
      <c r="R1013" s="574"/>
      <c r="S1013" s="574"/>
    </row>
    <row r="1014" spans="1:19" ht="21.3">
      <c r="A1014" s="665"/>
      <c r="B1014" s="617" t="s">
        <v>296</v>
      </c>
      <c r="C1014" s="1125" t="s">
        <v>297</v>
      </c>
      <c r="D1014" s="1126"/>
      <c r="E1014" s="637">
        <f t="shared" si="316"/>
        <v>0</v>
      </c>
      <c r="F1014" s="625" t="s">
        <v>34</v>
      </c>
      <c r="G1014" s="666">
        <v>294</v>
      </c>
      <c r="H1014" s="633">
        <f t="shared" ref="H1014:H1021" si="330">SUM(E1014*G1014)</f>
        <v>0</v>
      </c>
      <c r="I1014" s="666">
        <v>189</v>
      </c>
      <c r="J1014" s="580">
        <f t="shared" si="322"/>
        <v>0</v>
      </c>
      <c r="K1014" s="631">
        <f t="shared" si="323"/>
        <v>0</v>
      </c>
      <c r="L1014" s="1073"/>
      <c r="M1014" s="574"/>
      <c r="N1014" s="667">
        <f t="shared" si="320"/>
        <v>0</v>
      </c>
      <c r="O1014" s="636">
        <v>0</v>
      </c>
      <c r="P1014" s="637"/>
      <c r="Q1014" s="574"/>
      <c r="R1014" s="574"/>
      <c r="S1014" s="574"/>
    </row>
    <row r="1015" spans="1:19" ht="21.3">
      <c r="A1015" s="665"/>
      <c r="B1015" s="617" t="s">
        <v>298</v>
      </c>
      <c r="C1015" s="1125" t="s">
        <v>299</v>
      </c>
      <c r="D1015" s="1126"/>
      <c r="E1015" s="637"/>
      <c r="F1015" s="625" t="s">
        <v>34</v>
      </c>
      <c r="G1015" s="666">
        <v>608</v>
      </c>
      <c r="H1015" s="633">
        <f t="shared" si="330"/>
        <v>0</v>
      </c>
      <c r="I1015" s="666">
        <v>189</v>
      </c>
      <c r="J1015" s="580">
        <f t="shared" si="322"/>
        <v>0</v>
      </c>
      <c r="K1015" s="631">
        <f t="shared" si="323"/>
        <v>0</v>
      </c>
      <c r="L1015" s="1073"/>
      <c r="M1015" s="574"/>
      <c r="N1015" s="667">
        <f t="shared" si="320"/>
        <v>681.28</v>
      </c>
      <c r="O1015" s="636">
        <v>0</v>
      </c>
      <c r="P1015" s="637">
        <v>681.28</v>
      </c>
      <c r="Q1015" s="574"/>
      <c r="R1015" s="574"/>
      <c r="S1015" s="574"/>
    </row>
    <row r="1016" spans="1:19" ht="21.3">
      <c r="A1016" s="665"/>
      <c r="B1016" s="623" t="s">
        <v>2549</v>
      </c>
      <c r="C1016" s="1125" t="s">
        <v>299</v>
      </c>
      <c r="D1016" s="1126"/>
      <c r="E1016" s="637">
        <f t="shared" si="316"/>
        <v>681.28</v>
      </c>
      <c r="F1016" s="625" t="s">
        <v>34</v>
      </c>
      <c r="G1016" s="666">
        <v>399</v>
      </c>
      <c r="H1016" s="633">
        <f t="shared" si="330"/>
        <v>271830.71999999997</v>
      </c>
      <c r="I1016" s="666">
        <v>189</v>
      </c>
      <c r="J1016" s="580">
        <f t="shared" si="322"/>
        <v>128761.92</v>
      </c>
      <c r="K1016" s="631">
        <f t="shared" si="323"/>
        <v>400592.63999999996</v>
      </c>
      <c r="L1016" s="1073"/>
      <c r="M1016" s="574"/>
      <c r="N1016" s="667">
        <f t="shared" si="320"/>
        <v>681.28</v>
      </c>
      <c r="O1016" s="636">
        <v>0</v>
      </c>
      <c r="P1016" s="637">
        <v>681.28</v>
      </c>
      <c r="Q1016" s="574"/>
      <c r="R1016" s="574"/>
      <c r="S1016" s="574"/>
    </row>
    <row r="1017" spans="1:19" ht="21.3">
      <c r="A1017" s="665"/>
      <c r="B1017" s="617" t="s">
        <v>300</v>
      </c>
      <c r="C1017" s="1125" t="s">
        <v>301</v>
      </c>
      <c r="D1017" s="1126"/>
      <c r="E1017" s="637">
        <f t="shared" si="316"/>
        <v>0</v>
      </c>
      <c r="F1017" s="625" t="s">
        <v>34</v>
      </c>
      <c r="G1017" s="666">
        <v>88</v>
      </c>
      <c r="H1017" s="633">
        <f t="shared" si="330"/>
        <v>0</v>
      </c>
      <c r="I1017" s="666">
        <v>82</v>
      </c>
      <c r="J1017" s="580">
        <f t="shared" si="322"/>
        <v>0</v>
      </c>
      <c r="K1017" s="631">
        <f t="shared" si="323"/>
        <v>0</v>
      </c>
      <c r="L1017" s="1062"/>
      <c r="M1017" s="574"/>
      <c r="N1017" s="667">
        <f t="shared" si="320"/>
        <v>0</v>
      </c>
      <c r="O1017" s="636">
        <v>0</v>
      </c>
      <c r="P1017" s="637"/>
      <c r="Q1017" s="574"/>
      <c r="R1017" s="574"/>
      <c r="S1017" s="574"/>
    </row>
    <row r="1018" spans="1:19" ht="21.3">
      <c r="A1018" s="665"/>
      <c r="B1018" s="617"/>
      <c r="C1018" s="1125" t="s">
        <v>302</v>
      </c>
      <c r="D1018" s="1126"/>
      <c r="E1018" s="637">
        <f t="shared" si="316"/>
        <v>0</v>
      </c>
      <c r="F1018" s="625" t="s">
        <v>34</v>
      </c>
      <c r="G1018" s="2048">
        <v>69</v>
      </c>
      <c r="H1018" s="633">
        <f t="shared" si="330"/>
        <v>0</v>
      </c>
      <c r="I1018" s="2048">
        <v>28</v>
      </c>
      <c r="J1018" s="580">
        <f t="shared" si="322"/>
        <v>0</v>
      </c>
      <c r="K1018" s="631">
        <f t="shared" si="323"/>
        <v>0</v>
      </c>
      <c r="L1018" s="1062"/>
      <c r="M1018" s="574"/>
      <c r="N1018" s="667">
        <f t="shared" si="320"/>
        <v>0</v>
      </c>
      <c r="O1018" s="636">
        <v>0</v>
      </c>
      <c r="P1018" s="637"/>
      <c r="Q1018" s="574"/>
      <c r="R1018" s="574"/>
      <c r="S1018" s="574"/>
    </row>
    <row r="1019" spans="1:19" ht="21.3">
      <c r="A1019" s="665"/>
      <c r="B1019" s="617" t="s">
        <v>303</v>
      </c>
      <c r="C1019" s="1125" t="s">
        <v>304</v>
      </c>
      <c r="D1019" s="1126"/>
      <c r="E1019" s="637"/>
      <c r="F1019" s="625" t="s">
        <v>34</v>
      </c>
      <c r="G1019" s="666">
        <v>870</v>
      </c>
      <c r="H1019" s="633">
        <f t="shared" si="330"/>
        <v>0</v>
      </c>
      <c r="I1019" s="666">
        <v>242</v>
      </c>
      <c r="J1019" s="580">
        <f t="shared" si="322"/>
        <v>0</v>
      </c>
      <c r="K1019" s="631">
        <f t="shared" si="323"/>
        <v>0</v>
      </c>
      <c r="L1019" s="1073"/>
      <c r="M1019" s="574"/>
      <c r="N1019" s="667">
        <f t="shared" si="320"/>
        <v>156.39999999999998</v>
      </c>
      <c r="O1019" s="636">
        <v>0</v>
      </c>
      <c r="P1019" s="637">
        <v>156.39999999999998</v>
      </c>
      <c r="Q1019" s="574"/>
      <c r="R1019" s="574"/>
      <c r="S1019" s="574"/>
    </row>
    <row r="1020" spans="1:19" ht="21.3">
      <c r="A1020" s="665"/>
      <c r="B1020" s="617"/>
      <c r="C1020" s="1125" t="s">
        <v>305</v>
      </c>
      <c r="D1020" s="1126"/>
      <c r="E1020" s="637">
        <f t="shared" ref="E1020" si="331">+N1020</f>
        <v>0</v>
      </c>
      <c r="F1020" s="619"/>
      <c r="G1020" s="572"/>
      <c r="H1020" s="580"/>
      <c r="I1020" s="572"/>
      <c r="J1020" s="580">
        <f t="shared" si="322"/>
        <v>0</v>
      </c>
      <c r="K1020" s="631">
        <f t="shared" si="323"/>
        <v>0</v>
      </c>
      <c r="L1020" s="1073"/>
      <c r="M1020" s="574"/>
      <c r="N1020" s="629">
        <f t="shared" si="320"/>
        <v>0</v>
      </c>
      <c r="O1020" s="630">
        <v>0</v>
      </c>
      <c r="P1020" s="624"/>
      <c r="Q1020" s="574"/>
      <c r="R1020" s="574"/>
      <c r="S1020" s="574"/>
    </row>
    <row r="1021" spans="1:19" ht="21.3">
      <c r="A1021" s="665"/>
      <c r="B1021" s="623" t="s">
        <v>2550</v>
      </c>
      <c r="C1021" s="1125" t="s">
        <v>304</v>
      </c>
      <c r="D1021" s="1126"/>
      <c r="E1021" s="637">
        <f t="shared" si="316"/>
        <v>156.39999999999998</v>
      </c>
      <c r="F1021" s="625" t="s">
        <v>34</v>
      </c>
      <c r="G1021" s="666">
        <v>765</v>
      </c>
      <c r="H1021" s="633">
        <f t="shared" si="330"/>
        <v>119645.99999999999</v>
      </c>
      <c r="I1021" s="666">
        <v>242</v>
      </c>
      <c r="J1021" s="580">
        <f t="shared" si="322"/>
        <v>37848.799999999996</v>
      </c>
      <c r="K1021" s="631">
        <f t="shared" si="323"/>
        <v>157494.79999999999</v>
      </c>
      <c r="L1021" s="1073"/>
      <c r="M1021" s="574"/>
      <c r="N1021" s="667">
        <f t="shared" si="320"/>
        <v>156.39999999999998</v>
      </c>
      <c r="O1021" s="636">
        <v>0</v>
      </c>
      <c r="P1021" s="637">
        <v>156.39999999999998</v>
      </c>
      <c r="Q1021" s="574"/>
      <c r="R1021" s="574"/>
      <c r="S1021" s="574"/>
    </row>
    <row r="1022" spans="1:19" ht="21.3">
      <c r="A1022" s="665"/>
      <c r="B1022" s="617"/>
      <c r="C1022" s="1125" t="s">
        <v>305</v>
      </c>
      <c r="D1022" s="1126"/>
      <c r="E1022" s="637">
        <f t="shared" si="316"/>
        <v>0</v>
      </c>
      <c r="F1022" s="619"/>
      <c r="G1022" s="572"/>
      <c r="H1022" s="580"/>
      <c r="I1022" s="572"/>
      <c r="J1022" s="580">
        <f t="shared" si="322"/>
        <v>0</v>
      </c>
      <c r="K1022" s="631">
        <f t="shared" si="323"/>
        <v>0</v>
      </c>
      <c r="L1022" s="1073"/>
      <c r="M1022" s="574"/>
      <c r="N1022" s="629">
        <f t="shared" si="320"/>
        <v>0</v>
      </c>
      <c r="O1022" s="630">
        <v>0</v>
      </c>
      <c r="P1022" s="624"/>
      <c r="Q1022" s="574"/>
      <c r="R1022" s="574"/>
      <c r="S1022" s="574"/>
    </row>
    <row r="1023" spans="1:19" ht="21.3">
      <c r="A1023" s="665"/>
      <c r="B1023" s="617" t="s">
        <v>306</v>
      </c>
      <c r="C1023" s="1125" t="s">
        <v>307</v>
      </c>
      <c r="D1023" s="1126"/>
      <c r="E1023" s="637">
        <f t="shared" si="316"/>
        <v>0</v>
      </c>
      <c r="F1023" s="625" t="s">
        <v>34</v>
      </c>
      <c r="G1023" s="666"/>
      <c r="H1023" s="633">
        <v>0</v>
      </c>
      <c r="I1023" s="666"/>
      <c r="J1023" s="580">
        <f t="shared" si="322"/>
        <v>0</v>
      </c>
      <c r="K1023" s="631">
        <f t="shared" si="323"/>
        <v>0</v>
      </c>
      <c r="L1023" s="1073"/>
      <c r="M1023" s="574"/>
      <c r="N1023" s="667">
        <f t="shared" si="320"/>
        <v>0</v>
      </c>
      <c r="O1023" s="636">
        <v>0</v>
      </c>
      <c r="P1023" s="637"/>
      <c r="Q1023" s="574"/>
      <c r="R1023" s="574"/>
      <c r="S1023" s="574"/>
    </row>
    <row r="1024" spans="1:19" ht="21.3">
      <c r="A1024" s="665"/>
      <c r="B1024" s="617" t="s">
        <v>308</v>
      </c>
      <c r="C1024" s="617" t="s">
        <v>309</v>
      </c>
      <c r="D1024" s="617"/>
      <c r="E1024" s="637">
        <f t="shared" si="316"/>
        <v>0</v>
      </c>
      <c r="F1024" s="625" t="s">
        <v>34</v>
      </c>
      <c r="G1024" s="666">
        <v>1296</v>
      </c>
      <c r="H1024" s="633">
        <f t="shared" ref="H1024:H1035" si="332">SUM(E1024*G1024)</f>
        <v>0</v>
      </c>
      <c r="I1024" s="666">
        <v>1600</v>
      </c>
      <c r="J1024" s="580">
        <f t="shared" si="322"/>
        <v>0</v>
      </c>
      <c r="K1024" s="631">
        <f t="shared" si="323"/>
        <v>0</v>
      </c>
      <c r="L1024" s="1073"/>
      <c r="M1024" s="574"/>
      <c r="N1024" s="667">
        <f t="shared" si="320"/>
        <v>0</v>
      </c>
      <c r="O1024" s="636">
        <v>0</v>
      </c>
      <c r="P1024" s="637"/>
      <c r="Q1024" s="574"/>
      <c r="R1024" s="574"/>
      <c r="S1024" s="574"/>
    </row>
    <row r="1025" spans="1:19" ht="21.3">
      <c r="A1025" s="665"/>
      <c r="B1025" s="617"/>
      <c r="C1025" s="617" t="s">
        <v>310</v>
      </c>
      <c r="D1025" s="617"/>
      <c r="E1025" s="637">
        <f t="shared" si="316"/>
        <v>0</v>
      </c>
      <c r="F1025" s="619"/>
      <c r="G1025" s="666"/>
      <c r="H1025" s="633">
        <f t="shared" si="332"/>
        <v>0</v>
      </c>
      <c r="I1025" s="666"/>
      <c r="J1025" s="580">
        <f t="shared" si="322"/>
        <v>0</v>
      </c>
      <c r="K1025" s="631">
        <f t="shared" si="323"/>
        <v>0</v>
      </c>
      <c r="L1025" s="1073"/>
      <c r="M1025" s="574"/>
      <c r="N1025" s="629">
        <f t="shared" si="320"/>
        <v>0</v>
      </c>
      <c r="O1025" s="630">
        <v>0</v>
      </c>
      <c r="P1025" s="624"/>
      <c r="Q1025" s="574"/>
      <c r="R1025" s="574"/>
      <c r="S1025" s="574"/>
    </row>
    <row r="1026" spans="1:19" ht="21.3">
      <c r="A1026" s="665"/>
      <c r="B1026" s="617" t="s">
        <v>311</v>
      </c>
      <c r="C1026" s="1125" t="s">
        <v>312</v>
      </c>
      <c r="D1026" s="1126"/>
      <c r="E1026" s="637">
        <f t="shared" si="316"/>
        <v>0</v>
      </c>
      <c r="F1026" s="625" t="s">
        <v>34</v>
      </c>
      <c r="G1026" s="666"/>
      <c r="H1026" s="633">
        <f t="shared" si="332"/>
        <v>0</v>
      </c>
      <c r="I1026" s="666"/>
      <c r="J1026" s="580">
        <f t="shared" si="322"/>
        <v>0</v>
      </c>
      <c r="K1026" s="631">
        <f t="shared" si="323"/>
        <v>0</v>
      </c>
      <c r="L1026" s="1073"/>
      <c r="M1026" s="574"/>
      <c r="N1026" s="667">
        <f t="shared" si="320"/>
        <v>0</v>
      </c>
      <c r="O1026" s="636">
        <v>0</v>
      </c>
      <c r="P1026" s="637"/>
      <c r="Q1026" s="574"/>
      <c r="R1026" s="574"/>
      <c r="S1026" s="574"/>
    </row>
    <row r="1027" spans="1:19" ht="21.3">
      <c r="A1027" s="665"/>
      <c r="B1027" s="617" t="s">
        <v>313</v>
      </c>
      <c r="C1027" s="1125" t="s">
        <v>314</v>
      </c>
      <c r="D1027" s="1126"/>
      <c r="E1027" s="637">
        <f t="shared" si="316"/>
        <v>0</v>
      </c>
      <c r="F1027" s="625" t="s">
        <v>34</v>
      </c>
      <c r="G1027" s="666"/>
      <c r="H1027" s="633">
        <f t="shared" si="332"/>
        <v>0</v>
      </c>
      <c r="I1027" s="666"/>
      <c r="J1027" s="580">
        <f t="shared" si="322"/>
        <v>0</v>
      </c>
      <c r="K1027" s="631">
        <f t="shared" si="323"/>
        <v>0</v>
      </c>
      <c r="L1027" s="1073"/>
      <c r="M1027" s="574"/>
      <c r="N1027" s="667">
        <f t="shared" si="320"/>
        <v>0</v>
      </c>
      <c r="O1027" s="636">
        <v>0</v>
      </c>
      <c r="P1027" s="637"/>
      <c r="Q1027" s="574"/>
      <c r="R1027" s="574"/>
      <c r="S1027" s="574"/>
    </row>
    <row r="1028" spans="1:19" ht="21.3">
      <c r="A1028" s="665"/>
      <c r="B1028" s="617" t="s">
        <v>315</v>
      </c>
      <c r="C1028" s="1125" t="s">
        <v>316</v>
      </c>
      <c r="D1028" s="1126"/>
      <c r="E1028" s="637">
        <f t="shared" si="316"/>
        <v>0</v>
      </c>
      <c r="F1028" s="625" t="s">
        <v>34</v>
      </c>
      <c r="G1028" s="572">
        <v>15000</v>
      </c>
      <c r="H1028" s="580">
        <f t="shared" si="332"/>
        <v>0</v>
      </c>
      <c r="I1028" s="572">
        <v>500</v>
      </c>
      <c r="J1028" s="580">
        <f t="shared" si="322"/>
        <v>0</v>
      </c>
      <c r="K1028" s="631">
        <f t="shared" si="323"/>
        <v>0</v>
      </c>
      <c r="L1028" s="1061"/>
      <c r="M1028" s="574"/>
      <c r="N1028" s="667">
        <f t="shared" si="320"/>
        <v>0</v>
      </c>
      <c r="O1028" s="636">
        <v>0</v>
      </c>
      <c r="P1028" s="637"/>
      <c r="Q1028" s="574"/>
      <c r="R1028" s="574"/>
      <c r="S1028" s="574"/>
    </row>
    <row r="1029" spans="1:19" ht="21.3">
      <c r="A1029" s="665"/>
      <c r="B1029" s="617" t="s">
        <v>317</v>
      </c>
      <c r="C1029" s="1125" t="s">
        <v>318</v>
      </c>
      <c r="D1029" s="1126"/>
      <c r="E1029" s="637">
        <f t="shared" si="316"/>
        <v>584.00399999999991</v>
      </c>
      <c r="F1029" s="625" t="s">
        <v>34</v>
      </c>
      <c r="G1029" s="666">
        <v>88</v>
      </c>
      <c r="H1029" s="633">
        <f t="shared" si="332"/>
        <v>51392.351999999992</v>
      </c>
      <c r="I1029" s="666">
        <v>82</v>
      </c>
      <c r="J1029" s="580">
        <f t="shared" si="322"/>
        <v>47888.327999999994</v>
      </c>
      <c r="K1029" s="631">
        <f t="shared" si="323"/>
        <v>99280.68</v>
      </c>
      <c r="L1029" s="1062"/>
      <c r="M1029" s="574"/>
      <c r="N1029" s="667">
        <f t="shared" si="320"/>
        <v>584.00399999999991</v>
      </c>
      <c r="O1029" s="636">
        <v>0</v>
      </c>
      <c r="P1029" s="637">
        <v>584.00399999999991</v>
      </c>
      <c r="Q1029" s="574"/>
      <c r="R1029" s="574"/>
      <c r="S1029" s="574"/>
    </row>
    <row r="1030" spans="1:19" ht="21.3">
      <c r="A1030" s="665"/>
      <c r="B1030" s="617" t="s">
        <v>319</v>
      </c>
      <c r="C1030" s="1125" t="s">
        <v>320</v>
      </c>
      <c r="D1030" s="1126"/>
      <c r="E1030" s="637">
        <f t="shared" si="316"/>
        <v>0</v>
      </c>
      <c r="F1030" s="625" t="s">
        <v>34</v>
      </c>
      <c r="G1030" s="666">
        <v>1955</v>
      </c>
      <c r="H1030" s="633">
        <f t="shared" si="332"/>
        <v>0</v>
      </c>
      <c r="I1030" s="666">
        <v>1700</v>
      </c>
      <c r="J1030" s="580">
        <f t="shared" si="322"/>
        <v>0</v>
      </c>
      <c r="K1030" s="631">
        <f t="shared" si="323"/>
        <v>0</v>
      </c>
      <c r="L1030" s="1073"/>
      <c r="M1030" s="574"/>
      <c r="N1030" s="667">
        <f t="shared" si="320"/>
        <v>0</v>
      </c>
      <c r="O1030" s="636">
        <v>0</v>
      </c>
      <c r="P1030" s="637"/>
      <c r="Q1030" s="574"/>
      <c r="R1030" s="574"/>
      <c r="S1030" s="574"/>
    </row>
    <row r="1031" spans="1:19" ht="21.3">
      <c r="A1031" s="665"/>
      <c r="B1031" s="617"/>
      <c r="C1031" s="1125" t="s">
        <v>321</v>
      </c>
      <c r="D1031" s="1126"/>
      <c r="E1031" s="637">
        <f t="shared" si="316"/>
        <v>0</v>
      </c>
      <c r="F1031" s="625" t="s">
        <v>34</v>
      </c>
      <c r="G1031" s="666">
        <v>0</v>
      </c>
      <c r="H1031" s="633">
        <f t="shared" si="332"/>
        <v>0</v>
      </c>
      <c r="I1031" s="666">
        <v>0</v>
      </c>
      <c r="J1031" s="580">
        <f t="shared" si="322"/>
        <v>0</v>
      </c>
      <c r="K1031" s="631">
        <f t="shared" si="323"/>
        <v>0</v>
      </c>
      <c r="L1031" s="1073"/>
      <c r="M1031" s="574"/>
      <c r="N1031" s="667">
        <f t="shared" si="320"/>
        <v>0</v>
      </c>
      <c r="O1031" s="636">
        <v>0</v>
      </c>
      <c r="P1031" s="637"/>
      <c r="Q1031" s="574"/>
      <c r="R1031" s="574"/>
      <c r="S1031" s="574"/>
    </row>
    <row r="1032" spans="1:19" ht="21.3">
      <c r="A1032" s="665"/>
      <c r="B1032" s="617" t="s">
        <v>322</v>
      </c>
      <c r="C1032" s="1125" t="s">
        <v>323</v>
      </c>
      <c r="D1032" s="1126"/>
      <c r="E1032" s="637">
        <f t="shared" si="316"/>
        <v>0</v>
      </c>
      <c r="F1032" s="625" t="s">
        <v>34</v>
      </c>
      <c r="G1032" s="666">
        <v>1296</v>
      </c>
      <c r="H1032" s="633">
        <f t="shared" si="332"/>
        <v>0</v>
      </c>
      <c r="I1032" s="666">
        <v>1600</v>
      </c>
      <c r="J1032" s="580">
        <f t="shared" si="322"/>
        <v>0</v>
      </c>
      <c r="K1032" s="631">
        <f t="shared" si="323"/>
        <v>0</v>
      </c>
      <c r="L1032" s="1073"/>
      <c r="M1032" s="574"/>
      <c r="N1032" s="667">
        <f t="shared" si="320"/>
        <v>0</v>
      </c>
      <c r="O1032" s="636">
        <v>0</v>
      </c>
      <c r="P1032" s="637"/>
      <c r="Q1032" s="574"/>
      <c r="R1032" s="574"/>
      <c r="S1032" s="574"/>
    </row>
    <row r="1033" spans="1:19" ht="21.3">
      <c r="A1033" s="665"/>
      <c r="B1033" s="617" t="s">
        <v>324</v>
      </c>
      <c r="C1033" s="1125" t="s">
        <v>325</v>
      </c>
      <c r="D1033" s="1126"/>
      <c r="E1033" s="637">
        <f t="shared" si="316"/>
        <v>0</v>
      </c>
      <c r="F1033" s="625" t="s">
        <v>34</v>
      </c>
      <c r="G1033" s="2048">
        <f>13+69</f>
        <v>82</v>
      </c>
      <c r="H1033" s="633">
        <f t="shared" si="332"/>
        <v>0</v>
      </c>
      <c r="I1033" s="2048">
        <f>30+28</f>
        <v>58</v>
      </c>
      <c r="J1033" s="580">
        <f t="shared" si="322"/>
        <v>0</v>
      </c>
      <c r="K1033" s="631">
        <f t="shared" si="323"/>
        <v>0</v>
      </c>
      <c r="L1033" s="2049"/>
      <c r="M1033" s="574"/>
      <c r="N1033" s="667">
        <f t="shared" si="320"/>
        <v>0</v>
      </c>
      <c r="O1033" s="636">
        <v>0</v>
      </c>
      <c r="P1033" s="637"/>
      <c r="Q1033" s="574"/>
      <c r="R1033" s="574"/>
      <c r="S1033" s="574"/>
    </row>
    <row r="1034" spans="1:19" ht="21.3">
      <c r="A1034" s="665"/>
      <c r="B1034" s="617" t="s">
        <v>326</v>
      </c>
      <c r="C1034" s="1125" t="s">
        <v>327</v>
      </c>
      <c r="D1034" s="1126"/>
      <c r="E1034" s="637">
        <f t="shared" si="316"/>
        <v>0</v>
      </c>
      <c r="F1034" s="625" t="s">
        <v>34</v>
      </c>
      <c r="G1034" s="666"/>
      <c r="H1034" s="633">
        <f t="shared" si="332"/>
        <v>0</v>
      </c>
      <c r="I1034" s="666"/>
      <c r="J1034" s="580">
        <f t="shared" si="322"/>
        <v>0</v>
      </c>
      <c r="K1034" s="631">
        <f t="shared" si="323"/>
        <v>0</v>
      </c>
      <c r="L1034" s="1073"/>
      <c r="M1034" s="574"/>
      <c r="N1034" s="667">
        <f t="shared" si="320"/>
        <v>0</v>
      </c>
      <c r="O1034" s="636">
        <v>0</v>
      </c>
      <c r="P1034" s="637"/>
      <c r="Q1034" s="574"/>
      <c r="R1034" s="574"/>
      <c r="S1034" s="574"/>
    </row>
    <row r="1035" spans="1:19" ht="21.3">
      <c r="A1035" s="665"/>
      <c r="B1035" s="617" t="s">
        <v>328</v>
      </c>
      <c r="C1035" s="617" t="s">
        <v>329</v>
      </c>
      <c r="D1035" s="1126"/>
      <c r="E1035" s="637">
        <f t="shared" si="316"/>
        <v>0</v>
      </c>
      <c r="F1035" s="625" t="s">
        <v>34</v>
      </c>
      <c r="G1035" s="666"/>
      <c r="H1035" s="633">
        <f t="shared" si="332"/>
        <v>0</v>
      </c>
      <c r="I1035" s="666"/>
      <c r="J1035" s="580">
        <f t="shared" si="322"/>
        <v>0</v>
      </c>
      <c r="K1035" s="631">
        <f t="shared" si="323"/>
        <v>0</v>
      </c>
      <c r="L1035" s="1073"/>
      <c r="M1035" s="574"/>
      <c r="N1035" s="667">
        <f t="shared" si="320"/>
        <v>0</v>
      </c>
      <c r="O1035" s="636">
        <v>0</v>
      </c>
      <c r="P1035" s="637"/>
      <c r="Q1035" s="574"/>
      <c r="R1035" s="574"/>
      <c r="S1035" s="574"/>
    </row>
    <row r="1036" spans="1:19" ht="21.3">
      <c r="A1036" s="665"/>
      <c r="B1036" s="617"/>
      <c r="C1036" s="617" t="s">
        <v>330</v>
      </c>
      <c r="D1036" s="1129"/>
      <c r="E1036" s="637"/>
      <c r="F1036" s="625"/>
      <c r="G1036" s="642"/>
      <c r="H1036" s="668"/>
      <c r="I1036" s="642"/>
      <c r="J1036" s="580">
        <f t="shared" si="322"/>
        <v>0</v>
      </c>
      <c r="K1036" s="631">
        <f t="shared" si="323"/>
        <v>0</v>
      </c>
      <c r="L1036" s="1065"/>
      <c r="M1036" s="574"/>
      <c r="N1036" s="669">
        <f t="shared" si="320"/>
        <v>0</v>
      </c>
      <c r="O1036" s="636">
        <v>0</v>
      </c>
      <c r="P1036" s="637"/>
      <c r="Q1036" s="574"/>
      <c r="R1036" s="574"/>
      <c r="S1036" s="574"/>
    </row>
    <row r="1037" spans="1:19" ht="21.3">
      <c r="A1037" s="665"/>
      <c r="B1037" s="617"/>
      <c r="C1037" s="1127" t="s">
        <v>1043</v>
      </c>
      <c r="D1037" s="1126"/>
      <c r="E1037" s="637">
        <f t="shared" ref="E1037" si="333">+N1037</f>
        <v>0</v>
      </c>
      <c r="F1037" s="625" t="s">
        <v>34</v>
      </c>
      <c r="G1037" s="2048">
        <v>69</v>
      </c>
      <c r="H1037" s="633">
        <f t="shared" ref="H1037" si="334">SUM(E1037*G1037)</f>
        <v>0</v>
      </c>
      <c r="I1037" s="2048">
        <v>28</v>
      </c>
      <c r="J1037" s="580">
        <f t="shared" si="322"/>
        <v>0</v>
      </c>
      <c r="K1037" s="631">
        <f t="shared" si="323"/>
        <v>0</v>
      </c>
      <c r="L1037" s="2049"/>
      <c r="M1037" s="574"/>
      <c r="N1037" s="667">
        <f t="shared" si="320"/>
        <v>0</v>
      </c>
      <c r="O1037" s="636">
        <v>0</v>
      </c>
      <c r="P1037" s="637"/>
      <c r="Q1037" s="574"/>
      <c r="R1037" s="574"/>
      <c r="S1037" s="574"/>
    </row>
    <row r="1038" spans="1:19" ht="21.3">
      <c r="A1038" s="665"/>
      <c r="B1038" s="1114"/>
      <c r="C1038" s="617"/>
      <c r="D1038" s="1129"/>
      <c r="E1038" s="637"/>
      <c r="F1038" s="625"/>
      <c r="G1038" s="642"/>
      <c r="H1038" s="668"/>
      <c r="I1038" s="642"/>
      <c r="J1038" s="580">
        <f t="shared" si="322"/>
        <v>0</v>
      </c>
      <c r="K1038" s="631">
        <f t="shared" si="323"/>
        <v>0</v>
      </c>
      <c r="L1038" s="1061"/>
      <c r="M1038" s="574"/>
      <c r="N1038" s="669">
        <f t="shared" si="320"/>
        <v>0</v>
      </c>
      <c r="O1038" s="636">
        <v>0</v>
      </c>
      <c r="P1038" s="637"/>
      <c r="Q1038" s="574"/>
      <c r="R1038" s="574"/>
      <c r="S1038" s="574"/>
    </row>
    <row r="1039" spans="1:19" ht="21.3">
      <c r="A1039" s="665"/>
      <c r="B1039" s="1114"/>
      <c r="C1039" s="617"/>
      <c r="D1039" s="1129"/>
      <c r="E1039" s="637"/>
      <c r="F1039" s="625"/>
      <c r="G1039" s="642"/>
      <c r="H1039" s="668"/>
      <c r="I1039" s="642"/>
      <c r="J1039" s="580"/>
      <c r="K1039" s="631"/>
      <c r="L1039" s="1061"/>
      <c r="M1039" s="574"/>
      <c r="N1039" s="669">
        <f t="shared" si="320"/>
        <v>0</v>
      </c>
      <c r="O1039" s="636">
        <v>0</v>
      </c>
      <c r="P1039" s="637"/>
      <c r="Q1039" s="574"/>
      <c r="R1039" s="574"/>
      <c r="S1039" s="574"/>
    </row>
    <row r="1040" spans="1:19" ht="21.3">
      <c r="A1040" s="665" t="s">
        <v>347</v>
      </c>
      <c r="B1040" s="1114" t="s">
        <v>348</v>
      </c>
      <c r="C1040" s="617"/>
      <c r="D1040" s="1129"/>
      <c r="E1040" s="624"/>
      <c r="F1040" s="625"/>
      <c r="G1040" s="642"/>
      <c r="H1040" s="668"/>
      <c r="I1040" s="642"/>
      <c r="J1040" s="580">
        <f t="shared" si="322"/>
        <v>0</v>
      </c>
      <c r="K1040" s="631">
        <f t="shared" si="323"/>
        <v>0</v>
      </c>
      <c r="L1040" s="1065"/>
      <c r="M1040" s="574"/>
      <c r="N1040" s="629">
        <f t="shared" si="320"/>
        <v>0</v>
      </c>
      <c r="O1040" s="630">
        <v>0</v>
      </c>
      <c r="P1040" s="624"/>
      <c r="Q1040" s="574"/>
      <c r="R1040" s="574"/>
      <c r="S1040" s="574"/>
    </row>
    <row r="1041" spans="1:19" ht="21.3">
      <c r="A1041" s="665"/>
      <c r="B1041" s="1114"/>
      <c r="C1041" s="1125" t="s">
        <v>259</v>
      </c>
      <c r="D1041" s="1124"/>
      <c r="E1041" s="624">
        <v>3569.2230000000004</v>
      </c>
      <c r="F1041" s="625" t="s">
        <v>34</v>
      </c>
      <c r="G1041" s="666">
        <v>281</v>
      </c>
      <c r="H1041" s="633">
        <f>SUM(E1041*G1041)</f>
        <v>1002951.6630000001</v>
      </c>
      <c r="I1041" s="666">
        <v>80</v>
      </c>
      <c r="J1041" s="580">
        <f t="shared" si="322"/>
        <v>285537.84000000003</v>
      </c>
      <c r="K1041" s="631">
        <f t="shared" si="323"/>
        <v>1288489.503</v>
      </c>
      <c r="L1041" s="1073"/>
      <c r="M1041" s="574"/>
      <c r="N1041" s="629">
        <f t="shared" si="320"/>
        <v>0</v>
      </c>
      <c r="O1041" s="630">
        <v>0</v>
      </c>
      <c r="P1041" s="624"/>
      <c r="Q1041" s="574"/>
      <c r="R1041" s="574"/>
      <c r="S1041" s="574"/>
    </row>
    <row r="1042" spans="1:19" ht="21.3">
      <c r="A1042" s="665"/>
      <c r="B1042" s="1114"/>
      <c r="C1042" s="1125" t="s">
        <v>260</v>
      </c>
      <c r="D1042" s="1124"/>
      <c r="E1042" s="624">
        <f>+E1078/2</f>
        <v>0</v>
      </c>
      <c r="F1042" s="625" t="s">
        <v>34</v>
      </c>
      <c r="G1042" s="666">
        <v>712</v>
      </c>
      <c r="H1042" s="633">
        <f>SUM(E1042*G1042)</f>
        <v>0</v>
      </c>
      <c r="I1042" s="666">
        <v>98</v>
      </c>
      <c r="J1042" s="580">
        <f t="shared" si="322"/>
        <v>0</v>
      </c>
      <c r="K1042" s="631">
        <f t="shared" si="323"/>
        <v>0</v>
      </c>
      <c r="L1042" s="1073"/>
      <c r="M1042" s="574"/>
      <c r="N1042" s="629">
        <f t="shared" si="320"/>
        <v>0</v>
      </c>
      <c r="O1042" s="630">
        <v>0</v>
      </c>
      <c r="P1042" s="624"/>
      <c r="Q1042" s="574"/>
      <c r="R1042" s="574"/>
      <c r="S1042" s="574"/>
    </row>
    <row r="1043" spans="1:19" ht="21.3">
      <c r="A1043" s="665"/>
      <c r="B1043" s="1114"/>
      <c r="C1043" s="1125" t="s">
        <v>261</v>
      </c>
      <c r="D1043" s="1124"/>
      <c r="E1043" s="624">
        <f>+E1041*1.33</f>
        <v>4747.0665900000004</v>
      </c>
      <c r="F1043" s="625" t="s">
        <v>226</v>
      </c>
      <c r="G1043" s="666">
        <v>119</v>
      </c>
      <c r="H1043" s="633">
        <f>SUM(E1043*G1043)</f>
        <v>564900.92421000008</v>
      </c>
      <c r="I1043" s="666">
        <v>44</v>
      </c>
      <c r="J1043" s="580">
        <f t="shared" si="322"/>
        <v>208870.92996000001</v>
      </c>
      <c r="K1043" s="631">
        <f t="shared" si="323"/>
        <v>773771.85417000006</v>
      </c>
      <c r="L1043" s="1073"/>
      <c r="M1043" s="574"/>
      <c r="N1043" s="629">
        <f t="shared" si="320"/>
        <v>0</v>
      </c>
      <c r="O1043" s="630">
        <v>0</v>
      </c>
      <c r="P1043" s="624"/>
      <c r="Q1043" s="574"/>
      <c r="R1043" s="574"/>
      <c r="S1043" s="574"/>
    </row>
    <row r="1044" spans="1:19" ht="21.3">
      <c r="A1044" s="665"/>
      <c r="B1044" s="1114"/>
      <c r="C1044" s="1125" t="s">
        <v>262</v>
      </c>
      <c r="D1044" s="1124"/>
      <c r="E1044" s="624">
        <f>+E1042*1.33</f>
        <v>0</v>
      </c>
      <c r="F1044" s="625" t="s">
        <v>226</v>
      </c>
      <c r="G1044" s="666">
        <v>208</v>
      </c>
      <c r="H1044" s="633">
        <f>SUM(E1044*G1044)</f>
        <v>0</v>
      </c>
      <c r="I1044" s="666">
        <v>78</v>
      </c>
      <c r="J1044" s="580">
        <f t="shared" si="322"/>
        <v>0</v>
      </c>
      <c r="K1044" s="631">
        <f t="shared" si="323"/>
        <v>0</v>
      </c>
      <c r="L1044" s="1073"/>
      <c r="M1044" s="574"/>
      <c r="N1044" s="629">
        <f t="shared" si="320"/>
        <v>0</v>
      </c>
      <c r="O1044" s="630">
        <v>0</v>
      </c>
      <c r="P1044" s="624"/>
      <c r="Q1044" s="574"/>
      <c r="R1044" s="574"/>
      <c r="S1044" s="574"/>
    </row>
    <row r="1045" spans="1:19" ht="21.3">
      <c r="A1045" s="665"/>
      <c r="B1045" s="1114"/>
      <c r="C1045" s="1125" t="s">
        <v>263</v>
      </c>
      <c r="D1045" s="1124"/>
      <c r="E1045" s="624">
        <f>+E1074+E1075+E1077+E1082+E1084+E1095</f>
        <v>837.68</v>
      </c>
      <c r="F1045" s="625" t="s">
        <v>34</v>
      </c>
      <c r="G1045" s="666">
        <v>88</v>
      </c>
      <c r="H1045" s="633">
        <f>SUM(E1045*G1045)</f>
        <v>73715.839999999997</v>
      </c>
      <c r="I1045" s="666">
        <v>82</v>
      </c>
      <c r="J1045" s="580">
        <f t="shared" si="322"/>
        <v>68689.759999999995</v>
      </c>
      <c r="K1045" s="631">
        <f t="shared" si="323"/>
        <v>142405.59999999998</v>
      </c>
      <c r="L1045" s="1062"/>
      <c r="M1045" s="574"/>
      <c r="N1045" s="629">
        <f t="shared" si="320"/>
        <v>0</v>
      </c>
      <c r="O1045" s="630">
        <v>0</v>
      </c>
      <c r="P1045" s="624"/>
      <c r="Q1045" s="574"/>
      <c r="R1045" s="574"/>
      <c r="S1045" s="574"/>
    </row>
    <row r="1046" spans="1:19" ht="21.3">
      <c r="A1046" s="665"/>
      <c r="B1046" s="617" t="s">
        <v>264</v>
      </c>
      <c r="C1046" s="1125" t="s">
        <v>265</v>
      </c>
      <c r="D1046" s="1126"/>
      <c r="E1046" s="637">
        <f>+N1046</f>
        <v>0</v>
      </c>
      <c r="F1046" s="625" t="s">
        <v>34</v>
      </c>
      <c r="G1046" s="666">
        <v>88</v>
      </c>
      <c r="H1046" s="633">
        <f t="shared" ref="H1046:H1053" si="335">SUM(E1046*G1046)</f>
        <v>0</v>
      </c>
      <c r="I1046" s="666">
        <v>95</v>
      </c>
      <c r="J1046" s="580">
        <f t="shared" si="322"/>
        <v>0</v>
      </c>
      <c r="K1046" s="631">
        <f t="shared" si="323"/>
        <v>0</v>
      </c>
      <c r="L1046" s="1062"/>
      <c r="M1046" s="574"/>
      <c r="N1046" s="667">
        <f t="shared" si="320"/>
        <v>0</v>
      </c>
      <c r="O1046" s="636">
        <v>0</v>
      </c>
      <c r="P1046" s="637"/>
      <c r="Q1046" s="574"/>
      <c r="R1046" s="574"/>
      <c r="S1046" s="574"/>
    </row>
    <row r="1047" spans="1:19" ht="21.3">
      <c r="A1047" s="665"/>
      <c r="B1047" s="617"/>
      <c r="C1047" s="1125" t="s">
        <v>266</v>
      </c>
      <c r="D1047" s="1126"/>
      <c r="E1047" s="637">
        <f t="shared" ref="E1047:E1096" si="336">+N1047</f>
        <v>0</v>
      </c>
      <c r="F1047" s="625" t="s">
        <v>34</v>
      </c>
      <c r="G1047" s="2048">
        <v>69</v>
      </c>
      <c r="H1047" s="633">
        <f t="shared" si="335"/>
        <v>0</v>
      </c>
      <c r="I1047" s="2048">
        <v>28</v>
      </c>
      <c r="J1047" s="580">
        <f t="shared" si="322"/>
        <v>0</v>
      </c>
      <c r="K1047" s="631">
        <f t="shared" si="323"/>
        <v>0</v>
      </c>
      <c r="L1047" s="2049"/>
      <c r="M1047" s="574"/>
      <c r="N1047" s="667">
        <f t="shared" si="320"/>
        <v>0</v>
      </c>
      <c r="O1047" s="636">
        <v>0</v>
      </c>
      <c r="P1047" s="637"/>
      <c r="Q1047" s="574"/>
      <c r="R1047" s="574"/>
      <c r="S1047" s="574"/>
    </row>
    <row r="1048" spans="1:19" ht="21.3">
      <c r="A1048" s="665"/>
      <c r="B1048" s="617" t="s">
        <v>267</v>
      </c>
      <c r="C1048" s="1125" t="s">
        <v>268</v>
      </c>
      <c r="D1048" s="1126"/>
      <c r="E1048" s="637">
        <f t="shared" si="336"/>
        <v>3933.2310000000007</v>
      </c>
      <c r="F1048" s="625" t="s">
        <v>34</v>
      </c>
      <c r="G1048" s="666">
        <v>88</v>
      </c>
      <c r="H1048" s="633">
        <f t="shared" si="335"/>
        <v>346124.32800000004</v>
      </c>
      <c r="I1048" s="666">
        <v>82</v>
      </c>
      <c r="J1048" s="580">
        <f t="shared" si="322"/>
        <v>322524.94200000004</v>
      </c>
      <c r="K1048" s="631">
        <f t="shared" si="323"/>
        <v>668649.27</v>
      </c>
      <c r="L1048" s="1062"/>
      <c r="M1048" s="574"/>
      <c r="N1048" s="667">
        <f t="shared" si="320"/>
        <v>3933.2310000000007</v>
      </c>
      <c r="O1048" s="636">
        <v>0</v>
      </c>
      <c r="P1048" s="637">
        <v>3933.2310000000007</v>
      </c>
      <c r="Q1048" s="574">
        <f>81*3.72*3.6</f>
        <v>1084.752</v>
      </c>
      <c r="R1048" s="574"/>
      <c r="S1048" s="574"/>
    </row>
    <row r="1049" spans="1:19" ht="21.3">
      <c r="A1049" s="665"/>
      <c r="B1049" s="617"/>
      <c r="C1049" s="1125"/>
      <c r="D1049" s="1126"/>
      <c r="E1049" s="637"/>
      <c r="F1049" s="625"/>
      <c r="G1049" s="666"/>
      <c r="H1049" s="633"/>
      <c r="I1049" s="666"/>
      <c r="J1049" s="580"/>
      <c r="K1049" s="631"/>
      <c r="L1049" s="1062"/>
      <c r="M1049" s="574"/>
      <c r="N1049" s="667"/>
      <c r="O1049" s="636"/>
      <c r="P1049" s="637"/>
      <c r="Q1049" s="574"/>
      <c r="R1049" s="574"/>
      <c r="S1049" s="574"/>
    </row>
    <row r="1050" spans="1:19" ht="21.3">
      <c r="A1050" s="665"/>
      <c r="B1050" s="617" t="s">
        <v>269</v>
      </c>
      <c r="C1050" s="1125" t="s">
        <v>265</v>
      </c>
      <c r="D1050" s="1126"/>
      <c r="E1050" s="637">
        <f t="shared" si="336"/>
        <v>547.41999999999996</v>
      </c>
      <c r="F1050" s="625" t="s">
        <v>34</v>
      </c>
      <c r="G1050" s="666">
        <v>88</v>
      </c>
      <c r="H1050" s="633">
        <f t="shared" si="335"/>
        <v>48172.959999999999</v>
      </c>
      <c r="I1050" s="666">
        <v>82</v>
      </c>
      <c r="J1050" s="580">
        <f t="shared" si="322"/>
        <v>44888.439999999995</v>
      </c>
      <c r="K1050" s="631">
        <f t="shared" si="323"/>
        <v>93061.4</v>
      </c>
      <c r="L1050" s="1062"/>
      <c r="M1050" s="574"/>
      <c r="N1050" s="667">
        <f t="shared" si="320"/>
        <v>547.41999999999996</v>
      </c>
      <c r="O1050" s="636">
        <v>0</v>
      </c>
      <c r="P1050" s="637">
        <v>547.41999999999996</v>
      </c>
      <c r="Q1050" s="574"/>
      <c r="R1050" s="574"/>
      <c r="S1050" s="574"/>
    </row>
    <row r="1051" spans="1:19" ht="21.3">
      <c r="A1051" s="665"/>
      <c r="B1051" s="617"/>
      <c r="C1051" s="1125" t="s">
        <v>270</v>
      </c>
      <c r="D1051" s="1126"/>
      <c r="E1051" s="637">
        <f t="shared" si="336"/>
        <v>547.41999999999996</v>
      </c>
      <c r="F1051" s="625" t="s">
        <v>34</v>
      </c>
      <c r="G1051" s="2048">
        <v>69</v>
      </c>
      <c r="H1051" s="633">
        <f t="shared" si="335"/>
        <v>37771.979999999996</v>
      </c>
      <c r="I1051" s="2048">
        <v>28</v>
      </c>
      <c r="J1051" s="580">
        <f t="shared" si="322"/>
        <v>15327.759999999998</v>
      </c>
      <c r="K1051" s="631">
        <f t="shared" si="323"/>
        <v>53099.739999999991</v>
      </c>
      <c r="L1051" s="2049"/>
      <c r="M1051" s="574"/>
      <c r="N1051" s="667">
        <f t="shared" si="320"/>
        <v>547.41999999999996</v>
      </c>
      <c r="O1051" s="636">
        <v>0</v>
      </c>
      <c r="P1051" s="637">
        <v>547.41999999999996</v>
      </c>
      <c r="Q1051" s="574"/>
      <c r="R1051" s="574"/>
      <c r="S1051" s="574"/>
    </row>
    <row r="1052" spans="1:19" ht="21.3">
      <c r="A1052" s="665"/>
      <c r="B1052" s="617" t="s">
        <v>271</v>
      </c>
      <c r="C1052" s="1125" t="s">
        <v>272</v>
      </c>
      <c r="D1052" s="1126"/>
      <c r="E1052" s="637">
        <f t="shared" si="336"/>
        <v>0</v>
      </c>
      <c r="F1052" s="625" t="s">
        <v>34</v>
      </c>
      <c r="G1052" s="666">
        <v>103</v>
      </c>
      <c r="H1052" s="633">
        <f t="shared" si="335"/>
        <v>0</v>
      </c>
      <c r="I1052" s="666">
        <v>115</v>
      </c>
      <c r="J1052" s="580">
        <f t="shared" si="322"/>
        <v>0</v>
      </c>
      <c r="K1052" s="631">
        <f t="shared" si="323"/>
        <v>0</v>
      </c>
      <c r="L1052" s="1062"/>
      <c r="M1052" s="574"/>
      <c r="N1052" s="667">
        <f t="shared" si="320"/>
        <v>0</v>
      </c>
      <c r="O1052" s="636">
        <v>0</v>
      </c>
      <c r="P1052" s="637"/>
      <c r="Q1052" s="574"/>
      <c r="R1052" s="574"/>
      <c r="S1052" s="574"/>
    </row>
    <row r="1053" spans="1:19" ht="21.3">
      <c r="A1053" s="665"/>
      <c r="B1053" s="617"/>
      <c r="C1053" s="1125" t="s">
        <v>273</v>
      </c>
      <c r="D1053" s="1126"/>
      <c r="E1053" s="637">
        <f t="shared" si="336"/>
        <v>0</v>
      </c>
      <c r="F1053" s="625" t="s">
        <v>34</v>
      </c>
      <c r="G1053" s="2048">
        <v>69</v>
      </c>
      <c r="H1053" s="633">
        <f t="shared" si="335"/>
        <v>0</v>
      </c>
      <c r="I1053" s="2048">
        <v>28</v>
      </c>
      <c r="J1053" s="580">
        <f t="shared" si="322"/>
        <v>0</v>
      </c>
      <c r="K1053" s="631">
        <f t="shared" si="323"/>
        <v>0</v>
      </c>
      <c r="L1053" s="2049"/>
      <c r="M1053" s="574"/>
      <c r="N1053" s="667">
        <f t="shared" si="320"/>
        <v>0</v>
      </c>
      <c r="O1053" s="636">
        <v>0</v>
      </c>
      <c r="P1053" s="637"/>
      <c r="Q1053" s="574"/>
      <c r="R1053" s="574"/>
      <c r="S1053" s="574"/>
    </row>
    <row r="1054" spans="1:19" ht="21.3">
      <c r="A1054" s="665"/>
      <c r="B1054" s="617" t="s">
        <v>274</v>
      </c>
      <c r="C1054" s="1125" t="s">
        <v>275</v>
      </c>
      <c r="D1054" s="1126"/>
      <c r="E1054" s="637">
        <f t="shared" si="336"/>
        <v>0</v>
      </c>
      <c r="F1054" s="625" t="s">
        <v>34</v>
      </c>
      <c r="G1054" s="572">
        <v>1500</v>
      </c>
      <c r="H1054" s="580">
        <f t="shared" ref="H1054" si="337">E1054*G1054</f>
        <v>0</v>
      </c>
      <c r="I1054" s="572">
        <v>500</v>
      </c>
      <c r="J1054" s="580">
        <f t="shared" si="322"/>
        <v>0</v>
      </c>
      <c r="K1054" s="631">
        <f t="shared" si="323"/>
        <v>0</v>
      </c>
      <c r="L1054" s="1061"/>
      <c r="M1054" s="574"/>
      <c r="N1054" s="667">
        <f t="shared" si="320"/>
        <v>0</v>
      </c>
      <c r="O1054" s="636">
        <v>0</v>
      </c>
      <c r="P1054" s="637"/>
      <c r="Q1054" s="574"/>
      <c r="R1054" s="574"/>
      <c r="S1054" s="574"/>
    </row>
    <row r="1055" spans="1:19" ht="21.3">
      <c r="A1055" s="665"/>
      <c r="B1055" s="617"/>
      <c r="C1055" s="1125" t="s">
        <v>273</v>
      </c>
      <c r="D1055" s="1126"/>
      <c r="E1055" s="637">
        <f t="shared" si="336"/>
        <v>0</v>
      </c>
      <c r="F1055" s="625" t="s">
        <v>34</v>
      </c>
      <c r="G1055" s="2048">
        <v>69</v>
      </c>
      <c r="H1055" s="633">
        <f t="shared" ref="H1055" si="338">SUM(E1055*G1055)</f>
        <v>0</v>
      </c>
      <c r="I1055" s="2048">
        <v>28</v>
      </c>
      <c r="J1055" s="580">
        <f t="shared" si="322"/>
        <v>0</v>
      </c>
      <c r="K1055" s="631">
        <f t="shared" si="323"/>
        <v>0</v>
      </c>
      <c r="L1055" s="2049"/>
      <c r="M1055" s="574"/>
      <c r="N1055" s="667">
        <f t="shared" si="320"/>
        <v>0</v>
      </c>
      <c r="O1055" s="636">
        <v>0</v>
      </c>
      <c r="P1055" s="637"/>
      <c r="Q1055" s="574"/>
      <c r="R1055" s="574"/>
      <c r="S1055" s="574"/>
    </row>
    <row r="1056" spans="1:19" ht="21.3">
      <c r="A1056" s="665"/>
      <c r="B1056" s="617" t="s">
        <v>276</v>
      </c>
      <c r="C1056" s="1125" t="s">
        <v>277</v>
      </c>
      <c r="D1056" s="1126"/>
      <c r="E1056" s="637">
        <f t="shared" si="336"/>
        <v>0</v>
      </c>
      <c r="F1056" s="625" t="s">
        <v>34</v>
      </c>
      <c r="G1056" s="572">
        <v>492</v>
      </c>
      <c r="H1056" s="580">
        <f t="shared" ref="H1056" si="339">E1056*G1056</f>
        <v>0</v>
      </c>
      <c r="I1056" s="572">
        <v>130</v>
      </c>
      <c r="J1056" s="580">
        <f t="shared" si="322"/>
        <v>0</v>
      </c>
      <c r="K1056" s="631">
        <f t="shared" si="323"/>
        <v>0</v>
      </c>
      <c r="L1056" s="2049"/>
      <c r="M1056" s="574"/>
      <c r="N1056" s="667">
        <f t="shared" si="320"/>
        <v>0</v>
      </c>
      <c r="O1056" s="636">
        <v>0</v>
      </c>
      <c r="P1056" s="637"/>
      <c r="Q1056" s="574"/>
      <c r="R1056" s="574"/>
      <c r="S1056" s="574"/>
    </row>
    <row r="1057" spans="1:19" ht="21.3">
      <c r="A1057" s="665"/>
      <c r="B1057" s="617"/>
      <c r="C1057" s="1125" t="s">
        <v>278</v>
      </c>
      <c r="D1057" s="1126"/>
      <c r="E1057" s="637">
        <f t="shared" si="336"/>
        <v>0</v>
      </c>
      <c r="F1057" s="619"/>
      <c r="G1057" s="572"/>
      <c r="H1057" s="580"/>
      <c r="I1057" s="572"/>
      <c r="J1057" s="580">
        <f t="shared" si="322"/>
        <v>0</v>
      </c>
      <c r="K1057" s="631">
        <f t="shared" si="323"/>
        <v>0</v>
      </c>
      <c r="L1057" s="2049"/>
      <c r="M1057" s="574"/>
      <c r="N1057" s="629">
        <f t="shared" si="320"/>
        <v>0</v>
      </c>
      <c r="O1057" s="630">
        <v>0</v>
      </c>
      <c r="P1057" s="624"/>
      <c r="Q1057" s="574"/>
      <c r="R1057" s="574"/>
      <c r="S1057" s="574"/>
    </row>
    <row r="1058" spans="1:19" ht="21.3">
      <c r="A1058" s="665"/>
      <c r="B1058" s="617" t="s">
        <v>279</v>
      </c>
      <c r="C1058" s="1125" t="s">
        <v>280</v>
      </c>
      <c r="D1058" s="1126"/>
      <c r="E1058" s="637">
        <f t="shared" si="336"/>
        <v>0</v>
      </c>
      <c r="F1058" s="625" t="s">
        <v>34</v>
      </c>
      <c r="G1058" s="572">
        <v>256</v>
      </c>
      <c r="H1058" s="580">
        <f t="shared" ref="H1058" si="340">E1058*G1058</f>
        <v>0</v>
      </c>
      <c r="I1058" s="572">
        <v>100</v>
      </c>
      <c r="J1058" s="580">
        <f t="shared" si="322"/>
        <v>0</v>
      </c>
      <c r="K1058" s="631">
        <f t="shared" si="323"/>
        <v>0</v>
      </c>
      <c r="L1058" s="2049"/>
      <c r="M1058" s="574"/>
      <c r="N1058" s="667">
        <f t="shared" si="320"/>
        <v>0</v>
      </c>
      <c r="O1058" s="636">
        <v>0</v>
      </c>
      <c r="P1058" s="624"/>
      <c r="Q1058" s="574"/>
      <c r="R1058" s="574"/>
      <c r="S1058" s="574"/>
    </row>
    <row r="1059" spans="1:19" ht="21.3">
      <c r="A1059" s="665"/>
      <c r="B1059" s="617"/>
      <c r="C1059" s="1125" t="s">
        <v>281</v>
      </c>
      <c r="D1059" s="1126"/>
      <c r="E1059" s="637">
        <f t="shared" si="336"/>
        <v>0</v>
      </c>
      <c r="F1059" s="619"/>
      <c r="G1059" s="572"/>
      <c r="H1059" s="580"/>
      <c r="I1059" s="572"/>
      <c r="J1059" s="580">
        <f t="shared" si="322"/>
        <v>0</v>
      </c>
      <c r="K1059" s="631">
        <f t="shared" si="323"/>
        <v>0</v>
      </c>
      <c r="L1059" s="2049"/>
      <c r="M1059" s="574"/>
      <c r="N1059" s="629">
        <f t="shared" si="320"/>
        <v>0</v>
      </c>
      <c r="O1059" s="630">
        <v>0</v>
      </c>
      <c r="P1059" s="624"/>
      <c r="Q1059" s="574"/>
      <c r="R1059" s="574"/>
      <c r="S1059" s="574"/>
    </row>
    <row r="1060" spans="1:19" ht="21.3">
      <c r="A1060" s="665"/>
      <c r="B1060" s="617" t="s">
        <v>282</v>
      </c>
      <c r="C1060" s="1125" t="s">
        <v>280</v>
      </c>
      <c r="D1060" s="1126"/>
      <c r="E1060" s="637">
        <f t="shared" si="336"/>
        <v>0</v>
      </c>
      <c r="F1060" s="625" t="s">
        <v>34</v>
      </c>
      <c r="G1060" s="572">
        <v>256</v>
      </c>
      <c r="H1060" s="580">
        <f t="shared" ref="H1060" si="341">E1060*G1060</f>
        <v>0</v>
      </c>
      <c r="I1060" s="572">
        <v>100</v>
      </c>
      <c r="J1060" s="580">
        <f t="shared" si="322"/>
        <v>0</v>
      </c>
      <c r="K1060" s="631">
        <f t="shared" si="323"/>
        <v>0</v>
      </c>
      <c r="L1060" s="2049"/>
      <c r="M1060" s="574"/>
      <c r="N1060" s="667">
        <f t="shared" si="320"/>
        <v>0</v>
      </c>
      <c r="O1060" s="636">
        <v>0</v>
      </c>
      <c r="P1060" s="637"/>
      <c r="Q1060" s="574"/>
      <c r="R1060" s="574"/>
      <c r="S1060" s="574"/>
    </row>
    <row r="1061" spans="1:19" ht="21.3">
      <c r="A1061" s="665"/>
      <c r="B1061" s="617"/>
      <c r="C1061" s="1125" t="s">
        <v>281</v>
      </c>
      <c r="D1061" s="1126"/>
      <c r="E1061" s="637">
        <f t="shared" si="336"/>
        <v>0</v>
      </c>
      <c r="F1061" s="619"/>
      <c r="G1061" s="572"/>
      <c r="H1061" s="580"/>
      <c r="I1061" s="572"/>
      <c r="J1061" s="580">
        <f t="shared" si="322"/>
        <v>0</v>
      </c>
      <c r="K1061" s="631">
        <f t="shared" si="323"/>
        <v>0</v>
      </c>
      <c r="L1061" s="1062"/>
      <c r="M1061" s="574"/>
      <c r="N1061" s="629">
        <f t="shared" si="320"/>
        <v>0</v>
      </c>
      <c r="O1061" s="630">
        <v>0</v>
      </c>
      <c r="P1061" s="624"/>
      <c r="Q1061" s="574"/>
      <c r="R1061" s="574"/>
      <c r="S1061" s="574"/>
    </row>
    <row r="1062" spans="1:19" ht="21.3">
      <c r="A1062" s="665"/>
      <c r="B1062" s="617"/>
      <c r="C1062" s="1125" t="s">
        <v>283</v>
      </c>
      <c r="D1062" s="1126"/>
      <c r="E1062" s="637">
        <f t="shared" si="336"/>
        <v>0</v>
      </c>
      <c r="F1062" s="625" t="s">
        <v>34</v>
      </c>
      <c r="G1062" s="2048">
        <v>69</v>
      </c>
      <c r="H1062" s="633">
        <f t="shared" ref="H1062" si="342">SUM(E1062*G1062)</f>
        <v>0</v>
      </c>
      <c r="I1062" s="2048">
        <v>28</v>
      </c>
      <c r="J1062" s="580">
        <f t="shared" si="322"/>
        <v>0</v>
      </c>
      <c r="K1062" s="631">
        <f t="shared" si="323"/>
        <v>0</v>
      </c>
      <c r="L1062" s="2049"/>
      <c r="M1062" s="574"/>
      <c r="N1062" s="667">
        <f t="shared" si="320"/>
        <v>0</v>
      </c>
      <c r="O1062" s="636">
        <v>0</v>
      </c>
      <c r="P1062" s="637"/>
      <c r="Q1062" s="574"/>
      <c r="R1062" s="574"/>
      <c r="S1062" s="574"/>
    </row>
    <row r="1063" spans="1:19" ht="21.3">
      <c r="A1063" s="665"/>
      <c r="B1063" s="617" t="s">
        <v>284</v>
      </c>
      <c r="C1063" s="1125" t="s">
        <v>280</v>
      </c>
      <c r="D1063" s="1126"/>
      <c r="E1063" s="637">
        <f t="shared" si="336"/>
        <v>0</v>
      </c>
      <c r="F1063" s="625" t="s">
        <v>34</v>
      </c>
      <c r="G1063" s="572">
        <v>592</v>
      </c>
      <c r="H1063" s="580">
        <f t="shared" ref="H1063" si="343">E1063*G1063</f>
        <v>0</v>
      </c>
      <c r="I1063" s="572">
        <v>165</v>
      </c>
      <c r="J1063" s="580">
        <f t="shared" si="322"/>
        <v>0</v>
      </c>
      <c r="K1063" s="631">
        <f t="shared" si="323"/>
        <v>0</v>
      </c>
      <c r="L1063" s="2049"/>
      <c r="M1063" s="574"/>
      <c r="N1063" s="667">
        <f t="shared" si="320"/>
        <v>0</v>
      </c>
      <c r="O1063" s="636">
        <v>0</v>
      </c>
      <c r="P1063" s="637"/>
      <c r="Q1063" s="574"/>
      <c r="R1063" s="574"/>
      <c r="S1063" s="574"/>
    </row>
    <row r="1064" spans="1:19" ht="21.3">
      <c r="A1064" s="665"/>
      <c r="B1064" s="617"/>
      <c r="C1064" s="1125" t="s">
        <v>285</v>
      </c>
      <c r="D1064" s="1126"/>
      <c r="E1064" s="637">
        <f t="shared" si="336"/>
        <v>0</v>
      </c>
      <c r="F1064" s="619"/>
      <c r="G1064" s="572"/>
      <c r="H1064" s="580"/>
      <c r="I1064" s="572"/>
      <c r="J1064" s="580">
        <f t="shared" si="322"/>
        <v>0</v>
      </c>
      <c r="K1064" s="631">
        <f t="shared" si="323"/>
        <v>0</v>
      </c>
      <c r="L1064" s="1062"/>
      <c r="M1064" s="574"/>
      <c r="N1064" s="629">
        <f t="shared" si="320"/>
        <v>0</v>
      </c>
      <c r="O1064" s="630">
        <v>0</v>
      </c>
      <c r="P1064" s="624"/>
      <c r="Q1064" s="574"/>
      <c r="R1064" s="574"/>
      <c r="S1064" s="574"/>
    </row>
    <row r="1065" spans="1:19" ht="21.3">
      <c r="A1065" s="665"/>
      <c r="B1065" s="617" t="s">
        <v>286</v>
      </c>
      <c r="C1065" s="1125" t="s">
        <v>280</v>
      </c>
      <c r="D1065" s="1126"/>
      <c r="E1065" s="637">
        <f t="shared" si="336"/>
        <v>0</v>
      </c>
      <c r="F1065" s="625" t="s">
        <v>34</v>
      </c>
      <c r="G1065" s="572">
        <v>642</v>
      </c>
      <c r="H1065" s="580">
        <f t="shared" ref="H1065" si="344">E1065*G1065</f>
        <v>0</v>
      </c>
      <c r="I1065" s="572">
        <v>183</v>
      </c>
      <c r="J1065" s="580">
        <f t="shared" si="322"/>
        <v>0</v>
      </c>
      <c r="K1065" s="631">
        <f t="shared" si="323"/>
        <v>0</v>
      </c>
      <c r="L1065" s="2049"/>
      <c r="M1065" s="574"/>
      <c r="N1065" s="667">
        <f t="shared" ref="N1065:N1136" si="345">+(1+O1065)*P1065</f>
        <v>0</v>
      </c>
      <c r="O1065" s="636">
        <v>0</v>
      </c>
      <c r="P1065" s="637"/>
      <c r="Q1065" s="574"/>
      <c r="R1065" s="574"/>
      <c r="S1065" s="574"/>
    </row>
    <row r="1066" spans="1:19" ht="21.3">
      <c r="A1066" s="665"/>
      <c r="B1066" s="617"/>
      <c r="C1066" s="1125" t="s">
        <v>287</v>
      </c>
      <c r="D1066" s="1126"/>
      <c r="E1066" s="637">
        <f t="shared" si="336"/>
        <v>0</v>
      </c>
      <c r="F1066" s="619"/>
      <c r="G1066" s="572"/>
      <c r="H1066" s="580"/>
      <c r="I1066" s="572"/>
      <c r="J1066" s="580">
        <f t="shared" si="322"/>
        <v>0</v>
      </c>
      <c r="K1066" s="631">
        <f t="shared" si="323"/>
        <v>0</v>
      </c>
      <c r="L1066" s="1073"/>
      <c r="M1066" s="574"/>
      <c r="N1066" s="629">
        <f t="shared" si="345"/>
        <v>0</v>
      </c>
      <c r="O1066" s="630">
        <v>0</v>
      </c>
      <c r="P1066" s="624"/>
      <c r="Q1066" s="574"/>
      <c r="R1066" s="574"/>
      <c r="S1066" s="574"/>
    </row>
    <row r="1067" spans="1:19" ht="21.3">
      <c r="A1067" s="665"/>
      <c r="B1067" s="617"/>
      <c r="C1067" s="1125" t="s">
        <v>288</v>
      </c>
      <c r="D1067" s="1126"/>
      <c r="E1067" s="637">
        <f t="shared" si="336"/>
        <v>0</v>
      </c>
      <c r="F1067" s="619"/>
      <c r="G1067" s="572"/>
      <c r="H1067" s="580"/>
      <c r="I1067" s="572"/>
      <c r="J1067" s="580">
        <f t="shared" si="322"/>
        <v>0</v>
      </c>
      <c r="K1067" s="631">
        <f t="shared" si="323"/>
        <v>0</v>
      </c>
      <c r="L1067" s="1073"/>
      <c r="M1067" s="574"/>
      <c r="N1067" s="629">
        <f t="shared" si="345"/>
        <v>0</v>
      </c>
      <c r="O1067" s="630">
        <v>0</v>
      </c>
      <c r="P1067" s="624"/>
      <c r="Q1067" s="574"/>
      <c r="R1067" s="574"/>
      <c r="S1067" s="574"/>
    </row>
    <row r="1068" spans="1:19" ht="21.3">
      <c r="A1068" s="665"/>
      <c r="B1068" s="617" t="s">
        <v>289</v>
      </c>
      <c r="C1068" s="1125" t="s">
        <v>280</v>
      </c>
      <c r="D1068" s="1126"/>
      <c r="E1068" s="637">
        <f t="shared" si="336"/>
        <v>0</v>
      </c>
      <c r="F1068" s="625" t="s">
        <v>34</v>
      </c>
      <c r="G1068" s="572">
        <v>520</v>
      </c>
      <c r="H1068" s="580">
        <f t="shared" ref="H1068" si="346">E1068*G1068</f>
        <v>0</v>
      </c>
      <c r="I1068" s="572">
        <v>270</v>
      </c>
      <c r="J1068" s="580">
        <f t="shared" ref="J1068:J1141" si="347">E1068*I1068</f>
        <v>0</v>
      </c>
      <c r="K1068" s="631">
        <f t="shared" ref="K1068:K1141" si="348">H1068+J1068</f>
        <v>0</v>
      </c>
      <c r="L1068" s="1074"/>
      <c r="M1068" s="574"/>
      <c r="N1068" s="667">
        <f t="shared" si="345"/>
        <v>0</v>
      </c>
      <c r="O1068" s="636">
        <v>0</v>
      </c>
      <c r="P1068" s="637"/>
      <c r="Q1068" s="574"/>
      <c r="R1068" s="574"/>
      <c r="S1068" s="574"/>
    </row>
    <row r="1069" spans="1:19" ht="21.3">
      <c r="A1069" s="665"/>
      <c r="B1069" s="617"/>
      <c r="C1069" s="1125" t="s">
        <v>290</v>
      </c>
      <c r="D1069" s="1126"/>
      <c r="E1069" s="637">
        <f t="shared" si="336"/>
        <v>0</v>
      </c>
      <c r="F1069" s="619"/>
      <c r="G1069" s="572"/>
      <c r="H1069" s="580"/>
      <c r="I1069" s="572"/>
      <c r="J1069" s="580">
        <f t="shared" si="347"/>
        <v>0</v>
      </c>
      <c r="K1069" s="631">
        <f t="shared" si="348"/>
        <v>0</v>
      </c>
      <c r="L1069" s="1073"/>
      <c r="M1069" s="574"/>
      <c r="N1069" s="629">
        <f t="shared" si="345"/>
        <v>0</v>
      </c>
      <c r="O1069" s="630">
        <v>0</v>
      </c>
      <c r="P1069" s="624"/>
      <c r="Q1069" s="574"/>
      <c r="R1069" s="574"/>
      <c r="S1069" s="574"/>
    </row>
    <row r="1070" spans="1:19" ht="21.3">
      <c r="A1070" s="665"/>
      <c r="B1070" s="617"/>
      <c r="C1070" s="1125"/>
      <c r="D1070" s="1126"/>
      <c r="E1070" s="637"/>
      <c r="F1070" s="619"/>
      <c r="G1070" s="572"/>
      <c r="H1070" s="580"/>
      <c r="I1070" s="572"/>
      <c r="J1070" s="580"/>
      <c r="K1070" s="631"/>
      <c r="L1070" s="1073"/>
      <c r="M1070" s="574"/>
      <c r="N1070" s="629"/>
      <c r="O1070" s="630"/>
      <c r="P1070" s="624"/>
      <c r="Q1070" s="574"/>
      <c r="R1070" s="574"/>
      <c r="S1070" s="574"/>
    </row>
    <row r="1071" spans="1:19" ht="21.3">
      <c r="A1071" s="665"/>
      <c r="B1071" s="617" t="s">
        <v>291</v>
      </c>
      <c r="C1071" s="1125" t="s">
        <v>280</v>
      </c>
      <c r="D1071" s="1126"/>
      <c r="E1071" s="637">
        <f t="shared" si="336"/>
        <v>0</v>
      </c>
      <c r="F1071" s="625" t="s">
        <v>34</v>
      </c>
      <c r="G1071" s="572">
        <v>256</v>
      </c>
      <c r="H1071" s="580">
        <f t="shared" ref="H1071:H1072" si="349">E1071*G1071</f>
        <v>0</v>
      </c>
      <c r="I1071" s="572">
        <v>100</v>
      </c>
      <c r="J1071" s="580">
        <f t="shared" si="347"/>
        <v>0</v>
      </c>
      <c r="K1071" s="631">
        <f t="shared" si="348"/>
        <v>0</v>
      </c>
      <c r="L1071" s="2049"/>
      <c r="M1071" s="574"/>
      <c r="N1071" s="667">
        <f t="shared" si="345"/>
        <v>0</v>
      </c>
      <c r="O1071" s="636">
        <v>0</v>
      </c>
      <c r="P1071" s="637"/>
      <c r="Q1071" s="574"/>
      <c r="R1071" s="574"/>
      <c r="S1071" s="574"/>
    </row>
    <row r="1072" spans="1:19" ht="21.3">
      <c r="A1072" s="665"/>
      <c r="B1072" s="617"/>
      <c r="C1072" s="1125" t="s">
        <v>292</v>
      </c>
      <c r="D1072" s="1126"/>
      <c r="E1072" s="637">
        <f t="shared" si="336"/>
        <v>0</v>
      </c>
      <c r="F1072" s="619"/>
      <c r="G1072" s="572">
        <v>0</v>
      </c>
      <c r="H1072" s="580">
        <f t="shared" si="349"/>
        <v>0</v>
      </c>
      <c r="I1072" s="572">
        <v>0</v>
      </c>
      <c r="J1072" s="580">
        <f t="shared" si="347"/>
        <v>0</v>
      </c>
      <c r="K1072" s="631">
        <f t="shared" si="348"/>
        <v>0</v>
      </c>
      <c r="L1072" s="1073"/>
      <c r="M1072" s="574"/>
      <c r="N1072" s="629">
        <f t="shared" si="345"/>
        <v>0</v>
      </c>
      <c r="O1072" s="630">
        <v>0</v>
      </c>
      <c r="P1072" s="624"/>
      <c r="Q1072" s="574"/>
      <c r="R1072" s="574"/>
      <c r="S1072" s="574"/>
    </row>
    <row r="1073" spans="1:19" ht="21.3">
      <c r="A1073" s="665"/>
      <c r="B1073" s="617"/>
      <c r="C1073" s="1125" t="s">
        <v>293</v>
      </c>
      <c r="D1073" s="1126"/>
      <c r="E1073" s="637">
        <f t="shared" si="336"/>
        <v>0</v>
      </c>
      <c r="F1073" s="625" t="s">
        <v>34</v>
      </c>
      <c r="G1073" s="666">
        <v>520</v>
      </c>
      <c r="H1073" s="580"/>
      <c r="I1073" s="666">
        <v>30</v>
      </c>
      <c r="J1073" s="580">
        <f t="shared" si="347"/>
        <v>0</v>
      </c>
      <c r="K1073" s="631">
        <f t="shared" si="348"/>
        <v>0</v>
      </c>
      <c r="L1073" s="1073"/>
      <c r="M1073" s="574"/>
      <c r="N1073" s="629">
        <f t="shared" si="345"/>
        <v>0</v>
      </c>
      <c r="O1073" s="630">
        <v>0</v>
      </c>
      <c r="P1073" s="624"/>
      <c r="Q1073" s="574"/>
      <c r="R1073" s="574"/>
      <c r="S1073" s="574"/>
    </row>
    <row r="1074" spans="1:19" ht="21.3">
      <c r="A1074" s="665"/>
      <c r="B1074" s="617" t="s">
        <v>294</v>
      </c>
      <c r="C1074" s="1125" t="s">
        <v>295</v>
      </c>
      <c r="D1074" s="1126"/>
      <c r="E1074" s="637">
        <f t="shared" si="336"/>
        <v>0</v>
      </c>
      <c r="F1074" s="625" t="s">
        <v>34</v>
      </c>
      <c r="G1074" s="666">
        <v>91</v>
      </c>
      <c r="H1074" s="633">
        <f>SUM(E1074*G1074)</f>
        <v>0</v>
      </c>
      <c r="I1074" s="666">
        <v>100</v>
      </c>
      <c r="J1074" s="580">
        <f t="shared" si="347"/>
        <v>0</v>
      </c>
      <c r="K1074" s="631">
        <f t="shared" si="348"/>
        <v>0</v>
      </c>
      <c r="L1074" s="1062"/>
      <c r="M1074" s="574"/>
      <c r="N1074" s="667">
        <f t="shared" si="345"/>
        <v>0</v>
      </c>
      <c r="O1074" s="636">
        <v>0</v>
      </c>
      <c r="P1074" s="637"/>
      <c r="Q1074" s="574"/>
      <c r="R1074" s="574"/>
      <c r="S1074" s="574"/>
    </row>
    <row r="1075" spans="1:19" ht="21.3">
      <c r="A1075" s="665"/>
      <c r="B1075" s="617" t="s">
        <v>296</v>
      </c>
      <c r="C1075" s="1125" t="s">
        <v>297</v>
      </c>
      <c r="D1075" s="1126"/>
      <c r="E1075" s="637">
        <f t="shared" si="336"/>
        <v>0</v>
      </c>
      <c r="F1075" s="625" t="s">
        <v>34</v>
      </c>
      <c r="G1075" s="666">
        <v>294</v>
      </c>
      <c r="H1075" s="633">
        <f t="shared" ref="H1075:H1082" si="350">SUM(E1075*G1075)</f>
        <v>0</v>
      </c>
      <c r="I1075" s="666">
        <v>189</v>
      </c>
      <c r="J1075" s="580">
        <f t="shared" si="347"/>
        <v>0</v>
      </c>
      <c r="K1075" s="631">
        <f t="shared" si="348"/>
        <v>0</v>
      </c>
      <c r="L1075" s="1073"/>
      <c r="M1075" s="574"/>
      <c r="N1075" s="667">
        <f t="shared" si="345"/>
        <v>0</v>
      </c>
      <c r="O1075" s="636">
        <v>0</v>
      </c>
      <c r="P1075" s="637"/>
      <c r="Q1075" s="574"/>
      <c r="R1075" s="574"/>
      <c r="S1075" s="574"/>
    </row>
    <row r="1076" spans="1:19" ht="21.3">
      <c r="A1076" s="665"/>
      <c r="B1076" s="617" t="s">
        <v>298</v>
      </c>
      <c r="C1076" s="1125" t="s">
        <v>299</v>
      </c>
      <c r="D1076" s="1126"/>
      <c r="E1076" s="637"/>
      <c r="F1076" s="625" t="s">
        <v>34</v>
      </c>
      <c r="G1076" s="666">
        <v>608</v>
      </c>
      <c r="H1076" s="633">
        <f t="shared" si="350"/>
        <v>0</v>
      </c>
      <c r="I1076" s="666">
        <v>189</v>
      </c>
      <c r="J1076" s="580">
        <f t="shared" si="347"/>
        <v>0</v>
      </c>
      <c r="K1076" s="631">
        <f t="shared" si="348"/>
        <v>0</v>
      </c>
      <c r="L1076" s="1073"/>
      <c r="M1076" s="574"/>
      <c r="N1076" s="667">
        <f t="shared" si="345"/>
        <v>681.28</v>
      </c>
      <c r="O1076" s="636">
        <v>0</v>
      </c>
      <c r="P1076" s="637">
        <v>681.28</v>
      </c>
      <c r="Q1076" s="574"/>
      <c r="R1076" s="574"/>
      <c r="S1076" s="574"/>
    </row>
    <row r="1077" spans="1:19" ht="21.3">
      <c r="A1077" s="665"/>
      <c r="B1077" s="623" t="s">
        <v>2549</v>
      </c>
      <c r="C1077" s="1125" t="s">
        <v>299</v>
      </c>
      <c r="D1077" s="1126"/>
      <c r="E1077" s="637">
        <f t="shared" si="336"/>
        <v>681.28</v>
      </c>
      <c r="F1077" s="625" t="s">
        <v>34</v>
      </c>
      <c r="G1077" s="666">
        <v>399</v>
      </c>
      <c r="H1077" s="633">
        <f t="shared" si="350"/>
        <v>271830.71999999997</v>
      </c>
      <c r="I1077" s="666">
        <v>189</v>
      </c>
      <c r="J1077" s="580">
        <f t="shared" si="347"/>
        <v>128761.92</v>
      </c>
      <c r="K1077" s="631">
        <f t="shared" si="348"/>
        <v>400592.63999999996</v>
      </c>
      <c r="L1077" s="1073"/>
      <c r="M1077" s="574"/>
      <c r="N1077" s="667">
        <f t="shared" si="345"/>
        <v>681.28</v>
      </c>
      <c r="O1077" s="636">
        <v>0</v>
      </c>
      <c r="P1077" s="637">
        <v>681.28</v>
      </c>
      <c r="Q1077" s="574"/>
      <c r="R1077" s="574"/>
      <c r="S1077" s="574"/>
    </row>
    <row r="1078" spans="1:19" ht="21.3">
      <c r="A1078" s="665"/>
      <c r="B1078" s="617" t="s">
        <v>300</v>
      </c>
      <c r="C1078" s="1125" t="s">
        <v>301</v>
      </c>
      <c r="D1078" s="1126"/>
      <c r="E1078" s="637">
        <f t="shared" si="336"/>
        <v>0</v>
      </c>
      <c r="F1078" s="625" t="s">
        <v>34</v>
      </c>
      <c r="G1078" s="666">
        <v>88</v>
      </c>
      <c r="H1078" s="633">
        <f t="shared" si="350"/>
        <v>0</v>
      </c>
      <c r="I1078" s="666">
        <v>82</v>
      </c>
      <c r="J1078" s="580">
        <f t="shared" si="347"/>
        <v>0</v>
      </c>
      <c r="K1078" s="631">
        <f t="shared" si="348"/>
        <v>0</v>
      </c>
      <c r="L1078" s="1062"/>
      <c r="M1078" s="574"/>
      <c r="N1078" s="667">
        <f t="shared" si="345"/>
        <v>0</v>
      </c>
      <c r="O1078" s="636">
        <v>0</v>
      </c>
      <c r="P1078" s="637"/>
      <c r="Q1078" s="574"/>
      <c r="R1078" s="574"/>
      <c r="S1078" s="574"/>
    </row>
    <row r="1079" spans="1:19" ht="21.3">
      <c r="A1079" s="665"/>
      <c r="B1079" s="617"/>
      <c r="C1079" s="1125" t="s">
        <v>302</v>
      </c>
      <c r="D1079" s="1126"/>
      <c r="E1079" s="637">
        <f t="shared" si="336"/>
        <v>0</v>
      </c>
      <c r="F1079" s="625" t="s">
        <v>34</v>
      </c>
      <c r="G1079" s="2048">
        <v>69</v>
      </c>
      <c r="H1079" s="633">
        <f t="shared" si="350"/>
        <v>0</v>
      </c>
      <c r="I1079" s="2048">
        <v>28</v>
      </c>
      <c r="J1079" s="580">
        <f t="shared" si="347"/>
        <v>0</v>
      </c>
      <c r="K1079" s="631">
        <f t="shared" si="348"/>
        <v>0</v>
      </c>
      <c r="L1079" s="1062"/>
      <c r="M1079" s="574"/>
      <c r="N1079" s="667">
        <f t="shared" si="345"/>
        <v>0</v>
      </c>
      <c r="O1079" s="636">
        <v>0</v>
      </c>
      <c r="P1079" s="637"/>
      <c r="Q1079" s="574"/>
      <c r="R1079" s="574"/>
      <c r="S1079" s="574"/>
    </row>
    <row r="1080" spans="1:19" ht="21.3">
      <c r="A1080" s="665"/>
      <c r="B1080" s="617" t="s">
        <v>303</v>
      </c>
      <c r="C1080" s="1125" t="s">
        <v>304</v>
      </c>
      <c r="D1080" s="1126"/>
      <c r="E1080" s="637"/>
      <c r="F1080" s="625" t="s">
        <v>34</v>
      </c>
      <c r="G1080" s="666">
        <v>870</v>
      </c>
      <c r="H1080" s="633">
        <f t="shared" si="350"/>
        <v>0</v>
      </c>
      <c r="I1080" s="666">
        <v>242</v>
      </c>
      <c r="J1080" s="580">
        <f t="shared" si="347"/>
        <v>0</v>
      </c>
      <c r="K1080" s="631">
        <f t="shared" si="348"/>
        <v>0</v>
      </c>
      <c r="L1080" s="1073"/>
      <c r="M1080" s="574"/>
      <c r="N1080" s="667">
        <f t="shared" si="345"/>
        <v>156.39999999999998</v>
      </c>
      <c r="O1080" s="636">
        <v>0</v>
      </c>
      <c r="P1080" s="637">
        <v>156.39999999999998</v>
      </c>
      <c r="Q1080" s="574"/>
      <c r="R1080" s="574"/>
      <c r="S1080" s="574"/>
    </row>
    <row r="1081" spans="1:19" ht="21.3">
      <c r="A1081" s="665"/>
      <c r="B1081" s="617"/>
      <c r="C1081" s="1125" t="s">
        <v>305</v>
      </c>
      <c r="D1081" s="1126"/>
      <c r="E1081" s="637">
        <f t="shared" ref="E1081" si="351">+N1081</f>
        <v>0</v>
      </c>
      <c r="F1081" s="619"/>
      <c r="G1081" s="572"/>
      <c r="H1081" s="580"/>
      <c r="I1081" s="572"/>
      <c r="J1081" s="580">
        <f t="shared" si="347"/>
        <v>0</v>
      </c>
      <c r="K1081" s="631">
        <f t="shared" si="348"/>
        <v>0</v>
      </c>
      <c r="L1081" s="1073"/>
      <c r="M1081" s="574"/>
      <c r="N1081" s="629">
        <f t="shared" si="345"/>
        <v>0</v>
      </c>
      <c r="O1081" s="630">
        <v>0</v>
      </c>
      <c r="P1081" s="624"/>
      <c r="Q1081" s="574"/>
      <c r="R1081" s="574"/>
      <c r="S1081" s="574"/>
    </row>
    <row r="1082" spans="1:19" ht="21.3">
      <c r="A1082" s="665"/>
      <c r="B1082" s="623" t="s">
        <v>2550</v>
      </c>
      <c r="C1082" s="1125" t="s">
        <v>304</v>
      </c>
      <c r="D1082" s="1126"/>
      <c r="E1082" s="637">
        <f t="shared" si="336"/>
        <v>156.39999999999998</v>
      </c>
      <c r="F1082" s="625" t="s">
        <v>34</v>
      </c>
      <c r="G1082" s="666">
        <v>765</v>
      </c>
      <c r="H1082" s="633">
        <f t="shared" si="350"/>
        <v>119645.99999999999</v>
      </c>
      <c r="I1082" s="666">
        <v>242</v>
      </c>
      <c r="J1082" s="580">
        <f t="shared" si="347"/>
        <v>37848.799999999996</v>
      </c>
      <c r="K1082" s="631">
        <f t="shared" si="348"/>
        <v>157494.79999999999</v>
      </c>
      <c r="L1082" s="1073"/>
      <c r="M1082" s="574"/>
      <c r="N1082" s="667">
        <f t="shared" si="345"/>
        <v>156.39999999999998</v>
      </c>
      <c r="O1082" s="636">
        <v>0</v>
      </c>
      <c r="P1082" s="637">
        <v>156.39999999999998</v>
      </c>
      <c r="Q1082" s="574"/>
      <c r="R1082" s="574"/>
      <c r="S1082" s="574"/>
    </row>
    <row r="1083" spans="1:19" ht="21.3">
      <c r="A1083" s="665"/>
      <c r="B1083" s="617"/>
      <c r="C1083" s="1125" t="s">
        <v>305</v>
      </c>
      <c r="D1083" s="1126"/>
      <c r="E1083" s="637">
        <f t="shared" si="336"/>
        <v>0</v>
      </c>
      <c r="F1083" s="619"/>
      <c r="G1083" s="572"/>
      <c r="H1083" s="580"/>
      <c r="I1083" s="572"/>
      <c r="J1083" s="580">
        <f t="shared" si="347"/>
        <v>0</v>
      </c>
      <c r="K1083" s="631">
        <f t="shared" si="348"/>
        <v>0</v>
      </c>
      <c r="L1083" s="1073"/>
      <c r="M1083" s="574"/>
      <c r="N1083" s="629">
        <f t="shared" si="345"/>
        <v>0</v>
      </c>
      <c r="O1083" s="630">
        <v>0</v>
      </c>
      <c r="P1083" s="624"/>
      <c r="Q1083" s="574"/>
      <c r="R1083" s="574"/>
      <c r="S1083" s="574"/>
    </row>
    <row r="1084" spans="1:19" ht="21.3">
      <c r="A1084" s="665"/>
      <c r="B1084" s="617" t="s">
        <v>306</v>
      </c>
      <c r="C1084" s="1125" t="s">
        <v>307</v>
      </c>
      <c r="D1084" s="1126"/>
      <c r="E1084" s="637">
        <f t="shared" si="336"/>
        <v>0</v>
      </c>
      <c r="F1084" s="625" t="s">
        <v>34</v>
      </c>
      <c r="G1084" s="666"/>
      <c r="H1084" s="633">
        <v>0</v>
      </c>
      <c r="I1084" s="666"/>
      <c r="J1084" s="580">
        <f t="shared" si="347"/>
        <v>0</v>
      </c>
      <c r="K1084" s="631">
        <f t="shared" si="348"/>
        <v>0</v>
      </c>
      <c r="L1084" s="1073"/>
      <c r="M1084" s="574"/>
      <c r="N1084" s="667">
        <f t="shared" si="345"/>
        <v>0</v>
      </c>
      <c r="O1084" s="636">
        <v>0</v>
      </c>
      <c r="P1084" s="637"/>
      <c r="Q1084" s="574"/>
      <c r="R1084" s="574"/>
      <c r="S1084" s="574"/>
    </row>
    <row r="1085" spans="1:19" ht="21.3">
      <c r="A1085" s="665"/>
      <c r="B1085" s="617" t="s">
        <v>308</v>
      </c>
      <c r="C1085" s="617" t="s">
        <v>309</v>
      </c>
      <c r="D1085" s="617"/>
      <c r="E1085" s="637">
        <f t="shared" si="336"/>
        <v>0</v>
      </c>
      <c r="F1085" s="625" t="s">
        <v>34</v>
      </c>
      <c r="G1085" s="666">
        <v>1296</v>
      </c>
      <c r="H1085" s="633">
        <f t="shared" ref="H1085:H1096" si="352">SUM(E1085*G1085)</f>
        <v>0</v>
      </c>
      <c r="I1085" s="666">
        <v>1600</v>
      </c>
      <c r="J1085" s="580">
        <f t="shared" si="347"/>
        <v>0</v>
      </c>
      <c r="K1085" s="631">
        <f t="shared" si="348"/>
        <v>0</v>
      </c>
      <c r="L1085" s="1073"/>
      <c r="M1085" s="574"/>
      <c r="N1085" s="667">
        <f t="shared" si="345"/>
        <v>0</v>
      </c>
      <c r="O1085" s="636">
        <v>0</v>
      </c>
      <c r="P1085" s="637"/>
      <c r="Q1085" s="574"/>
      <c r="R1085" s="574"/>
      <c r="S1085" s="574"/>
    </row>
    <row r="1086" spans="1:19" ht="21.3">
      <c r="A1086" s="665"/>
      <c r="B1086" s="617"/>
      <c r="C1086" s="617" t="s">
        <v>310</v>
      </c>
      <c r="D1086" s="617"/>
      <c r="E1086" s="637">
        <f t="shared" si="336"/>
        <v>0</v>
      </c>
      <c r="F1086" s="619"/>
      <c r="G1086" s="666"/>
      <c r="H1086" s="633">
        <f t="shared" si="352"/>
        <v>0</v>
      </c>
      <c r="I1086" s="666"/>
      <c r="J1086" s="580">
        <f t="shared" si="347"/>
        <v>0</v>
      </c>
      <c r="K1086" s="631">
        <f t="shared" si="348"/>
        <v>0</v>
      </c>
      <c r="L1086" s="1073"/>
      <c r="M1086" s="574"/>
      <c r="N1086" s="629">
        <f t="shared" si="345"/>
        <v>0</v>
      </c>
      <c r="O1086" s="630">
        <v>0</v>
      </c>
      <c r="P1086" s="624"/>
      <c r="Q1086" s="574"/>
      <c r="R1086" s="574"/>
      <c r="S1086" s="574"/>
    </row>
    <row r="1087" spans="1:19" ht="21.3">
      <c r="A1087" s="665"/>
      <c r="B1087" s="617" t="s">
        <v>311</v>
      </c>
      <c r="C1087" s="1125" t="s">
        <v>312</v>
      </c>
      <c r="D1087" s="1126"/>
      <c r="E1087" s="637">
        <f t="shared" si="336"/>
        <v>0</v>
      </c>
      <c r="F1087" s="625" t="s">
        <v>34</v>
      </c>
      <c r="G1087" s="666"/>
      <c r="H1087" s="633">
        <f t="shared" si="352"/>
        <v>0</v>
      </c>
      <c r="I1087" s="666"/>
      <c r="J1087" s="580">
        <f t="shared" si="347"/>
        <v>0</v>
      </c>
      <c r="K1087" s="631">
        <f t="shared" si="348"/>
        <v>0</v>
      </c>
      <c r="L1087" s="1073"/>
      <c r="M1087" s="574"/>
      <c r="N1087" s="667">
        <f t="shared" si="345"/>
        <v>0</v>
      </c>
      <c r="O1087" s="636">
        <v>0</v>
      </c>
      <c r="P1087" s="637"/>
      <c r="Q1087" s="574"/>
      <c r="R1087" s="574"/>
      <c r="S1087" s="574"/>
    </row>
    <row r="1088" spans="1:19" ht="21.3">
      <c r="A1088" s="665"/>
      <c r="B1088" s="617" t="s">
        <v>313</v>
      </c>
      <c r="C1088" s="1125" t="s">
        <v>314</v>
      </c>
      <c r="D1088" s="1126"/>
      <c r="E1088" s="637">
        <f t="shared" si="336"/>
        <v>0</v>
      </c>
      <c r="F1088" s="625" t="s">
        <v>34</v>
      </c>
      <c r="G1088" s="666"/>
      <c r="H1088" s="633">
        <f t="shared" si="352"/>
        <v>0</v>
      </c>
      <c r="I1088" s="666"/>
      <c r="J1088" s="580">
        <f t="shared" si="347"/>
        <v>0</v>
      </c>
      <c r="K1088" s="631">
        <f t="shared" si="348"/>
        <v>0</v>
      </c>
      <c r="L1088" s="1073"/>
      <c r="M1088" s="574"/>
      <c r="N1088" s="667">
        <f t="shared" si="345"/>
        <v>0</v>
      </c>
      <c r="O1088" s="636">
        <v>0</v>
      </c>
      <c r="P1088" s="637"/>
      <c r="Q1088" s="574"/>
      <c r="R1088" s="574"/>
      <c r="S1088" s="574"/>
    </row>
    <row r="1089" spans="1:19" ht="21.3">
      <c r="A1089" s="665"/>
      <c r="B1089" s="617" t="s">
        <v>315</v>
      </c>
      <c r="C1089" s="1125" t="s">
        <v>316</v>
      </c>
      <c r="D1089" s="1126"/>
      <c r="E1089" s="637">
        <f t="shared" si="336"/>
        <v>0</v>
      </c>
      <c r="F1089" s="625" t="s">
        <v>34</v>
      </c>
      <c r="G1089" s="572">
        <v>15000</v>
      </c>
      <c r="H1089" s="580">
        <f t="shared" si="352"/>
        <v>0</v>
      </c>
      <c r="I1089" s="572">
        <v>500</v>
      </c>
      <c r="J1089" s="580">
        <f t="shared" si="347"/>
        <v>0</v>
      </c>
      <c r="K1089" s="631">
        <f t="shared" si="348"/>
        <v>0</v>
      </c>
      <c r="L1089" s="1061"/>
      <c r="M1089" s="574"/>
      <c r="N1089" s="667">
        <f t="shared" si="345"/>
        <v>0</v>
      </c>
      <c r="O1089" s="636">
        <v>0</v>
      </c>
      <c r="P1089" s="637"/>
      <c r="Q1089" s="574"/>
      <c r="R1089" s="574"/>
      <c r="S1089" s="574"/>
    </row>
    <row r="1090" spans="1:19" ht="21.3">
      <c r="A1090" s="665"/>
      <c r="B1090" s="617" t="s">
        <v>317</v>
      </c>
      <c r="C1090" s="1125" t="s">
        <v>318</v>
      </c>
      <c r="D1090" s="1126"/>
      <c r="E1090" s="637">
        <f t="shared" si="336"/>
        <v>584.00399999999991</v>
      </c>
      <c r="F1090" s="625" t="s">
        <v>34</v>
      </c>
      <c r="G1090" s="666">
        <v>88</v>
      </c>
      <c r="H1090" s="633">
        <f t="shared" si="352"/>
        <v>51392.351999999992</v>
      </c>
      <c r="I1090" s="666">
        <v>82</v>
      </c>
      <c r="J1090" s="580">
        <f t="shared" si="347"/>
        <v>47888.327999999994</v>
      </c>
      <c r="K1090" s="631">
        <f t="shared" si="348"/>
        <v>99280.68</v>
      </c>
      <c r="L1090" s="1062"/>
      <c r="M1090" s="574"/>
      <c r="N1090" s="667">
        <f t="shared" si="345"/>
        <v>584.00399999999991</v>
      </c>
      <c r="O1090" s="636">
        <v>0</v>
      </c>
      <c r="P1090" s="637">
        <v>584.00399999999991</v>
      </c>
      <c r="Q1090" s="574"/>
      <c r="R1090" s="574"/>
      <c r="S1090" s="574"/>
    </row>
    <row r="1091" spans="1:19" ht="21.3">
      <c r="A1091" s="665"/>
      <c r="B1091" s="617" t="s">
        <v>319</v>
      </c>
      <c r="C1091" s="1125" t="s">
        <v>320</v>
      </c>
      <c r="D1091" s="1126"/>
      <c r="E1091" s="637">
        <f t="shared" si="336"/>
        <v>0</v>
      </c>
      <c r="F1091" s="625" t="s">
        <v>34</v>
      </c>
      <c r="G1091" s="666">
        <v>1955</v>
      </c>
      <c r="H1091" s="633">
        <f t="shared" si="352"/>
        <v>0</v>
      </c>
      <c r="I1091" s="666">
        <v>1700</v>
      </c>
      <c r="J1091" s="580">
        <f t="shared" si="347"/>
        <v>0</v>
      </c>
      <c r="K1091" s="631">
        <f t="shared" si="348"/>
        <v>0</v>
      </c>
      <c r="L1091" s="1073"/>
      <c r="M1091" s="574"/>
      <c r="N1091" s="667">
        <f t="shared" si="345"/>
        <v>0</v>
      </c>
      <c r="O1091" s="636">
        <v>0</v>
      </c>
      <c r="P1091" s="637"/>
      <c r="Q1091" s="574"/>
      <c r="R1091" s="574"/>
      <c r="S1091" s="574"/>
    </row>
    <row r="1092" spans="1:19" ht="21.3">
      <c r="A1092" s="665"/>
      <c r="B1092" s="617"/>
      <c r="C1092" s="1125" t="s">
        <v>321</v>
      </c>
      <c r="D1092" s="1126"/>
      <c r="E1092" s="637">
        <f t="shared" si="336"/>
        <v>0</v>
      </c>
      <c r="F1092" s="625" t="s">
        <v>34</v>
      </c>
      <c r="G1092" s="666">
        <v>0</v>
      </c>
      <c r="H1092" s="633">
        <f t="shared" si="352"/>
        <v>0</v>
      </c>
      <c r="I1092" s="666">
        <v>0</v>
      </c>
      <c r="J1092" s="580">
        <f t="shared" si="347"/>
        <v>0</v>
      </c>
      <c r="K1092" s="631">
        <f t="shared" si="348"/>
        <v>0</v>
      </c>
      <c r="L1092" s="1073"/>
      <c r="M1092" s="574"/>
      <c r="N1092" s="667">
        <f t="shared" si="345"/>
        <v>0</v>
      </c>
      <c r="O1092" s="636">
        <v>0</v>
      </c>
      <c r="P1092" s="637"/>
      <c r="Q1092" s="574"/>
      <c r="R1092" s="574"/>
      <c r="S1092" s="574"/>
    </row>
    <row r="1093" spans="1:19" ht="21.3">
      <c r="A1093" s="665"/>
      <c r="B1093" s="617" t="s">
        <v>322</v>
      </c>
      <c r="C1093" s="1125" t="s">
        <v>323</v>
      </c>
      <c r="D1093" s="1126"/>
      <c r="E1093" s="637">
        <f t="shared" si="336"/>
        <v>0</v>
      </c>
      <c r="F1093" s="625" t="s">
        <v>34</v>
      </c>
      <c r="G1093" s="666">
        <v>1296</v>
      </c>
      <c r="H1093" s="633">
        <f t="shared" si="352"/>
        <v>0</v>
      </c>
      <c r="I1093" s="666">
        <v>1600</v>
      </c>
      <c r="J1093" s="580">
        <f t="shared" si="347"/>
        <v>0</v>
      </c>
      <c r="K1093" s="631">
        <f t="shared" si="348"/>
        <v>0</v>
      </c>
      <c r="L1093" s="1073"/>
      <c r="M1093" s="574"/>
      <c r="N1093" s="667">
        <f t="shared" si="345"/>
        <v>0</v>
      </c>
      <c r="O1093" s="636">
        <v>0</v>
      </c>
      <c r="P1093" s="637"/>
      <c r="Q1093" s="574"/>
      <c r="R1093" s="574"/>
      <c r="S1093" s="574"/>
    </row>
    <row r="1094" spans="1:19" ht="21.3">
      <c r="A1094" s="665"/>
      <c r="B1094" s="617" t="s">
        <v>324</v>
      </c>
      <c r="C1094" s="1125" t="s">
        <v>325</v>
      </c>
      <c r="D1094" s="1126"/>
      <c r="E1094" s="637">
        <f t="shared" si="336"/>
        <v>0</v>
      </c>
      <c r="F1094" s="625" t="s">
        <v>34</v>
      </c>
      <c r="G1094" s="2048">
        <f>13+69</f>
        <v>82</v>
      </c>
      <c r="H1094" s="633">
        <f t="shared" si="352"/>
        <v>0</v>
      </c>
      <c r="I1094" s="2048">
        <f>30+28</f>
        <v>58</v>
      </c>
      <c r="J1094" s="580">
        <f t="shared" si="347"/>
        <v>0</v>
      </c>
      <c r="K1094" s="631">
        <f t="shared" si="348"/>
        <v>0</v>
      </c>
      <c r="L1094" s="2049"/>
      <c r="M1094" s="574"/>
      <c r="N1094" s="667">
        <f t="shared" si="345"/>
        <v>0</v>
      </c>
      <c r="O1094" s="636">
        <v>0</v>
      </c>
      <c r="P1094" s="637"/>
      <c r="Q1094" s="574"/>
      <c r="R1094" s="574"/>
      <c r="S1094" s="574"/>
    </row>
    <row r="1095" spans="1:19" ht="21.3">
      <c r="A1095" s="665"/>
      <c r="B1095" s="617" t="s">
        <v>326</v>
      </c>
      <c r="C1095" s="1125" t="s">
        <v>327</v>
      </c>
      <c r="D1095" s="1126"/>
      <c r="E1095" s="637">
        <f t="shared" si="336"/>
        <v>0</v>
      </c>
      <c r="F1095" s="625" t="s">
        <v>34</v>
      </c>
      <c r="G1095" s="666"/>
      <c r="H1095" s="633">
        <f t="shared" si="352"/>
        <v>0</v>
      </c>
      <c r="I1095" s="666"/>
      <c r="J1095" s="580">
        <f t="shared" si="347"/>
        <v>0</v>
      </c>
      <c r="K1095" s="631">
        <f t="shared" si="348"/>
        <v>0</v>
      </c>
      <c r="L1095" s="1073"/>
      <c r="M1095" s="574"/>
      <c r="N1095" s="667">
        <f t="shared" si="345"/>
        <v>0</v>
      </c>
      <c r="O1095" s="636">
        <v>0</v>
      </c>
      <c r="P1095" s="637"/>
      <c r="Q1095" s="574"/>
      <c r="R1095" s="574"/>
      <c r="S1095" s="574"/>
    </row>
    <row r="1096" spans="1:19" ht="21.3">
      <c r="A1096" s="665"/>
      <c r="B1096" s="617" t="s">
        <v>328</v>
      </c>
      <c r="C1096" s="617" t="s">
        <v>329</v>
      </c>
      <c r="D1096" s="1126"/>
      <c r="E1096" s="637">
        <f t="shared" si="336"/>
        <v>0</v>
      </c>
      <c r="F1096" s="625" t="s">
        <v>34</v>
      </c>
      <c r="G1096" s="666"/>
      <c r="H1096" s="633">
        <f t="shared" si="352"/>
        <v>0</v>
      </c>
      <c r="I1096" s="666"/>
      <c r="J1096" s="580">
        <f t="shared" si="347"/>
        <v>0</v>
      </c>
      <c r="K1096" s="631">
        <f t="shared" si="348"/>
        <v>0</v>
      </c>
      <c r="L1096" s="1073"/>
      <c r="M1096" s="574"/>
      <c r="N1096" s="667">
        <f t="shared" si="345"/>
        <v>0</v>
      </c>
      <c r="O1096" s="636">
        <v>0</v>
      </c>
      <c r="P1096" s="637"/>
      <c r="Q1096" s="574"/>
      <c r="R1096" s="574"/>
      <c r="S1096" s="574"/>
    </row>
    <row r="1097" spans="1:19" ht="21.3">
      <c r="A1097" s="665"/>
      <c r="B1097" s="617"/>
      <c r="C1097" s="617" t="s">
        <v>330</v>
      </c>
      <c r="D1097" s="1129"/>
      <c r="E1097" s="637"/>
      <c r="F1097" s="625"/>
      <c r="G1097" s="642"/>
      <c r="H1097" s="668"/>
      <c r="I1097" s="642"/>
      <c r="J1097" s="580">
        <f t="shared" si="347"/>
        <v>0</v>
      </c>
      <c r="K1097" s="631">
        <f t="shared" si="348"/>
        <v>0</v>
      </c>
      <c r="L1097" s="1065"/>
      <c r="M1097" s="574"/>
      <c r="N1097" s="669">
        <f t="shared" si="345"/>
        <v>0</v>
      </c>
      <c r="O1097" s="636">
        <v>0</v>
      </c>
      <c r="P1097" s="637"/>
      <c r="Q1097" s="574"/>
      <c r="R1097" s="574"/>
      <c r="S1097" s="574"/>
    </row>
    <row r="1098" spans="1:19" ht="21.3">
      <c r="A1098" s="665"/>
      <c r="B1098" s="617"/>
      <c r="C1098" s="1127" t="s">
        <v>1043</v>
      </c>
      <c r="D1098" s="1126"/>
      <c r="E1098" s="637">
        <f t="shared" ref="E1098" si="353">+N1098</f>
        <v>0</v>
      </c>
      <c r="F1098" s="625" t="s">
        <v>34</v>
      </c>
      <c r="G1098" s="2048">
        <v>69</v>
      </c>
      <c r="H1098" s="633">
        <f t="shared" ref="H1098" si="354">SUM(E1098*G1098)</f>
        <v>0</v>
      </c>
      <c r="I1098" s="2048">
        <v>28</v>
      </c>
      <c r="J1098" s="580">
        <f t="shared" si="347"/>
        <v>0</v>
      </c>
      <c r="K1098" s="631">
        <f t="shared" si="348"/>
        <v>0</v>
      </c>
      <c r="L1098" s="2049"/>
      <c r="M1098" s="574"/>
      <c r="N1098" s="667">
        <f t="shared" si="345"/>
        <v>0</v>
      </c>
      <c r="O1098" s="636">
        <v>0</v>
      </c>
      <c r="P1098" s="637"/>
      <c r="Q1098" s="574"/>
      <c r="R1098" s="574"/>
      <c r="S1098" s="574"/>
    </row>
    <row r="1099" spans="1:19" ht="21.3">
      <c r="A1099" s="665"/>
      <c r="B1099" s="617"/>
      <c r="C1099" s="623"/>
      <c r="D1099" s="617"/>
      <c r="E1099" s="637"/>
      <c r="F1099" s="625"/>
      <c r="G1099" s="2048"/>
      <c r="H1099" s="633"/>
      <c r="I1099" s="2048"/>
      <c r="J1099" s="580"/>
      <c r="K1099" s="631"/>
      <c r="L1099" s="2049"/>
      <c r="M1099" s="574"/>
      <c r="N1099" s="667"/>
      <c r="O1099" s="636"/>
      <c r="P1099" s="637"/>
      <c r="Q1099" s="574"/>
      <c r="R1099" s="574"/>
      <c r="S1099" s="574"/>
    </row>
    <row r="1100" spans="1:19" ht="21.3">
      <c r="A1100" s="665"/>
      <c r="B1100" s="617"/>
      <c r="C1100" s="623"/>
      <c r="D1100" s="617"/>
      <c r="E1100" s="637"/>
      <c r="F1100" s="625"/>
      <c r="G1100" s="2048"/>
      <c r="H1100" s="633"/>
      <c r="I1100" s="2048"/>
      <c r="J1100" s="580"/>
      <c r="K1100" s="631"/>
      <c r="L1100" s="2049"/>
      <c r="M1100" s="574"/>
      <c r="N1100" s="667"/>
      <c r="O1100" s="636"/>
      <c r="P1100" s="637"/>
      <c r="Q1100" s="574"/>
      <c r="R1100" s="574"/>
      <c r="S1100" s="574"/>
    </row>
    <row r="1101" spans="1:19" ht="21.3">
      <c r="A1101" s="665"/>
      <c r="B1101" s="617"/>
      <c r="C1101" s="623"/>
      <c r="D1101" s="617"/>
      <c r="E1101" s="637"/>
      <c r="F1101" s="625"/>
      <c r="G1101" s="2048"/>
      <c r="H1101" s="633"/>
      <c r="I1101" s="2048"/>
      <c r="J1101" s="580"/>
      <c r="K1101" s="631"/>
      <c r="L1101" s="2049"/>
      <c r="M1101" s="574"/>
      <c r="N1101" s="667"/>
      <c r="O1101" s="636"/>
      <c r="P1101" s="637"/>
      <c r="Q1101" s="574"/>
      <c r="R1101" s="574"/>
      <c r="S1101" s="574"/>
    </row>
    <row r="1102" spans="1:19" ht="21.3">
      <c r="A1102" s="665"/>
      <c r="B1102" s="617"/>
      <c r="C1102" s="623"/>
      <c r="D1102" s="617"/>
      <c r="E1102" s="637"/>
      <c r="F1102" s="625"/>
      <c r="G1102" s="2048"/>
      <c r="H1102" s="633"/>
      <c r="I1102" s="2048"/>
      <c r="J1102" s="580"/>
      <c r="K1102" s="631"/>
      <c r="L1102" s="2049"/>
      <c r="M1102" s="574"/>
      <c r="N1102" s="667"/>
      <c r="O1102" s="636"/>
      <c r="P1102" s="637"/>
      <c r="Q1102" s="574"/>
      <c r="R1102" s="574"/>
      <c r="S1102" s="574"/>
    </row>
    <row r="1103" spans="1:19" ht="21.3">
      <c r="A1103" s="665"/>
      <c r="B1103" s="617"/>
      <c r="C1103" s="623"/>
      <c r="D1103" s="617"/>
      <c r="E1103" s="637"/>
      <c r="F1103" s="625"/>
      <c r="G1103" s="2048"/>
      <c r="H1103" s="633"/>
      <c r="I1103" s="2048"/>
      <c r="J1103" s="580"/>
      <c r="K1103" s="631"/>
      <c r="L1103" s="2049"/>
      <c r="M1103" s="574"/>
      <c r="N1103" s="667"/>
      <c r="O1103" s="636"/>
      <c r="P1103" s="637"/>
      <c r="Q1103" s="574"/>
      <c r="R1103" s="574"/>
      <c r="S1103" s="574"/>
    </row>
    <row r="1104" spans="1:19" ht="21.3">
      <c r="A1104" s="665" t="s">
        <v>349</v>
      </c>
      <c r="B1104" s="1114" t="s">
        <v>350</v>
      </c>
      <c r="C1104" s="617"/>
      <c r="D1104" s="1129"/>
      <c r="E1104" s="624"/>
      <c r="F1104" s="625"/>
      <c r="G1104" s="642"/>
      <c r="H1104" s="668"/>
      <c r="I1104" s="642"/>
      <c r="J1104" s="580">
        <f t="shared" si="347"/>
        <v>0</v>
      </c>
      <c r="K1104" s="631">
        <f t="shared" si="348"/>
        <v>0</v>
      </c>
      <c r="L1104" s="1065"/>
      <c r="M1104" s="574"/>
      <c r="N1104" s="629">
        <f t="shared" si="345"/>
        <v>0</v>
      </c>
      <c r="O1104" s="630">
        <v>0</v>
      </c>
      <c r="P1104" s="624"/>
      <c r="Q1104" s="574"/>
      <c r="R1104" s="574"/>
      <c r="S1104" s="574"/>
    </row>
    <row r="1105" spans="1:19" ht="21.3">
      <c r="A1105" s="665"/>
      <c r="B1105" s="1114"/>
      <c r="C1105" s="1125" t="s">
        <v>259</v>
      </c>
      <c r="D1105" s="1124"/>
      <c r="E1105" s="624">
        <v>2815.9900000000002</v>
      </c>
      <c r="F1105" s="625" t="s">
        <v>34</v>
      </c>
      <c r="G1105" s="666">
        <v>281</v>
      </c>
      <c r="H1105" s="633">
        <f>SUM(E1105*G1105)</f>
        <v>791293.19000000006</v>
      </c>
      <c r="I1105" s="666">
        <v>80</v>
      </c>
      <c r="J1105" s="580">
        <f t="shared" si="347"/>
        <v>225279.2</v>
      </c>
      <c r="K1105" s="631">
        <f t="shared" si="348"/>
        <v>1016572.3900000001</v>
      </c>
      <c r="L1105" s="1073"/>
      <c r="M1105" s="574"/>
      <c r="N1105" s="629">
        <f t="shared" si="345"/>
        <v>0</v>
      </c>
      <c r="O1105" s="630">
        <v>0</v>
      </c>
      <c r="P1105" s="624"/>
      <c r="Q1105" s="574"/>
      <c r="R1105" s="574"/>
      <c r="S1105" s="574"/>
    </row>
    <row r="1106" spans="1:19" ht="21.3">
      <c r="A1106" s="665"/>
      <c r="B1106" s="1114"/>
      <c r="C1106" s="1125" t="s">
        <v>260</v>
      </c>
      <c r="D1106" s="1124"/>
      <c r="E1106" s="624">
        <f>+E1140/2</f>
        <v>0</v>
      </c>
      <c r="F1106" s="625" t="s">
        <v>34</v>
      </c>
      <c r="G1106" s="666">
        <v>712</v>
      </c>
      <c r="H1106" s="633">
        <f>SUM(E1106*G1106)</f>
        <v>0</v>
      </c>
      <c r="I1106" s="666">
        <v>98</v>
      </c>
      <c r="J1106" s="580">
        <f t="shared" si="347"/>
        <v>0</v>
      </c>
      <c r="K1106" s="631">
        <f t="shared" si="348"/>
        <v>0</v>
      </c>
      <c r="L1106" s="1073"/>
      <c r="M1106" s="574"/>
      <c r="N1106" s="629">
        <f t="shared" si="345"/>
        <v>0</v>
      </c>
      <c r="O1106" s="630">
        <v>0</v>
      </c>
      <c r="P1106" s="624"/>
      <c r="Q1106" s="574"/>
      <c r="R1106" s="574"/>
      <c r="S1106" s="574"/>
    </row>
    <row r="1107" spans="1:19" ht="21.3">
      <c r="A1107" s="665"/>
      <c r="B1107" s="1114"/>
      <c r="C1107" s="1125" t="s">
        <v>261</v>
      </c>
      <c r="D1107" s="1124"/>
      <c r="E1107" s="624">
        <f>+E1105*1.33</f>
        <v>3745.2667000000006</v>
      </c>
      <c r="F1107" s="625" t="s">
        <v>226</v>
      </c>
      <c r="G1107" s="666">
        <v>119</v>
      </c>
      <c r="H1107" s="633">
        <f>SUM(E1107*G1107)</f>
        <v>445686.7373000001</v>
      </c>
      <c r="I1107" s="666">
        <v>44</v>
      </c>
      <c r="J1107" s="580">
        <f t="shared" si="347"/>
        <v>164791.73480000003</v>
      </c>
      <c r="K1107" s="631">
        <f t="shared" si="348"/>
        <v>610478.47210000013</v>
      </c>
      <c r="L1107" s="1073"/>
      <c r="M1107" s="574"/>
      <c r="N1107" s="629">
        <f t="shared" si="345"/>
        <v>0</v>
      </c>
      <c r="O1107" s="630">
        <v>0</v>
      </c>
      <c r="P1107" s="624"/>
      <c r="Q1107" s="574"/>
      <c r="R1107" s="574"/>
      <c r="S1107" s="574"/>
    </row>
    <row r="1108" spans="1:19" ht="21.3">
      <c r="A1108" s="665"/>
      <c r="B1108" s="1114"/>
      <c r="C1108" s="1125" t="s">
        <v>262</v>
      </c>
      <c r="D1108" s="1124"/>
      <c r="E1108" s="624">
        <f>+E1106*1.33</f>
        <v>0</v>
      </c>
      <c r="F1108" s="625" t="s">
        <v>226</v>
      </c>
      <c r="G1108" s="666">
        <v>208</v>
      </c>
      <c r="H1108" s="633">
        <f>SUM(E1108*G1108)</f>
        <v>0</v>
      </c>
      <c r="I1108" s="666">
        <v>78</v>
      </c>
      <c r="J1108" s="580">
        <f t="shared" si="347"/>
        <v>0</v>
      </c>
      <c r="K1108" s="631">
        <f t="shared" si="348"/>
        <v>0</v>
      </c>
      <c r="L1108" s="1073"/>
      <c r="M1108" s="574"/>
      <c r="N1108" s="629">
        <f t="shared" si="345"/>
        <v>0</v>
      </c>
      <c r="O1108" s="630">
        <v>0</v>
      </c>
      <c r="P1108" s="624"/>
      <c r="Q1108" s="574"/>
      <c r="R1108" s="574"/>
      <c r="S1108" s="574"/>
    </row>
    <row r="1109" spans="1:19" ht="21.3">
      <c r="A1109" s="665"/>
      <c r="B1109" s="1114"/>
      <c r="C1109" s="1125" t="s">
        <v>263</v>
      </c>
      <c r="D1109" s="1124"/>
      <c r="E1109" s="624">
        <f>+E1136+E1137+E1139+E1144+E1146+E1157</f>
        <v>837.68</v>
      </c>
      <c r="F1109" s="625" t="s">
        <v>34</v>
      </c>
      <c r="G1109" s="666">
        <v>88</v>
      </c>
      <c r="H1109" s="633">
        <f>SUM(E1109*G1109)</f>
        <v>73715.839999999997</v>
      </c>
      <c r="I1109" s="666">
        <v>82</v>
      </c>
      <c r="J1109" s="580">
        <f t="shared" si="347"/>
        <v>68689.759999999995</v>
      </c>
      <c r="K1109" s="631">
        <f t="shared" si="348"/>
        <v>142405.59999999998</v>
      </c>
      <c r="L1109" s="1062"/>
      <c r="M1109" s="574"/>
      <c r="N1109" s="629">
        <f t="shared" si="345"/>
        <v>0</v>
      </c>
      <c r="O1109" s="630">
        <v>0</v>
      </c>
      <c r="P1109" s="624"/>
      <c r="Q1109" s="574"/>
      <c r="R1109" s="574"/>
      <c r="S1109" s="574"/>
    </row>
    <row r="1110" spans="1:19" ht="21.3">
      <c r="A1110" s="665"/>
      <c r="B1110" s="617" t="s">
        <v>264</v>
      </c>
      <c r="C1110" s="1125" t="s">
        <v>265</v>
      </c>
      <c r="D1110" s="1126"/>
      <c r="E1110" s="637">
        <f>+N1110</f>
        <v>0</v>
      </c>
      <c r="F1110" s="625" t="s">
        <v>34</v>
      </c>
      <c r="G1110" s="666">
        <v>88</v>
      </c>
      <c r="H1110" s="633">
        <f t="shared" ref="H1110:H1116" si="355">SUM(E1110*G1110)</f>
        <v>0</v>
      </c>
      <c r="I1110" s="666">
        <v>95</v>
      </c>
      <c r="J1110" s="580">
        <f t="shared" si="347"/>
        <v>0</v>
      </c>
      <c r="K1110" s="631">
        <f t="shared" si="348"/>
        <v>0</v>
      </c>
      <c r="L1110" s="1062"/>
      <c r="M1110" s="574"/>
      <c r="N1110" s="667">
        <f t="shared" si="345"/>
        <v>0</v>
      </c>
      <c r="O1110" s="636">
        <v>0</v>
      </c>
      <c r="P1110" s="637"/>
      <c r="Q1110" s="574"/>
      <c r="R1110" s="574"/>
      <c r="S1110" s="574"/>
    </row>
    <row r="1111" spans="1:19" ht="21.3">
      <c r="A1111" s="665"/>
      <c r="B1111" s="617"/>
      <c r="C1111" s="1125" t="s">
        <v>266</v>
      </c>
      <c r="D1111" s="1126"/>
      <c r="E1111" s="637">
        <f t="shared" ref="E1111:E1158" si="356">+N1111</f>
        <v>0</v>
      </c>
      <c r="F1111" s="625" t="s">
        <v>34</v>
      </c>
      <c r="G1111" s="2048">
        <v>69</v>
      </c>
      <c r="H1111" s="633">
        <f t="shared" si="355"/>
        <v>0</v>
      </c>
      <c r="I1111" s="2048">
        <v>28</v>
      </c>
      <c r="J1111" s="580">
        <f t="shared" si="347"/>
        <v>0</v>
      </c>
      <c r="K1111" s="631">
        <f t="shared" si="348"/>
        <v>0</v>
      </c>
      <c r="L1111" s="2049"/>
      <c r="M1111" s="574"/>
      <c r="N1111" s="667">
        <f t="shared" si="345"/>
        <v>0</v>
      </c>
      <c r="O1111" s="636">
        <v>0</v>
      </c>
      <c r="P1111" s="637"/>
      <c r="Q1111" s="574"/>
      <c r="R1111" s="574"/>
      <c r="S1111" s="574"/>
    </row>
    <row r="1112" spans="1:19" ht="21.3">
      <c r="A1112" s="665"/>
      <c r="B1112" s="617" t="s">
        <v>267</v>
      </c>
      <c r="C1112" s="1125" t="s">
        <v>268</v>
      </c>
      <c r="D1112" s="1126"/>
      <c r="E1112" s="637">
        <f t="shared" si="356"/>
        <v>3179.9980000000005</v>
      </c>
      <c r="F1112" s="625" t="s">
        <v>34</v>
      </c>
      <c r="G1112" s="666">
        <v>88</v>
      </c>
      <c r="H1112" s="633">
        <f t="shared" si="355"/>
        <v>279839.82400000002</v>
      </c>
      <c r="I1112" s="666">
        <v>82</v>
      </c>
      <c r="J1112" s="580">
        <f t="shared" si="347"/>
        <v>260759.83600000004</v>
      </c>
      <c r="K1112" s="631">
        <f t="shared" si="348"/>
        <v>540599.66</v>
      </c>
      <c r="L1112" s="1062"/>
      <c r="M1112" s="574"/>
      <c r="N1112" s="667">
        <f t="shared" si="345"/>
        <v>3179.9980000000005</v>
      </c>
      <c r="O1112" s="636">
        <v>0</v>
      </c>
      <c r="P1112" s="637">
        <v>3179.9980000000005</v>
      </c>
      <c r="Q1112" s="574">
        <f>90*3.72*3.6</f>
        <v>1205.28</v>
      </c>
      <c r="R1112" s="574"/>
      <c r="S1112" s="574"/>
    </row>
    <row r="1113" spans="1:19" ht="21.3">
      <c r="A1113" s="665"/>
      <c r="B1113" s="617" t="s">
        <v>269</v>
      </c>
      <c r="C1113" s="1125" t="s">
        <v>265</v>
      </c>
      <c r="D1113" s="1126"/>
      <c r="E1113" s="637">
        <f t="shared" si="356"/>
        <v>547.41999999999996</v>
      </c>
      <c r="F1113" s="625" t="s">
        <v>34</v>
      </c>
      <c r="G1113" s="666">
        <v>88</v>
      </c>
      <c r="H1113" s="633">
        <f t="shared" si="355"/>
        <v>48172.959999999999</v>
      </c>
      <c r="I1113" s="666">
        <v>82</v>
      </c>
      <c r="J1113" s="580">
        <f t="shared" si="347"/>
        <v>44888.439999999995</v>
      </c>
      <c r="K1113" s="631">
        <f t="shared" si="348"/>
        <v>93061.4</v>
      </c>
      <c r="L1113" s="1062"/>
      <c r="M1113" s="574"/>
      <c r="N1113" s="667">
        <f t="shared" si="345"/>
        <v>547.41999999999996</v>
      </c>
      <c r="O1113" s="636">
        <v>0</v>
      </c>
      <c r="P1113" s="637">
        <v>547.41999999999996</v>
      </c>
      <c r="Q1113" s="574"/>
      <c r="R1113" s="574"/>
      <c r="S1113" s="574"/>
    </row>
    <row r="1114" spans="1:19" ht="21.3">
      <c r="A1114" s="665"/>
      <c r="B1114" s="617"/>
      <c r="C1114" s="1125" t="s">
        <v>270</v>
      </c>
      <c r="D1114" s="1126"/>
      <c r="E1114" s="637">
        <f t="shared" si="356"/>
        <v>0</v>
      </c>
      <c r="F1114" s="625" t="s">
        <v>34</v>
      </c>
      <c r="G1114" s="2048">
        <v>69</v>
      </c>
      <c r="H1114" s="633">
        <f t="shared" si="355"/>
        <v>0</v>
      </c>
      <c r="I1114" s="2048">
        <v>28</v>
      </c>
      <c r="J1114" s="580">
        <f t="shared" si="347"/>
        <v>0</v>
      </c>
      <c r="K1114" s="631">
        <f t="shared" si="348"/>
        <v>0</v>
      </c>
      <c r="L1114" s="2049"/>
      <c r="M1114" s="574"/>
      <c r="N1114" s="667">
        <f t="shared" si="345"/>
        <v>0</v>
      </c>
      <c r="O1114" s="636">
        <v>0</v>
      </c>
      <c r="P1114" s="637"/>
      <c r="Q1114" s="574"/>
      <c r="R1114" s="574"/>
      <c r="S1114" s="574"/>
    </row>
    <row r="1115" spans="1:19" ht="21.3">
      <c r="A1115" s="665"/>
      <c r="B1115" s="617" t="s">
        <v>271</v>
      </c>
      <c r="C1115" s="1125" t="s">
        <v>272</v>
      </c>
      <c r="D1115" s="1126"/>
      <c r="E1115" s="637">
        <f t="shared" si="356"/>
        <v>0</v>
      </c>
      <c r="F1115" s="625" t="s">
        <v>34</v>
      </c>
      <c r="G1115" s="666">
        <v>103</v>
      </c>
      <c r="H1115" s="633">
        <f t="shared" si="355"/>
        <v>0</v>
      </c>
      <c r="I1115" s="666">
        <v>115</v>
      </c>
      <c r="J1115" s="580">
        <f t="shared" si="347"/>
        <v>0</v>
      </c>
      <c r="K1115" s="631">
        <f t="shared" si="348"/>
        <v>0</v>
      </c>
      <c r="L1115" s="1062"/>
      <c r="M1115" s="574"/>
      <c r="N1115" s="667">
        <f t="shared" si="345"/>
        <v>0</v>
      </c>
      <c r="O1115" s="636">
        <v>0</v>
      </c>
      <c r="P1115" s="637"/>
      <c r="Q1115" s="574"/>
      <c r="R1115" s="574"/>
      <c r="S1115" s="574"/>
    </row>
    <row r="1116" spans="1:19" ht="21.3">
      <c r="A1116" s="665"/>
      <c r="B1116" s="617"/>
      <c r="C1116" s="1125" t="s">
        <v>273</v>
      </c>
      <c r="D1116" s="1126"/>
      <c r="E1116" s="637">
        <f t="shared" si="356"/>
        <v>0</v>
      </c>
      <c r="F1116" s="625" t="s">
        <v>34</v>
      </c>
      <c r="G1116" s="2048">
        <v>69</v>
      </c>
      <c r="H1116" s="633">
        <f t="shared" si="355"/>
        <v>0</v>
      </c>
      <c r="I1116" s="2048">
        <v>28</v>
      </c>
      <c r="J1116" s="580">
        <f t="shared" si="347"/>
        <v>0</v>
      </c>
      <c r="K1116" s="631">
        <f t="shared" si="348"/>
        <v>0</v>
      </c>
      <c r="L1116" s="2049"/>
      <c r="M1116" s="574"/>
      <c r="N1116" s="667">
        <f t="shared" si="345"/>
        <v>0</v>
      </c>
      <c r="O1116" s="636">
        <v>0</v>
      </c>
      <c r="P1116" s="637"/>
      <c r="Q1116" s="574"/>
      <c r="R1116" s="574"/>
      <c r="S1116" s="574"/>
    </row>
    <row r="1117" spans="1:19" ht="21.3">
      <c r="A1117" s="665"/>
      <c r="B1117" s="617" t="s">
        <v>274</v>
      </c>
      <c r="C1117" s="1125" t="s">
        <v>275</v>
      </c>
      <c r="D1117" s="1126"/>
      <c r="E1117" s="637">
        <f t="shared" si="356"/>
        <v>0</v>
      </c>
      <c r="F1117" s="625" t="s">
        <v>34</v>
      </c>
      <c r="G1117" s="572">
        <v>1500</v>
      </c>
      <c r="H1117" s="580">
        <f t="shared" ref="H1117" si="357">E1117*G1117</f>
        <v>0</v>
      </c>
      <c r="I1117" s="572">
        <v>500</v>
      </c>
      <c r="J1117" s="580">
        <f t="shared" si="347"/>
        <v>0</v>
      </c>
      <c r="K1117" s="631">
        <f t="shared" si="348"/>
        <v>0</v>
      </c>
      <c r="L1117" s="1061"/>
      <c r="M1117" s="574"/>
      <c r="N1117" s="667">
        <f t="shared" si="345"/>
        <v>0</v>
      </c>
      <c r="O1117" s="636">
        <v>0</v>
      </c>
      <c r="P1117" s="637"/>
      <c r="Q1117" s="574"/>
      <c r="R1117" s="574"/>
      <c r="S1117" s="574"/>
    </row>
    <row r="1118" spans="1:19" ht="21.3">
      <c r="A1118" s="665"/>
      <c r="B1118" s="617"/>
      <c r="C1118" s="1125" t="s">
        <v>273</v>
      </c>
      <c r="D1118" s="1126"/>
      <c r="E1118" s="637">
        <f t="shared" si="356"/>
        <v>0</v>
      </c>
      <c r="F1118" s="625" t="s">
        <v>34</v>
      </c>
      <c r="G1118" s="2048">
        <v>69</v>
      </c>
      <c r="H1118" s="633">
        <f t="shared" ref="H1118" si="358">SUM(E1118*G1118)</f>
        <v>0</v>
      </c>
      <c r="I1118" s="2048">
        <v>28</v>
      </c>
      <c r="J1118" s="580">
        <f t="shared" si="347"/>
        <v>0</v>
      </c>
      <c r="K1118" s="631">
        <f t="shared" si="348"/>
        <v>0</v>
      </c>
      <c r="L1118" s="2049"/>
      <c r="M1118" s="574"/>
      <c r="N1118" s="667">
        <f t="shared" si="345"/>
        <v>0</v>
      </c>
      <c r="O1118" s="636">
        <v>0</v>
      </c>
      <c r="P1118" s="637"/>
      <c r="Q1118" s="574"/>
      <c r="R1118" s="574"/>
      <c r="S1118" s="574"/>
    </row>
    <row r="1119" spans="1:19" ht="21.3">
      <c r="A1119" s="665"/>
      <c r="B1119" s="617" t="s">
        <v>276</v>
      </c>
      <c r="C1119" s="1125" t="s">
        <v>277</v>
      </c>
      <c r="D1119" s="1126"/>
      <c r="E1119" s="637">
        <f t="shared" si="356"/>
        <v>0</v>
      </c>
      <c r="F1119" s="625" t="s">
        <v>34</v>
      </c>
      <c r="G1119" s="572">
        <v>492</v>
      </c>
      <c r="H1119" s="580">
        <f t="shared" ref="H1119" si="359">E1119*G1119</f>
        <v>0</v>
      </c>
      <c r="I1119" s="572">
        <v>130</v>
      </c>
      <c r="J1119" s="580">
        <f t="shared" si="347"/>
        <v>0</v>
      </c>
      <c r="K1119" s="631">
        <f t="shared" si="348"/>
        <v>0</v>
      </c>
      <c r="L1119" s="2049"/>
      <c r="M1119" s="574"/>
      <c r="N1119" s="667">
        <f t="shared" si="345"/>
        <v>0</v>
      </c>
      <c r="O1119" s="636">
        <v>0</v>
      </c>
      <c r="P1119" s="637"/>
      <c r="Q1119" s="574"/>
      <c r="R1119" s="574"/>
      <c r="S1119" s="574"/>
    </row>
    <row r="1120" spans="1:19" ht="21.3">
      <c r="A1120" s="665"/>
      <c r="B1120" s="617"/>
      <c r="C1120" s="1125" t="s">
        <v>278</v>
      </c>
      <c r="D1120" s="1126"/>
      <c r="E1120" s="637">
        <f t="shared" si="356"/>
        <v>0</v>
      </c>
      <c r="F1120" s="619"/>
      <c r="G1120" s="572"/>
      <c r="H1120" s="580"/>
      <c r="I1120" s="572"/>
      <c r="J1120" s="580">
        <f t="shared" si="347"/>
        <v>0</v>
      </c>
      <c r="K1120" s="631">
        <f t="shared" si="348"/>
        <v>0</v>
      </c>
      <c r="L1120" s="2049"/>
      <c r="M1120" s="574"/>
      <c r="N1120" s="629">
        <f t="shared" si="345"/>
        <v>0</v>
      </c>
      <c r="O1120" s="630">
        <v>0</v>
      </c>
      <c r="P1120" s="624"/>
      <c r="Q1120" s="574"/>
      <c r="R1120" s="574"/>
      <c r="S1120" s="574"/>
    </row>
    <row r="1121" spans="1:19" ht="21.3">
      <c r="A1121" s="665"/>
      <c r="B1121" s="617" t="s">
        <v>279</v>
      </c>
      <c r="C1121" s="1125" t="s">
        <v>280</v>
      </c>
      <c r="D1121" s="1126"/>
      <c r="E1121" s="637">
        <f t="shared" si="356"/>
        <v>0</v>
      </c>
      <c r="F1121" s="625" t="s">
        <v>34</v>
      </c>
      <c r="G1121" s="572">
        <v>256</v>
      </c>
      <c r="H1121" s="580">
        <f t="shared" ref="H1121" si="360">E1121*G1121</f>
        <v>0</v>
      </c>
      <c r="I1121" s="572">
        <v>100</v>
      </c>
      <c r="J1121" s="580">
        <f t="shared" si="347"/>
        <v>0</v>
      </c>
      <c r="K1121" s="631">
        <f t="shared" si="348"/>
        <v>0</v>
      </c>
      <c r="L1121" s="2049"/>
      <c r="M1121" s="574"/>
      <c r="N1121" s="667">
        <f t="shared" si="345"/>
        <v>0</v>
      </c>
      <c r="O1121" s="636">
        <v>0</v>
      </c>
      <c r="P1121" s="624"/>
      <c r="Q1121" s="574"/>
      <c r="R1121" s="574"/>
      <c r="S1121" s="574"/>
    </row>
    <row r="1122" spans="1:19" ht="21.3">
      <c r="A1122" s="665"/>
      <c r="B1122" s="617"/>
      <c r="C1122" s="1125" t="s">
        <v>281</v>
      </c>
      <c r="D1122" s="1126"/>
      <c r="E1122" s="637">
        <f t="shared" si="356"/>
        <v>0</v>
      </c>
      <c r="F1122" s="619"/>
      <c r="G1122" s="572"/>
      <c r="H1122" s="580"/>
      <c r="I1122" s="572"/>
      <c r="J1122" s="580">
        <f t="shared" si="347"/>
        <v>0</v>
      </c>
      <c r="K1122" s="631">
        <f t="shared" si="348"/>
        <v>0</v>
      </c>
      <c r="L1122" s="2049"/>
      <c r="M1122" s="574"/>
      <c r="N1122" s="629">
        <f t="shared" si="345"/>
        <v>0</v>
      </c>
      <c r="O1122" s="630">
        <v>0</v>
      </c>
      <c r="P1122" s="624"/>
      <c r="Q1122" s="574"/>
      <c r="R1122" s="574"/>
      <c r="S1122" s="574"/>
    </row>
    <row r="1123" spans="1:19" ht="21.3">
      <c r="A1123" s="665"/>
      <c r="B1123" s="617" t="s">
        <v>282</v>
      </c>
      <c r="C1123" s="1125" t="s">
        <v>280</v>
      </c>
      <c r="D1123" s="1126"/>
      <c r="E1123" s="637">
        <f t="shared" si="356"/>
        <v>0</v>
      </c>
      <c r="F1123" s="625" t="s">
        <v>34</v>
      </c>
      <c r="G1123" s="572">
        <v>256</v>
      </c>
      <c r="H1123" s="580">
        <f t="shared" ref="H1123" si="361">E1123*G1123</f>
        <v>0</v>
      </c>
      <c r="I1123" s="572">
        <v>100</v>
      </c>
      <c r="J1123" s="580">
        <f t="shared" si="347"/>
        <v>0</v>
      </c>
      <c r="K1123" s="631">
        <f t="shared" si="348"/>
        <v>0</v>
      </c>
      <c r="L1123" s="2049"/>
      <c r="M1123" s="574"/>
      <c r="N1123" s="667">
        <f t="shared" si="345"/>
        <v>0</v>
      </c>
      <c r="O1123" s="636">
        <v>0</v>
      </c>
      <c r="P1123" s="637"/>
      <c r="Q1123" s="574"/>
      <c r="R1123" s="574"/>
      <c r="S1123" s="574"/>
    </row>
    <row r="1124" spans="1:19" ht="21.3">
      <c r="A1124" s="665"/>
      <c r="B1124" s="617"/>
      <c r="C1124" s="1125" t="s">
        <v>281</v>
      </c>
      <c r="D1124" s="1126"/>
      <c r="E1124" s="637">
        <f t="shared" si="356"/>
        <v>0</v>
      </c>
      <c r="F1124" s="619"/>
      <c r="G1124" s="572"/>
      <c r="H1124" s="580"/>
      <c r="I1124" s="572"/>
      <c r="J1124" s="580">
        <f t="shared" si="347"/>
        <v>0</v>
      </c>
      <c r="K1124" s="631">
        <f t="shared" si="348"/>
        <v>0</v>
      </c>
      <c r="L1124" s="1062"/>
      <c r="M1124" s="574"/>
      <c r="N1124" s="629">
        <f t="shared" si="345"/>
        <v>0</v>
      </c>
      <c r="O1124" s="630">
        <v>0</v>
      </c>
      <c r="P1124" s="624"/>
      <c r="Q1124" s="574"/>
      <c r="R1124" s="574"/>
      <c r="S1124" s="574"/>
    </row>
    <row r="1125" spans="1:19" ht="21.3">
      <c r="A1125" s="665"/>
      <c r="B1125" s="617"/>
      <c r="C1125" s="1125" t="s">
        <v>283</v>
      </c>
      <c r="D1125" s="1126"/>
      <c r="E1125" s="637">
        <f t="shared" si="356"/>
        <v>0</v>
      </c>
      <c r="F1125" s="625" t="s">
        <v>34</v>
      </c>
      <c r="G1125" s="2048">
        <v>69</v>
      </c>
      <c r="H1125" s="633">
        <f t="shared" ref="H1125" si="362">SUM(E1125*G1125)</f>
        <v>0</v>
      </c>
      <c r="I1125" s="2048">
        <v>28</v>
      </c>
      <c r="J1125" s="580">
        <f t="shared" si="347"/>
        <v>0</v>
      </c>
      <c r="K1125" s="631">
        <f t="shared" si="348"/>
        <v>0</v>
      </c>
      <c r="L1125" s="2049"/>
      <c r="M1125" s="574"/>
      <c r="N1125" s="667">
        <f t="shared" si="345"/>
        <v>0</v>
      </c>
      <c r="O1125" s="636">
        <v>0</v>
      </c>
      <c r="P1125" s="637"/>
      <c r="Q1125" s="574"/>
      <c r="R1125" s="574"/>
      <c r="S1125" s="574"/>
    </row>
    <row r="1126" spans="1:19" ht="21.3">
      <c r="A1126" s="665"/>
      <c r="B1126" s="617" t="s">
        <v>284</v>
      </c>
      <c r="C1126" s="1125" t="s">
        <v>280</v>
      </c>
      <c r="D1126" s="1126"/>
      <c r="E1126" s="637">
        <f t="shared" si="356"/>
        <v>0</v>
      </c>
      <c r="F1126" s="625" t="s">
        <v>34</v>
      </c>
      <c r="G1126" s="572">
        <v>592</v>
      </c>
      <c r="H1126" s="580">
        <f t="shared" ref="H1126" si="363">E1126*G1126</f>
        <v>0</v>
      </c>
      <c r="I1126" s="572">
        <v>165</v>
      </c>
      <c r="J1126" s="580">
        <f t="shared" si="347"/>
        <v>0</v>
      </c>
      <c r="K1126" s="631">
        <f t="shared" si="348"/>
        <v>0</v>
      </c>
      <c r="L1126" s="2049"/>
      <c r="M1126" s="574"/>
      <c r="N1126" s="667">
        <f t="shared" si="345"/>
        <v>0</v>
      </c>
      <c r="O1126" s="636">
        <v>0</v>
      </c>
      <c r="P1126" s="637"/>
      <c r="Q1126" s="574"/>
      <c r="R1126" s="574"/>
      <c r="S1126" s="574"/>
    </row>
    <row r="1127" spans="1:19" ht="21.3">
      <c r="A1127" s="665"/>
      <c r="B1127" s="617"/>
      <c r="C1127" s="1125" t="s">
        <v>285</v>
      </c>
      <c r="D1127" s="1126"/>
      <c r="E1127" s="637">
        <f t="shared" si="356"/>
        <v>0</v>
      </c>
      <c r="F1127" s="619"/>
      <c r="G1127" s="572"/>
      <c r="H1127" s="580"/>
      <c r="I1127" s="572"/>
      <c r="J1127" s="580">
        <f t="shared" si="347"/>
        <v>0</v>
      </c>
      <c r="K1127" s="631">
        <f t="shared" si="348"/>
        <v>0</v>
      </c>
      <c r="L1127" s="1062"/>
      <c r="M1127" s="574"/>
      <c r="N1127" s="629">
        <f t="shared" si="345"/>
        <v>0</v>
      </c>
      <c r="O1127" s="630">
        <v>0</v>
      </c>
      <c r="P1127" s="624"/>
      <c r="Q1127" s="574"/>
      <c r="R1127" s="574"/>
      <c r="S1127" s="574"/>
    </row>
    <row r="1128" spans="1:19" ht="21.3">
      <c r="A1128" s="665"/>
      <c r="B1128" s="617" t="s">
        <v>286</v>
      </c>
      <c r="C1128" s="1125" t="s">
        <v>280</v>
      </c>
      <c r="D1128" s="1126"/>
      <c r="E1128" s="637">
        <f t="shared" si="356"/>
        <v>0</v>
      </c>
      <c r="F1128" s="625" t="s">
        <v>34</v>
      </c>
      <c r="G1128" s="572">
        <v>642</v>
      </c>
      <c r="H1128" s="580">
        <f t="shared" ref="H1128" si="364">E1128*G1128</f>
        <v>0</v>
      </c>
      <c r="I1128" s="572">
        <v>183</v>
      </c>
      <c r="J1128" s="580">
        <f t="shared" si="347"/>
        <v>0</v>
      </c>
      <c r="K1128" s="631">
        <f t="shared" si="348"/>
        <v>0</v>
      </c>
      <c r="L1128" s="2049"/>
      <c r="M1128" s="574"/>
      <c r="N1128" s="667">
        <f t="shared" si="345"/>
        <v>0</v>
      </c>
      <c r="O1128" s="636">
        <v>0</v>
      </c>
      <c r="P1128" s="637"/>
      <c r="Q1128" s="574"/>
      <c r="R1128" s="574"/>
      <c r="S1128" s="574"/>
    </row>
    <row r="1129" spans="1:19" ht="21.3">
      <c r="A1129" s="665"/>
      <c r="B1129" s="617"/>
      <c r="C1129" s="1125" t="s">
        <v>287</v>
      </c>
      <c r="D1129" s="1126"/>
      <c r="E1129" s="637">
        <f t="shared" si="356"/>
        <v>0</v>
      </c>
      <c r="F1129" s="619"/>
      <c r="G1129" s="572"/>
      <c r="H1129" s="580"/>
      <c r="I1129" s="572"/>
      <c r="J1129" s="580">
        <f t="shared" si="347"/>
        <v>0</v>
      </c>
      <c r="K1129" s="631">
        <f t="shared" si="348"/>
        <v>0</v>
      </c>
      <c r="L1129" s="1073"/>
      <c r="M1129" s="574"/>
      <c r="N1129" s="629">
        <f t="shared" si="345"/>
        <v>0</v>
      </c>
      <c r="O1129" s="630">
        <v>0</v>
      </c>
      <c r="P1129" s="624"/>
      <c r="Q1129" s="574"/>
      <c r="R1129" s="574"/>
      <c r="S1129" s="574"/>
    </row>
    <row r="1130" spans="1:19" ht="21.3">
      <c r="A1130" s="665"/>
      <c r="B1130" s="617"/>
      <c r="C1130" s="1125" t="s">
        <v>288</v>
      </c>
      <c r="D1130" s="1126"/>
      <c r="E1130" s="637">
        <f t="shared" si="356"/>
        <v>0</v>
      </c>
      <c r="F1130" s="619"/>
      <c r="G1130" s="572"/>
      <c r="H1130" s="580"/>
      <c r="I1130" s="572"/>
      <c r="J1130" s="580">
        <f t="shared" si="347"/>
        <v>0</v>
      </c>
      <c r="K1130" s="631">
        <f t="shared" si="348"/>
        <v>0</v>
      </c>
      <c r="L1130" s="1073"/>
      <c r="M1130" s="574"/>
      <c r="N1130" s="629">
        <f t="shared" si="345"/>
        <v>0</v>
      </c>
      <c r="O1130" s="630">
        <v>0</v>
      </c>
      <c r="P1130" s="624"/>
      <c r="Q1130" s="574"/>
      <c r="R1130" s="574"/>
      <c r="S1130" s="574"/>
    </row>
    <row r="1131" spans="1:19" ht="21.3">
      <c r="A1131" s="665"/>
      <c r="B1131" s="617" t="s">
        <v>289</v>
      </c>
      <c r="C1131" s="1125" t="s">
        <v>280</v>
      </c>
      <c r="D1131" s="1126"/>
      <c r="E1131" s="637">
        <f t="shared" si="356"/>
        <v>0</v>
      </c>
      <c r="F1131" s="625" t="s">
        <v>34</v>
      </c>
      <c r="G1131" s="572">
        <v>520</v>
      </c>
      <c r="H1131" s="580">
        <f t="shared" ref="H1131" si="365">E1131*G1131</f>
        <v>0</v>
      </c>
      <c r="I1131" s="572">
        <v>270</v>
      </c>
      <c r="J1131" s="580">
        <f t="shared" si="347"/>
        <v>0</v>
      </c>
      <c r="K1131" s="631">
        <f t="shared" si="348"/>
        <v>0</v>
      </c>
      <c r="L1131" s="1074"/>
      <c r="M1131" s="574"/>
      <c r="N1131" s="667">
        <f t="shared" si="345"/>
        <v>0</v>
      </c>
      <c r="O1131" s="636">
        <v>0</v>
      </c>
      <c r="P1131" s="637"/>
      <c r="Q1131" s="574"/>
      <c r="R1131" s="574"/>
      <c r="S1131" s="574"/>
    </row>
    <row r="1132" spans="1:19" ht="21.3">
      <c r="A1132" s="665"/>
      <c r="B1132" s="617"/>
      <c r="C1132" s="1125" t="s">
        <v>290</v>
      </c>
      <c r="D1132" s="1126"/>
      <c r="E1132" s="637">
        <f t="shared" si="356"/>
        <v>0</v>
      </c>
      <c r="F1132" s="619"/>
      <c r="G1132" s="572"/>
      <c r="H1132" s="580"/>
      <c r="I1132" s="572"/>
      <c r="J1132" s="580">
        <f t="shared" si="347"/>
        <v>0</v>
      </c>
      <c r="K1132" s="631">
        <f t="shared" si="348"/>
        <v>0</v>
      </c>
      <c r="L1132" s="1073"/>
      <c r="M1132" s="574"/>
      <c r="N1132" s="629">
        <f t="shared" si="345"/>
        <v>0</v>
      </c>
      <c r="O1132" s="630">
        <v>0</v>
      </c>
      <c r="P1132" s="624"/>
      <c r="Q1132" s="574"/>
      <c r="R1132" s="574"/>
      <c r="S1132" s="574"/>
    </row>
    <row r="1133" spans="1:19" ht="21.3">
      <c r="A1133" s="665"/>
      <c r="B1133" s="617" t="s">
        <v>291</v>
      </c>
      <c r="C1133" s="1125" t="s">
        <v>280</v>
      </c>
      <c r="D1133" s="1126"/>
      <c r="E1133" s="637">
        <f t="shared" si="356"/>
        <v>0</v>
      </c>
      <c r="F1133" s="625" t="s">
        <v>34</v>
      </c>
      <c r="G1133" s="572">
        <v>256</v>
      </c>
      <c r="H1133" s="580">
        <f t="shared" ref="H1133:H1134" si="366">E1133*G1133</f>
        <v>0</v>
      </c>
      <c r="I1133" s="572">
        <v>100</v>
      </c>
      <c r="J1133" s="580">
        <f t="shared" si="347"/>
        <v>0</v>
      </c>
      <c r="K1133" s="631">
        <f t="shared" si="348"/>
        <v>0</v>
      </c>
      <c r="L1133" s="2049"/>
      <c r="M1133" s="574"/>
      <c r="N1133" s="667">
        <f t="shared" si="345"/>
        <v>0</v>
      </c>
      <c r="O1133" s="636">
        <v>0</v>
      </c>
      <c r="P1133" s="637"/>
      <c r="Q1133" s="574"/>
      <c r="R1133" s="574"/>
      <c r="S1133" s="574"/>
    </row>
    <row r="1134" spans="1:19" ht="21.3">
      <c r="A1134" s="665"/>
      <c r="B1134" s="617"/>
      <c r="C1134" s="1125" t="s">
        <v>292</v>
      </c>
      <c r="D1134" s="1126"/>
      <c r="E1134" s="637">
        <f t="shared" si="356"/>
        <v>0</v>
      </c>
      <c r="F1134" s="619"/>
      <c r="G1134" s="572">
        <v>0</v>
      </c>
      <c r="H1134" s="580">
        <f t="shared" si="366"/>
        <v>0</v>
      </c>
      <c r="I1134" s="572">
        <v>0</v>
      </c>
      <c r="J1134" s="580">
        <f t="shared" si="347"/>
        <v>0</v>
      </c>
      <c r="K1134" s="631">
        <f t="shared" si="348"/>
        <v>0</v>
      </c>
      <c r="L1134" s="1073"/>
      <c r="M1134" s="574"/>
      <c r="N1134" s="629">
        <f t="shared" si="345"/>
        <v>0</v>
      </c>
      <c r="O1134" s="630">
        <v>0</v>
      </c>
      <c r="P1134" s="624"/>
      <c r="Q1134" s="574"/>
      <c r="R1134" s="574"/>
      <c r="S1134" s="574"/>
    </row>
    <row r="1135" spans="1:19" ht="21.3">
      <c r="A1135" s="665"/>
      <c r="B1135" s="617"/>
      <c r="C1135" s="1125" t="s">
        <v>293</v>
      </c>
      <c r="D1135" s="1126"/>
      <c r="E1135" s="637">
        <f t="shared" si="356"/>
        <v>0</v>
      </c>
      <c r="F1135" s="625" t="s">
        <v>34</v>
      </c>
      <c r="G1135" s="666">
        <v>520</v>
      </c>
      <c r="H1135" s="580"/>
      <c r="I1135" s="666">
        <v>30</v>
      </c>
      <c r="J1135" s="580">
        <f t="shared" si="347"/>
        <v>0</v>
      </c>
      <c r="K1135" s="631">
        <f t="shared" si="348"/>
        <v>0</v>
      </c>
      <c r="L1135" s="1073"/>
      <c r="M1135" s="574"/>
      <c r="N1135" s="629">
        <f t="shared" si="345"/>
        <v>0</v>
      </c>
      <c r="O1135" s="630">
        <v>0</v>
      </c>
      <c r="P1135" s="624"/>
      <c r="Q1135" s="574"/>
      <c r="R1135" s="574"/>
      <c r="S1135" s="574"/>
    </row>
    <row r="1136" spans="1:19" ht="21.3">
      <c r="A1136" s="665"/>
      <c r="B1136" s="617" t="s">
        <v>294</v>
      </c>
      <c r="C1136" s="1125" t="s">
        <v>295</v>
      </c>
      <c r="D1136" s="1126"/>
      <c r="E1136" s="637">
        <f t="shared" si="356"/>
        <v>0</v>
      </c>
      <c r="F1136" s="625" t="s">
        <v>34</v>
      </c>
      <c r="G1136" s="666">
        <v>91</v>
      </c>
      <c r="H1136" s="633">
        <f>SUM(E1136*G1136)</f>
        <v>0</v>
      </c>
      <c r="I1136" s="666">
        <v>100</v>
      </c>
      <c r="J1136" s="580">
        <f t="shared" si="347"/>
        <v>0</v>
      </c>
      <c r="K1136" s="631">
        <f t="shared" si="348"/>
        <v>0</v>
      </c>
      <c r="L1136" s="1062"/>
      <c r="M1136" s="574"/>
      <c r="N1136" s="667">
        <f t="shared" si="345"/>
        <v>0</v>
      </c>
      <c r="O1136" s="636">
        <v>0</v>
      </c>
      <c r="P1136" s="637"/>
      <c r="Q1136" s="574"/>
      <c r="R1136" s="574"/>
      <c r="S1136" s="574"/>
    </row>
    <row r="1137" spans="1:19" ht="21.3">
      <c r="A1137" s="665"/>
      <c r="B1137" s="617" t="s">
        <v>296</v>
      </c>
      <c r="C1137" s="1125" t="s">
        <v>297</v>
      </c>
      <c r="D1137" s="1126"/>
      <c r="E1137" s="637">
        <f t="shared" si="356"/>
        <v>0</v>
      </c>
      <c r="F1137" s="625" t="s">
        <v>34</v>
      </c>
      <c r="G1137" s="666">
        <v>294</v>
      </c>
      <c r="H1137" s="633">
        <f t="shared" ref="H1137:H1144" si="367">SUM(E1137*G1137)</f>
        <v>0</v>
      </c>
      <c r="I1137" s="666">
        <v>189</v>
      </c>
      <c r="J1137" s="580">
        <f t="shared" si="347"/>
        <v>0</v>
      </c>
      <c r="K1137" s="631">
        <f t="shared" si="348"/>
        <v>0</v>
      </c>
      <c r="L1137" s="1073"/>
      <c r="M1137" s="574"/>
      <c r="N1137" s="667">
        <f t="shared" ref="N1137:N1205" si="368">+(1+O1137)*P1137</f>
        <v>0</v>
      </c>
      <c r="O1137" s="636">
        <v>0</v>
      </c>
      <c r="P1137" s="637"/>
      <c r="Q1137" s="574"/>
      <c r="R1137" s="574"/>
      <c r="S1137" s="574"/>
    </row>
    <row r="1138" spans="1:19" ht="21.3">
      <c r="A1138" s="665"/>
      <c r="B1138" s="617" t="s">
        <v>298</v>
      </c>
      <c r="C1138" s="1125" t="s">
        <v>299</v>
      </c>
      <c r="D1138" s="1126"/>
      <c r="E1138" s="637"/>
      <c r="F1138" s="625" t="s">
        <v>34</v>
      </c>
      <c r="G1138" s="666">
        <v>608</v>
      </c>
      <c r="H1138" s="633">
        <f t="shared" ref="H1138" si="369">SUM(E1138*G1138)</f>
        <v>0</v>
      </c>
      <c r="I1138" s="666">
        <v>189</v>
      </c>
      <c r="J1138" s="580">
        <f t="shared" si="347"/>
        <v>0</v>
      </c>
      <c r="K1138" s="631">
        <f t="shared" si="348"/>
        <v>0</v>
      </c>
      <c r="L1138" s="1073"/>
      <c r="M1138" s="574"/>
      <c r="N1138" s="667">
        <f t="shared" si="368"/>
        <v>681.28</v>
      </c>
      <c r="O1138" s="636">
        <v>0</v>
      </c>
      <c r="P1138" s="637">
        <v>681.28</v>
      </c>
      <c r="Q1138" s="574"/>
      <c r="R1138" s="574"/>
      <c r="S1138" s="574"/>
    </row>
    <row r="1139" spans="1:19" ht="21.3">
      <c r="A1139" s="665"/>
      <c r="B1139" s="623" t="s">
        <v>2549</v>
      </c>
      <c r="C1139" s="1125" t="s">
        <v>299</v>
      </c>
      <c r="D1139" s="1126"/>
      <c r="E1139" s="637">
        <f t="shared" si="356"/>
        <v>681.28</v>
      </c>
      <c r="F1139" s="625" t="s">
        <v>34</v>
      </c>
      <c r="G1139" s="666">
        <v>399</v>
      </c>
      <c r="H1139" s="633">
        <f t="shared" si="367"/>
        <v>271830.71999999997</v>
      </c>
      <c r="I1139" s="666">
        <v>189</v>
      </c>
      <c r="J1139" s="580">
        <f t="shared" si="347"/>
        <v>128761.92</v>
      </c>
      <c r="K1139" s="631">
        <f t="shared" si="348"/>
        <v>400592.63999999996</v>
      </c>
      <c r="L1139" s="1073"/>
      <c r="M1139" s="574"/>
      <c r="N1139" s="667">
        <f t="shared" si="368"/>
        <v>681.28</v>
      </c>
      <c r="O1139" s="636">
        <v>0</v>
      </c>
      <c r="P1139" s="637">
        <v>681.28</v>
      </c>
      <c r="Q1139" s="574"/>
      <c r="R1139" s="574"/>
      <c r="S1139" s="574"/>
    </row>
    <row r="1140" spans="1:19" ht="21.3">
      <c r="A1140" s="665"/>
      <c r="B1140" s="617" t="s">
        <v>300</v>
      </c>
      <c r="C1140" s="1125" t="s">
        <v>301</v>
      </c>
      <c r="D1140" s="1126"/>
      <c r="E1140" s="637">
        <f t="shared" si="356"/>
        <v>0</v>
      </c>
      <c r="F1140" s="625" t="s">
        <v>34</v>
      </c>
      <c r="G1140" s="666">
        <v>88</v>
      </c>
      <c r="H1140" s="633">
        <f t="shared" si="367"/>
        <v>0</v>
      </c>
      <c r="I1140" s="666">
        <v>82</v>
      </c>
      <c r="J1140" s="580">
        <f t="shared" si="347"/>
        <v>0</v>
      </c>
      <c r="K1140" s="631">
        <f t="shared" si="348"/>
        <v>0</v>
      </c>
      <c r="L1140" s="1062"/>
      <c r="M1140" s="574"/>
      <c r="N1140" s="667">
        <f t="shared" si="368"/>
        <v>0</v>
      </c>
      <c r="O1140" s="636">
        <v>0</v>
      </c>
      <c r="P1140" s="637"/>
      <c r="Q1140" s="574"/>
      <c r="R1140" s="574"/>
      <c r="S1140" s="574"/>
    </row>
    <row r="1141" spans="1:19" ht="21.3">
      <c r="A1141" s="665"/>
      <c r="B1141" s="617"/>
      <c r="C1141" s="1125" t="s">
        <v>302</v>
      </c>
      <c r="D1141" s="1126"/>
      <c r="E1141" s="637">
        <f t="shared" si="356"/>
        <v>0</v>
      </c>
      <c r="F1141" s="625" t="s">
        <v>34</v>
      </c>
      <c r="G1141" s="2048">
        <v>69</v>
      </c>
      <c r="H1141" s="633">
        <f t="shared" si="367"/>
        <v>0</v>
      </c>
      <c r="I1141" s="2048">
        <v>28</v>
      </c>
      <c r="J1141" s="580">
        <f t="shared" si="347"/>
        <v>0</v>
      </c>
      <c r="K1141" s="631">
        <f t="shared" si="348"/>
        <v>0</v>
      </c>
      <c r="L1141" s="1062"/>
      <c r="M1141" s="574"/>
      <c r="N1141" s="667">
        <f t="shared" si="368"/>
        <v>0</v>
      </c>
      <c r="O1141" s="636">
        <v>0</v>
      </c>
      <c r="P1141" s="637"/>
      <c r="Q1141" s="574"/>
      <c r="R1141" s="574"/>
      <c r="S1141" s="574"/>
    </row>
    <row r="1142" spans="1:19" ht="21.3">
      <c r="A1142" s="665"/>
      <c r="B1142" s="617" t="s">
        <v>303</v>
      </c>
      <c r="C1142" s="1125" t="s">
        <v>304</v>
      </c>
      <c r="D1142" s="1126"/>
      <c r="E1142" s="637"/>
      <c r="F1142" s="625" t="s">
        <v>34</v>
      </c>
      <c r="G1142" s="666">
        <v>870</v>
      </c>
      <c r="H1142" s="633">
        <f t="shared" ref="H1142" si="370">SUM(E1142*G1142)</f>
        <v>0</v>
      </c>
      <c r="I1142" s="666">
        <v>242</v>
      </c>
      <c r="J1142" s="580">
        <f t="shared" ref="J1142:J1205" si="371">E1142*I1142</f>
        <v>0</v>
      </c>
      <c r="K1142" s="631">
        <f t="shared" ref="K1142:K1205" si="372">H1142+J1142</f>
        <v>0</v>
      </c>
      <c r="L1142" s="1073"/>
      <c r="M1142" s="574"/>
      <c r="N1142" s="667">
        <f t="shared" si="368"/>
        <v>156.39999999999998</v>
      </c>
      <c r="O1142" s="636">
        <v>0</v>
      </c>
      <c r="P1142" s="637">
        <v>156.39999999999998</v>
      </c>
      <c r="Q1142" s="574"/>
      <c r="R1142" s="574"/>
      <c r="S1142" s="574"/>
    </row>
    <row r="1143" spans="1:19" ht="21.3">
      <c r="A1143" s="665"/>
      <c r="B1143" s="617"/>
      <c r="C1143" s="1125" t="s">
        <v>305</v>
      </c>
      <c r="D1143" s="1126"/>
      <c r="E1143" s="637">
        <f t="shared" ref="E1143" si="373">+N1143</f>
        <v>0</v>
      </c>
      <c r="F1143" s="619"/>
      <c r="G1143" s="572"/>
      <c r="H1143" s="580"/>
      <c r="I1143" s="572"/>
      <c r="J1143" s="580">
        <f t="shared" si="371"/>
        <v>0</v>
      </c>
      <c r="K1143" s="631">
        <f t="shared" si="372"/>
        <v>0</v>
      </c>
      <c r="L1143" s="1073"/>
      <c r="M1143" s="574"/>
      <c r="N1143" s="629">
        <f t="shared" si="368"/>
        <v>0</v>
      </c>
      <c r="O1143" s="630">
        <v>0</v>
      </c>
      <c r="P1143" s="624"/>
      <c r="Q1143" s="574"/>
      <c r="R1143" s="574"/>
      <c r="S1143" s="574"/>
    </row>
    <row r="1144" spans="1:19" ht="21.3">
      <c r="A1144" s="665"/>
      <c r="B1144" s="623" t="s">
        <v>2550</v>
      </c>
      <c r="C1144" s="1125" t="s">
        <v>304</v>
      </c>
      <c r="D1144" s="1126"/>
      <c r="E1144" s="637">
        <f t="shared" si="356"/>
        <v>156.39999999999998</v>
      </c>
      <c r="F1144" s="625" t="s">
        <v>34</v>
      </c>
      <c r="G1144" s="666">
        <v>765</v>
      </c>
      <c r="H1144" s="633">
        <f t="shared" si="367"/>
        <v>119645.99999999999</v>
      </c>
      <c r="I1144" s="666">
        <v>242</v>
      </c>
      <c r="J1144" s="580">
        <f t="shared" si="371"/>
        <v>37848.799999999996</v>
      </c>
      <c r="K1144" s="631">
        <f t="shared" si="372"/>
        <v>157494.79999999999</v>
      </c>
      <c r="L1144" s="1073"/>
      <c r="M1144" s="574"/>
      <c r="N1144" s="667">
        <f t="shared" si="368"/>
        <v>156.39999999999998</v>
      </c>
      <c r="O1144" s="636">
        <v>0</v>
      </c>
      <c r="P1144" s="637">
        <v>156.39999999999998</v>
      </c>
      <c r="Q1144" s="574"/>
      <c r="R1144" s="574"/>
      <c r="S1144" s="574"/>
    </row>
    <row r="1145" spans="1:19" ht="21.3">
      <c r="A1145" s="665"/>
      <c r="B1145" s="617"/>
      <c r="C1145" s="1125" t="s">
        <v>305</v>
      </c>
      <c r="D1145" s="1126"/>
      <c r="E1145" s="637">
        <f t="shared" si="356"/>
        <v>0</v>
      </c>
      <c r="F1145" s="619"/>
      <c r="G1145" s="572"/>
      <c r="H1145" s="580"/>
      <c r="I1145" s="572"/>
      <c r="J1145" s="580">
        <f t="shared" si="371"/>
        <v>0</v>
      </c>
      <c r="K1145" s="631">
        <f t="shared" si="372"/>
        <v>0</v>
      </c>
      <c r="L1145" s="1073"/>
      <c r="M1145" s="574"/>
      <c r="N1145" s="629">
        <f t="shared" si="368"/>
        <v>0</v>
      </c>
      <c r="O1145" s="630">
        <v>0</v>
      </c>
      <c r="P1145" s="624"/>
      <c r="Q1145" s="574"/>
      <c r="R1145" s="574"/>
      <c r="S1145" s="574"/>
    </row>
    <row r="1146" spans="1:19" ht="21.3">
      <c r="A1146" s="665"/>
      <c r="B1146" s="617" t="s">
        <v>306</v>
      </c>
      <c r="C1146" s="1125" t="s">
        <v>307</v>
      </c>
      <c r="D1146" s="1126"/>
      <c r="E1146" s="637">
        <f t="shared" si="356"/>
        <v>0</v>
      </c>
      <c r="F1146" s="625" t="s">
        <v>34</v>
      </c>
      <c r="G1146" s="666"/>
      <c r="H1146" s="633">
        <v>0</v>
      </c>
      <c r="I1146" s="666"/>
      <c r="J1146" s="580">
        <f t="shared" si="371"/>
        <v>0</v>
      </c>
      <c r="K1146" s="631">
        <f t="shared" si="372"/>
        <v>0</v>
      </c>
      <c r="L1146" s="1073"/>
      <c r="M1146" s="574"/>
      <c r="N1146" s="667">
        <f t="shared" si="368"/>
        <v>0</v>
      </c>
      <c r="O1146" s="636">
        <v>0</v>
      </c>
      <c r="P1146" s="637"/>
      <c r="Q1146" s="574"/>
      <c r="R1146" s="574"/>
      <c r="S1146" s="574"/>
    </row>
    <row r="1147" spans="1:19" ht="21.3">
      <c r="A1147" s="665"/>
      <c r="B1147" s="617" t="s">
        <v>308</v>
      </c>
      <c r="C1147" s="617" t="s">
        <v>309</v>
      </c>
      <c r="D1147" s="617"/>
      <c r="E1147" s="637">
        <f t="shared" si="356"/>
        <v>0</v>
      </c>
      <c r="F1147" s="625" t="s">
        <v>34</v>
      </c>
      <c r="G1147" s="666">
        <v>1296</v>
      </c>
      <c r="H1147" s="633">
        <f t="shared" ref="H1147:H1158" si="374">SUM(E1147*G1147)</f>
        <v>0</v>
      </c>
      <c r="I1147" s="666">
        <v>1600</v>
      </c>
      <c r="J1147" s="580">
        <f t="shared" si="371"/>
        <v>0</v>
      </c>
      <c r="K1147" s="631">
        <f t="shared" si="372"/>
        <v>0</v>
      </c>
      <c r="L1147" s="1073"/>
      <c r="M1147" s="574"/>
      <c r="N1147" s="667">
        <f t="shared" si="368"/>
        <v>0</v>
      </c>
      <c r="O1147" s="636">
        <v>0</v>
      </c>
      <c r="P1147" s="637"/>
      <c r="Q1147" s="574"/>
      <c r="R1147" s="574"/>
      <c r="S1147" s="574"/>
    </row>
    <row r="1148" spans="1:19" ht="21.3">
      <c r="A1148" s="665"/>
      <c r="B1148" s="617"/>
      <c r="C1148" s="617" t="s">
        <v>310</v>
      </c>
      <c r="D1148" s="617"/>
      <c r="E1148" s="637">
        <f t="shared" si="356"/>
        <v>0</v>
      </c>
      <c r="F1148" s="619"/>
      <c r="G1148" s="666"/>
      <c r="H1148" s="633">
        <f t="shared" si="374"/>
        <v>0</v>
      </c>
      <c r="I1148" s="666"/>
      <c r="J1148" s="580">
        <f t="shared" si="371"/>
        <v>0</v>
      </c>
      <c r="K1148" s="631">
        <f t="shared" si="372"/>
        <v>0</v>
      </c>
      <c r="L1148" s="1073"/>
      <c r="M1148" s="574"/>
      <c r="N1148" s="629">
        <f t="shared" si="368"/>
        <v>0</v>
      </c>
      <c r="O1148" s="630">
        <v>0</v>
      </c>
      <c r="P1148" s="624"/>
      <c r="Q1148" s="574"/>
      <c r="R1148" s="574"/>
      <c r="S1148" s="574"/>
    </row>
    <row r="1149" spans="1:19" ht="21.3">
      <c r="A1149" s="665"/>
      <c r="B1149" s="617" t="s">
        <v>311</v>
      </c>
      <c r="C1149" s="1125" t="s">
        <v>312</v>
      </c>
      <c r="D1149" s="1126"/>
      <c r="E1149" s="637">
        <f t="shared" si="356"/>
        <v>0</v>
      </c>
      <c r="F1149" s="625" t="s">
        <v>34</v>
      </c>
      <c r="G1149" s="666"/>
      <c r="H1149" s="633">
        <f t="shared" si="374"/>
        <v>0</v>
      </c>
      <c r="I1149" s="666"/>
      <c r="J1149" s="580">
        <f t="shared" si="371"/>
        <v>0</v>
      </c>
      <c r="K1149" s="631">
        <f t="shared" si="372"/>
        <v>0</v>
      </c>
      <c r="L1149" s="1073"/>
      <c r="M1149" s="574"/>
      <c r="N1149" s="667">
        <f t="shared" si="368"/>
        <v>0</v>
      </c>
      <c r="O1149" s="636">
        <v>0</v>
      </c>
      <c r="P1149" s="637"/>
      <c r="Q1149" s="574"/>
      <c r="R1149" s="574"/>
      <c r="S1149" s="574"/>
    </row>
    <row r="1150" spans="1:19" ht="21.3">
      <c r="A1150" s="665"/>
      <c r="B1150" s="617" t="s">
        <v>313</v>
      </c>
      <c r="C1150" s="1125" t="s">
        <v>314</v>
      </c>
      <c r="D1150" s="1126"/>
      <c r="E1150" s="637">
        <f t="shared" si="356"/>
        <v>0</v>
      </c>
      <c r="F1150" s="625" t="s">
        <v>34</v>
      </c>
      <c r="G1150" s="666"/>
      <c r="H1150" s="633">
        <f t="shared" si="374"/>
        <v>0</v>
      </c>
      <c r="I1150" s="666"/>
      <c r="J1150" s="580">
        <f t="shared" si="371"/>
        <v>0</v>
      </c>
      <c r="K1150" s="631">
        <f t="shared" si="372"/>
        <v>0</v>
      </c>
      <c r="L1150" s="1073"/>
      <c r="M1150" s="574"/>
      <c r="N1150" s="667">
        <f t="shared" si="368"/>
        <v>0</v>
      </c>
      <c r="O1150" s="636">
        <v>0</v>
      </c>
      <c r="P1150" s="637"/>
      <c r="Q1150" s="574"/>
      <c r="R1150" s="574"/>
      <c r="S1150" s="574"/>
    </row>
    <row r="1151" spans="1:19" ht="21.3">
      <c r="A1151" s="665"/>
      <c r="B1151" s="617" t="s">
        <v>315</v>
      </c>
      <c r="C1151" s="1125" t="s">
        <v>316</v>
      </c>
      <c r="D1151" s="1126"/>
      <c r="E1151" s="637">
        <f t="shared" si="356"/>
        <v>0</v>
      </c>
      <c r="F1151" s="625" t="s">
        <v>34</v>
      </c>
      <c r="G1151" s="572">
        <v>15000</v>
      </c>
      <c r="H1151" s="580">
        <f t="shared" si="374"/>
        <v>0</v>
      </c>
      <c r="I1151" s="572">
        <v>500</v>
      </c>
      <c r="J1151" s="580">
        <f t="shared" si="371"/>
        <v>0</v>
      </c>
      <c r="K1151" s="631">
        <f t="shared" si="372"/>
        <v>0</v>
      </c>
      <c r="L1151" s="1061"/>
      <c r="M1151" s="574"/>
      <c r="N1151" s="667">
        <f t="shared" si="368"/>
        <v>0</v>
      </c>
      <c r="O1151" s="636">
        <v>0</v>
      </c>
      <c r="P1151" s="637"/>
      <c r="Q1151" s="574"/>
      <c r="R1151" s="574"/>
      <c r="S1151" s="574"/>
    </row>
    <row r="1152" spans="1:19" ht="21.3">
      <c r="A1152" s="665"/>
      <c r="B1152" s="617" t="s">
        <v>317</v>
      </c>
      <c r="C1152" s="1125" t="s">
        <v>318</v>
      </c>
      <c r="D1152" s="1126"/>
      <c r="E1152" s="637">
        <f t="shared" si="356"/>
        <v>584.00399999999991</v>
      </c>
      <c r="F1152" s="625" t="s">
        <v>34</v>
      </c>
      <c r="G1152" s="666">
        <v>88</v>
      </c>
      <c r="H1152" s="633">
        <f t="shared" si="374"/>
        <v>51392.351999999992</v>
      </c>
      <c r="I1152" s="666">
        <v>82</v>
      </c>
      <c r="J1152" s="580">
        <f t="shared" si="371"/>
        <v>47888.327999999994</v>
      </c>
      <c r="K1152" s="631">
        <f t="shared" si="372"/>
        <v>99280.68</v>
      </c>
      <c r="L1152" s="1062"/>
      <c r="M1152" s="574"/>
      <c r="N1152" s="667">
        <f t="shared" si="368"/>
        <v>584.00399999999991</v>
      </c>
      <c r="O1152" s="636">
        <v>0</v>
      </c>
      <c r="P1152" s="637">
        <v>584.00399999999991</v>
      </c>
      <c r="Q1152" s="574"/>
      <c r="R1152" s="574"/>
      <c r="S1152" s="574"/>
    </row>
    <row r="1153" spans="1:19" ht="21.3">
      <c r="A1153" s="665"/>
      <c r="B1153" s="617" t="s">
        <v>319</v>
      </c>
      <c r="C1153" s="1125" t="s">
        <v>320</v>
      </c>
      <c r="D1153" s="1126"/>
      <c r="E1153" s="637">
        <f t="shared" si="356"/>
        <v>0</v>
      </c>
      <c r="F1153" s="625" t="s">
        <v>34</v>
      </c>
      <c r="G1153" s="666">
        <v>1955</v>
      </c>
      <c r="H1153" s="633">
        <f t="shared" si="374"/>
        <v>0</v>
      </c>
      <c r="I1153" s="666">
        <v>1700</v>
      </c>
      <c r="J1153" s="580">
        <f t="shared" si="371"/>
        <v>0</v>
      </c>
      <c r="K1153" s="631">
        <f t="shared" si="372"/>
        <v>0</v>
      </c>
      <c r="L1153" s="1073"/>
      <c r="M1153" s="574"/>
      <c r="N1153" s="667">
        <f t="shared" si="368"/>
        <v>0</v>
      </c>
      <c r="O1153" s="636">
        <v>0</v>
      </c>
      <c r="P1153" s="637"/>
      <c r="Q1153" s="574"/>
      <c r="R1153" s="574"/>
      <c r="S1153" s="574"/>
    </row>
    <row r="1154" spans="1:19" ht="21.3">
      <c r="A1154" s="665"/>
      <c r="B1154" s="617"/>
      <c r="C1154" s="1125" t="s">
        <v>321</v>
      </c>
      <c r="D1154" s="1126"/>
      <c r="E1154" s="637">
        <f t="shared" si="356"/>
        <v>0</v>
      </c>
      <c r="F1154" s="625" t="s">
        <v>34</v>
      </c>
      <c r="G1154" s="666">
        <v>0</v>
      </c>
      <c r="H1154" s="633">
        <f t="shared" si="374"/>
        <v>0</v>
      </c>
      <c r="I1154" s="666">
        <v>0</v>
      </c>
      <c r="J1154" s="580">
        <f t="shared" si="371"/>
        <v>0</v>
      </c>
      <c r="K1154" s="631">
        <f t="shared" si="372"/>
        <v>0</v>
      </c>
      <c r="L1154" s="1073"/>
      <c r="M1154" s="574"/>
      <c r="N1154" s="667">
        <f t="shared" si="368"/>
        <v>0</v>
      </c>
      <c r="O1154" s="636">
        <v>0</v>
      </c>
      <c r="P1154" s="637"/>
      <c r="Q1154" s="574"/>
      <c r="R1154" s="574"/>
      <c r="S1154" s="574"/>
    </row>
    <row r="1155" spans="1:19" ht="21.3">
      <c r="A1155" s="665"/>
      <c r="B1155" s="617" t="s">
        <v>322</v>
      </c>
      <c r="C1155" s="1125" t="s">
        <v>323</v>
      </c>
      <c r="D1155" s="1126"/>
      <c r="E1155" s="637">
        <f t="shared" si="356"/>
        <v>0</v>
      </c>
      <c r="F1155" s="625" t="s">
        <v>34</v>
      </c>
      <c r="G1155" s="666">
        <v>1296</v>
      </c>
      <c r="H1155" s="633">
        <f t="shared" si="374"/>
        <v>0</v>
      </c>
      <c r="I1155" s="666">
        <v>1600</v>
      </c>
      <c r="J1155" s="580">
        <f t="shared" si="371"/>
        <v>0</v>
      </c>
      <c r="K1155" s="631">
        <f t="shared" si="372"/>
        <v>0</v>
      </c>
      <c r="L1155" s="1073"/>
      <c r="M1155" s="574"/>
      <c r="N1155" s="667">
        <f t="shared" si="368"/>
        <v>0</v>
      </c>
      <c r="O1155" s="636">
        <v>0</v>
      </c>
      <c r="P1155" s="637"/>
      <c r="Q1155" s="574"/>
      <c r="R1155" s="574"/>
      <c r="S1155" s="574"/>
    </row>
    <row r="1156" spans="1:19" ht="21.3">
      <c r="A1156" s="665"/>
      <c r="B1156" s="617" t="s">
        <v>324</v>
      </c>
      <c r="C1156" s="1125" t="s">
        <v>325</v>
      </c>
      <c r="D1156" s="1126"/>
      <c r="E1156" s="637">
        <f t="shared" si="356"/>
        <v>0</v>
      </c>
      <c r="F1156" s="625" t="s">
        <v>34</v>
      </c>
      <c r="G1156" s="2048">
        <f>13+69</f>
        <v>82</v>
      </c>
      <c r="H1156" s="633">
        <f t="shared" si="374"/>
        <v>0</v>
      </c>
      <c r="I1156" s="2048">
        <f>30+28</f>
        <v>58</v>
      </c>
      <c r="J1156" s="580">
        <f t="shared" si="371"/>
        <v>0</v>
      </c>
      <c r="K1156" s="631">
        <f t="shared" si="372"/>
        <v>0</v>
      </c>
      <c r="L1156" s="2049"/>
      <c r="M1156" s="574"/>
      <c r="N1156" s="667">
        <f t="shared" si="368"/>
        <v>0</v>
      </c>
      <c r="O1156" s="636">
        <v>0</v>
      </c>
      <c r="P1156" s="637"/>
      <c r="Q1156" s="574"/>
      <c r="R1156" s="574"/>
      <c r="S1156" s="574"/>
    </row>
    <row r="1157" spans="1:19" ht="21.3">
      <c r="A1157" s="665"/>
      <c r="B1157" s="617" t="s">
        <v>326</v>
      </c>
      <c r="C1157" s="1125" t="s">
        <v>327</v>
      </c>
      <c r="D1157" s="1126"/>
      <c r="E1157" s="637">
        <f t="shared" si="356"/>
        <v>0</v>
      </c>
      <c r="F1157" s="625" t="s">
        <v>34</v>
      </c>
      <c r="G1157" s="666"/>
      <c r="H1157" s="633">
        <f t="shared" si="374"/>
        <v>0</v>
      </c>
      <c r="I1157" s="666"/>
      <c r="J1157" s="580">
        <f t="shared" si="371"/>
        <v>0</v>
      </c>
      <c r="K1157" s="631">
        <f t="shared" si="372"/>
        <v>0</v>
      </c>
      <c r="L1157" s="1073"/>
      <c r="M1157" s="574"/>
      <c r="N1157" s="667">
        <f t="shared" si="368"/>
        <v>0</v>
      </c>
      <c r="O1157" s="636">
        <v>0</v>
      </c>
      <c r="P1157" s="637"/>
      <c r="Q1157" s="574"/>
      <c r="R1157" s="574"/>
      <c r="S1157" s="574"/>
    </row>
    <row r="1158" spans="1:19" ht="21.3">
      <c r="A1158" s="665"/>
      <c r="B1158" s="617" t="s">
        <v>328</v>
      </c>
      <c r="C1158" s="617" t="s">
        <v>329</v>
      </c>
      <c r="D1158" s="1126"/>
      <c r="E1158" s="637">
        <f t="shared" si="356"/>
        <v>0</v>
      </c>
      <c r="F1158" s="625" t="s">
        <v>34</v>
      </c>
      <c r="G1158" s="666"/>
      <c r="H1158" s="633">
        <f t="shared" si="374"/>
        <v>0</v>
      </c>
      <c r="I1158" s="666"/>
      <c r="J1158" s="580">
        <f t="shared" si="371"/>
        <v>0</v>
      </c>
      <c r="K1158" s="631">
        <f t="shared" si="372"/>
        <v>0</v>
      </c>
      <c r="L1158" s="1073"/>
      <c r="M1158" s="574"/>
      <c r="N1158" s="667">
        <f t="shared" si="368"/>
        <v>0</v>
      </c>
      <c r="O1158" s="636">
        <v>0</v>
      </c>
      <c r="P1158" s="637"/>
      <c r="Q1158" s="574"/>
      <c r="R1158" s="574"/>
      <c r="S1158" s="574"/>
    </row>
    <row r="1159" spans="1:19" ht="21.3">
      <c r="A1159" s="665"/>
      <c r="B1159" s="617"/>
      <c r="C1159" s="617" t="s">
        <v>330</v>
      </c>
      <c r="D1159" s="1129"/>
      <c r="E1159" s="637"/>
      <c r="F1159" s="625"/>
      <c r="G1159" s="642"/>
      <c r="H1159" s="668"/>
      <c r="I1159" s="642"/>
      <c r="J1159" s="580">
        <f t="shared" si="371"/>
        <v>0</v>
      </c>
      <c r="K1159" s="631">
        <f t="shared" si="372"/>
        <v>0</v>
      </c>
      <c r="L1159" s="1065"/>
      <c r="M1159" s="574"/>
      <c r="N1159" s="669">
        <f t="shared" si="368"/>
        <v>0</v>
      </c>
      <c r="O1159" s="636">
        <v>0</v>
      </c>
      <c r="P1159" s="637"/>
      <c r="Q1159" s="574"/>
      <c r="R1159" s="574"/>
      <c r="S1159" s="574"/>
    </row>
    <row r="1160" spans="1:19" ht="21.3">
      <c r="A1160" s="665"/>
      <c r="B1160" s="617"/>
      <c r="C1160" s="1127" t="s">
        <v>1043</v>
      </c>
      <c r="D1160" s="1126"/>
      <c r="E1160" s="637">
        <f t="shared" ref="E1160" si="375">+N1160</f>
        <v>0</v>
      </c>
      <c r="F1160" s="625" t="s">
        <v>34</v>
      </c>
      <c r="G1160" s="2048">
        <v>69</v>
      </c>
      <c r="H1160" s="633">
        <f t="shared" ref="H1160" si="376">SUM(E1160*G1160)</f>
        <v>0</v>
      </c>
      <c r="I1160" s="2048">
        <v>28</v>
      </c>
      <c r="J1160" s="580">
        <f t="shared" si="371"/>
        <v>0</v>
      </c>
      <c r="K1160" s="631">
        <f t="shared" si="372"/>
        <v>0</v>
      </c>
      <c r="L1160" s="2049"/>
      <c r="M1160" s="574"/>
      <c r="N1160" s="667">
        <f t="shared" si="368"/>
        <v>0</v>
      </c>
      <c r="O1160" s="636">
        <v>0</v>
      </c>
      <c r="P1160" s="637"/>
      <c r="Q1160" s="574"/>
      <c r="R1160" s="574"/>
      <c r="S1160" s="574"/>
    </row>
    <row r="1161" spans="1:19" ht="21.3">
      <c r="A1161" s="665" t="s">
        <v>351</v>
      </c>
      <c r="B1161" s="1114" t="s">
        <v>352</v>
      </c>
      <c r="C1161" s="617"/>
      <c r="D1161" s="1129"/>
      <c r="E1161" s="624"/>
      <c r="F1161" s="625"/>
      <c r="G1161" s="642"/>
      <c r="H1161" s="668"/>
      <c r="I1161" s="642"/>
      <c r="J1161" s="580">
        <f t="shared" si="371"/>
        <v>0</v>
      </c>
      <c r="K1161" s="631">
        <f t="shared" si="372"/>
        <v>0</v>
      </c>
      <c r="L1161" s="1065"/>
      <c r="M1161" s="574"/>
      <c r="N1161" s="629">
        <f t="shared" si="368"/>
        <v>0</v>
      </c>
      <c r="O1161" s="630">
        <v>0</v>
      </c>
      <c r="P1161" s="624"/>
      <c r="Q1161" s="574"/>
      <c r="R1161" s="574"/>
      <c r="S1161" s="574"/>
    </row>
    <row r="1162" spans="1:19" ht="21.3">
      <c r="A1162" s="665"/>
      <c r="B1162" s="1114"/>
      <c r="C1162" s="1125" t="s">
        <v>259</v>
      </c>
      <c r="D1162" s="1124"/>
      <c r="E1162" s="624">
        <v>2538.9359999999997</v>
      </c>
      <c r="F1162" s="625" t="s">
        <v>34</v>
      </c>
      <c r="G1162" s="666">
        <v>281</v>
      </c>
      <c r="H1162" s="633">
        <f>SUM(E1162*G1162)</f>
        <v>713441.01599999995</v>
      </c>
      <c r="I1162" s="666">
        <v>80</v>
      </c>
      <c r="J1162" s="580">
        <f t="shared" si="371"/>
        <v>203114.87999999998</v>
      </c>
      <c r="K1162" s="631">
        <f t="shared" si="372"/>
        <v>916555.89599999995</v>
      </c>
      <c r="L1162" s="1073"/>
      <c r="M1162" s="574"/>
      <c r="N1162" s="629">
        <f t="shared" si="368"/>
        <v>0</v>
      </c>
      <c r="O1162" s="630">
        <v>0</v>
      </c>
      <c r="P1162" s="624"/>
      <c r="Q1162" s="574"/>
      <c r="R1162" s="574"/>
      <c r="S1162" s="574"/>
    </row>
    <row r="1163" spans="1:19" ht="21.3">
      <c r="A1163" s="665"/>
      <c r="B1163" s="1114"/>
      <c r="C1163" s="1125" t="s">
        <v>260</v>
      </c>
      <c r="D1163" s="1124"/>
      <c r="E1163" s="624">
        <f>+E1197/2</f>
        <v>0</v>
      </c>
      <c r="F1163" s="625" t="s">
        <v>34</v>
      </c>
      <c r="G1163" s="666">
        <v>712</v>
      </c>
      <c r="H1163" s="633">
        <f>SUM(E1163*G1163)</f>
        <v>0</v>
      </c>
      <c r="I1163" s="666">
        <v>98</v>
      </c>
      <c r="J1163" s="580">
        <f t="shared" si="371"/>
        <v>0</v>
      </c>
      <c r="K1163" s="631">
        <f t="shared" si="372"/>
        <v>0</v>
      </c>
      <c r="L1163" s="1073"/>
      <c r="M1163" s="574"/>
      <c r="N1163" s="629">
        <f t="shared" si="368"/>
        <v>0</v>
      </c>
      <c r="O1163" s="630">
        <v>0</v>
      </c>
      <c r="P1163" s="624"/>
      <c r="Q1163" s="574"/>
      <c r="R1163" s="574"/>
      <c r="S1163" s="574"/>
    </row>
    <row r="1164" spans="1:19" ht="21.3">
      <c r="A1164" s="665"/>
      <c r="B1164" s="1114"/>
      <c r="C1164" s="1125" t="s">
        <v>261</v>
      </c>
      <c r="D1164" s="1124"/>
      <c r="E1164" s="624">
        <f>+E1162*1.33</f>
        <v>3376.7848799999997</v>
      </c>
      <c r="F1164" s="625" t="s">
        <v>226</v>
      </c>
      <c r="G1164" s="666">
        <v>119</v>
      </c>
      <c r="H1164" s="633">
        <f>SUM(E1164*G1164)</f>
        <v>401837.40071999998</v>
      </c>
      <c r="I1164" s="666">
        <v>44</v>
      </c>
      <c r="J1164" s="580">
        <f t="shared" si="371"/>
        <v>148578.53472</v>
      </c>
      <c r="K1164" s="631">
        <f t="shared" si="372"/>
        <v>550415.93543999991</v>
      </c>
      <c r="L1164" s="1073"/>
      <c r="M1164" s="574"/>
      <c r="N1164" s="629">
        <f t="shared" si="368"/>
        <v>0</v>
      </c>
      <c r="O1164" s="630">
        <v>0</v>
      </c>
      <c r="P1164" s="624"/>
      <c r="Q1164" s="574"/>
      <c r="R1164" s="574"/>
      <c r="S1164" s="574"/>
    </row>
    <row r="1165" spans="1:19" ht="21.3">
      <c r="A1165" s="665"/>
      <c r="B1165" s="1114"/>
      <c r="C1165" s="1125" t="s">
        <v>262</v>
      </c>
      <c r="D1165" s="1124"/>
      <c r="E1165" s="624">
        <f>+E1163*1.33</f>
        <v>0</v>
      </c>
      <c r="F1165" s="625" t="s">
        <v>226</v>
      </c>
      <c r="G1165" s="666">
        <v>208</v>
      </c>
      <c r="H1165" s="633">
        <f>SUM(E1165*G1165)</f>
        <v>0</v>
      </c>
      <c r="I1165" s="666">
        <v>78</v>
      </c>
      <c r="J1165" s="580">
        <f t="shared" si="371"/>
        <v>0</v>
      </c>
      <c r="K1165" s="631">
        <f t="shared" si="372"/>
        <v>0</v>
      </c>
      <c r="L1165" s="1073"/>
      <c r="M1165" s="574"/>
      <c r="N1165" s="629">
        <f t="shared" si="368"/>
        <v>0</v>
      </c>
      <c r="O1165" s="630">
        <v>0</v>
      </c>
      <c r="P1165" s="624"/>
      <c r="Q1165" s="574"/>
      <c r="R1165" s="574"/>
      <c r="S1165" s="574"/>
    </row>
    <row r="1166" spans="1:19" ht="21.3">
      <c r="A1166" s="665"/>
      <c r="B1166" s="1114"/>
      <c r="C1166" s="1125" t="s">
        <v>263</v>
      </c>
      <c r="D1166" s="1124"/>
      <c r="E1166" s="624">
        <f>+E1193+E1194+E1196+E1201+E1203+E1214</f>
        <v>837.68</v>
      </c>
      <c r="F1166" s="625" t="s">
        <v>34</v>
      </c>
      <c r="G1166" s="666">
        <v>88</v>
      </c>
      <c r="H1166" s="633">
        <f>SUM(E1166*G1166)</f>
        <v>73715.839999999997</v>
      </c>
      <c r="I1166" s="666">
        <v>82</v>
      </c>
      <c r="J1166" s="580">
        <f t="shared" si="371"/>
        <v>68689.759999999995</v>
      </c>
      <c r="K1166" s="631">
        <f t="shared" si="372"/>
        <v>142405.59999999998</v>
      </c>
      <c r="L1166" s="1062"/>
      <c r="M1166" s="574"/>
      <c r="N1166" s="629">
        <f t="shared" si="368"/>
        <v>0</v>
      </c>
      <c r="O1166" s="630">
        <v>0</v>
      </c>
      <c r="P1166" s="624"/>
      <c r="Q1166" s="574"/>
      <c r="R1166" s="574"/>
      <c r="S1166" s="574"/>
    </row>
    <row r="1167" spans="1:19" ht="21.3">
      <c r="A1167" s="665"/>
      <c r="B1167" s="617" t="s">
        <v>264</v>
      </c>
      <c r="C1167" s="1125" t="s">
        <v>265</v>
      </c>
      <c r="D1167" s="1126"/>
      <c r="E1167" s="637">
        <f>+N1167</f>
        <v>0</v>
      </c>
      <c r="F1167" s="625" t="s">
        <v>34</v>
      </c>
      <c r="G1167" s="666">
        <v>88</v>
      </c>
      <c r="H1167" s="633">
        <f t="shared" ref="H1167:H1173" si="377">SUM(E1167*G1167)</f>
        <v>0</v>
      </c>
      <c r="I1167" s="666">
        <v>95</v>
      </c>
      <c r="J1167" s="580">
        <f t="shared" si="371"/>
        <v>0</v>
      </c>
      <c r="K1167" s="631">
        <f t="shared" si="372"/>
        <v>0</v>
      </c>
      <c r="L1167" s="1062"/>
      <c r="M1167" s="574"/>
      <c r="N1167" s="667">
        <f t="shared" si="368"/>
        <v>0</v>
      </c>
      <c r="O1167" s="636">
        <v>0</v>
      </c>
      <c r="P1167" s="637"/>
      <c r="Q1167" s="574"/>
      <c r="R1167" s="574"/>
      <c r="S1167" s="574"/>
    </row>
    <row r="1168" spans="1:19" ht="21.3">
      <c r="A1168" s="665"/>
      <c r="B1168" s="617"/>
      <c r="C1168" s="1125" t="s">
        <v>266</v>
      </c>
      <c r="D1168" s="1126"/>
      <c r="E1168" s="637">
        <f t="shared" ref="E1168:E1215" si="378">+N1168</f>
        <v>0</v>
      </c>
      <c r="F1168" s="625" t="s">
        <v>34</v>
      </c>
      <c r="G1168" s="2048">
        <v>69</v>
      </c>
      <c r="H1168" s="633">
        <f t="shared" si="377"/>
        <v>0</v>
      </c>
      <c r="I1168" s="2048">
        <v>28</v>
      </c>
      <c r="J1168" s="580">
        <f t="shared" si="371"/>
        <v>0</v>
      </c>
      <c r="K1168" s="631">
        <f t="shared" si="372"/>
        <v>0</v>
      </c>
      <c r="L1168" s="2049"/>
      <c r="M1168" s="574"/>
      <c r="N1168" s="667">
        <f t="shared" si="368"/>
        <v>0</v>
      </c>
      <c r="O1168" s="636">
        <v>0</v>
      </c>
      <c r="P1168" s="637"/>
      <c r="Q1168" s="574"/>
      <c r="R1168" s="574"/>
      <c r="S1168" s="574"/>
    </row>
    <row r="1169" spans="1:19" ht="21.3">
      <c r="A1169" s="665"/>
      <c r="B1169" s="617" t="s">
        <v>267</v>
      </c>
      <c r="C1169" s="1125" t="s">
        <v>268</v>
      </c>
      <c r="D1169" s="1126"/>
      <c r="E1169" s="637">
        <f t="shared" si="378"/>
        <v>2959.35</v>
      </c>
      <c r="F1169" s="625" t="s">
        <v>34</v>
      </c>
      <c r="G1169" s="666">
        <v>88</v>
      </c>
      <c r="H1169" s="633">
        <f t="shared" si="377"/>
        <v>260422.8</v>
      </c>
      <c r="I1169" s="666">
        <v>82</v>
      </c>
      <c r="J1169" s="580">
        <f t="shared" si="371"/>
        <v>242666.69999999998</v>
      </c>
      <c r="K1169" s="631">
        <f t="shared" si="372"/>
        <v>503089.5</v>
      </c>
      <c r="L1169" s="1062"/>
      <c r="M1169" s="574"/>
      <c r="N1169" s="667">
        <f t="shared" si="368"/>
        <v>2959.35</v>
      </c>
      <c r="O1169" s="636">
        <v>0</v>
      </c>
      <c r="P1169" s="637">
        <v>2959.35</v>
      </c>
      <c r="Q1169" s="574">
        <f>91*3.72*3.6</f>
        <v>1218.6720000000003</v>
      </c>
      <c r="R1169" s="574"/>
      <c r="S1169" s="574"/>
    </row>
    <row r="1170" spans="1:19" ht="21.3">
      <c r="A1170" s="665"/>
      <c r="B1170" s="617" t="s">
        <v>269</v>
      </c>
      <c r="C1170" s="1125" t="s">
        <v>265</v>
      </c>
      <c r="D1170" s="1126"/>
      <c r="E1170" s="637">
        <f t="shared" si="378"/>
        <v>547.41999999999996</v>
      </c>
      <c r="F1170" s="625" t="s">
        <v>34</v>
      </c>
      <c r="G1170" s="666">
        <v>88</v>
      </c>
      <c r="H1170" s="633">
        <f t="shared" si="377"/>
        <v>48172.959999999999</v>
      </c>
      <c r="I1170" s="666">
        <v>82</v>
      </c>
      <c r="J1170" s="580">
        <f t="shared" si="371"/>
        <v>44888.439999999995</v>
      </c>
      <c r="K1170" s="631">
        <f t="shared" si="372"/>
        <v>93061.4</v>
      </c>
      <c r="L1170" s="1062"/>
      <c r="M1170" s="574"/>
      <c r="N1170" s="667">
        <f t="shared" si="368"/>
        <v>547.41999999999996</v>
      </c>
      <c r="O1170" s="636">
        <v>0</v>
      </c>
      <c r="P1170" s="637">
        <v>547.41999999999996</v>
      </c>
      <c r="Q1170" s="574"/>
      <c r="R1170" s="574"/>
      <c r="S1170" s="574"/>
    </row>
    <row r="1171" spans="1:19" ht="21.3">
      <c r="A1171" s="665"/>
      <c r="B1171" s="617"/>
      <c r="C1171" s="1125" t="s">
        <v>270</v>
      </c>
      <c r="D1171" s="1126"/>
      <c r="E1171" s="637">
        <f t="shared" si="378"/>
        <v>547.41999999999996</v>
      </c>
      <c r="F1171" s="625" t="s">
        <v>34</v>
      </c>
      <c r="G1171" s="2048">
        <v>69</v>
      </c>
      <c r="H1171" s="633">
        <f t="shared" si="377"/>
        <v>37771.979999999996</v>
      </c>
      <c r="I1171" s="2048">
        <v>28</v>
      </c>
      <c r="J1171" s="580">
        <f t="shared" si="371"/>
        <v>15327.759999999998</v>
      </c>
      <c r="K1171" s="631">
        <f t="shared" si="372"/>
        <v>53099.739999999991</v>
      </c>
      <c r="L1171" s="2049"/>
      <c r="M1171" s="574"/>
      <c r="N1171" s="667">
        <f t="shared" si="368"/>
        <v>547.41999999999996</v>
      </c>
      <c r="O1171" s="636">
        <v>0</v>
      </c>
      <c r="P1171" s="637">
        <v>547.41999999999996</v>
      </c>
      <c r="Q1171" s="574"/>
      <c r="R1171" s="574"/>
      <c r="S1171" s="574"/>
    </row>
    <row r="1172" spans="1:19" ht="21.3">
      <c r="A1172" s="665"/>
      <c r="B1172" s="617" t="s">
        <v>271</v>
      </c>
      <c r="C1172" s="1125" t="s">
        <v>272</v>
      </c>
      <c r="D1172" s="1126"/>
      <c r="E1172" s="637">
        <f t="shared" si="378"/>
        <v>0</v>
      </c>
      <c r="F1172" s="625" t="s">
        <v>34</v>
      </c>
      <c r="G1172" s="666">
        <v>103</v>
      </c>
      <c r="H1172" s="633">
        <f t="shared" si="377"/>
        <v>0</v>
      </c>
      <c r="I1172" s="666">
        <v>115</v>
      </c>
      <c r="J1172" s="580">
        <f t="shared" si="371"/>
        <v>0</v>
      </c>
      <c r="K1172" s="631">
        <f t="shared" si="372"/>
        <v>0</v>
      </c>
      <c r="L1172" s="1062"/>
      <c r="M1172" s="574"/>
      <c r="N1172" s="667">
        <f t="shared" si="368"/>
        <v>0</v>
      </c>
      <c r="O1172" s="636">
        <v>0</v>
      </c>
      <c r="P1172" s="637"/>
      <c r="Q1172" s="574"/>
      <c r="R1172" s="574"/>
      <c r="S1172" s="574"/>
    </row>
    <row r="1173" spans="1:19" ht="21.3">
      <c r="A1173" s="665"/>
      <c r="B1173" s="617"/>
      <c r="C1173" s="1125" t="s">
        <v>273</v>
      </c>
      <c r="D1173" s="1126"/>
      <c r="E1173" s="637">
        <f t="shared" si="378"/>
        <v>0</v>
      </c>
      <c r="F1173" s="625" t="s">
        <v>34</v>
      </c>
      <c r="G1173" s="2048">
        <v>69</v>
      </c>
      <c r="H1173" s="633">
        <f t="shared" si="377"/>
        <v>0</v>
      </c>
      <c r="I1173" s="2048">
        <v>28</v>
      </c>
      <c r="J1173" s="580">
        <f t="shared" si="371"/>
        <v>0</v>
      </c>
      <c r="K1173" s="631">
        <f t="shared" si="372"/>
        <v>0</v>
      </c>
      <c r="L1173" s="2049"/>
      <c r="M1173" s="574"/>
      <c r="N1173" s="667">
        <f t="shared" si="368"/>
        <v>0</v>
      </c>
      <c r="O1173" s="636">
        <v>0</v>
      </c>
      <c r="P1173" s="637"/>
      <c r="Q1173" s="574"/>
      <c r="R1173" s="574"/>
      <c r="S1173" s="574"/>
    </row>
    <row r="1174" spans="1:19" ht="21.3">
      <c r="A1174" s="665"/>
      <c r="B1174" s="617" t="s">
        <v>274</v>
      </c>
      <c r="C1174" s="1125" t="s">
        <v>275</v>
      </c>
      <c r="D1174" s="1126"/>
      <c r="E1174" s="637">
        <f t="shared" si="378"/>
        <v>0</v>
      </c>
      <c r="F1174" s="625" t="s">
        <v>34</v>
      </c>
      <c r="G1174" s="572">
        <v>1500</v>
      </c>
      <c r="H1174" s="580">
        <f t="shared" ref="H1174" si="379">E1174*G1174</f>
        <v>0</v>
      </c>
      <c r="I1174" s="572">
        <v>500</v>
      </c>
      <c r="J1174" s="580">
        <f t="shared" si="371"/>
        <v>0</v>
      </c>
      <c r="K1174" s="631">
        <f t="shared" si="372"/>
        <v>0</v>
      </c>
      <c r="L1174" s="1061"/>
      <c r="M1174" s="574"/>
      <c r="N1174" s="667">
        <f t="shared" si="368"/>
        <v>0</v>
      </c>
      <c r="O1174" s="636">
        <v>0</v>
      </c>
      <c r="P1174" s="637"/>
      <c r="Q1174" s="574"/>
      <c r="R1174" s="574"/>
      <c r="S1174" s="574"/>
    </row>
    <row r="1175" spans="1:19" ht="21.3">
      <c r="A1175" s="665"/>
      <c r="B1175" s="617"/>
      <c r="C1175" s="1125" t="s">
        <v>273</v>
      </c>
      <c r="D1175" s="1126"/>
      <c r="E1175" s="637">
        <f t="shared" si="378"/>
        <v>0</v>
      </c>
      <c r="F1175" s="625" t="s">
        <v>34</v>
      </c>
      <c r="G1175" s="2048">
        <v>69</v>
      </c>
      <c r="H1175" s="633">
        <f t="shared" ref="H1175" si="380">SUM(E1175*G1175)</f>
        <v>0</v>
      </c>
      <c r="I1175" s="2048">
        <v>28</v>
      </c>
      <c r="J1175" s="580">
        <f t="shared" si="371"/>
        <v>0</v>
      </c>
      <c r="K1175" s="631">
        <f t="shared" si="372"/>
        <v>0</v>
      </c>
      <c r="L1175" s="2049"/>
      <c r="M1175" s="574"/>
      <c r="N1175" s="667">
        <f t="shared" si="368"/>
        <v>0</v>
      </c>
      <c r="O1175" s="636">
        <v>0</v>
      </c>
      <c r="P1175" s="637"/>
      <c r="Q1175" s="574"/>
      <c r="R1175" s="574"/>
      <c r="S1175" s="574"/>
    </row>
    <row r="1176" spans="1:19" ht="21.3">
      <c r="A1176" s="665"/>
      <c r="B1176" s="617" t="s">
        <v>276</v>
      </c>
      <c r="C1176" s="1125" t="s">
        <v>277</v>
      </c>
      <c r="D1176" s="1126"/>
      <c r="E1176" s="637">
        <f t="shared" si="378"/>
        <v>0</v>
      </c>
      <c r="F1176" s="625" t="s">
        <v>34</v>
      </c>
      <c r="G1176" s="572">
        <v>492</v>
      </c>
      <c r="H1176" s="580">
        <f t="shared" ref="H1176" si="381">E1176*G1176</f>
        <v>0</v>
      </c>
      <c r="I1176" s="572">
        <v>130</v>
      </c>
      <c r="J1176" s="580">
        <f t="shared" si="371"/>
        <v>0</v>
      </c>
      <c r="K1176" s="631">
        <f t="shared" si="372"/>
        <v>0</v>
      </c>
      <c r="L1176" s="2049"/>
      <c r="M1176" s="574"/>
      <c r="N1176" s="667">
        <f t="shared" si="368"/>
        <v>0</v>
      </c>
      <c r="O1176" s="636">
        <v>0</v>
      </c>
      <c r="P1176" s="637"/>
      <c r="Q1176" s="574"/>
      <c r="R1176" s="574"/>
      <c r="S1176" s="574"/>
    </row>
    <row r="1177" spans="1:19" ht="21.3">
      <c r="A1177" s="665"/>
      <c r="B1177" s="617"/>
      <c r="C1177" s="1125" t="s">
        <v>278</v>
      </c>
      <c r="D1177" s="1126"/>
      <c r="E1177" s="637">
        <f t="shared" si="378"/>
        <v>0</v>
      </c>
      <c r="F1177" s="619"/>
      <c r="G1177" s="572"/>
      <c r="H1177" s="580"/>
      <c r="I1177" s="572"/>
      <c r="J1177" s="580">
        <f t="shared" si="371"/>
        <v>0</v>
      </c>
      <c r="K1177" s="631">
        <f t="shared" si="372"/>
        <v>0</v>
      </c>
      <c r="L1177" s="2049"/>
      <c r="M1177" s="574"/>
      <c r="N1177" s="629">
        <f t="shared" si="368"/>
        <v>0</v>
      </c>
      <c r="O1177" s="630">
        <v>0</v>
      </c>
      <c r="P1177" s="624"/>
      <c r="Q1177" s="574"/>
      <c r="R1177" s="574"/>
      <c r="S1177" s="574"/>
    </row>
    <row r="1178" spans="1:19" ht="21.3">
      <c r="A1178" s="665"/>
      <c r="B1178" s="617" t="s">
        <v>279</v>
      </c>
      <c r="C1178" s="1125" t="s">
        <v>280</v>
      </c>
      <c r="D1178" s="1126"/>
      <c r="E1178" s="637">
        <f t="shared" si="378"/>
        <v>0</v>
      </c>
      <c r="F1178" s="625" t="s">
        <v>34</v>
      </c>
      <c r="G1178" s="572">
        <v>256</v>
      </c>
      <c r="H1178" s="580">
        <f t="shared" ref="H1178" si="382">E1178*G1178</f>
        <v>0</v>
      </c>
      <c r="I1178" s="572">
        <v>100</v>
      </c>
      <c r="J1178" s="580">
        <f t="shared" si="371"/>
        <v>0</v>
      </c>
      <c r="K1178" s="631">
        <f t="shared" si="372"/>
        <v>0</v>
      </c>
      <c r="L1178" s="2049"/>
      <c r="M1178" s="574"/>
      <c r="N1178" s="667">
        <f t="shared" si="368"/>
        <v>0</v>
      </c>
      <c r="O1178" s="636">
        <v>0</v>
      </c>
      <c r="P1178" s="624"/>
      <c r="Q1178" s="574"/>
      <c r="R1178" s="574"/>
      <c r="S1178" s="574"/>
    </row>
    <row r="1179" spans="1:19" ht="21.3">
      <c r="A1179" s="665"/>
      <c r="B1179" s="617"/>
      <c r="C1179" s="1125" t="s">
        <v>281</v>
      </c>
      <c r="D1179" s="1126"/>
      <c r="E1179" s="637">
        <f t="shared" si="378"/>
        <v>0</v>
      </c>
      <c r="F1179" s="619"/>
      <c r="G1179" s="572"/>
      <c r="H1179" s="580"/>
      <c r="I1179" s="572"/>
      <c r="J1179" s="580">
        <f t="shared" si="371"/>
        <v>0</v>
      </c>
      <c r="K1179" s="631">
        <f t="shared" si="372"/>
        <v>0</v>
      </c>
      <c r="L1179" s="2049"/>
      <c r="M1179" s="574"/>
      <c r="N1179" s="629">
        <f t="shared" si="368"/>
        <v>0</v>
      </c>
      <c r="O1179" s="630">
        <v>0</v>
      </c>
      <c r="P1179" s="624"/>
      <c r="Q1179" s="574"/>
      <c r="R1179" s="574"/>
      <c r="S1179" s="574"/>
    </row>
    <row r="1180" spans="1:19" ht="21.3">
      <c r="A1180" s="665"/>
      <c r="B1180" s="617" t="s">
        <v>282</v>
      </c>
      <c r="C1180" s="1125" t="s">
        <v>280</v>
      </c>
      <c r="D1180" s="1126"/>
      <c r="E1180" s="637">
        <f t="shared" si="378"/>
        <v>0</v>
      </c>
      <c r="F1180" s="625" t="s">
        <v>34</v>
      </c>
      <c r="G1180" s="572">
        <v>256</v>
      </c>
      <c r="H1180" s="580">
        <f t="shared" ref="H1180" si="383">E1180*G1180</f>
        <v>0</v>
      </c>
      <c r="I1180" s="572">
        <v>100</v>
      </c>
      <c r="J1180" s="580">
        <f t="shared" si="371"/>
        <v>0</v>
      </c>
      <c r="K1180" s="631">
        <f t="shared" si="372"/>
        <v>0</v>
      </c>
      <c r="L1180" s="2049"/>
      <c r="M1180" s="574"/>
      <c r="N1180" s="667">
        <f t="shared" si="368"/>
        <v>0</v>
      </c>
      <c r="O1180" s="636">
        <v>0</v>
      </c>
      <c r="P1180" s="637"/>
      <c r="Q1180" s="574"/>
      <c r="R1180" s="574"/>
      <c r="S1180" s="574"/>
    </row>
    <row r="1181" spans="1:19" ht="21.3">
      <c r="A1181" s="665"/>
      <c r="B1181" s="617"/>
      <c r="C1181" s="1125" t="s">
        <v>281</v>
      </c>
      <c r="D1181" s="1126"/>
      <c r="E1181" s="637">
        <f t="shared" si="378"/>
        <v>0</v>
      </c>
      <c r="F1181" s="619"/>
      <c r="G1181" s="572"/>
      <c r="H1181" s="580"/>
      <c r="I1181" s="572"/>
      <c r="J1181" s="580">
        <f t="shared" si="371"/>
        <v>0</v>
      </c>
      <c r="K1181" s="631">
        <f t="shared" si="372"/>
        <v>0</v>
      </c>
      <c r="L1181" s="1062"/>
      <c r="M1181" s="574"/>
      <c r="N1181" s="629">
        <f t="shared" si="368"/>
        <v>0</v>
      </c>
      <c r="O1181" s="630">
        <v>0</v>
      </c>
      <c r="P1181" s="624"/>
      <c r="Q1181" s="574"/>
      <c r="R1181" s="574"/>
      <c r="S1181" s="574"/>
    </row>
    <row r="1182" spans="1:19" ht="21.3">
      <c r="A1182" s="665"/>
      <c r="B1182" s="617"/>
      <c r="C1182" s="1125" t="s">
        <v>283</v>
      </c>
      <c r="D1182" s="1126"/>
      <c r="E1182" s="637">
        <f t="shared" si="378"/>
        <v>0</v>
      </c>
      <c r="F1182" s="625" t="s">
        <v>34</v>
      </c>
      <c r="G1182" s="2048">
        <v>69</v>
      </c>
      <c r="H1182" s="633">
        <f t="shared" ref="H1182" si="384">SUM(E1182*G1182)</f>
        <v>0</v>
      </c>
      <c r="I1182" s="2048">
        <v>28</v>
      </c>
      <c r="J1182" s="580">
        <f t="shared" si="371"/>
        <v>0</v>
      </c>
      <c r="K1182" s="631">
        <f t="shared" si="372"/>
        <v>0</v>
      </c>
      <c r="L1182" s="2049"/>
      <c r="M1182" s="574"/>
      <c r="N1182" s="667">
        <f t="shared" si="368"/>
        <v>0</v>
      </c>
      <c r="O1182" s="636">
        <v>0</v>
      </c>
      <c r="P1182" s="637"/>
      <c r="Q1182" s="574"/>
      <c r="R1182" s="574"/>
      <c r="S1182" s="574"/>
    </row>
    <row r="1183" spans="1:19" ht="21.3">
      <c r="A1183" s="665"/>
      <c r="B1183" s="617" t="s">
        <v>284</v>
      </c>
      <c r="C1183" s="1125" t="s">
        <v>280</v>
      </c>
      <c r="D1183" s="1126"/>
      <c r="E1183" s="637">
        <f t="shared" si="378"/>
        <v>0</v>
      </c>
      <c r="F1183" s="625" t="s">
        <v>34</v>
      </c>
      <c r="G1183" s="572">
        <v>592</v>
      </c>
      <c r="H1183" s="580">
        <f t="shared" ref="H1183" si="385">E1183*G1183</f>
        <v>0</v>
      </c>
      <c r="I1183" s="572">
        <v>165</v>
      </c>
      <c r="J1183" s="580">
        <f t="shared" si="371"/>
        <v>0</v>
      </c>
      <c r="K1183" s="631">
        <f t="shared" si="372"/>
        <v>0</v>
      </c>
      <c r="L1183" s="2049"/>
      <c r="M1183" s="574"/>
      <c r="N1183" s="667">
        <f t="shared" si="368"/>
        <v>0</v>
      </c>
      <c r="O1183" s="636">
        <v>0</v>
      </c>
      <c r="P1183" s="637"/>
      <c r="Q1183" s="574"/>
      <c r="R1183" s="574"/>
      <c r="S1183" s="574"/>
    </row>
    <row r="1184" spans="1:19" ht="21.3">
      <c r="A1184" s="665"/>
      <c r="B1184" s="617"/>
      <c r="C1184" s="1125" t="s">
        <v>285</v>
      </c>
      <c r="D1184" s="1126"/>
      <c r="E1184" s="637">
        <f t="shared" si="378"/>
        <v>0</v>
      </c>
      <c r="F1184" s="619"/>
      <c r="G1184" s="572"/>
      <c r="H1184" s="580"/>
      <c r="I1184" s="572"/>
      <c r="J1184" s="580">
        <f t="shared" si="371"/>
        <v>0</v>
      </c>
      <c r="K1184" s="631">
        <f t="shared" si="372"/>
        <v>0</v>
      </c>
      <c r="L1184" s="1062"/>
      <c r="M1184" s="574"/>
      <c r="N1184" s="629">
        <f t="shared" si="368"/>
        <v>0</v>
      </c>
      <c r="O1184" s="630">
        <v>0</v>
      </c>
      <c r="P1184" s="624"/>
      <c r="Q1184" s="574"/>
      <c r="R1184" s="574"/>
      <c r="S1184" s="574"/>
    </row>
    <row r="1185" spans="1:19" ht="21.3">
      <c r="A1185" s="665"/>
      <c r="B1185" s="617" t="s">
        <v>286</v>
      </c>
      <c r="C1185" s="1125" t="s">
        <v>280</v>
      </c>
      <c r="D1185" s="1126"/>
      <c r="E1185" s="637">
        <f t="shared" si="378"/>
        <v>0</v>
      </c>
      <c r="F1185" s="625" t="s">
        <v>34</v>
      </c>
      <c r="G1185" s="572">
        <v>642</v>
      </c>
      <c r="H1185" s="580">
        <f t="shared" ref="H1185" si="386">E1185*G1185</f>
        <v>0</v>
      </c>
      <c r="I1185" s="572">
        <v>183</v>
      </c>
      <c r="J1185" s="580">
        <f t="shared" si="371"/>
        <v>0</v>
      </c>
      <c r="K1185" s="631">
        <f t="shared" si="372"/>
        <v>0</v>
      </c>
      <c r="L1185" s="2049"/>
      <c r="M1185" s="574"/>
      <c r="N1185" s="667">
        <f t="shared" si="368"/>
        <v>0</v>
      </c>
      <c r="O1185" s="636">
        <v>0</v>
      </c>
      <c r="P1185" s="637"/>
      <c r="Q1185" s="574"/>
      <c r="R1185" s="574"/>
      <c r="S1185" s="574"/>
    </row>
    <row r="1186" spans="1:19" ht="21.3">
      <c r="A1186" s="665"/>
      <c r="B1186" s="617"/>
      <c r="C1186" s="1125" t="s">
        <v>287</v>
      </c>
      <c r="D1186" s="1126"/>
      <c r="E1186" s="637">
        <f t="shared" si="378"/>
        <v>0</v>
      </c>
      <c r="F1186" s="619"/>
      <c r="G1186" s="572"/>
      <c r="H1186" s="580"/>
      <c r="I1186" s="572"/>
      <c r="J1186" s="580">
        <f t="shared" si="371"/>
        <v>0</v>
      </c>
      <c r="K1186" s="631">
        <f t="shared" si="372"/>
        <v>0</v>
      </c>
      <c r="L1186" s="1073"/>
      <c r="M1186" s="574"/>
      <c r="N1186" s="629">
        <f t="shared" si="368"/>
        <v>0</v>
      </c>
      <c r="O1186" s="630">
        <v>0</v>
      </c>
      <c r="P1186" s="624"/>
      <c r="Q1186" s="574"/>
      <c r="R1186" s="574"/>
      <c r="S1186" s="574"/>
    </row>
    <row r="1187" spans="1:19" ht="21.3">
      <c r="A1187" s="665"/>
      <c r="B1187" s="617"/>
      <c r="C1187" s="1125" t="s">
        <v>288</v>
      </c>
      <c r="D1187" s="1126"/>
      <c r="E1187" s="637">
        <f t="shared" si="378"/>
        <v>0</v>
      </c>
      <c r="F1187" s="619"/>
      <c r="G1187" s="572"/>
      <c r="H1187" s="580"/>
      <c r="I1187" s="572"/>
      <c r="J1187" s="580">
        <f t="shared" si="371"/>
        <v>0</v>
      </c>
      <c r="K1187" s="631">
        <f t="shared" si="372"/>
        <v>0</v>
      </c>
      <c r="L1187" s="1073"/>
      <c r="M1187" s="574"/>
      <c r="N1187" s="629">
        <f t="shared" si="368"/>
        <v>0</v>
      </c>
      <c r="O1187" s="630">
        <v>0</v>
      </c>
      <c r="P1187" s="624"/>
      <c r="Q1187" s="574"/>
      <c r="R1187" s="574"/>
      <c r="S1187" s="574"/>
    </row>
    <row r="1188" spans="1:19" ht="21.3">
      <c r="A1188" s="665"/>
      <c r="B1188" s="617" t="s">
        <v>289</v>
      </c>
      <c r="C1188" s="1125" t="s">
        <v>280</v>
      </c>
      <c r="D1188" s="1126"/>
      <c r="E1188" s="637">
        <f t="shared" si="378"/>
        <v>0</v>
      </c>
      <c r="F1188" s="625" t="s">
        <v>34</v>
      </c>
      <c r="G1188" s="572">
        <v>520</v>
      </c>
      <c r="H1188" s="580">
        <f t="shared" ref="H1188" si="387">E1188*G1188</f>
        <v>0</v>
      </c>
      <c r="I1188" s="572">
        <v>270</v>
      </c>
      <c r="J1188" s="580">
        <f t="shared" si="371"/>
        <v>0</v>
      </c>
      <c r="K1188" s="631">
        <f t="shared" si="372"/>
        <v>0</v>
      </c>
      <c r="L1188" s="1074"/>
      <c r="M1188" s="574"/>
      <c r="N1188" s="667">
        <f t="shared" si="368"/>
        <v>0</v>
      </c>
      <c r="O1188" s="636">
        <v>0</v>
      </c>
      <c r="P1188" s="637"/>
      <c r="Q1188" s="574"/>
      <c r="R1188" s="574"/>
      <c r="S1188" s="574"/>
    </row>
    <row r="1189" spans="1:19" ht="21.3">
      <c r="A1189" s="665"/>
      <c r="B1189" s="617"/>
      <c r="C1189" s="1125" t="s">
        <v>290</v>
      </c>
      <c r="D1189" s="1126"/>
      <c r="E1189" s="637">
        <f t="shared" si="378"/>
        <v>0</v>
      </c>
      <c r="F1189" s="619"/>
      <c r="G1189" s="572"/>
      <c r="H1189" s="580"/>
      <c r="I1189" s="572"/>
      <c r="J1189" s="580">
        <f t="shared" si="371"/>
        <v>0</v>
      </c>
      <c r="K1189" s="631">
        <f t="shared" si="372"/>
        <v>0</v>
      </c>
      <c r="L1189" s="1073"/>
      <c r="M1189" s="574"/>
      <c r="N1189" s="629">
        <f t="shared" si="368"/>
        <v>0</v>
      </c>
      <c r="O1189" s="630">
        <v>0</v>
      </c>
      <c r="P1189" s="624"/>
      <c r="Q1189" s="574"/>
      <c r="R1189" s="574"/>
      <c r="S1189" s="574"/>
    </row>
    <row r="1190" spans="1:19" ht="21.3">
      <c r="A1190" s="665"/>
      <c r="B1190" s="617" t="s">
        <v>291</v>
      </c>
      <c r="C1190" s="1125" t="s">
        <v>280</v>
      </c>
      <c r="D1190" s="1126"/>
      <c r="E1190" s="637">
        <f t="shared" si="378"/>
        <v>0</v>
      </c>
      <c r="F1190" s="625" t="s">
        <v>34</v>
      </c>
      <c r="G1190" s="572">
        <v>256</v>
      </c>
      <c r="H1190" s="580">
        <f t="shared" ref="H1190:H1191" si="388">E1190*G1190</f>
        <v>0</v>
      </c>
      <c r="I1190" s="572">
        <v>100</v>
      </c>
      <c r="J1190" s="580">
        <f t="shared" si="371"/>
        <v>0</v>
      </c>
      <c r="K1190" s="631">
        <f t="shared" si="372"/>
        <v>0</v>
      </c>
      <c r="L1190" s="2049"/>
      <c r="M1190" s="574"/>
      <c r="N1190" s="667">
        <f t="shared" si="368"/>
        <v>0</v>
      </c>
      <c r="O1190" s="636">
        <v>0</v>
      </c>
      <c r="P1190" s="637"/>
      <c r="Q1190" s="574"/>
      <c r="R1190" s="574"/>
      <c r="S1190" s="574"/>
    </row>
    <row r="1191" spans="1:19" ht="21.3">
      <c r="A1191" s="665"/>
      <c r="B1191" s="617"/>
      <c r="C1191" s="1125" t="s">
        <v>292</v>
      </c>
      <c r="D1191" s="1126"/>
      <c r="E1191" s="637">
        <f t="shared" si="378"/>
        <v>0</v>
      </c>
      <c r="F1191" s="619"/>
      <c r="G1191" s="572">
        <v>0</v>
      </c>
      <c r="H1191" s="580">
        <f t="shared" si="388"/>
        <v>0</v>
      </c>
      <c r="I1191" s="572">
        <v>0</v>
      </c>
      <c r="J1191" s="580">
        <f t="shared" si="371"/>
        <v>0</v>
      </c>
      <c r="K1191" s="631">
        <f t="shared" si="372"/>
        <v>0</v>
      </c>
      <c r="L1191" s="1073"/>
      <c r="M1191" s="574"/>
      <c r="N1191" s="629">
        <f t="shared" si="368"/>
        <v>0</v>
      </c>
      <c r="O1191" s="630">
        <v>0</v>
      </c>
      <c r="P1191" s="624"/>
      <c r="Q1191" s="574"/>
      <c r="R1191" s="574"/>
      <c r="S1191" s="574"/>
    </row>
    <row r="1192" spans="1:19" ht="21.3">
      <c r="A1192" s="665"/>
      <c r="B1192" s="617"/>
      <c r="C1192" s="1125" t="s">
        <v>293</v>
      </c>
      <c r="D1192" s="1126"/>
      <c r="E1192" s="637">
        <f t="shared" si="378"/>
        <v>0</v>
      </c>
      <c r="F1192" s="625" t="s">
        <v>34</v>
      </c>
      <c r="G1192" s="666">
        <v>520</v>
      </c>
      <c r="H1192" s="580"/>
      <c r="I1192" s="666">
        <v>30</v>
      </c>
      <c r="J1192" s="580">
        <f t="shared" si="371"/>
        <v>0</v>
      </c>
      <c r="K1192" s="631">
        <f t="shared" si="372"/>
        <v>0</v>
      </c>
      <c r="L1192" s="1073"/>
      <c r="M1192" s="574"/>
      <c r="N1192" s="629">
        <f t="shared" si="368"/>
        <v>0</v>
      </c>
      <c r="O1192" s="630">
        <v>0</v>
      </c>
      <c r="P1192" s="624"/>
      <c r="Q1192" s="574"/>
      <c r="R1192" s="574"/>
      <c r="S1192" s="574"/>
    </row>
    <row r="1193" spans="1:19" ht="21.3">
      <c r="A1193" s="665"/>
      <c r="B1193" s="617" t="s">
        <v>294</v>
      </c>
      <c r="C1193" s="1125" t="s">
        <v>295</v>
      </c>
      <c r="D1193" s="1126"/>
      <c r="E1193" s="637">
        <f t="shared" si="378"/>
        <v>0</v>
      </c>
      <c r="F1193" s="625" t="s">
        <v>34</v>
      </c>
      <c r="G1193" s="666">
        <v>91</v>
      </c>
      <c r="H1193" s="633">
        <f>SUM(E1193*G1193)</f>
        <v>0</v>
      </c>
      <c r="I1193" s="666">
        <v>100</v>
      </c>
      <c r="J1193" s="580">
        <f t="shared" si="371"/>
        <v>0</v>
      </c>
      <c r="K1193" s="631">
        <f t="shared" si="372"/>
        <v>0</v>
      </c>
      <c r="L1193" s="1062"/>
      <c r="M1193" s="574"/>
      <c r="N1193" s="667">
        <f t="shared" si="368"/>
        <v>0</v>
      </c>
      <c r="O1193" s="636">
        <v>0</v>
      </c>
      <c r="P1193" s="637"/>
      <c r="Q1193" s="574"/>
      <c r="R1193" s="574"/>
      <c r="S1193" s="574"/>
    </row>
    <row r="1194" spans="1:19" ht="21.3">
      <c r="A1194" s="665"/>
      <c r="B1194" s="617" t="s">
        <v>296</v>
      </c>
      <c r="C1194" s="1125" t="s">
        <v>297</v>
      </c>
      <c r="D1194" s="1126"/>
      <c r="E1194" s="637">
        <f t="shared" si="378"/>
        <v>0</v>
      </c>
      <c r="F1194" s="625" t="s">
        <v>34</v>
      </c>
      <c r="G1194" s="666">
        <v>294</v>
      </c>
      <c r="H1194" s="633">
        <f t="shared" ref="H1194:H1201" si="389">SUM(E1194*G1194)</f>
        <v>0</v>
      </c>
      <c r="I1194" s="666">
        <v>189</v>
      </c>
      <c r="J1194" s="580">
        <f t="shared" si="371"/>
        <v>0</v>
      </c>
      <c r="K1194" s="631">
        <f t="shared" si="372"/>
        <v>0</v>
      </c>
      <c r="L1194" s="1073"/>
      <c r="M1194" s="574"/>
      <c r="N1194" s="667">
        <f t="shared" si="368"/>
        <v>0</v>
      </c>
      <c r="O1194" s="636">
        <v>0</v>
      </c>
      <c r="P1194" s="637"/>
      <c r="Q1194" s="574"/>
      <c r="R1194" s="574"/>
      <c r="S1194" s="574"/>
    </row>
    <row r="1195" spans="1:19" ht="21.3">
      <c r="A1195" s="665"/>
      <c r="B1195" s="617" t="s">
        <v>298</v>
      </c>
      <c r="C1195" s="1125" t="s">
        <v>299</v>
      </c>
      <c r="D1195" s="1126"/>
      <c r="E1195" s="637"/>
      <c r="F1195" s="625" t="s">
        <v>34</v>
      </c>
      <c r="G1195" s="666">
        <v>608</v>
      </c>
      <c r="H1195" s="633">
        <f t="shared" si="389"/>
        <v>0</v>
      </c>
      <c r="I1195" s="666">
        <v>189</v>
      </c>
      <c r="J1195" s="580">
        <f t="shared" si="371"/>
        <v>0</v>
      </c>
      <c r="K1195" s="631">
        <f t="shared" si="372"/>
        <v>0</v>
      </c>
      <c r="L1195" s="1073"/>
      <c r="M1195" s="574"/>
      <c r="N1195" s="667">
        <f t="shared" si="368"/>
        <v>681.28</v>
      </c>
      <c r="O1195" s="636">
        <v>0</v>
      </c>
      <c r="P1195" s="637">
        <v>681.28</v>
      </c>
      <c r="Q1195" s="574"/>
      <c r="R1195" s="574"/>
      <c r="S1195" s="574"/>
    </row>
    <row r="1196" spans="1:19" ht="21.3">
      <c r="A1196" s="665"/>
      <c r="B1196" s="623" t="s">
        <v>2549</v>
      </c>
      <c r="C1196" s="1125" t="s">
        <v>299</v>
      </c>
      <c r="D1196" s="1126"/>
      <c r="E1196" s="637">
        <f t="shared" si="378"/>
        <v>681.28</v>
      </c>
      <c r="F1196" s="625" t="s">
        <v>34</v>
      </c>
      <c r="G1196" s="666">
        <v>399</v>
      </c>
      <c r="H1196" s="633">
        <f t="shared" si="389"/>
        <v>271830.71999999997</v>
      </c>
      <c r="I1196" s="666">
        <v>189</v>
      </c>
      <c r="J1196" s="580">
        <f t="shared" si="371"/>
        <v>128761.92</v>
      </c>
      <c r="K1196" s="631">
        <f t="shared" si="372"/>
        <v>400592.63999999996</v>
      </c>
      <c r="L1196" s="1073"/>
      <c r="M1196" s="574"/>
      <c r="N1196" s="667">
        <f t="shared" si="368"/>
        <v>681.28</v>
      </c>
      <c r="O1196" s="636">
        <v>0</v>
      </c>
      <c r="P1196" s="637">
        <v>681.28</v>
      </c>
      <c r="Q1196" s="574"/>
      <c r="R1196" s="574"/>
      <c r="S1196" s="574"/>
    </row>
    <row r="1197" spans="1:19" ht="21.3">
      <c r="A1197" s="665"/>
      <c r="B1197" s="617" t="s">
        <v>300</v>
      </c>
      <c r="C1197" s="1125" t="s">
        <v>301</v>
      </c>
      <c r="D1197" s="1126"/>
      <c r="E1197" s="637">
        <f t="shared" si="378"/>
        <v>0</v>
      </c>
      <c r="F1197" s="625" t="s">
        <v>34</v>
      </c>
      <c r="G1197" s="666">
        <v>88</v>
      </c>
      <c r="H1197" s="633">
        <f t="shared" si="389"/>
        <v>0</v>
      </c>
      <c r="I1197" s="666">
        <v>82</v>
      </c>
      <c r="J1197" s="580">
        <f t="shared" si="371"/>
        <v>0</v>
      </c>
      <c r="K1197" s="631">
        <f t="shared" si="372"/>
        <v>0</v>
      </c>
      <c r="L1197" s="1062"/>
      <c r="M1197" s="574"/>
      <c r="N1197" s="667">
        <f t="shared" si="368"/>
        <v>0</v>
      </c>
      <c r="O1197" s="636">
        <v>0</v>
      </c>
      <c r="P1197" s="637"/>
      <c r="Q1197" s="574"/>
      <c r="R1197" s="574"/>
      <c r="S1197" s="574"/>
    </row>
    <row r="1198" spans="1:19" ht="21.3">
      <c r="A1198" s="665"/>
      <c r="B1198" s="617"/>
      <c r="C1198" s="1125" t="s">
        <v>302</v>
      </c>
      <c r="D1198" s="1126"/>
      <c r="E1198" s="637">
        <f t="shared" si="378"/>
        <v>0</v>
      </c>
      <c r="F1198" s="625" t="s">
        <v>34</v>
      </c>
      <c r="G1198" s="2048">
        <v>69</v>
      </c>
      <c r="H1198" s="633">
        <f t="shared" si="389"/>
        <v>0</v>
      </c>
      <c r="I1198" s="2048">
        <v>28</v>
      </c>
      <c r="J1198" s="580">
        <f t="shared" si="371"/>
        <v>0</v>
      </c>
      <c r="K1198" s="631">
        <f t="shared" si="372"/>
        <v>0</v>
      </c>
      <c r="L1198" s="1062"/>
      <c r="M1198" s="574"/>
      <c r="N1198" s="667">
        <f t="shared" si="368"/>
        <v>0</v>
      </c>
      <c r="O1198" s="636">
        <v>0</v>
      </c>
      <c r="P1198" s="637"/>
      <c r="Q1198" s="574"/>
      <c r="R1198" s="574"/>
      <c r="S1198" s="574"/>
    </row>
    <row r="1199" spans="1:19" ht="21.3">
      <c r="A1199" s="665"/>
      <c r="B1199" s="617" t="s">
        <v>303</v>
      </c>
      <c r="C1199" s="1125" t="s">
        <v>304</v>
      </c>
      <c r="D1199" s="1126"/>
      <c r="E1199" s="637"/>
      <c r="F1199" s="625" t="s">
        <v>34</v>
      </c>
      <c r="G1199" s="666">
        <v>870</v>
      </c>
      <c r="H1199" s="633">
        <f t="shared" si="389"/>
        <v>0</v>
      </c>
      <c r="I1199" s="666">
        <v>242</v>
      </c>
      <c r="J1199" s="580">
        <f t="shared" si="371"/>
        <v>0</v>
      </c>
      <c r="K1199" s="631">
        <f t="shared" si="372"/>
        <v>0</v>
      </c>
      <c r="L1199" s="1073"/>
      <c r="M1199" s="574"/>
      <c r="N1199" s="667">
        <f t="shared" si="368"/>
        <v>156.39999999999998</v>
      </c>
      <c r="O1199" s="636">
        <v>0</v>
      </c>
      <c r="P1199" s="637">
        <v>156.39999999999998</v>
      </c>
      <c r="Q1199" s="574"/>
      <c r="R1199" s="574"/>
      <c r="S1199" s="574"/>
    </row>
    <row r="1200" spans="1:19" ht="21.3">
      <c r="A1200" s="665"/>
      <c r="B1200" s="617"/>
      <c r="C1200" s="1125" t="s">
        <v>305</v>
      </c>
      <c r="D1200" s="1126"/>
      <c r="E1200" s="637">
        <f t="shared" ref="E1200" si="390">+N1200</f>
        <v>0</v>
      </c>
      <c r="F1200" s="619"/>
      <c r="G1200" s="572"/>
      <c r="H1200" s="580"/>
      <c r="I1200" s="572"/>
      <c r="J1200" s="580">
        <f t="shared" si="371"/>
        <v>0</v>
      </c>
      <c r="K1200" s="631">
        <f t="shared" si="372"/>
        <v>0</v>
      </c>
      <c r="L1200" s="1073"/>
      <c r="M1200" s="574"/>
      <c r="N1200" s="629">
        <f t="shared" si="368"/>
        <v>0</v>
      </c>
      <c r="O1200" s="630">
        <v>0</v>
      </c>
      <c r="P1200" s="624"/>
      <c r="Q1200" s="574"/>
      <c r="R1200" s="574"/>
      <c r="S1200" s="574"/>
    </row>
    <row r="1201" spans="1:19" ht="21.3">
      <c r="A1201" s="665"/>
      <c r="B1201" s="623" t="s">
        <v>2550</v>
      </c>
      <c r="C1201" s="1125" t="s">
        <v>304</v>
      </c>
      <c r="D1201" s="1126"/>
      <c r="E1201" s="637">
        <f t="shared" si="378"/>
        <v>156.39999999999998</v>
      </c>
      <c r="F1201" s="625" t="s">
        <v>34</v>
      </c>
      <c r="G1201" s="666">
        <v>765</v>
      </c>
      <c r="H1201" s="633">
        <f t="shared" si="389"/>
        <v>119645.99999999999</v>
      </c>
      <c r="I1201" s="666">
        <v>242</v>
      </c>
      <c r="J1201" s="580">
        <f t="shared" si="371"/>
        <v>37848.799999999996</v>
      </c>
      <c r="K1201" s="631">
        <f t="shared" si="372"/>
        <v>157494.79999999999</v>
      </c>
      <c r="L1201" s="1073"/>
      <c r="M1201" s="574"/>
      <c r="N1201" s="667">
        <f t="shared" si="368"/>
        <v>156.39999999999998</v>
      </c>
      <c r="O1201" s="636">
        <v>0</v>
      </c>
      <c r="P1201" s="637">
        <v>156.39999999999998</v>
      </c>
      <c r="Q1201" s="574"/>
      <c r="R1201" s="574"/>
      <c r="S1201" s="574"/>
    </row>
    <row r="1202" spans="1:19" ht="21.3">
      <c r="A1202" s="665"/>
      <c r="B1202" s="617"/>
      <c r="C1202" s="1125" t="s">
        <v>305</v>
      </c>
      <c r="D1202" s="1126"/>
      <c r="E1202" s="637">
        <f t="shared" si="378"/>
        <v>0</v>
      </c>
      <c r="F1202" s="619"/>
      <c r="G1202" s="572"/>
      <c r="H1202" s="580"/>
      <c r="I1202" s="572"/>
      <c r="J1202" s="580">
        <f t="shared" si="371"/>
        <v>0</v>
      </c>
      <c r="K1202" s="631">
        <f t="shared" si="372"/>
        <v>0</v>
      </c>
      <c r="L1202" s="1073"/>
      <c r="M1202" s="574"/>
      <c r="N1202" s="629">
        <f t="shared" si="368"/>
        <v>0</v>
      </c>
      <c r="O1202" s="630">
        <v>0</v>
      </c>
      <c r="P1202" s="624"/>
      <c r="Q1202" s="574"/>
      <c r="R1202" s="574"/>
      <c r="S1202" s="574"/>
    </row>
    <row r="1203" spans="1:19" ht="21.3">
      <c r="A1203" s="665"/>
      <c r="B1203" s="617" t="s">
        <v>306</v>
      </c>
      <c r="C1203" s="1125" t="s">
        <v>307</v>
      </c>
      <c r="D1203" s="1126"/>
      <c r="E1203" s="637">
        <f t="shared" si="378"/>
        <v>0</v>
      </c>
      <c r="F1203" s="625" t="s">
        <v>34</v>
      </c>
      <c r="G1203" s="666"/>
      <c r="H1203" s="633">
        <v>0</v>
      </c>
      <c r="I1203" s="666"/>
      <c r="J1203" s="580">
        <f t="shared" si="371"/>
        <v>0</v>
      </c>
      <c r="K1203" s="631">
        <f t="shared" si="372"/>
        <v>0</v>
      </c>
      <c r="L1203" s="1073"/>
      <c r="M1203" s="574"/>
      <c r="N1203" s="667">
        <f t="shared" si="368"/>
        <v>0</v>
      </c>
      <c r="O1203" s="636">
        <v>0</v>
      </c>
      <c r="P1203" s="637"/>
      <c r="Q1203" s="574"/>
      <c r="R1203" s="574"/>
      <c r="S1203" s="574"/>
    </row>
    <row r="1204" spans="1:19" ht="21.3">
      <c r="A1204" s="665"/>
      <c r="B1204" s="617" t="s">
        <v>308</v>
      </c>
      <c r="C1204" s="617" t="s">
        <v>309</v>
      </c>
      <c r="D1204" s="617"/>
      <c r="E1204" s="637">
        <f t="shared" si="378"/>
        <v>0</v>
      </c>
      <c r="F1204" s="625" t="s">
        <v>34</v>
      </c>
      <c r="G1204" s="666">
        <v>1296</v>
      </c>
      <c r="H1204" s="633">
        <f t="shared" ref="H1204:H1215" si="391">SUM(E1204*G1204)</f>
        <v>0</v>
      </c>
      <c r="I1204" s="666">
        <v>1600</v>
      </c>
      <c r="J1204" s="580">
        <f t="shared" si="371"/>
        <v>0</v>
      </c>
      <c r="K1204" s="631">
        <f t="shared" si="372"/>
        <v>0</v>
      </c>
      <c r="L1204" s="1073"/>
      <c r="M1204" s="574"/>
      <c r="N1204" s="667">
        <f t="shared" si="368"/>
        <v>0</v>
      </c>
      <c r="O1204" s="636">
        <v>0</v>
      </c>
      <c r="P1204" s="637"/>
      <c r="Q1204" s="574"/>
      <c r="R1204" s="574"/>
      <c r="S1204" s="574"/>
    </row>
    <row r="1205" spans="1:19" ht="21.3">
      <c r="A1205" s="665"/>
      <c r="B1205" s="617"/>
      <c r="C1205" s="617" t="s">
        <v>310</v>
      </c>
      <c r="D1205" s="617"/>
      <c r="E1205" s="637">
        <f t="shared" si="378"/>
        <v>0</v>
      </c>
      <c r="F1205" s="619"/>
      <c r="G1205" s="666"/>
      <c r="H1205" s="633">
        <f t="shared" si="391"/>
        <v>0</v>
      </c>
      <c r="I1205" s="666"/>
      <c r="J1205" s="580">
        <f t="shared" si="371"/>
        <v>0</v>
      </c>
      <c r="K1205" s="631">
        <f t="shared" si="372"/>
        <v>0</v>
      </c>
      <c r="L1205" s="1073"/>
      <c r="M1205" s="574"/>
      <c r="N1205" s="629">
        <f t="shared" si="368"/>
        <v>0</v>
      </c>
      <c r="O1205" s="630">
        <v>0</v>
      </c>
      <c r="P1205" s="624"/>
      <c r="Q1205" s="574"/>
      <c r="R1205" s="574"/>
      <c r="S1205" s="574"/>
    </row>
    <row r="1206" spans="1:19" ht="21.3">
      <c r="A1206" s="665"/>
      <c r="B1206" s="617" t="s">
        <v>311</v>
      </c>
      <c r="C1206" s="1125" t="s">
        <v>312</v>
      </c>
      <c r="D1206" s="1126"/>
      <c r="E1206" s="637">
        <f t="shared" si="378"/>
        <v>0</v>
      </c>
      <c r="F1206" s="625" t="s">
        <v>34</v>
      </c>
      <c r="G1206" s="666"/>
      <c r="H1206" s="633">
        <f t="shared" si="391"/>
        <v>0</v>
      </c>
      <c r="I1206" s="666"/>
      <c r="J1206" s="580">
        <f t="shared" ref="J1206:J1272" si="392">E1206*I1206</f>
        <v>0</v>
      </c>
      <c r="K1206" s="631">
        <f t="shared" ref="K1206:K1272" si="393">H1206+J1206</f>
        <v>0</v>
      </c>
      <c r="L1206" s="1073"/>
      <c r="M1206" s="574"/>
      <c r="N1206" s="667">
        <f t="shared" ref="N1206:N1274" si="394">+(1+O1206)*P1206</f>
        <v>0</v>
      </c>
      <c r="O1206" s="636">
        <v>0</v>
      </c>
      <c r="P1206" s="637"/>
      <c r="Q1206" s="574"/>
      <c r="R1206" s="574"/>
      <c r="S1206" s="574"/>
    </row>
    <row r="1207" spans="1:19" ht="21.3">
      <c r="A1207" s="665"/>
      <c r="B1207" s="617" t="s">
        <v>313</v>
      </c>
      <c r="C1207" s="1125" t="s">
        <v>314</v>
      </c>
      <c r="D1207" s="1126"/>
      <c r="E1207" s="637">
        <f t="shared" si="378"/>
        <v>0</v>
      </c>
      <c r="F1207" s="625" t="s">
        <v>34</v>
      </c>
      <c r="G1207" s="666"/>
      <c r="H1207" s="633">
        <f t="shared" si="391"/>
        <v>0</v>
      </c>
      <c r="I1207" s="666"/>
      <c r="J1207" s="580">
        <f t="shared" si="392"/>
        <v>0</v>
      </c>
      <c r="K1207" s="631">
        <f t="shared" si="393"/>
        <v>0</v>
      </c>
      <c r="L1207" s="1073"/>
      <c r="M1207" s="574"/>
      <c r="N1207" s="667">
        <f t="shared" si="394"/>
        <v>0</v>
      </c>
      <c r="O1207" s="636">
        <v>0</v>
      </c>
      <c r="P1207" s="637"/>
      <c r="Q1207" s="574"/>
      <c r="R1207" s="574"/>
      <c r="S1207" s="574"/>
    </row>
    <row r="1208" spans="1:19" ht="21.3">
      <c r="A1208" s="665"/>
      <c r="B1208" s="617" t="s">
        <v>315</v>
      </c>
      <c r="C1208" s="1125" t="s">
        <v>316</v>
      </c>
      <c r="D1208" s="1126"/>
      <c r="E1208" s="637">
        <f t="shared" si="378"/>
        <v>0</v>
      </c>
      <c r="F1208" s="625" t="s">
        <v>34</v>
      </c>
      <c r="G1208" s="572">
        <v>15000</v>
      </c>
      <c r="H1208" s="580">
        <f t="shared" si="391"/>
        <v>0</v>
      </c>
      <c r="I1208" s="572">
        <v>500</v>
      </c>
      <c r="J1208" s="580">
        <f t="shared" si="392"/>
        <v>0</v>
      </c>
      <c r="K1208" s="631">
        <f t="shared" si="393"/>
        <v>0</v>
      </c>
      <c r="L1208" s="1061"/>
      <c r="M1208" s="574"/>
      <c r="N1208" s="667">
        <f t="shared" si="394"/>
        <v>0</v>
      </c>
      <c r="O1208" s="636">
        <v>0</v>
      </c>
      <c r="P1208" s="637"/>
      <c r="Q1208" s="574"/>
      <c r="R1208" s="574"/>
      <c r="S1208" s="574"/>
    </row>
    <row r="1209" spans="1:19" ht="21.3">
      <c r="A1209" s="665"/>
      <c r="B1209" s="617" t="s">
        <v>317</v>
      </c>
      <c r="C1209" s="1125" t="s">
        <v>318</v>
      </c>
      <c r="D1209" s="1126"/>
      <c r="E1209" s="637">
        <f t="shared" si="378"/>
        <v>584.00399999999991</v>
      </c>
      <c r="F1209" s="625" t="s">
        <v>34</v>
      </c>
      <c r="G1209" s="666">
        <v>88</v>
      </c>
      <c r="H1209" s="633">
        <f t="shared" si="391"/>
        <v>51392.351999999992</v>
      </c>
      <c r="I1209" s="666">
        <v>82</v>
      </c>
      <c r="J1209" s="580">
        <f t="shared" si="392"/>
        <v>47888.327999999994</v>
      </c>
      <c r="K1209" s="631">
        <f t="shared" si="393"/>
        <v>99280.68</v>
      </c>
      <c r="L1209" s="1062"/>
      <c r="M1209" s="574"/>
      <c r="N1209" s="667">
        <f t="shared" si="394"/>
        <v>584.00399999999991</v>
      </c>
      <c r="O1209" s="636">
        <v>0</v>
      </c>
      <c r="P1209" s="637">
        <v>584.00399999999991</v>
      </c>
      <c r="Q1209" s="574"/>
      <c r="R1209" s="574"/>
      <c r="S1209" s="574"/>
    </row>
    <row r="1210" spans="1:19" ht="21.3">
      <c r="A1210" s="665"/>
      <c r="B1210" s="617" t="s">
        <v>319</v>
      </c>
      <c r="C1210" s="1125" t="s">
        <v>320</v>
      </c>
      <c r="D1210" s="1126"/>
      <c r="E1210" s="637">
        <f t="shared" si="378"/>
        <v>0</v>
      </c>
      <c r="F1210" s="625" t="s">
        <v>34</v>
      </c>
      <c r="G1210" s="666">
        <v>1955</v>
      </c>
      <c r="H1210" s="633">
        <f t="shared" si="391"/>
        <v>0</v>
      </c>
      <c r="I1210" s="666">
        <v>1700</v>
      </c>
      <c r="J1210" s="580">
        <f t="shared" si="392"/>
        <v>0</v>
      </c>
      <c r="K1210" s="631">
        <f t="shared" si="393"/>
        <v>0</v>
      </c>
      <c r="L1210" s="1073"/>
      <c r="M1210" s="574"/>
      <c r="N1210" s="667">
        <f t="shared" si="394"/>
        <v>0</v>
      </c>
      <c r="O1210" s="636">
        <v>0</v>
      </c>
      <c r="P1210" s="637"/>
      <c r="Q1210" s="574"/>
      <c r="R1210" s="574"/>
      <c r="S1210" s="574"/>
    </row>
    <row r="1211" spans="1:19" ht="21.3">
      <c r="A1211" s="665"/>
      <c r="B1211" s="617"/>
      <c r="C1211" s="1125" t="s">
        <v>321</v>
      </c>
      <c r="D1211" s="1126"/>
      <c r="E1211" s="637">
        <f t="shared" si="378"/>
        <v>0</v>
      </c>
      <c r="F1211" s="625" t="s">
        <v>34</v>
      </c>
      <c r="G1211" s="666">
        <v>0</v>
      </c>
      <c r="H1211" s="633">
        <f t="shared" si="391"/>
        <v>0</v>
      </c>
      <c r="I1211" s="666">
        <v>0</v>
      </c>
      <c r="J1211" s="580">
        <f t="shared" si="392"/>
        <v>0</v>
      </c>
      <c r="K1211" s="631">
        <f t="shared" si="393"/>
        <v>0</v>
      </c>
      <c r="L1211" s="1073"/>
      <c r="M1211" s="574"/>
      <c r="N1211" s="667">
        <f t="shared" si="394"/>
        <v>0</v>
      </c>
      <c r="O1211" s="636">
        <v>0</v>
      </c>
      <c r="P1211" s="637"/>
      <c r="Q1211" s="574"/>
      <c r="R1211" s="574"/>
      <c r="S1211" s="574"/>
    </row>
    <row r="1212" spans="1:19" ht="21.3">
      <c r="A1212" s="665"/>
      <c r="B1212" s="617" t="s">
        <v>322</v>
      </c>
      <c r="C1212" s="1125" t="s">
        <v>323</v>
      </c>
      <c r="D1212" s="1126"/>
      <c r="E1212" s="637">
        <f t="shared" si="378"/>
        <v>0</v>
      </c>
      <c r="F1212" s="625" t="s">
        <v>34</v>
      </c>
      <c r="G1212" s="666">
        <v>1296</v>
      </c>
      <c r="H1212" s="633">
        <f t="shared" si="391"/>
        <v>0</v>
      </c>
      <c r="I1212" s="666">
        <v>1600</v>
      </c>
      <c r="J1212" s="580">
        <f t="shared" si="392"/>
        <v>0</v>
      </c>
      <c r="K1212" s="631">
        <f t="shared" si="393"/>
        <v>0</v>
      </c>
      <c r="L1212" s="1073"/>
      <c r="M1212" s="574"/>
      <c r="N1212" s="667">
        <f t="shared" si="394"/>
        <v>0</v>
      </c>
      <c r="O1212" s="636">
        <v>0</v>
      </c>
      <c r="P1212" s="637"/>
      <c r="Q1212" s="574"/>
      <c r="R1212" s="574"/>
      <c r="S1212" s="574"/>
    </row>
    <row r="1213" spans="1:19" ht="21.3">
      <c r="A1213" s="665"/>
      <c r="B1213" s="617" t="s">
        <v>324</v>
      </c>
      <c r="C1213" s="1125" t="s">
        <v>325</v>
      </c>
      <c r="D1213" s="1126"/>
      <c r="E1213" s="637">
        <f t="shared" si="378"/>
        <v>0</v>
      </c>
      <c r="F1213" s="625" t="s">
        <v>34</v>
      </c>
      <c r="G1213" s="2048">
        <f>13+69</f>
        <v>82</v>
      </c>
      <c r="H1213" s="633">
        <f t="shared" si="391"/>
        <v>0</v>
      </c>
      <c r="I1213" s="2048">
        <f>30+28</f>
        <v>58</v>
      </c>
      <c r="J1213" s="580">
        <f t="shared" si="392"/>
        <v>0</v>
      </c>
      <c r="K1213" s="631">
        <f t="shared" si="393"/>
        <v>0</v>
      </c>
      <c r="L1213" s="2049"/>
      <c r="M1213" s="574"/>
      <c r="N1213" s="667">
        <f t="shared" si="394"/>
        <v>0</v>
      </c>
      <c r="O1213" s="636">
        <v>0</v>
      </c>
      <c r="P1213" s="637"/>
      <c r="Q1213" s="574"/>
      <c r="R1213" s="574"/>
      <c r="S1213" s="574"/>
    </row>
    <row r="1214" spans="1:19" ht="21.3">
      <c r="A1214" s="665"/>
      <c r="B1214" s="617" t="s">
        <v>326</v>
      </c>
      <c r="C1214" s="1125" t="s">
        <v>327</v>
      </c>
      <c r="D1214" s="1126"/>
      <c r="E1214" s="637">
        <f t="shared" si="378"/>
        <v>0</v>
      </c>
      <c r="F1214" s="625" t="s">
        <v>34</v>
      </c>
      <c r="G1214" s="666"/>
      <c r="H1214" s="633">
        <f t="shared" si="391"/>
        <v>0</v>
      </c>
      <c r="I1214" s="666"/>
      <c r="J1214" s="580">
        <f t="shared" si="392"/>
        <v>0</v>
      </c>
      <c r="K1214" s="631">
        <f t="shared" si="393"/>
        <v>0</v>
      </c>
      <c r="L1214" s="1073"/>
      <c r="M1214" s="574"/>
      <c r="N1214" s="667">
        <f t="shared" si="394"/>
        <v>0</v>
      </c>
      <c r="O1214" s="636">
        <v>0</v>
      </c>
      <c r="P1214" s="637"/>
      <c r="Q1214" s="574"/>
      <c r="R1214" s="574"/>
      <c r="S1214" s="574"/>
    </row>
    <row r="1215" spans="1:19" ht="21.3">
      <c r="A1215" s="665"/>
      <c r="B1215" s="617" t="s">
        <v>328</v>
      </c>
      <c r="C1215" s="617" t="s">
        <v>329</v>
      </c>
      <c r="D1215" s="1126"/>
      <c r="E1215" s="637">
        <f t="shared" si="378"/>
        <v>0</v>
      </c>
      <c r="F1215" s="625" t="s">
        <v>34</v>
      </c>
      <c r="G1215" s="666"/>
      <c r="H1215" s="633">
        <f t="shared" si="391"/>
        <v>0</v>
      </c>
      <c r="I1215" s="666"/>
      <c r="J1215" s="580">
        <f t="shared" si="392"/>
        <v>0</v>
      </c>
      <c r="K1215" s="631">
        <f t="shared" si="393"/>
        <v>0</v>
      </c>
      <c r="L1215" s="1073"/>
      <c r="M1215" s="574"/>
      <c r="N1215" s="667">
        <f t="shared" si="394"/>
        <v>0</v>
      </c>
      <c r="O1215" s="636">
        <v>0</v>
      </c>
      <c r="P1215" s="637"/>
      <c r="Q1215" s="574"/>
      <c r="R1215" s="574"/>
      <c r="S1215" s="574"/>
    </row>
    <row r="1216" spans="1:19" ht="21.3">
      <c r="A1216" s="665"/>
      <c r="B1216" s="617"/>
      <c r="C1216" s="617" t="s">
        <v>330</v>
      </c>
      <c r="D1216" s="1129"/>
      <c r="E1216" s="637"/>
      <c r="F1216" s="625"/>
      <c r="G1216" s="642"/>
      <c r="H1216" s="668"/>
      <c r="I1216" s="642"/>
      <c r="J1216" s="580">
        <f t="shared" si="392"/>
        <v>0</v>
      </c>
      <c r="K1216" s="631">
        <f t="shared" si="393"/>
        <v>0</v>
      </c>
      <c r="L1216" s="1065"/>
      <c r="M1216" s="574"/>
      <c r="N1216" s="669">
        <f t="shared" si="394"/>
        <v>0</v>
      </c>
      <c r="O1216" s="636">
        <v>0</v>
      </c>
      <c r="P1216" s="637"/>
      <c r="Q1216" s="574"/>
      <c r="R1216" s="574"/>
      <c r="S1216" s="574"/>
    </row>
    <row r="1217" spans="1:19" ht="21.3">
      <c r="A1217" s="665"/>
      <c r="B1217" s="617"/>
      <c r="C1217" s="1127" t="s">
        <v>1043</v>
      </c>
      <c r="D1217" s="1126"/>
      <c r="E1217" s="637">
        <f t="shared" ref="E1217" si="395">+N1217</f>
        <v>0</v>
      </c>
      <c r="F1217" s="625" t="s">
        <v>34</v>
      </c>
      <c r="G1217" s="2048">
        <v>69</v>
      </c>
      <c r="H1217" s="633">
        <f t="shared" ref="H1217" si="396">SUM(E1217*G1217)</f>
        <v>0</v>
      </c>
      <c r="I1217" s="2048">
        <v>28</v>
      </c>
      <c r="J1217" s="580">
        <f t="shared" si="392"/>
        <v>0</v>
      </c>
      <c r="K1217" s="631">
        <f t="shared" si="393"/>
        <v>0</v>
      </c>
      <c r="L1217" s="2049"/>
      <c r="M1217" s="574"/>
      <c r="N1217" s="667">
        <f t="shared" si="394"/>
        <v>0</v>
      </c>
      <c r="O1217" s="636">
        <v>0</v>
      </c>
      <c r="P1217" s="637"/>
      <c r="Q1217" s="574"/>
      <c r="R1217" s="574"/>
      <c r="S1217" s="574"/>
    </row>
    <row r="1218" spans="1:19" ht="21.3">
      <c r="A1218" s="665" t="s">
        <v>353</v>
      </c>
      <c r="B1218" s="1114" t="s">
        <v>354</v>
      </c>
      <c r="C1218" s="617"/>
      <c r="D1218" s="1129"/>
      <c r="E1218" s="624"/>
      <c r="F1218" s="625"/>
      <c r="G1218" s="642"/>
      <c r="H1218" s="668"/>
      <c r="I1218" s="642"/>
      <c r="J1218" s="580">
        <f t="shared" si="392"/>
        <v>0</v>
      </c>
      <c r="K1218" s="631">
        <f t="shared" si="393"/>
        <v>0</v>
      </c>
      <c r="L1218" s="1065"/>
      <c r="M1218" s="574"/>
      <c r="N1218" s="629">
        <f t="shared" si="394"/>
        <v>0</v>
      </c>
      <c r="O1218" s="630">
        <v>0</v>
      </c>
      <c r="P1218" s="624"/>
      <c r="Q1218" s="574"/>
      <c r="R1218" s="574"/>
      <c r="S1218" s="574"/>
    </row>
    <row r="1219" spans="1:19" ht="21.3">
      <c r="A1219" s="665"/>
      <c r="B1219" s="1114"/>
      <c r="C1219" s="1125" t="s">
        <v>259</v>
      </c>
      <c r="D1219" s="1124"/>
      <c r="E1219" s="624">
        <v>2298.1579999999999</v>
      </c>
      <c r="F1219" s="625" t="s">
        <v>34</v>
      </c>
      <c r="G1219" s="666">
        <v>281</v>
      </c>
      <c r="H1219" s="633">
        <f>SUM(E1219*G1219)</f>
        <v>645782.39799999993</v>
      </c>
      <c r="I1219" s="666">
        <v>80</v>
      </c>
      <c r="J1219" s="580">
        <f t="shared" si="392"/>
        <v>183852.63999999998</v>
      </c>
      <c r="K1219" s="631">
        <f t="shared" si="393"/>
        <v>829635.03799999994</v>
      </c>
      <c r="L1219" s="1073"/>
      <c r="M1219" s="574"/>
      <c r="N1219" s="629">
        <f t="shared" si="394"/>
        <v>0</v>
      </c>
      <c r="O1219" s="630">
        <v>0</v>
      </c>
      <c r="P1219" s="624"/>
      <c r="Q1219" s="574"/>
      <c r="R1219" s="574"/>
      <c r="S1219" s="574"/>
    </row>
    <row r="1220" spans="1:19" ht="21.3">
      <c r="A1220" s="665"/>
      <c r="B1220" s="1114"/>
      <c r="C1220" s="1125" t="s">
        <v>260</v>
      </c>
      <c r="D1220" s="1124"/>
      <c r="E1220" s="624">
        <f>+E1256/2</f>
        <v>0</v>
      </c>
      <c r="F1220" s="625" t="s">
        <v>34</v>
      </c>
      <c r="G1220" s="666">
        <v>712</v>
      </c>
      <c r="H1220" s="633">
        <f>SUM(E1220*G1220)</f>
        <v>0</v>
      </c>
      <c r="I1220" s="666">
        <v>98</v>
      </c>
      <c r="J1220" s="580">
        <f t="shared" si="392"/>
        <v>0</v>
      </c>
      <c r="K1220" s="631">
        <f t="shared" si="393"/>
        <v>0</v>
      </c>
      <c r="L1220" s="1073"/>
      <c r="M1220" s="574"/>
      <c r="N1220" s="629">
        <f t="shared" si="394"/>
        <v>0</v>
      </c>
      <c r="O1220" s="630">
        <v>0</v>
      </c>
      <c r="P1220" s="624"/>
      <c r="Q1220" s="574"/>
      <c r="R1220" s="574"/>
      <c r="S1220" s="574"/>
    </row>
    <row r="1221" spans="1:19" ht="21.3">
      <c r="A1221" s="665"/>
      <c r="B1221" s="1114"/>
      <c r="C1221" s="1125" t="s">
        <v>261</v>
      </c>
      <c r="D1221" s="1124"/>
      <c r="E1221" s="624">
        <f>+E1219*1.33</f>
        <v>3056.5501399999998</v>
      </c>
      <c r="F1221" s="625" t="s">
        <v>226</v>
      </c>
      <c r="G1221" s="666">
        <v>119</v>
      </c>
      <c r="H1221" s="633">
        <f>SUM(E1221*G1221)</f>
        <v>363729.46665999998</v>
      </c>
      <c r="I1221" s="666">
        <v>44</v>
      </c>
      <c r="J1221" s="580">
        <f t="shared" si="392"/>
        <v>134488.20616</v>
      </c>
      <c r="K1221" s="631">
        <f t="shared" si="393"/>
        <v>498217.67281999998</v>
      </c>
      <c r="L1221" s="1073"/>
      <c r="M1221" s="574"/>
      <c r="N1221" s="629">
        <f t="shared" si="394"/>
        <v>0</v>
      </c>
      <c r="O1221" s="630">
        <v>0</v>
      </c>
      <c r="P1221" s="624"/>
      <c r="Q1221" s="574"/>
      <c r="R1221" s="574"/>
      <c r="S1221" s="574"/>
    </row>
    <row r="1222" spans="1:19" ht="21.3">
      <c r="A1222" s="665"/>
      <c r="B1222" s="1114"/>
      <c r="C1222" s="1125" t="s">
        <v>262</v>
      </c>
      <c r="D1222" s="1124"/>
      <c r="E1222" s="624">
        <f>+E1220*1.33</f>
        <v>0</v>
      </c>
      <c r="F1222" s="625" t="s">
        <v>226</v>
      </c>
      <c r="G1222" s="666">
        <v>208</v>
      </c>
      <c r="H1222" s="633">
        <f>SUM(E1222*G1222)</f>
        <v>0</v>
      </c>
      <c r="I1222" s="666">
        <v>78</v>
      </c>
      <c r="J1222" s="580">
        <f t="shared" si="392"/>
        <v>0</v>
      </c>
      <c r="K1222" s="631">
        <f t="shared" si="393"/>
        <v>0</v>
      </c>
      <c r="L1222" s="1073"/>
      <c r="M1222" s="574"/>
      <c r="N1222" s="629">
        <f t="shared" si="394"/>
        <v>0</v>
      </c>
      <c r="O1222" s="630">
        <v>0</v>
      </c>
      <c r="P1222" s="624"/>
      <c r="Q1222" s="574"/>
      <c r="R1222" s="574"/>
      <c r="S1222" s="574"/>
    </row>
    <row r="1223" spans="1:19" ht="21.3">
      <c r="A1223" s="665"/>
      <c r="B1223" s="1114"/>
      <c r="C1223" s="1125" t="s">
        <v>263</v>
      </c>
      <c r="D1223" s="1124"/>
      <c r="E1223" s="624">
        <f>+E1252+E1253+E1255+E1260+E1262+E1273</f>
        <v>938.96</v>
      </c>
      <c r="F1223" s="625" t="s">
        <v>34</v>
      </c>
      <c r="G1223" s="666">
        <v>88</v>
      </c>
      <c r="H1223" s="633">
        <f>SUM(E1223*G1223)</f>
        <v>82628.48000000001</v>
      </c>
      <c r="I1223" s="666">
        <v>82</v>
      </c>
      <c r="J1223" s="580">
        <f t="shared" si="392"/>
        <v>76994.720000000001</v>
      </c>
      <c r="K1223" s="631">
        <f t="shared" si="393"/>
        <v>159623.20000000001</v>
      </c>
      <c r="L1223" s="1062"/>
      <c r="M1223" s="574"/>
      <c r="N1223" s="629">
        <f t="shared" si="394"/>
        <v>0</v>
      </c>
      <c r="O1223" s="630">
        <v>0</v>
      </c>
      <c r="P1223" s="624"/>
      <c r="Q1223" s="574"/>
      <c r="R1223" s="574"/>
      <c r="S1223" s="574"/>
    </row>
    <row r="1224" spans="1:19" ht="21.3">
      <c r="A1224" s="665"/>
      <c r="B1224" s="617" t="s">
        <v>264</v>
      </c>
      <c r="C1224" s="1125" t="s">
        <v>265</v>
      </c>
      <c r="D1224" s="1126"/>
      <c r="E1224" s="637">
        <f>+N1224</f>
        <v>0</v>
      </c>
      <c r="F1224" s="625" t="s">
        <v>34</v>
      </c>
      <c r="G1224" s="666">
        <v>88</v>
      </c>
      <c r="H1224" s="633">
        <f t="shared" ref="H1224:H1230" si="397">SUM(E1224*G1224)</f>
        <v>0</v>
      </c>
      <c r="I1224" s="666">
        <v>95</v>
      </c>
      <c r="J1224" s="580">
        <f t="shared" si="392"/>
        <v>0</v>
      </c>
      <c r="K1224" s="631">
        <f t="shared" si="393"/>
        <v>0</v>
      </c>
      <c r="L1224" s="1062"/>
      <c r="M1224" s="574"/>
      <c r="N1224" s="667">
        <f t="shared" si="394"/>
        <v>0</v>
      </c>
      <c r="O1224" s="636">
        <v>0</v>
      </c>
      <c r="P1224" s="637"/>
      <c r="Q1224" s="574"/>
      <c r="R1224" s="574"/>
      <c r="S1224" s="574"/>
    </row>
    <row r="1225" spans="1:19" ht="21.3">
      <c r="A1225" s="665"/>
      <c r="B1225" s="617"/>
      <c r="C1225" s="1125" t="s">
        <v>266</v>
      </c>
      <c r="D1225" s="1126"/>
      <c r="E1225" s="637">
        <f t="shared" ref="E1225:E1274" si="398">+N1225</f>
        <v>0</v>
      </c>
      <c r="F1225" s="625" t="s">
        <v>34</v>
      </c>
      <c r="G1225" s="2048">
        <v>69</v>
      </c>
      <c r="H1225" s="633">
        <f t="shared" si="397"/>
        <v>0</v>
      </c>
      <c r="I1225" s="2048">
        <v>28</v>
      </c>
      <c r="J1225" s="580">
        <f t="shared" si="392"/>
        <v>0</v>
      </c>
      <c r="K1225" s="631">
        <f t="shared" si="393"/>
        <v>0</v>
      </c>
      <c r="L1225" s="2049"/>
      <c r="M1225" s="574"/>
      <c r="N1225" s="667">
        <f t="shared" si="394"/>
        <v>0</v>
      </c>
      <c r="O1225" s="636">
        <v>0</v>
      </c>
      <c r="P1225" s="637"/>
      <c r="Q1225" s="574"/>
      <c r="R1225" s="574"/>
      <c r="S1225" s="574"/>
    </row>
    <row r="1226" spans="1:19" ht="21.3">
      <c r="A1226" s="665"/>
      <c r="B1226" s="617" t="s">
        <v>267</v>
      </c>
      <c r="C1226" s="1125" t="s">
        <v>268</v>
      </c>
      <c r="D1226" s="1126"/>
      <c r="E1226" s="637">
        <f t="shared" si="398"/>
        <v>2703.2419999999997</v>
      </c>
      <c r="F1226" s="625" t="s">
        <v>34</v>
      </c>
      <c r="G1226" s="666">
        <v>88</v>
      </c>
      <c r="H1226" s="633">
        <f t="shared" si="397"/>
        <v>237885.29599999997</v>
      </c>
      <c r="I1226" s="666">
        <v>82</v>
      </c>
      <c r="J1226" s="580">
        <f t="shared" si="392"/>
        <v>221665.84399999998</v>
      </c>
      <c r="K1226" s="631">
        <f t="shared" si="393"/>
        <v>459551.13999999996</v>
      </c>
      <c r="L1226" s="1062"/>
      <c r="M1226" s="574"/>
      <c r="N1226" s="667">
        <f t="shared" si="394"/>
        <v>2703.2419999999997</v>
      </c>
      <c r="O1226" s="636">
        <v>0</v>
      </c>
      <c r="P1226" s="637">
        <v>2703.2419999999997</v>
      </c>
      <c r="Q1226" s="574">
        <f>90*3.72*4</f>
        <v>1339.2</v>
      </c>
      <c r="R1226" s="574"/>
      <c r="S1226" s="574"/>
    </row>
    <row r="1227" spans="1:19" ht="21.3">
      <c r="A1227" s="665"/>
      <c r="B1227" s="617" t="s">
        <v>269</v>
      </c>
      <c r="C1227" s="1125" t="s">
        <v>265</v>
      </c>
      <c r="D1227" s="1126"/>
      <c r="E1227" s="637">
        <f t="shared" si="398"/>
        <v>619.8599999999999</v>
      </c>
      <c r="F1227" s="625" t="s">
        <v>34</v>
      </c>
      <c r="G1227" s="666">
        <v>88</v>
      </c>
      <c r="H1227" s="633">
        <f t="shared" si="397"/>
        <v>54547.679999999993</v>
      </c>
      <c r="I1227" s="666">
        <v>82</v>
      </c>
      <c r="J1227" s="580">
        <f t="shared" si="392"/>
        <v>50828.51999999999</v>
      </c>
      <c r="K1227" s="631">
        <f t="shared" si="393"/>
        <v>105376.19999999998</v>
      </c>
      <c r="L1227" s="1062"/>
      <c r="M1227" s="574"/>
      <c r="N1227" s="667">
        <f t="shared" si="394"/>
        <v>619.8599999999999</v>
      </c>
      <c r="O1227" s="636">
        <v>0</v>
      </c>
      <c r="P1227" s="637">
        <v>619.8599999999999</v>
      </c>
      <c r="Q1227" s="574"/>
      <c r="R1227" s="574"/>
      <c r="S1227" s="574"/>
    </row>
    <row r="1228" spans="1:19" ht="21.3">
      <c r="A1228" s="665"/>
      <c r="B1228" s="617"/>
      <c r="C1228" s="1125" t="s">
        <v>270</v>
      </c>
      <c r="D1228" s="1126"/>
      <c r="E1228" s="637">
        <f t="shared" si="398"/>
        <v>619.8599999999999</v>
      </c>
      <c r="F1228" s="625" t="s">
        <v>34</v>
      </c>
      <c r="G1228" s="2048">
        <v>69</v>
      </c>
      <c r="H1228" s="633">
        <f t="shared" si="397"/>
        <v>42770.34</v>
      </c>
      <c r="I1228" s="2048">
        <v>28</v>
      </c>
      <c r="J1228" s="580">
        <f t="shared" si="392"/>
        <v>17356.079999999998</v>
      </c>
      <c r="K1228" s="631">
        <f t="shared" si="393"/>
        <v>60126.42</v>
      </c>
      <c r="L1228" s="2049"/>
      <c r="M1228" s="574"/>
      <c r="N1228" s="667">
        <f t="shared" si="394"/>
        <v>619.8599999999999</v>
      </c>
      <c r="O1228" s="636">
        <v>0</v>
      </c>
      <c r="P1228" s="637">
        <v>619.8599999999999</v>
      </c>
      <c r="Q1228" s="574"/>
      <c r="R1228" s="574"/>
      <c r="S1228" s="574"/>
    </row>
    <row r="1229" spans="1:19" ht="21.3">
      <c r="A1229" s="665"/>
      <c r="B1229" s="617" t="s">
        <v>271</v>
      </c>
      <c r="C1229" s="1125" t="s">
        <v>272</v>
      </c>
      <c r="D1229" s="1126"/>
      <c r="E1229" s="637">
        <f t="shared" si="398"/>
        <v>0</v>
      </c>
      <c r="F1229" s="625" t="s">
        <v>34</v>
      </c>
      <c r="G1229" s="666">
        <v>103</v>
      </c>
      <c r="H1229" s="633">
        <f t="shared" si="397"/>
        <v>0</v>
      </c>
      <c r="I1229" s="666">
        <v>115</v>
      </c>
      <c r="J1229" s="580">
        <f t="shared" si="392"/>
        <v>0</v>
      </c>
      <c r="K1229" s="631">
        <f t="shared" si="393"/>
        <v>0</v>
      </c>
      <c r="L1229" s="1062"/>
      <c r="M1229" s="574"/>
      <c r="N1229" s="667">
        <f t="shared" si="394"/>
        <v>0</v>
      </c>
      <c r="O1229" s="636">
        <v>0</v>
      </c>
      <c r="P1229" s="637"/>
      <c r="Q1229" s="574"/>
      <c r="R1229" s="574"/>
      <c r="S1229" s="574"/>
    </row>
    <row r="1230" spans="1:19" ht="21.3">
      <c r="A1230" s="665"/>
      <c r="B1230" s="617"/>
      <c r="C1230" s="1125" t="s">
        <v>273</v>
      </c>
      <c r="D1230" s="1126"/>
      <c r="E1230" s="637">
        <f t="shared" si="398"/>
        <v>0</v>
      </c>
      <c r="F1230" s="625" t="s">
        <v>34</v>
      </c>
      <c r="G1230" s="2048">
        <v>69</v>
      </c>
      <c r="H1230" s="633">
        <f t="shared" si="397"/>
        <v>0</v>
      </c>
      <c r="I1230" s="2048">
        <v>28</v>
      </c>
      <c r="J1230" s="580">
        <f t="shared" si="392"/>
        <v>0</v>
      </c>
      <c r="K1230" s="631">
        <f t="shared" si="393"/>
        <v>0</v>
      </c>
      <c r="L1230" s="2049"/>
      <c r="M1230" s="574"/>
      <c r="N1230" s="667">
        <f t="shared" si="394"/>
        <v>0</v>
      </c>
      <c r="O1230" s="636">
        <v>0</v>
      </c>
      <c r="P1230" s="637"/>
      <c r="Q1230" s="574"/>
      <c r="R1230" s="574"/>
      <c r="S1230" s="574"/>
    </row>
    <row r="1231" spans="1:19" ht="21.3">
      <c r="A1231" s="665"/>
      <c r="B1231" s="617" t="s">
        <v>274</v>
      </c>
      <c r="C1231" s="1125" t="s">
        <v>275</v>
      </c>
      <c r="D1231" s="1126"/>
      <c r="E1231" s="637">
        <f t="shared" si="398"/>
        <v>0</v>
      </c>
      <c r="F1231" s="625" t="s">
        <v>34</v>
      </c>
      <c r="G1231" s="572">
        <v>1500</v>
      </c>
      <c r="H1231" s="580">
        <f t="shared" ref="H1231" si="399">E1231*G1231</f>
        <v>0</v>
      </c>
      <c r="I1231" s="572">
        <v>500</v>
      </c>
      <c r="J1231" s="580">
        <f t="shared" si="392"/>
        <v>0</v>
      </c>
      <c r="K1231" s="631">
        <f t="shared" si="393"/>
        <v>0</v>
      </c>
      <c r="L1231" s="1061"/>
      <c r="M1231" s="574"/>
      <c r="N1231" s="667">
        <f t="shared" si="394"/>
        <v>0</v>
      </c>
      <c r="O1231" s="636">
        <v>0</v>
      </c>
      <c r="P1231" s="637"/>
      <c r="Q1231" s="574"/>
      <c r="R1231" s="574"/>
      <c r="S1231" s="574"/>
    </row>
    <row r="1232" spans="1:19" ht="21.3">
      <c r="A1232" s="665"/>
      <c r="B1232" s="617"/>
      <c r="C1232" s="1125" t="s">
        <v>273</v>
      </c>
      <c r="D1232" s="1126"/>
      <c r="E1232" s="637">
        <f t="shared" si="398"/>
        <v>0</v>
      </c>
      <c r="F1232" s="625" t="s">
        <v>34</v>
      </c>
      <c r="G1232" s="2048">
        <v>69</v>
      </c>
      <c r="H1232" s="633">
        <f t="shared" ref="H1232" si="400">SUM(E1232*G1232)</f>
        <v>0</v>
      </c>
      <c r="I1232" s="2048">
        <v>28</v>
      </c>
      <c r="J1232" s="580">
        <f t="shared" si="392"/>
        <v>0</v>
      </c>
      <c r="K1232" s="631">
        <f t="shared" si="393"/>
        <v>0</v>
      </c>
      <c r="L1232" s="2049"/>
      <c r="M1232" s="574"/>
      <c r="N1232" s="667">
        <f t="shared" si="394"/>
        <v>0</v>
      </c>
      <c r="O1232" s="636">
        <v>0</v>
      </c>
      <c r="P1232" s="637"/>
      <c r="Q1232" s="574"/>
      <c r="R1232" s="574"/>
      <c r="S1232" s="574"/>
    </row>
    <row r="1233" spans="1:19" ht="21.3">
      <c r="A1233" s="665"/>
      <c r="B1233" s="617" t="s">
        <v>276</v>
      </c>
      <c r="C1233" s="1125" t="s">
        <v>277</v>
      </c>
      <c r="D1233" s="1126"/>
      <c r="E1233" s="637">
        <f t="shared" si="398"/>
        <v>0</v>
      </c>
      <c r="F1233" s="625" t="s">
        <v>34</v>
      </c>
      <c r="G1233" s="572">
        <v>492</v>
      </c>
      <c r="H1233" s="580">
        <f t="shared" ref="H1233" si="401">E1233*G1233</f>
        <v>0</v>
      </c>
      <c r="I1233" s="572">
        <v>130</v>
      </c>
      <c r="J1233" s="580">
        <f t="shared" si="392"/>
        <v>0</v>
      </c>
      <c r="K1233" s="631">
        <f t="shared" si="393"/>
        <v>0</v>
      </c>
      <c r="L1233" s="2049"/>
      <c r="M1233" s="574"/>
      <c r="N1233" s="667">
        <f t="shared" si="394"/>
        <v>0</v>
      </c>
      <c r="O1233" s="636">
        <v>0</v>
      </c>
      <c r="P1233" s="637"/>
      <c r="Q1233" s="574"/>
      <c r="R1233" s="574"/>
      <c r="S1233" s="574"/>
    </row>
    <row r="1234" spans="1:19" ht="21.3">
      <c r="A1234" s="665"/>
      <c r="B1234" s="617"/>
      <c r="C1234" s="1125" t="s">
        <v>278</v>
      </c>
      <c r="D1234" s="1126"/>
      <c r="E1234" s="637">
        <f t="shared" si="398"/>
        <v>0</v>
      </c>
      <c r="F1234" s="619"/>
      <c r="G1234" s="572"/>
      <c r="H1234" s="580"/>
      <c r="I1234" s="572"/>
      <c r="J1234" s="580">
        <f t="shared" si="392"/>
        <v>0</v>
      </c>
      <c r="K1234" s="631">
        <f t="shared" si="393"/>
        <v>0</v>
      </c>
      <c r="L1234" s="2049"/>
      <c r="M1234" s="574"/>
      <c r="N1234" s="629">
        <f t="shared" si="394"/>
        <v>0</v>
      </c>
      <c r="O1234" s="630">
        <v>0</v>
      </c>
      <c r="P1234" s="624"/>
      <c r="Q1234" s="574"/>
      <c r="R1234" s="574"/>
      <c r="S1234" s="574"/>
    </row>
    <row r="1235" spans="1:19" ht="21.3">
      <c r="A1235" s="665"/>
      <c r="B1235" s="617" t="s">
        <v>279</v>
      </c>
      <c r="C1235" s="1125" t="s">
        <v>280</v>
      </c>
      <c r="D1235" s="1126"/>
      <c r="E1235" s="637">
        <f t="shared" si="398"/>
        <v>0</v>
      </c>
      <c r="F1235" s="625" t="s">
        <v>34</v>
      </c>
      <c r="G1235" s="572">
        <v>256</v>
      </c>
      <c r="H1235" s="580">
        <f t="shared" ref="H1235" si="402">E1235*G1235</f>
        <v>0</v>
      </c>
      <c r="I1235" s="572">
        <v>100</v>
      </c>
      <c r="J1235" s="580">
        <f t="shared" si="392"/>
        <v>0</v>
      </c>
      <c r="K1235" s="631">
        <f t="shared" si="393"/>
        <v>0</v>
      </c>
      <c r="L1235" s="2049"/>
      <c r="M1235" s="574"/>
      <c r="N1235" s="667">
        <f t="shared" si="394"/>
        <v>0</v>
      </c>
      <c r="O1235" s="636">
        <v>0</v>
      </c>
      <c r="P1235" s="624"/>
      <c r="Q1235" s="574"/>
      <c r="R1235" s="574"/>
      <c r="S1235" s="574"/>
    </row>
    <row r="1236" spans="1:19" ht="21.3">
      <c r="A1236" s="665"/>
      <c r="B1236" s="617"/>
      <c r="C1236" s="1125" t="s">
        <v>281</v>
      </c>
      <c r="D1236" s="1126"/>
      <c r="E1236" s="637">
        <f t="shared" si="398"/>
        <v>0</v>
      </c>
      <c r="F1236" s="619"/>
      <c r="G1236" s="572"/>
      <c r="H1236" s="580"/>
      <c r="I1236" s="572"/>
      <c r="J1236" s="580">
        <f t="shared" si="392"/>
        <v>0</v>
      </c>
      <c r="K1236" s="631">
        <f t="shared" si="393"/>
        <v>0</v>
      </c>
      <c r="L1236" s="2049"/>
      <c r="M1236" s="574"/>
      <c r="N1236" s="629">
        <f t="shared" si="394"/>
        <v>0</v>
      </c>
      <c r="O1236" s="630">
        <v>0</v>
      </c>
      <c r="P1236" s="624"/>
      <c r="Q1236" s="574"/>
      <c r="R1236" s="574"/>
      <c r="S1236" s="574"/>
    </row>
    <row r="1237" spans="1:19" ht="21.3">
      <c r="A1237" s="665"/>
      <c r="B1237" s="617"/>
      <c r="C1237" s="1125"/>
      <c r="D1237" s="1126"/>
      <c r="E1237" s="637"/>
      <c r="F1237" s="619"/>
      <c r="G1237" s="572"/>
      <c r="H1237" s="580"/>
      <c r="I1237" s="572"/>
      <c r="J1237" s="580"/>
      <c r="K1237" s="631"/>
      <c r="L1237" s="2049"/>
      <c r="M1237" s="574"/>
      <c r="N1237" s="629"/>
      <c r="O1237" s="630"/>
      <c r="P1237" s="624"/>
      <c r="Q1237" s="574"/>
      <c r="R1237" s="574"/>
      <c r="S1237" s="574"/>
    </row>
    <row r="1238" spans="1:19" ht="21.3">
      <c r="A1238" s="665"/>
      <c r="B1238" s="617"/>
      <c r="C1238" s="1125"/>
      <c r="D1238" s="1126"/>
      <c r="E1238" s="637"/>
      <c r="F1238" s="619"/>
      <c r="G1238" s="572"/>
      <c r="H1238" s="580"/>
      <c r="I1238" s="572"/>
      <c r="J1238" s="580"/>
      <c r="K1238" s="631"/>
      <c r="L1238" s="2049"/>
      <c r="M1238" s="574"/>
      <c r="N1238" s="629"/>
      <c r="O1238" s="630"/>
      <c r="P1238" s="624"/>
      <c r="Q1238" s="574"/>
      <c r="R1238" s="574"/>
      <c r="S1238" s="574"/>
    </row>
    <row r="1239" spans="1:19" ht="21.3">
      <c r="A1239" s="665"/>
      <c r="B1239" s="617" t="s">
        <v>282</v>
      </c>
      <c r="C1239" s="1125" t="s">
        <v>280</v>
      </c>
      <c r="D1239" s="1126"/>
      <c r="E1239" s="637">
        <f t="shared" si="398"/>
        <v>0</v>
      </c>
      <c r="F1239" s="625" t="s">
        <v>34</v>
      </c>
      <c r="G1239" s="572">
        <v>256</v>
      </c>
      <c r="H1239" s="580">
        <f t="shared" ref="H1239" si="403">E1239*G1239</f>
        <v>0</v>
      </c>
      <c r="I1239" s="572">
        <v>100</v>
      </c>
      <c r="J1239" s="580">
        <f t="shared" si="392"/>
        <v>0</v>
      </c>
      <c r="K1239" s="631">
        <f t="shared" si="393"/>
        <v>0</v>
      </c>
      <c r="L1239" s="2049"/>
      <c r="M1239" s="574"/>
      <c r="N1239" s="667">
        <f t="shared" si="394"/>
        <v>0</v>
      </c>
      <c r="O1239" s="636">
        <v>0</v>
      </c>
      <c r="P1239" s="637"/>
      <c r="Q1239" s="574"/>
      <c r="R1239" s="574"/>
      <c r="S1239" s="574"/>
    </row>
    <row r="1240" spans="1:19" ht="21.3">
      <c r="A1240" s="665"/>
      <c r="B1240" s="617"/>
      <c r="C1240" s="1125" t="s">
        <v>281</v>
      </c>
      <c r="D1240" s="1126"/>
      <c r="E1240" s="637">
        <f t="shared" si="398"/>
        <v>0</v>
      </c>
      <c r="F1240" s="619"/>
      <c r="G1240" s="572"/>
      <c r="H1240" s="580"/>
      <c r="I1240" s="572"/>
      <c r="J1240" s="580">
        <f t="shared" si="392"/>
        <v>0</v>
      </c>
      <c r="K1240" s="631">
        <f t="shared" si="393"/>
        <v>0</v>
      </c>
      <c r="L1240" s="1062"/>
      <c r="M1240" s="574"/>
      <c r="N1240" s="629">
        <f t="shared" si="394"/>
        <v>0</v>
      </c>
      <c r="O1240" s="630">
        <v>0</v>
      </c>
      <c r="P1240" s="624"/>
      <c r="Q1240" s="574"/>
      <c r="R1240" s="574"/>
      <c r="S1240" s="574"/>
    </row>
    <row r="1241" spans="1:19" ht="21.3">
      <c r="A1241" s="665"/>
      <c r="B1241" s="617"/>
      <c r="C1241" s="1125" t="s">
        <v>283</v>
      </c>
      <c r="D1241" s="1126"/>
      <c r="E1241" s="637">
        <f t="shared" si="398"/>
        <v>0</v>
      </c>
      <c r="F1241" s="625" t="s">
        <v>34</v>
      </c>
      <c r="G1241" s="2048">
        <v>69</v>
      </c>
      <c r="H1241" s="633">
        <f t="shared" ref="H1241" si="404">SUM(E1241*G1241)</f>
        <v>0</v>
      </c>
      <c r="I1241" s="2048">
        <v>28</v>
      </c>
      <c r="J1241" s="580">
        <f t="shared" si="392"/>
        <v>0</v>
      </c>
      <c r="K1241" s="631">
        <f t="shared" si="393"/>
        <v>0</v>
      </c>
      <c r="L1241" s="2049"/>
      <c r="M1241" s="574"/>
      <c r="N1241" s="667">
        <f t="shared" si="394"/>
        <v>0</v>
      </c>
      <c r="O1241" s="636">
        <v>0</v>
      </c>
      <c r="P1241" s="637"/>
      <c r="Q1241" s="574"/>
      <c r="R1241" s="574"/>
      <c r="S1241" s="574"/>
    </row>
    <row r="1242" spans="1:19" ht="21.3">
      <c r="A1242" s="665"/>
      <c r="B1242" s="617" t="s">
        <v>284</v>
      </c>
      <c r="C1242" s="1125" t="s">
        <v>280</v>
      </c>
      <c r="D1242" s="1126"/>
      <c r="E1242" s="637">
        <f t="shared" si="398"/>
        <v>0</v>
      </c>
      <c r="F1242" s="625" t="s">
        <v>34</v>
      </c>
      <c r="G1242" s="572">
        <v>592</v>
      </c>
      <c r="H1242" s="580">
        <f t="shared" ref="H1242" si="405">E1242*G1242</f>
        <v>0</v>
      </c>
      <c r="I1242" s="572">
        <v>165</v>
      </c>
      <c r="J1242" s="580">
        <f t="shared" si="392"/>
        <v>0</v>
      </c>
      <c r="K1242" s="631">
        <f t="shared" si="393"/>
        <v>0</v>
      </c>
      <c r="L1242" s="2049"/>
      <c r="M1242" s="574"/>
      <c r="N1242" s="667">
        <f t="shared" si="394"/>
        <v>0</v>
      </c>
      <c r="O1242" s="636">
        <v>0</v>
      </c>
      <c r="P1242" s="637"/>
      <c r="Q1242" s="574"/>
      <c r="R1242" s="574"/>
      <c r="S1242" s="574"/>
    </row>
    <row r="1243" spans="1:19" ht="21.3">
      <c r="A1243" s="665"/>
      <c r="B1243" s="617"/>
      <c r="C1243" s="1125" t="s">
        <v>285</v>
      </c>
      <c r="D1243" s="1126"/>
      <c r="E1243" s="637">
        <f t="shared" si="398"/>
        <v>0</v>
      </c>
      <c r="F1243" s="619"/>
      <c r="G1243" s="572"/>
      <c r="H1243" s="580"/>
      <c r="I1243" s="572"/>
      <c r="J1243" s="580">
        <f t="shared" si="392"/>
        <v>0</v>
      </c>
      <c r="K1243" s="631">
        <f t="shared" si="393"/>
        <v>0</v>
      </c>
      <c r="L1243" s="1062"/>
      <c r="M1243" s="574"/>
      <c r="N1243" s="629">
        <f t="shared" si="394"/>
        <v>0</v>
      </c>
      <c r="O1243" s="630">
        <v>0</v>
      </c>
      <c r="P1243" s="624"/>
      <c r="Q1243" s="574"/>
      <c r="R1243" s="574"/>
      <c r="S1243" s="574"/>
    </row>
    <row r="1244" spans="1:19" ht="21.3">
      <c r="A1244" s="665"/>
      <c r="B1244" s="617" t="s">
        <v>286</v>
      </c>
      <c r="C1244" s="1125" t="s">
        <v>280</v>
      </c>
      <c r="D1244" s="1126"/>
      <c r="E1244" s="637">
        <f t="shared" si="398"/>
        <v>0</v>
      </c>
      <c r="F1244" s="625" t="s">
        <v>34</v>
      </c>
      <c r="G1244" s="572">
        <v>642</v>
      </c>
      <c r="H1244" s="580">
        <f t="shared" ref="H1244" si="406">E1244*G1244</f>
        <v>0</v>
      </c>
      <c r="I1244" s="572">
        <v>183</v>
      </c>
      <c r="J1244" s="580">
        <f t="shared" si="392"/>
        <v>0</v>
      </c>
      <c r="K1244" s="631">
        <f t="shared" si="393"/>
        <v>0</v>
      </c>
      <c r="L1244" s="2049"/>
      <c r="M1244" s="574"/>
      <c r="N1244" s="667">
        <f t="shared" si="394"/>
        <v>0</v>
      </c>
      <c r="O1244" s="636">
        <v>0</v>
      </c>
      <c r="P1244" s="637"/>
      <c r="Q1244" s="574"/>
      <c r="R1244" s="574"/>
      <c r="S1244" s="574"/>
    </row>
    <row r="1245" spans="1:19" ht="21.3">
      <c r="A1245" s="665"/>
      <c r="B1245" s="617"/>
      <c r="C1245" s="1125" t="s">
        <v>287</v>
      </c>
      <c r="D1245" s="1126"/>
      <c r="E1245" s="637">
        <f t="shared" si="398"/>
        <v>0</v>
      </c>
      <c r="F1245" s="619"/>
      <c r="G1245" s="572"/>
      <c r="H1245" s="580"/>
      <c r="I1245" s="572"/>
      <c r="J1245" s="580">
        <f t="shared" si="392"/>
        <v>0</v>
      </c>
      <c r="K1245" s="631">
        <f t="shared" si="393"/>
        <v>0</v>
      </c>
      <c r="L1245" s="1073"/>
      <c r="M1245" s="574"/>
      <c r="N1245" s="629">
        <f t="shared" si="394"/>
        <v>0</v>
      </c>
      <c r="O1245" s="630">
        <v>0</v>
      </c>
      <c r="P1245" s="624"/>
      <c r="Q1245" s="574"/>
      <c r="R1245" s="574"/>
      <c r="S1245" s="574"/>
    </row>
    <row r="1246" spans="1:19" ht="21.3">
      <c r="A1246" s="665"/>
      <c r="B1246" s="617"/>
      <c r="C1246" s="1125" t="s">
        <v>288</v>
      </c>
      <c r="D1246" s="1126"/>
      <c r="E1246" s="637">
        <f t="shared" si="398"/>
        <v>0</v>
      </c>
      <c r="F1246" s="619"/>
      <c r="G1246" s="572"/>
      <c r="H1246" s="580"/>
      <c r="I1246" s="572"/>
      <c r="J1246" s="580">
        <f t="shared" si="392"/>
        <v>0</v>
      </c>
      <c r="K1246" s="631">
        <f t="shared" si="393"/>
        <v>0</v>
      </c>
      <c r="L1246" s="1073"/>
      <c r="M1246" s="574"/>
      <c r="N1246" s="629">
        <f t="shared" si="394"/>
        <v>0</v>
      </c>
      <c r="O1246" s="630">
        <v>0</v>
      </c>
      <c r="P1246" s="624"/>
      <c r="Q1246" s="574"/>
      <c r="R1246" s="574"/>
      <c r="S1246" s="574"/>
    </row>
    <row r="1247" spans="1:19" ht="21.3">
      <c r="A1247" s="665"/>
      <c r="B1247" s="617" t="s">
        <v>289</v>
      </c>
      <c r="C1247" s="1125" t="s">
        <v>280</v>
      </c>
      <c r="D1247" s="1126"/>
      <c r="E1247" s="637">
        <f t="shared" si="398"/>
        <v>0</v>
      </c>
      <c r="F1247" s="625" t="s">
        <v>34</v>
      </c>
      <c r="G1247" s="572">
        <v>520</v>
      </c>
      <c r="H1247" s="580">
        <f t="shared" ref="H1247" si="407">E1247*G1247</f>
        <v>0</v>
      </c>
      <c r="I1247" s="572">
        <v>270</v>
      </c>
      <c r="J1247" s="580">
        <f t="shared" si="392"/>
        <v>0</v>
      </c>
      <c r="K1247" s="631">
        <f t="shared" si="393"/>
        <v>0</v>
      </c>
      <c r="L1247" s="1074"/>
      <c r="M1247" s="574"/>
      <c r="N1247" s="667">
        <f t="shared" si="394"/>
        <v>0</v>
      </c>
      <c r="O1247" s="636">
        <v>0</v>
      </c>
      <c r="P1247" s="637"/>
      <c r="Q1247" s="574"/>
      <c r="R1247" s="574"/>
      <c r="S1247" s="574"/>
    </row>
    <row r="1248" spans="1:19" ht="21.3">
      <c r="A1248" s="665"/>
      <c r="B1248" s="617"/>
      <c r="C1248" s="1125" t="s">
        <v>290</v>
      </c>
      <c r="D1248" s="1126"/>
      <c r="E1248" s="637">
        <f t="shared" si="398"/>
        <v>0</v>
      </c>
      <c r="F1248" s="619"/>
      <c r="G1248" s="572"/>
      <c r="H1248" s="580"/>
      <c r="I1248" s="572"/>
      <c r="J1248" s="580">
        <f t="shared" si="392"/>
        <v>0</v>
      </c>
      <c r="K1248" s="631">
        <f t="shared" si="393"/>
        <v>0</v>
      </c>
      <c r="L1248" s="1073"/>
      <c r="M1248" s="574"/>
      <c r="N1248" s="629">
        <f t="shared" si="394"/>
        <v>0</v>
      </c>
      <c r="O1248" s="630">
        <v>0</v>
      </c>
      <c r="P1248" s="624"/>
      <c r="Q1248" s="574"/>
      <c r="R1248" s="574"/>
      <c r="S1248" s="574"/>
    </row>
    <row r="1249" spans="1:19" ht="21.3">
      <c r="A1249" s="665"/>
      <c r="B1249" s="617" t="s">
        <v>291</v>
      </c>
      <c r="C1249" s="1125" t="s">
        <v>280</v>
      </c>
      <c r="D1249" s="1126"/>
      <c r="E1249" s="637">
        <f t="shared" si="398"/>
        <v>0</v>
      </c>
      <c r="F1249" s="625" t="s">
        <v>34</v>
      </c>
      <c r="G1249" s="572">
        <v>256</v>
      </c>
      <c r="H1249" s="580">
        <f t="shared" ref="H1249:H1250" si="408">E1249*G1249</f>
        <v>0</v>
      </c>
      <c r="I1249" s="572">
        <v>100</v>
      </c>
      <c r="J1249" s="580">
        <f t="shared" si="392"/>
        <v>0</v>
      </c>
      <c r="K1249" s="631">
        <f t="shared" si="393"/>
        <v>0</v>
      </c>
      <c r="L1249" s="2049"/>
      <c r="M1249" s="574"/>
      <c r="N1249" s="667">
        <f t="shared" si="394"/>
        <v>0</v>
      </c>
      <c r="O1249" s="636">
        <v>0</v>
      </c>
      <c r="P1249" s="637"/>
      <c r="Q1249" s="574"/>
      <c r="R1249" s="574"/>
      <c r="S1249" s="574"/>
    </row>
    <row r="1250" spans="1:19" ht="21.3">
      <c r="A1250" s="665"/>
      <c r="B1250" s="617"/>
      <c r="C1250" s="1125" t="s">
        <v>292</v>
      </c>
      <c r="D1250" s="1126"/>
      <c r="E1250" s="637">
        <f t="shared" si="398"/>
        <v>0</v>
      </c>
      <c r="F1250" s="619"/>
      <c r="G1250" s="572">
        <v>0</v>
      </c>
      <c r="H1250" s="580">
        <f t="shared" si="408"/>
        <v>0</v>
      </c>
      <c r="I1250" s="572">
        <v>0</v>
      </c>
      <c r="J1250" s="580">
        <f t="shared" si="392"/>
        <v>0</v>
      </c>
      <c r="K1250" s="631">
        <f t="shared" si="393"/>
        <v>0</v>
      </c>
      <c r="L1250" s="1073"/>
      <c r="M1250" s="574"/>
      <c r="N1250" s="629">
        <f t="shared" si="394"/>
        <v>0</v>
      </c>
      <c r="O1250" s="630">
        <v>0</v>
      </c>
      <c r="P1250" s="624"/>
      <c r="Q1250" s="574"/>
      <c r="R1250" s="574"/>
      <c r="S1250" s="574"/>
    </row>
    <row r="1251" spans="1:19" ht="21.3">
      <c r="A1251" s="665"/>
      <c r="B1251" s="617"/>
      <c r="C1251" s="1125" t="s">
        <v>293</v>
      </c>
      <c r="D1251" s="1126"/>
      <c r="E1251" s="637">
        <f t="shared" si="398"/>
        <v>0</v>
      </c>
      <c r="F1251" s="625" t="s">
        <v>34</v>
      </c>
      <c r="G1251" s="666">
        <v>520</v>
      </c>
      <c r="H1251" s="580"/>
      <c r="I1251" s="666">
        <v>30</v>
      </c>
      <c r="J1251" s="580">
        <f t="shared" si="392"/>
        <v>0</v>
      </c>
      <c r="K1251" s="631">
        <f t="shared" si="393"/>
        <v>0</v>
      </c>
      <c r="L1251" s="1073"/>
      <c r="M1251" s="574"/>
      <c r="N1251" s="629">
        <f t="shared" si="394"/>
        <v>0</v>
      </c>
      <c r="O1251" s="630">
        <v>0</v>
      </c>
      <c r="P1251" s="624"/>
      <c r="Q1251" s="574"/>
      <c r="R1251" s="574"/>
      <c r="S1251" s="574"/>
    </row>
    <row r="1252" spans="1:19" ht="21.3">
      <c r="A1252" s="665"/>
      <c r="B1252" s="617" t="s">
        <v>294</v>
      </c>
      <c r="C1252" s="1125" t="s">
        <v>295</v>
      </c>
      <c r="D1252" s="1126"/>
      <c r="E1252" s="637">
        <f t="shared" si="398"/>
        <v>0</v>
      </c>
      <c r="F1252" s="625" t="s">
        <v>34</v>
      </c>
      <c r="G1252" s="666">
        <v>91</v>
      </c>
      <c r="H1252" s="633">
        <f>SUM(E1252*G1252)</f>
        <v>0</v>
      </c>
      <c r="I1252" s="666">
        <v>100</v>
      </c>
      <c r="J1252" s="580">
        <f t="shared" si="392"/>
        <v>0</v>
      </c>
      <c r="K1252" s="631">
        <f t="shared" si="393"/>
        <v>0</v>
      </c>
      <c r="L1252" s="1062"/>
      <c r="M1252" s="574"/>
      <c r="N1252" s="667">
        <f t="shared" si="394"/>
        <v>0</v>
      </c>
      <c r="O1252" s="636">
        <v>0</v>
      </c>
      <c r="P1252" s="637"/>
      <c r="Q1252" s="574"/>
      <c r="R1252" s="574"/>
      <c r="S1252" s="574"/>
    </row>
    <row r="1253" spans="1:19" ht="21.3">
      <c r="A1253" s="665"/>
      <c r="B1253" s="617" t="s">
        <v>296</v>
      </c>
      <c r="C1253" s="1125" t="s">
        <v>297</v>
      </c>
      <c r="D1253" s="1126"/>
      <c r="E1253" s="637">
        <f t="shared" si="398"/>
        <v>0</v>
      </c>
      <c r="F1253" s="625" t="s">
        <v>34</v>
      </c>
      <c r="G1253" s="666">
        <v>294</v>
      </c>
      <c r="H1253" s="633">
        <f t="shared" ref="H1253:H1260" si="409">SUM(E1253*G1253)</f>
        <v>0</v>
      </c>
      <c r="I1253" s="666">
        <v>189</v>
      </c>
      <c r="J1253" s="580">
        <f t="shared" si="392"/>
        <v>0</v>
      </c>
      <c r="K1253" s="631">
        <f t="shared" si="393"/>
        <v>0</v>
      </c>
      <c r="L1253" s="1073"/>
      <c r="M1253" s="574"/>
      <c r="N1253" s="667">
        <f t="shared" si="394"/>
        <v>0</v>
      </c>
      <c r="O1253" s="636">
        <v>0</v>
      </c>
      <c r="P1253" s="637"/>
      <c r="Q1253" s="574"/>
      <c r="R1253" s="574"/>
      <c r="S1253" s="574"/>
    </row>
    <row r="1254" spans="1:19" ht="21.3">
      <c r="A1254" s="665"/>
      <c r="B1254" s="617" t="s">
        <v>298</v>
      </c>
      <c r="C1254" s="1125" t="s">
        <v>299</v>
      </c>
      <c r="D1254" s="1126"/>
      <c r="E1254" s="637"/>
      <c r="F1254" s="625" t="s">
        <v>34</v>
      </c>
      <c r="G1254" s="666">
        <v>608</v>
      </c>
      <c r="H1254" s="633">
        <f t="shared" si="409"/>
        <v>0</v>
      </c>
      <c r="I1254" s="666">
        <v>189</v>
      </c>
      <c r="J1254" s="580">
        <f t="shared" si="392"/>
        <v>0</v>
      </c>
      <c r="K1254" s="631">
        <f t="shared" si="393"/>
        <v>0</v>
      </c>
      <c r="L1254" s="1073"/>
      <c r="M1254" s="574"/>
      <c r="N1254" s="667">
        <f t="shared" si="394"/>
        <v>764.16</v>
      </c>
      <c r="O1254" s="636">
        <v>0</v>
      </c>
      <c r="P1254" s="637">
        <v>764.16</v>
      </c>
      <c r="Q1254" s="574"/>
      <c r="R1254" s="574"/>
      <c r="S1254" s="574"/>
    </row>
    <row r="1255" spans="1:19" ht="21.3">
      <c r="A1255" s="665"/>
      <c r="B1255" s="623" t="s">
        <v>2549</v>
      </c>
      <c r="C1255" s="1125" t="s">
        <v>299</v>
      </c>
      <c r="D1255" s="1126"/>
      <c r="E1255" s="637">
        <f t="shared" si="398"/>
        <v>764.16</v>
      </c>
      <c r="F1255" s="625" t="s">
        <v>34</v>
      </c>
      <c r="G1255" s="666">
        <v>399</v>
      </c>
      <c r="H1255" s="633">
        <f t="shared" si="409"/>
        <v>304899.83999999997</v>
      </c>
      <c r="I1255" s="666">
        <v>189</v>
      </c>
      <c r="J1255" s="580">
        <f t="shared" si="392"/>
        <v>144426.23999999999</v>
      </c>
      <c r="K1255" s="631">
        <f t="shared" si="393"/>
        <v>449326.07999999996</v>
      </c>
      <c r="L1255" s="1073"/>
      <c r="M1255" s="574"/>
      <c r="N1255" s="667">
        <f t="shared" si="394"/>
        <v>764.16</v>
      </c>
      <c r="O1255" s="636">
        <v>0</v>
      </c>
      <c r="P1255" s="637">
        <v>764.16</v>
      </c>
      <c r="Q1255" s="574"/>
      <c r="R1255" s="574"/>
      <c r="S1255" s="574"/>
    </row>
    <row r="1256" spans="1:19" ht="21.3">
      <c r="A1256" s="665"/>
      <c r="B1256" s="617" t="s">
        <v>300</v>
      </c>
      <c r="C1256" s="1125" t="s">
        <v>301</v>
      </c>
      <c r="D1256" s="1126"/>
      <c r="E1256" s="637">
        <f t="shared" si="398"/>
        <v>0</v>
      </c>
      <c r="F1256" s="625" t="s">
        <v>34</v>
      </c>
      <c r="G1256" s="666">
        <v>88</v>
      </c>
      <c r="H1256" s="633">
        <f t="shared" si="409"/>
        <v>0</v>
      </c>
      <c r="I1256" s="666">
        <v>82</v>
      </c>
      <c r="J1256" s="580">
        <f t="shared" si="392"/>
        <v>0</v>
      </c>
      <c r="K1256" s="631">
        <f t="shared" si="393"/>
        <v>0</v>
      </c>
      <c r="L1256" s="1062"/>
      <c r="M1256" s="574"/>
      <c r="N1256" s="667">
        <f t="shared" si="394"/>
        <v>0</v>
      </c>
      <c r="O1256" s="636">
        <v>0</v>
      </c>
      <c r="P1256" s="637"/>
      <c r="Q1256" s="574"/>
      <c r="R1256" s="574"/>
      <c r="S1256" s="574"/>
    </row>
    <row r="1257" spans="1:19" ht="21.3">
      <c r="A1257" s="665"/>
      <c r="B1257" s="617"/>
      <c r="C1257" s="1125" t="s">
        <v>302</v>
      </c>
      <c r="D1257" s="1126"/>
      <c r="E1257" s="637">
        <f t="shared" si="398"/>
        <v>0</v>
      </c>
      <c r="F1257" s="625" t="s">
        <v>34</v>
      </c>
      <c r="G1257" s="2048">
        <v>69</v>
      </c>
      <c r="H1257" s="633">
        <f t="shared" si="409"/>
        <v>0</v>
      </c>
      <c r="I1257" s="2048">
        <v>28</v>
      </c>
      <c r="J1257" s="580">
        <f t="shared" si="392"/>
        <v>0</v>
      </c>
      <c r="K1257" s="631">
        <f t="shared" si="393"/>
        <v>0</v>
      </c>
      <c r="L1257" s="1062"/>
      <c r="M1257" s="574"/>
      <c r="N1257" s="667">
        <f t="shared" si="394"/>
        <v>0</v>
      </c>
      <c r="O1257" s="636">
        <v>0</v>
      </c>
      <c r="P1257" s="637"/>
      <c r="Q1257" s="574"/>
      <c r="R1257" s="574"/>
      <c r="S1257" s="574"/>
    </row>
    <row r="1258" spans="1:19" ht="21.3">
      <c r="A1258" s="665"/>
      <c r="B1258" s="617" t="s">
        <v>303</v>
      </c>
      <c r="C1258" s="1125" t="s">
        <v>304</v>
      </c>
      <c r="D1258" s="1126"/>
      <c r="E1258" s="637"/>
      <c r="F1258" s="625" t="s">
        <v>34</v>
      </c>
      <c r="G1258" s="666">
        <v>870</v>
      </c>
      <c r="H1258" s="633">
        <f t="shared" si="409"/>
        <v>0</v>
      </c>
      <c r="I1258" s="666">
        <v>242</v>
      </c>
      <c r="J1258" s="580">
        <f t="shared" si="392"/>
        <v>0</v>
      </c>
      <c r="K1258" s="631">
        <f t="shared" si="393"/>
        <v>0</v>
      </c>
      <c r="L1258" s="1073"/>
      <c r="M1258" s="574"/>
      <c r="N1258" s="667">
        <f t="shared" si="394"/>
        <v>174.8</v>
      </c>
      <c r="O1258" s="636">
        <v>0</v>
      </c>
      <c r="P1258" s="637">
        <v>174.8</v>
      </c>
      <c r="Q1258" s="574"/>
      <c r="R1258" s="574"/>
      <c r="S1258" s="574"/>
    </row>
    <row r="1259" spans="1:19" ht="21.3">
      <c r="A1259" s="665"/>
      <c r="B1259" s="617"/>
      <c r="C1259" s="1125" t="s">
        <v>305</v>
      </c>
      <c r="D1259" s="1126"/>
      <c r="E1259" s="637">
        <f t="shared" ref="E1259" si="410">+N1259</f>
        <v>0</v>
      </c>
      <c r="F1259" s="619"/>
      <c r="G1259" s="572"/>
      <c r="H1259" s="580"/>
      <c r="I1259" s="572"/>
      <c r="J1259" s="580">
        <f t="shared" si="392"/>
        <v>0</v>
      </c>
      <c r="K1259" s="631">
        <f t="shared" si="393"/>
        <v>0</v>
      </c>
      <c r="L1259" s="1073"/>
      <c r="M1259" s="574"/>
      <c r="N1259" s="629">
        <f t="shared" si="394"/>
        <v>0</v>
      </c>
      <c r="O1259" s="630">
        <v>0</v>
      </c>
      <c r="P1259" s="624"/>
      <c r="Q1259" s="574"/>
      <c r="R1259" s="574"/>
      <c r="S1259" s="574"/>
    </row>
    <row r="1260" spans="1:19" ht="21.3">
      <c r="A1260" s="665"/>
      <c r="B1260" s="623" t="s">
        <v>2550</v>
      </c>
      <c r="C1260" s="1125" t="s">
        <v>304</v>
      </c>
      <c r="D1260" s="1126"/>
      <c r="E1260" s="637">
        <f t="shared" si="398"/>
        <v>174.8</v>
      </c>
      <c r="F1260" s="625" t="s">
        <v>34</v>
      </c>
      <c r="G1260" s="666">
        <v>765</v>
      </c>
      <c r="H1260" s="633">
        <f t="shared" si="409"/>
        <v>133722</v>
      </c>
      <c r="I1260" s="666">
        <v>242</v>
      </c>
      <c r="J1260" s="580">
        <f t="shared" si="392"/>
        <v>42301.600000000006</v>
      </c>
      <c r="K1260" s="631">
        <f t="shared" si="393"/>
        <v>176023.6</v>
      </c>
      <c r="L1260" s="1073"/>
      <c r="M1260" s="574"/>
      <c r="N1260" s="667">
        <f t="shared" si="394"/>
        <v>174.8</v>
      </c>
      <c r="O1260" s="636">
        <v>0</v>
      </c>
      <c r="P1260" s="637">
        <v>174.8</v>
      </c>
      <c r="Q1260" s="574"/>
      <c r="R1260" s="574"/>
      <c r="S1260" s="574"/>
    </row>
    <row r="1261" spans="1:19" ht="21.3">
      <c r="A1261" s="665"/>
      <c r="B1261" s="617"/>
      <c r="C1261" s="1125" t="s">
        <v>305</v>
      </c>
      <c r="D1261" s="1126"/>
      <c r="E1261" s="637">
        <f t="shared" si="398"/>
        <v>0</v>
      </c>
      <c r="F1261" s="619"/>
      <c r="G1261" s="572"/>
      <c r="H1261" s="580"/>
      <c r="I1261" s="572"/>
      <c r="J1261" s="580">
        <f t="shared" si="392"/>
        <v>0</v>
      </c>
      <c r="K1261" s="631">
        <f t="shared" si="393"/>
        <v>0</v>
      </c>
      <c r="L1261" s="1073"/>
      <c r="M1261" s="574"/>
      <c r="N1261" s="629">
        <f t="shared" si="394"/>
        <v>0</v>
      </c>
      <c r="O1261" s="630">
        <v>0</v>
      </c>
      <c r="P1261" s="624"/>
      <c r="Q1261" s="574"/>
      <c r="R1261" s="574"/>
      <c r="S1261" s="574"/>
    </row>
    <row r="1262" spans="1:19" ht="21.3">
      <c r="A1262" s="665"/>
      <c r="B1262" s="617" t="s">
        <v>306</v>
      </c>
      <c r="C1262" s="1125" t="s">
        <v>307</v>
      </c>
      <c r="D1262" s="1126"/>
      <c r="E1262" s="637">
        <f t="shared" si="398"/>
        <v>0</v>
      </c>
      <c r="F1262" s="625" t="s">
        <v>34</v>
      </c>
      <c r="G1262" s="666"/>
      <c r="H1262" s="633">
        <v>0</v>
      </c>
      <c r="I1262" s="666"/>
      <c r="J1262" s="580">
        <f t="shared" si="392"/>
        <v>0</v>
      </c>
      <c r="K1262" s="631">
        <f t="shared" si="393"/>
        <v>0</v>
      </c>
      <c r="L1262" s="1073"/>
      <c r="M1262" s="574"/>
      <c r="N1262" s="667">
        <f t="shared" si="394"/>
        <v>0</v>
      </c>
      <c r="O1262" s="636">
        <v>0</v>
      </c>
      <c r="P1262" s="637"/>
      <c r="Q1262" s="574"/>
      <c r="R1262" s="574"/>
      <c r="S1262" s="574"/>
    </row>
    <row r="1263" spans="1:19" ht="21.3">
      <c r="A1263" s="665"/>
      <c r="B1263" s="617" t="s">
        <v>308</v>
      </c>
      <c r="C1263" s="617" t="s">
        <v>309</v>
      </c>
      <c r="D1263" s="617"/>
      <c r="E1263" s="637">
        <f t="shared" si="398"/>
        <v>0</v>
      </c>
      <c r="F1263" s="625" t="s">
        <v>34</v>
      </c>
      <c r="G1263" s="666">
        <v>1296</v>
      </c>
      <c r="H1263" s="633">
        <f t="shared" ref="H1263:H1274" si="411">SUM(E1263*G1263)</f>
        <v>0</v>
      </c>
      <c r="I1263" s="666">
        <v>1600</v>
      </c>
      <c r="J1263" s="580">
        <f t="shared" si="392"/>
        <v>0</v>
      </c>
      <c r="K1263" s="631">
        <f t="shared" si="393"/>
        <v>0</v>
      </c>
      <c r="L1263" s="1073"/>
      <c r="M1263" s="574"/>
      <c r="N1263" s="667">
        <f t="shared" si="394"/>
        <v>0</v>
      </c>
      <c r="O1263" s="636">
        <v>0</v>
      </c>
      <c r="P1263" s="637"/>
      <c r="Q1263" s="574"/>
      <c r="R1263" s="574"/>
      <c r="S1263" s="574"/>
    </row>
    <row r="1264" spans="1:19" ht="21.3">
      <c r="A1264" s="665"/>
      <c r="B1264" s="617"/>
      <c r="C1264" s="617" t="s">
        <v>310</v>
      </c>
      <c r="D1264" s="617"/>
      <c r="E1264" s="637">
        <f t="shared" si="398"/>
        <v>0</v>
      </c>
      <c r="F1264" s="619"/>
      <c r="G1264" s="666"/>
      <c r="H1264" s="633">
        <f t="shared" si="411"/>
        <v>0</v>
      </c>
      <c r="I1264" s="666"/>
      <c r="J1264" s="580">
        <f t="shared" si="392"/>
        <v>0</v>
      </c>
      <c r="K1264" s="631">
        <f t="shared" si="393"/>
        <v>0</v>
      </c>
      <c r="L1264" s="1073"/>
      <c r="M1264" s="574"/>
      <c r="N1264" s="629">
        <f t="shared" si="394"/>
        <v>0</v>
      </c>
      <c r="O1264" s="630">
        <v>0</v>
      </c>
      <c r="P1264" s="624"/>
      <c r="Q1264" s="574"/>
      <c r="R1264" s="574"/>
      <c r="S1264" s="574"/>
    </row>
    <row r="1265" spans="1:19" ht="21.3">
      <c r="A1265" s="665"/>
      <c r="B1265" s="617" t="s">
        <v>311</v>
      </c>
      <c r="C1265" s="1125" t="s">
        <v>312</v>
      </c>
      <c r="D1265" s="1126"/>
      <c r="E1265" s="637">
        <f t="shared" si="398"/>
        <v>0</v>
      </c>
      <c r="F1265" s="625" t="s">
        <v>34</v>
      </c>
      <c r="G1265" s="666"/>
      <c r="H1265" s="633">
        <f t="shared" si="411"/>
        <v>0</v>
      </c>
      <c r="I1265" s="666"/>
      <c r="J1265" s="580">
        <f t="shared" si="392"/>
        <v>0</v>
      </c>
      <c r="K1265" s="631">
        <f t="shared" si="393"/>
        <v>0</v>
      </c>
      <c r="L1265" s="1073"/>
      <c r="M1265" s="574"/>
      <c r="N1265" s="667">
        <f t="shared" si="394"/>
        <v>0</v>
      </c>
      <c r="O1265" s="636">
        <v>0</v>
      </c>
      <c r="P1265" s="637"/>
      <c r="Q1265" s="574"/>
      <c r="R1265" s="574"/>
      <c r="S1265" s="574"/>
    </row>
    <row r="1266" spans="1:19" ht="21.3">
      <c r="A1266" s="665"/>
      <c r="B1266" s="617" t="s">
        <v>313</v>
      </c>
      <c r="C1266" s="1125" t="s">
        <v>314</v>
      </c>
      <c r="D1266" s="1126"/>
      <c r="E1266" s="637">
        <f t="shared" si="398"/>
        <v>0</v>
      </c>
      <c r="F1266" s="625" t="s">
        <v>34</v>
      </c>
      <c r="G1266" s="666"/>
      <c r="H1266" s="633">
        <f t="shared" si="411"/>
        <v>0</v>
      </c>
      <c r="I1266" s="666"/>
      <c r="J1266" s="580">
        <f t="shared" si="392"/>
        <v>0</v>
      </c>
      <c r="K1266" s="631">
        <f t="shared" si="393"/>
        <v>0</v>
      </c>
      <c r="L1266" s="1073"/>
      <c r="M1266" s="574"/>
      <c r="N1266" s="667">
        <f t="shared" si="394"/>
        <v>0</v>
      </c>
      <c r="O1266" s="636">
        <v>0</v>
      </c>
      <c r="P1266" s="637"/>
      <c r="Q1266" s="574"/>
      <c r="R1266" s="574"/>
      <c r="S1266" s="574"/>
    </row>
    <row r="1267" spans="1:19" ht="21.3">
      <c r="A1267" s="665"/>
      <c r="B1267" s="617" t="s">
        <v>315</v>
      </c>
      <c r="C1267" s="1125" t="s">
        <v>316</v>
      </c>
      <c r="D1267" s="1126"/>
      <c r="E1267" s="637">
        <f t="shared" si="398"/>
        <v>0</v>
      </c>
      <c r="F1267" s="625" t="s">
        <v>34</v>
      </c>
      <c r="G1267" s="572">
        <v>15000</v>
      </c>
      <c r="H1267" s="580">
        <f t="shared" si="411"/>
        <v>0</v>
      </c>
      <c r="I1267" s="572">
        <v>500</v>
      </c>
      <c r="J1267" s="580">
        <f t="shared" si="392"/>
        <v>0</v>
      </c>
      <c r="K1267" s="631">
        <f t="shared" si="393"/>
        <v>0</v>
      </c>
      <c r="L1267" s="1061"/>
      <c r="M1267" s="574"/>
      <c r="N1267" s="667">
        <f t="shared" si="394"/>
        <v>0</v>
      </c>
      <c r="O1267" s="636">
        <v>0</v>
      </c>
      <c r="P1267" s="637"/>
      <c r="Q1267" s="574"/>
      <c r="R1267" s="574"/>
      <c r="S1267" s="574"/>
    </row>
    <row r="1268" spans="1:19" ht="21.3">
      <c r="A1268" s="665"/>
      <c r="B1268" s="617" t="s">
        <v>317</v>
      </c>
      <c r="C1268" s="1125" t="s">
        <v>318</v>
      </c>
      <c r="D1268" s="1126"/>
      <c r="E1268" s="637">
        <f t="shared" si="398"/>
        <v>760.5920000000001</v>
      </c>
      <c r="F1268" s="625" t="s">
        <v>34</v>
      </c>
      <c r="G1268" s="666">
        <v>88</v>
      </c>
      <c r="H1268" s="633">
        <f t="shared" si="411"/>
        <v>66932.096000000005</v>
      </c>
      <c r="I1268" s="666">
        <v>82</v>
      </c>
      <c r="J1268" s="580">
        <f t="shared" si="392"/>
        <v>62368.544000000009</v>
      </c>
      <c r="K1268" s="631">
        <f t="shared" si="393"/>
        <v>129300.64000000001</v>
      </c>
      <c r="L1268" s="1062"/>
      <c r="M1268" s="574"/>
      <c r="N1268" s="667">
        <f t="shared" si="394"/>
        <v>760.5920000000001</v>
      </c>
      <c r="O1268" s="636">
        <v>0</v>
      </c>
      <c r="P1268" s="637">
        <v>760.5920000000001</v>
      </c>
      <c r="Q1268" s="574"/>
      <c r="R1268" s="574"/>
      <c r="S1268" s="574"/>
    </row>
    <row r="1269" spans="1:19" ht="21.3">
      <c r="A1269" s="665"/>
      <c r="B1269" s="617" t="s">
        <v>319</v>
      </c>
      <c r="C1269" s="1125" t="s">
        <v>320</v>
      </c>
      <c r="D1269" s="1126"/>
      <c r="E1269" s="637">
        <f t="shared" si="398"/>
        <v>0</v>
      </c>
      <c r="F1269" s="625" t="s">
        <v>34</v>
      </c>
      <c r="G1269" s="666">
        <v>1955</v>
      </c>
      <c r="H1269" s="633">
        <f t="shared" si="411"/>
        <v>0</v>
      </c>
      <c r="I1269" s="666">
        <v>1700</v>
      </c>
      <c r="J1269" s="580">
        <f t="shared" si="392"/>
        <v>0</v>
      </c>
      <c r="K1269" s="631">
        <f t="shared" si="393"/>
        <v>0</v>
      </c>
      <c r="L1269" s="1073"/>
      <c r="M1269" s="574"/>
      <c r="N1269" s="667">
        <f t="shared" si="394"/>
        <v>0</v>
      </c>
      <c r="O1269" s="636">
        <v>0</v>
      </c>
      <c r="P1269" s="637"/>
      <c r="Q1269" s="574"/>
      <c r="R1269" s="574"/>
      <c r="S1269" s="574"/>
    </row>
    <row r="1270" spans="1:19" ht="21.3">
      <c r="A1270" s="665"/>
      <c r="B1270" s="617"/>
      <c r="C1270" s="1125" t="s">
        <v>321</v>
      </c>
      <c r="D1270" s="1126"/>
      <c r="E1270" s="637">
        <f t="shared" si="398"/>
        <v>0</v>
      </c>
      <c r="F1270" s="625" t="s">
        <v>34</v>
      </c>
      <c r="G1270" s="666">
        <v>0</v>
      </c>
      <c r="H1270" s="633">
        <f t="shared" si="411"/>
        <v>0</v>
      </c>
      <c r="I1270" s="666">
        <v>0</v>
      </c>
      <c r="J1270" s="580">
        <f t="shared" si="392"/>
        <v>0</v>
      </c>
      <c r="K1270" s="631">
        <f t="shared" si="393"/>
        <v>0</v>
      </c>
      <c r="L1270" s="1073"/>
      <c r="M1270" s="574"/>
      <c r="N1270" s="667">
        <f t="shared" si="394"/>
        <v>0</v>
      </c>
      <c r="O1270" s="636">
        <v>0</v>
      </c>
      <c r="P1270" s="637"/>
      <c r="Q1270" s="574"/>
      <c r="R1270" s="574"/>
      <c r="S1270" s="574"/>
    </row>
    <row r="1271" spans="1:19" ht="21.3">
      <c r="A1271" s="665"/>
      <c r="B1271" s="617" t="s">
        <v>322</v>
      </c>
      <c r="C1271" s="1125" t="s">
        <v>323</v>
      </c>
      <c r="D1271" s="1126"/>
      <c r="E1271" s="637">
        <f t="shared" si="398"/>
        <v>0</v>
      </c>
      <c r="F1271" s="625" t="s">
        <v>34</v>
      </c>
      <c r="G1271" s="666">
        <v>1296</v>
      </c>
      <c r="H1271" s="633">
        <f t="shared" si="411"/>
        <v>0</v>
      </c>
      <c r="I1271" s="666">
        <v>1600</v>
      </c>
      <c r="J1271" s="580">
        <f t="shared" si="392"/>
        <v>0</v>
      </c>
      <c r="K1271" s="631">
        <f t="shared" si="393"/>
        <v>0</v>
      </c>
      <c r="L1271" s="1073"/>
      <c r="M1271" s="574"/>
      <c r="N1271" s="667">
        <f t="shared" si="394"/>
        <v>0</v>
      </c>
      <c r="O1271" s="636">
        <v>0</v>
      </c>
      <c r="P1271" s="637"/>
      <c r="Q1271" s="574"/>
      <c r="R1271" s="574"/>
      <c r="S1271" s="574"/>
    </row>
    <row r="1272" spans="1:19" ht="21.3">
      <c r="A1272" s="665"/>
      <c r="B1272" s="617" t="s">
        <v>324</v>
      </c>
      <c r="C1272" s="1125" t="s">
        <v>325</v>
      </c>
      <c r="D1272" s="1126"/>
      <c r="E1272" s="637">
        <f t="shared" si="398"/>
        <v>0</v>
      </c>
      <c r="F1272" s="625" t="s">
        <v>34</v>
      </c>
      <c r="G1272" s="2048">
        <f>13+69</f>
        <v>82</v>
      </c>
      <c r="H1272" s="633">
        <f t="shared" si="411"/>
        <v>0</v>
      </c>
      <c r="I1272" s="2048">
        <f>30+28</f>
        <v>58</v>
      </c>
      <c r="J1272" s="580">
        <f t="shared" si="392"/>
        <v>0</v>
      </c>
      <c r="K1272" s="631">
        <f t="shared" si="393"/>
        <v>0</v>
      </c>
      <c r="L1272" s="2049"/>
      <c r="M1272" s="574"/>
      <c r="N1272" s="667">
        <f t="shared" si="394"/>
        <v>0</v>
      </c>
      <c r="O1272" s="636">
        <v>0</v>
      </c>
      <c r="P1272" s="637"/>
      <c r="Q1272" s="574"/>
      <c r="R1272" s="574"/>
      <c r="S1272" s="574"/>
    </row>
    <row r="1273" spans="1:19" ht="21.3">
      <c r="A1273" s="665"/>
      <c r="B1273" s="617" t="s">
        <v>326</v>
      </c>
      <c r="C1273" s="1125" t="s">
        <v>327</v>
      </c>
      <c r="D1273" s="1126"/>
      <c r="E1273" s="637">
        <f t="shared" si="398"/>
        <v>0</v>
      </c>
      <c r="F1273" s="625" t="s">
        <v>34</v>
      </c>
      <c r="G1273" s="666"/>
      <c r="H1273" s="633">
        <f t="shared" si="411"/>
        <v>0</v>
      </c>
      <c r="I1273" s="666"/>
      <c r="J1273" s="580">
        <f t="shared" ref="J1273:J1333" si="412">E1273*I1273</f>
        <v>0</v>
      </c>
      <c r="K1273" s="631">
        <f t="shared" ref="K1273:K1333" si="413">H1273+J1273</f>
        <v>0</v>
      </c>
      <c r="L1273" s="1073"/>
      <c r="M1273" s="574"/>
      <c r="N1273" s="667">
        <f t="shared" si="394"/>
        <v>0</v>
      </c>
      <c r="O1273" s="636">
        <v>0</v>
      </c>
      <c r="P1273" s="637"/>
      <c r="Q1273" s="574"/>
      <c r="R1273" s="574"/>
      <c r="S1273" s="574"/>
    </row>
    <row r="1274" spans="1:19" ht="21.3">
      <c r="A1274" s="665"/>
      <c r="B1274" s="617" t="s">
        <v>328</v>
      </c>
      <c r="C1274" s="617" t="s">
        <v>329</v>
      </c>
      <c r="D1274" s="1126"/>
      <c r="E1274" s="637">
        <f t="shared" si="398"/>
        <v>0</v>
      </c>
      <c r="F1274" s="625" t="s">
        <v>34</v>
      </c>
      <c r="G1274" s="666"/>
      <c r="H1274" s="633">
        <f t="shared" si="411"/>
        <v>0</v>
      </c>
      <c r="I1274" s="666"/>
      <c r="J1274" s="580">
        <f t="shared" si="412"/>
        <v>0</v>
      </c>
      <c r="K1274" s="631">
        <f t="shared" si="413"/>
        <v>0</v>
      </c>
      <c r="L1274" s="1073"/>
      <c r="M1274" s="574"/>
      <c r="N1274" s="667">
        <f t="shared" si="394"/>
        <v>0</v>
      </c>
      <c r="O1274" s="636">
        <v>0</v>
      </c>
      <c r="P1274" s="637"/>
      <c r="Q1274" s="574"/>
      <c r="R1274" s="574"/>
      <c r="S1274" s="574"/>
    </row>
    <row r="1275" spans="1:19" ht="21.3">
      <c r="A1275" s="665"/>
      <c r="B1275" s="617"/>
      <c r="C1275" s="617" t="s">
        <v>330</v>
      </c>
      <c r="D1275" s="1129"/>
      <c r="E1275" s="637"/>
      <c r="F1275" s="625"/>
      <c r="G1275" s="642"/>
      <c r="H1275" s="668"/>
      <c r="I1275" s="642"/>
      <c r="J1275" s="580">
        <f t="shared" si="412"/>
        <v>0</v>
      </c>
      <c r="K1275" s="631">
        <f t="shared" si="413"/>
        <v>0</v>
      </c>
      <c r="L1275" s="1065"/>
      <c r="M1275" s="574"/>
      <c r="N1275" s="669">
        <f t="shared" ref="N1275:N1333" si="414">+(1+O1275)*P1275</f>
        <v>0</v>
      </c>
      <c r="O1275" s="636">
        <v>0</v>
      </c>
      <c r="P1275" s="637"/>
      <c r="Q1275" s="574"/>
      <c r="R1275" s="574"/>
      <c r="S1275" s="574"/>
    </row>
    <row r="1276" spans="1:19" ht="21.3">
      <c r="A1276" s="665"/>
      <c r="B1276" s="617"/>
      <c r="C1276" s="1127" t="s">
        <v>1043</v>
      </c>
      <c r="D1276" s="1126"/>
      <c r="E1276" s="637">
        <f t="shared" ref="E1276" si="415">+N1276</f>
        <v>0</v>
      </c>
      <c r="F1276" s="625" t="s">
        <v>34</v>
      </c>
      <c r="G1276" s="2048">
        <v>69</v>
      </c>
      <c r="H1276" s="633">
        <f t="shared" ref="H1276" si="416">SUM(E1276*G1276)</f>
        <v>0</v>
      </c>
      <c r="I1276" s="2048">
        <v>28</v>
      </c>
      <c r="J1276" s="580">
        <f t="shared" si="412"/>
        <v>0</v>
      </c>
      <c r="K1276" s="631">
        <f t="shared" si="413"/>
        <v>0</v>
      </c>
      <c r="L1276" s="2049"/>
      <c r="M1276" s="574"/>
      <c r="N1276" s="667">
        <f t="shared" si="414"/>
        <v>0</v>
      </c>
      <c r="O1276" s="636">
        <v>0</v>
      </c>
      <c r="P1276" s="637"/>
      <c r="Q1276" s="574"/>
      <c r="R1276" s="574"/>
      <c r="S1276" s="574"/>
    </row>
    <row r="1277" spans="1:19" ht="21.3">
      <c r="A1277" s="665" t="s">
        <v>355</v>
      </c>
      <c r="B1277" s="1114" t="s">
        <v>356</v>
      </c>
      <c r="C1277" s="617"/>
      <c r="D1277" s="1129"/>
      <c r="E1277" s="624"/>
      <c r="F1277" s="625"/>
      <c r="G1277" s="642"/>
      <c r="H1277" s="668"/>
      <c r="I1277" s="642"/>
      <c r="J1277" s="580">
        <f t="shared" si="412"/>
        <v>0</v>
      </c>
      <c r="K1277" s="631">
        <f t="shared" si="413"/>
        <v>0</v>
      </c>
      <c r="L1277" s="1065"/>
      <c r="M1277" s="574"/>
      <c r="N1277" s="629">
        <f t="shared" si="414"/>
        <v>0</v>
      </c>
      <c r="O1277" s="630">
        <v>0</v>
      </c>
      <c r="P1277" s="624"/>
      <c r="Q1277" s="574"/>
      <c r="R1277" s="574"/>
      <c r="S1277" s="574"/>
    </row>
    <row r="1278" spans="1:19" ht="21.3">
      <c r="A1278" s="665"/>
      <c r="B1278" s="1114"/>
      <c r="C1278" s="1125" t="s">
        <v>259</v>
      </c>
      <c r="D1278" s="1124"/>
      <c r="E1278" s="624">
        <v>2867.6900000000005</v>
      </c>
      <c r="F1278" s="625" t="s">
        <v>34</v>
      </c>
      <c r="G1278" s="666">
        <v>281</v>
      </c>
      <c r="H1278" s="633">
        <f>SUM(E1278*G1278)</f>
        <v>805820.89000000013</v>
      </c>
      <c r="I1278" s="666">
        <v>80</v>
      </c>
      <c r="J1278" s="580">
        <f t="shared" si="412"/>
        <v>229415.20000000004</v>
      </c>
      <c r="K1278" s="631">
        <f t="shared" si="413"/>
        <v>1035236.0900000002</v>
      </c>
      <c r="L1278" s="1073"/>
      <c r="M1278" s="574"/>
      <c r="N1278" s="629">
        <f t="shared" si="414"/>
        <v>0</v>
      </c>
      <c r="O1278" s="630">
        <v>0</v>
      </c>
      <c r="P1278" s="624"/>
      <c r="Q1278" s="574"/>
      <c r="R1278" s="574"/>
      <c r="S1278" s="574"/>
    </row>
    <row r="1279" spans="1:19" ht="21.3">
      <c r="A1279" s="665"/>
      <c r="B1279" s="1114"/>
      <c r="C1279" s="1125" t="s">
        <v>260</v>
      </c>
      <c r="D1279" s="1124"/>
      <c r="E1279" s="624">
        <f>+E1314/2</f>
        <v>0</v>
      </c>
      <c r="F1279" s="625" t="s">
        <v>34</v>
      </c>
      <c r="G1279" s="666">
        <v>712</v>
      </c>
      <c r="H1279" s="633">
        <f>SUM(E1279*G1279)</f>
        <v>0</v>
      </c>
      <c r="I1279" s="666">
        <v>98</v>
      </c>
      <c r="J1279" s="580">
        <f t="shared" si="412"/>
        <v>0</v>
      </c>
      <c r="K1279" s="631">
        <f t="shared" si="413"/>
        <v>0</v>
      </c>
      <c r="L1279" s="1073"/>
      <c r="M1279" s="574"/>
      <c r="N1279" s="629">
        <f t="shared" si="414"/>
        <v>0</v>
      </c>
      <c r="O1279" s="630">
        <v>0</v>
      </c>
      <c r="P1279" s="624"/>
      <c r="Q1279" s="574"/>
      <c r="R1279" s="574"/>
      <c r="S1279" s="574"/>
    </row>
    <row r="1280" spans="1:19" ht="21.3">
      <c r="A1280" s="665"/>
      <c r="B1280" s="1114"/>
      <c r="C1280" s="1125" t="s">
        <v>261</v>
      </c>
      <c r="D1280" s="1124"/>
      <c r="E1280" s="624">
        <f>+E1278*1.33</f>
        <v>3814.027700000001</v>
      </c>
      <c r="F1280" s="625" t="s">
        <v>226</v>
      </c>
      <c r="G1280" s="666">
        <v>119</v>
      </c>
      <c r="H1280" s="633">
        <f>SUM(E1280*G1280)</f>
        <v>453869.2963000001</v>
      </c>
      <c r="I1280" s="666">
        <v>44</v>
      </c>
      <c r="J1280" s="580">
        <f t="shared" si="412"/>
        <v>167817.21880000003</v>
      </c>
      <c r="K1280" s="631">
        <f t="shared" si="413"/>
        <v>621686.51510000019</v>
      </c>
      <c r="L1280" s="1073"/>
      <c r="M1280" s="574"/>
      <c r="N1280" s="629">
        <f t="shared" si="414"/>
        <v>0</v>
      </c>
      <c r="O1280" s="630">
        <v>0</v>
      </c>
      <c r="P1280" s="624"/>
      <c r="Q1280" s="574"/>
      <c r="R1280" s="574"/>
      <c r="S1280" s="574"/>
    </row>
    <row r="1281" spans="1:19" ht="21.3">
      <c r="A1281" s="665"/>
      <c r="B1281" s="1114"/>
      <c r="C1281" s="1125" t="s">
        <v>262</v>
      </c>
      <c r="D1281" s="1124"/>
      <c r="E1281" s="624">
        <f>+E1279*1.33</f>
        <v>0</v>
      </c>
      <c r="F1281" s="625" t="s">
        <v>226</v>
      </c>
      <c r="G1281" s="666">
        <v>208</v>
      </c>
      <c r="H1281" s="633">
        <f>SUM(E1281*G1281)</f>
        <v>0</v>
      </c>
      <c r="I1281" s="666">
        <v>78</v>
      </c>
      <c r="J1281" s="580">
        <f t="shared" si="412"/>
        <v>0</v>
      </c>
      <c r="K1281" s="631">
        <f t="shared" si="413"/>
        <v>0</v>
      </c>
      <c r="L1281" s="1073"/>
      <c r="M1281" s="574"/>
      <c r="N1281" s="629">
        <f t="shared" si="414"/>
        <v>0</v>
      </c>
      <c r="O1281" s="630">
        <v>0</v>
      </c>
      <c r="P1281" s="624"/>
      <c r="Q1281" s="574"/>
      <c r="R1281" s="574"/>
      <c r="S1281" s="574"/>
    </row>
    <row r="1282" spans="1:19" ht="21.3">
      <c r="A1282" s="665"/>
      <c r="B1282" s="1114"/>
      <c r="C1282" s="1125" t="s">
        <v>263</v>
      </c>
      <c r="D1282" s="1124"/>
      <c r="E1282" s="624">
        <f>+E1310+E1311+E1313+E1318+E1320+E1331</f>
        <v>0</v>
      </c>
      <c r="F1282" s="625" t="s">
        <v>34</v>
      </c>
      <c r="G1282" s="666">
        <v>88</v>
      </c>
      <c r="H1282" s="633">
        <f>SUM(E1282*G1282)</f>
        <v>0</v>
      </c>
      <c r="I1282" s="666">
        <v>82</v>
      </c>
      <c r="J1282" s="580">
        <f t="shared" si="412"/>
        <v>0</v>
      </c>
      <c r="K1282" s="631">
        <f t="shared" si="413"/>
        <v>0</v>
      </c>
      <c r="L1282" s="1062"/>
      <c r="M1282" s="574"/>
      <c r="N1282" s="629">
        <f t="shared" si="414"/>
        <v>0</v>
      </c>
      <c r="O1282" s="630">
        <v>0</v>
      </c>
      <c r="P1282" s="624"/>
      <c r="Q1282" s="574"/>
      <c r="R1282" s="574"/>
      <c r="S1282" s="574"/>
    </row>
    <row r="1283" spans="1:19" ht="21.3">
      <c r="A1283" s="665"/>
      <c r="B1283" s="617" t="s">
        <v>264</v>
      </c>
      <c r="C1283" s="1125" t="s">
        <v>265</v>
      </c>
      <c r="D1283" s="1126"/>
      <c r="E1283" s="637">
        <f>+N1283</f>
        <v>1851.1700000000003</v>
      </c>
      <c r="F1283" s="625" t="s">
        <v>34</v>
      </c>
      <c r="G1283" s="666">
        <v>88</v>
      </c>
      <c r="H1283" s="633">
        <f t="shared" ref="H1283:H1289" si="417">SUM(E1283*G1283)</f>
        <v>162902.96000000002</v>
      </c>
      <c r="I1283" s="666">
        <v>95</v>
      </c>
      <c r="J1283" s="580">
        <f t="shared" si="412"/>
        <v>175861.15000000002</v>
      </c>
      <c r="K1283" s="631">
        <f t="shared" si="413"/>
        <v>338764.11000000004</v>
      </c>
      <c r="L1283" s="1062"/>
      <c r="M1283" s="574"/>
      <c r="N1283" s="667">
        <f t="shared" si="414"/>
        <v>1851.1700000000003</v>
      </c>
      <c r="O1283" s="636">
        <v>0</v>
      </c>
      <c r="P1283" s="637">
        <v>1851.1700000000003</v>
      </c>
      <c r="Q1283" s="574"/>
      <c r="R1283" s="574"/>
      <c r="S1283" s="574"/>
    </row>
    <row r="1284" spans="1:19" ht="21.3">
      <c r="A1284" s="665"/>
      <c r="B1284" s="617"/>
      <c r="C1284" s="1125" t="s">
        <v>266</v>
      </c>
      <c r="D1284" s="1126"/>
      <c r="E1284" s="637">
        <f t="shared" ref="E1284:E1332" si="418">+N1284</f>
        <v>1851.1700000000003</v>
      </c>
      <c r="F1284" s="625" t="s">
        <v>34</v>
      </c>
      <c r="G1284" s="2048">
        <v>69</v>
      </c>
      <c r="H1284" s="633">
        <f t="shared" si="417"/>
        <v>127730.73000000003</v>
      </c>
      <c r="I1284" s="2048">
        <v>28</v>
      </c>
      <c r="J1284" s="580">
        <f t="shared" si="412"/>
        <v>51832.760000000009</v>
      </c>
      <c r="K1284" s="631">
        <f t="shared" si="413"/>
        <v>179563.49000000005</v>
      </c>
      <c r="L1284" s="2049"/>
      <c r="M1284" s="574"/>
      <c r="N1284" s="667">
        <f t="shared" si="414"/>
        <v>1851.1700000000003</v>
      </c>
      <c r="O1284" s="636">
        <v>0</v>
      </c>
      <c r="P1284" s="637">
        <v>1851.1700000000003</v>
      </c>
      <c r="Q1284" s="574"/>
      <c r="R1284" s="574"/>
      <c r="S1284" s="574"/>
    </row>
    <row r="1285" spans="1:19" ht="21.3">
      <c r="A1285" s="665"/>
      <c r="B1285" s="617" t="s">
        <v>267</v>
      </c>
      <c r="C1285" s="1125" t="s">
        <v>268</v>
      </c>
      <c r="D1285" s="1126"/>
      <c r="E1285" s="637">
        <f t="shared" si="418"/>
        <v>0</v>
      </c>
      <c r="F1285" s="625" t="s">
        <v>34</v>
      </c>
      <c r="G1285" s="666">
        <v>88</v>
      </c>
      <c r="H1285" s="633">
        <f t="shared" si="417"/>
        <v>0</v>
      </c>
      <c r="I1285" s="666">
        <v>82</v>
      </c>
      <c r="J1285" s="580">
        <f t="shared" si="412"/>
        <v>0</v>
      </c>
      <c r="K1285" s="631">
        <f t="shared" si="413"/>
        <v>0</v>
      </c>
      <c r="L1285" s="1062"/>
      <c r="M1285" s="574"/>
      <c r="N1285" s="667">
        <f t="shared" si="414"/>
        <v>0</v>
      </c>
      <c r="O1285" s="636">
        <v>0</v>
      </c>
      <c r="P1285" s="637"/>
      <c r="Q1285" s="574"/>
      <c r="R1285" s="574"/>
      <c r="S1285" s="574"/>
    </row>
    <row r="1286" spans="1:19" ht="21.3">
      <c r="A1286" s="665"/>
      <c r="B1286" s="617" t="s">
        <v>269</v>
      </c>
      <c r="C1286" s="1125" t="s">
        <v>265</v>
      </c>
      <c r="D1286" s="1126"/>
      <c r="E1286" s="637">
        <f t="shared" si="418"/>
        <v>0</v>
      </c>
      <c r="F1286" s="625" t="s">
        <v>34</v>
      </c>
      <c r="G1286" s="666">
        <v>88</v>
      </c>
      <c r="H1286" s="633">
        <f t="shared" si="417"/>
        <v>0</v>
      </c>
      <c r="I1286" s="666">
        <v>82</v>
      </c>
      <c r="J1286" s="580">
        <f t="shared" si="412"/>
        <v>0</v>
      </c>
      <c r="K1286" s="631">
        <f t="shared" si="413"/>
        <v>0</v>
      </c>
      <c r="L1286" s="1062"/>
      <c r="M1286" s="574"/>
      <c r="N1286" s="667">
        <f t="shared" si="414"/>
        <v>0</v>
      </c>
      <c r="O1286" s="636">
        <v>0</v>
      </c>
      <c r="P1286" s="637"/>
      <c r="Q1286" s="574"/>
      <c r="R1286" s="574"/>
      <c r="S1286" s="574"/>
    </row>
    <row r="1287" spans="1:19" ht="21.3">
      <c r="A1287" s="665"/>
      <c r="B1287" s="617"/>
      <c r="C1287" s="1125" t="s">
        <v>270</v>
      </c>
      <c r="D1287" s="1126"/>
      <c r="E1287" s="637">
        <f t="shared" si="418"/>
        <v>0</v>
      </c>
      <c r="F1287" s="625" t="s">
        <v>34</v>
      </c>
      <c r="G1287" s="2048">
        <v>69</v>
      </c>
      <c r="H1287" s="633">
        <f t="shared" si="417"/>
        <v>0</v>
      </c>
      <c r="I1287" s="2048">
        <v>28</v>
      </c>
      <c r="J1287" s="580">
        <f t="shared" si="412"/>
        <v>0</v>
      </c>
      <c r="K1287" s="631">
        <f t="shared" si="413"/>
        <v>0</v>
      </c>
      <c r="L1287" s="2049"/>
      <c r="M1287" s="574"/>
      <c r="N1287" s="667">
        <f t="shared" si="414"/>
        <v>0</v>
      </c>
      <c r="O1287" s="636">
        <v>0</v>
      </c>
      <c r="P1287" s="637"/>
      <c r="Q1287" s="574"/>
      <c r="R1287" s="574"/>
      <c r="S1287" s="574"/>
    </row>
    <row r="1288" spans="1:19" ht="21.3">
      <c r="A1288" s="665"/>
      <c r="B1288" s="617" t="s">
        <v>271</v>
      </c>
      <c r="C1288" s="1125" t="s">
        <v>272</v>
      </c>
      <c r="D1288" s="1126"/>
      <c r="E1288" s="637">
        <f t="shared" si="418"/>
        <v>0</v>
      </c>
      <c r="F1288" s="625" t="s">
        <v>34</v>
      </c>
      <c r="G1288" s="666">
        <v>103</v>
      </c>
      <c r="H1288" s="633">
        <f t="shared" si="417"/>
        <v>0</v>
      </c>
      <c r="I1288" s="666">
        <v>115</v>
      </c>
      <c r="J1288" s="580">
        <f t="shared" si="412"/>
        <v>0</v>
      </c>
      <c r="K1288" s="631">
        <f t="shared" si="413"/>
        <v>0</v>
      </c>
      <c r="L1288" s="1062"/>
      <c r="M1288" s="574"/>
      <c r="N1288" s="667">
        <f t="shared" si="414"/>
        <v>0</v>
      </c>
      <c r="O1288" s="636">
        <v>0</v>
      </c>
      <c r="P1288" s="637"/>
      <c r="Q1288" s="574"/>
      <c r="R1288" s="574"/>
      <c r="S1288" s="574"/>
    </row>
    <row r="1289" spans="1:19" ht="21.3">
      <c r="A1289" s="665"/>
      <c r="B1289" s="617"/>
      <c r="C1289" s="1125" t="s">
        <v>273</v>
      </c>
      <c r="D1289" s="1126"/>
      <c r="E1289" s="637">
        <f t="shared" si="418"/>
        <v>0</v>
      </c>
      <c r="F1289" s="625" t="s">
        <v>34</v>
      </c>
      <c r="G1289" s="2048">
        <v>69</v>
      </c>
      <c r="H1289" s="633">
        <f t="shared" si="417"/>
        <v>0</v>
      </c>
      <c r="I1289" s="2048">
        <v>28</v>
      </c>
      <c r="J1289" s="580">
        <f t="shared" si="412"/>
        <v>0</v>
      </c>
      <c r="K1289" s="631">
        <f t="shared" si="413"/>
        <v>0</v>
      </c>
      <c r="L1289" s="2049"/>
      <c r="M1289" s="574"/>
      <c r="N1289" s="667">
        <f t="shared" si="414"/>
        <v>0</v>
      </c>
      <c r="O1289" s="636">
        <v>0</v>
      </c>
      <c r="P1289" s="637"/>
      <c r="Q1289" s="574"/>
      <c r="R1289" s="574"/>
      <c r="S1289" s="574"/>
    </row>
    <row r="1290" spans="1:19" ht="21.3">
      <c r="A1290" s="665"/>
      <c r="B1290" s="617" t="s">
        <v>274</v>
      </c>
      <c r="C1290" s="1125" t="s">
        <v>275</v>
      </c>
      <c r="D1290" s="1126"/>
      <c r="E1290" s="637">
        <f t="shared" si="418"/>
        <v>0</v>
      </c>
      <c r="F1290" s="625" t="s">
        <v>34</v>
      </c>
      <c r="G1290" s="572">
        <v>1500</v>
      </c>
      <c r="H1290" s="580">
        <f t="shared" ref="H1290" si="419">E1290*G1290</f>
        <v>0</v>
      </c>
      <c r="I1290" s="572">
        <v>500</v>
      </c>
      <c r="J1290" s="580">
        <f t="shared" si="412"/>
        <v>0</v>
      </c>
      <c r="K1290" s="631">
        <f t="shared" si="413"/>
        <v>0</v>
      </c>
      <c r="L1290" s="1061"/>
      <c r="M1290" s="574"/>
      <c r="N1290" s="667">
        <f t="shared" si="414"/>
        <v>0</v>
      </c>
      <c r="O1290" s="636">
        <v>0</v>
      </c>
      <c r="P1290" s="637"/>
      <c r="Q1290" s="574"/>
      <c r="R1290" s="574"/>
      <c r="S1290" s="574"/>
    </row>
    <row r="1291" spans="1:19" ht="21.3">
      <c r="A1291" s="665"/>
      <c r="B1291" s="617"/>
      <c r="C1291" s="1125" t="s">
        <v>273</v>
      </c>
      <c r="D1291" s="1126"/>
      <c r="E1291" s="637">
        <f t="shared" si="418"/>
        <v>0</v>
      </c>
      <c r="F1291" s="625" t="s">
        <v>34</v>
      </c>
      <c r="G1291" s="2048">
        <v>69</v>
      </c>
      <c r="H1291" s="633">
        <f t="shared" ref="H1291" si="420">SUM(E1291*G1291)</f>
        <v>0</v>
      </c>
      <c r="I1291" s="2048">
        <v>28</v>
      </c>
      <c r="J1291" s="580">
        <f t="shared" si="412"/>
        <v>0</v>
      </c>
      <c r="K1291" s="631">
        <f t="shared" si="413"/>
        <v>0</v>
      </c>
      <c r="L1291" s="2049"/>
      <c r="M1291" s="574"/>
      <c r="N1291" s="667">
        <f t="shared" si="414"/>
        <v>0</v>
      </c>
      <c r="O1291" s="636">
        <v>0</v>
      </c>
      <c r="P1291" s="637"/>
      <c r="Q1291" s="574"/>
      <c r="R1291" s="574"/>
      <c r="S1291" s="574"/>
    </row>
    <row r="1292" spans="1:19" ht="21.3">
      <c r="A1292" s="665"/>
      <c r="B1292" s="617"/>
      <c r="C1292" s="1125"/>
      <c r="D1292" s="1126"/>
      <c r="E1292" s="637"/>
      <c r="F1292" s="625"/>
      <c r="G1292" s="2048"/>
      <c r="H1292" s="633"/>
      <c r="I1292" s="2048"/>
      <c r="J1292" s="580"/>
      <c r="K1292" s="631"/>
      <c r="L1292" s="2049"/>
      <c r="M1292" s="574"/>
      <c r="N1292" s="667"/>
      <c r="O1292" s="636"/>
      <c r="P1292" s="637"/>
      <c r="Q1292" s="574"/>
      <c r="R1292" s="574"/>
      <c r="S1292" s="574"/>
    </row>
    <row r="1293" spans="1:19" ht="21.3">
      <c r="A1293" s="665"/>
      <c r="B1293" s="617" t="s">
        <v>276</v>
      </c>
      <c r="C1293" s="1125" t="s">
        <v>277</v>
      </c>
      <c r="D1293" s="1126"/>
      <c r="E1293" s="637">
        <f t="shared" si="418"/>
        <v>0</v>
      </c>
      <c r="F1293" s="625" t="s">
        <v>34</v>
      </c>
      <c r="G1293" s="572">
        <v>492</v>
      </c>
      <c r="H1293" s="580">
        <f t="shared" ref="H1293" si="421">E1293*G1293</f>
        <v>0</v>
      </c>
      <c r="I1293" s="572">
        <v>130</v>
      </c>
      <c r="J1293" s="580">
        <f t="shared" si="412"/>
        <v>0</v>
      </c>
      <c r="K1293" s="631">
        <f t="shared" si="413"/>
        <v>0</v>
      </c>
      <c r="L1293" s="2049"/>
      <c r="M1293" s="574"/>
      <c r="N1293" s="667">
        <f t="shared" si="414"/>
        <v>0</v>
      </c>
      <c r="O1293" s="636">
        <v>0</v>
      </c>
      <c r="P1293" s="637"/>
      <c r="Q1293" s="574"/>
      <c r="R1293" s="574"/>
      <c r="S1293" s="574"/>
    </row>
    <row r="1294" spans="1:19" ht="21.3">
      <c r="A1294" s="665"/>
      <c r="B1294" s="617"/>
      <c r="C1294" s="1125" t="s">
        <v>278</v>
      </c>
      <c r="D1294" s="1126"/>
      <c r="E1294" s="637">
        <f t="shared" si="418"/>
        <v>0</v>
      </c>
      <c r="F1294" s="619"/>
      <c r="G1294" s="572"/>
      <c r="H1294" s="580"/>
      <c r="I1294" s="572"/>
      <c r="J1294" s="580">
        <f t="shared" si="412"/>
        <v>0</v>
      </c>
      <c r="K1294" s="631">
        <f t="shared" si="413"/>
        <v>0</v>
      </c>
      <c r="L1294" s="2049"/>
      <c r="M1294" s="574"/>
      <c r="N1294" s="629">
        <f t="shared" si="414"/>
        <v>0</v>
      </c>
      <c r="O1294" s="630">
        <v>0</v>
      </c>
      <c r="P1294" s="624"/>
      <c r="Q1294" s="574"/>
      <c r="R1294" s="574"/>
      <c r="S1294" s="574"/>
    </row>
    <row r="1295" spans="1:19" ht="21.3">
      <c r="A1295" s="665"/>
      <c r="B1295" s="617" t="s">
        <v>279</v>
      </c>
      <c r="C1295" s="1125" t="s">
        <v>280</v>
      </c>
      <c r="D1295" s="1126"/>
      <c r="E1295" s="637">
        <f t="shared" si="418"/>
        <v>0</v>
      </c>
      <c r="F1295" s="625" t="s">
        <v>34</v>
      </c>
      <c r="G1295" s="572">
        <v>256</v>
      </c>
      <c r="H1295" s="580">
        <f t="shared" ref="H1295" si="422">E1295*G1295</f>
        <v>0</v>
      </c>
      <c r="I1295" s="572">
        <v>100</v>
      </c>
      <c r="J1295" s="580">
        <f t="shared" si="412"/>
        <v>0</v>
      </c>
      <c r="K1295" s="631">
        <f t="shared" si="413"/>
        <v>0</v>
      </c>
      <c r="L1295" s="2049"/>
      <c r="M1295" s="574"/>
      <c r="N1295" s="667">
        <f t="shared" si="414"/>
        <v>0</v>
      </c>
      <c r="O1295" s="636">
        <v>0</v>
      </c>
      <c r="P1295" s="637"/>
      <c r="Q1295" s="574"/>
      <c r="R1295" s="574"/>
      <c r="S1295" s="574"/>
    </row>
    <row r="1296" spans="1:19" ht="21.3">
      <c r="A1296" s="665"/>
      <c r="B1296" s="617"/>
      <c r="C1296" s="1125" t="s">
        <v>281</v>
      </c>
      <c r="D1296" s="1126"/>
      <c r="E1296" s="637">
        <f t="shared" si="418"/>
        <v>0</v>
      </c>
      <c r="F1296" s="619"/>
      <c r="G1296" s="572"/>
      <c r="H1296" s="580"/>
      <c r="I1296" s="572"/>
      <c r="J1296" s="580">
        <f t="shared" si="412"/>
        <v>0</v>
      </c>
      <c r="K1296" s="631">
        <f t="shared" si="413"/>
        <v>0</v>
      </c>
      <c r="L1296" s="2049"/>
      <c r="M1296" s="574"/>
      <c r="N1296" s="629">
        <f t="shared" si="414"/>
        <v>0</v>
      </c>
      <c r="O1296" s="630">
        <v>0</v>
      </c>
      <c r="P1296" s="624"/>
      <c r="Q1296" s="574"/>
      <c r="R1296" s="574"/>
      <c r="S1296" s="574"/>
    </row>
    <row r="1297" spans="1:19" ht="21.3">
      <c r="A1297" s="665"/>
      <c r="B1297" s="617" t="s">
        <v>282</v>
      </c>
      <c r="C1297" s="1125" t="s">
        <v>280</v>
      </c>
      <c r="D1297" s="1126"/>
      <c r="E1297" s="637">
        <f t="shared" si="418"/>
        <v>0</v>
      </c>
      <c r="F1297" s="625" t="s">
        <v>34</v>
      </c>
      <c r="G1297" s="572">
        <v>256</v>
      </c>
      <c r="H1297" s="580">
        <f t="shared" ref="H1297" si="423">E1297*G1297</f>
        <v>0</v>
      </c>
      <c r="I1297" s="572">
        <v>100</v>
      </c>
      <c r="J1297" s="580">
        <f t="shared" si="412"/>
        <v>0</v>
      </c>
      <c r="K1297" s="631">
        <f t="shared" si="413"/>
        <v>0</v>
      </c>
      <c r="L1297" s="2049"/>
      <c r="M1297" s="574"/>
      <c r="N1297" s="667">
        <f t="shared" si="414"/>
        <v>0</v>
      </c>
      <c r="O1297" s="636">
        <v>0</v>
      </c>
      <c r="P1297" s="637"/>
      <c r="Q1297" s="574"/>
      <c r="R1297" s="574"/>
      <c r="S1297" s="574"/>
    </row>
    <row r="1298" spans="1:19" ht="21.3">
      <c r="A1298" s="665"/>
      <c r="B1298" s="617"/>
      <c r="C1298" s="1125" t="s">
        <v>281</v>
      </c>
      <c r="D1298" s="1126"/>
      <c r="E1298" s="637">
        <f t="shared" si="418"/>
        <v>0</v>
      </c>
      <c r="F1298" s="619"/>
      <c r="G1298" s="572"/>
      <c r="H1298" s="580"/>
      <c r="I1298" s="572"/>
      <c r="J1298" s="580">
        <f t="shared" si="412"/>
        <v>0</v>
      </c>
      <c r="K1298" s="631">
        <f t="shared" si="413"/>
        <v>0</v>
      </c>
      <c r="L1298" s="1062"/>
      <c r="M1298" s="574"/>
      <c r="N1298" s="629">
        <f t="shared" si="414"/>
        <v>0</v>
      </c>
      <c r="O1298" s="630">
        <v>0</v>
      </c>
      <c r="P1298" s="624"/>
      <c r="Q1298" s="574"/>
      <c r="R1298" s="574"/>
      <c r="S1298" s="574"/>
    </row>
    <row r="1299" spans="1:19" ht="21.3">
      <c r="A1299" s="665"/>
      <c r="B1299" s="617"/>
      <c r="C1299" s="1125" t="s">
        <v>283</v>
      </c>
      <c r="D1299" s="1126"/>
      <c r="E1299" s="637">
        <f t="shared" si="418"/>
        <v>0</v>
      </c>
      <c r="F1299" s="625" t="s">
        <v>34</v>
      </c>
      <c r="G1299" s="2048">
        <v>69</v>
      </c>
      <c r="H1299" s="633">
        <f t="shared" ref="H1299" si="424">SUM(E1299*G1299)</f>
        <v>0</v>
      </c>
      <c r="I1299" s="2048">
        <v>28</v>
      </c>
      <c r="J1299" s="580">
        <f t="shared" si="412"/>
        <v>0</v>
      </c>
      <c r="K1299" s="631">
        <f t="shared" si="413"/>
        <v>0</v>
      </c>
      <c r="L1299" s="2049"/>
      <c r="M1299" s="574"/>
      <c r="N1299" s="667">
        <f t="shared" si="414"/>
        <v>0</v>
      </c>
      <c r="O1299" s="636">
        <v>0</v>
      </c>
      <c r="P1299" s="637"/>
      <c r="Q1299" s="574"/>
      <c r="R1299" s="574"/>
      <c r="S1299" s="574"/>
    </row>
    <row r="1300" spans="1:19" ht="21.3">
      <c r="A1300" s="665"/>
      <c r="B1300" s="617" t="s">
        <v>284</v>
      </c>
      <c r="C1300" s="1125" t="s">
        <v>280</v>
      </c>
      <c r="D1300" s="1126"/>
      <c r="E1300" s="637">
        <f t="shared" si="418"/>
        <v>0</v>
      </c>
      <c r="F1300" s="625" t="s">
        <v>34</v>
      </c>
      <c r="G1300" s="572">
        <v>592</v>
      </c>
      <c r="H1300" s="580">
        <f t="shared" ref="H1300" si="425">E1300*G1300</f>
        <v>0</v>
      </c>
      <c r="I1300" s="572">
        <v>165</v>
      </c>
      <c r="J1300" s="580">
        <f t="shared" si="412"/>
        <v>0</v>
      </c>
      <c r="K1300" s="631">
        <f t="shared" si="413"/>
        <v>0</v>
      </c>
      <c r="L1300" s="2049"/>
      <c r="M1300" s="574"/>
      <c r="N1300" s="667">
        <f t="shared" si="414"/>
        <v>0</v>
      </c>
      <c r="O1300" s="636">
        <v>0</v>
      </c>
      <c r="P1300" s="637"/>
      <c r="Q1300" s="574"/>
      <c r="R1300" s="574"/>
      <c r="S1300" s="574"/>
    </row>
    <row r="1301" spans="1:19" ht="21.3">
      <c r="A1301" s="665"/>
      <c r="B1301" s="617"/>
      <c r="C1301" s="1125" t="s">
        <v>285</v>
      </c>
      <c r="D1301" s="1126"/>
      <c r="E1301" s="637">
        <f t="shared" si="418"/>
        <v>0</v>
      </c>
      <c r="F1301" s="619"/>
      <c r="G1301" s="572"/>
      <c r="H1301" s="580"/>
      <c r="I1301" s="572"/>
      <c r="J1301" s="580">
        <f t="shared" si="412"/>
        <v>0</v>
      </c>
      <c r="K1301" s="631">
        <f t="shared" si="413"/>
        <v>0</v>
      </c>
      <c r="L1301" s="1062"/>
      <c r="M1301" s="574"/>
      <c r="N1301" s="629">
        <f t="shared" si="414"/>
        <v>0</v>
      </c>
      <c r="O1301" s="630">
        <v>0</v>
      </c>
      <c r="P1301" s="624"/>
      <c r="Q1301" s="574"/>
      <c r="R1301" s="574"/>
      <c r="S1301" s="574"/>
    </row>
    <row r="1302" spans="1:19" ht="21.3">
      <c r="A1302" s="665"/>
      <c r="B1302" s="617" t="s">
        <v>286</v>
      </c>
      <c r="C1302" s="1125" t="s">
        <v>280</v>
      </c>
      <c r="D1302" s="1126"/>
      <c r="E1302" s="637">
        <f t="shared" si="418"/>
        <v>0</v>
      </c>
      <c r="F1302" s="625" t="s">
        <v>34</v>
      </c>
      <c r="G1302" s="572">
        <v>642</v>
      </c>
      <c r="H1302" s="580">
        <f t="shared" ref="H1302" si="426">E1302*G1302</f>
        <v>0</v>
      </c>
      <c r="I1302" s="572">
        <v>183</v>
      </c>
      <c r="J1302" s="580">
        <f t="shared" si="412"/>
        <v>0</v>
      </c>
      <c r="K1302" s="631">
        <f t="shared" si="413"/>
        <v>0</v>
      </c>
      <c r="L1302" s="2049"/>
      <c r="M1302" s="574"/>
      <c r="N1302" s="667">
        <f t="shared" si="414"/>
        <v>0</v>
      </c>
      <c r="O1302" s="636">
        <v>0</v>
      </c>
      <c r="P1302" s="637"/>
      <c r="Q1302" s="574"/>
      <c r="R1302" s="574"/>
      <c r="S1302" s="574"/>
    </row>
    <row r="1303" spans="1:19" ht="21.3">
      <c r="A1303" s="665"/>
      <c r="B1303" s="617"/>
      <c r="C1303" s="1125" t="s">
        <v>287</v>
      </c>
      <c r="D1303" s="1126"/>
      <c r="E1303" s="637">
        <f t="shared" si="418"/>
        <v>0</v>
      </c>
      <c r="F1303" s="619"/>
      <c r="G1303" s="572"/>
      <c r="H1303" s="580"/>
      <c r="I1303" s="572"/>
      <c r="J1303" s="580">
        <f t="shared" si="412"/>
        <v>0</v>
      </c>
      <c r="K1303" s="631">
        <f t="shared" si="413"/>
        <v>0</v>
      </c>
      <c r="L1303" s="1073"/>
      <c r="M1303" s="574"/>
      <c r="N1303" s="629">
        <f t="shared" si="414"/>
        <v>0</v>
      </c>
      <c r="O1303" s="630">
        <v>0</v>
      </c>
      <c r="P1303" s="624"/>
      <c r="Q1303" s="574"/>
      <c r="R1303" s="574"/>
      <c r="S1303" s="574"/>
    </row>
    <row r="1304" spans="1:19" ht="21.3">
      <c r="A1304" s="665"/>
      <c r="B1304" s="617"/>
      <c r="C1304" s="1125" t="s">
        <v>288</v>
      </c>
      <c r="D1304" s="1126"/>
      <c r="E1304" s="637">
        <f t="shared" si="418"/>
        <v>0</v>
      </c>
      <c r="F1304" s="619"/>
      <c r="G1304" s="572"/>
      <c r="H1304" s="580"/>
      <c r="I1304" s="572"/>
      <c r="J1304" s="580">
        <f t="shared" si="412"/>
        <v>0</v>
      </c>
      <c r="K1304" s="631">
        <f t="shared" si="413"/>
        <v>0</v>
      </c>
      <c r="L1304" s="1073"/>
      <c r="M1304" s="574"/>
      <c r="N1304" s="629">
        <f t="shared" si="414"/>
        <v>0</v>
      </c>
      <c r="O1304" s="630">
        <v>0</v>
      </c>
      <c r="P1304" s="624"/>
      <c r="Q1304" s="574"/>
      <c r="R1304" s="574"/>
      <c r="S1304" s="574"/>
    </row>
    <row r="1305" spans="1:19" ht="21.3">
      <c r="A1305" s="665"/>
      <c r="B1305" s="617" t="s">
        <v>289</v>
      </c>
      <c r="C1305" s="1125" t="s">
        <v>280</v>
      </c>
      <c r="D1305" s="1126"/>
      <c r="E1305" s="637">
        <f t="shared" si="418"/>
        <v>0</v>
      </c>
      <c r="F1305" s="625" t="s">
        <v>34</v>
      </c>
      <c r="G1305" s="572">
        <v>520</v>
      </c>
      <c r="H1305" s="580">
        <f t="shared" ref="H1305" si="427">E1305*G1305</f>
        <v>0</v>
      </c>
      <c r="I1305" s="572">
        <v>270</v>
      </c>
      <c r="J1305" s="580">
        <f t="shared" si="412"/>
        <v>0</v>
      </c>
      <c r="K1305" s="631">
        <f t="shared" si="413"/>
        <v>0</v>
      </c>
      <c r="L1305" s="1074"/>
      <c r="M1305" s="574"/>
      <c r="N1305" s="667">
        <f t="shared" si="414"/>
        <v>0</v>
      </c>
      <c r="O1305" s="636">
        <v>0</v>
      </c>
      <c r="P1305" s="637"/>
      <c r="Q1305" s="574"/>
      <c r="R1305" s="574"/>
      <c r="S1305" s="574"/>
    </row>
    <row r="1306" spans="1:19" ht="21.3">
      <c r="A1306" s="665"/>
      <c r="B1306" s="617"/>
      <c r="C1306" s="1125" t="s">
        <v>290</v>
      </c>
      <c r="D1306" s="1126"/>
      <c r="E1306" s="637">
        <f t="shared" si="418"/>
        <v>0</v>
      </c>
      <c r="F1306" s="619"/>
      <c r="G1306" s="572"/>
      <c r="H1306" s="580"/>
      <c r="I1306" s="572"/>
      <c r="J1306" s="580">
        <f t="shared" si="412"/>
        <v>0</v>
      </c>
      <c r="K1306" s="631">
        <f t="shared" si="413"/>
        <v>0</v>
      </c>
      <c r="L1306" s="1073"/>
      <c r="M1306" s="574"/>
      <c r="N1306" s="629">
        <f t="shared" si="414"/>
        <v>0</v>
      </c>
      <c r="O1306" s="630">
        <v>0</v>
      </c>
      <c r="P1306" s="624"/>
      <c r="Q1306" s="574"/>
      <c r="R1306" s="574"/>
      <c r="S1306" s="574"/>
    </row>
    <row r="1307" spans="1:19" ht="21.3">
      <c r="A1307" s="665"/>
      <c r="B1307" s="617" t="s">
        <v>291</v>
      </c>
      <c r="C1307" s="1125" t="s">
        <v>280</v>
      </c>
      <c r="D1307" s="1126"/>
      <c r="E1307" s="637">
        <f t="shared" si="418"/>
        <v>0</v>
      </c>
      <c r="F1307" s="625" t="s">
        <v>34</v>
      </c>
      <c r="G1307" s="572">
        <v>256</v>
      </c>
      <c r="H1307" s="580">
        <f t="shared" ref="H1307:H1308" si="428">E1307*G1307</f>
        <v>0</v>
      </c>
      <c r="I1307" s="572">
        <v>100</v>
      </c>
      <c r="J1307" s="580">
        <f t="shared" si="412"/>
        <v>0</v>
      </c>
      <c r="K1307" s="631">
        <f t="shared" si="413"/>
        <v>0</v>
      </c>
      <c r="L1307" s="2049"/>
      <c r="M1307" s="574"/>
      <c r="N1307" s="667">
        <f t="shared" si="414"/>
        <v>0</v>
      </c>
      <c r="O1307" s="636">
        <v>0</v>
      </c>
      <c r="P1307" s="637"/>
      <c r="Q1307" s="574"/>
      <c r="R1307" s="574"/>
      <c r="S1307" s="574"/>
    </row>
    <row r="1308" spans="1:19" ht="21.3">
      <c r="A1308" s="665"/>
      <c r="B1308" s="617"/>
      <c r="C1308" s="1125" t="s">
        <v>292</v>
      </c>
      <c r="D1308" s="1126"/>
      <c r="E1308" s="637">
        <f t="shared" si="418"/>
        <v>0</v>
      </c>
      <c r="F1308" s="619"/>
      <c r="G1308" s="572">
        <v>0</v>
      </c>
      <c r="H1308" s="580">
        <f t="shared" si="428"/>
        <v>0</v>
      </c>
      <c r="I1308" s="572">
        <v>0</v>
      </c>
      <c r="J1308" s="580">
        <f t="shared" si="412"/>
        <v>0</v>
      </c>
      <c r="K1308" s="631">
        <f t="shared" si="413"/>
        <v>0</v>
      </c>
      <c r="L1308" s="1073"/>
      <c r="M1308" s="574"/>
      <c r="N1308" s="629">
        <f t="shared" si="414"/>
        <v>0</v>
      </c>
      <c r="O1308" s="630">
        <v>0</v>
      </c>
      <c r="P1308" s="624"/>
      <c r="Q1308" s="574"/>
      <c r="R1308" s="574"/>
      <c r="S1308" s="574"/>
    </row>
    <row r="1309" spans="1:19" ht="21.3">
      <c r="A1309" s="665"/>
      <c r="B1309" s="617"/>
      <c r="C1309" s="1125" t="s">
        <v>293</v>
      </c>
      <c r="D1309" s="1126"/>
      <c r="E1309" s="637">
        <f t="shared" si="418"/>
        <v>0</v>
      </c>
      <c r="F1309" s="625" t="s">
        <v>34</v>
      </c>
      <c r="G1309" s="666">
        <v>520</v>
      </c>
      <c r="H1309" s="580"/>
      <c r="I1309" s="666">
        <v>30</v>
      </c>
      <c r="J1309" s="580">
        <f t="shared" si="412"/>
        <v>0</v>
      </c>
      <c r="K1309" s="631">
        <f t="shared" si="413"/>
        <v>0</v>
      </c>
      <c r="L1309" s="1073"/>
      <c r="M1309" s="574"/>
      <c r="N1309" s="629">
        <f t="shared" si="414"/>
        <v>0</v>
      </c>
      <c r="O1309" s="630">
        <v>0</v>
      </c>
      <c r="P1309" s="624"/>
      <c r="Q1309" s="574"/>
      <c r="R1309" s="574"/>
      <c r="S1309" s="574"/>
    </row>
    <row r="1310" spans="1:19" ht="21.3">
      <c r="A1310" s="665"/>
      <c r="B1310" s="617" t="s">
        <v>294</v>
      </c>
      <c r="C1310" s="1125" t="s">
        <v>295</v>
      </c>
      <c r="D1310" s="1126"/>
      <c r="E1310" s="637">
        <f t="shared" si="418"/>
        <v>0</v>
      </c>
      <c r="F1310" s="625" t="s">
        <v>34</v>
      </c>
      <c r="G1310" s="666">
        <v>91</v>
      </c>
      <c r="H1310" s="633">
        <f>SUM(E1310*G1310)</f>
        <v>0</v>
      </c>
      <c r="I1310" s="666">
        <v>100</v>
      </c>
      <c r="J1310" s="580">
        <f t="shared" si="412"/>
        <v>0</v>
      </c>
      <c r="K1310" s="631">
        <f t="shared" si="413"/>
        <v>0</v>
      </c>
      <c r="L1310" s="1062"/>
      <c r="M1310" s="574"/>
      <c r="N1310" s="667">
        <f t="shared" si="414"/>
        <v>0</v>
      </c>
      <c r="O1310" s="636">
        <v>0</v>
      </c>
      <c r="P1310" s="637"/>
      <c r="Q1310" s="574"/>
      <c r="R1310" s="574"/>
      <c r="S1310" s="574"/>
    </row>
    <row r="1311" spans="1:19" ht="21.3">
      <c r="A1311" s="665"/>
      <c r="B1311" s="617" t="s">
        <v>296</v>
      </c>
      <c r="C1311" s="1125" t="s">
        <v>297</v>
      </c>
      <c r="D1311" s="1126"/>
      <c r="E1311" s="637">
        <f t="shared" si="418"/>
        <v>0</v>
      </c>
      <c r="F1311" s="625" t="s">
        <v>34</v>
      </c>
      <c r="G1311" s="666">
        <v>294</v>
      </c>
      <c r="H1311" s="633">
        <f t="shared" ref="H1311:H1318" si="429">SUM(E1311*G1311)</f>
        <v>0</v>
      </c>
      <c r="I1311" s="666">
        <v>189</v>
      </c>
      <c r="J1311" s="580">
        <f t="shared" si="412"/>
        <v>0</v>
      </c>
      <c r="K1311" s="631">
        <f t="shared" si="413"/>
        <v>0</v>
      </c>
      <c r="L1311" s="1073"/>
      <c r="M1311" s="574"/>
      <c r="N1311" s="667">
        <f t="shared" si="414"/>
        <v>0</v>
      </c>
      <c r="O1311" s="636">
        <v>0</v>
      </c>
      <c r="P1311" s="637"/>
      <c r="Q1311" s="574"/>
      <c r="R1311" s="574"/>
      <c r="S1311" s="574"/>
    </row>
    <row r="1312" spans="1:19" ht="21.3">
      <c r="A1312" s="665"/>
      <c r="B1312" s="617" t="s">
        <v>298</v>
      </c>
      <c r="C1312" s="1125" t="s">
        <v>299</v>
      </c>
      <c r="D1312" s="1126"/>
      <c r="E1312" s="637">
        <f t="shared" si="418"/>
        <v>0</v>
      </c>
      <c r="F1312" s="625" t="s">
        <v>34</v>
      </c>
      <c r="G1312" s="666">
        <v>608</v>
      </c>
      <c r="H1312" s="633">
        <f t="shared" si="429"/>
        <v>0</v>
      </c>
      <c r="I1312" s="666">
        <v>189</v>
      </c>
      <c r="J1312" s="580">
        <f t="shared" si="412"/>
        <v>0</v>
      </c>
      <c r="K1312" s="631">
        <f t="shared" si="413"/>
        <v>0</v>
      </c>
      <c r="L1312" s="1073"/>
      <c r="M1312" s="574"/>
      <c r="N1312" s="667">
        <f t="shared" si="414"/>
        <v>0</v>
      </c>
      <c r="O1312" s="636">
        <v>0</v>
      </c>
      <c r="P1312" s="637"/>
      <c r="Q1312" s="574"/>
      <c r="R1312" s="574"/>
      <c r="S1312" s="574"/>
    </row>
    <row r="1313" spans="1:19" ht="21.3">
      <c r="A1313" s="665"/>
      <c r="B1313" s="623" t="s">
        <v>2549</v>
      </c>
      <c r="C1313" s="1125" t="s">
        <v>299</v>
      </c>
      <c r="D1313" s="1126"/>
      <c r="E1313" s="637">
        <f t="shared" si="418"/>
        <v>0</v>
      </c>
      <c r="F1313" s="625" t="s">
        <v>34</v>
      </c>
      <c r="G1313" s="666">
        <v>399</v>
      </c>
      <c r="H1313" s="633">
        <f t="shared" si="429"/>
        <v>0</v>
      </c>
      <c r="I1313" s="666">
        <v>189</v>
      </c>
      <c r="J1313" s="580">
        <f t="shared" si="412"/>
        <v>0</v>
      </c>
      <c r="K1313" s="631">
        <f t="shared" si="413"/>
        <v>0</v>
      </c>
      <c r="L1313" s="1073"/>
      <c r="M1313" s="574"/>
      <c r="N1313" s="667">
        <f t="shared" si="414"/>
        <v>0</v>
      </c>
      <c r="O1313" s="636">
        <v>0</v>
      </c>
      <c r="P1313" s="637"/>
      <c r="Q1313" s="574"/>
      <c r="R1313" s="574"/>
      <c r="S1313" s="574"/>
    </row>
    <row r="1314" spans="1:19" ht="21.3">
      <c r="A1314" s="665"/>
      <c r="B1314" s="617" t="s">
        <v>300</v>
      </c>
      <c r="C1314" s="1125" t="s">
        <v>301</v>
      </c>
      <c r="D1314" s="1126"/>
      <c r="E1314" s="637">
        <f t="shared" si="418"/>
        <v>0</v>
      </c>
      <c r="F1314" s="625" t="s">
        <v>34</v>
      </c>
      <c r="G1314" s="666">
        <v>88</v>
      </c>
      <c r="H1314" s="633">
        <f t="shared" si="429"/>
        <v>0</v>
      </c>
      <c r="I1314" s="666">
        <v>82</v>
      </c>
      <c r="J1314" s="580">
        <f t="shared" si="412"/>
        <v>0</v>
      </c>
      <c r="K1314" s="631">
        <f t="shared" si="413"/>
        <v>0</v>
      </c>
      <c r="L1314" s="1062"/>
      <c r="M1314" s="574"/>
      <c r="N1314" s="667">
        <f t="shared" si="414"/>
        <v>0</v>
      </c>
      <c r="O1314" s="636">
        <v>0</v>
      </c>
      <c r="P1314" s="637"/>
      <c r="Q1314" s="574"/>
      <c r="R1314" s="574"/>
      <c r="S1314" s="574"/>
    </row>
    <row r="1315" spans="1:19" ht="21.3">
      <c r="A1315" s="665"/>
      <c r="B1315" s="617"/>
      <c r="C1315" s="1125" t="s">
        <v>302</v>
      </c>
      <c r="D1315" s="1126"/>
      <c r="E1315" s="637">
        <f t="shared" si="418"/>
        <v>0</v>
      </c>
      <c r="F1315" s="625" t="s">
        <v>34</v>
      </c>
      <c r="G1315" s="2048">
        <v>69</v>
      </c>
      <c r="H1315" s="633">
        <f t="shared" si="429"/>
        <v>0</v>
      </c>
      <c r="I1315" s="2048">
        <v>28</v>
      </c>
      <c r="J1315" s="580">
        <f t="shared" si="412"/>
        <v>0</v>
      </c>
      <c r="K1315" s="631">
        <f t="shared" si="413"/>
        <v>0</v>
      </c>
      <c r="L1315" s="1062"/>
      <c r="M1315" s="574"/>
      <c r="N1315" s="667">
        <f t="shared" si="414"/>
        <v>0</v>
      </c>
      <c r="O1315" s="636">
        <v>0</v>
      </c>
      <c r="P1315" s="637"/>
      <c r="Q1315" s="574"/>
      <c r="R1315" s="574"/>
      <c r="S1315" s="574"/>
    </row>
    <row r="1316" spans="1:19" ht="21.3">
      <c r="A1316" s="665"/>
      <c r="B1316" s="617" t="s">
        <v>303</v>
      </c>
      <c r="C1316" s="1125" t="s">
        <v>304</v>
      </c>
      <c r="D1316" s="1126"/>
      <c r="E1316" s="637">
        <f t="shared" si="418"/>
        <v>0</v>
      </c>
      <c r="F1316" s="625" t="s">
        <v>34</v>
      </c>
      <c r="G1316" s="666">
        <v>870</v>
      </c>
      <c r="H1316" s="633">
        <f t="shared" si="429"/>
        <v>0</v>
      </c>
      <c r="I1316" s="666">
        <v>242</v>
      </c>
      <c r="J1316" s="580">
        <f t="shared" si="412"/>
        <v>0</v>
      </c>
      <c r="K1316" s="631">
        <f t="shared" si="413"/>
        <v>0</v>
      </c>
      <c r="L1316" s="1073"/>
      <c r="M1316" s="574"/>
      <c r="N1316" s="667">
        <f t="shared" si="414"/>
        <v>0</v>
      </c>
      <c r="O1316" s="636">
        <v>0</v>
      </c>
      <c r="P1316" s="637"/>
      <c r="Q1316" s="574"/>
      <c r="R1316" s="574"/>
      <c r="S1316" s="574"/>
    </row>
    <row r="1317" spans="1:19" ht="21.3">
      <c r="A1317" s="665"/>
      <c r="B1317" s="617"/>
      <c r="C1317" s="1125" t="s">
        <v>305</v>
      </c>
      <c r="D1317" s="1126"/>
      <c r="E1317" s="637">
        <f t="shared" si="418"/>
        <v>0</v>
      </c>
      <c r="F1317" s="619"/>
      <c r="G1317" s="572"/>
      <c r="H1317" s="580"/>
      <c r="I1317" s="572"/>
      <c r="J1317" s="580">
        <f t="shared" si="412"/>
        <v>0</v>
      </c>
      <c r="K1317" s="631">
        <f t="shared" si="413"/>
        <v>0</v>
      </c>
      <c r="L1317" s="1073"/>
      <c r="M1317" s="574"/>
      <c r="N1317" s="629">
        <f t="shared" si="414"/>
        <v>0</v>
      </c>
      <c r="O1317" s="630">
        <v>0</v>
      </c>
      <c r="P1317" s="624"/>
      <c r="Q1317" s="574"/>
      <c r="R1317" s="574"/>
      <c r="S1317" s="574"/>
    </row>
    <row r="1318" spans="1:19" ht="21.3">
      <c r="A1318" s="665"/>
      <c r="B1318" s="623" t="s">
        <v>2550</v>
      </c>
      <c r="C1318" s="1125" t="s">
        <v>304</v>
      </c>
      <c r="D1318" s="1126"/>
      <c r="E1318" s="637">
        <f t="shared" si="418"/>
        <v>0</v>
      </c>
      <c r="F1318" s="625" t="s">
        <v>34</v>
      </c>
      <c r="G1318" s="666">
        <v>765</v>
      </c>
      <c r="H1318" s="633">
        <f t="shared" si="429"/>
        <v>0</v>
      </c>
      <c r="I1318" s="666">
        <v>242</v>
      </c>
      <c r="J1318" s="580">
        <f t="shared" si="412"/>
        <v>0</v>
      </c>
      <c r="K1318" s="631">
        <f t="shared" si="413"/>
        <v>0</v>
      </c>
      <c r="L1318" s="1073"/>
      <c r="M1318" s="574"/>
      <c r="N1318" s="667">
        <f t="shared" si="414"/>
        <v>0</v>
      </c>
      <c r="O1318" s="636">
        <v>0</v>
      </c>
      <c r="P1318" s="637"/>
      <c r="Q1318" s="574"/>
      <c r="R1318" s="574"/>
      <c r="S1318" s="574"/>
    </row>
    <row r="1319" spans="1:19" ht="21.3">
      <c r="A1319" s="665"/>
      <c r="B1319" s="617"/>
      <c r="C1319" s="1125" t="s">
        <v>305</v>
      </c>
      <c r="D1319" s="1126"/>
      <c r="E1319" s="637">
        <f t="shared" si="418"/>
        <v>0</v>
      </c>
      <c r="F1319" s="619"/>
      <c r="G1319" s="572"/>
      <c r="H1319" s="580"/>
      <c r="I1319" s="572"/>
      <c r="J1319" s="580">
        <f t="shared" si="412"/>
        <v>0</v>
      </c>
      <c r="K1319" s="631">
        <f t="shared" si="413"/>
        <v>0</v>
      </c>
      <c r="L1319" s="1073"/>
      <c r="M1319" s="574"/>
      <c r="N1319" s="629">
        <f t="shared" si="414"/>
        <v>0</v>
      </c>
      <c r="O1319" s="630">
        <v>0</v>
      </c>
      <c r="P1319" s="624"/>
      <c r="Q1319" s="574"/>
      <c r="R1319" s="574"/>
      <c r="S1319" s="574"/>
    </row>
    <row r="1320" spans="1:19" ht="21.3">
      <c r="A1320" s="665"/>
      <c r="B1320" s="617" t="s">
        <v>306</v>
      </c>
      <c r="C1320" s="1125" t="s">
        <v>307</v>
      </c>
      <c r="D1320" s="1126"/>
      <c r="E1320" s="637">
        <f t="shared" si="418"/>
        <v>0</v>
      </c>
      <c r="F1320" s="625" t="s">
        <v>34</v>
      </c>
      <c r="G1320" s="666"/>
      <c r="H1320" s="633">
        <v>0</v>
      </c>
      <c r="I1320" s="666"/>
      <c r="J1320" s="580">
        <f t="shared" si="412"/>
        <v>0</v>
      </c>
      <c r="K1320" s="631">
        <f t="shared" si="413"/>
        <v>0</v>
      </c>
      <c r="L1320" s="1073"/>
      <c r="M1320" s="574"/>
      <c r="N1320" s="667">
        <f t="shared" si="414"/>
        <v>0</v>
      </c>
      <c r="O1320" s="636">
        <v>0</v>
      </c>
      <c r="P1320" s="637"/>
      <c r="Q1320" s="574"/>
      <c r="R1320" s="574"/>
      <c r="S1320" s="574"/>
    </row>
    <row r="1321" spans="1:19" ht="21.3">
      <c r="A1321" s="665"/>
      <c r="B1321" s="617" t="s">
        <v>308</v>
      </c>
      <c r="C1321" s="617" t="s">
        <v>309</v>
      </c>
      <c r="D1321" s="617"/>
      <c r="E1321" s="637">
        <f t="shared" si="418"/>
        <v>0</v>
      </c>
      <c r="F1321" s="625" t="s">
        <v>34</v>
      </c>
      <c r="G1321" s="666">
        <v>1296</v>
      </c>
      <c r="H1321" s="633">
        <f t="shared" ref="H1321:H1332" si="430">SUM(E1321*G1321)</f>
        <v>0</v>
      </c>
      <c r="I1321" s="666">
        <v>1600</v>
      </c>
      <c r="J1321" s="580">
        <f t="shared" si="412"/>
        <v>0</v>
      </c>
      <c r="K1321" s="631">
        <f t="shared" si="413"/>
        <v>0</v>
      </c>
      <c r="L1321" s="1073"/>
      <c r="M1321" s="574"/>
      <c r="N1321" s="667">
        <f t="shared" si="414"/>
        <v>0</v>
      </c>
      <c r="O1321" s="636">
        <v>0</v>
      </c>
      <c r="P1321" s="637"/>
      <c r="Q1321" s="574"/>
      <c r="R1321" s="574"/>
      <c r="S1321" s="574"/>
    </row>
    <row r="1322" spans="1:19" ht="21.3">
      <c r="A1322" s="665"/>
      <c r="B1322" s="617"/>
      <c r="C1322" s="617" t="s">
        <v>310</v>
      </c>
      <c r="D1322" s="617"/>
      <c r="E1322" s="637">
        <f t="shared" si="418"/>
        <v>0</v>
      </c>
      <c r="F1322" s="619"/>
      <c r="G1322" s="666"/>
      <c r="H1322" s="633">
        <f t="shared" si="430"/>
        <v>0</v>
      </c>
      <c r="I1322" s="666"/>
      <c r="J1322" s="580">
        <f t="shared" si="412"/>
        <v>0</v>
      </c>
      <c r="K1322" s="631">
        <f t="shared" si="413"/>
        <v>0</v>
      </c>
      <c r="L1322" s="1073"/>
      <c r="M1322" s="574"/>
      <c r="N1322" s="629">
        <f t="shared" si="414"/>
        <v>0</v>
      </c>
      <c r="O1322" s="630">
        <v>0</v>
      </c>
      <c r="P1322" s="624"/>
      <c r="Q1322" s="574"/>
      <c r="R1322" s="574"/>
      <c r="S1322" s="574"/>
    </row>
    <row r="1323" spans="1:19" ht="21.3">
      <c r="A1323" s="665"/>
      <c r="B1323" s="617" t="s">
        <v>311</v>
      </c>
      <c r="C1323" s="1125" t="s">
        <v>312</v>
      </c>
      <c r="D1323" s="1126"/>
      <c r="E1323" s="637">
        <f t="shared" si="418"/>
        <v>0</v>
      </c>
      <c r="F1323" s="625" t="s">
        <v>34</v>
      </c>
      <c r="G1323" s="666"/>
      <c r="H1323" s="633">
        <f t="shared" si="430"/>
        <v>0</v>
      </c>
      <c r="I1323" s="666"/>
      <c r="J1323" s="580">
        <f t="shared" si="412"/>
        <v>0</v>
      </c>
      <c r="K1323" s="631">
        <f t="shared" si="413"/>
        <v>0</v>
      </c>
      <c r="L1323" s="1073"/>
      <c r="M1323" s="574"/>
      <c r="N1323" s="667">
        <f t="shared" si="414"/>
        <v>0</v>
      </c>
      <c r="O1323" s="636">
        <v>0</v>
      </c>
      <c r="P1323" s="637"/>
      <c r="Q1323" s="574"/>
      <c r="R1323" s="574"/>
      <c r="S1323" s="574"/>
    </row>
    <row r="1324" spans="1:19" ht="21.3">
      <c r="A1324" s="665"/>
      <c r="B1324" s="617" t="s">
        <v>313</v>
      </c>
      <c r="C1324" s="1125" t="s">
        <v>314</v>
      </c>
      <c r="D1324" s="1126"/>
      <c r="E1324" s="637">
        <f t="shared" si="418"/>
        <v>0</v>
      </c>
      <c r="F1324" s="625" t="s">
        <v>34</v>
      </c>
      <c r="G1324" s="666"/>
      <c r="H1324" s="633">
        <f t="shared" si="430"/>
        <v>0</v>
      </c>
      <c r="I1324" s="666"/>
      <c r="J1324" s="580">
        <f t="shared" si="412"/>
        <v>0</v>
      </c>
      <c r="K1324" s="631">
        <f t="shared" si="413"/>
        <v>0</v>
      </c>
      <c r="L1324" s="1073"/>
      <c r="M1324" s="574"/>
      <c r="N1324" s="667">
        <f t="shared" si="414"/>
        <v>0</v>
      </c>
      <c r="O1324" s="636">
        <v>0</v>
      </c>
      <c r="P1324" s="637"/>
      <c r="Q1324" s="574"/>
      <c r="R1324" s="574"/>
      <c r="S1324" s="574"/>
    </row>
    <row r="1325" spans="1:19" ht="21.3">
      <c r="A1325" s="665"/>
      <c r="B1325" s="617" t="s">
        <v>315</v>
      </c>
      <c r="C1325" s="1125" t="s">
        <v>316</v>
      </c>
      <c r="D1325" s="1126"/>
      <c r="E1325" s="637">
        <f t="shared" si="418"/>
        <v>0</v>
      </c>
      <c r="F1325" s="625" t="s">
        <v>34</v>
      </c>
      <c r="G1325" s="572">
        <v>15000</v>
      </c>
      <c r="H1325" s="580">
        <f t="shared" si="430"/>
        <v>0</v>
      </c>
      <c r="I1325" s="572">
        <v>500</v>
      </c>
      <c r="J1325" s="580">
        <f t="shared" si="412"/>
        <v>0</v>
      </c>
      <c r="K1325" s="631">
        <f t="shared" si="413"/>
        <v>0</v>
      </c>
      <c r="L1325" s="1061"/>
      <c r="M1325" s="574"/>
      <c r="N1325" s="667">
        <f t="shared" si="414"/>
        <v>0</v>
      </c>
      <c r="O1325" s="636">
        <v>0</v>
      </c>
      <c r="P1325" s="637"/>
      <c r="Q1325" s="574"/>
      <c r="R1325" s="574"/>
      <c r="S1325" s="574"/>
    </row>
    <row r="1326" spans="1:19" ht="21.3">
      <c r="A1326" s="665"/>
      <c r="B1326" s="617" t="s">
        <v>317</v>
      </c>
      <c r="C1326" s="1125" t="s">
        <v>318</v>
      </c>
      <c r="D1326" s="1126"/>
      <c r="E1326" s="637">
        <f t="shared" si="418"/>
        <v>2033.04</v>
      </c>
      <c r="F1326" s="625" t="s">
        <v>34</v>
      </c>
      <c r="G1326" s="666">
        <v>88</v>
      </c>
      <c r="H1326" s="633">
        <f t="shared" si="430"/>
        <v>178907.51999999999</v>
      </c>
      <c r="I1326" s="666">
        <v>82</v>
      </c>
      <c r="J1326" s="580">
        <f t="shared" si="412"/>
        <v>166709.28</v>
      </c>
      <c r="K1326" s="631">
        <f t="shared" si="413"/>
        <v>345616.8</v>
      </c>
      <c r="L1326" s="1062"/>
      <c r="M1326" s="574"/>
      <c r="N1326" s="667">
        <f t="shared" si="414"/>
        <v>2033.04</v>
      </c>
      <c r="O1326" s="636">
        <v>0</v>
      </c>
      <c r="P1326" s="637">
        <v>2033.04</v>
      </c>
      <c r="Q1326" s="574"/>
      <c r="R1326" s="574"/>
      <c r="S1326" s="574"/>
    </row>
    <row r="1327" spans="1:19" ht="21.3">
      <c r="A1327" s="665"/>
      <c r="B1327" s="617" t="s">
        <v>319</v>
      </c>
      <c r="C1327" s="1125" t="s">
        <v>320</v>
      </c>
      <c r="D1327" s="1126"/>
      <c r="E1327" s="637">
        <f t="shared" si="418"/>
        <v>0</v>
      </c>
      <c r="F1327" s="625" t="s">
        <v>34</v>
      </c>
      <c r="G1327" s="666">
        <v>1955</v>
      </c>
      <c r="H1327" s="633">
        <f t="shared" si="430"/>
        <v>0</v>
      </c>
      <c r="I1327" s="666">
        <v>1700</v>
      </c>
      <c r="J1327" s="580">
        <f t="shared" si="412"/>
        <v>0</v>
      </c>
      <c r="K1327" s="631">
        <f t="shared" si="413"/>
        <v>0</v>
      </c>
      <c r="L1327" s="1073"/>
      <c r="M1327" s="574"/>
      <c r="N1327" s="667">
        <f t="shared" si="414"/>
        <v>0</v>
      </c>
      <c r="O1327" s="636">
        <v>0</v>
      </c>
      <c r="P1327" s="637"/>
      <c r="Q1327" s="574"/>
      <c r="R1327" s="574"/>
      <c r="S1327" s="574"/>
    </row>
    <row r="1328" spans="1:19" ht="21.3">
      <c r="A1328" s="665"/>
      <c r="B1328" s="617"/>
      <c r="C1328" s="1125" t="s">
        <v>321</v>
      </c>
      <c r="D1328" s="1126"/>
      <c r="E1328" s="637">
        <f t="shared" si="418"/>
        <v>0</v>
      </c>
      <c r="F1328" s="625" t="s">
        <v>34</v>
      </c>
      <c r="G1328" s="666">
        <v>0</v>
      </c>
      <c r="H1328" s="633">
        <f t="shared" si="430"/>
        <v>0</v>
      </c>
      <c r="I1328" s="666">
        <v>0</v>
      </c>
      <c r="J1328" s="580">
        <f t="shared" si="412"/>
        <v>0</v>
      </c>
      <c r="K1328" s="631">
        <f t="shared" si="413"/>
        <v>0</v>
      </c>
      <c r="L1328" s="1073"/>
      <c r="M1328" s="574"/>
      <c r="N1328" s="667">
        <f t="shared" si="414"/>
        <v>0</v>
      </c>
      <c r="O1328" s="636">
        <v>0</v>
      </c>
      <c r="P1328" s="637"/>
      <c r="Q1328" s="574"/>
      <c r="R1328" s="574"/>
      <c r="S1328" s="574"/>
    </row>
    <row r="1329" spans="1:19" ht="21.3">
      <c r="A1329" s="665"/>
      <c r="B1329" s="617" t="s">
        <v>322</v>
      </c>
      <c r="C1329" s="1125" t="s">
        <v>323</v>
      </c>
      <c r="D1329" s="1126"/>
      <c r="E1329" s="637">
        <f t="shared" si="418"/>
        <v>0</v>
      </c>
      <c r="F1329" s="625" t="s">
        <v>34</v>
      </c>
      <c r="G1329" s="666">
        <v>1296</v>
      </c>
      <c r="H1329" s="633">
        <f t="shared" si="430"/>
        <v>0</v>
      </c>
      <c r="I1329" s="666">
        <v>1600</v>
      </c>
      <c r="J1329" s="580">
        <f t="shared" si="412"/>
        <v>0</v>
      </c>
      <c r="K1329" s="631">
        <f t="shared" si="413"/>
        <v>0</v>
      </c>
      <c r="L1329" s="1073"/>
      <c r="M1329" s="574"/>
      <c r="N1329" s="667">
        <f t="shared" si="414"/>
        <v>0</v>
      </c>
      <c r="O1329" s="636">
        <v>0</v>
      </c>
      <c r="P1329" s="637"/>
      <c r="Q1329" s="574"/>
      <c r="R1329" s="574"/>
      <c r="S1329" s="574"/>
    </row>
    <row r="1330" spans="1:19" ht="21.3">
      <c r="A1330" s="665"/>
      <c r="B1330" s="617" t="s">
        <v>324</v>
      </c>
      <c r="C1330" s="1125" t="s">
        <v>325</v>
      </c>
      <c r="D1330" s="1126"/>
      <c r="E1330" s="637">
        <f t="shared" si="418"/>
        <v>0</v>
      </c>
      <c r="F1330" s="625" t="s">
        <v>34</v>
      </c>
      <c r="G1330" s="2048">
        <f>13+69</f>
        <v>82</v>
      </c>
      <c r="H1330" s="633">
        <f t="shared" si="430"/>
        <v>0</v>
      </c>
      <c r="I1330" s="2048">
        <f>30+28</f>
        <v>58</v>
      </c>
      <c r="J1330" s="580">
        <f t="shared" si="412"/>
        <v>0</v>
      </c>
      <c r="K1330" s="631">
        <f t="shared" si="413"/>
        <v>0</v>
      </c>
      <c r="L1330" s="2049"/>
      <c r="M1330" s="574"/>
      <c r="N1330" s="667">
        <f t="shared" si="414"/>
        <v>0</v>
      </c>
      <c r="O1330" s="636">
        <v>0</v>
      </c>
      <c r="P1330" s="637"/>
      <c r="Q1330" s="574"/>
      <c r="R1330" s="574"/>
      <c r="S1330" s="574"/>
    </row>
    <row r="1331" spans="1:19" ht="21.3">
      <c r="A1331" s="665"/>
      <c r="B1331" s="617" t="s">
        <v>326</v>
      </c>
      <c r="C1331" s="1125" t="s">
        <v>327</v>
      </c>
      <c r="D1331" s="1126"/>
      <c r="E1331" s="637">
        <f t="shared" si="418"/>
        <v>0</v>
      </c>
      <c r="F1331" s="625" t="s">
        <v>34</v>
      </c>
      <c r="G1331" s="666"/>
      <c r="H1331" s="633">
        <f t="shared" si="430"/>
        <v>0</v>
      </c>
      <c r="I1331" s="666"/>
      <c r="J1331" s="580">
        <f t="shared" si="412"/>
        <v>0</v>
      </c>
      <c r="K1331" s="631">
        <f t="shared" si="413"/>
        <v>0</v>
      </c>
      <c r="L1331" s="1073"/>
      <c r="M1331" s="574"/>
      <c r="N1331" s="667">
        <f t="shared" si="414"/>
        <v>0</v>
      </c>
      <c r="O1331" s="636">
        <v>0</v>
      </c>
      <c r="P1331" s="637"/>
      <c r="Q1331" s="574"/>
      <c r="R1331" s="574"/>
      <c r="S1331" s="574"/>
    </row>
    <row r="1332" spans="1:19" ht="21.3">
      <c r="A1332" s="665"/>
      <c r="B1332" s="617" t="s">
        <v>328</v>
      </c>
      <c r="C1332" s="617" t="s">
        <v>329</v>
      </c>
      <c r="D1332" s="1126"/>
      <c r="E1332" s="637">
        <f t="shared" si="418"/>
        <v>0</v>
      </c>
      <c r="F1332" s="625" t="s">
        <v>34</v>
      </c>
      <c r="G1332" s="666"/>
      <c r="H1332" s="633">
        <f t="shared" si="430"/>
        <v>0</v>
      </c>
      <c r="I1332" s="666"/>
      <c r="J1332" s="580">
        <f t="shared" si="412"/>
        <v>0</v>
      </c>
      <c r="K1332" s="631">
        <f t="shared" si="413"/>
        <v>0</v>
      </c>
      <c r="L1332" s="1073"/>
      <c r="M1332" s="574"/>
      <c r="N1332" s="667">
        <f t="shared" si="414"/>
        <v>0</v>
      </c>
      <c r="O1332" s="636">
        <v>0</v>
      </c>
      <c r="P1332" s="637"/>
      <c r="Q1332" s="574"/>
      <c r="R1332" s="574"/>
      <c r="S1332" s="574"/>
    </row>
    <row r="1333" spans="1:19" ht="21.3">
      <c r="A1333" s="665"/>
      <c r="B1333" s="617"/>
      <c r="C1333" s="617" t="s">
        <v>330</v>
      </c>
      <c r="D1333" s="1129"/>
      <c r="E1333" s="637"/>
      <c r="F1333" s="625"/>
      <c r="G1333" s="642"/>
      <c r="H1333" s="668"/>
      <c r="I1333" s="642"/>
      <c r="J1333" s="580">
        <f t="shared" si="412"/>
        <v>0</v>
      </c>
      <c r="K1333" s="631">
        <f t="shared" si="413"/>
        <v>0</v>
      </c>
      <c r="L1333" s="1065"/>
      <c r="M1333" s="574"/>
      <c r="N1333" s="669">
        <f t="shared" si="414"/>
        <v>0</v>
      </c>
      <c r="O1333" s="636">
        <v>0</v>
      </c>
      <c r="P1333" s="637"/>
      <c r="Q1333" s="574"/>
      <c r="R1333" s="574"/>
      <c r="S1333" s="574"/>
    </row>
    <row r="1334" spans="1:19" ht="21.3">
      <c r="A1334" s="658"/>
      <c r="B1334" s="2228" t="str">
        <f>"รวมราคารายการที่ "&amp;A495</f>
        <v>รวมราคารายการที่ 2.2</v>
      </c>
      <c r="C1334" s="2228"/>
      <c r="D1334" s="2228"/>
      <c r="E1334" s="600"/>
      <c r="F1334" s="601"/>
      <c r="G1334" s="602"/>
      <c r="H1334" s="660">
        <f>SUBTOTAL(9,H496:H1333)</f>
        <v>26060274.121285021</v>
      </c>
      <c r="I1334" s="661"/>
      <c r="J1334" s="660">
        <f>SUBTOTAL(9,J496:J1333)</f>
        <v>12234779.187659996</v>
      </c>
      <c r="K1334" s="660">
        <f>SUBTOTAL(9,K496:K1333)</f>
        <v>38295053.308945015</v>
      </c>
      <c r="L1334" s="662"/>
      <c r="M1334" s="574"/>
      <c r="N1334" s="671"/>
      <c r="O1334" s="606">
        <v>0</v>
      </c>
      <c r="P1334" s="600"/>
      <c r="Q1334" s="574"/>
      <c r="R1334" s="574"/>
      <c r="S1334" s="574"/>
    </row>
    <row r="1335" spans="1:19" ht="21.3">
      <c r="A1335" s="608">
        <v>2.2999999999999998</v>
      </c>
      <c r="B1335" s="1122" t="s">
        <v>357</v>
      </c>
      <c r="C1335" s="609"/>
      <c r="D1335" s="1123"/>
      <c r="E1335" s="610"/>
      <c r="F1335" s="611"/>
      <c r="G1335" s="612"/>
      <c r="H1335" s="613"/>
      <c r="I1335" s="614"/>
      <c r="J1335" s="613"/>
      <c r="K1335" s="1058"/>
      <c r="L1335" s="1078"/>
      <c r="M1335" s="574"/>
      <c r="N1335" s="615"/>
      <c r="O1335" s="616">
        <v>0</v>
      </c>
      <c r="P1335" s="610"/>
      <c r="Q1335" s="574"/>
      <c r="R1335" s="574"/>
      <c r="S1335" s="574"/>
    </row>
    <row r="1336" spans="1:19" ht="21.3">
      <c r="A1336" s="665" t="s">
        <v>358</v>
      </c>
      <c r="B1336" s="1114" t="s">
        <v>359</v>
      </c>
      <c r="C1336" s="617"/>
      <c r="D1336" s="1124"/>
      <c r="E1336" s="618"/>
      <c r="F1336" s="625"/>
      <c r="G1336" s="650"/>
      <c r="H1336" s="571"/>
      <c r="I1336" s="651"/>
      <c r="J1336" s="571"/>
      <c r="K1336" s="1060"/>
      <c r="L1336" s="1065"/>
      <c r="M1336" s="574"/>
      <c r="N1336" s="672"/>
      <c r="O1336" s="622">
        <v>0</v>
      </c>
      <c r="P1336" s="618"/>
      <c r="Q1336" s="574"/>
      <c r="R1336" s="574"/>
      <c r="S1336" s="574"/>
    </row>
    <row r="1337" spans="1:19" s="682" customFormat="1" ht="24" customHeight="1">
      <c r="A1337" s="665"/>
      <c r="B1337" s="617" t="s">
        <v>360</v>
      </c>
      <c r="C1337" s="1137"/>
      <c r="D1337" s="1126"/>
      <c r="E1337" s="673"/>
      <c r="F1337" s="674" t="s">
        <v>361</v>
      </c>
      <c r="G1337" s="675">
        <v>190</v>
      </c>
      <c r="H1337" s="676">
        <f t="shared" ref="H1337" si="431">SUM(E1337*G1337)</f>
        <v>0</v>
      </c>
      <c r="I1337" s="677">
        <v>75</v>
      </c>
      <c r="J1337" s="678">
        <f t="shared" ref="J1337:J1350" si="432">SUM(E1337*I1337)</f>
        <v>0</v>
      </c>
      <c r="K1337" s="675">
        <f t="shared" ref="K1337:K1350" si="433">SUM(H1337+J1337)</f>
        <v>0</v>
      </c>
      <c r="L1337" s="1079"/>
      <c r="M1337" s="679"/>
      <c r="N1337" s="680">
        <f>+(1+O1337)*P1337</f>
        <v>0</v>
      </c>
      <c r="O1337" s="681">
        <v>0</v>
      </c>
      <c r="P1337" s="673"/>
      <c r="Q1337" s="679"/>
      <c r="R1337" s="679"/>
      <c r="S1337" s="679"/>
    </row>
    <row r="1338" spans="1:19" s="684" customFormat="1" ht="24" customHeight="1">
      <c r="A1338" s="665"/>
      <c r="B1338" s="617" t="s">
        <v>362</v>
      </c>
      <c r="C1338" s="1137"/>
      <c r="D1338" s="1126"/>
      <c r="E1338" s="673"/>
      <c r="F1338" s="674" t="s">
        <v>363</v>
      </c>
      <c r="G1338" s="675">
        <v>347</v>
      </c>
      <c r="H1338" s="676">
        <f t="shared" ref="H1338:H1350" si="434">SUM(E1338*G1338)</f>
        <v>0</v>
      </c>
      <c r="I1338" s="677">
        <v>75</v>
      </c>
      <c r="J1338" s="678">
        <f t="shared" si="432"/>
        <v>0</v>
      </c>
      <c r="K1338" s="675">
        <f t="shared" si="433"/>
        <v>0</v>
      </c>
      <c r="L1338" s="1079"/>
      <c r="M1338" s="683"/>
      <c r="N1338" s="680">
        <f t="shared" ref="N1338:N1404" si="435">+(1+O1338)*P1338</f>
        <v>0</v>
      </c>
      <c r="O1338" s="681">
        <v>0</v>
      </c>
      <c r="P1338" s="673"/>
    </row>
    <row r="1339" spans="1:19" ht="21.3">
      <c r="A1339" s="665"/>
      <c r="B1339" s="617" t="s">
        <v>364</v>
      </c>
      <c r="C1339" s="1137" t="s">
        <v>365</v>
      </c>
      <c r="D1339" s="1126"/>
      <c r="E1339" s="673">
        <f>+N1339</f>
        <v>117.6</v>
      </c>
      <c r="F1339" s="674" t="s">
        <v>34</v>
      </c>
      <c r="G1339" s="675">
        <v>169</v>
      </c>
      <c r="H1339" s="676">
        <f t="shared" si="434"/>
        <v>19874.399999999998</v>
      </c>
      <c r="I1339" s="677">
        <v>75</v>
      </c>
      <c r="J1339" s="678">
        <f t="shared" si="432"/>
        <v>8820</v>
      </c>
      <c r="K1339" s="675">
        <f t="shared" si="433"/>
        <v>28694.399999999998</v>
      </c>
      <c r="L1339" s="1079"/>
      <c r="M1339" s="574"/>
      <c r="N1339" s="680">
        <f t="shared" si="435"/>
        <v>117.6</v>
      </c>
      <c r="O1339" s="681">
        <v>0</v>
      </c>
      <c r="P1339" s="673">
        <v>117.6</v>
      </c>
      <c r="Q1339" s="574"/>
      <c r="R1339" s="574"/>
      <c r="S1339" s="574"/>
    </row>
    <row r="1340" spans="1:19" ht="21.3">
      <c r="A1340" s="665"/>
      <c r="B1340" s="617"/>
      <c r="C1340" s="1137" t="s">
        <v>366</v>
      </c>
      <c r="D1340" s="1126"/>
      <c r="E1340" s="673">
        <f>+N1340</f>
        <v>117.6</v>
      </c>
      <c r="F1340" s="674" t="s">
        <v>34</v>
      </c>
      <c r="G1340" s="675">
        <v>69</v>
      </c>
      <c r="H1340" s="676">
        <f t="shared" si="434"/>
        <v>8114.4</v>
      </c>
      <c r="I1340" s="677">
        <v>28</v>
      </c>
      <c r="J1340" s="678">
        <f t="shared" si="432"/>
        <v>3292.7999999999997</v>
      </c>
      <c r="K1340" s="675">
        <f t="shared" si="433"/>
        <v>11407.199999999999</v>
      </c>
      <c r="L1340" s="1079"/>
      <c r="M1340" s="574"/>
      <c r="N1340" s="680">
        <f t="shared" si="435"/>
        <v>117.6</v>
      </c>
      <c r="O1340" s="681">
        <v>0</v>
      </c>
      <c r="P1340" s="673">
        <v>117.6</v>
      </c>
      <c r="Q1340" s="574"/>
      <c r="R1340" s="574"/>
      <c r="S1340" s="574"/>
    </row>
    <row r="1341" spans="1:19" ht="21.3">
      <c r="A1341" s="665"/>
      <c r="B1341" s="617" t="s">
        <v>367</v>
      </c>
      <c r="C1341" s="1125" t="s">
        <v>368</v>
      </c>
      <c r="D1341" s="1126"/>
      <c r="E1341" s="673">
        <f t="shared" ref="E1341:E1350" si="436">+N1341</f>
        <v>0</v>
      </c>
      <c r="F1341" s="674" t="s">
        <v>34</v>
      </c>
      <c r="G1341" s="675">
        <v>192</v>
      </c>
      <c r="H1341" s="676">
        <f t="shared" si="434"/>
        <v>0</v>
      </c>
      <c r="I1341" s="677">
        <v>75</v>
      </c>
      <c r="J1341" s="678">
        <f t="shared" si="432"/>
        <v>0</v>
      </c>
      <c r="K1341" s="675">
        <f t="shared" si="433"/>
        <v>0</v>
      </c>
      <c r="L1341" s="1079"/>
      <c r="M1341" s="574"/>
      <c r="N1341" s="680">
        <f t="shared" si="435"/>
        <v>0</v>
      </c>
      <c r="O1341" s="681">
        <v>0</v>
      </c>
      <c r="P1341" s="673"/>
      <c r="Q1341" s="574"/>
      <c r="R1341" s="574"/>
      <c r="S1341" s="574"/>
    </row>
    <row r="1342" spans="1:19" ht="21.3">
      <c r="A1342" s="665"/>
      <c r="B1342" s="617"/>
      <c r="C1342" s="1125" t="s">
        <v>369</v>
      </c>
      <c r="D1342" s="1126"/>
      <c r="E1342" s="673">
        <f t="shared" si="436"/>
        <v>0</v>
      </c>
      <c r="F1342" s="674" t="s">
        <v>34</v>
      </c>
      <c r="G1342" s="675">
        <v>69</v>
      </c>
      <c r="H1342" s="676">
        <f t="shared" si="434"/>
        <v>0</v>
      </c>
      <c r="I1342" s="677">
        <v>28</v>
      </c>
      <c r="J1342" s="678">
        <f t="shared" si="432"/>
        <v>0</v>
      </c>
      <c r="K1342" s="675">
        <f t="shared" si="433"/>
        <v>0</v>
      </c>
      <c r="L1342" s="1079"/>
      <c r="M1342" s="574"/>
      <c r="N1342" s="680">
        <f t="shared" si="435"/>
        <v>0</v>
      </c>
      <c r="O1342" s="681">
        <v>0</v>
      </c>
      <c r="P1342" s="673"/>
      <c r="Q1342" s="574"/>
      <c r="R1342" s="574"/>
      <c r="S1342" s="574"/>
    </row>
    <row r="1343" spans="1:19" ht="21.3">
      <c r="A1343" s="665"/>
      <c r="B1343" s="617" t="s">
        <v>370</v>
      </c>
      <c r="C1343" s="1125" t="s">
        <v>371</v>
      </c>
      <c r="D1343" s="1126"/>
      <c r="E1343" s="673">
        <f t="shared" si="436"/>
        <v>0</v>
      </c>
      <c r="F1343" s="674" t="s">
        <v>34</v>
      </c>
      <c r="G1343" s="675">
        <v>650</v>
      </c>
      <c r="H1343" s="676">
        <f t="shared" si="434"/>
        <v>0</v>
      </c>
      <c r="I1343" s="677">
        <v>52</v>
      </c>
      <c r="J1343" s="678">
        <f t="shared" si="432"/>
        <v>0</v>
      </c>
      <c r="K1343" s="675">
        <f t="shared" si="433"/>
        <v>0</v>
      </c>
      <c r="L1343" s="1079"/>
      <c r="M1343" s="574"/>
      <c r="N1343" s="680">
        <f t="shared" si="435"/>
        <v>0</v>
      </c>
      <c r="O1343" s="681">
        <v>0</v>
      </c>
      <c r="P1343" s="673"/>
      <c r="Q1343" s="574"/>
      <c r="R1343" s="574"/>
      <c r="S1343" s="574"/>
    </row>
    <row r="1344" spans="1:19" ht="21.3">
      <c r="A1344" s="665"/>
      <c r="B1344" s="617" t="s">
        <v>372</v>
      </c>
      <c r="C1344" s="1125" t="s">
        <v>373</v>
      </c>
      <c r="D1344" s="1126"/>
      <c r="E1344" s="673">
        <f t="shared" si="436"/>
        <v>0</v>
      </c>
      <c r="F1344" s="674" t="s">
        <v>34</v>
      </c>
      <c r="G1344" s="675">
        <v>30</v>
      </c>
      <c r="H1344" s="676">
        <f t="shared" si="434"/>
        <v>0</v>
      </c>
      <c r="I1344" s="677">
        <v>50</v>
      </c>
      <c r="J1344" s="678">
        <f t="shared" si="432"/>
        <v>0</v>
      </c>
      <c r="K1344" s="675">
        <f t="shared" si="433"/>
        <v>0</v>
      </c>
      <c r="L1344" s="1079"/>
      <c r="M1344" s="632"/>
      <c r="N1344" s="680">
        <f t="shared" si="435"/>
        <v>0</v>
      </c>
      <c r="O1344" s="681">
        <v>0</v>
      </c>
      <c r="P1344" s="673"/>
      <c r="Q1344" s="632"/>
      <c r="R1344" s="632"/>
      <c r="S1344" s="632"/>
    </row>
    <row r="1345" spans="1:19" ht="21.3">
      <c r="A1345" s="665"/>
      <c r="B1345" s="617" t="s">
        <v>374</v>
      </c>
      <c r="C1345" s="1125" t="s">
        <v>375</v>
      </c>
      <c r="D1345" s="1126"/>
      <c r="E1345" s="673">
        <f t="shared" si="436"/>
        <v>232.70000000000002</v>
      </c>
      <c r="F1345" s="674" t="s">
        <v>34</v>
      </c>
      <c r="G1345" s="675">
        <v>30</v>
      </c>
      <c r="H1345" s="676">
        <f t="shared" si="434"/>
        <v>6981.0000000000009</v>
      </c>
      <c r="I1345" s="677">
        <v>50</v>
      </c>
      <c r="J1345" s="678">
        <f t="shared" si="432"/>
        <v>11635</v>
      </c>
      <c r="K1345" s="675">
        <f t="shared" si="433"/>
        <v>18616</v>
      </c>
      <c r="L1345" s="1079"/>
      <c r="M1345" s="632"/>
      <c r="N1345" s="680">
        <f t="shared" si="435"/>
        <v>232.70000000000002</v>
      </c>
      <c r="O1345" s="681">
        <v>0</v>
      </c>
      <c r="P1345" s="673">
        <v>232.70000000000002</v>
      </c>
      <c r="Q1345" s="632"/>
      <c r="R1345" s="632"/>
      <c r="S1345" s="632"/>
    </row>
    <row r="1346" spans="1:19" ht="21.3">
      <c r="A1346" s="665"/>
      <c r="B1346" s="617"/>
      <c r="C1346" s="1125"/>
      <c r="D1346" s="1126"/>
      <c r="E1346" s="673"/>
      <c r="F1346" s="674"/>
      <c r="G1346" s="675"/>
      <c r="H1346" s="676"/>
      <c r="I1346" s="677"/>
      <c r="J1346" s="678"/>
      <c r="K1346" s="675"/>
      <c r="L1346" s="1079"/>
      <c r="M1346" s="632"/>
      <c r="N1346" s="680"/>
      <c r="O1346" s="681"/>
      <c r="P1346" s="673"/>
      <c r="Q1346" s="632"/>
      <c r="R1346" s="632"/>
      <c r="S1346" s="632"/>
    </row>
    <row r="1347" spans="1:19" ht="21.3">
      <c r="A1347" s="665"/>
      <c r="B1347" s="617" t="s">
        <v>376</v>
      </c>
      <c r="C1347" s="1125" t="s">
        <v>377</v>
      </c>
      <c r="D1347" s="1126"/>
      <c r="E1347" s="673">
        <f t="shared" si="436"/>
        <v>100.32000000000002</v>
      </c>
      <c r="F1347" s="674" t="s">
        <v>34</v>
      </c>
      <c r="G1347" s="675">
        <v>88</v>
      </c>
      <c r="H1347" s="676">
        <f t="shared" si="434"/>
        <v>8828.1600000000017</v>
      </c>
      <c r="I1347" s="677">
        <v>94</v>
      </c>
      <c r="J1347" s="678">
        <f t="shared" si="432"/>
        <v>9430.0800000000017</v>
      </c>
      <c r="K1347" s="675">
        <f t="shared" si="433"/>
        <v>18258.240000000005</v>
      </c>
      <c r="L1347" s="1079"/>
      <c r="M1347" s="632"/>
      <c r="N1347" s="680">
        <f t="shared" si="435"/>
        <v>100.32000000000002</v>
      </c>
      <c r="O1347" s="681">
        <v>0</v>
      </c>
      <c r="P1347" s="673">
        <v>100.32000000000002</v>
      </c>
      <c r="Q1347" s="632"/>
      <c r="R1347" s="632"/>
      <c r="S1347" s="632"/>
    </row>
    <row r="1348" spans="1:19" ht="21.3">
      <c r="A1348" s="665"/>
      <c r="B1348" s="617"/>
      <c r="C1348" s="1125" t="s">
        <v>302</v>
      </c>
      <c r="D1348" s="1126"/>
      <c r="E1348" s="673">
        <f t="shared" si="436"/>
        <v>100.32000000000002</v>
      </c>
      <c r="F1348" s="674" t="s">
        <v>34</v>
      </c>
      <c r="G1348" s="675">
        <v>69</v>
      </c>
      <c r="H1348" s="676">
        <f t="shared" si="434"/>
        <v>6922.0800000000017</v>
      </c>
      <c r="I1348" s="677">
        <v>28</v>
      </c>
      <c r="J1348" s="678">
        <f t="shared" si="432"/>
        <v>2808.9600000000005</v>
      </c>
      <c r="K1348" s="675">
        <f t="shared" si="433"/>
        <v>9731.0400000000027</v>
      </c>
      <c r="L1348" s="1079"/>
      <c r="M1348" s="632"/>
      <c r="N1348" s="680">
        <f t="shared" si="435"/>
        <v>100.32000000000002</v>
      </c>
      <c r="O1348" s="681">
        <v>0</v>
      </c>
      <c r="P1348" s="673">
        <v>100.32000000000002</v>
      </c>
      <c r="Q1348" s="632"/>
      <c r="R1348" s="632"/>
      <c r="S1348" s="632"/>
    </row>
    <row r="1349" spans="1:19" ht="21.3">
      <c r="A1349" s="665"/>
      <c r="B1349" s="617" t="s">
        <v>378</v>
      </c>
      <c r="C1349" s="1125" t="s">
        <v>379</v>
      </c>
      <c r="D1349" s="1126"/>
      <c r="E1349" s="673">
        <f t="shared" si="436"/>
        <v>0</v>
      </c>
      <c r="F1349" s="674" t="s">
        <v>34</v>
      </c>
      <c r="G1349" s="675">
        <v>1900</v>
      </c>
      <c r="H1349" s="676">
        <f t="shared" si="434"/>
        <v>0</v>
      </c>
      <c r="I1349" s="677">
        <v>450</v>
      </c>
      <c r="J1349" s="678">
        <f t="shared" si="432"/>
        <v>0</v>
      </c>
      <c r="K1349" s="675">
        <f t="shared" si="433"/>
        <v>0</v>
      </c>
      <c r="L1349" s="1079"/>
      <c r="M1349" s="632"/>
      <c r="N1349" s="680">
        <f t="shared" si="435"/>
        <v>0</v>
      </c>
      <c r="O1349" s="681">
        <v>0</v>
      </c>
      <c r="P1349" s="673"/>
      <c r="Q1349" s="632"/>
      <c r="R1349" s="632"/>
      <c r="S1349" s="632"/>
    </row>
    <row r="1350" spans="1:19" ht="21.3">
      <c r="A1350" s="665"/>
      <c r="B1350" s="617" t="s">
        <v>380</v>
      </c>
      <c r="C1350" s="1125" t="s">
        <v>381</v>
      </c>
      <c r="D1350" s="1126"/>
      <c r="E1350" s="673">
        <f t="shared" si="436"/>
        <v>0</v>
      </c>
      <c r="F1350" s="674" t="s">
        <v>34</v>
      </c>
      <c r="G1350" s="675">
        <v>1296</v>
      </c>
      <c r="H1350" s="676">
        <f t="shared" si="434"/>
        <v>0</v>
      </c>
      <c r="I1350" s="677">
        <v>1600</v>
      </c>
      <c r="J1350" s="678">
        <f t="shared" si="432"/>
        <v>0</v>
      </c>
      <c r="K1350" s="675">
        <f t="shared" si="433"/>
        <v>0</v>
      </c>
      <c r="L1350" s="1079"/>
      <c r="M1350" s="632"/>
      <c r="N1350" s="680">
        <f t="shared" si="435"/>
        <v>0</v>
      </c>
      <c r="O1350" s="681">
        <v>0</v>
      </c>
      <c r="P1350" s="673"/>
      <c r="Q1350" s="632"/>
      <c r="R1350" s="632"/>
      <c r="S1350" s="632"/>
    </row>
    <row r="1351" spans="1:19" ht="21.3">
      <c r="A1351" s="665"/>
      <c r="B1351" s="1114"/>
      <c r="C1351" s="617"/>
      <c r="D1351" s="1124"/>
      <c r="E1351" s="618"/>
      <c r="F1351" s="625"/>
      <c r="G1351" s="650"/>
      <c r="H1351" s="571"/>
      <c r="I1351" s="651"/>
      <c r="J1351" s="571"/>
      <c r="K1351" s="1060"/>
      <c r="L1351" s="1065"/>
      <c r="M1351" s="574"/>
      <c r="N1351" s="672">
        <f t="shared" si="435"/>
        <v>0</v>
      </c>
      <c r="O1351" s="622">
        <v>0</v>
      </c>
      <c r="P1351" s="618"/>
      <c r="Q1351" s="574"/>
      <c r="R1351" s="574"/>
      <c r="S1351" s="574"/>
    </row>
    <row r="1352" spans="1:19" ht="21.3">
      <c r="A1352" s="665" t="s">
        <v>382</v>
      </c>
      <c r="B1352" s="1114" t="s">
        <v>383</v>
      </c>
      <c r="C1352" s="617"/>
      <c r="D1352" s="1124"/>
      <c r="E1352" s="618"/>
      <c r="F1352" s="625"/>
      <c r="G1352" s="650"/>
      <c r="H1352" s="571"/>
      <c r="I1352" s="651"/>
      <c r="J1352" s="571"/>
      <c r="K1352" s="1060"/>
      <c r="L1352" s="1065"/>
      <c r="M1352" s="574"/>
      <c r="N1352" s="672">
        <f t="shared" si="435"/>
        <v>0</v>
      </c>
      <c r="O1352" s="622">
        <v>0</v>
      </c>
      <c r="P1352" s="618"/>
      <c r="Q1352" s="574"/>
      <c r="R1352" s="574"/>
      <c r="S1352" s="574"/>
    </row>
    <row r="1353" spans="1:19" s="682" customFormat="1" ht="24" customHeight="1">
      <c r="A1353" s="665"/>
      <c r="B1353" s="617" t="s">
        <v>360</v>
      </c>
      <c r="C1353" s="1137"/>
      <c r="D1353" s="1126"/>
      <c r="E1353" s="673"/>
      <c r="F1353" s="674" t="s">
        <v>361</v>
      </c>
      <c r="G1353" s="675">
        <v>190</v>
      </c>
      <c r="H1353" s="676">
        <f t="shared" ref="H1353:H1365" si="437">SUM(E1353*G1353)</f>
        <v>0</v>
      </c>
      <c r="I1353" s="677">
        <v>75</v>
      </c>
      <c r="J1353" s="678">
        <f t="shared" ref="J1353:J1366" si="438">SUM(E1353*I1353)</f>
        <v>0</v>
      </c>
      <c r="K1353" s="675">
        <f t="shared" ref="K1353:K1366" si="439">SUM(H1353+J1353)</f>
        <v>0</v>
      </c>
      <c r="L1353" s="1079"/>
      <c r="M1353" s="679"/>
      <c r="N1353" s="680">
        <f t="shared" si="435"/>
        <v>0</v>
      </c>
      <c r="O1353" s="681">
        <v>0</v>
      </c>
      <c r="P1353" s="673"/>
      <c r="Q1353" s="679"/>
      <c r="R1353" s="679"/>
      <c r="S1353" s="679"/>
    </row>
    <row r="1354" spans="1:19" ht="21.3">
      <c r="A1354" s="665"/>
      <c r="B1354" s="617" t="s">
        <v>362</v>
      </c>
      <c r="C1354" s="1137"/>
      <c r="D1354" s="1126"/>
      <c r="E1354" s="673">
        <v>1</v>
      </c>
      <c r="F1354" s="674" t="s">
        <v>363</v>
      </c>
      <c r="G1354" s="675">
        <v>347</v>
      </c>
      <c r="H1354" s="676">
        <f t="shared" si="437"/>
        <v>347</v>
      </c>
      <c r="I1354" s="677">
        <v>75</v>
      </c>
      <c r="J1354" s="678">
        <f t="shared" si="438"/>
        <v>75</v>
      </c>
      <c r="K1354" s="675">
        <f t="shared" si="439"/>
        <v>422</v>
      </c>
      <c r="L1354" s="1079"/>
      <c r="M1354" s="574"/>
      <c r="N1354" s="680">
        <f t="shared" si="435"/>
        <v>0</v>
      </c>
      <c r="O1354" s="681">
        <v>0</v>
      </c>
      <c r="P1354" s="673"/>
      <c r="Q1354" s="574"/>
      <c r="R1354" s="574"/>
      <c r="S1354" s="574"/>
    </row>
    <row r="1355" spans="1:19" ht="21.3">
      <c r="A1355" s="665"/>
      <c r="B1355" s="617" t="s">
        <v>364</v>
      </c>
      <c r="C1355" s="1137" t="s">
        <v>365</v>
      </c>
      <c r="D1355" s="1126"/>
      <c r="E1355" s="673">
        <f>+N1355</f>
        <v>201.49999999999997</v>
      </c>
      <c r="F1355" s="674" t="s">
        <v>34</v>
      </c>
      <c r="G1355" s="675">
        <v>169</v>
      </c>
      <c r="H1355" s="676">
        <f t="shared" si="437"/>
        <v>34053.499999999993</v>
      </c>
      <c r="I1355" s="677">
        <v>75</v>
      </c>
      <c r="J1355" s="678">
        <f t="shared" si="438"/>
        <v>15112.499999999998</v>
      </c>
      <c r="K1355" s="675">
        <f t="shared" si="439"/>
        <v>49165.999999999993</v>
      </c>
      <c r="L1355" s="1079"/>
      <c r="M1355" s="574"/>
      <c r="N1355" s="680">
        <f t="shared" si="435"/>
        <v>201.49999999999997</v>
      </c>
      <c r="O1355" s="681">
        <v>0</v>
      </c>
      <c r="P1355" s="673">
        <v>201.49999999999997</v>
      </c>
      <c r="Q1355" s="574"/>
      <c r="R1355" s="574"/>
      <c r="S1355" s="574"/>
    </row>
    <row r="1356" spans="1:19" ht="21.3">
      <c r="A1356" s="665"/>
      <c r="B1356" s="617"/>
      <c r="C1356" s="1137" t="s">
        <v>366</v>
      </c>
      <c r="D1356" s="1126"/>
      <c r="E1356" s="673">
        <f t="shared" ref="E1356:E1365" si="440">+N1356</f>
        <v>201.49999999999997</v>
      </c>
      <c r="F1356" s="674" t="s">
        <v>34</v>
      </c>
      <c r="G1356" s="675">
        <v>69</v>
      </c>
      <c r="H1356" s="676">
        <f t="shared" si="437"/>
        <v>13903.499999999998</v>
      </c>
      <c r="I1356" s="677">
        <v>28</v>
      </c>
      <c r="J1356" s="678">
        <f t="shared" si="438"/>
        <v>5641.9999999999991</v>
      </c>
      <c r="K1356" s="675">
        <f t="shared" si="439"/>
        <v>19545.499999999996</v>
      </c>
      <c r="L1356" s="1079"/>
      <c r="M1356" s="574"/>
      <c r="N1356" s="680">
        <f t="shared" si="435"/>
        <v>201.49999999999997</v>
      </c>
      <c r="O1356" s="681">
        <v>0</v>
      </c>
      <c r="P1356" s="673">
        <v>201.49999999999997</v>
      </c>
      <c r="Q1356" s="574"/>
      <c r="R1356" s="574"/>
      <c r="S1356" s="574"/>
    </row>
    <row r="1357" spans="1:19" ht="21.3">
      <c r="A1357" s="665"/>
      <c r="B1357" s="617" t="s">
        <v>367</v>
      </c>
      <c r="C1357" s="1125" t="s">
        <v>368</v>
      </c>
      <c r="D1357" s="1126"/>
      <c r="E1357" s="673">
        <f t="shared" si="440"/>
        <v>10</v>
      </c>
      <c r="F1357" s="674" t="s">
        <v>34</v>
      </c>
      <c r="G1357" s="675">
        <v>192</v>
      </c>
      <c r="H1357" s="676">
        <f t="shared" si="437"/>
        <v>1920</v>
      </c>
      <c r="I1357" s="677">
        <v>75</v>
      </c>
      <c r="J1357" s="678">
        <f t="shared" si="438"/>
        <v>750</v>
      </c>
      <c r="K1357" s="675">
        <f t="shared" si="439"/>
        <v>2670</v>
      </c>
      <c r="L1357" s="1079"/>
      <c r="M1357" s="574"/>
      <c r="N1357" s="680">
        <f t="shared" si="435"/>
        <v>10</v>
      </c>
      <c r="O1357" s="681">
        <v>0</v>
      </c>
      <c r="P1357" s="673">
        <v>10</v>
      </c>
      <c r="Q1357" s="574"/>
      <c r="R1357" s="574"/>
      <c r="S1357" s="574"/>
    </row>
    <row r="1358" spans="1:19" ht="21.3">
      <c r="A1358" s="665"/>
      <c r="B1358" s="617"/>
      <c r="C1358" s="1125" t="s">
        <v>369</v>
      </c>
      <c r="D1358" s="1126"/>
      <c r="E1358" s="673">
        <f t="shared" si="440"/>
        <v>10</v>
      </c>
      <c r="F1358" s="674" t="s">
        <v>34</v>
      </c>
      <c r="G1358" s="675">
        <v>69</v>
      </c>
      <c r="H1358" s="676">
        <f t="shared" si="437"/>
        <v>690</v>
      </c>
      <c r="I1358" s="677">
        <v>28</v>
      </c>
      <c r="J1358" s="678">
        <f t="shared" si="438"/>
        <v>280</v>
      </c>
      <c r="K1358" s="675">
        <f t="shared" si="439"/>
        <v>970</v>
      </c>
      <c r="L1358" s="1079"/>
      <c r="M1358" s="574"/>
      <c r="N1358" s="680">
        <f t="shared" si="435"/>
        <v>10</v>
      </c>
      <c r="O1358" s="681">
        <v>0</v>
      </c>
      <c r="P1358" s="673">
        <v>10</v>
      </c>
      <c r="Q1358" s="574"/>
      <c r="R1358" s="574"/>
      <c r="S1358" s="574"/>
    </row>
    <row r="1359" spans="1:19" ht="21.3">
      <c r="A1359" s="665"/>
      <c r="B1359" s="617" t="s">
        <v>370</v>
      </c>
      <c r="C1359" s="1125" t="s">
        <v>371</v>
      </c>
      <c r="D1359" s="1126"/>
      <c r="E1359" s="673">
        <f t="shared" si="440"/>
        <v>0</v>
      </c>
      <c r="F1359" s="674" t="s">
        <v>34</v>
      </c>
      <c r="G1359" s="675">
        <v>650</v>
      </c>
      <c r="H1359" s="676">
        <f t="shared" si="437"/>
        <v>0</v>
      </c>
      <c r="I1359" s="677">
        <v>52</v>
      </c>
      <c r="J1359" s="678">
        <f t="shared" si="438"/>
        <v>0</v>
      </c>
      <c r="K1359" s="675">
        <f t="shared" si="439"/>
        <v>0</v>
      </c>
      <c r="L1359" s="1079"/>
      <c r="M1359" s="574"/>
      <c r="N1359" s="680">
        <f t="shared" si="435"/>
        <v>0</v>
      </c>
      <c r="O1359" s="681">
        <v>0</v>
      </c>
      <c r="P1359" s="673"/>
      <c r="Q1359" s="574"/>
      <c r="R1359" s="574"/>
      <c r="S1359" s="574"/>
    </row>
    <row r="1360" spans="1:19" ht="21.3">
      <c r="A1360" s="665"/>
      <c r="B1360" s="617" t="s">
        <v>372</v>
      </c>
      <c r="C1360" s="1125" t="s">
        <v>373</v>
      </c>
      <c r="D1360" s="1126"/>
      <c r="E1360" s="673">
        <f t="shared" si="440"/>
        <v>0</v>
      </c>
      <c r="F1360" s="674" t="s">
        <v>34</v>
      </c>
      <c r="G1360" s="675">
        <v>30</v>
      </c>
      <c r="H1360" s="676">
        <f t="shared" si="437"/>
        <v>0</v>
      </c>
      <c r="I1360" s="677">
        <v>50</v>
      </c>
      <c r="J1360" s="678">
        <f t="shared" si="438"/>
        <v>0</v>
      </c>
      <c r="K1360" s="675">
        <f t="shared" si="439"/>
        <v>0</v>
      </c>
      <c r="L1360" s="1079"/>
      <c r="M1360" s="574"/>
      <c r="N1360" s="680">
        <f t="shared" si="435"/>
        <v>0</v>
      </c>
      <c r="O1360" s="681">
        <v>0</v>
      </c>
      <c r="P1360" s="673"/>
      <c r="Q1360" s="574"/>
      <c r="R1360" s="574"/>
      <c r="S1360" s="574"/>
    </row>
    <row r="1361" spans="1:19" ht="21.3">
      <c r="A1361" s="665"/>
      <c r="B1361" s="617" t="s">
        <v>374</v>
      </c>
      <c r="C1361" s="1125" t="s">
        <v>375</v>
      </c>
      <c r="D1361" s="1126"/>
      <c r="E1361" s="673">
        <f t="shared" si="440"/>
        <v>90.639999999999986</v>
      </c>
      <c r="F1361" s="674" t="s">
        <v>34</v>
      </c>
      <c r="G1361" s="675">
        <v>30</v>
      </c>
      <c r="H1361" s="676">
        <f t="shared" si="437"/>
        <v>2719.2</v>
      </c>
      <c r="I1361" s="677">
        <v>50</v>
      </c>
      <c r="J1361" s="678">
        <f t="shared" si="438"/>
        <v>4531.9999999999991</v>
      </c>
      <c r="K1361" s="675">
        <f t="shared" si="439"/>
        <v>7251.1999999999989</v>
      </c>
      <c r="L1361" s="1079"/>
      <c r="M1361" s="574"/>
      <c r="N1361" s="680">
        <f t="shared" si="435"/>
        <v>90.639999999999986</v>
      </c>
      <c r="O1361" s="681">
        <v>0</v>
      </c>
      <c r="P1361" s="673">
        <v>90.639999999999986</v>
      </c>
      <c r="Q1361" s="574"/>
      <c r="R1361" s="574"/>
      <c r="S1361" s="574"/>
    </row>
    <row r="1362" spans="1:19" ht="21.3">
      <c r="A1362" s="665"/>
      <c r="B1362" s="617" t="s">
        <v>376</v>
      </c>
      <c r="C1362" s="1125" t="s">
        <v>377</v>
      </c>
      <c r="D1362" s="1126"/>
      <c r="E1362" s="673">
        <f t="shared" si="440"/>
        <v>352.14</v>
      </c>
      <c r="F1362" s="674" t="s">
        <v>34</v>
      </c>
      <c r="G1362" s="675">
        <v>88</v>
      </c>
      <c r="H1362" s="676">
        <f t="shared" si="437"/>
        <v>30988.32</v>
      </c>
      <c r="I1362" s="677">
        <v>94</v>
      </c>
      <c r="J1362" s="678">
        <f t="shared" si="438"/>
        <v>33101.159999999996</v>
      </c>
      <c r="K1362" s="675">
        <f t="shared" si="439"/>
        <v>64089.479999999996</v>
      </c>
      <c r="L1362" s="1079"/>
      <c r="M1362" s="574"/>
      <c r="N1362" s="680">
        <f t="shared" si="435"/>
        <v>352.14</v>
      </c>
      <c r="O1362" s="681">
        <v>0</v>
      </c>
      <c r="P1362" s="673">
        <v>352.14</v>
      </c>
      <c r="Q1362" s="574"/>
      <c r="R1362" s="574"/>
      <c r="S1362" s="574"/>
    </row>
    <row r="1363" spans="1:19" ht="21.3">
      <c r="A1363" s="665"/>
      <c r="B1363" s="617"/>
      <c r="C1363" s="1125" t="s">
        <v>302</v>
      </c>
      <c r="D1363" s="1126"/>
      <c r="E1363" s="673">
        <f t="shared" si="440"/>
        <v>352.14</v>
      </c>
      <c r="F1363" s="674" t="s">
        <v>34</v>
      </c>
      <c r="G1363" s="675">
        <v>69</v>
      </c>
      <c r="H1363" s="676">
        <f t="shared" si="437"/>
        <v>24297.66</v>
      </c>
      <c r="I1363" s="677">
        <v>28</v>
      </c>
      <c r="J1363" s="678">
        <f t="shared" si="438"/>
        <v>9859.92</v>
      </c>
      <c r="K1363" s="675">
        <f t="shared" si="439"/>
        <v>34157.58</v>
      </c>
      <c r="L1363" s="1079"/>
      <c r="M1363" s="632"/>
      <c r="N1363" s="680">
        <f t="shared" si="435"/>
        <v>352.14</v>
      </c>
      <c r="O1363" s="681">
        <v>0</v>
      </c>
      <c r="P1363" s="673">
        <v>352.14</v>
      </c>
      <c r="Q1363" s="632"/>
      <c r="R1363" s="632"/>
      <c r="S1363" s="632"/>
    </row>
    <row r="1364" spans="1:19" ht="21.3">
      <c r="A1364" s="665"/>
      <c r="B1364" s="617" t="s">
        <v>378</v>
      </c>
      <c r="C1364" s="1125" t="s">
        <v>379</v>
      </c>
      <c r="D1364" s="1126"/>
      <c r="E1364" s="673">
        <f t="shared" si="440"/>
        <v>0</v>
      </c>
      <c r="F1364" s="674" t="s">
        <v>34</v>
      </c>
      <c r="G1364" s="675">
        <v>1900</v>
      </c>
      <c r="H1364" s="676">
        <f t="shared" si="437"/>
        <v>0</v>
      </c>
      <c r="I1364" s="677">
        <v>450</v>
      </c>
      <c r="J1364" s="678">
        <f t="shared" si="438"/>
        <v>0</v>
      </c>
      <c r="K1364" s="675">
        <f t="shared" si="439"/>
        <v>0</v>
      </c>
      <c r="L1364" s="1079"/>
      <c r="M1364" s="574"/>
      <c r="N1364" s="680">
        <f t="shared" si="435"/>
        <v>0</v>
      </c>
      <c r="O1364" s="681">
        <v>0</v>
      </c>
      <c r="P1364" s="673"/>
      <c r="Q1364" s="574"/>
      <c r="R1364" s="574"/>
      <c r="S1364" s="574"/>
    </row>
    <row r="1365" spans="1:19" ht="21.3">
      <c r="A1365" s="665"/>
      <c r="B1365" s="617" t="s">
        <v>380</v>
      </c>
      <c r="C1365" s="1125" t="s">
        <v>381</v>
      </c>
      <c r="D1365" s="1126"/>
      <c r="E1365" s="673">
        <f t="shared" si="440"/>
        <v>0</v>
      </c>
      <c r="F1365" s="674" t="s">
        <v>34</v>
      </c>
      <c r="G1365" s="675">
        <v>1296</v>
      </c>
      <c r="H1365" s="676">
        <f t="shared" si="437"/>
        <v>0</v>
      </c>
      <c r="I1365" s="677">
        <v>1600</v>
      </c>
      <c r="J1365" s="678">
        <f t="shared" si="438"/>
        <v>0</v>
      </c>
      <c r="K1365" s="675">
        <f t="shared" si="439"/>
        <v>0</v>
      </c>
      <c r="L1365" s="1079"/>
      <c r="M1365" s="574"/>
      <c r="N1365" s="680">
        <f t="shared" si="435"/>
        <v>0</v>
      </c>
      <c r="O1365" s="681">
        <v>0</v>
      </c>
      <c r="P1365" s="673"/>
      <c r="Q1365" s="574"/>
      <c r="R1365" s="574"/>
      <c r="S1365" s="574"/>
    </row>
    <row r="1366" spans="1:19" ht="21.3">
      <c r="A1366" s="665"/>
      <c r="B1366" s="617" t="s">
        <v>600</v>
      </c>
      <c r="C1366" s="1127" t="s">
        <v>601</v>
      </c>
      <c r="D1366" s="1126"/>
      <c r="E1366" s="618">
        <v>24</v>
      </c>
      <c r="F1366" s="674" t="s">
        <v>34</v>
      </c>
      <c r="G1366" s="675">
        <v>325</v>
      </c>
      <c r="H1366" s="676">
        <f t="shared" ref="H1366" si="441">SUM(E1366*G1366)</f>
        <v>7800</v>
      </c>
      <c r="I1366" s="677">
        <v>100</v>
      </c>
      <c r="J1366" s="678">
        <f t="shared" si="438"/>
        <v>2400</v>
      </c>
      <c r="K1366" s="675">
        <f t="shared" si="439"/>
        <v>10200</v>
      </c>
      <c r="L1366" s="1079"/>
      <c r="M1366" s="574"/>
      <c r="N1366" s="686">
        <f t="shared" si="435"/>
        <v>129.02000000000001</v>
      </c>
      <c r="O1366" s="622">
        <v>0</v>
      </c>
      <c r="P1366" s="618">
        <v>129.02000000000001</v>
      </c>
      <c r="Q1366" s="574"/>
      <c r="R1366" s="574"/>
      <c r="S1366" s="574"/>
    </row>
    <row r="1367" spans="1:19" ht="21.3">
      <c r="A1367" s="665" t="s">
        <v>384</v>
      </c>
      <c r="B1367" s="1114" t="s">
        <v>385</v>
      </c>
      <c r="C1367" s="617"/>
      <c r="D1367" s="1124"/>
      <c r="E1367" s="637"/>
      <c r="F1367" s="625"/>
      <c r="G1367" s="620"/>
      <c r="H1367" s="685"/>
      <c r="I1367" s="572"/>
      <c r="J1367" s="685"/>
      <c r="K1367" s="1080"/>
      <c r="L1367" s="1061"/>
      <c r="M1367" s="574"/>
      <c r="N1367" s="669">
        <f t="shared" si="435"/>
        <v>0</v>
      </c>
      <c r="O1367" s="636">
        <v>0</v>
      </c>
      <c r="P1367" s="637"/>
      <c r="Q1367" s="574"/>
      <c r="R1367" s="574"/>
      <c r="S1367" s="574"/>
    </row>
    <row r="1368" spans="1:19" s="682" customFormat="1" ht="24" customHeight="1">
      <c r="A1368" s="665"/>
      <c r="B1368" s="617" t="s">
        <v>360</v>
      </c>
      <c r="C1368" s="1137"/>
      <c r="D1368" s="1126"/>
      <c r="E1368" s="673"/>
      <c r="F1368" s="674" t="s">
        <v>361</v>
      </c>
      <c r="G1368" s="675">
        <v>190</v>
      </c>
      <c r="H1368" s="676">
        <f t="shared" ref="H1368:H1381" si="442">SUM(E1368*G1368)</f>
        <v>0</v>
      </c>
      <c r="I1368" s="677">
        <v>75</v>
      </c>
      <c r="J1368" s="678">
        <f t="shared" ref="J1368:J1381" si="443">SUM(E1368*I1368)</f>
        <v>0</v>
      </c>
      <c r="K1368" s="675">
        <f t="shared" ref="K1368:K1381" si="444">SUM(H1368+J1368)</f>
        <v>0</v>
      </c>
      <c r="L1368" s="1079"/>
      <c r="M1368" s="679"/>
      <c r="N1368" s="680">
        <f t="shared" si="435"/>
        <v>0</v>
      </c>
      <c r="O1368" s="681">
        <v>0</v>
      </c>
      <c r="P1368" s="673"/>
      <c r="Q1368" s="679"/>
      <c r="R1368" s="679"/>
      <c r="S1368" s="679"/>
    </row>
    <row r="1369" spans="1:19" ht="21.3">
      <c r="A1369" s="665"/>
      <c r="B1369" s="617" t="s">
        <v>362</v>
      </c>
      <c r="C1369" s="1137"/>
      <c r="D1369" s="1126"/>
      <c r="E1369" s="673">
        <v>6</v>
      </c>
      <c r="F1369" s="674" t="s">
        <v>363</v>
      </c>
      <c r="G1369" s="675">
        <v>347</v>
      </c>
      <c r="H1369" s="676">
        <f t="shared" si="442"/>
        <v>2082</v>
      </c>
      <c r="I1369" s="677">
        <v>75</v>
      </c>
      <c r="J1369" s="678">
        <f t="shared" si="443"/>
        <v>450</v>
      </c>
      <c r="K1369" s="675">
        <f t="shared" si="444"/>
        <v>2532</v>
      </c>
      <c r="L1369" s="1079"/>
      <c r="M1369" s="574"/>
      <c r="N1369" s="680">
        <f t="shared" si="435"/>
        <v>0</v>
      </c>
      <c r="O1369" s="681">
        <v>0</v>
      </c>
      <c r="P1369" s="673"/>
      <c r="Q1369" s="574"/>
      <c r="R1369" s="574"/>
      <c r="S1369" s="574"/>
    </row>
    <row r="1370" spans="1:19" ht="21.3">
      <c r="A1370" s="665"/>
      <c r="B1370" s="617" t="s">
        <v>364</v>
      </c>
      <c r="C1370" s="1137" t="s">
        <v>365</v>
      </c>
      <c r="D1370" s="1126"/>
      <c r="E1370" s="618">
        <f>+N1370</f>
        <v>215.2</v>
      </c>
      <c r="F1370" s="674" t="s">
        <v>34</v>
      </c>
      <c r="G1370" s="675">
        <v>169</v>
      </c>
      <c r="H1370" s="676">
        <f t="shared" si="442"/>
        <v>36368.799999999996</v>
      </c>
      <c r="I1370" s="677">
        <v>75</v>
      </c>
      <c r="J1370" s="678">
        <f t="shared" si="443"/>
        <v>16140</v>
      </c>
      <c r="K1370" s="675">
        <f t="shared" si="444"/>
        <v>52508.799999999996</v>
      </c>
      <c r="L1370" s="1079"/>
      <c r="M1370" s="574"/>
      <c r="N1370" s="686">
        <f t="shared" si="435"/>
        <v>215.2</v>
      </c>
      <c r="O1370" s="622">
        <v>0</v>
      </c>
      <c r="P1370" s="618">
        <v>215.2</v>
      </c>
      <c r="Q1370" s="574"/>
      <c r="R1370" s="574"/>
      <c r="S1370" s="574"/>
    </row>
    <row r="1371" spans="1:19" ht="21.3">
      <c r="A1371" s="665"/>
      <c r="B1371" s="617"/>
      <c r="C1371" s="1137" t="s">
        <v>366</v>
      </c>
      <c r="D1371" s="1126"/>
      <c r="E1371" s="618">
        <f t="shared" ref="E1371:E1380" si="445">+N1371</f>
        <v>215.2</v>
      </c>
      <c r="F1371" s="674" t="s">
        <v>34</v>
      </c>
      <c r="G1371" s="675">
        <v>69</v>
      </c>
      <c r="H1371" s="676">
        <f t="shared" si="442"/>
        <v>14848.8</v>
      </c>
      <c r="I1371" s="677">
        <v>28</v>
      </c>
      <c r="J1371" s="678">
        <f t="shared" si="443"/>
        <v>6025.5999999999995</v>
      </c>
      <c r="K1371" s="675">
        <f t="shared" si="444"/>
        <v>20874.399999999998</v>
      </c>
      <c r="L1371" s="1079"/>
      <c r="M1371" s="574"/>
      <c r="N1371" s="680">
        <f t="shared" si="435"/>
        <v>215.2</v>
      </c>
      <c r="O1371" s="681">
        <v>0</v>
      </c>
      <c r="P1371" s="673">
        <v>215.2</v>
      </c>
      <c r="Q1371" s="574"/>
      <c r="R1371" s="574"/>
      <c r="S1371" s="574"/>
    </row>
    <row r="1372" spans="1:19" ht="21.3">
      <c r="A1372" s="665"/>
      <c r="B1372" s="617" t="s">
        <v>367</v>
      </c>
      <c r="C1372" s="1125" t="s">
        <v>368</v>
      </c>
      <c r="D1372" s="1126"/>
      <c r="E1372" s="618">
        <v>181.72</v>
      </c>
      <c r="F1372" s="674" t="s">
        <v>34</v>
      </c>
      <c r="G1372" s="675">
        <v>192</v>
      </c>
      <c r="H1372" s="676">
        <f t="shared" si="442"/>
        <v>34890.239999999998</v>
      </c>
      <c r="I1372" s="677">
        <v>75</v>
      </c>
      <c r="J1372" s="678">
        <f t="shared" si="443"/>
        <v>13629</v>
      </c>
      <c r="K1372" s="675">
        <f t="shared" si="444"/>
        <v>48519.24</v>
      </c>
      <c r="L1372" s="1079"/>
      <c r="M1372" s="574"/>
      <c r="N1372" s="686">
        <f t="shared" si="435"/>
        <v>52.7</v>
      </c>
      <c r="O1372" s="622">
        <v>0</v>
      </c>
      <c r="P1372" s="673">
        <v>52.7</v>
      </c>
      <c r="Q1372" s="574"/>
      <c r="R1372" s="574"/>
      <c r="S1372" s="574"/>
    </row>
    <row r="1373" spans="1:19" ht="21.3">
      <c r="A1373" s="665"/>
      <c r="B1373" s="617"/>
      <c r="C1373" s="1125" t="s">
        <v>369</v>
      </c>
      <c r="D1373" s="1126"/>
      <c r="E1373" s="618">
        <v>181.72</v>
      </c>
      <c r="F1373" s="674" t="s">
        <v>34</v>
      </c>
      <c r="G1373" s="675">
        <v>69</v>
      </c>
      <c r="H1373" s="676">
        <f t="shared" si="442"/>
        <v>12538.68</v>
      </c>
      <c r="I1373" s="677">
        <v>28</v>
      </c>
      <c r="J1373" s="678">
        <f t="shared" si="443"/>
        <v>5088.16</v>
      </c>
      <c r="K1373" s="675">
        <f t="shared" si="444"/>
        <v>17626.84</v>
      </c>
      <c r="L1373" s="1079"/>
      <c r="M1373" s="574"/>
      <c r="N1373" s="680">
        <f t="shared" si="435"/>
        <v>52.7</v>
      </c>
      <c r="O1373" s="681">
        <v>0</v>
      </c>
      <c r="P1373" s="673">
        <v>52.7</v>
      </c>
      <c r="Q1373" s="574"/>
      <c r="R1373" s="574"/>
      <c r="S1373" s="574"/>
    </row>
    <row r="1374" spans="1:19" ht="21.3">
      <c r="A1374" s="665"/>
      <c r="B1374" s="617" t="s">
        <v>370</v>
      </c>
      <c r="C1374" s="1125" t="s">
        <v>371</v>
      </c>
      <c r="D1374" s="1126"/>
      <c r="E1374" s="618">
        <f t="shared" si="445"/>
        <v>0</v>
      </c>
      <c r="F1374" s="674" t="s">
        <v>34</v>
      </c>
      <c r="G1374" s="675">
        <v>650</v>
      </c>
      <c r="H1374" s="676">
        <f t="shared" si="442"/>
        <v>0</v>
      </c>
      <c r="I1374" s="677">
        <v>52</v>
      </c>
      <c r="J1374" s="678">
        <f t="shared" si="443"/>
        <v>0</v>
      </c>
      <c r="K1374" s="675">
        <f t="shared" si="444"/>
        <v>0</v>
      </c>
      <c r="L1374" s="1079"/>
      <c r="M1374" s="574"/>
      <c r="N1374" s="686">
        <f t="shared" si="435"/>
        <v>0</v>
      </c>
      <c r="O1374" s="622">
        <v>0</v>
      </c>
      <c r="P1374" s="618"/>
      <c r="Q1374" s="574"/>
      <c r="R1374" s="574"/>
      <c r="S1374" s="574"/>
    </row>
    <row r="1375" spans="1:19" ht="21.3">
      <c r="A1375" s="665"/>
      <c r="B1375" s="617" t="s">
        <v>372</v>
      </c>
      <c r="C1375" s="1125" t="s">
        <v>373</v>
      </c>
      <c r="D1375" s="1126"/>
      <c r="E1375" s="618">
        <f t="shared" si="445"/>
        <v>0</v>
      </c>
      <c r="F1375" s="674" t="s">
        <v>34</v>
      </c>
      <c r="G1375" s="675">
        <v>30</v>
      </c>
      <c r="H1375" s="676">
        <f t="shared" si="442"/>
        <v>0</v>
      </c>
      <c r="I1375" s="677">
        <v>50</v>
      </c>
      <c r="J1375" s="678">
        <f t="shared" si="443"/>
        <v>0</v>
      </c>
      <c r="K1375" s="675">
        <f t="shared" si="444"/>
        <v>0</v>
      </c>
      <c r="L1375" s="1079"/>
      <c r="M1375" s="574"/>
      <c r="N1375" s="686">
        <f t="shared" si="435"/>
        <v>0</v>
      </c>
      <c r="O1375" s="622">
        <v>0</v>
      </c>
      <c r="P1375" s="618"/>
      <c r="Q1375" s="574"/>
      <c r="R1375" s="574"/>
      <c r="S1375" s="574"/>
    </row>
    <row r="1376" spans="1:19" ht="21.3">
      <c r="A1376" s="665"/>
      <c r="B1376" s="617" t="s">
        <v>374</v>
      </c>
      <c r="C1376" s="1125" t="s">
        <v>386</v>
      </c>
      <c r="D1376" s="1126"/>
      <c r="E1376" s="618">
        <f t="shared" si="445"/>
        <v>134.26000000000002</v>
      </c>
      <c r="F1376" s="674" t="s">
        <v>34</v>
      </c>
      <c r="G1376" s="675">
        <v>30</v>
      </c>
      <c r="H1376" s="676">
        <f t="shared" si="442"/>
        <v>4027.8000000000006</v>
      </c>
      <c r="I1376" s="677">
        <v>50</v>
      </c>
      <c r="J1376" s="678">
        <f t="shared" si="443"/>
        <v>6713.0000000000009</v>
      </c>
      <c r="K1376" s="675">
        <f t="shared" si="444"/>
        <v>10740.800000000001</v>
      </c>
      <c r="L1376" s="1079"/>
      <c r="M1376" s="574"/>
      <c r="N1376" s="686">
        <f t="shared" si="435"/>
        <v>134.26000000000002</v>
      </c>
      <c r="O1376" s="622">
        <v>0</v>
      </c>
      <c r="P1376" s="618">
        <v>134.26000000000002</v>
      </c>
      <c r="Q1376" s="574"/>
      <c r="R1376" s="574"/>
      <c r="S1376" s="574"/>
    </row>
    <row r="1377" spans="1:19" ht="21.3">
      <c r="A1377" s="665"/>
      <c r="B1377" s="617" t="s">
        <v>376</v>
      </c>
      <c r="C1377" s="1125" t="s">
        <v>387</v>
      </c>
      <c r="D1377" s="1126"/>
      <c r="E1377" s="618">
        <f t="shared" si="445"/>
        <v>83.340000000000018</v>
      </c>
      <c r="F1377" s="674" t="s">
        <v>34</v>
      </c>
      <c r="G1377" s="675">
        <v>88</v>
      </c>
      <c r="H1377" s="676">
        <f t="shared" si="442"/>
        <v>7333.9200000000019</v>
      </c>
      <c r="I1377" s="677">
        <v>94</v>
      </c>
      <c r="J1377" s="678">
        <f t="shared" si="443"/>
        <v>7833.9600000000019</v>
      </c>
      <c r="K1377" s="675">
        <f t="shared" si="444"/>
        <v>15167.880000000005</v>
      </c>
      <c r="L1377" s="1079"/>
      <c r="M1377" s="574"/>
      <c r="N1377" s="686">
        <f t="shared" si="435"/>
        <v>83.340000000000018</v>
      </c>
      <c r="O1377" s="622">
        <v>0</v>
      </c>
      <c r="P1377" s="618">
        <v>83.340000000000018</v>
      </c>
      <c r="Q1377" s="574"/>
      <c r="R1377" s="574"/>
      <c r="S1377" s="574"/>
    </row>
    <row r="1378" spans="1:19" ht="21.3">
      <c r="A1378" s="665"/>
      <c r="B1378" s="617"/>
      <c r="C1378" s="1125" t="s">
        <v>302</v>
      </c>
      <c r="D1378" s="1126"/>
      <c r="E1378" s="618">
        <f t="shared" si="445"/>
        <v>83.340000000000018</v>
      </c>
      <c r="F1378" s="674" t="s">
        <v>34</v>
      </c>
      <c r="G1378" s="675">
        <v>69</v>
      </c>
      <c r="H1378" s="676">
        <f t="shared" si="442"/>
        <v>5750.4600000000009</v>
      </c>
      <c r="I1378" s="677">
        <v>28</v>
      </c>
      <c r="J1378" s="678">
        <f t="shared" si="443"/>
        <v>2333.5200000000004</v>
      </c>
      <c r="K1378" s="675">
        <f t="shared" si="444"/>
        <v>8083.9800000000014</v>
      </c>
      <c r="L1378" s="1079"/>
      <c r="M1378" s="632"/>
      <c r="N1378" s="680">
        <f t="shared" si="435"/>
        <v>83.340000000000018</v>
      </c>
      <c r="O1378" s="681">
        <v>0</v>
      </c>
      <c r="P1378" s="673">
        <v>83.340000000000018</v>
      </c>
      <c r="Q1378" s="632"/>
      <c r="R1378" s="632"/>
      <c r="S1378" s="632"/>
    </row>
    <row r="1379" spans="1:19" ht="21.3">
      <c r="A1379" s="665"/>
      <c r="B1379" s="617" t="s">
        <v>378</v>
      </c>
      <c r="C1379" s="1125" t="s">
        <v>379</v>
      </c>
      <c r="D1379" s="1126"/>
      <c r="E1379" s="618">
        <f t="shared" si="445"/>
        <v>0</v>
      </c>
      <c r="F1379" s="674" t="s">
        <v>34</v>
      </c>
      <c r="G1379" s="675">
        <v>1900</v>
      </c>
      <c r="H1379" s="676">
        <f t="shared" si="442"/>
        <v>0</v>
      </c>
      <c r="I1379" s="677">
        <v>450</v>
      </c>
      <c r="J1379" s="678">
        <f t="shared" si="443"/>
        <v>0</v>
      </c>
      <c r="K1379" s="675">
        <f t="shared" si="444"/>
        <v>0</v>
      </c>
      <c r="L1379" s="1079"/>
      <c r="M1379" s="574"/>
      <c r="N1379" s="686">
        <f t="shared" si="435"/>
        <v>0</v>
      </c>
      <c r="O1379" s="622">
        <v>0</v>
      </c>
      <c r="P1379" s="673"/>
      <c r="Q1379" s="574"/>
      <c r="R1379" s="574"/>
      <c r="S1379" s="574"/>
    </row>
    <row r="1380" spans="1:19" ht="21.3">
      <c r="A1380" s="665"/>
      <c r="B1380" s="617" t="s">
        <v>380</v>
      </c>
      <c r="C1380" s="1125" t="s">
        <v>381</v>
      </c>
      <c r="D1380" s="1126"/>
      <c r="E1380" s="618">
        <f t="shared" si="445"/>
        <v>0</v>
      </c>
      <c r="F1380" s="674" t="s">
        <v>34</v>
      </c>
      <c r="G1380" s="675">
        <v>1296</v>
      </c>
      <c r="H1380" s="676">
        <f t="shared" si="442"/>
        <v>0</v>
      </c>
      <c r="I1380" s="677">
        <v>1600</v>
      </c>
      <c r="J1380" s="678">
        <f t="shared" si="443"/>
        <v>0</v>
      </c>
      <c r="K1380" s="675">
        <f t="shared" si="444"/>
        <v>0</v>
      </c>
      <c r="L1380" s="1079"/>
      <c r="M1380" s="574"/>
      <c r="N1380" s="686">
        <f t="shared" si="435"/>
        <v>0</v>
      </c>
      <c r="O1380" s="622">
        <v>0</v>
      </c>
      <c r="P1380" s="618"/>
      <c r="Q1380" s="574"/>
      <c r="R1380" s="574"/>
      <c r="S1380" s="574"/>
    </row>
    <row r="1381" spans="1:19" ht="21.3">
      <c r="A1381" s="665"/>
      <c r="B1381" s="617" t="s">
        <v>600</v>
      </c>
      <c r="C1381" s="1127" t="s">
        <v>601</v>
      </c>
      <c r="D1381" s="1126"/>
      <c r="E1381" s="618">
        <v>30</v>
      </c>
      <c r="F1381" s="674" t="s">
        <v>34</v>
      </c>
      <c r="G1381" s="675">
        <v>325</v>
      </c>
      <c r="H1381" s="676">
        <f t="shared" si="442"/>
        <v>9750</v>
      </c>
      <c r="I1381" s="677">
        <v>100</v>
      </c>
      <c r="J1381" s="678">
        <f t="shared" si="443"/>
        <v>3000</v>
      </c>
      <c r="K1381" s="675">
        <f t="shared" si="444"/>
        <v>12750</v>
      </c>
      <c r="L1381" s="1079"/>
      <c r="M1381" s="574"/>
      <c r="N1381" s="686">
        <f t="shared" si="435"/>
        <v>129.02000000000001</v>
      </c>
      <c r="O1381" s="622">
        <v>0</v>
      </c>
      <c r="P1381" s="618">
        <v>129.02000000000001</v>
      </c>
      <c r="Q1381" s="574"/>
      <c r="R1381" s="574"/>
      <c r="S1381" s="574"/>
    </row>
    <row r="1382" spans="1:19" ht="21.3">
      <c r="A1382" s="665"/>
      <c r="B1382" s="1114"/>
      <c r="C1382" s="617"/>
      <c r="D1382" s="1124"/>
      <c r="E1382" s="637"/>
      <c r="F1382" s="625"/>
      <c r="G1382" s="620"/>
      <c r="H1382" s="685"/>
      <c r="I1382" s="572"/>
      <c r="J1382" s="571">
        <f t="shared" ref="J1382:J1401" si="446">I1382*E1382</f>
        <v>0</v>
      </c>
      <c r="K1382" s="1060">
        <f t="shared" ref="K1382:K1471" si="447">H1382+J1382</f>
        <v>0</v>
      </c>
      <c r="L1382" s="1061"/>
      <c r="M1382" s="574"/>
      <c r="N1382" s="669">
        <f t="shared" si="435"/>
        <v>0</v>
      </c>
      <c r="O1382" s="636">
        <v>0</v>
      </c>
      <c r="P1382" s="637"/>
      <c r="Q1382" s="574"/>
      <c r="R1382" s="574"/>
      <c r="S1382" s="574"/>
    </row>
    <row r="1383" spans="1:19" ht="21.3">
      <c r="A1383" s="665" t="s">
        <v>388</v>
      </c>
      <c r="B1383" s="1114" t="s">
        <v>389</v>
      </c>
      <c r="C1383" s="617"/>
      <c r="D1383" s="1124"/>
      <c r="E1383" s="637"/>
      <c r="F1383" s="625"/>
      <c r="G1383" s="687"/>
      <c r="H1383" s="685"/>
      <c r="I1383" s="642"/>
      <c r="J1383" s="571">
        <f t="shared" si="446"/>
        <v>0</v>
      </c>
      <c r="K1383" s="1060">
        <f t="shared" si="447"/>
        <v>0</v>
      </c>
      <c r="L1383" s="1061"/>
      <c r="M1383" s="574"/>
      <c r="N1383" s="669">
        <f t="shared" si="435"/>
        <v>0</v>
      </c>
      <c r="O1383" s="636">
        <v>0</v>
      </c>
      <c r="P1383" s="637"/>
      <c r="Q1383" s="574"/>
      <c r="R1383" s="574"/>
      <c r="S1383" s="574"/>
    </row>
    <row r="1384" spans="1:19" s="682" customFormat="1" ht="24" customHeight="1">
      <c r="A1384" s="665"/>
      <c r="B1384" s="617" t="s">
        <v>360</v>
      </c>
      <c r="C1384" s="1137"/>
      <c r="D1384" s="1126"/>
      <c r="E1384" s="673"/>
      <c r="F1384" s="674" t="s">
        <v>361</v>
      </c>
      <c r="G1384" s="675">
        <v>190</v>
      </c>
      <c r="H1384" s="676">
        <f t="shared" ref="H1384:H1398" si="448">SUM(E1384*G1384)</f>
        <v>0</v>
      </c>
      <c r="I1384" s="677">
        <v>75</v>
      </c>
      <c r="J1384" s="678">
        <f t="shared" ref="J1384:J1398" si="449">SUM(E1384*I1384)</f>
        <v>0</v>
      </c>
      <c r="K1384" s="675">
        <f t="shared" ref="K1384:K1398" si="450">SUM(H1384+J1384)</f>
        <v>0</v>
      </c>
      <c r="L1384" s="1079"/>
      <c r="M1384" s="679"/>
      <c r="N1384" s="680">
        <f t="shared" si="435"/>
        <v>0</v>
      </c>
      <c r="O1384" s="681">
        <v>0</v>
      </c>
      <c r="P1384" s="673"/>
      <c r="Q1384" s="679"/>
      <c r="R1384" s="679"/>
      <c r="S1384" s="679"/>
    </row>
    <row r="1385" spans="1:19" ht="21.3">
      <c r="A1385" s="665"/>
      <c r="B1385" s="617" t="s">
        <v>362</v>
      </c>
      <c r="C1385" s="1137"/>
      <c r="D1385" s="1126"/>
      <c r="E1385" s="673">
        <v>6</v>
      </c>
      <c r="F1385" s="674" t="s">
        <v>363</v>
      </c>
      <c r="G1385" s="675">
        <v>347</v>
      </c>
      <c r="H1385" s="676">
        <f t="shared" si="448"/>
        <v>2082</v>
      </c>
      <c r="I1385" s="677">
        <v>75</v>
      </c>
      <c r="J1385" s="678">
        <f t="shared" si="449"/>
        <v>450</v>
      </c>
      <c r="K1385" s="675">
        <f t="shared" si="450"/>
        <v>2532</v>
      </c>
      <c r="L1385" s="1079"/>
      <c r="M1385" s="574"/>
      <c r="N1385" s="680">
        <f t="shared" si="435"/>
        <v>0</v>
      </c>
      <c r="O1385" s="681">
        <v>0</v>
      </c>
      <c r="P1385" s="673"/>
      <c r="Q1385" s="574"/>
      <c r="R1385" s="574"/>
      <c r="S1385" s="574"/>
    </row>
    <row r="1386" spans="1:19" ht="21.3">
      <c r="A1386" s="665"/>
      <c r="B1386" s="617" t="s">
        <v>364</v>
      </c>
      <c r="C1386" s="1137" t="s">
        <v>365</v>
      </c>
      <c r="D1386" s="1126"/>
      <c r="E1386" s="673">
        <f>+N1386</f>
        <v>215.2</v>
      </c>
      <c r="F1386" s="674" t="s">
        <v>34</v>
      </c>
      <c r="G1386" s="675">
        <v>169</v>
      </c>
      <c r="H1386" s="676">
        <f t="shared" si="448"/>
        <v>36368.799999999996</v>
      </c>
      <c r="I1386" s="677">
        <v>75</v>
      </c>
      <c r="J1386" s="678">
        <f t="shared" si="449"/>
        <v>16140</v>
      </c>
      <c r="K1386" s="675">
        <f t="shared" si="450"/>
        <v>52508.799999999996</v>
      </c>
      <c r="L1386" s="1079"/>
      <c r="M1386" s="574"/>
      <c r="N1386" s="680">
        <f t="shared" si="435"/>
        <v>215.2</v>
      </c>
      <c r="O1386" s="681">
        <v>0</v>
      </c>
      <c r="P1386" s="673">
        <v>215.2</v>
      </c>
      <c r="Q1386" s="574"/>
      <c r="R1386" s="574"/>
      <c r="S1386" s="574"/>
    </row>
    <row r="1387" spans="1:19" ht="21.3">
      <c r="A1387" s="665"/>
      <c r="B1387" s="617"/>
      <c r="C1387" s="1137" t="s">
        <v>366</v>
      </c>
      <c r="D1387" s="1126"/>
      <c r="E1387" s="673">
        <f t="shared" ref="E1387:E1397" si="451">+N1387</f>
        <v>215.2</v>
      </c>
      <c r="F1387" s="674" t="s">
        <v>34</v>
      </c>
      <c r="G1387" s="675">
        <v>69</v>
      </c>
      <c r="H1387" s="676">
        <f t="shared" si="448"/>
        <v>14848.8</v>
      </c>
      <c r="I1387" s="677">
        <v>28</v>
      </c>
      <c r="J1387" s="678">
        <f t="shared" si="449"/>
        <v>6025.5999999999995</v>
      </c>
      <c r="K1387" s="675">
        <f t="shared" si="450"/>
        <v>20874.399999999998</v>
      </c>
      <c r="L1387" s="1079"/>
      <c r="M1387" s="574"/>
      <c r="N1387" s="680">
        <f t="shared" si="435"/>
        <v>215.2</v>
      </c>
      <c r="O1387" s="681">
        <v>0</v>
      </c>
      <c r="P1387" s="673">
        <v>215.2</v>
      </c>
      <c r="Q1387" s="574"/>
      <c r="R1387" s="574"/>
      <c r="S1387" s="574"/>
    </row>
    <row r="1388" spans="1:19" ht="21.3">
      <c r="A1388" s="665"/>
      <c r="B1388" s="617"/>
      <c r="C1388" s="1137"/>
      <c r="D1388" s="1126"/>
      <c r="E1388" s="673"/>
      <c r="F1388" s="674"/>
      <c r="G1388" s="675"/>
      <c r="H1388" s="676"/>
      <c r="I1388" s="677"/>
      <c r="J1388" s="678"/>
      <c r="K1388" s="675"/>
      <c r="L1388" s="1079"/>
      <c r="M1388" s="574"/>
      <c r="N1388" s="680"/>
      <c r="O1388" s="681"/>
      <c r="P1388" s="673"/>
      <c r="Q1388" s="574"/>
      <c r="R1388" s="574"/>
      <c r="S1388" s="574"/>
    </row>
    <row r="1389" spans="1:19" ht="21.3">
      <c r="A1389" s="665"/>
      <c r="B1389" s="617" t="s">
        <v>367</v>
      </c>
      <c r="C1389" s="1125" t="s">
        <v>368</v>
      </c>
      <c r="D1389" s="1126"/>
      <c r="E1389" s="673">
        <v>181.72</v>
      </c>
      <c r="F1389" s="674" t="s">
        <v>34</v>
      </c>
      <c r="G1389" s="675">
        <v>192</v>
      </c>
      <c r="H1389" s="676">
        <f t="shared" si="448"/>
        <v>34890.239999999998</v>
      </c>
      <c r="I1389" s="677">
        <v>75</v>
      </c>
      <c r="J1389" s="678">
        <f t="shared" si="449"/>
        <v>13629</v>
      </c>
      <c r="K1389" s="675">
        <f t="shared" si="450"/>
        <v>48519.24</v>
      </c>
      <c r="L1389" s="1079"/>
      <c r="M1389" s="574"/>
      <c r="N1389" s="680">
        <f t="shared" si="435"/>
        <v>52.7</v>
      </c>
      <c r="O1389" s="681">
        <v>0</v>
      </c>
      <c r="P1389" s="673">
        <v>52.7</v>
      </c>
      <c r="Q1389" s="574"/>
      <c r="R1389" s="574"/>
      <c r="S1389" s="574"/>
    </row>
    <row r="1390" spans="1:19" ht="21.3">
      <c r="A1390" s="665"/>
      <c r="B1390" s="617"/>
      <c r="C1390" s="1125" t="s">
        <v>369</v>
      </c>
      <c r="D1390" s="1126"/>
      <c r="E1390" s="673">
        <v>181.72</v>
      </c>
      <c r="F1390" s="674" t="s">
        <v>34</v>
      </c>
      <c r="G1390" s="675">
        <v>69</v>
      </c>
      <c r="H1390" s="676">
        <f t="shared" si="448"/>
        <v>12538.68</v>
      </c>
      <c r="I1390" s="677">
        <v>28</v>
      </c>
      <c r="J1390" s="678">
        <f t="shared" si="449"/>
        <v>5088.16</v>
      </c>
      <c r="K1390" s="675">
        <f t="shared" si="450"/>
        <v>17626.84</v>
      </c>
      <c r="L1390" s="1079"/>
      <c r="M1390" s="574"/>
      <c r="N1390" s="680">
        <f t="shared" si="435"/>
        <v>52.7</v>
      </c>
      <c r="O1390" s="681">
        <v>0</v>
      </c>
      <c r="P1390" s="673">
        <v>52.7</v>
      </c>
      <c r="Q1390" s="574"/>
      <c r="R1390" s="574"/>
      <c r="S1390" s="574"/>
    </row>
    <row r="1391" spans="1:19" ht="21.3">
      <c r="A1391" s="665"/>
      <c r="B1391" s="617" t="s">
        <v>370</v>
      </c>
      <c r="C1391" s="1125" t="s">
        <v>371</v>
      </c>
      <c r="D1391" s="1126"/>
      <c r="E1391" s="673">
        <f t="shared" si="451"/>
        <v>0</v>
      </c>
      <c r="F1391" s="674" t="s">
        <v>34</v>
      </c>
      <c r="G1391" s="675">
        <v>650</v>
      </c>
      <c r="H1391" s="676">
        <f t="shared" si="448"/>
        <v>0</v>
      </c>
      <c r="I1391" s="677">
        <v>52</v>
      </c>
      <c r="J1391" s="678">
        <f t="shared" si="449"/>
        <v>0</v>
      </c>
      <c r="K1391" s="675">
        <f t="shared" si="450"/>
        <v>0</v>
      </c>
      <c r="L1391" s="1079"/>
      <c r="M1391" s="574"/>
      <c r="N1391" s="680">
        <f t="shared" si="435"/>
        <v>0</v>
      </c>
      <c r="O1391" s="681">
        <v>0</v>
      </c>
      <c r="P1391" s="673"/>
      <c r="Q1391" s="574"/>
      <c r="R1391" s="574"/>
      <c r="S1391" s="574"/>
    </row>
    <row r="1392" spans="1:19" ht="21.3">
      <c r="A1392" s="665"/>
      <c r="B1392" s="617" t="s">
        <v>372</v>
      </c>
      <c r="C1392" s="1125" t="s">
        <v>373</v>
      </c>
      <c r="D1392" s="1126"/>
      <c r="E1392" s="673">
        <f t="shared" si="451"/>
        <v>0</v>
      </c>
      <c r="F1392" s="674" t="s">
        <v>34</v>
      </c>
      <c r="G1392" s="675">
        <v>30</v>
      </c>
      <c r="H1392" s="676">
        <f t="shared" si="448"/>
        <v>0</v>
      </c>
      <c r="I1392" s="677">
        <v>50</v>
      </c>
      <c r="J1392" s="678">
        <f t="shared" si="449"/>
        <v>0</v>
      </c>
      <c r="K1392" s="675">
        <f t="shared" si="450"/>
        <v>0</v>
      </c>
      <c r="L1392" s="1079"/>
      <c r="M1392" s="574"/>
      <c r="N1392" s="680">
        <f t="shared" si="435"/>
        <v>0</v>
      </c>
      <c r="O1392" s="681">
        <v>0</v>
      </c>
      <c r="P1392" s="673"/>
      <c r="Q1392" s="574"/>
      <c r="R1392" s="574"/>
      <c r="S1392" s="574"/>
    </row>
    <row r="1393" spans="1:19" ht="21.3">
      <c r="A1393" s="665"/>
      <c r="B1393" s="617" t="s">
        <v>374</v>
      </c>
      <c r="C1393" s="1125" t="s">
        <v>386</v>
      </c>
      <c r="D1393" s="1126"/>
      <c r="E1393" s="673">
        <f t="shared" si="451"/>
        <v>134.26000000000002</v>
      </c>
      <c r="F1393" s="674" t="s">
        <v>34</v>
      </c>
      <c r="G1393" s="675">
        <v>30</v>
      </c>
      <c r="H1393" s="676">
        <f t="shared" si="448"/>
        <v>4027.8000000000006</v>
      </c>
      <c r="I1393" s="677">
        <v>50</v>
      </c>
      <c r="J1393" s="678">
        <f t="shared" si="449"/>
        <v>6713.0000000000009</v>
      </c>
      <c r="K1393" s="675">
        <f t="shared" si="450"/>
        <v>10740.800000000001</v>
      </c>
      <c r="L1393" s="1079"/>
      <c r="M1393" s="574"/>
      <c r="N1393" s="680">
        <f t="shared" si="435"/>
        <v>134.26000000000002</v>
      </c>
      <c r="O1393" s="681">
        <v>0</v>
      </c>
      <c r="P1393" s="673">
        <v>134.26000000000002</v>
      </c>
      <c r="Q1393" s="574"/>
      <c r="R1393" s="574"/>
      <c r="S1393" s="574"/>
    </row>
    <row r="1394" spans="1:19" ht="21.3">
      <c r="A1394" s="665"/>
      <c r="B1394" s="617" t="s">
        <v>376</v>
      </c>
      <c r="C1394" s="1125" t="s">
        <v>387</v>
      </c>
      <c r="D1394" s="1126"/>
      <c r="E1394" s="673">
        <f t="shared" si="451"/>
        <v>83.340000000000018</v>
      </c>
      <c r="F1394" s="674" t="s">
        <v>34</v>
      </c>
      <c r="G1394" s="675">
        <v>88</v>
      </c>
      <c r="H1394" s="676">
        <f t="shared" si="448"/>
        <v>7333.9200000000019</v>
      </c>
      <c r="I1394" s="677">
        <v>94</v>
      </c>
      <c r="J1394" s="678">
        <f t="shared" si="449"/>
        <v>7833.9600000000019</v>
      </c>
      <c r="K1394" s="675">
        <f t="shared" si="450"/>
        <v>15167.880000000005</v>
      </c>
      <c r="L1394" s="1079"/>
      <c r="M1394" s="574"/>
      <c r="N1394" s="680">
        <f t="shared" si="435"/>
        <v>83.340000000000018</v>
      </c>
      <c r="O1394" s="681">
        <v>0</v>
      </c>
      <c r="P1394" s="673">
        <v>83.340000000000018</v>
      </c>
      <c r="Q1394" s="574"/>
      <c r="R1394" s="574"/>
      <c r="S1394" s="574"/>
    </row>
    <row r="1395" spans="1:19" ht="21.3">
      <c r="A1395" s="665"/>
      <c r="B1395" s="617"/>
      <c r="C1395" s="1125" t="s">
        <v>302</v>
      </c>
      <c r="D1395" s="1126"/>
      <c r="E1395" s="673">
        <f t="shared" si="451"/>
        <v>83.340000000000018</v>
      </c>
      <c r="F1395" s="674" t="s">
        <v>34</v>
      </c>
      <c r="G1395" s="675">
        <v>69</v>
      </c>
      <c r="H1395" s="676">
        <f t="shared" si="448"/>
        <v>5750.4600000000009</v>
      </c>
      <c r="I1395" s="677">
        <v>28</v>
      </c>
      <c r="J1395" s="678">
        <f t="shared" si="449"/>
        <v>2333.5200000000004</v>
      </c>
      <c r="K1395" s="675">
        <f t="shared" si="450"/>
        <v>8083.9800000000014</v>
      </c>
      <c r="L1395" s="1079"/>
      <c r="M1395" s="632"/>
      <c r="N1395" s="680">
        <f t="shared" si="435"/>
        <v>83.340000000000018</v>
      </c>
      <c r="O1395" s="681">
        <v>0</v>
      </c>
      <c r="P1395" s="673">
        <v>83.340000000000018</v>
      </c>
      <c r="Q1395" s="632"/>
      <c r="R1395" s="632"/>
      <c r="S1395" s="632"/>
    </row>
    <row r="1396" spans="1:19" ht="21.3">
      <c r="A1396" s="665"/>
      <c r="B1396" s="617" t="s">
        <v>378</v>
      </c>
      <c r="C1396" s="1125" t="s">
        <v>379</v>
      </c>
      <c r="D1396" s="1126"/>
      <c r="E1396" s="673">
        <f t="shared" si="451"/>
        <v>0</v>
      </c>
      <c r="F1396" s="674" t="s">
        <v>34</v>
      </c>
      <c r="G1396" s="675">
        <v>1900</v>
      </c>
      <c r="H1396" s="676">
        <f t="shared" si="448"/>
        <v>0</v>
      </c>
      <c r="I1396" s="677">
        <v>450</v>
      </c>
      <c r="J1396" s="678">
        <f t="shared" si="449"/>
        <v>0</v>
      </c>
      <c r="K1396" s="675">
        <f t="shared" si="450"/>
        <v>0</v>
      </c>
      <c r="L1396" s="1079"/>
      <c r="M1396" s="574"/>
      <c r="N1396" s="680">
        <f t="shared" si="435"/>
        <v>0</v>
      </c>
      <c r="O1396" s="681">
        <v>0</v>
      </c>
      <c r="P1396" s="673"/>
      <c r="Q1396" s="574"/>
      <c r="R1396" s="574"/>
      <c r="S1396" s="574"/>
    </row>
    <row r="1397" spans="1:19" ht="21.3">
      <c r="A1397" s="665"/>
      <c r="B1397" s="617" t="s">
        <v>380</v>
      </c>
      <c r="C1397" s="1125" t="s">
        <v>381</v>
      </c>
      <c r="D1397" s="1126"/>
      <c r="E1397" s="673">
        <f t="shared" si="451"/>
        <v>0</v>
      </c>
      <c r="F1397" s="674" t="s">
        <v>34</v>
      </c>
      <c r="G1397" s="675">
        <v>1296</v>
      </c>
      <c r="H1397" s="676">
        <f t="shared" si="448"/>
        <v>0</v>
      </c>
      <c r="I1397" s="677">
        <v>1600</v>
      </c>
      <c r="J1397" s="678">
        <f t="shared" si="449"/>
        <v>0</v>
      </c>
      <c r="K1397" s="675">
        <f t="shared" si="450"/>
        <v>0</v>
      </c>
      <c r="L1397" s="1079"/>
      <c r="M1397" s="574"/>
      <c r="N1397" s="680">
        <f t="shared" si="435"/>
        <v>0</v>
      </c>
      <c r="O1397" s="681">
        <v>0</v>
      </c>
      <c r="P1397" s="673"/>
      <c r="Q1397" s="574"/>
      <c r="R1397" s="574"/>
      <c r="S1397" s="574"/>
    </row>
    <row r="1398" spans="1:19" ht="21.3">
      <c r="A1398" s="665"/>
      <c r="B1398" s="617" t="s">
        <v>600</v>
      </c>
      <c r="C1398" s="1127" t="s">
        <v>601</v>
      </c>
      <c r="D1398" s="1126"/>
      <c r="E1398" s="618"/>
      <c r="F1398" s="674" t="s">
        <v>34</v>
      </c>
      <c r="G1398" s="675">
        <v>325</v>
      </c>
      <c r="H1398" s="676">
        <f t="shared" si="448"/>
        <v>0</v>
      </c>
      <c r="I1398" s="677">
        <v>100</v>
      </c>
      <c r="J1398" s="678">
        <f t="shared" si="449"/>
        <v>0</v>
      </c>
      <c r="K1398" s="675">
        <f t="shared" si="450"/>
        <v>0</v>
      </c>
      <c r="L1398" s="1079"/>
      <c r="M1398" s="574"/>
      <c r="N1398" s="686">
        <f t="shared" si="435"/>
        <v>129.02000000000001</v>
      </c>
      <c r="O1398" s="622">
        <v>0</v>
      </c>
      <c r="P1398" s="618">
        <v>129.02000000000001</v>
      </c>
      <c r="Q1398" s="574"/>
      <c r="R1398" s="574"/>
      <c r="S1398" s="574"/>
    </row>
    <row r="1399" spans="1:19" ht="21.3">
      <c r="A1399" s="665"/>
      <c r="B1399" s="617"/>
      <c r="C1399" s="623"/>
      <c r="D1399" s="617"/>
      <c r="E1399" s="618"/>
      <c r="F1399" s="674"/>
      <c r="G1399" s="675"/>
      <c r="H1399" s="676"/>
      <c r="I1399" s="677"/>
      <c r="J1399" s="678"/>
      <c r="K1399" s="675"/>
      <c r="L1399" s="1079"/>
      <c r="M1399" s="574"/>
      <c r="N1399" s="686"/>
      <c r="O1399" s="622"/>
      <c r="P1399" s="618"/>
      <c r="Q1399" s="574"/>
      <c r="R1399" s="574"/>
      <c r="S1399" s="574"/>
    </row>
    <row r="1400" spans="1:19" ht="21.3">
      <c r="A1400" s="665"/>
      <c r="B1400" s="1114"/>
      <c r="C1400" s="617"/>
      <c r="D1400" s="1124"/>
      <c r="E1400" s="637"/>
      <c r="F1400" s="625"/>
      <c r="G1400" s="687"/>
      <c r="H1400" s="685"/>
      <c r="I1400" s="642"/>
      <c r="J1400" s="571"/>
      <c r="K1400" s="1060"/>
      <c r="L1400" s="1061"/>
      <c r="M1400" s="574"/>
      <c r="N1400" s="669">
        <f t="shared" si="435"/>
        <v>0</v>
      </c>
      <c r="O1400" s="636">
        <v>0</v>
      </c>
      <c r="P1400" s="637"/>
      <c r="Q1400" s="574"/>
      <c r="R1400" s="574"/>
      <c r="S1400" s="574"/>
    </row>
    <row r="1401" spans="1:19" ht="21.3">
      <c r="A1401" s="665" t="s">
        <v>390</v>
      </c>
      <c r="B1401" s="1114" t="s">
        <v>391</v>
      </c>
      <c r="C1401" s="617"/>
      <c r="D1401" s="1124"/>
      <c r="E1401" s="637"/>
      <c r="F1401" s="625"/>
      <c r="G1401" s="687"/>
      <c r="H1401" s="685"/>
      <c r="I1401" s="642"/>
      <c r="J1401" s="571">
        <f t="shared" si="446"/>
        <v>0</v>
      </c>
      <c r="K1401" s="1060">
        <f t="shared" si="447"/>
        <v>0</v>
      </c>
      <c r="L1401" s="1061"/>
      <c r="M1401" s="574"/>
      <c r="N1401" s="669">
        <f t="shared" si="435"/>
        <v>0</v>
      </c>
      <c r="O1401" s="636">
        <v>0</v>
      </c>
      <c r="P1401" s="637"/>
      <c r="Q1401" s="574"/>
      <c r="R1401" s="574"/>
      <c r="S1401" s="574"/>
    </row>
    <row r="1402" spans="1:19" s="682" customFormat="1" ht="24" customHeight="1">
      <c r="A1402" s="665"/>
      <c r="B1402" s="617" t="s">
        <v>360</v>
      </c>
      <c r="C1402" s="1137"/>
      <c r="D1402" s="1126"/>
      <c r="E1402" s="673"/>
      <c r="F1402" s="674" t="s">
        <v>361</v>
      </c>
      <c r="G1402" s="675">
        <v>190</v>
      </c>
      <c r="H1402" s="676">
        <f t="shared" ref="H1402:H1415" si="452">SUM(E1402*G1402)</f>
        <v>0</v>
      </c>
      <c r="I1402" s="677">
        <v>75</v>
      </c>
      <c r="J1402" s="678">
        <f t="shared" ref="J1402:J1415" si="453">SUM(E1402*I1402)</f>
        <v>0</v>
      </c>
      <c r="K1402" s="675">
        <f t="shared" ref="K1402:K1415" si="454">SUM(H1402+J1402)</f>
        <v>0</v>
      </c>
      <c r="L1402" s="1079"/>
      <c r="M1402" s="679"/>
      <c r="N1402" s="680">
        <f t="shared" si="435"/>
        <v>0</v>
      </c>
      <c r="O1402" s="681">
        <v>0</v>
      </c>
      <c r="P1402" s="673"/>
      <c r="Q1402" s="679"/>
      <c r="R1402" s="679"/>
      <c r="S1402" s="679"/>
    </row>
    <row r="1403" spans="1:19" ht="21.3">
      <c r="A1403" s="665"/>
      <c r="B1403" s="617" t="s">
        <v>362</v>
      </c>
      <c r="C1403" s="1137"/>
      <c r="D1403" s="1126"/>
      <c r="E1403" s="673">
        <v>6</v>
      </c>
      <c r="F1403" s="674" t="s">
        <v>363</v>
      </c>
      <c r="G1403" s="675">
        <v>347</v>
      </c>
      <c r="H1403" s="676">
        <f t="shared" si="452"/>
        <v>2082</v>
      </c>
      <c r="I1403" s="677">
        <v>75</v>
      </c>
      <c r="J1403" s="678">
        <f t="shared" si="453"/>
        <v>450</v>
      </c>
      <c r="K1403" s="675">
        <f t="shared" si="454"/>
        <v>2532</v>
      </c>
      <c r="L1403" s="1079"/>
      <c r="M1403" s="574"/>
      <c r="N1403" s="680">
        <f t="shared" si="435"/>
        <v>0</v>
      </c>
      <c r="O1403" s="681">
        <v>0</v>
      </c>
      <c r="P1403" s="673"/>
      <c r="Q1403" s="574"/>
      <c r="R1403" s="574"/>
      <c r="S1403" s="574"/>
    </row>
    <row r="1404" spans="1:19" ht="21.3">
      <c r="A1404" s="665"/>
      <c r="B1404" s="617" t="s">
        <v>364</v>
      </c>
      <c r="C1404" s="1137" t="s">
        <v>365</v>
      </c>
      <c r="D1404" s="1126"/>
      <c r="E1404" s="673">
        <f>+N1404</f>
        <v>215.2</v>
      </c>
      <c r="F1404" s="674" t="s">
        <v>34</v>
      </c>
      <c r="G1404" s="675">
        <v>169</v>
      </c>
      <c r="H1404" s="676">
        <f t="shared" si="452"/>
        <v>36368.799999999996</v>
      </c>
      <c r="I1404" s="677">
        <v>75</v>
      </c>
      <c r="J1404" s="678">
        <f t="shared" si="453"/>
        <v>16140</v>
      </c>
      <c r="K1404" s="675">
        <f t="shared" si="454"/>
        <v>52508.799999999996</v>
      </c>
      <c r="L1404" s="1079"/>
      <c r="M1404" s="574"/>
      <c r="N1404" s="680">
        <f t="shared" si="435"/>
        <v>215.2</v>
      </c>
      <c r="O1404" s="681">
        <v>0</v>
      </c>
      <c r="P1404" s="673">
        <v>215.2</v>
      </c>
      <c r="Q1404" s="574"/>
      <c r="R1404" s="574"/>
      <c r="S1404" s="574"/>
    </row>
    <row r="1405" spans="1:19" ht="21.3">
      <c r="A1405" s="665"/>
      <c r="B1405" s="617"/>
      <c r="C1405" s="1137" t="s">
        <v>366</v>
      </c>
      <c r="D1405" s="1126"/>
      <c r="E1405" s="673">
        <f t="shared" ref="E1405:E1414" si="455">+N1405</f>
        <v>215.2</v>
      </c>
      <c r="F1405" s="674" t="s">
        <v>34</v>
      </c>
      <c r="G1405" s="675">
        <v>69</v>
      </c>
      <c r="H1405" s="676">
        <f t="shared" si="452"/>
        <v>14848.8</v>
      </c>
      <c r="I1405" s="677">
        <v>28</v>
      </c>
      <c r="J1405" s="678">
        <f t="shared" si="453"/>
        <v>6025.5999999999995</v>
      </c>
      <c r="K1405" s="675">
        <f t="shared" si="454"/>
        <v>20874.399999999998</v>
      </c>
      <c r="L1405" s="1079"/>
      <c r="M1405" s="574"/>
      <c r="N1405" s="680">
        <f t="shared" ref="N1405:N1475" si="456">+(1+O1405)*P1405</f>
        <v>215.2</v>
      </c>
      <c r="O1405" s="681">
        <v>0</v>
      </c>
      <c r="P1405" s="673">
        <v>215.2</v>
      </c>
      <c r="Q1405" s="574"/>
      <c r="R1405" s="574"/>
      <c r="S1405" s="574"/>
    </row>
    <row r="1406" spans="1:19" ht="21.3">
      <c r="A1406" s="665"/>
      <c r="B1406" s="617" t="s">
        <v>367</v>
      </c>
      <c r="C1406" s="1125" t="s">
        <v>368</v>
      </c>
      <c r="D1406" s="1126"/>
      <c r="E1406" s="673">
        <v>181.72</v>
      </c>
      <c r="F1406" s="674" t="s">
        <v>34</v>
      </c>
      <c r="G1406" s="675">
        <v>192</v>
      </c>
      <c r="H1406" s="676">
        <f t="shared" si="452"/>
        <v>34890.239999999998</v>
      </c>
      <c r="I1406" s="677">
        <v>75</v>
      </c>
      <c r="J1406" s="678">
        <f t="shared" si="453"/>
        <v>13629</v>
      </c>
      <c r="K1406" s="675">
        <f t="shared" si="454"/>
        <v>48519.24</v>
      </c>
      <c r="L1406" s="1079"/>
      <c r="M1406" s="574"/>
      <c r="N1406" s="680">
        <f t="shared" si="456"/>
        <v>52.7</v>
      </c>
      <c r="O1406" s="681">
        <v>0</v>
      </c>
      <c r="P1406" s="673">
        <v>52.7</v>
      </c>
      <c r="Q1406" s="574"/>
      <c r="R1406" s="574"/>
      <c r="S1406" s="574"/>
    </row>
    <row r="1407" spans="1:19" ht="21.3">
      <c r="A1407" s="665"/>
      <c r="B1407" s="617"/>
      <c r="C1407" s="1125" t="s">
        <v>369</v>
      </c>
      <c r="D1407" s="1126"/>
      <c r="E1407" s="673">
        <v>181.72</v>
      </c>
      <c r="F1407" s="674" t="s">
        <v>34</v>
      </c>
      <c r="G1407" s="675">
        <v>69</v>
      </c>
      <c r="H1407" s="676">
        <f t="shared" si="452"/>
        <v>12538.68</v>
      </c>
      <c r="I1407" s="677">
        <v>28</v>
      </c>
      <c r="J1407" s="678">
        <f t="shared" si="453"/>
        <v>5088.16</v>
      </c>
      <c r="K1407" s="675">
        <f t="shared" si="454"/>
        <v>17626.84</v>
      </c>
      <c r="L1407" s="1079"/>
      <c r="M1407" s="574"/>
      <c r="N1407" s="680">
        <f t="shared" si="456"/>
        <v>52.7</v>
      </c>
      <c r="O1407" s="681">
        <v>0</v>
      </c>
      <c r="P1407" s="673">
        <v>52.7</v>
      </c>
      <c r="Q1407" s="574"/>
      <c r="R1407" s="574"/>
      <c r="S1407" s="574"/>
    </row>
    <row r="1408" spans="1:19" ht="21.3">
      <c r="A1408" s="665"/>
      <c r="B1408" s="617" t="s">
        <v>370</v>
      </c>
      <c r="C1408" s="1125" t="s">
        <v>371</v>
      </c>
      <c r="D1408" s="1126"/>
      <c r="E1408" s="673">
        <f t="shared" si="455"/>
        <v>0</v>
      </c>
      <c r="F1408" s="674" t="s">
        <v>34</v>
      </c>
      <c r="G1408" s="675">
        <v>650</v>
      </c>
      <c r="H1408" s="676">
        <f t="shared" si="452"/>
        <v>0</v>
      </c>
      <c r="I1408" s="677">
        <v>52</v>
      </c>
      <c r="J1408" s="678">
        <f t="shared" si="453"/>
        <v>0</v>
      </c>
      <c r="K1408" s="675">
        <f t="shared" si="454"/>
        <v>0</v>
      </c>
      <c r="L1408" s="1079"/>
      <c r="M1408" s="574"/>
      <c r="N1408" s="680">
        <f t="shared" si="456"/>
        <v>0</v>
      </c>
      <c r="O1408" s="681">
        <v>0</v>
      </c>
      <c r="P1408" s="673"/>
      <c r="Q1408" s="574"/>
      <c r="R1408" s="574"/>
      <c r="S1408" s="574"/>
    </row>
    <row r="1409" spans="1:19" ht="21.3">
      <c r="A1409" s="665"/>
      <c r="B1409" s="617" t="s">
        <v>372</v>
      </c>
      <c r="C1409" s="1125" t="s">
        <v>373</v>
      </c>
      <c r="D1409" s="1126"/>
      <c r="E1409" s="673">
        <f t="shared" si="455"/>
        <v>0</v>
      </c>
      <c r="F1409" s="674" t="s">
        <v>34</v>
      </c>
      <c r="G1409" s="675">
        <v>30</v>
      </c>
      <c r="H1409" s="676">
        <f t="shared" si="452"/>
        <v>0</v>
      </c>
      <c r="I1409" s="677">
        <v>50</v>
      </c>
      <c r="J1409" s="678">
        <f t="shared" si="453"/>
        <v>0</v>
      </c>
      <c r="K1409" s="675">
        <f t="shared" si="454"/>
        <v>0</v>
      </c>
      <c r="L1409" s="1079"/>
      <c r="M1409" s="574"/>
      <c r="N1409" s="680">
        <f t="shared" si="456"/>
        <v>0</v>
      </c>
      <c r="O1409" s="681">
        <v>0</v>
      </c>
      <c r="P1409" s="673"/>
      <c r="Q1409" s="574"/>
      <c r="R1409" s="574"/>
      <c r="S1409" s="574"/>
    </row>
    <row r="1410" spans="1:19" ht="21.3">
      <c r="A1410" s="665"/>
      <c r="B1410" s="617" t="s">
        <v>374</v>
      </c>
      <c r="C1410" s="1125" t="s">
        <v>386</v>
      </c>
      <c r="D1410" s="1126"/>
      <c r="E1410" s="673">
        <f t="shared" si="455"/>
        <v>134.26000000000002</v>
      </c>
      <c r="F1410" s="674" t="s">
        <v>34</v>
      </c>
      <c r="G1410" s="675">
        <v>30</v>
      </c>
      <c r="H1410" s="676">
        <f t="shared" si="452"/>
        <v>4027.8000000000006</v>
      </c>
      <c r="I1410" s="677">
        <v>50</v>
      </c>
      <c r="J1410" s="678">
        <f t="shared" si="453"/>
        <v>6713.0000000000009</v>
      </c>
      <c r="K1410" s="675">
        <f t="shared" si="454"/>
        <v>10740.800000000001</v>
      </c>
      <c r="L1410" s="1079"/>
      <c r="M1410" s="574"/>
      <c r="N1410" s="680">
        <f t="shared" si="456"/>
        <v>134.26000000000002</v>
      </c>
      <c r="O1410" s="681">
        <v>0</v>
      </c>
      <c r="P1410" s="673">
        <v>134.26000000000002</v>
      </c>
      <c r="Q1410" s="574"/>
      <c r="R1410" s="574"/>
      <c r="S1410" s="574"/>
    </row>
    <row r="1411" spans="1:19" ht="21.3">
      <c r="A1411" s="665"/>
      <c r="B1411" s="617" t="s">
        <v>376</v>
      </c>
      <c r="C1411" s="1125" t="s">
        <v>387</v>
      </c>
      <c r="D1411" s="1126"/>
      <c r="E1411" s="673">
        <f t="shared" si="455"/>
        <v>83.340000000000018</v>
      </c>
      <c r="F1411" s="674" t="s">
        <v>34</v>
      </c>
      <c r="G1411" s="675">
        <v>88</v>
      </c>
      <c r="H1411" s="676">
        <f t="shared" si="452"/>
        <v>7333.9200000000019</v>
      </c>
      <c r="I1411" s="677">
        <v>94</v>
      </c>
      <c r="J1411" s="678">
        <f t="shared" si="453"/>
        <v>7833.9600000000019</v>
      </c>
      <c r="K1411" s="675">
        <f t="shared" si="454"/>
        <v>15167.880000000005</v>
      </c>
      <c r="L1411" s="1079"/>
      <c r="M1411" s="574"/>
      <c r="N1411" s="680">
        <f t="shared" si="456"/>
        <v>83.340000000000018</v>
      </c>
      <c r="O1411" s="681">
        <v>0</v>
      </c>
      <c r="P1411" s="673">
        <v>83.340000000000018</v>
      </c>
      <c r="Q1411" s="574"/>
      <c r="R1411" s="574"/>
      <c r="S1411" s="574"/>
    </row>
    <row r="1412" spans="1:19" ht="21.3">
      <c r="A1412" s="665"/>
      <c r="B1412" s="617"/>
      <c r="C1412" s="1125" t="s">
        <v>302</v>
      </c>
      <c r="D1412" s="1126"/>
      <c r="E1412" s="673">
        <f t="shared" si="455"/>
        <v>83.340000000000018</v>
      </c>
      <c r="F1412" s="674" t="s">
        <v>34</v>
      </c>
      <c r="G1412" s="675">
        <v>69</v>
      </c>
      <c r="H1412" s="676">
        <f t="shared" si="452"/>
        <v>5750.4600000000009</v>
      </c>
      <c r="I1412" s="677">
        <v>28</v>
      </c>
      <c r="J1412" s="678">
        <f t="shared" si="453"/>
        <v>2333.5200000000004</v>
      </c>
      <c r="K1412" s="675">
        <f t="shared" si="454"/>
        <v>8083.9800000000014</v>
      </c>
      <c r="L1412" s="1079"/>
      <c r="M1412" s="632"/>
      <c r="N1412" s="680">
        <f t="shared" si="456"/>
        <v>83.340000000000018</v>
      </c>
      <c r="O1412" s="681">
        <v>0</v>
      </c>
      <c r="P1412" s="673">
        <v>83.340000000000018</v>
      </c>
      <c r="Q1412" s="632"/>
      <c r="R1412" s="632"/>
      <c r="S1412" s="632"/>
    </row>
    <row r="1413" spans="1:19" ht="21.3">
      <c r="A1413" s="665"/>
      <c r="B1413" s="617" t="s">
        <v>378</v>
      </c>
      <c r="C1413" s="1125" t="s">
        <v>379</v>
      </c>
      <c r="D1413" s="1126"/>
      <c r="E1413" s="673">
        <f t="shared" si="455"/>
        <v>0</v>
      </c>
      <c r="F1413" s="674" t="s">
        <v>34</v>
      </c>
      <c r="G1413" s="675">
        <v>1900</v>
      </c>
      <c r="H1413" s="676">
        <f t="shared" si="452"/>
        <v>0</v>
      </c>
      <c r="I1413" s="677">
        <v>450</v>
      </c>
      <c r="J1413" s="678">
        <f t="shared" si="453"/>
        <v>0</v>
      </c>
      <c r="K1413" s="675">
        <f t="shared" si="454"/>
        <v>0</v>
      </c>
      <c r="L1413" s="1079"/>
      <c r="M1413" s="574"/>
      <c r="N1413" s="680">
        <f t="shared" si="456"/>
        <v>0</v>
      </c>
      <c r="O1413" s="681">
        <v>0</v>
      </c>
      <c r="P1413" s="673"/>
      <c r="Q1413" s="574"/>
      <c r="R1413" s="574"/>
      <c r="S1413" s="574"/>
    </row>
    <row r="1414" spans="1:19" ht="21.3">
      <c r="A1414" s="665"/>
      <c r="B1414" s="617" t="s">
        <v>380</v>
      </c>
      <c r="C1414" s="1125" t="s">
        <v>381</v>
      </c>
      <c r="D1414" s="1126"/>
      <c r="E1414" s="673">
        <f t="shared" si="455"/>
        <v>0</v>
      </c>
      <c r="F1414" s="674" t="s">
        <v>34</v>
      </c>
      <c r="G1414" s="675">
        <v>1296</v>
      </c>
      <c r="H1414" s="676">
        <f t="shared" si="452"/>
        <v>0</v>
      </c>
      <c r="I1414" s="677">
        <v>1600</v>
      </c>
      <c r="J1414" s="678">
        <f t="shared" si="453"/>
        <v>0</v>
      </c>
      <c r="K1414" s="675">
        <f t="shared" si="454"/>
        <v>0</v>
      </c>
      <c r="L1414" s="1079"/>
      <c r="M1414" s="574"/>
      <c r="N1414" s="680">
        <f t="shared" si="456"/>
        <v>0</v>
      </c>
      <c r="O1414" s="681">
        <v>0</v>
      </c>
      <c r="P1414" s="673"/>
      <c r="Q1414" s="574"/>
      <c r="R1414" s="574"/>
      <c r="S1414" s="574"/>
    </row>
    <row r="1415" spans="1:19" ht="21.3">
      <c r="A1415" s="665"/>
      <c r="B1415" s="617" t="s">
        <v>600</v>
      </c>
      <c r="C1415" s="1127" t="s">
        <v>601</v>
      </c>
      <c r="D1415" s="1126"/>
      <c r="E1415" s="618"/>
      <c r="F1415" s="674" t="s">
        <v>34</v>
      </c>
      <c r="G1415" s="675">
        <v>325</v>
      </c>
      <c r="H1415" s="676">
        <f t="shared" si="452"/>
        <v>0</v>
      </c>
      <c r="I1415" s="677">
        <v>100</v>
      </c>
      <c r="J1415" s="678">
        <f t="shared" si="453"/>
        <v>0</v>
      </c>
      <c r="K1415" s="675">
        <f t="shared" si="454"/>
        <v>0</v>
      </c>
      <c r="L1415" s="1079"/>
      <c r="M1415" s="574"/>
      <c r="N1415" s="686">
        <f t="shared" si="456"/>
        <v>129.02000000000001</v>
      </c>
      <c r="O1415" s="622">
        <v>0</v>
      </c>
      <c r="P1415" s="618">
        <v>129.02000000000001</v>
      </c>
      <c r="Q1415" s="574"/>
      <c r="R1415" s="574"/>
      <c r="S1415" s="574"/>
    </row>
    <row r="1416" spans="1:19" ht="21.3">
      <c r="A1416" s="665"/>
      <c r="B1416" s="617"/>
      <c r="C1416" s="617"/>
      <c r="D1416" s="617"/>
      <c r="E1416" s="673"/>
      <c r="F1416" s="674"/>
      <c r="G1416" s="675"/>
      <c r="H1416" s="676"/>
      <c r="I1416" s="677"/>
      <c r="J1416" s="678"/>
      <c r="K1416" s="675"/>
      <c r="L1416" s="1079"/>
      <c r="M1416" s="574"/>
      <c r="N1416" s="680">
        <f t="shared" si="456"/>
        <v>0</v>
      </c>
      <c r="O1416" s="681">
        <v>0</v>
      </c>
      <c r="P1416" s="673"/>
      <c r="Q1416" s="574"/>
      <c r="R1416" s="574"/>
      <c r="S1416" s="574"/>
    </row>
    <row r="1417" spans="1:19" ht="21.3">
      <c r="A1417" s="665" t="s">
        <v>392</v>
      </c>
      <c r="B1417" s="1114" t="s">
        <v>393</v>
      </c>
      <c r="C1417" s="617"/>
      <c r="D1417" s="1124"/>
      <c r="E1417" s="637"/>
      <c r="F1417" s="625"/>
      <c r="G1417" s="687"/>
      <c r="H1417" s="685"/>
      <c r="I1417" s="642"/>
      <c r="J1417" s="571">
        <f t="shared" ref="J1417:J1455" si="457">I1417*E1417</f>
        <v>0</v>
      </c>
      <c r="K1417" s="1060">
        <f t="shared" si="447"/>
        <v>0</v>
      </c>
      <c r="L1417" s="1061"/>
      <c r="M1417" s="574"/>
      <c r="N1417" s="669">
        <f t="shared" si="456"/>
        <v>0</v>
      </c>
      <c r="O1417" s="636">
        <v>0</v>
      </c>
      <c r="P1417" s="637"/>
      <c r="Q1417" s="574"/>
      <c r="R1417" s="574"/>
      <c r="S1417" s="574"/>
    </row>
    <row r="1418" spans="1:19" s="682" customFormat="1" ht="24" customHeight="1">
      <c r="A1418" s="665"/>
      <c r="B1418" s="617" t="s">
        <v>360</v>
      </c>
      <c r="C1418" s="1137"/>
      <c r="D1418" s="1126"/>
      <c r="E1418" s="673"/>
      <c r="F1418" s="674" t="s">
        <v>361</v>
      </c>
      <c r="G1418" s="675">
        <v>190</v>
      </c>
      <c r="H1418" s="676">
        <f t="shared" ref="H1418:H1431" si="458">SUM(E1418*G1418)</f>
        <v>0</v>
      </c>
      <c r="I1418" s="677">
        <v>75</v>
      </c>
      <c r="J1418" s="678">
        <f t="shared" ref="J1418:J1432" si="459">SUM(E1418*I1418)</f>
        <v>0</v>
      </c>
      <c r="K1418" s="675">
        <f t="shared" ref="K1418:K1432" si="460">SUM(H1418+J1418)</f>
        <v>0</v>
      </c>
      <c r="L1418" s="1079"/>
      <c r="M1418" s="679"/>
      <c r="N1418" s="680">
        <f t="shared" si="456"/>
        <v>0</v>
      </c>
      <c r="O1418" s="681">
        <v>0</v>
      </c>
      <c r="P1418" s="673"/>
      <c r="Q1418" s="679"/>
      <c r="R1418" s="679"/>
      <c r="S1418" s="679"/>
    </row>
    <row r="1419" spans="1:19" ht="21.3">
      <c r="A1419" s="665"/>
      <c r="B1419" s="617" t="s">
        <v>362</v>
      </c>
      <c r="C1419" s="1137"/>
      <c r="D1419" s="1126"/>
      <c r="E1419" s="673">
        <v>6</v>
      </c>
      <c r="F1419" s="674" t="s">
        <v>363</v>
      </c>
      <c r="G1419" s="675">
        <v>347</v>
      </c>
      <c r="H1419" s="676">
        <f t="shared" si="458"/>
        <v>2082</v>
      </c>
      <c r="I1419" s="677">
        <v>75</v>
      </c>
      <c r="J1419" s="678">
        <f t="shared" si="459"/>
        <v>450</v>
      </c>
      <c r="K1419" s="675">
        <f t="shared" si="460"/>
        <v>2532</v>
      </c>
      <c r="L1419" s="1079"/>
      <c r="M1419" s="574"/>
      <c r="N1419" s="680">
        <f t="shared" si="456"/>
        <v>0</v>
      </c>
      <c r="O1419" s="681">
        <v>0</v>
      </c>
      <c r="P1419" s="673"/>
      <c r="Q1419" s="574"/>
      <c r="R1419" s="574"/>
      <c r="S1419" s="574"/>
    </row>
    <row r="1420" spans="1:19" ht="21.3">
      <c r="A1420" s="665"/>
      <c r="B1420" s="617" t="s">
        <v>364</v>
      </c>
      <c r="C1420" s="1137" t="s">
        <v>365</v>
      </c>
      <c r="D1420" s="1126"/>
      <c r="E1420" s="673">
        <f>+N1420</f>
        <v>215.2</v>
      </c>
      <c r="F1420" s="674" t="s">
        <v>34</v>
      </c>
      <c r="G1420" s="675">
        <v>169</v>
      </c>
      <c r="H1420" s="676">
        <f t="shared" si="458"/>
        <v>36368.799999999996</v>
      </c>
      <c r="I1420" s="677">
        <v>75</v>
      </c>
      <c r="J1420" s="678">
        <f t="shared" si="459"/>
        <v>16140</v>
      </c>
      <c r="K1420" s="675">
        <f t="shared" si="460"/>
        <v>52508.799999999996</v>
      </c>
      <c r="L1420" s="1079"/>
      <c r="M1420" s="574"/>
      <c r="N1420" s="680">
        <f t="shared" si="456"/>
        <v>215.2</v>
      </c>
      <c r="O1420" s="681">
        <v>0</v>
      </c>
      <c r="P1420" s="673">
        <v>215.2</v>
      </c>
      <c r="Q1420" s="574"/>
      <c r="R1420" s="574"/>
      <c r="S1420" s="574"/>
    </row>
    <row r="1421" spans="1:19" ht="21.3">
      <c r="A1421" s="665"/>
      <c r="B1421" s="617"/>
      <c r="C1421" s="1137" t="s">
        <v>366</v>
      </c>
      <c r="D1421" s="1126"/>
      <c r="E1421" s="673">
        <f t="shared" ref="E1421:E1431" si="461">+N1421</f>
        <v>215.2</v>
      </c>
      <c r="F1421" s="674" t="s">
        <v>34</v>
      </c>
      <c r="G1421" s="675">
        <v>69</v>
      </c>
      <c r="H1421" s="676">
        <f t="shared" si="458"/>
        <v>14848.8</v>
      </c>
      <c r="I1421" s="677">
        <v>28</v>
      </c>
      <c r="J1421" s="678">
        <f t="shared" si="459"/>
        <v>6025.5999999999995</v>
      </c>
      <c r="K1421" s="675">
        <f t="shared" si="460"/>
        <v>20874.399999999998</v>
      </c>
      <c r="L1421" s="1079"/>
      <c r="M1421" s="574"/>
      <c r="N1421" s="680">
        <f t="shared" si="456"/>
        <v>215.2</v>
      </c>
      <c r="O1421" s="681">
        <v>0</v>
      </c>
      <c r="P1421" s="673">
        <v>215.2</v>
      </c>
      <c r="Q1421" s="574"/>
      <c r="R1421" s="574"/>
      <c r="S1421" s="574"/>
    </row>
    <row r="1422" spans="1:19" ht="21.3">
      <c r="A1422" s="665"/>
      <c r="B1422" s="617" t="s">
        <v>367</v>
      </c>
      <c r="C1422" s="1125" t="s">
        <v>368</v>
      </c>
      <c r="D1422" s="1126"/>
      <c r="E1422" s="673">
        <v>181.72</v>
      </c>
      <c r="F1422" s="674" t="s">
        <v>34</v>
      </c>
      <c r="G1422" s="675">
        <v>192</v>
      </c>
      <c r="H1422" s="676">
        <f t="shared" si="458"/>
        <v>34890.239999999998</v>
      </c>
      <c r="I1422" s="677">
        <v>75</v>
      </c>
      <c r="J1422" s="678">
        <f t="shared" si="459"/>
        <v>13629</v>
      </c>
      <c r="K1422" s="675">
        <f t="shared" si="460"/>
        <v>48519.24</v>
      </c>
      <c r="L1422" s="1079"/>
      <c r="M1422" s="574"/>
      <c r="N1422" s="680">
        <f t="shared" si="456"/>
        <v>52.7</v>
      </c>
      <c r="O1422" s="681">
        <v>0</v>
      </c>
      <c r="P1422" s="673">
        <v>52.7</v>
      </c>
      <c r="Q1422" s="574"/>
      <c r="R1422" s="574"/>
      <c r="S1422" s="574"/>
    </row>
    <row r="1423" spans="1:19" ht="21.3">
      <c r="A1423" s="665"/>
      <c r="B1423" s="617"/>
      <c r="C1423" s="1125" t="s">
        <v>369</v>
      </c>
      <c r="D1423" s="1126"/>
      <c r="E1423" s="673">
        <v>181.72</v>
      </c>
      <c r="F1423" s="674" t="s">
        <v>34</v>
      </c>
      <c r="G1423" s="675">
        <v>69</v>
      </c>
      <c r="H1423" s="676">
        <f t="shared" si="458"/>
        <v>12538.68</v>
      </c>
      <c r="I1423" s="677">
        <v>28</v>
      </c>
      <c r="J1423" s="678">
        <f t="shared" si="459"/>
        <v>5088.16</v>
      </c>
      <c r="K1423" s="675">
        <f t="shared" si="460"/>
        <v>17626.84</v>
      </c>
      <c r="L1423" s="1079"/>
      <c r="M1423" s="574"/>
      <c r="N1423" s="680">
        <f t="shared" si="456"/>
        <v>52.7</v>
      </c>
      <c r="O1423" s="681">
        <v>0</v>
      </c>
      <c r="P1423" s="673">
        <v>52.7</v>
      </c>
      <c r="Q1423" s="574"/>
      <c r="R1423" s="574"/>
      <c r="S1423" s="574"/>
    </row>
    <row r="1424" spans="1:19" ht="21.3">
      <c r="A1424" s="665"/>
      <c r="B1424" s="617" t="s">
        <v>370</v>
      </c>
      <c r="C1424" s="1125" t="s">
        <v>371</v>
      </c>
      <c r="D1424" s="1126"/>
      <c r="E1424" s="673">
        <f t="shared" si="461"/>
        <v>0</v>
      </c>
      <c r="F1424" s="674" t="s">
        <v>34</v>
      </c>
      <c r="G1424" s="675">
        <v>650</v>
      </c>
      <c r="H1424" s="676">
        <f t="shared" si="458"/>
        <v>0</v>
      </c>
      <c r="I1424" s="677">
        <v>52</v>
      </c>
      <c r="J1424" s="678">
        <f t="shared" si="459"/>
        <v>0</v>
      </c>
      <c r="K1424" s="675">
        <f t="shared" si="460"/>
        <v>0</v>
      </c>
      <c r="L1424" s="1079"/>
      <c r="M1424" s="574"/>
      <c r="N1424" s="680">
        <f t="shared" si="456"/>
        <v>0</v>
      </c>
      <c r="O1424" s="681">
        <v>0</v>
      </c>
      <c r="P1424" s="673"/>
      <c r="Q1424" s="574"/>
      <c r="R1424" s="574"/>
      <c r="S1424" s="574"/>
    </row>
    <row r="1425" spans="1:19" ht="21.3">
      <c r="A1425" s="665"/>
      <c r="B1425" s="617" t="s">
        <v>372</v>
      </c>
      <c r="C1425" s="1125" t="s">
        <v>373</v>
      </c>
      <c r="D1425" s="1126"/>
      <c r="E1425" s="673">
        <f t="shared" si="461"/>
        <v>0</v>
      </c>
      <c r="F1425" s="674" t="s">
        <v>34</v>
      </c>
      <c r="G1425" s="675">
        <v>30</v>
      </c>
      <c r="H1425" s="676">
        <f t="shared" si="458"/>
        <v>0</v>
      </c>
      <c r="I1425" s="677">
        <v>50</v>
      </c>
      <c r="J1425" s="678">
        <f t="shared" si="459"/>
        <v>0</v>
      </c>
      <c r="K1425" s="675">
        <f t="shared" si="460"/>
        <v>0</v>
      </c>
      <c r="L1425" s="1079"/>
      <c r="M1425" s="574"/>
      <c r="N1425" s="680">
        <f t="shared" si="456"/>
        <v>0</v>
      </c>
      <c r="O1425" s="681">
        <v>0</v>
      </c>
      <c r="P1425" s="673"/>
      <c r="Q1425" s="574"/>
      <c r="R1425" s="574"/>
      <c r="S1425" s="574"/>
    </row>
    <row r="1426" spans="1:19" ht="21.3">
      <c r="A1426" s="665"/>
      <c r="B1426" s="617" t="s">
        <v>374</v>
      </c>
      <c r="C1426" s="1125" t="s">
        <v>386</v>
      </c>
      <c r="D1426" s="1126"/>
      <c r="E1426" s="673">
        <f t="shared" si="461"/>
        <v>134.26000000000002</v>
      </c>
      <c r="F1426" s="674" t="s">
        <v>34</v>
      </c>
      <c r="G1426" s="675">
        <v>30</v>
      </c>
      <c r="H1426" s="676">
        <f t="shared" si="458"/>
        <v>4027.8000000000006</v>
      </c>
      <c r="I1426" s="677">
        <v>50</v>
      </c>
      <c r="J1426" s="678">
        <f t="shared" si="459"/>
        <v>6713.0000000000009</v>
      </c>
      <c r="K1426" s="675">
        <f t="shared" si="460"/>
        <v>10740.800000000001</v>
      </c>
      <c r="L1426" s="1079"/>
      <c r="M1426" s="574"/>
      <c r="N1426" s="680">
        <f t="shared" si="456"/>
        <v>134.26000000000002</v>
      </c>
      <c r="O1426" s="681">
        <v>0</v>
      </c>
      <c r="P1426" s="673">
        <v>134.26000000000002</v>
      </c>
      <c r="Q1426" s="574"/>
      <c r="R1426" s="574"/>
      <c r="S1426" s="574"/>
    </row>
    <row r="1427" spans="1:19" ht="21.3">
      <c r="A1427" s="665"/>
      <c r="B1427" s="617"/>
      <c r="C1427" s="1125"/>
      <c r="D1427" s="1126"/>
      <c r="E1427" s="673"/>
      <c r="F1427" s="674"/>
      <c r="G1427" s="675"/>
      <c r="H1427" s="676"/>
      <c r="I1427" s="677"/>
      <c r="J1427" s="678"/>
      <c r="K1427" s="675"/>
      <c r="L1427" s="1079"/>
      <c r="M1427" s="574"/>
      <c r="N1427" s="680"/>
      <c r="O1427" s="681"/>
      <c r="P1427" s="673"/>
      <c r="Q1427" s="574"/>
      <c r="R1427" s="574"/>
      <c r="S1427" s="574"/>
    </row>
    <row r="1428" spans="1:19" ht="21.3">
      <c r="A1428" s="665"/>
      <c r="B1428" s="617" t="s">
        <v>376</v>
      </c>
      <c r="C1428" s="1125" t="s">
        <v>387</v>
      </c>
      <c r="D1428" s="1126"/>
      <c r="E1428" s="673">
        <f t="shared" si="461"/>
        <v>83.340000000000018</v>
      </c>
      <c r="F1428" s="674" t="s">
        <v>34</v>
      </c>
      <c r="G1428" s="675">
        <v>88</v>
      </c>
      <c r="H1428" s="676">
        <f t="shared" si="458"/>
        <v>7333.9200000000019</v>
      </c>
      <c r="I1428" s="677">
        <v>94</v>
      </c>
      <c r="J1428" s="678">
        <f t="shared" si="459"/>
        <v>7833.9600000000019</v>
      </c>
      <c r="K1428" s="675">
        <f t="shared" si="460"/>
        <v>15167.880000000005</v>
      </c>
      <c r="L1428" s="1079"/>
      <c r="M1428" s="574"/>
      <c r="N1428" s="680">
        <f t="shared" si="456"/>
        <v>83.340000000000018</v>
      </c>
      <c r="O1428" s="681">
        <v>0</v>
      </c>
      <c r="P1428" s="673">
        <v>83.340000000000018</v>
      </c>
      <c r="Q1428" s="574"/>
      <c r="R1428" s="574"/>
      <c r="S1428" s="574"/>
    </row>
    <row r="1429" spans="1:19" ht="21.3">
      <c r="A1429" s="665"/>
      <c r="B1429" s="617"/>
      <c r="C1429" s="1125" t="s">
        <v>302</v>
      </c>
      <c r="D1429" s="1126"/>
      <c r="E1429" s="673">
        <f t="shared" si="461"/>
        <v>83.340000000000018</v>
      </c>
      <c r="F1429" s="674" t="s">
        <v>34</v>
      </c>
      <c r="G1429" s="675">
        <v>69</v>
      </c>
      <c r="H1429" s="676">
        <f t="shared" si="458"/>
        <v>5750.4600000000009</v>
      </c>
      <c r="I1429" s="677">
        <v>28</v>
      </c>
      <c r="J1429" s="678">
        <f t="shared" si="459"/>
        <v>2333.5200000000004</v>
      </c>
      <c r="K1429" s="675">
        <f t="shared" si="460"/>
        <v>8083.9800000000014</v>
      </c>
      <c r="L1429" s="1079"/>
      <c r="M1429" s="632"/>
      <c r="N1429" s="680">
        <f t="shared" si="456"/>
        <v>83.340000000000018</v>
      </c>
      <c r="O1429" s="681">
        <v>0</v>
      </c>
      <c r="P1429" s="673">
        <v>83.340000000000018</v>
      </c>
      <c r="Q1429" s="632"/>
      <c r="R1429" s="632"/>
      <c r="S1429" s="632"/>
    </row>
    <row r="1430" spans="1:19" ht="21.3">
      <c r="A1430" s="665"/>
      <c r="B1430" s="617" t="s">
        <v>378</v>
      </c>
      <c r="C1430" s="1125" t="s">
        <v>379</v>
      </c>
      <c r="D1430" s="1126"/>
      <c r="E1430" s="673">
        <f t="shared" si="461"/>
        <v>0</v>
      </c>
      <c r="F1430" s="674" t="s">
        <v>34</v>
      </c>
      <c r="G1430" s="675">
        <v>1900</v>
      </c>
      <c r="H1430" s="676">
        <f t="shared" si="458"/>
        <v>0</v>
      </c>
      <c r="I1430" s="677">
        <v>450</v>
      </c>
      <c r="J1430" s="678">
        <f t="shared" si="459"/>
        <v>0</v>
      </c>
      <c r="K1430" s="675">
        <f t="shared" si="460"/>
        <v>0</v>
      </c>
      <c r="L1430" s="1079"/>
      <c r="M1430" s="574"/>
      <c r="N1430" s="680">
        <f t="shared" si="456"/>
        <v>0</v>
      </c>
      <c r="O1430" s="681">
        <v>0</v>
      </c>
      <c r="P1430" s="673"/>
      <c r="Q1430" s="574"/>
      <c r="R1430" s="574"/>
      <c r="S1430" s="574"/>
    </row>
    <row r="1431" spans="1:19" ht="21.3">
      <c r="A1431" s="665"/>
      <c r="B1431" s="617" t="s">
        <v>380</v>
      </c>
      <c r="C1431" s="1125" t="s">
        <v>381</v>
      </c>
      <c r="D1431" s="1126"/>
      <c r="E1431" s="673">
        <f t="shared" si="461"/>
        <v>0</v>
      </c>
      <c r="F1431" s="674" t="s">
        <v>34</v>
      </c>
      <c r="G1431" s="675">
        <v>1296</v>
      </c>
      <c r="H1431" s="676">
        <f t="shared" si="458"/>
        <v>0</v>
      </c>
      <c r="I1431" s="677">
        <v>1600</v>
      </c>
      <c r="J1431" s="678">
        <f t="shared" si="459"/>
        <v>0</v>
      </c>
      <c r="K1431" s="675">
        <f t="shared" si="460"/>
        <v>0</v>
      </c>
      <c r="L1431" s="1079"/>
      <c r="M1431" s="574"/>
      <c r="N1431" s="680">
        <f t="shared" si="456"/>
        <v>0</v>
      </c>
      <c r="O1431" s="681">
        <v>0</v>
      </c>
      <c r="P1431" s="673"/>
      <c r="Q1431" s="574"/>
      <c r="R1431" s="574"/>
      <c r="S1431" s="574"/>
    </row>
    <row r="1432" spans="1:19" ht="21.3">
      <c r="A1432" s="665"/>
      <c r="B1432" s="617" t="s">
        <v>600</v>
      </c>
      <c r="C1432" s="1127" t="s">
        <v>601</v>
      </c>
      <c r="D1432" s="1126"/>
      <c r="E1432" s="618"/>
      <c r="F1432" s="674" t="s">
        <v>34</v>
      </c>
      <c r="G1432" s="675">
        <v>325</v>
      </c>
      <c r="H1432" s="676">
        <f t="shared" ref="H1432" si="462">SUM(E1432*G1432)</f>
        <v>0</v>
      </c>
      <c r="I1432" s="677">
        <v>100</v>
      </c>
      <c r="J1432" s="678">
        <f t="shared" si="459"/>
        <v>0</v>
      </c>
      <c r="K1432" s="675">
        <f t="shared" si="460"/>
        <v>0</v>
      </c>
      <c r="L1432" s="1079"/>
      <c r="M1432" s="574"/>
      <c r="N1432" s="686">
        <f t="shared" si="456"/>
        <v>129.02000000000001</v>
      </c>
      <c r="O1432" s="622">
        <v>0</v>
      </c>
      <c r="P1432" s="618">
        <v>129.02000000000001</v>
      </c>
      <c r="Q1432" s="574"/>
      <c r="R1432" s="574"/>
      <c r="S1432" s="574"/>
    </row>
    <row r="1433" spans="1:19" ht="21.3">
      <c r="A1433" s="665"/>
      <c r="B1433" s="1114"/>
      <c r="C1433" s="617"/>
      <c r="D1433" s="1124"/>
      <c r="E1433" s="637"/>
      <c r="F1433" s="625"/>
      <c r="G1433" s="641"/>
      <c r="H1433" s="685"/>
      <c r="I1433" s="642"/>
      <c r="J1433" s="571">
        <f t="shared" si="457"/>
        <v>0</v>
      </c>
      <c r="K1433" s="1060">
        <f t="shared" si="447"/>
        <v>0</v>
      </c>
      <c r="L1433" s="1061"/>
      <c r="M1433" s="574"/>
      <c r="N1433" s="669">
        <f t="shared" si="456"/>
        <v>0</v>
      </c>
      <c r="O1433" s="636">
        <v>0</v>
      </c>
      <c r="P1433" s="637"/>
      <c r="Q1433" s="574"/>
      <c r="R1433" s="574"/>
      <c r="S1433" s="574"/>
    </row>
    <row r="1434" spans="1:19" ht="21.3">
      <c r="A1434" s="665" t="s">
        <v>394</v>
      </c>
      <c r="B1434" s="1114" t="s">
        <v>395</v>
      </c>
      <c r="C1434" s="617"/>
      <c r="D1434" s="1124"/>
      <c r="E1434" s="637"/>
      <c r="F1434" s="625"/>
      <c r="G1434" s="641"/>
      <c r="H1434" s="685"/>
      <c r="I1434" s="642"/>
      <c r="J1434" s="571">
        <f t="shared" si="457"/>
        <v>0</v>
      </c>
      <c r="K1434" s="1060">
        <f t="shared" si="447"/>
        <v>0</v>
      </c>
      <c r="L1434" s="1061"/>
      <c r="M1434" s="574"/>
      <c r="N1434" s="669">
        <f t="shared" si="456"/>
        <v>0</v>
      </c>
      <c r="O1434" s="636">
        <v>0</v>
      </c>
      <c r="P1434" s="637"/>
      <c r="Q1434" s="574"/>
      <c r="R1434" s="574"/>
      <c r="S1434" s="574"/>
    </row>
    <row r="1435" spans="1:19" s="682" customFormat="1" ht="24" customHeight="1">
      <c r="A1435" s="665"/>
      <c r="B1435" s="617" t="s">
        <v>360</v>
      </c>
      <c r="C1435" s="1137"/>
      <c r="D1435" s="1126"/>
      <c r="E1435" s="673"/>
      <c r="F1435" s="674" t="s">
        <v>361</v>
      </c>
      <c r="G1435" s="675">
        <v>190</v>
      </c>
      <c r="H1435" s="676">
        <f t="shared" ref="H1435:H1449" si="463">SUM(E1435*G1435)</f>
        <v>0</v>
      </c>
      <c r="I1435" s="677">
        <v>75</v>
      </c>
      <c r="J1435" s="678">
        <f t="shared" ref="J1435:J1449" si="464">SUM(E1435*I1435)</f>
        <v>0</v>
      </c>
      <c r="K1435" s="675">
        <f t="shared" ref="K1435:K1449" si="465">SUM(H1435+J1435)</f>
        <v>0</v>
      </c>
      <c r="L1435" s="1079"/>
      <c r="M1435" s="679"/>
      <c r="N1435" s="680">
        <f t="shared" si="456"/>
        <v>0</v>
      </c>
      <c r="O1435" s="681">
        <v>0</v>
      </c>
      <c r="P1435" s="673"/>
      <c r="Q1435" s="679"/>
      <c r="R1435" s="679"/>
      <c r="S1435" s="679"/>
    </row>
    <row r="1436" spans="1:19" ht="21.3">
      <c r="A1436" s="665"/>
      <c r="B1436" s="617" t="s">
        <v>362</v>
      </c>
      <c r="C1436" s="1137"/>
      <c r="D1436" s="1126"/>
      <c r="E1436" s="673">
        <v>6</v>
      </c>
      <c r="F1436" s="674" t="s">
        <v>363</v>
      </c>
      <c r="G1436" s="675">
        <v>347</v>
      </c>
      <c r="H1436" s="676">
        <f t="shared" si="463"/>
        <v>2082</v>
      </c>
      <c r="I1436" s="677">
        <v>75</v>
      </c>
      <c r="J1436" s="678">
        <f t="shared" si="464"/>
        <v>450</v>
      </c>
      <c r="K1436" s="675">
        <f t="shared" si="465"/>
        <v>2532</v>
      </c>
      <c r="L1436" s="1079"/>
      <c r="M1436" s="574"/>
      <c r="N1436" s="680">
        <f t="shared" si="456"/>
        <v>0</v>
      </c>
      <c r="O1436" s="681">
        <v>0</v>
      </c>
      <c r="P1436" s="673"/>
      <c r="Q1436" s="574"/>
      <c r="R1436" s="574"/>
      <c r="S1436" s="574"/>
    </row>
    <row r="1437" spans="1:19" ht="21.3">
      <c r="A1437" s="665"/>
      <c r="B1437" s="617" t="s">
        <v>364</v>
      </c>
      <c r="C1437" s="1137" t="s">
        <v>365</v>
      </c>
      <c r="D1437" s="1126"/>
      <c r="E1437" s="673">
        <f>+N1437</f>
        <v>215.2</v>
      </c>
      <c r="F1437" s="674" t="s">
        <v>34</v>
      </c>
      <c r="G1437" s="675">
        <v>169</v>
      </c>
      <c r="H1437" s="676">
        <f t="shared" si="463"/>
        <v>36368.799999999996</v>
      </c>
      <c r="I1437" s="677">
        <v>75</v>
      </c>
      <c r="J1437" s="678">
        <f t="shared" si="464"/>
        <v>16140</v>
      </c>
      <c r="K1437" s="675">
        <f t="shared" si="465"/>
        <v>52508.799999999996</v>
      </c>
      <c r="L1437" s="1079"/>
      <c r="M1437" s="574"/>
      <c r="N1437" s="680">
        <f t="shared" si="456"/>
        <v>215.2</v>
      </c>
      <c r="O1437" s="681">
        <v>0</v>
      </c>
      <c r="P1437" s="673">
        <v>215.2</v>
      </c>
      <c r="Q1437" s="574"/>
      <c r="R1437" s="574"/>
      <c r="S1437" s="574"/>
    </row>
    <row r="1438" spans="1:19" ht="21.3">
      <c r="A1438" s="665"/>
      <c r="B1438" s="617"/>
      <c r="C1438" s="1137" t="s">
        <v>366</v>
      </c>
      <c r="D1438" s="1126"/>
      <c r="E1438" s="673">
        <f t="shared" ref="E1438:E1448" si="466">+N1438</f>
        <v>215.2</v>
      </c>
      <c r="F1438" s="674" t="s">
        <v>34</v>
      </c>
      <c r="G1438" s="675">
        <v>69</v>
      </c>
      <c r="H1438" s="676">
        <f t="shared" si="463"/>
        <v>14848.8</v>
      </c>
      <c r="I1438" s="677">
        <v>28</v>
      </c>
      <c r="J1438" s="678">
        <f t="shared" si="464"/>
        <v>6025.5999999999995</v>
      </c>
      <c r="K1438" s="675">
        <f t="shared" si="465"/>
        <v>20874.399999999998</v>
      </c>
      <c r="L1438" s="1079"/>
      <c r="M1438" s="574"/>
      <c r="N1438" s="680">
        <f t="shared" si="456"/>
        <v>215.2</v>
      </c>
      <c r="O1438" s="681">
        <v>0</v>
      </c>
      <c r="P1438" s="673">
        <v>215.2</v>
      </c>
      <c r="Q1438" s="574"/>
      <c r="R1438" s="574"/>
      <c r="S1438" s="574"/>
    </row>
    <row r="1439" spans="1:19" ht="21.3">
      <c r="A1439" s="665"/>
      <c r="B1439" s="617" t="s">
        <v>367</v>
      </c>
      <c r="C1439" s="1125" t="s">
        <v>368</v>
      </c>
      <c r="D1439" s="1126"/>
      <c r="E1439" s="673">
        <v>181.72</v>
      </c>
      <c r="F1439" s="674" t="s">
        <v>34</v>
      </c>
      <c r="G1439" s="675">
        <v>192</v>
      </c>
      <c r="H1439" s="676">
        <f t="shared" si="463"/>
        <v>34890.239999999998</v>
      </c>
      <c r="I1439" s="677">
        <v>75</v>
      </c>
      <c r="J1439" s="678">
        <f t="shared" si="464"/>
        <v>13629</v>
      </c>
      <c r="K1439" s="675">
        <f t="shared" si="465"/>
        <v>48519.24</v>
      </c>
      <c r="L1439" s="1079"/>
      <c r="M1439" s="574"/>
      <c r="N1439" s="680">
        <f t="shared" si="456"/>
        <v>52.7</v>
      </c>
      <c r="O1439" s="681">
        <v>0</v>
      </c>
      <c r="P1439" s="673">
        <v>52.7</v>
      </c>
      <c r="Q1439" s="574"/>
      <c r="R1439" s="574"/>
      <c r="S1439" s="574"/>
    </row>
    <row r="1440" spans="1:19" ht="21.3">
      <c r="A1440" s="665"/>
      <c r="B1440" s="617"/>
      <c r="C1440" s="1125" t="s">
        <v>369</v>
      </c>
      <c r="D1440" s="1126"/>
      <c r="E1440" s="673">
        <v>181.72</v>
      </c>
      <c r="F1440" s="674" t="s">
        <v>34</v>
      </c>
      <c r="G1440" s="675">
        <v>69</v>
      </c>
      <c r="H1440" s="676">
        <f t="shared" si="463"/>
        <v>12538.68</v>
      </c>
      <c r="I1440" s="677">
        <v>28</v>
      </c>
      <c r="J1440" s="678">
        <f t="shared" si="464"/>
        <v>5088.16</v>
      </c>
      <c r="K1440" s="675">
        <f t="shared" si="465"/>
        <v>17626.84</v>
      </c>
      <c r="L1440" s="1079"/>
      <c r="M1440" s="574"/>
      <c r="N1440" s="680">
        <f t="shared" si="456"/>
        <v>52.7</v>
      </c>
      <c r="O1440" s="681">
        <v>0</v>
      </c>
      <c r="P1440" s="673">
        <v>52.7</v>
      </c>
      <c r="Q1440" s="574"/>
      <c r="R1440" s="574"/>
      <c r="S1440" s="574"/>
    </row>
    <row r="1441" spans="1:19" ht="21.3">
      <c r="A1441" s="665"/>
      <c r="B1441" s="617" t="s">
        <v>370</v>
      </c>
      <c r="C1441" s="1125" t="s">
        <v>371</v>
      </c>
      <c r="D1441" s="1126"/>
      <c r="E1441" s="673">
        <f t="shared" si="466"/>
        <v>0</v>
      </c>
      <c r="F1441" s="674" t="s">
        <v>34</v>
      </c>
      <c r="G1441" s="675">
        <v>650</v>
      </c>
      <c r="H1441" s="676">
        <f t="shared" si="463"/>
        <v>0</v>
      </c>
      <c r="I1441" s="677">
        <v>52</v>
      </c>
      <c r="J1441" s="678">
        <f t="shared" si="464"/>
        <v>0</v>
      </c>
      <c r="K1441" s="675">
        <f t="shared" si="465"/>
        <v>0</v>
      </c>
      <c r="L1441" s="1079"/>
      <c r="M1441" s="574"/>
      <c r="N1441" s="680">
        <f t="shared" si="456"/>
        <v>0</v>
      </c>
      <c r="O1441" s="681">
        <v>0</v>
      </c>
      <c r="P1441" s="673"/>
      <c r="Q1441" s="574"/>
      <c r="R1441" s="574"/>
      <c r="S1441" s="574"/>
    </row>
    <row r="1442" spans="1:19" ht="21.3">
      <c r="A1442" s="665"/>
      <c r="B1442" s="617" t="s">
        <v>372</v>
      </c>
      <c r="C1442" s="1125" t="s">
        <v>373</v>
      </c>
      <c r="D1442" s="1126"/>
      <c r="E1442" s="673">
        <f t="shared" si="466"/>
        <v>0</v>
      </c>
      <c r="F1442" s="674" t="s">
        <v>34</v>
      </c>
      <c r="G1442" s="675">
        <v>30</v>
      </c>
      <c r="H1442" s="676">
        <f t="shared" si="463"/>
        <v>0</v>
      </c>
      <c r="I1442" s="677">
        <v>50</v>
      </c>
      <c r="J1442" s="678">
        <f t="shared" si="464"/>
        <v>0</v>
      </c>
      <c r="K1442" s="675">
        <f t="shared" si="465"/>
        <v>0</v>
      </c>
      <c r="L1442" s="1079"/>
      <c r="M1442" s="574"/>
      <c r="N1442" s="680">
        <f t="shared" si="456"/>
        <v>0</v>
      </c>
      <c r="O1442" s="681">
        <v>0</v>
      </c>
      <c r="P1442" s="673"/>
      <c r="Q1442" s="574"/>
      <c r="R1442" s="574"/>
      <c r="S1442" s="574"/>
    </row>
    <row r="1443" spans="1:19" ht="21.3">
      <c r="A1443" s="665"/>
      <c r="B1443" s="617" t="s">
        <v>374</v>
      </c>
      <c r="C1443" s="1125" t="s">
        <v>386</v>
      </c>
      <c r="D1443" s="1126"/>
      <c r="E1443" s="673">
        <f t="shared" si="466"/>
        <v>134.26000000000002</v>
      </c>
      <c r="F1443" s="674" t="s">
        <v>34</v>
      </c>
      <c r="G1443" s="675">
        <v>30</v>
      </c>
      <c r="H1443" s="676">
        <f t="shared" si="463"/>
        <v>4027.8000000000006</v>
      </c>
      <c r="I1443" s="677">
        <v>50</v>
      </c>
      <c r="J1443" s="678">
        <f t="shared" si="464"/>
        <v>6713.0000000000009</v>
      </c>
      <c r="K1443" s="675">
        <f t="shared" si="465"/>
        <v>10740.800000000001</v>
      </c>
      <c r="L1443" s="1079"/>
      <c r="M1443" s="574"/>
      <c r="N1443" s="680">
        <f t="shared" si="456"/>
        <v>134.26000000000002</v>
      </c>
      <c r="O1443" s="681">
        <v>0</v>
      </c>
      <c r="P1443" s="673">
        <v>134.26000000000002</v>
      </c>
      <c r="Q1443" s="574"/>
      <c r="R1443" s="574"/>
      <c r="S1443" s="574"/>
    </row>
    <row r="1444" spans="1:19" ht="21.3">
      <c r="A1444" s="665"/>
      <c r="B1444" s="617"/>
      <c r="C1444" s="1125"/>
      <c r="D1444" s="1126"/>
      <c r="E1444" s="673"/>
      <c r="F1444" s="674"/>
      <c r="G1444" s="675"/>
      <c r="H1444" s="676"/>
      <c r="I1444" s="677"/>
      <c r="J1444" s="678"/>
      <c r="K1444" s="675"/>
      <c r="L1444" s="1079"/>
      <c r="M1444" s="574"/>
      <c r="N1444" s="680"/>
      <c r="O1444" s="681"/>
      <c r="P1444" s="673"/>
      <c r="Q1444" s="574"/>
      <c r="R1444" s="574"/>
      <c r="S1444" s="574"/>
    </row>
    <row r="1445" spans="1:19" ht="21.3">
      <c r="A1445" s="665"/>
      <c r="B1445" s="617" t="s">
        <v>376</v>
      </c>
      <c r="C1445" s="1125" t="s">
        <v>387</v>
      </c>
      <c r="D1445" s="1126"/>
      <c r="E1445" s="673">
        <f t="shared" si="466"/>
        <v>83.340000000000018</v>
      </c>
      <c r="F1445" s="674" t="s">
        <v>34</v>
      </c>
      <c r="G1445" s="675">
        <v>88</v>
      </c>
      <c r="H1445" s="676">
        <f t="shared" si="463"/>
        <v>7333.9200000000019</v>
      </c>
      <c r="I1445" s="677">
        <v>94</v>
      </c>
      <c r="J1445" s="678">
        <f t="shared" si="464"/>
        <v>7833.9600000000019</v>
      </c>
      <c r="K1445" s="675">
        <f t="shared" si="465"/>
        <v>15167.880000000005</v>
      </c>
      <c r="L1445" s="1079"/>
      <c r="M1445" s="574"/>
      <c r="N1445" s="680">
        <f t="shared" si="456"/>
        <v>83.340000000000018</v>
      </c>
      <c r="O1445" s="681">
        <v>0</v>
      </c>
      <c r="P1445" s="673">
        <v>83.340000000000018</v>
      </c>
      <c r="Q1445" s="574"/>
      <c r="R1445" s="574"/>
      <c r="S1445" s="574"/>
    </row>
    <row r="1446" spans="1:19" ht="21.3">
      <c r="A1446" s="665"/>
      <c r="B1446" s="617"/>
      <c r="C1446" s="1125" t="s">
        <v>302</v>
      </c>
      <c r="D1446" s="1126"/>
      <c r="E1446" s="673">
        <f t="shared" si="466"/>
        <v>83.340000000000018</v>
      </c>
      <c r="F1446" s="674" t="s">
        <v>34</v>
      </c>
      <c r="G1446" s="675">
        <v>69</v>
      </c>
      <c r="H1446" s="676">
        <f t="shared" si="463"/>
        <v>5750.4600000000009</v>
      </c>
      <c r="I1446" s="677">
        <v>28</v>
      </c>
      <c r="J1446" s="678">
        <f t="shared" si="464"/>
        <v>2333.5200000000004</v>
      </c>
      <c r="K1446" s="675">
        <f t="shared" si="465"/>
        <v>8083.9800000000014</v>
      </c>
      <c r="L1446" s="1079"/>
      <c r="M1446" s="632"/>
      <c r="N1446" s="680">
        <f t="shared" si="456"/>
        <v>83.340000000000018</v>
      </c>
      <c r="O1446" s="681">
        <v>0</v>
      </c>
      <c r="P1446" s="673">
        <v>83.340000000000018</v>
      </c>
      <c r="Q1446" s="632"/>
      <c r="R1446" s="632"/>
      <c r="S1446" s="632"/>
    </row>
    <row r="1447" spans="1:19" ht="21.3">
      <c r="A1447" s="665"/>
      <c r="B1447" s="617" t="s">
        <v>378</v>
      </c>
      <c r="C1447" s="1125" t="s">
        <v>379</v>
      </c>
      <c r="D1447" s="1126"/>
      <c r="E1447" s="673">
        <f t="shared" si="466"/>
        <v>0</v>
      </c>
      <c r="F1447" s="674" t="s">
        <v>34</v>
      </c>
      <c r="G1447" s="675">
        <v>1900</v>
      </c>
      <c r="H1447" s="676">
        <f t="shared" si="463"/>
        <v>0</v>
      </c>
      <c r="I1447" s="677">
        <v>450</v>
      </c>
      <c r="J1447" s="678">
        <f t="shared" si="464"/>
        <v>0</v>
      </c>
      <c r="K1447" s="675">
        <f t="shared" si="465"/>
        <v>0</v>
      </c>
      <c r="L1447" s="1079"/>
      <c r="M1447" s="574"/>
      <c r="N1447" s="680">
        <f t="shared" si="456"/>
        <v>0</v>
      </c>
      <c r="O1447" s="681">
        <v>0</v>
      </c>
      <c r="P1447" s="673"/>
      <c r="Q1447" s="574"/>
      <c r="R1447" s="574"/>
      <c r="S1447" s="574"/>
    </row>
    <row r="1448" spans="1:19" ht="21.3">
      <c r="A1448" s="665"/>
      <c r="B1448" s="617" t="s">
        <v>380</v>
      </c>
      <c r="C1448" s="1125" t="s">
        <v>381</v>
      </c>
      <c r="D1448" s="1126"/>
      <c r="E1448" s="673">
        <f t="shared" si="466"/>
        <v>0</v>
      </c>
      <c r="F1448" s="674" t="s">
        <v>34</v>
      </c>
      <c r="G1448" s="675">
        <v>1296</v>
      </c>
      <c r="H1448" s="676">
        <f t="shared" si="463"/>
        <v>0</v>
      </c>
      <c r="I1448" s="677">
        <v>1600</v>
      </c>
      <c r="J1448" s="678">
        <f t="shared" si="464"/>
        <v>0</v>
      </c>
      <c r="K1448" s="675">
        <f t="shared" si="465"/>
        <v>0</v>
      </c>
      <c r="L1448" s="1079"/>
      <c r="M1448" s="574"/>
      <c r="N1448" s="680">
        <f t="shared" si="456"/>
        <v>0</v>
      </c>
      <c r="O1448" s="681">
        <v>0</v>
      </c>
      <c r="P1448" s="673"/>
      <c r="Q1448" s="574"/>
      <c r="R1448" s="574"/>
      <c r="S1448" s="574"/>
    </row>
    <row r="1449" spans="1:19" ht="21.3">
      <c r="A1449" s="665"/>
      <c r="B1449" s="617" t="s">
        <v>600</v>
      </c>
      <c r="C1449" s="1127" t="s">
        <v>601</v>
      </c>
      <c r="D1449" s="1126"/>
      <c r="E1449" s="618"/>
      <c r="F1449" s="674" t="s">
        <v>34</v>
      </c>
      <c r="G1449" s="675">
        <v>325</v>
      </c>
      <c r="H1449" s="676">
        <f t="shared" si="463"/>
        <v>0</v>
      </c>
      <c r="I1449" s="677">
        <v>100</v>
      </c>
      <c r="J1449" s="678">
        <f t="shared" si="464"/>
        <v>0</v>
      </c>
      <c r="K1449" s="675">
        <f t="shared" si="465"/>
        <v>0</v>
      </c>
      <c r="L1449" s="1079"/>
      <c r="M1449" s="574"/>
      <c r="N1449" s="686">
        <f t="shared" si="456"/>
        <v>129.02000000000001</v>
      </c>
      <c r="O1449" s="622">
        <v>0</v>
      </c>
      <c r="P1449" s="618">
        <v>129.02000000000001</v>
      </c>
      <c r="Q1449" s="574"/>
      <c r="R1449" s="574"/>
      <c r="S1449" s="574"/>
    </row>
    <row r="1450" spans="1:19" ht="21.3">
      <c r="A1450" s="665"/>
      <c r="B1450" s="617"/>
      <c r="C1450" s="623"/>
      <c r="D1450" s="617"/>
      <c r="E1450" s="618"/>
      <c r="F1450" s="674"/>
      <c r="G1450" s="675"/>
      <c r="H1450" s="676"/>
      <c r="I1450" s="677"/>
      <c r="J1450" s="678"/>
      <c r="K1450" s="675"/>
      <c r="L1450" s="1079"/>
      <c r="M1450" s="574"/>
      <c r="N1450" s="686"/>
      <c r="O1450" s="622"/>
      <c r="P1450" s="618"/>
      <c r="Q1450" s="574"/>
      <c r="R1450" s="574"/>
      <c r="S1450" s="574"/>
    </row>
    <row r="1451" spans="1:19" ht="21.3">
      <c r="A1451" s="665"/>
      <c r="B1451" s="617"/>
      <c r="C1451" s="623"/>
      <c r="D1451" s="617"/>
      <c r="E1451" s="618"/>
      <c r="F1451" s="674"/>
      <c r="G1451" s="675"/>
      <c r="H1451" s="676"/>
      <c r="I1451" s="677"/>
      <c r="J1451" s="678"/>
      <c r="K1451" s="675"/>
      <c r="L1451" s="1079"/>
      <c r="M1451" s="574"/>
      <c r="N1451" s="686"/>
      <c r="O1451" s="622"/>
      <c r="P1451" s="618"/>
      <c r="Q1451" s="574"/>
      <c r="R1451" s="574"/>
      <c r="S1451" s="574"/>
    </row>
    <row r="1452" spans="1:19" ht="21.3">
      <c r="A1452" s="665"/>
      <c r="B1452" s="617"/>
      <c r="C1452" s="623"/>
      <c r="D1452" s="617"/>
      <c r="E1452" s="618"/>
      <c r="F1452" s="674"/>
      <c r="G1452" s="675"/>
      <c r="H1452" s="676"/>
      <c r="I1452" s="677"/>
      <c r="J1452" s="678"/>
      <c r="K1452" s="675"/>
      <c r="L1452" s="1079"/>
      <c r="M1452" s="574"/>
      <c r="N1452" s="686"/>
      <c r="O1452" s="622"/>
      <c r="P1452" s="618"/>
      <c r="Q1452" s="574"/>
      <c r="R1452" s="574"/>
      <c r="S1452" s="574"/>
    </row>
    <row r="1453" spans="1:19" ht="21.3">
      <c r="A1453" s="665"/>
      <c r="B1453" s="617"/>
      <c r="C1453" s="623"/>
      <c r="D1453" s="617"/>
      <c r="E1453" s="618"/>
      <c r="F1453" s="674"/>
      <c r="G1453" s="675"/>
      <c r="H1453" s="676"/>
      <c r="I1453" s="677"/>
      <c r="J1453" s="678"/>
      <c r="K1453" s="675"/>
      <c r="L1453" s="1079"/>
      <c r="M1453" s="574"/>
      <c r="N1453" s="686"/>
      <c r="O1453" s="622"/>
      <c r="P1453" s="618"/>
      <c r="Q1453" s="574"/>
      <c r="R1453" s="574"/>
      <c r="S1453" s="574"/>
    </row>
    <row r="1454" spans="1:19" ht="21.3">
      <c r="A1454" s="665"/>
      <c r="B1454" s="1114"/>
      <c r="C1454" s="617"/>
      <c r="D1454" s="1124"/>
      <c r="E1454" s="637"/>
      <c r="F1454" s="625"/>
      <c r="G1454" s="641"/>
      <c r="H1454" s="685"/>
      <c r="I1454" s="642"/>
      <c r="J1454" s="571">
        <f t="shared" si="457"/>
        <v>0</v>
      </c>
      <c r="K1454" s="1060">
        <f t="shared" si="447"/>
        <v>0</v>
      </c>
      <c r="L1454" s="1061"/>
      <c r="M1454" s="574"/>
      <c r="N1454" s="669">
        <f t="shared" si="456"/>
        <v>0</v>
      </c>
      <c r="O1454" s="636">
        <v>0</v>
      </c>
      <c r="P1454" s="637"/>
      <c r="Q1454" s="574"/>
      <c r="R1454" s="574"/>
      <c r="S1454" s="574"/>
    </row>
    <row r="1455" spans="1:19" ht="21.3">
      <c r="A1455" s="665" t="s">
        <v>396</v>
      </c>
      <c r="B1455" s="1114" t="s">
        <v>397</v>
      </c>
      <c r="C1455" s="617"/>
      <c r="D1455" s="1124"/>
      <c r="E1455" s="637"/>
      <c r="F1455" s="625"/>
      <c r="G1455" s="641"/>
      <c r="H1455" s="685"/>
      <c r="I1455" s="642"/>
      <c r="J1455" s="571">
        <f t="shared" si="457"/>
        <v>0</v>
      </c>
      <c r="K1455" s="1060">
        <f t="shared" si="447"/>
        <v>0</v>
      </c>
      <c r="L1455" s="1061"/>
      <c r="M1455" s="574"/>
      <c r="N1455" s="669">
        <f t="shared" si="456"/>
        <v>0</v>
      </c>
      <c r="O1455" s="636">
        <v>0</v>
      </c>
      <c r="P1455" s="637"/>
      <c r="Q1455" s="574"/>
      <c r="R1455" s="574"/>
      <c r="S1455" s="574"/>
    </row>
    <row r="1456" spans="1:19" s="682" customFormat="1" ht="24" customHeight="1">
      <c r="A1456" s="665"/>
      <c r="B1456" s="617" t="s">
        <v>360</v>
      </c>
      <c r="C1456" s="1137"/>
      <c r="D1456" s="1126"/>
      <c r="E1456" s="673"/>
      <c r="F1456" s="674" t="s">
        <v>361</v>
      </c>
      <c r="G1456" s="675">
        <v>190</v>
      </c>
      <c r="H1456" s="676">
        <f t="shared" ref="H1456:H1469" si="467">SUM(E1456*G1456)</f>
        <v>0</v>
      </c>
      <c r="I1456" s="677">
        <v>75</v>
      </c>
      <c r="J1456" s="678">
        <f t="shared" ref="J1456:J1469" si="468">SUM(E1456*I1456)</f>
        <v>0</v>
      </c>
      <c r="K1456" s="675">
        <f t="shared" ref="K1456:K1469" si="469">SUM(H1456+J1456)</f>
        <v>0</v>
      </c>
      <c r="L1456" s="1079"/>
      <c r="M1456" s="679"/>
      <c r="N1456" s="680">
        <f t="shared" si="456"/>
        <v>0</v>
      </c>
      <c r="O1456" s="681">
        <v>0</v>
      </c>
      <c r="P1456" s="673"/>
      <c r="Q1456" s="679"/>
      <c r="R1456" s="679"/>
      <c r="S1456" s="679"/>
    </row>
    <row r="1457" spans="1:19" ht="21.3">
      <c r="A1457" s="665"/>
      <c r="B1457" s="617" t="s">
        <v>362</v>
      </c>
      <c r="C1457" s="1137"/>
      <c r="D1457" s="1126"/>
      <c r="E1457" s="673">
        <v>6</v>
      </c>
      <c r="F1457" s="674" t="s">
        <v>363</v>
      </c>
      <c r="G1457" s="675">
        <v>347</v>
      </c>
      <c r="H1457" s="676">
        <f t="shared" si="467"/>
        <v>2082</v>
      </c>
      <c r="I1457" s="677">
        <v>75</v>
      </c>
      <c r="J1457" s="678">
        <f t="shared" si="468"/>
        <v>450</v>
      </c>
      <c r="K1457" s="675">
        <f t="shared" si="469"/>
        <v>2532</v>
      </c>
      <c r="L1457" s="1079"/>
      <c r="M1457" s="574"/>
      <c r="N1457" s="680">
        <f t="shared" si="456"/>
        <v>0</v>
      </c>
      <c r="O1457" s="681">
        <v>0</v>
      </c>
      <c r="P1457" s="673"/>
      <c r="Q1457" s="574"/>
      <c r="R1457" s="574"/>
      <c r="S1457" s="574"/>
    </row>
    <row r="1458" spans="1:19" ht="21.3">
      <c r="A1458" s="665"/>
      <c r="B1458" s="617" t="s">
        <v>364</v>
      </c>
      <c r="C1458" s="1137" t="s">
        <v>365</v>
      </c>
      <c r="D1458" s="1126"/>
      <c r="E1458" s="673">
        <f>+N1458</f>
        <v>215.2</v>
      </c>
      <c r="F1458" s="674" t="s">
        <v>34</v>
      </c>
      <c r="G1458" s="675">
        <v>169</v>
      </c>
      <c r="H1458" s="676">
        <f t="shared" si="467"/>
        <v>36368.799999999996</v>
      </c>
      <c r="I1458" s="677">
        <v>75</v>
      </c>
      <c r="J1458" s="678">
        <f t="shared" si="468"/>
        <v>16140</v>
      </c>
      <c r="K1458" s="675">
        <f t="shared" si="469"/>
        <v>52508.799999999996</v>
      </c>
      <c r="L1458" s="1079"/>
      <c r="M1458" s="574"/>
      <c r="N1458" s="680">
        <f t="shared" si="456"/>
        <v>215.2</v>
      </c>
      <c r="O1458" s="681">
        <v>0</v>
      </c>
      <c r="P1458" s="673">
        <v>215.2</v>
      </c>
      <c r="Q1458" s="574"/>
      <c r="R1458" s="574"/>
      <c r="S1458" s="574"/>
    </row>
    <row r="1459" spans="1:19" ht="21.3">
      <c r="A1459" s="665"/>
      <c r="B1459" s="617"/>
      <c r="C1459" s="1137" t="s">
        <v>366</v>
      </c>
      <c r="D1459" s="1126"/>
      <c r="E1459" s="673">
        <f t="shared" ref="E1459:E1468" si="470">+N1459</f>
        <v>215.2</v>
      </c>
      <c r="F1459" s="674" t="s">
        <v>34</v>
      </c>
      <c r="G1459" s="675">
        <v>69</v>
      </c>
      <c r="H1459" s="676">
        <f t="shared" si="467"/>
        <v>14848.8</v>
      </c>
      <c r="I1459" s="677">
        <v>28</v>
      </c>
      <c r="J1459" s="678">
        <f t="shared" si="468"/>
        <v>6025.5999999999995</v>
      </c>
      <c r="K1459" s="675">
        <f t="shared" si="469"/>
        <v>20874.399999999998</v>
      </c>
      <c r="L1459" s="1079"/>
      <c r="M1459" s="574"/>
      <c r="N1459" s="680">
        <f t="shared" si="456"/>
        <v>215.2</v>
      </c>
      <c r="O1459" s="681">
        <v>0</v>
      </c>
      <c r="P1459" s="673">
        <v>215.2</v>
      </c>
      <c r="Q1459" s="574"/>
      <c r="R1459" s="574"/>
      <c r="S1459" s="574"/>
    </row>
    <row r="1460" spans="1:19" ht="21.3">
      <c r="A1460" s="665"/>
      <c r="B1460" s="617" t="s">
        <v>367</v>
      </c>
      <c r="C1460" s="1125" t="s">
        <v>368</v>
      </c>
      <c r="D1460" s="1126"/>
      <c r="E1460" s="673">
        <v>181.72</v>
      </c>
      <c r="F1460" s="674" t="s">
        <v>34</v>
      </c>
      <c r="G1460" s="675">
        <v>192</v>
      </c>
      <c r="H1460" s="676">
        <f t="shared" si="467"/>
        <v>34890.239999999998</v>
      </c>
      <c r="I1460" s="677">
        <v>75</v>
      </c>
      <c r="J1460" s="678">
        <f t="shared" si="468"/>
        <v>13629</v>
      </c>
      <c r="K1460" s="675">
        <f t="shared" si="469"/>
        <v>48519.24</v>
      </c>
      <c r="L1460" s="1079"/>
      <c r="M1460" s="574"/>
      <c r="N1460" s="680">
        <f t="shared" si="456"/>
        <v>52.7</v>
      </c>
      <c r="O1460" s="681">
        <v>0</v>
      </c>
      <c r="P1460" s="673">
        <v>52.7</v>
      </c>
      <c r="Q1460" s="574"/>
      <c r="R1460" s="574"/>
      <c r="S1460" s="574"/>
    </row>
    <row r="1461" spans="1:19" ht="21.3">
      <c r="A1461" s="665"/>
      <c r="B1461" s="617"/>
      <c r="C1461" s="1125" t="s">
        <v>369</v>
      </c>
      <c r="D1461" s="1126"/>
      <c r="E1461" s="673">
        <v>181.72</v>
      </c>
      <c r="F1461" s="674" t="s">
        <v>34</v>
      </c>
      <c r="G1461" s="675">
        <v>69</v>
      </c>
      <c r="H1461" s="676">
        <f t="shared" si="467"/>
        <v>12538.68</v>
      </c>
      <c r="I1461" s="677">
        <v>28</v>
      </c>
      <c r="J1461" s="678">
        <f t="shared" si="468"/>
        <v>5088.16</v>
      </c>
      <c r="K1461" s="675">
        <f t="shared" si="469"/>
        <v>17626.84</v>
      </c>
      <c r="L1461" s="1079"/>
      <c r="M1461" s="574"/>
      <c r="N1461" s="680">
        <f t="shared" si="456"/>
        <v>52.7</v>
      </c>
      <c r="O1461" s="681">
        <v>0</v>
      </c>
      <c r="P1461" s="673">
        <v>52.7</v>
      </c>
      <c r="Q1461" s="574"/>
      <c r="R1461" s="574"/>
      <c r="S1461" s="574"/>
    </row>
    <row r="1462" spans="1:19" ht="21.3">
      <c r="A1462" s="665"/>
      <c r="B1462" s="617" t="s">
        <v>370</v>
      </c>
      <c r="C1462" s="1125" t="s">
        <v>371</v>
      </c>
      <c r="D1462" s="1126"/>
      <c r="E1462" s="673">
        <f t="shared" si="470"/>
        <v>0</v>
      </c>
      <c r="F1462" s="674" t="s">
        <v>34</v>
      </c>
      <c r="G1462" s="675">
        <v>650</v>
      </c>
      <c r="H1462" s="676">
        <f t="shared" si="467"/>
        <v>0</v>
      </c>
      <c r="I1462" s="677">
        <v>52</v>
      </c>
      <c r="J1462" s="678">
        <f t="shared" si="468"/>
        <v>0</v>
      </c>
      <c r="K1462" s="675">
        <f t="shared" si="469"/>
        <v>0</v>
      </c>
      <c r="L1462" s="1079"/>
      <c r="M1462" s="574"/>
      <c r="N1462" s="680">
        <f t="shared" si="456"/>
        <v>0</v>
      </c>
      <c r="O1462" s="681">
        <v>0</v>
      </c>
      <c r="P1462" s="673"/>
      <c r="Q1462" s="574"/>
      <c r="R1462" s="574"/>
      <c r="S1462" s="574"/>
    </row>
    <row r="1463" spans="1:19" ht="21.3">
      <c r="A1463" s="665"/>
      <c r="B1463" s="617" t="s">
        <v>372</v>
      </c>
      <c r="C1463" s="1125" t="s">
        <v>373</v>
      </c>
      <c r="D1463" s="1126"/>
      <c r="E1463" s="673">
        <f t="shared" si="470"/>
        <v>0</v>
      </c>
      <c r="F1463" s="674" t="s">
        <v>34</v>
      </c>
      <c r="G1463" s="675">
        <v>30</v>
      </c>
      <c r="H1463" s="676">
        <f t="shared" si="467"/>
        <v>0</v>
      </c>
      <c r="I1463" s="677">
        <v>50</v>
      </c>
      <c r="J1463" s="678">
        <f t="shared" si="468"/>
        <v>0</v>
      </c>
      <c r="K1463" s="675">
        <f t="shared" si="469"/>
        <v>0</v>
      </c>
      <c r="L1463" s="1079"/>
      <c r="M1463" s="574"/>
      <c r="N1463" s="680">
        <f t="shared" si="456"/>
        <v>0</v>
      </c>
      <c r="O1463" s="681">
        <v>0</v>
      </c>
      <c r="P1463" s="673"/>
      <c r="Q1463" s="574"/>
      <c r="R1463" s="574"/>
      <c r="S1463" s="574"/>
    </row>
    <row r="1464" spans="1:19" ht="21.3">
      <c r="A1464" s="665"/>
      <c r="B1464" s="617" t="s">
        <v>374</v>
      </c>
      <c r="C1464" s="1125" t="s">
        <v>386</v>
      </c>
      <c r="D1464" s="1126"/>
      <c r="E1464" s="673">
        <f t="shared" si="470"/>
        <v>134.26000000000002</v>
      </c>
      <c r="F1464" s="674" t="s">
        <v>34</v>
      </c>
      <c r="G1464" s="675">
        <v>30</v>
      </c>
      <c r="H1464" s="676">
        <f t="shared" si="467"/>
        <v>4027.8000000000006</v>
      </c>
      <c r="I1464" s="677">
        <v>50</v>
      </c>
      <c r="J1464" s="678">
        <f t="shared" si="468"/>
        <v>6713.0000000000009</v>
      </c>
      <c r="K1464" s="675">
        <f t="shared" si="469"/>
        <v>10740.800000000001</v>
      </c>
      <c r="L1464" s="1079"/>
      <c r="M1464" s="574"/>
      <c r="N1464" s="680">
        <f t="shared" si="456"/>
        <v>134.26000000000002</v>
      </c>
      <c r="O1464" s="681">
        <v>0</v>
      </c>
      <c r="P1464" s="673">
        <v>134.26000000000002</v>
      </c>
      <c r="Q1464" s="574"/>
      <c r="R1464" s="574"/>
      <c r="S1464" s="574"/>
    </row>
    <row r="1465" spans="1:19" ht="21.3">
      <c r="A1465" s="665"/>
      <c r="B1465" s="617" t="s">
        <v>376</v>
      </c>
      <c r="C1465" s="1125" t="s">
        <v>387</v>
      </c>
      <c r="D1465" s="1126"/>
      <c r="E1465" s="673">
        <f t="shared" si="470"/>
        <v>83.340000000000018</v>
      </c>
      <c r="F1465" s="674" t="s">
        <v>34</v>
      </c>
      <c r="G1465" s="675">
        <v>88</v>
      </c>
      <c r="H1465" s="676">
        <f t="shared" si="467"/>
        <v>7333.9200000000019</v>
      </c>
      <c r="I1465" s="677">
        <v>94</v>
      </c>
      <c r="J1465" s="678">
        <f t="shared" si="468"/>
        <v>7833.9600000000019</v>
      </c>
      <c r="K1465" s="675">
        <f t="shared" si="469"/>
        <v>15167.880000000005</v>
      </c>
      <c r="L1465" s="1079"/>
      <c r="M1465" s="574"/>
      <c r="N1465" s="680">
        <f t="shared" si="456"/>
        <v>83.340000000000018</v>
      </c>
      <c r="O1465" s="681">
        <v>0</v>
      </c>
      <c r="P1465" s="673">
        <v>83.340000000000018</v>
      </c>
      <c r="Q1465" s="574"/>
      <c r="R1465" s="574"/>
      <c r="S1465" s="574"/>
    </row>
    <row r="1466" spans="1:19" ht="21.3">
      <c r="A1466" s="665"/>
      <c r="B1466" s="617"/>
      <c r="C1466" s="1125" t="s">
        <v>302</v>
      </c>
      <c r="D1466" s="1126"/>
      <c r="E1466" s="673">
        <f t="shared" si="470"/>
        <v>83.340000000000018</v>
      </c>
      <c r="F1466" s="674" t="s">
        <v>34</v>
      </c>
      <c r="G1466" s="675">
        <v>69</v>
      </c>
      <c r="H1466" s="676">
        <f t="shared" si="467"/>
        <v>5750.4600000000009</v>
      </c>
      <c r="I1466" s="677">
        <v>28</v>
      </c>
      <c r="J1466" s="678">
        <f t="shared" si="468"/>
        <v>2333.5200000000004</v>
      </c>
      <c r="K1466" s="675">
        <f t="shared" si="469"/>
        <v>8083.9800000000014</v>
      </c>
      <c r="L1466" s="1079"/>
      <c r="M1466" s="632"/>
      <c r="N1466" s="680">
        <f t="shared" si="456"/>
        <v>83.340000000000018</v>
      </c>
      <c r="O1466" s="681">
        <v>0</v>
      </c>
      <c r="P1466" s="673">
        <v>83.340000000000018</v>
      </c>
      <c r="Q1466" s="632"/>
      <c r="R1466" s="632"/>
      <c r="S1466" s="632"/>
    </row>
    <row r="1467" spans="1:19" ht="21.3">
      <c r="A1467" s="665"/>
      <c r="B1467" s="617" t="s">
        <v>378</v>
      </c>
      <c r="C1467" s="1125" t="s">
        <v>379</v>
      </c>
      <c r="D1467" s="1126"/>
      <c r="E1467" s="673">
        <f t="shared" si="470"/>
        <v>0</v>
      </c>
      <c r="F1467" s="674" t="s">
        <v>34</v>
      </c>
      <c r="G1467" s="675">
        <v>1900</v>
      </c>
      <c r="H1467" s="676">
        <f t="shared" si="467"/>
        <v>0</v>
      </c>
      <c r="I1467" s="677">
        <v>450</v>
      </c>
      <c r="J1467" s="678">
        <f t="shared" si="468"/>
        <v>0</v>
      </c>
      <c r="K1467" s="675">
        <f t="shared" si="469"/>
        <v>0</v>
      </c>
      <c r="L1467" s="1079"/>
      <c r="M1467" s="574"/>
      <c r="N1467" s="680">
        <f t="shared" si="456"/>
        <v>0</v>
      </c>
      <c r="O1467" s="681">
        <v>0</v>
      </c>
      <c r="P1467" s="673"/>
      <c r="Q1467" s="574"/>
      <c r="R1467" s="574"/>
      <c r="S1467" s="574"/>
    </row>
    <row r="1468" spans="1:19" ht="21.3">
      <c r="A1468" s="665"/>
      <c r="B1468" s="617" t="s">
        <v>380</v>
      </c>
      <c r="C1468" s="1125" t="s">
        <v>381</v>
      </c>
      <c r="D1468" s="1126"/>
      <c r="E1468" s="673">
        <f t="shared" si="470"/>
        <v>0</v>
      </c>
      <c r="F1468" s="674" t="s">
        <v>34</v>
      </c>
      <c r="G1468" s="675">
        <v>1296</v>
      </c>
      <c r="H1468" s="676">
        <f t="shared" si="467"/>
        <v>0</v>
      </c>
      <c r="I1468" s="677">
        <v>1600</v>
      </c>
      <c r="J1468" s="678">
        <f t="shared" si="468"/>
        <v>0</v>
      </c>
      <c r="K1468" s="675">
        <f t="shared" si="469"/>
        <v>0</v>
      </c>
      <c r="L1468" s="1079"/>
      <c r="M1468" s="574"/>
      <c r="N1468" s="680">
        <f t="shared" si="456"/>
        <v>0</v>
      </c>
      <c r="O1468" s="681">
        <v>0</v>
      </c>
      <c r="P1468" s="673"/>
      <c r="Q1468" s="574"/>
      <c r="R1468" s="574"/>
      <c r="S1468" s="574"/>
    </row>
    <row r="1469" spans="1:19" ht="21.3">
      <c r="A1469" s="665"/>
      <c r="B1469" s="617" t="s">
        <v>600</v>
      </c>
      <c r="C1469" s="1127" t="s">
        <v>601</v>
      </c>
      <c r="D1469" s="1126"/>
      <c r="E1469" s="618"/>
      <c r="F1469" s="674" t="s">
        <v>34</v>
      </c>
      <c r="G1469" s="675">
        <v>325</v>
      </c>
      <c r="H1469" s="676">
        <f t="shared" si="467"/>
        <v>0</v>
      </c>
      <c r="I1469" s="677">
        <v>100</v>
      </c>
      <c r="J1469" s="678">
        <f t="shared" si="468"/>
        <v>0</v>
      </c>
      <c r="K1469" s="675">
        <f t="shared" si="469"/>
        <v>0</v>
      </c>
      <c r="L1469" s="1079"/>
      <c r="M1469" s="574"/>
      <c r="N1469" s="686">
        <f t="shared" si="456"/>
        <v>129.02000000000001</v>
      </c>
      <c r="O1469" s="622">
        <v>0</v>
      </c>
      <c r="P1469" s="618">
        <v>129.02000000000001</v>
      </c>
      <c r="Q1469" s="574"/>
      <c r="R1469" s="574"/>
      <c r="S1469" s="574"/>
    </row>
    <row r="1470" spans="1:19" ht="21.3">
      <c r="A1470" s="665"/>
      <c r="B1470" s="1114"/>
      <c r="C1470" s="617"/>
      <c r="D1470" s="1124"/>
      <c r="E1470" s="637"/>
      <c r="F1470" s="625"/>
      <c r="G1470" s="641"/>
      <c r="H1470" s="685"/>
      <c r="I1470" s="642"/>
      <c r="J1470" s="571">
        <f t="shared" ref="J1470:J1504" si="471">I1470*E1470</f>
        <v>0</v>
      </c>
      <c r="K1470" s="1060">
        <f t="shared" si="447"/>
        <v>0</v>
      </c>
      <c r="L1470" s="1065"/>
      <c r="M1470" s="574"/>
      <c r="N1470" s="669">
        <f t="shared" si="456"/>
        <v>0</v>
      </c>
      <c r="O1470" s="636">
        <v>0</v>
      </c>
      <c r="P1470" s="637"/>
      <c r="Q1470" s="574"/>
      <c r="R1470" s="574"/>
      <c r="S1470" s="574"/>
    </row>
    <row r="1471" spans="1:19" ht="21.3">
      <c r="A1471" s="665" t="s">
        <v>398</v>
      </c>
      <c r="B1471" s="1114" t="s">
        <v>399</v>
      </c>
      <c r="C1471" s="617"/>
      <c r="D1471" s="1124"/>
      <c r="E1471" s="637"/>
      <c r="F1471" s="625"/>
      <c r="G1471" s="641"/>
      <c r="H1471" s="685"/>
      <c r="I1471" s="642"/>
      <c r="J1471" s="571">
        <f t="shared" si="471"/>
        <v>0</v>
      </c>
      <c r="K1471" s="1060">
        <f t="shared" si="447"/>
        <v>0</v>
      </c>
      <c r="L1471" s="1065"/>
      <c r="M1471" s="574"/>
      <c r="N1471" s="669">
        <f t="shared" si="456"/>
        <v>0</v>
      </c>
      <c r="O1471" s="636">
        <v>0</v>
      </c>
      <c r="P1471" s="637"/>
      <c r="Q1471" s="574"/>
      <c r="R1471" s="574"/>
      <c r="S1471" s="574"/>
    </row>
    <row r="1472" spans="1:19" s="682" customFormat="1" ht="24" customHeight="1">
      <c r="A1472" s="665"/>
      <c r="B1472" s="617" t="s">
        <v>360</v>
      </c>
      <c r="C1472" s="1137"/>
      <c r="D1472" s="1126"/>
      <c r="E1472" s="673"/>
      <c r="F1472" s="674" t="s">
        <v>361</v>
      </c>
      <c r="G1472" s="675">
        <v>190</v>
      </c>
      <c r="H1472" s="676">
        <f t="shared" ref="H1472:H1486" si="472">SUM(E1472*G1472)</f>
        <v>0</v>
      </c>
      <c r="I1472" s="677">
        <v>75</v>
      </c>
      <c r="J1472" s="678">
        <f t="shared" ref="J1472:J1486" si="473">SUM(E1472*I1472)</f>
        <v>0</v>
      </c>
      <c r="K1472" s="675">
        <f t="shared" ref="K1472:K1486" si="474">SUM(H1472+J1472)</f>
        <v>0</v>
      </c>
      <c r="L1472" s="1079"/>
      <c r="M1472" s="679"/>
      <c r="N1472" s="680">
        <f t="shared" si="456"/>
        <v>0</v>
      </c>
      <c r="O1472" s="681">
        <v>0</v>
      </c>
      <c r="P1472" s="673"/>
      <c r="Q1472" s="679"/>
      <c r="R1472" s="679"/>
      <c r="S1472" s="679"/>
    </row>
    <row r="1473" spans="1:19" ht="21.3">
      <c r="A1473" s="665"/>
      <c r="B1473" s="617" t="s">
        <v>362</v>
      </c>
      <c r="C1473" s="1137"/>
      <c r="D1473" s="1126"/>
      <c r="E1473" s="673">
        <v>6</v>
      </c>
      <c r="F1473" s="674" t="s">
        <v>363</v>
      </c>
      <c r="G1473" s="675">
        <v>347</v>
      </c>
      <c r="H1473" s="676">
        <f t="shared" si="472"/>
        <v>2082</v>
      </c>
      <c r="I1473" s="677">
        <v>75</v>
      </c>
      <c r="J1473" s="678">
        <f t="shared" si="473"/>
        <v>450</v>
      </c>
      <c r="K1473" s="675">
        <f t="shared" si="474"/>
        <v>2532</v>
      </c>
      <c r="L1473" s="1079"/>
      <c r="M1473" s="574"/>
      <c r="N1473" s="680">
        <f t="shared" si="456"/>
        <v>0</v>
      </c>
      <c r="O1473" s="681">
        <v>0</v>
      </c>
      <c r="P1473" s="673"/>
      <c r="Q1473" s="574"/>
      <c r="R1473" s="574"/>
      <c r="S1473" s="574"/>
    </row>
    <row r="1474" spans="1:19" ht="21.3">
      <c r="A1474" s="665"/>
      <c r="B1474" s="617" t="s">
        <v>364</v>
      </c>
      <c r="C1474" s="1137" t="s">
        <v>365</v>
      </c>
      <c r="D1474" s="1126"/>
      <c r="E1474" s="673">
        <f>+N1474</f>
        <v>215.2</v>
      </c>
      <c r="F1474" s="674" t="s">
        <v>34</v>
      </c>
      <c r="G1474" s="675">
        <v>169</v>
      </c>
      <c r="H1474" s="676">
        <f t="shared" si="472"/>
        <v>36368.799999999996</v>
      </c>
      <c r="I1474" s="677">
        <v>75</v>
      </c>
      <c r="J1474" s="678">
        <f t="shared" si="473"/>
        <v>16140</v>
      </c>
      <c r="K1474" s="675">
        <f t="shared" si="474"/>
        <v>52508.799999999996</v>
      </c>
      <c r="L1474" s="1079"/>
      <c r="M1474" s="574"/>
      <c r="N1474" s="680">
        <f t="shared" si="456"/>
        <v>215.2</v>
      </c>
      <c r="O1474" s="681">
        <v>0</v>
      </c>
      <c r="P1474" s="673">
        <v>215.2</v>
      </c>
      <c r="Q1474" s="574"/>
      <c r="R1474" s="574"/>
      <c r="S1474" s="574"/>
    </row>
    <row r="1475" spans="1:19" ht="21.3">
      <c r="A1475" s="665"/>
      <c r="B1475" s="617"/>
      <c r="C1475" s="1137" t="s">
        <v>366</v>
      </c>
      <c r="D1475" s="1126"/>
      <c r="E1475" s="673">
        <f t="shared" ref="E1475:E1485" si="475">+N1475</f>
        <v>215.2</v>
      </c>
      <c r="F1475" s="674" t="s">
        <v>34</v>
      </c>
      <c r="G1475" s="675">
        <v>69</v>
      </c>
      <c r="H1475" s="676">
        <f t="shared" si="472"/>
        <v>14848.8</v>
      </c>
      <c r="I1475" s="677">
        <v>28</v>
      </c>
      <c r="J1475" s="678">
        <f t="shared" si="473"/>
        <v>6025.5999999999995</v>
      </c>
      <c r="K1475" s="675">
        <f t="shared" si="474"/>
        <v>20874.399999999998</v>
      </c>
      <c r="L1475" s="1079"/>
      <c r="M1475" s="574"/>
      <c r="N1475" s="680">
        <f t="shared" si="456"/>
        <v>215.2</v>
      </c>
      <c r="O1475" s="681">
        <v>0</v>
      </c>
      <c r="P1475" s="673">
        <v>215.2</v>
      </c>
      <c r="Q1475" s="574"/>
      <c r="R1475" s="574"/>
      <c r="S1475" s="574"/>
    </row>
    <row r="1476" spans="1:19" ht="21.3">
      <c r="A1476" s="665"/>
      <c r="B1476" s="617" t="s">
        <v>367</v>
      </c>
      <c r="C1476" s="1125" t="s">
        <v>368</v>
      </c>
      <c r="D1476" s="1126"/>
      <c r="E1476" s="673">
        <v>181.72</v>
      </c>
      <c r="F1476" s="674" t="s">
        <v>34</v>
      </c>
      <c r="G1476" s="675">
        <v>192</v>
      </c>
      <c r="H1476" s="676">
        <f t="shared" si="472"/>
        <v>34890.239999999998</v>
      </c>
      <c r="I1476" s="677">
        <v>75</v>
      </c>
      <c r="J1476" s="678">
        <f t="shared" si="473"/>
        <v>13629</v>
      </c>
      <c r="K1476" s="675">
        <f t="shared" si="474"/>
        <v>48519.24</v>
      </c>
      <c r="L1476" s="1079"/>
      <c r="M1476" s="574"/>
      <c r="N1476" s="680">
        <f t="shared" ref="N1476:N1547" si="476">+(1+O1476)*P1476</f>
        <v>52.7</v>
      </c>
      <c r="O1476" s="681">
        <v>0</v>
      </c>
      <c r="P1476" s="673">
        <v>52.7</v>
      </c>
      <c r="Q1476" s="574"/>
      <c r="R1476" s="574"/>
      <c r="S1476" s="574"/>
    </row>
    <row r="1477" spans="1:19" ht="21.3">
      <c r="A1477" s="665"/>
      <c r="B1477" s="617"/>
      <c r="C1477" s="1125" t="s">
        <v>369</v>
      </c>
      <c r="D1477" s="1126"/>
      <c r="E1477" s="673">
        <v>181.72</v>
      </c>
      <c r="F1477" s="674" t="s">
        <v>34</v>
      </c>
      <c r="G1477" s="675">
        <v>69</v>
      </c>
      <c r="H1477" s="676">
        <f t="shared" si="472"/>
        <v>12538.68</v>
      </c>
      <c r="I1477" s="677">
        <v>28</v>
      </c>
      <c r="J1477" s="678">
        <f t="shared" si="473"/>
        <v>5088.16</v>
      </c>
      <c r="K1477" s="675">
        <f t="shared" si="474"/>
        <v>17626.84</v>
      </c>
      <c r="L1477" s="1079"/>
      <c r="M1477" s="574"/>
      <c r="N1477" s="680">
        <f t="shared" si="476"/>
        <v>52.7</v>
      </c>
      <c r="O1477" s="681">
        <v>0</v>
      </c>
      <c r="P1477" s="673">
        <v>52.7</v>
      </c>
      <c r="Q1477" s="574"/>
      <c r="R1477" s="574"/>
      <c r="S1477" s="574"/>
    </row>
    <row r="1478" spans="1:19" ht="21.3">
      <c r="A1478" s="665"/>
      <c r="B1478" s="617" t="s">
        <v>370</v>
      </c>
      <c r="C1478" s="1125" t="s">
        <v>371</v>
      </c>
      <c r="D1478" s="1126"/>
      <c r="E1478" s="673">
        <f t="shared" si="475"/>
        <v>0</v>
      </c>
      <c r="F1478" s="674" t="s">
        <v>34</v>
      </c>
      <c r="G1478" s="675">
        <v>650</v>
      </c>
      <c r="H1478" s="676">
        <f t="shared" si="472"/>
        <v>0</v>
      </c>
      <c r="I1478" s="677">
        <v>52</v>
      </c>
      <c r="J1478" s="678">
        <f t="shared" si="473"/>
        <v>0</v>
      </c>
      <c r="K1478" s="675">
        <f t="shared" si="474"/>
        <v>0</v>
      </c>
      <c r="L1478" s="1079"/>
      <c r="M1478" s="574"/>
      <c r="N1478" s="680">
        <f t="shared" si="476"/>
        <v>0</v>
      </c>
      <c r="O1478" s="681">
        <v>0</v>
      </c>
      <c r="P1478" s="673"/>
      <c r="Q1478" s="574"/>
      <c r="R1478" s="574"/>
      <c r="S1478" s="574"/>
    </row>
    <row r="1479" spans="1:19" ht="21.3">
      <c r="A1479" s="665"/>
      <c r="B1479" s="617" t="s">
        <v>372</v>
      </c>
      <c r="C1479" s="1125" t="s">
        <v>373</v>
      </c>
      <c r="D1479" s="1126"/>
      <c r="E1479" s="673">
        <f t="shared" si="475"/>
        <v>0</v>
      </c>
      <c r="F1479" s="674" t="s">
        <v>34</v>
      </c>
      <c r="G1479" s="675">
        <v>30</v>
      </c>
      <c r="H1479" s="676">
        <f t="shared" si="472"/>
        <v>0</v>
      </c>
      <c r="I1479" s="677">
        <v>50</v>
      </c>
      <c r="J1479" s="678">
        <f t="shared" si="473"/>
        <v>0</v>
      </c>
      <c r="K1479" s="675">
        <f t="shared" si="474"/>
        <v>0</v>
      </c>
      <c r="L1479" s="1079"/>
      <c r="M1479" s="574"/>
      <c r="N1479" s="680">
        <f t="shared" si="476"/>
        <v>0</v>
      </c>
      <c r="O1479" s="681">
        <v>0</v>
      </c>
      <c r="P1479" s="673"/>
      <c r="Q1479" s="574"/>
      <c r="R1479" s="574"/>
      <c r="S1479" s="574"/>
    </row>
    <row r="1480" spans="1:19" ht="21.3">
      <c r="A1480" s="665"/>
      <c r="B1480" s="617" t="s">
        <v>374</v>
      </c>
      <c r="C1480" s="1125" t="s">
        <v>386</v>
      </c>
      <c r="D1480" s="1126"/>
      <c r="E1480" s="673">
        <f t="shared" si="475"/>
        <v>134.26000000000002</v>
      </c>
      <c r="F1480" s="674" t="s">
        <v>34</v>
      </c>
      <c r="G1480" s="675">
        <v>30</v>
      </c>
      <c r="H1480" s="676">
        <f t="shared" si="472"/>
        <v>4027.8000000000006</v>
      </c>
      <c r="I1480" s="677">
        <v>50</v>
      </c>
      <c r="J1480" s="678">
        <f t="shared" si="473"/>
        <v>6713.0000000000009</v>
      </c>
      <c r="K1480" s="675">
        <f t="shared" si="474"/>
        <v>10740.800000000001</v>
      </c>
      <c r="L1480" s="1079"/>
      <c r="M1480" s="574"/>
      <c r="N1480" s="680">
        <f t="shared" si="476"/>
        <v>134.26000000000002</v>
      </c>
      <c r="O1480" s="681">
        <v>0</v>
      </c>
      <c r="P1480" s="673">
        <v>134.26000000000002</v>
      </c>
      <c r="Q1480" s="574"/>
      <c r="R1480" s="574"/>
      <c r="S1480" s="574"/>
    </row>
    <row r="1481" spans="1:19" ht="21.3">
      <c r="A1481" s="665"/>
      <c r="B1481" s="617"/>
      <c r="C1481" s="1125"/>
      <c r="D1481" s="1126"/>
      <c r="E1481" s="673"/>
      <c r="F1481" s="674"/>
      <c r="G1481" s="675"/>
      <c r="H1481" s="676"/>
      <c r="I1481" s="677"/>
      <c r="J1481" s="678"/>
      <c r="K1481" s="675"/>
      <c r="L1481" s="1079"/>
      <c r="M1481" s="574"/>
      <c r="N1481" s="680"/>
      <c r="O1481" s="681"/>
      <c r="P1481" s="673"/>
      <c r="Q1481" s="574"/>
      <c r="R1481" s="574"/>
      <c r="S1481" s="574"/>
    </row>
    <row r="1482" spans="1:19" ht="21.3">
      <c r="A1482" s="665"/>
      <c r="B1482" s="617" t="s">
        <v>376</v>
      </c>
      <c r="C1482" s="1125" t="s">
        <v>387</v>
      </c>
      <c r="D1482" s="1126"/>
      <c r="E1482" s="673">
        <f t="shared" si="475"/>
        <v>83.340000000000018</v>
      </c>
      <c r="F1482" s="674" t="s">
        <v>34</v>
      </c>
      <c r="G1482" s="675">
        <v>88</v>
      </c>
      <c r="H1482" s="676">
        <f t="shared" si="472"/>
        <v>7333.9200000000019</v>
      </c>
      <c r="I1482" s="677">
        <v>94</v>
      </c>
      <c r="J1482" s="678">
        <f t="shared" si="473"/>
        <v>7833.9600000000019</v>
      </c>
      <c r="K1482" s="675">
        <f t="shared" si="474"/>
        <v>15167.880000000005</v>
      </c>
      <c r="L1482" s="1079"/>
      <c r="M1482" s="574"/>
      <c r="N1482" s="680">
        <f t="shared" si="476"/>
        <v>83.340000000000018</v>
      </c>
      <c r="O1482" s="681">
        <v>0</v>
      </c>
      <c r="P1482" s="673">
        <v>83.340000000000018</v>
      </c>
      <c r="Q1482" s="574"/>
      <c r="R1482" s="574"/>
      <c r="S1482" s="574"/>
    </row>
    <row r="1483" spans="1:19" ht="21.3">
      <c r="A1483" s="665"/>
      <c r="B1483" s="617"/>
      <c r="C1483" s="1125" t="s">
        <v>302</v>
      </c>
      <c r="D1483" s="1126"/>
      <c r="E1483" s="673">
        <f t="shared" si="475"/>
        <v>83.340000000000018</v>
      </c>
      <c r="F1483" s="674" t="s">
        <v>34</v>
      </c>
      <c r="G1483" s="675">
        <v>69</v>
      </c>
      <c r="H1483" s="676">
        <f t="shared" si="472"/>
        <v>5750.4600000000009</v>
      </c>
      <c r="I1483" s="677">
        <v>28</v>
      </c>
      <c r="J1483" s="678">
        <f t="shared" si="473"/>
        <v>2333.5200000000004</v>
      </c>
      <c r="K1483" s="675">
        <f t="shared" si="474"/>
        <v>8083.9800000000014</v>
      </c>
      <c r="L1483" s="1079"/>
      <c r="M1483" s="632"/>
      <c r="N1483" s="680">
        <f t="shared" si="476"/>
        <v>83.340000000000018</v>
      </c>
      <c r="O1483" s="681">
        <v>0</v>
      </c>
      <c r="P1483" s="673">
        <v>83.340000000000018</v>
      </c>
      <c r="Q1483" s="632"/>
      <c r="R1483" s="632"/>
      <c r="S1483" s="632"/>
    </row>
    <row r="1484" spans="1:19" ht="21.3">
      <c r="A1484" s="665"/>
      <c r="B1484" s="617" t="s">
        <v>378</v>
      </c>
      <c r="C1484" s="1125" t="s">
        <v>379</v>
      </c>
      <c r="D1484" s="1126"/>
      <c r="E1484" s="673">
        <f t="shared" si="475"/>
        <v>0</v>
      </c>
      <c r="F1484" s="674" t="s">
        <v>34</v>
      </c>
      <c r="G1484" s="675">
        <v>1900</v>
      </c>
      <c r="H1484" s="676">
        <f t="shared" si="472"/>
        <v>0</v>
      </c>
      <c r="I1484" s="677">
        <v>450</v>
      </c>
      <c r="J1484" s="678">
        <f t="shared" si="473"/>
        <v>0</v>
      </c>
      <c r="K1484" s="675">
        <f t="shared" si="474"/>
        <v>0</v>
      </c>
      <c r="L1484" s="1079"/>
      <c r="M1484" s="574"/>
      <c r="N1484" s="680">
        <f t="shared" si="476"/>
        <v>0</v>
      </c>
      <c r="O1484" s="681">
        <v>0</v>
      </c>
      <c r="P1484" s="673"/>
      <c r="Q1484" s="574"/>
      <c r="R1484" s="574"/>
      <c r="S1484" s="574"/>
    </row>
    <row r="1485" spans="1:19" ht="21.3">
      <c r="A1485" s="665"/>
      <c r="B1485" s="617" t="s">
        <v>380</v>
      </c>
      <c r="C1485" s="1125" t="s">
        <v>381</v>
      </c>
      <c r="D1485" s="1126"/>
      <c r="E1485" s="673">
        <f t="shared" si="475"/>
        <v>0</v>
      </c>
      <c r="F1485" s="674" t="s">
        <v>34</v>
      </c>
      <c r="G1485" s="675">
        <v>1296</v>
      </c>
      <c r="H1485" s="676">
        <f t="shared" si="472"/>
        <v>0</v>
      </c>
      <c r="I1485" s="677">
        <v>1600</v>
      </c>
      <c r="J1485" s="678">
        <f t="shared" si="473"/>
        <v>0</v>
      </c>
      <c r="K1485" s="675">
        <f t="shared" si="474"/>
        <v>0</v>
      </c>
      <c r="L1485" s="1079"/>
      <c r="M1485" s="574"/>
      <c r="N1485" s="680">
        <f t="shared" si="476"/>
        <v>0</v>
      </c>
      <c r="O1485" s="681">
        <v>0</v>
      </c>
      <c r="P1485" s="673"/>
      <c r="Q1485" s="574"/>
      <c r="R1485" s="574"/>
      <c r="S1485" s="574"/>
    </row>
    <row r="1486" spans="1:19" ht="21.3">
      <c r="A1486" s="665"/>
      <c r="B1486" s="617" t="s">
        <v>600</v>
      </c>
      <c r="C1486" s="1127" t="s">
        <v>601</v>
      </c>
      <c r="D1486" s="1126"/>
      <c r="E1486" s="618"/>
      <c r="F1486" s="674" t="s">
        <v>34</v>
      </c>
      <c r="G1486" s="675">
        <v>325</v>
      </c>
      <c r="H1486" s="676">
        <f t="shared" si="472"/>
        <v>0</v>
      </c>
      <c r="I1486" s="677">
        <v>100</v>
      </c>
      <c r="J1486" s="678">
        <f t="shared" si="473"/>
        <v>0</v>
      </c>
      <c r="K1486" s="675">
        <f t="shared" si="474"/>
        <v>0</v>
      </c>
      <c r="L1486" s="1079"/>
      <c r="M1486" s="574"/>
      <c r="N1486" s="686">
        <f t="shared" si="476"/>
        <v>129.02000000000001</v>
      </c>
      <c r="O1486" s="622">
        <v>0</v>
      </c>
      <c r="P1486" s="618">
        <v>129.02000000000001</v>
      </c>
      <c r="Q1486" s="574"/>
      <c r="R1486" s="574"/>
      <c r="S1486" s="574"/>
    </row>
    <row r="1487" spans="1:19" ht="21.3">
      <c r="A1487" s="665"/>
      <c r="B1487" s="1114"/>
      <c r="C1487" s="617"/>
      <c r="D1487" s="1124"/>
      <c r="E1487" s="637"/>
      <c r="F1487" s="625"/>
      <c r="G1487" s="641"/>
      <c r="H1487" s="685"/>
      <c r="I1487" s="642"/>
      <c r="J1487" s="571">
        <f t="shared" si="471"/>
        <v>0</v>
      </c>
      <c r="K1487" s="1060">
        <f t="shared" ref="K1487:K1537" si="477">H1487+J1487</f>
        <v>0</v>
      </c>
      <c r="L1487" s="1065"/>
      <c r="M1487" s="574"/>
      <c r="N1487" s="669">
        <f t="shared" si="476"/>
        <v>0</v>
      </c>
      <c r="O1487" s="636">
        <v>0</v>
      </c>
      <c r="P1487" s="637"/>
      <c r="Q1487" s="574"/>
      <c r="R1487" s="574"/>
      <c r="S1487" s="574"/>
    </row>
    <row r="1488" spans="1:19" ht="21.3">
      <c r="A1488" s="665" t="s">
        <v>400</v>
      </c>
      <c r="B1488" s="1114" t="s">
        <v>401</v>
      </c>
      <c r="C1488" s="617"/>
      <c r="D1488" s="1124"/>
      <c r="E1488" s="637"/>
      <c r="F1488" s="625"/>
      <c r="G1488" s="641"/>
      <c r="H1488" s="685"/>
      <c r="I1488" s="642"/>
      <c r="J1488" s="571">
        <f t="shared" si="471"/>
        <v>0</v>
      </c>
      <c r="K1488" s="1060">
        <f t="shared" si="477"/>
        <v>0</v>
      </c>
      <c r="L1488" s="1065"/>
      <c r="M1488" s="574"/>
      <c r="N1488" s="669">
        <f t="shared" si="476"/>
        <v>0</v>
      </c>
      <c r="O1488" s="636">
        <v>0</v>
      </c>
      <c r="P1488" s="637"/>
      <c r="Q1488" s="574"/>
      <c r="R1488" s="574"/>
      <c r="S1488" s="574"/>
    </row>
    <row r="1489" spans="1:19" s="682" customFormat="1" ht="24" customHeight="1">
      <c r="A1489" s="665"/>
      <c r="B1489" s="617" t="s">
        <v>360</v>
      </c>
      <c r="C1489" s="1137"/>
      <c r="D1489" s="1126"/>
      <c r="E1489" s="673"/>
      <c r="F1489" s="674" t="s">
        <v>361</v>
      </c>
      <c r="G1489" s="675">
        <v>190</v>
      </c>
      <c r="H1489" s="676">
        <f t="shared" ref="H1489:H1501" si="478">SUM(E1489*G1489)</f>
        <v>0</v>
      </c>
      <c r="I1489" s="677">
        <v>75</v>
      </c>
      <c r="J1489" s="678">
        <f t="shared" ref="J1489:J1502" si="479">SUM(E1489*I1489)</f>
        <v>0</v>
      </c>
      <c r="K1489" s="675">
        <f t="shared" ref="K1489:K1502" si="480">SUM(H1489+J1489)</f>
        <v>0</v>
      </c>
      <c r="L1489" s="1079"/>
      <c r="M1489" s="679"/>
      <c r="N1489" s="680">
        <f t="shared" si="476"/>
        <v>0</v>
      </c>
      <c r="O1489" s="681">
        <v>0</v>
      </c>
      <c r="P1489" s="673"/>
      <c r="Q1489" s="679"/>
      <c r="R1489" s="679"/>
      <c r="S1489" s="679"/>
    </row>
    <row r="1490" spans="1:19" ht="21.3">
      <c r="A1490" s="665"/>
      <c r="B1490" s="617" t="s">
        <v>362</v>
      </c>
      <c r="C1490" s="1137"/>
      <c r="D1490" s="1126"/>
      <c r="E1490" s="673">
        <v>6</v>
      </c>
      <c r="F1490" s="674" t="s">
        <v>363</v>
      </c>
      <c r="G1490" s="675">
        <v>347</v>
      </c>
      <c r="H1490" s="676">
        <f t="shared" si="478"/>
        <v>2082</v>
      </c>
      <c r="I1490" s="677">
        <v>75</v>
      </c>
      <c r="J1490" s="678">
        <f t="shared" si="479"/>
        <v>450</v>
      </c>
      <c r="K1490" s="675">
        <f t="shared" si="480"/>
        <v>2532</v>
      </c>
      <c r="L1490" s="1079"/>
      <c r="M1490" s="574"/>
      <c r="N1490" s="680">
        <f t="shared" si="476"/>
        <v>0</v>
      </c>
      <c r="O1490" s="681">
        <v>0</v>
      </c>
      <c r="P1490" s="673"/>
      <c r="Q1490" s="574"/>
      <c r="R1490" s="574"/>
      <c r="S1490" s="574"/>
    </row>
    <row r="1491" spans="1:19" ht="21.3">
      <c r="A1491" s="665"/>
      <c r="B1491" s="617" t="s">
        <v>364</v>
      </c>
      <c r="C1491" s="1137" t="s">
        <v>365</v>
      </c>
      <c r="D1491" s="1126"/>
      <c r="E1491" s="673">
        <f>+N1491</f>
        <v>215.2</v>
      </c>
      <c r="F1491" s="674" t="s">
        <v>34</v>
      </c>
      <c r="G1491" s="675">
        <v>169</v>
      </c>
      <c r="H1491" s="676">
        <f t="shared" si="478"/>
        <v>36368.799999999996</v>
      </c>
      <c r="I1491" s="677">
        <v>75</v>
      </c>
      <c r="J1491" s="678">
        <f t="shared" si="479"/>
        <v>16140</v>
      </c>
      <c r="K1491" s="675">
        <f t="shared" si="480"/>
        <v>52508.799999999996</v>
      </c>
      <c r="L1491" s="1079"/>
      <c r="M1491" s="574"/>
      <c r="N1491" s="680">
        <f t="shared" si="476"/>
        <v>215.2</v>
      </c>
      <c r="O1491" s="681">
        <v>0</v>
      </c>
      <c r="P1491" s="673">
        <v>215.2</v>
      </c>
      <c r="Q1491" s="574"/>
      <c r="R1491" s="574"/>
      <c r="S1491" s="574"/>
    </row>
    <row r="1492" spans="1:19" ht="21.3">
      <c r="A1492" s="665"/>
      <c r="B1492" s="617"/>
      <c r="C1492" s="1137" t="s">
        <v>366</v>
      </c>
      <c r="D1492" s="1126"/>
      <c r="E1492" s="673">
        <f t="shared" ref="E1492:E1501" si="481">+N1492</f>
        <v>215.2</v>
      </c>
      <c r="F1492" s="674" t="s">
        <v>34</v>
      </c>
      <c r="G1492" s="675">
        <v>69</v>
      </c>
      <c r="H1492" s="676">
        <f t="shared" si="478"/>
        <v>14848.8</v>
      </c>
      <c r="I1492" s="677">
        <v>28</v>
      </c>
      <c r="J1492" s="678">
        <f t="shared" si="479"/>
        <v>6025.5999999999995</v>
      </c>
      <c r="K1492" s="675">
        <f t="shared" si="480"/>
        <v>20874.399999999998</v>
      </c>
      <c r="L1492" s="1079"/>
      <c r="M1492" s="574"/>
      <c r="N1492" s="680">
        <f t="shared" si="476"/>
        <v>215.2</v>
      </c>
      <c r="O1492" s="681">
        <v>0</v>
      </c>
      <c r="P1492" s="673">
        <v>215.2</v>
      </c>
      <c r="Q1492" s="574"/>
      <c r="R1492" s="574"/>
      <c r="S1492" s="574"/>
    </row>
    <row r="1493" spans="1:19" ht="21.3">
      <c r="A1493" s="665"/>
      <c r="B1493" s="617" t="s">
        <v>367</v>
      </c>
      <c r="C1493" s="1125" t="s">
        <v>368</v>
      </c>
      <c r="D1493" s="1126"/>
      <c r="E1493" s="673">
        <v>181.72</v>
      </c>
      <c r="F1493" s="674" t="s">
        <v>34</v>
      </c>
      <c r="G1493" s="675">
        <v>192</v>
      </c>
      <c r="H1493" s="676">
        <f t="shared" si="478"/>
        <v>34890.239999999998</v>
      </c>
      <c r="I1493" s="677">
        <v>75</v>
      </c>
      <c r="J1493" s="678">
        <f t="shared" si="479"/>
        <v>13629</v>
      </c>
      <c r="K1493" s="675">
        <f t="shared" si="480"/>
        <v>48519.24</v>
      </c>
      <c r="L1493" s="1079"/>
      <c r="M1493" s="574"/>
      <c r="N1493" s="680">
        <f t="shared" si="476"/>
        <v>52.7</v>
      </c>
      <c r="O1493" s="681">
        <v>0</v>
      </c>
      <c r="P1493" s="673">
        <v>52.7</v>
      </c>
      <c r="Q1493" s="574"/>
      <c r="R1493" s="574"/>
      <c r="S1493" s="574"/>
    </row>
    <row r="1494" spans="1:19" ht="21.3">
      <c r="A1494" s="665"/>
      <c r="B1494" s="617"/>
      <c r="C1494" s="1125" t="s">
        <v>369</v>
      </c>
      <c r="D1494" s="1126"/>
      <c r="E1494" s="673">
        <v>181.72</v>
      </c>
      <c r="F1494" s="674" t="s">
        <v>34</v>
      </c>
      <c r="G1494" s="675">
        <v>69</v>
      </c>
      <c r="H1494" s="676">
        <f t="shared" si="478"/>
        <v>12538.68</v>
      </c>
      <c r="I1494" s="677">
        <v>28</v>
      </c>
      <c r="J1494" s="678">
        <f t="shared" si="479"/>
        <v>5088.16</v>
      </c>
      <c r="K1494" s="675">
        <f t="shared" si="480"/>
        <v>17626.84</v>
      </c>
      <c r="L1494" s="1079"/>
      <c r="M1494" s="574"/>
      <c r="N1494" s="680">
        <f t="shared" si="476"/>
        <v>52.7</v>
      </c>
      <c r="O1494" s="681">
        <v>0</v>
      </c>
      <c r="P1494" s="673">
        <v>52.7</v>
      </c>
      <c r="Q1494" s="574"/>
      <c r="R1494" s="574"/>
      <c r="S1494" s="574"/>
    </row>
    <row r="1495" spans="1:19" ht="21.3">
      <c r="A1495" s="665"/>
      <c r="B1495" s="617" t="s">
        <v>370</v>
      </c>
      <c r="C1495" s="1125" t="s">
        <v>371</v>
      </c>
      <c r="D1495" s="1126"/>
      <c r="E1495" s="673">
        <f t="shared" si="481"/>
        <v>0</v>
      </c>
      <c r="F1495" s="674" t="s">
        <v>34</v>
      </c>
      <c r="G1495" s="675">
        <v>650</v>
      </c>
      <c r="H1495" s="676">
        <f t="shared" si="478"/>
        <v>0</v>
      </c>
      <c r="I1495" s="677">
        <v>52</v>
      </c>
      <c r="J1495" s="678">
        <f t="shared" si="479"/>
        <v>0</v>
      </c>
      <c r="K1495" s="675">
        <f t="shared" si="480"/>
        <v>0</v>
      </c>
      <c r="L1495" s="1079"/>
      <c r="M1495" s="574"/>
      <c r="N1495" s="680">
        <f t="shared" si="476"/>
        <v>0</v>
      </c>
      <c r="O1495" s="681">
        <v>0</v>
      </c>
      <c r="P1495" s="673"/>
      <c r="Q1495" s="574"/>
      <c r="R1495" s="574"/>
      <c r="S1495" s="574"/>
    </row>
    <row r="1496" spans="1:19" ht="21.3">
      <c r="A1496" s="665"/>
      <c r="B1496" s="617" t="s">
        <v>372</v>
      </c>
      <c r="C1496" s="1125" t="s">
        <v>373</v>
      </c>
      <c r="D1496" s="1126"/>
      <c r="E1496" s="673">
        <f t="shared" si="481"/>
        <v>0</v>
      </c>
      <c r="F1496" s="674" t="s">
        <v>34</v>
      </c>
      <c r="G1496" s="675">
        <v>30</v>
      </c>
      <c r="H1496" s="676">
        <f t="shared" si="478"/>
        <v>0</v>
      </c>
      <c r="I1496" s="677">
        <v>50</v>
      </c>
      <c r="J1496" s="678">
        <f t="shared" si="479"/>
        <v>0</v>
      </c>
      <c r="K1496" s="675">
        <f t="shared" si="480"/>
        <v>0</v>
      </c>
      <c r="L1496" s="1079"/>
      <c r="M1496" s="574"/>
      <c r="N1496" s="680">
        <f t="shared" si="476"/>
        <v>0</v>
      </c>
      <c r="O1496" s="681">
        <v>0</v>
      </c>
      <c r="P1496" s="673"/>
      <c r="Q1496" s="574"/>
      <c r="R1496" s="574"/>
      <c r="S1496" s="574"/>
    </row>
    <row r="1497" spans="1:19" ht="21.3">
      <c r="A1497" s="665"/>
      <c r="B1497" s="617" t="s">
        <v>374</v>
      </c>
      <c r="C1497" s="1125" t="s">
        <v>386</v>
      </c>
      <c r="D1497" s="1126"/>
      <c r="E1497" s="673">
        <f t="shared" si="481"/>
        <v>134.26000000000002</v>
      </c>
      <c r="F1497" s="674" t="s">
        <v>34</v>
      </c>
      <c r="G1497" s="675">
        <v>30</v>
      </c>
      <c r="H1497" s="676">
        <f t="shared" si="478"/>
        <v>4027.8000000000006</v>
      </c>
      <c r="I1497" s="677">
        <v>50</v>
      </c>
      <c r="J1497" s="678">
        <f t="shared" si="479"/>
        <v>6713.0000000000009</v>
      </c>
      <c r="K1497" s="675">
        <f t="shared" si="480"/>
        <v>10740.800000000001</v>
      </c>
      <c r="L1497" s="1079"/>
      <c r="M1497" s="574"/>
      <c r="N1497" s="680">
        <f t="shared" si="476"/>
        <v>134.26000000000002</v>
      </c>
      <c r="O1497" s="681">
        <v>0</v>
      </c>
      <c r="P1497" s="673">
        <v>134.26000000000002</v>
      </c>
      <c r="Q1497" s="574"/>
      <c r="R1497" s="574"/>
      <c r="S1497" s="574"/>
    </row>
    <row r="1498" spans="1:19" ht="21.3">
      <c r="A1498" s="665"/>
      <c r="B1498" s="617" t="s">
        <v>376</v>
      </c>
      <c r="C1498" s="1125" t="s">
        <v>387</v>
      </c>
      <c r="D1498" s="1126"/>
      <c r="E1498" s="673">
        <f t="shared" si="481"/>
        <v>83.340000000000018</v>
      </c>
      <c r="F1498" s="674" t="s">
        <v>34</v>
      </c>
      <c r="G1498" s="675">
        <v>88</v>
      </c>
      <c r="H1498" s="676">
        <f t="shared" si="478"/>
        <v>7333.9200000000019</v>
      </c>
      <c r="I1498" s="677">
        <v>94</v>
      </c>
      <c r="J1498" s="678">
        <f t="shared" si="479"/>
        <v>7833.9600000000019</v>
      </c>
      <c r="K1498" s="675">
        <f t="shared" si="480"/>
        <v>15167.880000000005</v>
      </c>
      <c r="L1498" s="1079"/>
      <c r="M1498" s="574"/>
      <c r="N1498" s="680">
        <f t="shared" si="476"/>
        <v>83.340000000000018</v>
      </c>
      <c r="O1498" s="681">
        <v>0</v>
      </c>
      <c r="P1498" s="673">
        <v>83.340000000000018</v>
      </c>
      <c r="Q1498" s="574"/>
      <c r="R1498" s="574"/>
      <c r="S1498" s="574"/>
    </row>
    <row r="1499" spans="1:19" ht="21.3">
      <c r="A1499" s="665"/>
      <c r="B1499" s="617"/>
      <c r="C1499" s="1125" t="s">
        <v>302</v>
      </c>
      <c r="D1499" s="1126"/>
      <c r="E1499" s="673">
        <f t="shared" si="481"/>
        <v>83.340000000000018</v>
      </c>
      <c r="F1499" s="674" t="s">
        <v>34</v>
      </c>
      <c r="G1499" s="675">
        <v>69</v>
      </c>
      <c r="H1499" s="676">
        <f t="shared" si="478"/>
        <v>5750.4600000000009</v>
      </c>
      <c r="I1499" s="677">
        <v>28</v>
      </c>
      <c r="J1499" s="678">
        <f t="shared" si="479"/>
        <v>2333.5200000000004</v>
      </c>
      <c r="K1499" s="675">
        <f t="shared" si="480"/>
        <v>8083.9800000000014</v>
      </c>
      <c r="L1499" s="1079"/>
      <c r="M1499" s="632"/>
      <c r="N1499" s="680">
        <f t="shared" si="476"/>
        <v>83.340000000000018</v>
      </c>
      <c r="O1499" s="681">
        <v>0</v>
      </c>
      <c r="P1499" s="673">
        <v>83.340000000000018</v>
      </c>
      <c r="Q1499" s="632"/>
      <c r="R1499" s="632"/>
      <c r="S1499" s="632"/>
    </row>
    <row r="1500" spans="1:19" ht="21.3">
      <c r="A1500" s="665"/>
      <c r="B1500" s="617" t="s">
        <v>378</v>
      </c>
      <c r="C1500" s="1125" t="s">
        <v>379</v>
      </c>
      <c r="D1500" s="1126"/>
      <c r="E1500" s="673">
        <f t="shared" si="481"/>
        <v>0</v>
      </c>
      <c r="F1500" s="674" t="s">
        <v>34</v>
      </c>
      <c r="G1500" s="675">
        <v>1900</v>
      </c>
      <c r="H1500" s="676">
        <f t="shared" si="478"/>
        <v>0</v>
      </c>
      <c r="I1500" s="677">
        <v>450</v>
      </c>
      <c r="J1500" s="678">
        <f t="shared" si="479"/>
        <v>0</v>
      </c>
      <c r="K1500" s="675">
        <f t="shared" si="480"/>
        <v>0</v>
      </c>
      <c r="L1500" s="1079"/>
      <c r="M1500" s="574"/>
      <c r="N1500" s="680">
        <f t="shared" si="476"/>
        <v>0</v>
      </c>
      <c r="O1500" s="681">
        <v>0</v>
      </c>
      <c r="P1500" s="673"/>
      <c r="Q1500" s="574"/>
      <c r="R1500" s="574"/>
      <c r="S1500" s="574"/>
    </row>
    <row r="1501" spans="1:19" ht="21.3">
      <c r="A1501" s="665"/>
      <c r="B1501" s="617" t="s">
        <v>380</v>
      </c>
      <c r="C1501" s="1125" t="s">
        <v>381</v>
      </c>
      <c r="D1501" s="1126"/>
      <c r="E1501" s="673">
        <f t="shared" si="481"/>
        <v>0</v>
      </c>
      <c r="F1501" s="674" t="s">
        <v>34</v>
      </c>
      <c r="G1501" s="675">
        <v>1296</v>
      </c>
      <c r="H1501" s="676">
        <f t="shared" si="478"/>
        <v>0</v>
      </c>
      <c r="I1501" s="677">
        <v>1600</v>
      </c>
      <c r="J1501" s="678">
        <f t="shared" si="479"/>
        <v>0</v>
      </c>
      <c r="K1501" s="675">
        <f t="shared" si="480"/>
        <v>0</v>
      </c>
      <c r="L1501" s="1079"/>
      <c r="M1501" s="574"/>
      <c r="N1501" s="680">
        <f t="shared" si="476"/>
        <v>0</v>
      </c>
      <c r="O1501" s="681">
        <v>0</v>
      </c>
      <c r="P1501" s="673"/>
      <c r="Q1501" s="574"/>
      <c r="R1501" s="574"/>
      <c r="S1501" s="574"/>
    </row>
    <row r="1502" spans="1:19" ht="21.3">
      <c r="A1502" s="665"/>
      <c r="B1502" s="617" t="s">
        <v>600</v>
      </c>
      <c r="C1502" s="1127" t="s">
        <v>601</v>
      </c>
      <c r="D1502" s="1126"/>
      <c r="E1502" s="618"/>
      <c r="F1502" s="674" t="s">
        <v>34</v>
      </c>
      <c r="G1502" s="675">
        <v>325</v>
      </c>
      <c r="H1502" s="676">
        <f t="shared" ref="H1502" si="482">SUM(E1502*G1502)</f>
        <v>0</v>
      </c>
      <c r="I1502" s="677">
        <v>100</v>
      </c>
      <c r="J1502" s="678">
        <f t="shared" si="479"/>
        <v>0</v>
      </c>
      <c r="K1502" s="675">
        <f t="shared" si="480"/>
        <v>0</v>
      </c>
      <c r="L1502" s="1079"/>
      <c r="M1502" s="574"/>
      <c r="N1502" s="686">
        <f t="shared" si="476"/>
        <v>129.02000000000001</v>
      </c>
      <c r="O1502" s="622">
        <v>0</v>
      </c>
      <c r="P1502" s="618">
        <v>129.02000000000001</v>
      </c>
      <c r="Q1502" s="574"/>
      <c r="R1502" s="574"/>
      <c r="S1502" s="574"/>
    </row>
    <row r="1503" spans="1:19" ht="21.3">
      <c r="A1503" s="665"/>
      <c r="B1503" s="617"/>
      <c r="C1503" s="623"/>
      <c r="D1503" s="617"/>
      <c r="E1503" s="618"/>
      <c r="F1503" s="674"/>
      <c r="G1503" s="675"/>
      <c r="H1503" s="676"/>
      <c r="I1503" s="677"/>
      <c r="J1503" s="678"/>
      <c r="K1503" s="675"/>
      <c r="L1503" s="1079"/>
      <c r="M1503" s="574"/>
      <c r="N1503" s="686"/>
      <c r="O1503" s="622">
        <v>0</v>
      </c>
      <c r="P1503" s="618"/>
      <c r="Q1503" s="574"/>
      <c r="R1503" s="574"/>
      <c r="S1503" s="574"/>
    </row>
    <row r="1504" spans="1:19" ht="21.3">
      <c r="A1504" s="665" t="s">
        <v>402</v>
      </c>
      <c r="B1504" s="1114" t="s">
        <v>403</v>
      </c>
      <c r="C1504" s="617"/>
      <c r="D1504" s="1124"/>
      <c r="E1504" s="637"/>
      <c r="F1504" s="625"/>
      <c r="G1504" s="641"/>
      <c r="H1504" s="685"/>
      <c r="I1504" s="642"/>
      <c r="J1504" s="571">
        <f t="shared" si="471"/>
        <v>0</v>
      </c>
      <c r="K1504" s="1060">
        <f t="shared" si="477"/>
        <v>0</v>
      </c>
      <c r="L1504" s="1065"/>
      <c r="M1504" s="574"/>
      <c r="N1504" s="669">
        <f t="shared" si="476"/>
        <v>0</v>
      </c>
      <c r="O1504" s="636">
        <v>0</v>
      </c>
      <c r="P1504" s="637"/>
      <c r="Q1504" s="574"/>
      <c r="R1504" s="574"/>
      <c r="S1504" s="574"/>
    </row>
    <row r="1505" spans="1:19" s="682" customFormat="1" ht="24" customHeight="1">
      <c r="A1505" s="665"/>
      <c r="B1505" s="617" t="s">
        <v>360</v>
      </c>
      <c r="C1505" s="1137"/>
      <c r="D1505" s="1126"/>
      <c r="E1505" s="673"/>
      <c r="F1505" s="674" t="s">
        <v>361</v>
      </c>
      <c r="G1505" s="675">
        <v>190</v>
      </c>
      <c r="H1505" s="676">
        <f t="shared" ref="H1505:H1518" si="483">SUM(E1505*G1505)</f>
        <v>0</v>
      </c>
      <c r="I1505" s="677">
        <v>75</v>
      </c>
      <c r="J1505" s="678">
        <f t="shared" ref="J1505:J1518" si="484">SUM(E1505*I1505)</f>
        <v>0</v>
      </c>
      <c r="K1505" s="675">
        <f t="shared" ref="K1505:K1518" si="485">SUM(H1505+J1505)</f>
        <v>0</v>
      </c>
      <c r="L1505" s="1079"/>
      <c r="M1505" s="679"/>
      <c r="N1505" s="680">
        <f t="shared" si="476"/>
        <v>0</v>
      </c>
      <c r="O1505" s="681">
        <v>0</v>
      </c>
      <c r="P1505" s="673"/>
      <c r="Q1505" s="679"/>
      <c r="R1505" s="679"/>
      <c r="S1505" s="679"/>
    </row>
    <row r="1506" spans="1:19" ht="21.3">
      <c r="A1506" s="665"/>
      <c r="B1506" s="617" t="s">
        <v>362</v>
      </c>
      <c r="C1506" s="1137"/>
      <c r="D1506" s="1126"/>
      <c r="E1506" s="673">
        <v>6</v>
      </c>
      <c r="F1506" s="674" t="s">
        <v>363</v>
      </c>
      <c r="G1506" s="675">
        <v>347</v>
      </c>
      <c r="H1506" s="676">
        <f t="shared" si="483"/>
        <v>2082</v>
      </c>
      <c r="I1506" s="677">
        <v>75</v>
      </c>
      <c r="J1506" s="678">
        <f t="shared" si="484"/>
        <v>450</v>
      </c>
      <c r="K1506" s="675">
        <f t="shared" si="485"/>
        <v>2532</v>
      </c>
      <c r="L1506" s="1079"/>
      <c r="M1506" s="574"/>
      <c r="N1506" s="680">
        <f t="shared" si="476"/>
        <v>0</v>
      </c>
      <c r="O1506" s="681">
        <v>0</v>
      </c>
      <c r="P1506" s="673"/>
      <c r="Q1506" s="574"/>
      <c r="R1506" s="574"/>
      <c r="S1506" s="574"/>
    </row>
    <row r="1507" spans="1:19" ht="21.3">
      <c r="A1507" s="665"/>
      <c r="B1507" s="617" t="s">
        <v>364</v>
      </c>
      <c r="C1507" s="1137" t="s">
        <v>365</v>
      </c>
      <c r="D1507" s="1126"/>
      <c r="E1507" s="673">
        <f>+N1507</f>
        <v>215.2</v>
      </c>
      <c r="F1507" s="674" t="s">
        <v>34</v>
      </c>
      <c r="G1507" s="675">
        <v>169</v>
      </c>
      <c r="H1507" s="676">
        <f t="shared" si="483"/>
        <v>36368.799999999996</v>
      </c>
      <c r="I1507" s="677">
        <v>75</v>
      </c>
      <c r="J1507" s="678">
        <f t="shared" si="484"/>
        <v>16140</v>
      </c>
      <c r="K1507" s="675">
        <f t="shared" si="485"/>
        <v>52508.799999999996</v>
      </c>
      <c r="L1507" s="1079"/>
      <c r="M1507" s="574"/>
      <c r="N1507" s="680">
        <f t="shared" si="476"/>
        <v>215.2</v>
      </c>
      <c r="O1507" s="681">
        <v>0</v>
      </c>
      <c r="P1507" s="673">
        <v>215.2</v>
      </c>
      <c r="Q1507" s="574"/>
      <c r="R1507" s="574"/>
      <c r="S1507" s="574"/>
    </row>
    <row r="1508" spans="1:19" ht="21.3">
      <c r="A1508" s="665"/>
      <c r="B1508" s="617"/>
      <c r="C1508" s="1137" t="s">
        <v>366</v>
      </c>
      <c r="D1508" s="1126"/>
      <c r="E1508" s="673">
        <f t="shared" ref="E1508:E1517" si="486">+N1508</f>
        <v>215.2</v>
      </c>
      <c r="F1508" s="674" t="s">
        <v>34</v>
      </c>
      <c r="G1508" s="675">
        <v>69</v>
      </c>
      <c r="H1508" s="676">
        <f t="shared" si="483"/>
        <v>14848.8</v>
      </c>
      <c r="I1508" s="677">
        <v>28</v>
      </c>
      <c r="J1508" s="678">
        <f t="shared" si="484"/>
        <v>6025.5999999999995</v>
      </c>
      <c r="K1508" s="675">
        <f t="shared" si="485"/>
        <v>20874.399999999998</v>
      </c>
      <c r="L1508" s="1079"/>
      <c r="M1508" s="574"/>
      <c r="N1508" s="680">
        <f t="shared" si="476"/>
        <v>215.2</v>
      </c>
      <c r="O1508" s="681">
        <v>0</v>
      </c>
      <c r="P1508" s="673">
        <v>215.2</v>
      </c>
      <c r="Q1508" s="574"/>
      <c r="R1508" s="574"/>
      <c r="S1508" s="574"/>
    </row>
    <row r="1509" spans="1:19" ht="21.3">
      <c r="A1509" s="665"/>
      <c r="B1509" s="617" t="s">
        <v>367</v>
      </c>
      <c r="C1509" s="1125" t="s">
        <v>368</v>
      </c>
      <c r="D1509" s="1126"/>
      <c r="E1509" s="673">
        <v>181.72</v>
      </c>
      <c r="F1509" s="674" t="s">
        <v>34</v>
      </c>
      <c r="G1509" s="675">
        <v>192</v>
      </c>
      <c r="H1509" s="676">
        <f t="shared" si="483"/>
        <v>34890.239999999998</v>
      </c>
      <c r="I1509" s="677">
        <v>75</v>
      </c>
      <c r="J1509" s="678">
        <f t="shared" si="484"/>
        <v>13629</v>
      </c>
      <c r="K1509" s="675">
        <f t="shared" si="485"/>
        <v>48519.24</v>
      </c>
      <c r="L1509" s="1079"/>
      <c r="M1509" s="574"/>
      <c r="N1509" s="680">
        <f t="shared" si="476"/>
        <v>52.7</v>
      </c>
      <c r="O1509" s="681">
        <v>0</v>
      </c>
      <c r="P1509" s="673">
        <v>52.7</v>
      </c>
      <c r="Q1509" s="574"/>
      <c r="R1509" s="574"/>
      <c r="S1509" s="574"/>
    </row>
    <row r="1510" spans="1:19" ht="21.3">
      <c r="A1510" s="665"/>
      <c r="B1510" s="617"/>
      <c r="C1510" s="1125" t="s">
        <v>369</v>
      </c>
      <c r="D1510" s="1126"/>
      <c r="E1510" s="673">
        <v>181.72</v>
      </c>
      <c r="F1510" s="674" t="s">
        <v>34</v>
      </c>
      <c r="G1510" s="675">
        <v>69</v>
      </c>
      <c r="H1510" s="676">
        <f t="shared" si="483"/>
        <v>12538.68</v>
      </c>
      <c r="I1510" s="677">
        <v>28</v>
      </c>
      <c r="J1510" s="678">
        <f t="shared" si="484"/>
        <v>5088.16</v>
      </c>
      <c r="K1510" s="675">
        <f t="shared" si="485"/>
        <v>17626.84</v>
      </c>
      <c r="L1510" s="1079"/>
      <c r="M1510" s="574"/>
      <c r="N1510" s="680">
        <f t="shared" si="476"/>
        <v>52.7</v>
      </c>
      <c r="O1510" s="681">
        <v>0</v>
      </c>
      <c r="P1510" s="673">
        <v>52.7</v>
      </c>
      <c r="Q1510" s="574"/>
      <c r="R1510" s="574"/>
      <c r="S1510" s="574"/>
    </row>
    <row r="1511" spans="1:19" ht="21.3">
      <c r="A1511" s="665"/>
      <c r="B1511" s="617" t="s">
        <v>370</v>
      </c>
      <c r="C1511" s="1125" t="s">
        <v>371</v>
      </c>
      <c r="D1511" s="1126"/>
      <c r="E1511" s="673">
        <f t="shared" si="486"/>
        <v>0</v>
      </c>
      <c r="F1511" s="674" t="s">
        <v>34</v>
      </c>
      <c r="G1511" s="675">
        <v>650</v>
      </c>
      <c r="H1511" s="676">
        <f t="shared" si="483"/>
        <v>0</v>
      </c>
      <c r="I1511" s="677">
        <v>52</v>
      </c>
      <c r="J1511" s="678">
        <f t="shared" si="484"/>
        <v>0</v>
      </c>
      <c r="K1511" s="675">
        <f t="shared" si="485"/>
        <v>0</v>
      </c>
      <c r="L1511" s="1079"/>
      <c r="M1511" s="574"/>
      <c r="N1511" s="680">
        <f t="shared" si="476"/>
        <v>0</v>
      </c>
      <c r="O1511" s="681">
        <v>0</v>
      </c>
      <c r="P1511" s="673"/>
      <c r="Q1511" s="574"/>
      <c r="R1511" s="574"/>
      <c r="S1511" s="574"/>
    </row>
    <row r="1512" spans="1:19" ht="21.3">
      <c r="A1512" s="665"/>
      <c r="B1512" s="617" t="s">
        <v>372</v>
      </c>
      <c r="C1512" s="1125" t="s">
        <v>373</v>
      </c>
      <c r="D1512" s="1126"/>
      <c r="E1512" s="673">
        <f t="shared" si="486"/>
        <v>0</v>
      </c>
      <c r="F1512" s="674" t="s">
        <v>34</v>
      </c>
      <c r="G1512" s="675">
        <v>30</v>
      </c>
      <c r="H1512" s="676">
        <f t="shared" si="483"/>
        <v>0</v>
      </c>
      <c r="I1512" s="677">
        <v>50</v>
      </c>
      <c r="J1512" s="678">
        <f t="shared" si="484"/>
        <v>0</v>
      </c>
      <c r="K1512" s="675">
        <f t="shared" si="485"/>
        <v>0</v>
      </c>
      <c r="L1512" s="1079"/>
      <c r="M1512" s="574"/>
      <c r="N1512" s="680">
        <f t="shared" si="476"/>
        <v>0</v>
      </c>
      <c r="O1512" s="681">
        <v>0</v>
      </c>
      <c r="P1512" s="673"/>
      <c r="Q1512" s="574"/>
      <c r="R1512" s="574"/>
      <c r="S1512" s="574"/>
    </row>
    <row r="1513" spans="1:19" ht="21.3">
      <c r="A1513" s="665"/>
      <c r="B1513" s="617" t="s">
        <v>374</v>
      </c>
      <c r="C1513" s="1125" t="s">
        <v>386</v>
      </c>
      <c r="D1513" s="1126"/>
      <c r="E1513" s="673">
        <f t="shared" si="486"/>
        <v>134.26000000000002</v>
      </c>
      <c r="F1513" s="674" t="s">
        <v>34</v>
      </c>
      <c r="G1513" s="675">
        <v>30</v>
      </c>
      <c r="H1513" s="676">
        <f t="shared" si="483"/>
        <v>4027.8000000000006</v>
      </c>
      <c r="I1513" s="677">
        <v>50</v>
      </c>
      <c r="J1513" s="678">
        <f t="shared" si="484"/>
        <v>6713.0000000000009</v>
      </c>
      <c r="K1513" s="675">
        <f t="shared" si="485"/>
        <v>10740.800000000001</v>
      </c>
      <c r="L1513" s="1079"/>
      <c r="M1513" s="574"/>
      <c r="N1513" s="680">
        <f t="shared" si="476"/>
        <v>134.26000000000002</v>
      </c>
      <c r="O1513" s="681">
        <v>0</v>
      </c>
      <c r="P1513" s="673">
        <v>134.26000000000002</v>
      </c>
      <c r="Q1513" s="574"/>
      <c r="R1513" s="574"/>
      <c r="S1513" s="574"/>
    </row>
    <row r="1514" spans="1:19" ht="21.3">
      <c r="A1514" s="665"/>
      <c r="B1514" s="617" t="s">
        <v>376</v>
      </c>
      <c r="C1514" s="1125" t="s">
        <v>387</v>
      </c>
      <c r="D1514" s="1126"/>
      <c r="E1514" s="673">
        <f t="shared" si="486"/>
        <v>83.340000000000018</v>
      </c>
      <c r="F1514" s="674" t="s">
        <v>34</v>
      </c>
      <c r="G1514" s="675">
        <v>88</v>
      </c>
      <c r="H1514" s="676">
        <f t="shared" si="483"/>
        <v>7333.9200000000019</v>
      </c>
      <c r="I1514" s="677">
        <v>94</v>
      </c>
      <c r="J1514" s="678">
        <f t="shared" si="484"/>
        <v>7833.9600000000019</v>
      </c>
      <c r="K1514" s="675">
        <f t="shared" si="485"/>
        <v>15167.880000000005</v>
      </c>
      <c r="L1514" s="1079"/>
      <c r="M1514" s="574"/>
      <c r="N1514" s="680">
        <f t="shared" si="476"/>
        <v>83.340000000000018</v>
      </c>
      <c r="O1514" s="681">
        <v>0</v>
      </c>
      <c r="P1514" s="673">
        <v>83.340000000000018</v>
      </c>
      <c r="Q1514" s="574"/>
      <c r="R1514" s="574"/>
      <c r="S1514" s="574"/>
    </row>
    <row r="1515" spans="1:19" ht="21.3">
      <c r="A1515" s="665"/>
      <c r="B1515" s="617"/>
      <c r="C1515" s="1125" t="s">
        <v>302</v>
      </c>
      <c r="D1515" s="1126"/>
      <c r="E1515" s="673">
        <f t="shared" si="486"/>
        <v>83.340000000000018</v>
      </c>
      <c r="F1515" s="674" t="s">
        <v>34</v>
      </c>
      <c r="G1515" s="675">
        <v>69</v>
      </c>
      <c r="H1515" s="676">
        <f t="shared" si="483"/>
        <v>5750.4600000000009</v>
      </c>
      <c r="I1515" s="677">
        <v>28</v>
      </c>
      <c r="J1515" s="678">
        <f t="shared" si="484"/>
        <v>2333.5200000000004</v>
      </c>
      <c r="K1515" s="675">
        <f t="shared" si="485"/>
        <v>8083.9800000000014</v>
      </c>
      <c r="L1515" s="1079"/>
      <c r="M1515" s="632"/>
      <c r="N1515" s="680">
        <f t="shared" si="476"/>
        <v>83.340000000000018</v>
      </c>
      <c r="O1515" s="681">
        <v>0</v>
      </c>
      <c r="P1515" s="673">
        <v>83.340000000000018</v>
      </c>
      <c r="Q1515" s="632"/>
      <c r="R1515" s="632"/>
      <c r="S1515" s="632"/>
    </row>
    <row r="1516" spans="1:19" ht="21.3">
      <c r="A1516" s="665"/>
      <c r="B1516" s="617" t="s">
        <v>378</v>
      </c>
      <c r="C1516" s="1125" t="s">
        <v>379</v>
      </c>
      <c r="D1516" s="1126"/>
      <c r="E1516" s="673">
        <f t="shared" si="486"/>
        <v>0</v>
      </c>
      <c r="F1516" s="674" t="s">
        <v>34</v>
      </c>
      <c r="G1516" s="675">
        <v>1900</v>
      </c>
      <c r="H1516" s="676">
        <f t="shared" si="483"/>
        <v>0</v>
      </c>
      <c r="I1516" s="677">
        <v>450</v>
      </c>
      <c r="J1516" s="678">
        <f t="shared" si="484"/>
        <v>0</v>
      </c>
      <c r="K1516" s="675">
        <f t="shared" si="485"/>
        <v>0</v>
      </c>
      <c r="L1516" s="1079"/>
      <c r="M1516" s="574"/>
      <c r="N1516" s="680">
        <f t="shared" si="476"/>
        <v>0</v>
      </c>
      <c r="O1516" s="681">
        <v>0</v>
      </c>
      <c r="P1516" s="673"/>
      <c r="Q1516" s="574"/>
      <c r="R1516" s="574"/>
      <c r="S1516" s="574"/>
    </row>
    <row r="1517" spans="1:19" ht="21.3">
      <c r="A1517" s="665"/>
      <c r="B1517" s="617" t="s">
        <v>380</v>
      </c>
      <c r="C1517" s="1125" t="s">
        <v>381</v>
      </c>
      <c r="D1517" s="1126"/>
      <c r="E1517" s="673">
        <f t="shared" si="486"/>
        <v>0</v>
      </c>
      <c r="F1517" s="674" t="s">
        <v>34</v>
      </c>
      <c r="G1517" s="675">
        <v>1296</v>
      </c>
      <c r="H1517" s="676">
        <f t="shared" si="483"/>
        <v>0</v>
      </c>
      <c r="I1517" s="677">
        <v>1600</v>
      </c>
      <c r="J1517" s="678">
        <f t="shared" si="484"/>
        <v>0</v>
      </c>
      <c r="K1517" s="675">
        <f t="shared" si="485"/>
        <v>0</v>
      </c>
      <c r="L1517" s="1079"/>
      <c r="M1517" s="574"/>
      <c r="N1517" s="680">
        <f t="shared" si="476"/>
        <v>0</v>
      </c>
      <c r="O1517" s="681">
        <v>0</v>
      </c>
      <c r="P1517" s="673"/>
      <c r="Q1517" s="574"/>
      <c r="R1517" s="574"/>
      <c r="S1517" s="574"/>
    </row>
    <row r="1518" spans="1:19" ht="21.3">
      <c r="A1518" s="665"/>
      <c r="B1518" s="617" t="s">
        <v>600</v>
      </c>
      <c r="C1518" s="1127" t="s">
        <v>601</v>
      </c>
      <c r="D1518" s="1126"/>
      <c r="E1518" s="618"/>
      <c r="F1518" s="674" t="s">
        <v>34</v>
      </c>
      <c r="G1518" s="675">
        <v>325</v>
      </c>
      <c r="H1518" s="676">
        <f t="shared" si="483"/>
        <v>0</v>
      </c>
      <c r="I1518" s="677">
        <v>100</v>
      </c>
      <c r="J1518" s="678">
        <f t="shared" si="484"/>
        <v>0</v>
      </c>
      <c r="K1518" s="675">
        <f t="shared" si="485"/>
        <v>0</v>
      </c>
      <c r="L1518" s="1079"/>
      <c r="M1518" s="574"/>
      <c r="N1518" s="686">
        <f t="shared" si="476"/>
        <v>129.02000000000001</v>
      </c>
      <c r="O1518" s="622">
        <v>0</v>
      </c>
      <c r="P1518" s="618">
        <v>129.02000000000001</v>
      </c>
      <c r="Q1518" s="574"/>
      <c r="R1518" s="574"/>
      <c r="S1518" s="574"/>
    </row>
    <row r="1519" spans="1:19" ht="21.3">
      <c r="A1519" s="665"/>
      <c r="B1519" s="617"/>
      <c r="C1519" s="623"/>
      <c r="D1519" s="617"/>
      <c r="E1519" s="618"/>
      <c r="F1519" s="674"/>
      <c r="G1519" s="675"/>
      <c r="H1519" s="676"/>
      <c r="I1519" s="677"/>
      <c r="J1519" s="678"/>
      <c r="K1519" s="675"/>
      <c r="L1519" s="1079"/>
      <c r="M1519" s="574"/>
      <c r="N1519" s="686"/>
      <c r="O1519" s="622">
        <v>0</v>
      </c>
      <c r="P1519" s="618"/>
      <c r="Q1519" s="574"/>
      <c r="R1519" s="574"/>
      <c r="S1519" s="574"/>
    </row>
    <row r="1520" spans="1:19" ht="21.3">
      <c r="A1520" s="665" t="s">
        <v>404</v>
      </c>
      <c r="B1520" s="1114" t="s">
        <v>405</v>
      </c>
      <c r="C1520" s="617"/>
      <c r="D1520" s="1124"/>
      <c r="E1520" s="637"/>
      <c r="F1520" s="625"/>
      <c r="G1520" s="641"/>
      <c r="H1520" s="685"/>
      <c r="I1520" s="642"/>
      <c r="J1520" s="571">
        <f t="shared" ref="J1520:J1537" si="487">I1520*E1520</f>
        <v>0</v>
      </c>
      <c r="K1520" s="1060">
        <f t="shared" si="477"/>
        <v>0</v>
      </c>
      <c r="L1520" s="1065"/>
      <c r="M1520" s="574"/>
      <c r="N1520" s="669">
        <f t="shared" si="476"/>
        <v>0</v>
      </c>
      <c r="O1520" s="636">
        <v>0</v>
      </c>
      <c r="P1520" s="637"/>
      <c r="Q1520" s="574"/>
      <c r="R1520" s="574"/>
      <c r="S1520" s="574"/>
    </row>
    <row r="1521" spans="1:19" s="682" customFormat="1" ht="24" customHeight="1">
      <c r="A1521" s="665"/>
      <c r="B1521" s="617" t="s">
        <v>360</v>
      </c>
      <c r="C1521" s="1137"/>
      <c r="D1521" s="1126"/>
      <c r="E1521" s="673"/>
      <c r="F1521" s="674" t="s">
        <v>361</v>
      </c>
      <c r="G1521" s="675">
        <v>190</v>
      </c>
      <c r="H1521" s="676">
        <f t="shared" ref="H1521:H1535" si="488">SUM(E1521*G1521)</f>
        <v>0</v>
      </c>
      <c r="I1521" s="677">
        <v>75</v>
      </c>
      <c r="J1521" s="678">
        <f t="shared" ref="J1521:J1535" si="489">SUM(E1521*I1521)</f>
        <v>0</v>
      </c>
      <c r="K1521" s="675">
        <f t="shared" ref="K1521:K1535" si="490">SUM(H1521+J1521)</f>
        <v>0</v>
      </c>
      <c r="L1521" s="1079"/>
      <c r="M1521" s="679"/>
      <c r="N1521" s="680">
        <f t="shared" si="476"/>
        <v>0</v>
      </c>
      <c r="O1521" s="681">
        <v>0</v>
      </c>
      <c r="P1521" s="673"/>
      <c r="Q1521" s="679"/>
      <c r="R1521" s="679"/>
      <c r="S1521" s="679"/>
    </row>
    <row r="1522" spans="1:19" ht="21.3">
      <c r="A1522" s="665"/>
      <c r="B1522" s="617" t="s">
        <v>362</v>
      </c>
      <c r="C1522" s="1137"/>
      <c r="D1522" s="1126"/>
      <c r="E1522" s="673">
        <v>6</v>
      </c>
      <c r="F1522" s="674" t="s">
        <v>363</v>
      </c>
      <c r="G1522" s="675">
        <v>347</v>
      </c>
      <c r="H1522" s="676">
        <f t="shared" si="488"/>
        <v>2082</v>
      </c>
      <c r="I1522" s="677">
        <v>75</v>
      </c>
      <c r="J1522" s="678">
        <f t="shared" si="489"/>
        <v>450</v>
      </c>
      <c r="K1522" s="675">
        <f t="shared" si="490"/>
        <v>2532</v>
      </c>
      <c r="L1522" s="1079"/>
      <c r="M1522" s="574"/>
      <c r="N1522" s="680">
        <f t="shared" si="476"/>
        <v>0</v>
      </c>
      <c r="O1522" s="681">
        <v>0</v>
      </c>
      <c r="P1522" s="673"/>
      <c r="Q1522" s="574"/>
      <c r="R1522" s="574"/>
      <c r="S1522" s="574"/>
    </row>
    <row r="1523" spans="1:19" ht="21.3">
      <c r="A1523" s="665"/>
      <c r="B1523" s="617" t="s">
        <v>364</v>
      </c>
      <c r="C1523" s="1137" t="s">
        <v>365</v>
      </c>
      <c r="D1523" s="1126"/>
      <c r="E1523" s="673">
        <f>+N1523</f>
        <v>215.2</v>
      </c>
      <c r="F1523" s="674" t="s">
        <v>34</v>
      </c>
      <c r="G1523" s="675">
        <v>169</v>
      </c>
      <c r="H1523" s="676">
        <f t="shared" si="488"/>
        <v>36368.799999999996</v>
      </c>
      <c r="I1523" s="677">
        <v>75</v>
      </c>
      <c r="J1523" s="678">
        <f t="shared" si="489"/>
        <v>16140</v>
      </c>
      <c r="K1523" s="675">
        <f t="shared" si="490"/>
        <v>52508.799999999996</v>
      </c>
      <c r="L1523" s="1079"/>
      <c r="M1523" s="574"/>
      <c r="N1523" s="680">
        <f t="shared" si="476"/>
        <v>215.2</v>
      </c>
      <c r="O1523" s="681">
        <v>0</v>
      </c>
      <c r="P1523" s="673">
        <v>215.2</v>
      </c>
      <c r="Q1523" s="574"/>
      <c r="R1523" s="574"/>
      <c r="S1523" s="574"/>
    </row>
    <row r="1524" spans="1:19" ht="21.3">
      <c r="A1524" s="665"/>
      <c r="B1524" s="617"/>
      <c r="C1524" s="1137" t="s">
        <v>366</v>
      </c>
      <c r="D1524" s="1126"/>
      <c r="E1524" s="673">
        <f t="shared" ref="E1524:E1534" si="491">+N1524</f>
        <v>215.2</v>
      </c>
      <c r="F1524" s="674" t="s">
        <v>34</v>
      </c>
      <c r="G1524" s="675">
        <v>69</v>
      </c>
      <c r="H1524" s="676">
        <f t="shared" si="488"/>
        <v>14848.8</v>
      </c>
      <c r="I1524" s="677">
        <v>28</v>
      </c>
      <c r="J1524" s="678">
        <f t="shared" si="489"/>
        <v>6025.5999999999995</v>
      </c>
      <c r="K1524" s="675">
        <f t="shared" si="490"/>
        <v>20874.399999999998</v>
      </c>
      <c r="L1524" s="1079"/>
      <c r="M1524" s="574"/>
      <c r="N1524" s="680">
        <f t="shared" si="476"/>
        <v>215.2</v>
      </c>
      <c r="O1524" s="681">
        <v>0</v>
      </c>
      <c r="P1524" s="673">
        <v>215.2</v>
      </c>
      <c r="Q1524" s="574"/>
      <c r="R1524" s="574"/>
      <c r="S1524" s="574"/>
    </row>
    <row r="1525" spans="1:19" ht="21.3">
      <c r="A1525" s="665"/>
      <c r="B1525" s="617" t="s">
        <v>367</v>
      </c>
      <c r="C1525" s="1125" t="s">
        <v>368</v>
      </c>
      <c r="D1525" s="1126"/>
      <c r="E1525" s="673">
        <v>181.72</v>
      </c>
      <c r="F1525" s="674" t="s">
        <v>34</v>
      </c>
      <c r="G1525" s="675">
        <v>192</v>
      </c>
      <c r="H1525" s="676">
        <f t="shared" si="488"/>
        <v>34890.239999999998</v>
      </c>
      <c r="I1525" s="677">
        <v>75</v>
      </c>
      <c r="J1525" s="678">
        <f t="shared" si="489"/>
        <v>13629</v>
      </c>
      <c r="K1525" s="675">
        <f t="shared" si="490"/>
        <v>48519.24</v>
      </c>
      <c r="L1525" s="1079"/>
      <c r="M1525" s="574"/>
      <c r="N1525" s="680">
        <f t="shared" si="476"/>
        <v>52.7</v>
      </c>
      <c r="O1525" s="681">
        <v>0</v>
      </c>
      <c r="P1525" s="673">
        <v>52.7</v>
      </c>
      <c r="Q1525" s="574"/>
      <c r="R1525" s="574"/>
      <c r="S1525" s="574"/>
    </row>
    <row r="1526" spans="1:19" ht="21.3">
      <c r="A1526" s="665"/>
      <c r="B1526" s="617"/>
      <c r="C1526" s="1125" t="s">
        <v>369</v>
      </c>
      <c r="D1526" s="1126"/>
      <c r="E1526" s="673">
        <v>181.72</v>
      </c>
      <c r="F1526" s="674" t="s">
        <v>34</v>
      </c>
      <c r="G1526" s="675">
        <v>69</v>
      </c>
      <c r="H1526" s="676">
        <f t="shared" si="488"/>
        <v>12538.68</v>
      </c>
      <c r="I1526" s="677">
        <v>28</v>
      </c>
      <c r="J1526" s="678">
        <f t="shared" si="489"/>
        <v>5088.16</v>
      </c>
      <c r="K1526" s="675">
        <f t="shared" si="490"/>
        <v>17626.84</v>
      </c>
      <c r="L1526" s="1079"/>
      <c r="M1526" s="574"/>
      <c r="N1526" s="680">
        <f t="shared" si="476"/>
        <v>52.7</v>
      </c>
      <c r="O1526" s="681">
        <v>0</v>
      </c>
      <c r="P1526" s="673">
        <v>52.7</v>
      </c>
      <c r="Q1526" s="574"/>
      <c r="R1526" s="574"/>
      <c r="S1526" s="574"/>
    </row>
    <row r="1527" spans="1:19" ht="21.3">
      <c r="A1527" s="665"/>
      <c r="B1527" s="617" t="s">
        <v>370</v>
      </c>
      <c r="C1527" s="1125" t="s">
        <v>371</v>
      </c>
      <c r="D1527" s="1126"/>
      <c r="E1527" s="673">
        <f t="shared" si="491"/>
        <v>0</v>
      </c>
      <c r="F1527" s="674" t="s">
        <v>34</v>
      </c>
      <c r="G1527" s="675">
        <v>650</v>
      </c>
      <c r="H1527" s="676">
        <f t="shared" si="488"/>
        <v>0</v>
      </c>
      <c r="I1527" s="677">
        <v>52</v>
      </c>
      <c r="J1527" s="678">
        <f t="shared" si="489"/>
        <v>0</v>
      </c>
      <c r="K1527" s="675">
        <f t="shared" si="490"/>
        <v>0</v>
      </c>
      <c r="L1527" s="1079"/>
      <c r="M1527" s="574"/>
      <c r="N1527" s="680">
        <f t="shared" si="476"/>
        <v>0</v>
      </c>
      <c r="O1527" s="681">
        <v>0</v>
      </c>
      <c r="P1527" s="673"/>
      <c r="Q1527" s="574"/>
      <c r="R1527" s="574"/>
      <c r="S1527" s="574"/>
    </row>
    <row r="1528" spans="1:19" ht="21.3">
      <c r="A1528" s="665"/>
      <c r="B1528" s="617" t="s">
        <v>372</v>
      </c>
      <c r="C1528" s="1125" t="s">
        <v>373</v>
      </c>
      <c r="D1528" s="1126"/>
      <c r="E1528" s="673">
        <f t="shared" si="491"/>
        <v>0</v>
      </c>
      <c r="F1528" s="674" t="s">
        <v>34</v>
      </c>
      <c r="G1528" s="675">
        <v>30</v>
      </c>
      <c r="H1528" s="676">
        <f t="shared" si="488"/>
        <v>0</v>
      </c>
      <c r="I1528" s="677">
        <v>50</v>
      </c>
      <c r="J1528" s="678">
        <f t="shared" si="489"/>
        <v>0</v>
      </c>
      <c r="K1528" s="675">
        <f t="shared" si="490"/>
        <v>0</v>
      </c>
      <c r="L1528" s="1079"/>
      <c r="M1528" s="574"/>
      <c r="N1528" s="680">
        <f t="shared" si="476"/>
        <v>0</v>
      </c>
      <c r="O1528" s="681">
        <v>0</v>
      </c>
      <c r="P1528" s="673"/>
      <c r="Q1528" s="574"/>
      <c r="R1528" s="574"/>
      <c r="S1528" s="574"/>
    </row>
    <row r="1529" spans="1:19" ht="21.3">
      <c r="A1529" s="665"/>
      <c r="B1529" s="617" t="s">
        <v>374</v>
      </c>
      <c r="C1529" s="1125" t="s">
        <v>386</v>
      </c>
      <c r="D1529" s="1126"/>
      <c r="E1529" s="673">
        <f t="shared" si="491"/>
        <v>134.26000000000002</v>
      </c>
      <c r="F1529" s="674" t="s">
        <v>34</v>
      </c>
      <c r="G1529" s="675">
        <v>30</v>
      </c>
      <c r="H1529" s="676">
        <f t="shared" si="488"/>
        <v>4027.8000000000006</v>
      </c>
      <c r="I1529" s="677">
        <v>50</v>
      </c>
      <c r="J1529" s="678">
        <f t="shared" si="489"/>
        <v>6713.0000000000009</v>
      </c>
      <c r="K1529" s="675">
        <f t="shared" si="490"/>
        <v>10740.800000000001</v>
      </c>
      <c r="L1529" s="1079"/>
      <c r="M1529" s="574"/>
      <c r="N1529" s="680">
        <f t="shared" si="476"/>
        <v>134.26000000000002</v>
      </c>
      <c r="O1529" s="681">
        <v>0</v>
      </c>
      <c r="P1529" s="673">
        <v>134.26000000000002</v>
      </c>
      <c r="Q1529" s="574"/>
      <c r="R1529" s="574"/>
      <c r="S1529" s="574"/>
    </row>
    <row r="1530" spans="1:19" ht="21.3">
      <c r="A1530" s="665"/>
      <c r="B1530" s="617"/>
      <c r="C1530" s="1125"/>
      <c r="D1530" s="1126"/>
      <c r="E1530" s="673"/>
      <c r="F1530" s="674"/>
      <c r="G1530" s="675"/>
      <c r="H1530" s="676"/>
      <c r="I1530" s="677"/>
      <c r="J1530" s="678"/>
      <c r="K1530" s="675"/>
      <c r="L1530" s="1079"/>
      <c r="M1530" s="574"/>
      <c r="N1530" s="680"/>
      <c r="O1530" s="681"/>
      <c r="P1530" s="673"/>
      <c r="Q1530" s="574"/>
      <c r="R1530" s="574"/>
      <c r="S1530" s="574"/>
    </row>
    <row r="1531" spans="1:19" ht="21.3">
      <c r="A1531" s="665"/>
      <c r="B1531" s="617" t="s">
        <v>376</v>
      </c>
      <c r="C1531" s="1125" t="s">
        <v>387</v>
      </c>
      <c r="D1531" s="1126"/>
      <c r="E1531" s="673">
        <f t="shared" si="491"/>
        <v>83.340000000000018</v>
      </c>
      <c r="F1531" s="674" t="s">
        <v>34</v>
      </c>
      <c r="G1531" s="675">
        <v>88</v>
      </c>
      <c r="H1531" s="676">
        <f t="shared" si="488"/>
        <v>7333.9200000000019</v>
      </c>
      <c r="I1531" s="677">
        <v>94</v>
      </c>
      <c r="J1531" s="678">
        <f t="shared" si="489"/>
        <v>7833.9600000000019</v>
      </c>
      <c r="K1531" s="675">
        <f t="shared" si="490"/>
        <v>15167.880000000005</v>
      </c>
      <c r="L1531" s="1079"/>
      <c r="M1531" s="574"/>
      <c r="N1531" s="680">
        <f t="shared" si="476"/>
        <v>83.340000000000018</v>
      </c>
      <c r="O1531" s="681">
        <v>0</v>
      </c>
      <c r="P1531" s="673">
        <v>83.340000000000018</v>
      </c>
      <c r="Q1531" s="574"/>
      <c r="R1531" s="574"/>
      <c r="S1531" s="574"/>
    </row>
    <row r="1532" spans="1:19" ht="21.3">
      <c r="A1532" s="665"/>
      <c r="B1532" s="617"/>
      <c r="C1532" s="1125" t="s">
        <v>302</v>
      </c>
      <c r="D1532" s="1126"/>
      <c r="E1532" s="673">
        <f t="shared" si="491"/>
        <v>83.340000000000018</v>
      </c>
      <c r="F1532" s="674" t="s">
        <v>34</v>
      </c>
      <c r="G1532" s="675">
        <v>69</v>
      </c>
      <c r="H1532" s="676">
        <f t="shared" si="488"/>
        <v>5750.4600000000009</v>
      </c>
      <c r="I1532" s="677">
        <v>28</v>
      </c>
      <c r="J1532" s="678">
        <f t="shared" si="489"/>
        <v>2333.5200000000004</v>
      </c>
      <c r="K1532" s="675">
        <f t="shared" si="490"/>
        <v>8083.9800000000014</v>
      </c>
      <c r="L1532" s="1079"/>
      <c r="M1532" s="632"/>
      <c r="N1532" s="680">
        <f t="shared" si="476"/>
        <v>83.340000000000018</v>
      </c>
      <c r="O1532" s="681">
        <v>0</v>
      </c>
      <c r="P1532" s="673">
        <v>83.340000000000018</v>
      </c>
      <c r="Q1532" s="632"/>
      <c r="R1532" s="632"/>
      <c r="S1532" s="632"/>
    </row>
    <row r="1533" spans="1:19" ht="21.3">
      <c r="A1533" s="665"/>
      <c r="B1533" s="617" t="s">
        <v>378</v>
      </c>
      <c r="C1533" s="1125" t="s">
        <v>379</v>
      </c>
      <c r="D1533" s="1126"/>
      <c r="E1533" s="673">
        <f t="shared" si="491"/>
        <v>0</v>
      </c>
      <c r="F1533" s="674" t="s">
        <v>34</v>
      </c>
      <c r="G1533" s="675">
        <v>1900</v>
      </c>
      <c r="H1533" s="676">
        <f t="shared" si="488"/>
        <v>0</v>
      </c>
      <c r="I1533" s="677">
        <v>450</v>
      </c>
      <c r="J1533" s="678">
        <f t="shared" si="489"/>
        <v>0</v>
      </c>
      <c r="K1533" s="675">
        <f t="shared" si="490"/>
        <v>0</v>
      </c>
      <c r="L1533" s="1079"/>
      <c r="M1533" s="574"/>
      <c r="N1533" s="680">
        <f t="shared" si="476"/>
        <v>0</v>
      </c>
      <c r="O1533" s="681">
        <v>0</v>
      </c>
      <c r="P1533" s="673"/>
      <c r="Q1533" s="574"/>
      <c r="R1533" s="574"/>
      <c r="S1533" s="574"/>
    </row>
    <row r="1534" spans="1:19" ht="21.3">
      <c r="A1534" s="665"/>
      <c r="B1534" s="617" t="s">
        <v>380</v>
      </c>
      <c r="C1534" s="1125" t="s">
        <v>381</v>
      </c>
      <c r="D1534" s="1126"/>
      <c r="E1534" s="673">
        <f t="shared" si="491"/>
        <v>0</v>
      </c>
      <c r="F1534" s="674" t="s">
        <v>34</v>
      </c>
      <c r="G1534" s="675">
        <v>1296</v>
      </c>
      <c r="H1534" s="676">
        <f t="shared" si="488"/>
        <v>0</v>
      </c>
      <c r="I1534" s="677">
        <v>1600</v>
      </c>
      <c r="J1534" s="678">
        <f t="shared" si="489"/>
        <v>0</v>
      </c>
      <c r="K1534" s="675">
        <f t="shared" si="490"/>
        <v>0</v>
      </c>
      <c r="L1534" s="1079"/>
      <c r="M1534" s="574"/>
      <c r="N1534" s="680">
        <f t="shared" si="476"/>
        <v>0</v>
      </c>
      <c r="O1534" s="681">
        <v>0</v>
      </c>
      <c r="P1534" s="673"/>
      <c r="Q1534" s="574"/>
      <c r="R1534" s="574"/>
      <c r="S1534" s="574"/>
    </row>
    <row r="1535" spans="1:19" ht="21.3">
      <c r="A1535" s="665"/>
      <c r="B1535" s="617" t="s">
        <v>600</v>
      </c>
      <c r="C1535" s="1127" t="s">
        <v>601</v>
      </c>
      <c r="D1535" s="1126"/>
      <c r="E1535" s="618"/>
      <c r="F1535" s="674" t="s">
        <v>34</v>
      </c>
      <c r="G1535" s="675">
        <v>325</v>
      </c>
      <c r="H1535" s="676">
        <f t="shared" si="488"/>
        <v>0</v>
      </c>
      <c r="I1535" s="677">
        <v>100</v>
      </c>
      <c r="J1535" s="678">
        <f t="shared" si="489"/>
        <v>0</v>
      </c>
      <c r="K1535" s="675">
        <f t="shared" si="490"/>
        <v>0</v>
      </c>
      <c r="L1535" s="1079"/>
      <c r="M1535" s="574"/>
      <c r="N1535" s="686">
        <f t="shared" si="476"/>
        <v>129.02000000000001</v>
      </c>
      <c r="O1535" s="622">
        <v>0</v>
      </c>
      <c r="P1535" s="618">
        <v>129.02000000000001</v>
      </c>
      <c r="Q1535" s="574"/>
      <c r="R1535" s="574"/>
      <c r="S1535" s="574"/>
    </row>
    <row r="1536" spans="1:19" ht="21.3">
      <c r="A1536" s="665"/>
      <c r="B1536" s="617"/>
      <c r="C1536" s="617"/>
      <c r="D1536" s="617"/>
      <c r="E1536" s="673"/>
      <c r="F1536" s="674"/>
      <c r="G1536" s="675"/>
      <c r="H1536" s="676"/>
      <c r="I1536" s="677"/>
      <c r="J1536" s="678"/>
      <c r="K1536" s="675"/>
      <c r="L1536" s="1079"/>
      <c r="M1536" s="574"/>
      <c r="N1536" s="680">
        <f t="shared" si="476"/>
        <v>0</v>
      </c>
      <c r="O1536" s="681">
        <v>0</v>
      </c>
      <c r="P1536" s="673"/>
      <c r="Q1536" s="574"/>
      <c r="R1536" s="574"/>
      <c r="S1536" s="574"/>
    </row>
    <row r="1537" spans="1:19" ht="21.3">
      <c r="A1537" s="665" t="s">
        <v>406</v>
      </c>
      <c r="B1537" s="1114" t="s">
        <v>407</v>
      </c>
      <c r="C1537" s="617"/>
      <c r="D1537" s="1124"/>
      <c r="E1537" s="637"/>
      <c r="F1537" s="625"/>
      <c r="G1537" s="641"/>
      <c r="H1537" s="685"/>
      <c r="I1537" s="642"/>
      <c r="J1537" s="571">
        <f t="shared" si="487"/>
        <v>0</v>
      </c>
      <c r="K1537" s="1060">
        <f t="shared" si="477"/>
        <v>0</v>
      </c>
      <c r="L1537" s="1065"/>
      <c r="M1537" s="574"/>
      <c r="N1537" s="669">
        <f t="shared" si="476"/>
        <v>0</v>
      </c>
      <c r="O1537" s="636">
        <v>0</v>
      </c>
      <c r="P1537" s="637"/>
      <c r="Q1537" s="574"/>
      <c r="R1537" s="574"/>
      <c r="S1537" s="574"/>
    </row>
    <row r="1538" spans="1:19" s="682" customFormat="1" ht="24" customHeight="1">
      <c r="A1538" s="665"/>
      <c r="B1538" s="617" t="s">
        <v>360</v>
      </c>
      <c r="C1538" s="1137"/>
      <c r="D1538" s="1126"/>
      <c r="E1538" s="673"/>
      <c r="F1538" s="674" t="s">
        <v>361</v>
      </c>
      <c r="G1538" s="675">
        <v>190</v>
      </c>
      <c r="H1538" s="676">
        <f t="shared" ref="H1538:H1551" si="492">SUM(E1538*G1538)</f>
        <v>0</v>
      </c>
      <c r="I1538" s="677">
        <v>75</v>
      </c>
      <c r="J1538" s="678">
        <f t="shared" ref="J1538:J1551" si="493">SUM(E1538*I1538)</f>
        <v>0</v>
      </c>
      <c r="K1538" s="675">
        <f t="shared" ref="K1538:K1551" si="494">SUM(H1538+J1538)</f>
        <v>0</v>
      </c>
      <c r="L1538" s="1079"/>
      <c r="M1538" s="679"/>
      <c r="N1538" s="680">
        <f t="shared" si="476"/>
        <v>0</v>
      </c>
      <c r="O1538" s="681">
        <v>0</v>
      </c>
      <c r="P1538" s="673"/>
      <c r="Q1538" s="679"/>
      <c r="R1538" s="679"/>
      <c r="S1538" s="679"/>
    </row>
    <row r="1539" spans="1:19" ht="21.3">
      <c r="A1539" s="665"/>
      <c r="B1539" s="617" t="s">
        <v>362</v>
      </c>
      <c r="C1539" s="1137"/>
      <c r="D1539" s="1126"/>
      <c r="E1539" s="673">
        <v>6</v>
      </c>
      <c r="F1539" s="674" t="s">
        <v>363</v>
      </c>
      <c r="G1539" s="675">
        <v>347</v>
      </c>
      <c r="H1539" s="676">
        <f t="shared" si="492"/>
        <v>2082</v>
      </c>
      <c r="I1539" s="677">
        <v>75</v>
      </c>
      <c r="J1539" s="678">
        <f t="shared" si="493"/>
        <v>450</v>
      </c>
      <c r="K1539" s="675">
        <f t="shared" si="494"/>
        <v>2532</v>
      </c>
      <c r="L1539" s="1079"/>
      <c r="M1539" s="574"/>
      <c r="N1539" s="680">
        <f t="shared" si="476"/>
        <v>0</v>
      </c>
      <c r="O1539" s="681">
        <v>0</v>
      </c>
      <c r="P1539" s="673"/>
      <c r="Q1539" s="574"/>
      <c r="R1539" s="574"/>
      <c r="S1539" s="574"/>
    </row>
    <row r="1540" spans="1:19" ht="21.3">
      <c r="A1540" s="665"/>
      <c r="B1540" s="617" t="s">
        <v>364</v>
      </c>
      <c r="C1540" s="1137" t="s">
        <v>365</v>
      </c>
      <c r="D1540" s="1126"/>
      <c r="E1540" s="673">
        <f>+N1540</f>
        <v>215.2</v>
      </c>
      <c r="F1540" s="674" t="s">
        <v>34</v>
      </c>
      <c r="G1540" s="675">
        <v>169</v>
      </c>
      <c r="H1540" s="676">
        <f t="shared" si="492"/>
        <v>36368.799999999996</v>
      </c>
      <c r="I1540" s="677">
        <v>75</v>
      </c>
      <c r="J1540" s="678">
        <f t="shared" si="493"/>
        <v>16140</v>
      </c>
      <c r="K1540" s="675">
        <f t="shared" si="494"/>
        <v>52508.799999999996</v>
      </c>
      <c r="L1540" s="1079"/>
      <c r="M1540" s="574"/>
      <c r="N1540" s="680">
        <f t="shared" si="476"/>
        <v>215.2</v>
      </c>
      <c r="O1540" s="681">
        <v>0</v>
      </c>
      <c r="P1540" s="673">
        <v>215.2</v>
      </c>
      <c r="Q1540" s="574"/>
      <c r="R1540" s="574"/>
      <c r="S1540" s="574"/>
    </row>
    <row r="1541" spans="1:19" ht="21.3">
      <c r="A1541" s="665"/>
      <c r="B1541" s="617"/>
      <c r="C1541" s="1137" t="s">
        <v>366</v>
      </c>
      <c r="D1541" s="1126"/>
      <c r="E1541" s="673">
        <f t="shared" ref="E1541:E1550" si="495">+N1541</f>
        <v>215.2</v>
      </c>
      <c r="F1541" s="674" t="s">
        <v>34</v>
      </c>
      <c r="G1541" s="675">
        <v>69</v>
      </c>
      <c r="H1541" s="676">
        <f t="shared" si="492"/>
        <v>14848.8</v>
      </c>
      <c r="I1541" s="677">
        <v>28</v>
      </c>
      <c r="J1541" s="678">
        <f t="shared" si="493"/>
        <v>6025.5999999999995</v>
      </c>
      <c r="K1541" s="675">
        <f t="shared" si="494"/>
        <v>20874.399999999998</v>
      </c>
      <c r="L1541" s="1079"/>
      <c r="M1541" s="574"/>
      <c r="N1541" s="680">
        <f t="shared" si="476"/>
        <v>215.2</v>
      </c>
      <c r="O1541" s="681">
        <v>0</v>
      </c>
      <c r="P1541" s="673">
        <v>215.2</v>
      </c>
      <c r="Q1541" s="574"/>
      <c r="R1541" s="574"/>
      <c r="S1541" s="574"/>
    </row>
    <row r="1542" spans="1:19" ht="21.3">
      <c r="A1542" s="665"/>
      <c r="B1542" s="617" t="s">
        <v>367</v>
      </c>
      <c r="C1542" s="1125" t="s">
        <v>368</v>
      </c>
      <c r="D1542" s="1126"/>
      <c r="E1542" s="673">
        <v>129.02000000000001</v>
      </c>
      <c r="F1542" s="674" t="s">
        <v>34</v>
      </c>
      <c r="G1542" s="675">
        <v>192</v>
      </c>
      <c r="H1542" s="676">
        <f t="shared" si="492"/>
        <v>24771.840000000004</v>
      </c>
      <c r="I1542" s="677">
        <v>75</v>
      </c>
      <c r="J1542" s="678">
        <f t="shared" si="493"/>
        <v>9676.5</v>
      </c>
      <c r="K1542" s="675">
        <f t="shared" si="494"/>
        <v>34448.340000000004</v>
      </c>
      <c r="L1542" s="1079"/>
      <c r="M1542" s="574"/>
      <c r="N1542" s="680">
        <f t="shared" si="476"/>
        <v>0</v>
      </c>
      <c r="O1542" s="681">
        <v>0</v>
      </c>
      <c r="P1542" s="673">
        <v>0</v>
      </c>
      <c r="Q1542" s="574"/>
      <c r="R1542" s="574"/>
      <c r="S1542" s="574"/>
    </row>
    <row r="1543" spans="1:19" ht="21.3">
      <c r="A1543" s="665"/>
      <c r="B1543" s="617"/>
      <c r="C1543" s="1125" t="s">
        <v>369</v>
      </c>
      <c r="D1543" s="1126"/>
      <c r="E1543" s="673">
        <v>129.02000000000001</v>
      </c>
      <c r="F1543" s="674" t="s">
        <v>34</v>
      </c>
      <c r="G1543" s="675">
        <v>69</v>
      </c>
      <c r="H1543" s="676">
        <f t="shared" si="492"/>
        <v>8902.380000000001</v>
      </c>
      <c r="I1543" s="677">
        <v>28</v>
      </c>
      <c r="J1543" s="678">
        <f t="shared" si="493"/>
        <v>3612.5600000000004</v>
      </c>
      <c r="K1543" s="675">
        <f t="shared" si="494"/>
        <v>12514.940000000002</v>
      </c>
      <c r="L1543" s="1079"/>
      <c r="M1543" s="574"/>
      <c r="N1543" s="680">
        <f t="shared" si="476"/>
        <v>0</v>
      </c>
      <c r="O1543" s="681">
        <v>0</v>
      </c>
      <c r="P1543" s="673">
        <v>0</v>
      </c>
      <c r="Q1543" s="574"/>
      <c r="R1543" s="574"/>
      <c r="S1543" s="574"/>
    </row>
    <row r="1544" spans="1:19" ht="21.3">
      <c r="A1544" s="665"/>
      <c r="B1544" s="617" t="s">
        <v>370</v>
      </c>
      <c r="C1544" s="1125" t="s">
        <v>371</v>
      </c>
      <c r="D1544" s="1126"/>
      <c r="E1544" s="673">
        <f t="shared" si="495"/>
        <v>0</v>
      </c>
      <c r="F1544" s="674" t="s">
        <v>34</v>
      </c>
      <c r="G1544" s="675">
        <v>650</v>
      </c>
      <c r="H1544" s="676">
        <f t="shared" si="492"/>
        <v>0</v>
      </c>
      <c r="I1544" s="677">
        <v>52</v>
      </c>
      <c r="J1544" s="678">
        <f t="shared" si="493"/>
        <v>0</v>
      </c>
      <c r="K1544" s="675">
        <f t="shared" si="494"/>
        <v>0</v>
      </c>
      <c r="L1544" s="1079"/>
      <c r="M1544" s="574"/>
      <c r="N1544" s="680">
        <f t="shared" si="476"/>
        <v>0</v>
      </c>
      <c r="O1544" s="681">
        <v>0</v>
      </c>
      <c r="P1544" s="673"/>
      <c r="Q1544" s="574"/>
      <c r="R1544" s="574"/>
      <c r="S1544" s="574"/>
    </row>
    <row r="1545" spans="1:19" ht="21.3">
      <c r="A1545" s="665"/>
      <c r="B1545" s="617" t="s">
        <v>372</v>
      </c>
      <c r="C1545" s="1125" t="s">
        <v>373</v>
      </c>
      <c r="D1545" s="1126"/>
      <c r="E1545" s="673">
        <f t="shared" si="495"/>
        <v>0</v>
      </c>
      <c r="F1545" s="674" t="s">
        <v>34</v>
      </c>
      <c r="G1545" s="675">
        <v>30</v>
      </c>
      <c r="H1545" s="676">
        <f t="shared" si="492"/>
        <v>0</v>
      </c>
      <c r="I1545" s="677">
        <v>50</v>
      </c>
      <c r="J1545" s="678">
        <f t="shared" si="493"/>
        <v>0</v>
      </c>
      <c r="K1545" s="675">
        <f t="shared" si="494"/>
        <v>0</v>
      </c>
      <c r="L1545" s="1079"/>
      <c r="M1545" s="574"/>
      <c r="N1545" s="680">
        <f t="shared" si="476"/>
        <v>0</v>
      </c>
      <c r="O1545" s="681">
        <v>0</v>
      </c>
      <c r="P1545" s="673"/>
      <c r="Q1545" s="574"/>
      <c r="R1545" s="574"/>
      <c r="S1545" s="574"/>
    </row>
    <row r="1546" spans="1:19" ht="21.3">
      <c r="A1546" s="665"/>
      <c r="B1546" s="617" t="s">
        <v>374</v>
      </c>
      <c r="C1546" s="1125" t="s">
        <v>386</v>
      </c>
      <c r="D1546" s="1126"/>
      <c r="E1546" s="673">
        <f t="shared" si="495"/>
        <v>134.26000000000002</v>
      </c>
      <c r="F1546" s="674" t="s">
        <v>34</v>
      </c>
      <c r="G1546" s="675">
        <v>30</v>
      </c>
      <c r="H1546" s="676">
        <f t="shared" si="492"/>
        <v>4027.8000000000006</v>
      </c>
      <c r="I1546" s="677">
        <v>50</v>
      </c>
      <c r="J1546" s="678">
        <f t="shared" si="493"/>
        <v>6713.0000000000009</v>
      </c>
      <c r="K1546" s="675">
        <f t="shared" si="494"/>
        <v>10740.800000000001</v>
      </c>
      <c r="L1546" s="1079"/>
      <c r="M1546" s="574"/>
      <c r="N1546" s="680">
        <f t="shared" si="476"/>
        <v>134.26000000000002</v>
      </c>
      <c r="O1546" s="681">
        <v>0</v>
      </c>
      <c r="P1546" s="673">
        <v>134.26000000000002</v>
      </c>
      <c r="Q1546" s="574"/>
      <c r="R1546" s="574"/>
      <c r="S1546" s="574"/>
    </row>
    <row r="1547" spans="1:19" ht="21.3">
      <c r="A1547" s="665"/>
      <c r="B1547" s="617" t="s">
        <v>376</v>
      </c>
      <c r="C1547" s="1125" t="s">
        <v>387</v>
      </c>
      <c r="D1547" s="1126"/>
      <c r="E1547" s="673">
        <f t="shared" si="495"/>
        <v>83.340000000000018</v>
      </c>
      <c r="F1547" s="674" t="s">
        <v>34</v>
      </c>
      <c r="G1547" s="675">
        <v>88</v>
      </c>
      <c r="H1547" s="676">
        <f t="shared" si="492"/>
        <v>7333.9200000000019</v>
      </c>
      <c r="I1547" s="677">
        <v>94</v>
      </c>
      <c r="J1547" s="678">
        <f t="shared" si="493"/>
        <v>7833.9600000000019</v>
      </c>
      <c r="K1547" s="675">
        <f t="shared" si="494"/>
        <v>15167.880000000005</v>
      </c>
      <c r="L1547" s="1079"/>
      <c r="M1547" s="574"/>
      <c r="N1547" s="680">
        <f t="shared" si="476"/>
        <v>83.340000000000018</v>
      </c>
      <c r="O1547" s="681">
        <v>0</v>
      </c>
      <c r="P1547" s="673">
        <v>83.340000000000018</v>
      </c>
      <c r="Q1547" s="574"/>
      <c r="R1547" s="574"/>
      <c r="S1547" s="574"/>
    </row>
    <row r="1548" spans="1:19" ht="21.3">
      <c r="A1548" s="665"/>
      <c r="B1548" s="617"/>
      <c r="C1548" s="1125" t="s">
        <v>302</v>
      </c>
      <c r="D1548" s="1126"/>
      <c r="E1548" s="673">
        <f t="shared" si="495"/>
        <v>83.340000000000018</v>
      </c>
      <c r="F1548" s="674" t="s">
        <v>34</v>
      </c>
      <c r="G1548" s="675">
        <v>69</v>
      </c>
      <c r="H1548" s="676">
        <f t="shared" si="492"/>
        <v>5750.4600000000009</v>
      </c>
      <c r="I1548" s="677">
        <v>28</v>
      </c>
      <c r="J1548" s="678">
        <f t="shared" si="493"/>
        <v>2333.5200000000004</v>
      </c>
      <c r="K1548" s="675">
        <f t="shared" si="494"/>
        <v>8083.9800000000014</v>
      </c>
      <c r="L1548" s="1079"/>
      <c r="M1548" s="632"/>
      <c r="N1548" s="680">
        <f t="shared" ref="N1548:N1568" si="496">+(1+O1548)*P1548</f>
        <v>83.340000000000018</v>
      </c>
      <c r="O1548" s="681">
        <v>0</v>
      </c>
      <c r="P1548" s="673">
        <v>83.340000000000018</v>
      </c>
      <c r="Q1548" s="632"/>
      <c r="R1548" s="632"/>
      <c r="S1548" s="632"/>
    </row>
    <row r="1549" spans="1:19" ht="21.3">
      <c r="A1549" s="665"/>
      <c r="B1549" s="617" t="s">
        <v>378</v>
      </c>
      <c r="C1549" s="1125" t="s">
        <v>379</v>
      </c>
      <c r="D1549" s="1126"/>
      <c r="E1549" s="673">
        <f t="shared" si="495"/>
        <v>0</v>
      </c>
      <c r="F1549" s="674" t="s">
        <v>34</v>
      </c>
      <c r="G1549" s="675">
        <v>1900</v>
      </c>
      <c r="H1549" s="676">
        <f t="shared" si="492"/>
        <v>0</v>
      </c>
      <c r="I1549" s="677">
        <v>450</v>
      </c>
      <c r="J1549" s="678">
        <f t="shared" si="493"/>
        <v>0</v>
      </c>
      <c r="K1549" s="675">
        <f t="shared" si="494"/>
        <v>0</v>
      </c>
      <c r="L1549" s="1079"/>
      <c r="M1549" s="574"/>
      <c r="N1549" s="680">
        <f t="shared" si="496"/>
        <v>0</v>
      </c>
      <c r="O1549" s="681">
        <v>0</v>
      </c>
      <c r="P1549" s="673"/>
      <c r="Q1549" s="574"/>
      <c r="R1549" s="574"/>
      <c r="S1549" s="574"/>
    </row>
    <row r="1550" spans="1:19" ht="21.3">
      <c r="A1550" s="665"/>
      <c r="B1550" s="617" t="s">
        <v>380</v>
      </c>
      <c r="C1550" s="1125" t="s">
        <v>381</v>
      </c>
      <c r="D1550" s="1126"/>
      <c r="E1550" s="673">
        <f t="shared" si="495"/>
        <v>0</v>
      </c>
      <c r="F1550" s="674" t="s">
        <v>34</v>
      </c>
      <c r="G1550" s="675">
        <v>1296</v>
      </c>
      <c r="H1550" s="676">
        <f t="shared" si="492"/>
        <v>0</v>
      </c>
      <c r="I1550" s="677">
        <v>1600</v>
      </c>
      <c r="J1550" s="678">
        <f t="shared" si="493"/>
        <v>0</v>
      </c>
      <c r="K1550" s="675">
        <f t="shared" si="494"/>
        <v>0</v>
      </c>
      <c r="L1550" s="1079"/>
      <c r="M1550" s="574"/>
      <c r="N1550" s="680">
        <f t="shared" si="496"/>
        <v>0</v>
      </c>
      <c r="O1550" s="681">
        <v>0</v>
      </c>
      <c r="P1550" s="673"/>
      <c r="Q1550" s="574"/>
      <c r="R1550" s="574"/>
      <c r="S1550" s="574"/>
    </row>
    <row r="1551" spans="1:19" ht="21.3">
      <c r="A1551" s="665"/>
      <c r="B1551" s="617" t="s">
        <v>600</v>
      </c>
      <c r="C1551" s="1127" t="s">
        <v>601</v>
      </c>
      <c r="D1551" s="1126"/>
      <c r="E1551" s="618"/>
      <c r="F1551" s="674" t="s">
        <v>34</v>
      </c>
      <c r="G1551" s="675">
        <v>325</v>
      </c>
      <c r="H1551" s="676">
        <f t="shared" si="492"/>
        <v>0</v>
      </c>
      <c r="I1551" s="677">
        <v>100</v>
      </c>
      <c r="J1551" s="678">
        <f t="shared" si="493"/>
        <v>0</v>
      </c>
      <c r="K1551" s="675">
        <f t="shared" si="494"/>
        <v>0</v>
      </c>
      <c r="L1551" s="1079"/>
      <c r="M1551" s="574"/>
      <c r="N1551" s="686">
        <f t="shared" si="496"/>
        <v>129.02000000000001</v>
      </c>
      <c r="O1551" s="622">
        <v>0</v>
      </c>
      <c r="P1551" s="618">
        <v>129.02000000000001</v>
      </c>
      <c r="Q1551" s="574"/>
      <c r="R1551" s="574"/>
      <c r="S1551" s="574"/>
    </row>
    <row r="1552" spans="1:19" ht="21.3">
      <c r="A1552" s="665"/>
      <c r="B1552" s="617"/>
      <c r="C1552" s="623"/>
      <c r="D1552" s="617"/>
      <c r="E1552" s="618"/>
      <c r="F1552" s="674"/>
      <c r="G1552" s="675"/>
      <c r="H1552" s="676"/>
      <c r="I1552" s="677"/>
      <c r="J1552" s="678"/>
      <c r="K1552" s="675"/>
      <c r="L1552" s="1079"/>
      <c r="M1552" s="574"/>
      <c r="N1552" s="686"/>
      <c r="O1552" s="622">
        <v>0</v>
      </c>
      <c r="P1552" s="618"/>
      <c r="Q1552" s="574"/>
      <c r="R1552" s="574"/>
      <c r="S1552" s="574"/>
    </row>
    <row r="1553" spans="1:19" ht="21.3">
      <c r="A1553" s="665" t="s">
        <v>406</v>
      </c>
      <c r="B1553" s="1114" t="s">
        <v>408</v>
      </c>
      <c r="C1553" s="617"/>
      <c r="D1553" s="1124"/>
      <c r="E1553" s="637"/>
      <c r="F1553" s="625"/>
      <c r="G1553" s="641"/>
      <c r="H1553" s="685"/>
      <c r="I1553" s="642"/>
      <c r="J1553" s="571">
        <f t="shared" ref="J1553" si="497">I1553*E1553</f>
        <v>0</v>
      </c>
      <c r="K1553" s="1060">
        <f t="shared" ref="K1553" si="498">H1553+J1553</f>
        <v>0</v>
      </c>
      <c r="L1553" s="1065"/>
      <c r="M1553" s="574"/>
      <c r="N1553" s="669">
        <f t="shared" si="496"/>
        <v>0</v>
      </c>
      <c r="O1553" s="636">
        <v>0</v>
      </c>
      <c r="P1553" s="637"/>
      <c r="Q1553" s="574"/>
      <c r="R1553" s="574"/>
      <c r="S1553" s="574"/>
    </row>
    <row r="1554" spans="1:19" s="682" customFormat="1" ht="24" customHeight="1">
      <c r="A1554" s="665"/>
      <c r="B1554" s="617" t="s">
        <v>360</v>
      </c>
      <c r="C1554" s="1137"/>
      <c r="D1554" s="1126"/>
      <c r="E1554" s="673"/>
      <c r="F1554" s="674" t="s">
        <v>361</v>
      </c>
      <c r="G1554" s="675">
        <v>190</v>
      </c>
      <c r="H1554" s="676">
        <f t="shared" ref="H1554:H1566" si="499">SUM(E1554*G1554)</f>
        <v>0</v>
      </c>
      <c r="I1554" s="677">
        <v>75</v>
      </c>
      <c r="J1554" s="678">
        <f t="shared" ref="J1554:J1566" si="500">SUM(E1554*I1554)</f>
        <v>0</v>
      </c>
      <c r="K1554" s="675">
        <f t="shared" ref="K1554:K1566" si="501">SUM(H1554+J1554)</f>
        <v>0</v>
      </c>
      <c r="L1554" s="1079"/>
      <c r="M1554" s="679"/>
      <c r="N1554" s="680">
        <f t="shared" si="496"/>
        <v>0</v>
      </c>
      <c r="O1554" s="681">
        <v>0</v>
      </c>
      <c r="P1554" s="673"/>
      <c r="Q1554" s="679"/>
      <c r="R1554" s="679"/>
      <c r="S1554" s="679"/>
    </row>
    <row r="1555" spans="1:19" ht="21.3">
      <c r="A1555" s="665"/>
      <c r="B1555" s="617" t="s">
        <v>362</v>
      </c>
      <c r="C1555" s="1137"/>
      <c r="D1555" s="1126"/>
      <c r="E1555" s="673"/>
      <c r="F1555" s="674" t="s">
        <v>363</v>
      </c>
      <c r="G1555" s="675">
        <v>347</v>
      </c>
      <c r="H1555" s="676">
        <f t="shared" si="499"/>
        <v>0</v>
      </c>
      <c r="I1555" s="677">
        <v>75</v>
      </c>
      <c r="J1555" s="678">
        <f t="shared" si="500"/>
        <v>0</v>
      </c>
      <c r="K1555" s="675">
        <f t="shared" si="501"/>
        <v>0</v>
      </c>
      <c r="L1555" s="1079"/>
      <c r="M1555" s="574"/>
      <c r="N1555" s="680">
        <f t="shared" si="496"/>
        <v>0</v>
      </c>
      <c r="O1555" s="681">
        <v>0</v>
      </c>
      <c r="P1555" s="673"/>
      <c r="Q1555" s="574"/>
      <c r="R1555" s="574"/>
      <c r="S1555" s="574"/>
    </row>
    <row r="1556" spans="1:19" ht="21.3">
      <c r="A1556" s="665"/>
      <c r="B1556" s="617" t="s">
        <v>364</v>
      </c>
      <c r="C1556" s="1137" t="s">
        <v>365</v>
      </c>
      <c r="D1556" s="1126"/>
      <c r="E1556" s="673">
        <f>+N1556</f>
        <v>0</v>
      </c>
      <c r="F1556" s="674" t="s">
        <v>34</v>
      </c>
      <c r="G1556" s="675">
        <v>169</v>
      </c>
      <c r="H1556" s="676">
        <f t="shared" si="499"/>
        <v>0</v>
      </c>
      <c r="I1556" s="677">
        <v>75</v>
      </c>
      <c r="J1556" s="678">
        <f t="shared" si="500"/>
        <v>0</v>
      </c>
      <c r="K1556" s="675">
        <f t="shared" si="501"/>
        <v>0</v>
      </c>
      <c r="L1556" s="1079"/>
      <c r="M1556" s="574"/>
      <c r="N1556" s="680">
        <f t="shared" si="496"/>
        <v>0</v>
      </c>
      <c r="O1556" s="681">
        <v>0</v>
      </c>
      <c r="P1556" s="673"/>
      <c r="Q1556" s="574"/>
      <c r="R1556" s="574"/>
      <c r="S1556" s="574"/>
    </row>
    <row r="1557" spans="1:19" ht="21.3">
      <c r="A1557" s="665"/>
      <c r="B1557" s="617"/>
      <c r="C1557" s="1137" t="s">
        <v>366</v>
      </c>
      <c r="D1557" s="1126"/>
      <c r="E1557" s="673">
        <f t="shared" ref="E1557:E1566" si="502">+N1557</f>
        <v>0</v>
      </c>
      <c r="F1557" s="674" t="s">
        <v>34</v>
      </c>
      <c r="G1557" s="675">
        <v>69</v>
      </c>
      <c r="H1557" s="676">
        <f t="shared" si="499"/>
        <v>0</v>
      </c>
      <c r="I1557" s="677">
        <v>28</v>
      </c>
      <c r="J1557" s="678">
        <f t="shared" si="500"/>
        <v>0</v>
      </c>
      <c r="K1557" s="675">
        <f t="shared" si="501"/>
        <v>0</v>
      </c>
      <c r="L1557" s="1079"/>
      <c r="M1557" s="574"/>
      <c r="N1557" s="680">
        <f t="shared" si="496"/>
        <v>0</v>
      </c>
      <c r="O1557" s="681">
        <v>0</v>
      </c>
      <c r="P1557" s="673"/>
      <c r="Q1557" s="574"/>
      <c r="R1557" s="574"/>
      <c r="S1557" s="574"/>
    </row>
    <row r="1558" spans="1:19" ht="21.3">
      <c r="A1558" s="665"/>
      <c r="B1558" s="617" t="s">
        <v>367</v>
      </c>
      <c r="C1558" s="1125" t="s">
        <v>368</v>
      </c>
      <c r="D1558" s="1126"/>
      <c r="E1558" s="673">
        <f t="shared" si="502"/>
        <v>0</v>
      </c>
      <c r="F1558" s="674" t="s">
        <v>34</v>
      </c>
      <c r="G1558" s="675">
        <v>192</v>
      </c>
      <c r="H1558" s="676">
        <f t="shared" si="499"/>
        <v>0</v>
      </c>
      <c r="I1558" s="677">
        <v>75</v>
      </c>
      <c r="J1558" s="678">
        <f t="shared" si="500"/>
        <v>0</v>
      </c>
      <c r="K1558" s="675">
        <f t="shared" si="501"/>
        <v>0</v>
      </c>
      <c r="L1558" s="1079"/>
      <c r="M1558" s="574"/>
      <c r="N1558" s="680">
        <f t="shared" si="496"/>
        <v>0</v>
      </c>
      <c r="O1558" s="681">
        <v>0</v>
      </c>
      <c r="P1558" s="673"/>
      <c r="Q1558" s="574"/>
      <c r="R1558" s="574"/>
      <c r="S1558" s="574"/>
    </row>
    <row r="1559" spans="1:19" ht="21.3">
      <c r="A1559" s="665"/>
      <c r="B1559" s="617"/>
      <c r="C1559" s="1125" t="s">
        <v>369</v>
      </c>
      <c r="D1559" s="1126"/>
      <c r="E1559" s="673">
        <f t="shared" si="502"/>
        <v>0</v>
      </c>
      <c r="F1559" s="674" t="s">
        <v>34</v>
      </c>
      <c r="G1559" s="675">
        <v>69</v>
      </c>
      <c r="H1559" s="676">
        <f t="shared" si="499"/>
        <v>0</v>
      </c>
      <c r="I1559" s="677">
        <v>28</v>
      </c>
      <c r="J1559" s="678">
        <f t="shared" si="500"/>
        <v>0</v>
      </c>
      <c r="K1559" s="675">
        <f t="shared" si="501"/>
        <v>0</v>
      </c>
      <c r="L1559" s="1079"/>
      <c r="M1559" s="574"/>
      <c r="N1559" s="680">
        <f t="shared" si="496"/>
        <v>0</v>
      </c>
      <c r="O1559" s="681">
        <v>0</v>
      </c>
      <c r="P1559" s="673"/>
      <c r="Q1559" s="574"/>
      <c r="R1559" s="574"/>
      <c r="S1559" s="574"/>
    </row>
    <row r="1560" spans="1:19" ht="21.3">
      <c r="A1560" s="665"/>
      <c r="B1560" s="617" t="s">
        <v>370</v>
      </c>
      <c r="C1560" s="1125" t="s">
        <v>371</v>
      </c>
      <c r="D1560" s="1126"/>
      <c r="E1560" s="673">
        <f t="shared" si="502"/>
        <v>0</v>
      </c>
      <c r="F1560" s="674" t="s">
        <v>34</v>
      </c>
      <c r="G1560" s="675">
        <v>650</v>
      </c>
      <c r="H1560" s="676">
        <f t="shared" si="499"/>
        <v>0</v>
      </c>
      <c r="I1560" s="677">
        <v>52</v>
      </c>
      <c r="J1560" s="678">
        <f t="shared" si="500"/>
        <v>0</v>
      </c>
      <c r="K1560" s="675">
        <f t="shared" si="501"/>
        <v>0</v>
      </c>
      <c r="L1560" s="1079"/>
      <c r="M1560" s="574"/>
      <c r="N1560" s="680">
        <f t="shared" si="496"/>
        <v>0</v>
      </c>
      <c r="O1560" s="681">
        <v>0</v>
      </c>
      <c r="P1560" s="673"/>
      <c r="Q1560" s="574"/>
      <c r="R1560" s="574"/>
      <c r="S1560" s="574"/>
    </row>
    <row r="1561" spans="1:19" ht="21.3">
      <c r="A1561" s="665"/>
      <c r="B1561" s="617" t="s">
        <v>372</v>
      </c>
      <c r="C1561" s="1125" t="s">
        <v>373</v>
      </c>
      <c r="D1561" s="1126"/>
      <c r="E1561" s="673">
        <f t="shared" si="502"/>
        <v>0</v>
      </c>
      <c r="F1561" s="674" t="s">
        <v>34</v>
      </c>
      <c r="G1561" s="675">
        <v>30</v>
      </c>
      <c r="H1561" s="676">
        <f t="shared" si="499"/>
        <v>0</v>
      </c>
      <c r="I1561" s="677">
        <v>50</v>
      </c>
      <c r="J1561" s="678">
        <f t="shared" si="500"/>
        <v>0</v>
      </c>
      <c r="K1561" s="675">
        <f t="shared" si="501"/>
        <v>0</v>
      </c>
      <c r="L1561" s="1079"/>
      <c r="M1561" s="574"/>
      <c r="N1561" s="680">
        <f t="shared" si="496"/>
        <v>0</v>
      </c>
      <c r="O1561" s="681">
        <v>0</v>
      </c>
      <c r="P1561" s="673"/>
      <c r="Q1561" s="574"/>
      <c r="R1561" s="574"/>
      <c r="S1561" s="574"/>
    </row>
    <row r="1562" spans="1:19" ht="21.3">
      <c r="A1562" s="665"/>
      <c r="B1562" s="617" t="s">
        <v>374</v>
      </c>
      <c r="C1562" s="1125" t="s">
        <v>386</v>
      </c>
      <c r="D1562" s="1126"/>
      <c r="E1562" s="673">
        <f t="shared" si="502"/>
        <v>1155.6399999999999</v>
      </c>
      <c r="F1562" s="674" t="s">
        <v>34</v>
      </c>
      <c r="G1562" s="675">
        <v>30</v>
      </c>
      <c r="H1562" s="676">
        <f t="shared" si="499"/>
        <v>34669.199999999997</v>
      </c>
      <c r="I1562" s="677">
        <v>50</v>
      </c>
      <c r="J1562" s="678">
        <f t="shared" si="500"/>
        <v>57781.999999999993</v>
      </c>
      <c r="K1562" s="675">
        <f t="shared" si="501"/>
        <v>92451.199999999983</v>
      </c>
      <c r="L1562" s="1079"/>
      <c r="M1562" s="574"/>
      <c r="N1562" s="688">
        <f t="shared" si="496"/>
        <v>1155.6399999999999</v>
      </c>
      <c r="O1562" s="689">
        <v>0</v>
      </c>
      <c r="P1562" s="690">
        <v>1155.6399999999999</v>
      </c>
      <c r="Q1562" s="574"/>
      <c r="R1562" s="574"/>
      <c r="S1562" s="574"/>
    </row>
    <row r="1563" spans="1:19" ht="21.3">
      <c r="A1563" s="665"/>
      <c r="B1563" s="617" t="s">
        <v>376</v>
      </c>
      <c r="C1563" s="1125" t="s">
        <v>387</v>
      </c>
      <c r="D1563" s="1126"/>
      <c r="E1563" s="673">
        <f t="shared" si="502"/>
        <v>25.4</v>
      </c>
      <c r="F1563" s="674" t="s">
        <v>34</v>
      </c>
      <c r="G1563" s="675">
        <v>88</v>
      </c>
      <c r="H1563" s="676">
        <f t="shared" si="499"/>
        <v>2235.1999999999998</v>
      </c>
      <c r="I1563" s="677">
        <v>94</v>
      </c>
      <c r="J1563" s="678">
        <f t="shared" si="500"/>
        <v>2387.6</v>
      </c>
      <c r="K1563" s="675">
        <f t="shared" si="501"/>
        <v>4622.7999999999993</v>
      </c>
      <c r="L1563" s="1079"/>
      <c r="M1563" s="574"/>
      <c r="N1563" s="688">
        <f t="shared" si="496"/>
        <v>25.4</v>
      </c>
      <c r="O1563" s="689">
        <v>0</v>
      </c>
      <c r="P1563" s="690">
        <v>25.4</v>
      </c>
      <c r="Q1563" s="574"/>
      <c r="R1563" s="574"/>
      <c r="S1563" s="574"/>
    </row>
    <row r="1564" spans="1:19" ht="21.3">
      <c r="A1564" s="665"/>
      <c r="B1564" s="617"/>
      <c r="C1564" s="1125" t="s">
        <v>302</v>
      </c>
      <c r="D1564" s="1126"/>
      <c r="E1564" s="673">
        <f t="shared" si="502"/>
        <v>0</v>
      </c>
      <c r="F1564" s="674" t="s">
        <v>34</v>
      </c>
      <c r="G1564" s="675">
        <v>69</v>
      </c>
      <c r="H1564" s="676">
        <f t="shared" si="499"/>
        <v>0</v>
      </c>
      <c r="I1564" s="677">
        <v>28</v>
      </c>
      <c r="J1564" s="678">
        <f t="shared" si="500"/>
        <v>0</v>
      </c>
      <c r="K1564" s="675">
        <f t="shared" si="501"/>
        <v>0</v>
      </c>
      <c r="L1564" s="1079"/>
      <c r="M1564" s="632"/>
      <c r="N1564" s="680">
        <f t="shared" si="496"/>
        <v>0</v>
      </c>
      <c r="O1564" s="681">
        <v>0</v>
      </c>
      <c r="P1564" s="673"/>
      <c r="Q1564" s="632"/>
      <c r="R1564" s="632"/>
      <c r="S1564" s="632"/>
    </row>
    <row r="1565" spans="1:19" ht="21.3">
      <c r="A1565" s="665"/>
      <c r="B1565" s="617" t="s">
        <v>378</v>
      </c>
      <c r="C1565" s="1125" t="s">
        <v>379</v>
      </c>
      <c r="D1565" s="1126"/>
      <c r="E1565" s="673">
        <f t="shared" si="502"/>
        <v>0</v>
      </c>
      <c r="F1565" s="674" t="s">
        <v>34</v>
      </c>
      <c r="G1565" s="675">
        <v>1900</v>
      </c>
      <c r="H1565" s="676">
        <f t="shared" si="499"/>
        <v>0</v>
      </c>
      <c r="I1565" s="677">
        <v>450</v>
      </c>
      <c r="J1565" s="678">
        <f t="shared" si="500"/>
        <v>0</v>
      </c>
      <c r="K1565" s="675">
        <f t="shared" si="501"/>
        <v>0</v>
      </c>
      <c r="L1565" s="1079"/>
      <c r="M1565" s="574"/>
      <c r="N1565" s="688">
        <f t="shared" si="496"/>
        <v>0</v>
      </c>
      <c r="O1565" s="689">
        <v>0</v>
      </c>
      <c r="P1565" s="690"/>
      <c r="Q1565" s="574"/>
      <c r="R1565" s="574"/>
      <c r="S1565" s="574"/>
    </row>
    <row r="1566" spans="1:19" ht="21.3">
      <c r="A1566" s="665"/>
      <c r="B1566" s="617" t="s">
        <v>380</v>
      </c>
      <c r="C1566" s="1125" t="s">
        <v>381</v>
      </c>
      <c r="D1566" s="1126"/>
      <c r="E1566" s="673">
        <f t="shared" si="502"/>
        <v>0</v>
      </c>
      <c r="F1566" s="674" t="s">
        <v>34</v>
      </c>
      <c r="G1566" s="675">
        <v>1296</v>
      </c>
      <c r="H1566" s="676">
        <f t="shared" si="499"/>
        <v>0</v>
      </c>
      <c r="I1566" s="677">
        <v>1600</v>
      </c>
      <c r="J1566" s="678">
        <f t="shared" si="500"/>
        <v>0</v>
      </c>
      <c r="K1566" s="675">
        <f t="shared" si="501"/>
        <v>0</v>
      </c>
      <c r="L1566" s="1079"/>
      <c r="M1566" s="574"/>
      <c r="N1566" s="680">
        <f t="shared" si="496"/>
        <v>0</v>
      </c>
      <c r="O1566" s="681">
        <v>0</v>
      </c>
      <c r="P1566" s="673"/>
      <c r="Q1566" s="574"/>
      <c r="R1566" s="574"/>
      <c r="S1566" s="574"/>
    </row>
    <row r="1567" spans="1:19" ht="21.3">
      <c r="A1567" s="665"/>
      <c r="B1567" s="617"/>
      <c r="C1567" s="617"/>
      <c r="D1567" s="617"/>
      <c r="E1567" s="673"/>
      <c r="F1567" s="674"/>
      <c r="G1567" s="675"/>
      <c r="H1567" s="676"/>
      <c r="I1567" s="677"/>
      <c r="J1567" s="678"/>
      <c r="K1567" s="675"/>
      <c r="L1567" s="1079"/>
      <c r="M1567" s="574"/>
      <c r="N1567" s="680">
        <f t="shared" si="496"/>
        <v>0</v>
      </c>
      <c r="O1567" s="681">
        <v>0</v>
      </c>
      <c r="P1567" s="673"/>
      <c r="Q1567" s="574"/>
      <c r="R1567" s="574"/>
      <c r="S1567" s="574"/>
    </row>
    <row r="1568" spans="1:19" ht="21.3">
      <c r="A1568" s="665"/>
      <c r="B1568" s="617"/>
      <c r="C1568" s="617"/>
      <c r="D1568" s="617"/>
      <c r="E1568" s="673"/>
      <c r="F1568" s="674"/>
      <c r="G1568" s="675"/>
      <c r="H1568" s="676"/>
      <c r="I1568" s="677"/>
      <c r="J1568" s="678"/>
      <c r="K1568" s="675"/>
      <c r="L1568" s="1079"/>
      <c r="M1568" s="574"/>
      <c r="N1568" s="680">
        <f t="shared" si="496"/>
        <v>0</v>
      </c>
      <c r="O1568" s="681">
        <v>0</v>
      </c>
      <c r="P1568" s="673"/>
      <c r="Q1568" s="574"/>
      <c r="R1568" s="574"/>
      <c r="S1568" s="574"/>
    </row>
    <row r="1569" spans="1:19" ht="21.3">
      <c r="A1569" s="658"/>
      <c r="B1569" s="2228" t="str">
        <f>"รวมราคารายการที่ "&amp;A1335</f>
        <v>รวมราคารายการที่ 2.3</v>
      </c>
      <c r="C1569" s="2228"/>
      <c r="D1569" s="2228"/>
      <c r="E1569" s="691"/>
      <c r="F1569" s="601"/>
      <c r="G1569" s="602"/>
      <c r="H1569" s="660">
        <f>SUBTOTAL(9,H1336:H1568)</f>
        <v>1496586.6200000003</v>
      </c>
      <c r="I1569" s="661"/>
      <c r="J1569" s="660">
        <f>SUBTOTAL(9,J1336:J1568)</f>
        <v>805826.55999999994</v>
      </c>
      <c r="K1569" s="1072">
        <f>SUBTOTAL(9,K1336:K1568)</f>
        <v>2302413.1799999992</v>
      </c>
      <c r="L1569" s="662"/>
      <c r="M1569" s="574"/>
      <c r="N1569" s="692"/>
      <c r="O1569" s="693"/>
      <c r="P1569" s="691"/>
      <c r="Q1569" s="574"/>
      <c r="R1569" s="574"/>
      <c r="S1569" s="574"/>
    </row>
    <row r="1570" spans="1:19" ht="21.3">
      <c r="A1570" s="694">
        <v>2.4</v>
      </c>
      <c r="B1570" s="1138" t="s">
        <v>602</v>
      </c>
      <c r="C1570" s="1139"/>
      <c r="D1570" s="1140"/>
      <c r="E1570" s="695"/>
      <c r="F1570" s="696"/>
      <c r="G1570" s="697"/>
      <c r="H1570" s="698"/>
      <c r="I1570" s="699"/>
      <c r="J1570" s="698"/>
      <c r="K1570" s="1081"/>
      <c r="L1570" s="1082"/>
      <c r="M1570" s="574"/>
      <c r="N1570" s="700"/>
      <c r="O1570" s="701"/>
      <c r="P1570" s="695"/>
      <c r="Q1570" s="574"/>
      <c r="R1570" s="574"/>
      <c r="S1570" s="574"/>
    </row>
    <row r="1571" spans="1:19" ht="21.3">
      <c r="A1571" s="702" t="s">
        <v>409</v>
      </c>
      <c r="B1571" s="703" t="s">
        <v>603</v>
      </c>
      <c r="C1571" s="703"/>
      <c r="D1571" s="703"/>
      <c r="E1571" s="673"/>
      <c r="F1571" s="674"/>
      <c r="G1571" s="704"/>
      <c r="H1571" s="705"/>
      <c r="I1571" s="706"/>
      <c r="J1571" s="707">
        <f>I1571*E1571</f>
        <v>0</v>
      </c>
      <c r="K1571" s="708">
        <f>H1571+J1571</f>
        <v>0</v>
      </c>
      <c r="L1571" s="1083"/>
      <c r="M1571" s="632"/>
      <c r="N1571" s="709">
        <f t="shared" ref="N1571:N1599" si="503">+(1+O1571)*P1571</f>
        <v>0</v>
      </c>
      <c r="O1571" s="681">
        <v>0</v>
      </c>
      <c r="P1571" s="673"/>
      <c r="Q1571" s="632"/>
      <c r="R1571" s="632"/>
      <c r="S1571" s="632"/>
    </row>
    <row r="1572" spans="1:19" ht="21.3">
      <c r="A1572" s="702"/>
      <c r="B1572" s="1141" t="s">
        <v>410</v>
      </c>
      <c r="C1572" s="710"/>
      <c r="D1572" s="899"/>
      <c r="E1572" s="673">
        <f>28.2*23.5</f>
        <v>662.69999999999993</v>
      </c>
      <c r="F1572" s="674" t="s">
        <v>34</v>
      </c>
      <c r="G1572" s="711">
        <v>1090</v>
      </c>
      <c r="H1572" s="705">
        <f>E1572*G1572</f>
        <v>722342.99999999988</v>
      </c>
      <c r="I1572" s="712">
        <v>300</v>
      </c>
      <c r="J1572" s="707">
        <f t="shared" ref="J1572:J1573" si="504">I1572*E1572</f>
        <v>198809.99999999997</v>
      </c>
      <c r="K1572" s="708">
        <f t="shared" ref="K1572:K1573" si="505">H1572+J1572</f>
        <v>921152.99999999988</v>
      </c>
      <c r="L1572" s="1083"/>
      <c r="M1572" s="632"/>
      <c r="N1572" s="709">
        <f t="shared" si="503"/>
        <v>0</v>
      </c>
      <c r="O1572" s="681">
        <v>0</v>
      </c>
      <c r="P1572" s="673"/>
      <c r="Q1572" s="632"/>
      <c r="R1572" s="632"/>
      <c r="S1572" s="632"/>
    </row>
    <row r="1573" spans="1:19" ht="21.3">
      <c r="A1573" s="702"/>
      <c r="B1573" s="1141"/>
      <c r="C1573" s="710" t="s">
        <v>411</v>
      </c>
      <c r="D1573" s="899"/>
      <c r="E1573" s="673">
        <f>23.5*2+28.2</f>
        <v>75.2</v>
      </c>
      <c r="F1573" s="674" t="s">
        <v>226</v>
      </c>
      <c r="G1573" s="711">
        <v>650</v>
      </c>
      <c r="H1573" s="705">
        <f>E1573*G1573</f>
        <v>48880</v>
      </c>
      <c r="I1573" s="712">
        <v>150</v>
      </c>
      <c r="J1573" s="707">
        <f t="shared" si="504"/>
        <v>11280</v>
      </c>
      <c r="K1573" s="708">
        <f t="shared" si="505"/>
        <v>60160</v>
      </c>
      <c r="L1573" s="1083"/>
      <c r="M1573" s="632"/>
      <c r="N1573" s="709">
        <f t="shared" si="503"/>
        <v>0</v>
      </c>
      <c r="O1573" s="681">
        <v>0</v>
      </c>
      <c r="P1573" s="673"/>
      <c r="Q1573" s="632"/>
      <c r="R1573" s="632"/>
      <c r="S1573" s="632"/>
    </row>
    <row r="1574" spans="1:19" ht="21.3">
      <c r="A1574" s="702"/>
      <c r="B1574" s="703" t="s">
        <v>412</v>
      </c>
      <c r="C1574" s="703"/>
      <c r="D1574" s="703"/>
      <c r="E1574" s="673">
        <f>(28.2+23.9)*2</f>
        <v>104.19999999999999</v>
      </c>
      <c r="F1574" s="674" t="s">
        <v>226</v>
      </c>
      <c r="G1574" s="704">
        <v>1354</v>
      </c>
      <c r="H1574" s="705">
        <f>E1574*G1574</f>
        <v>141086.79999999999</v>
      </c>
      <c r="I1574" s="706">
        <v>1672</v>
      </c>
      <c r="J1574" s="707">
        <f>I1574*E1574</f>
        <v>174222.4</v>
      </c>
      <c r="K1574" s="708">
        <f>H1574+J1574</f>
        <v>315309.19999999995</v>
      </c>
      <c r="L1574" s="1083"/>
      <c r="M1574" s="632"/>
      <c r="N1574" s="709">
        <f t="shared" si="503"/>
        <v>0</v>
      </c>
      <c r="O1574" s="681">
        <v>0</v>
      </c>
      <c r="P1574" s="673"/>
      <c r="Q1574" s="632"/>
      <c r="R1574" s="632"/>
      <c r="S1574" s="632"/>
    </row>
    <row r="1575" spans="1:19" ht="21.3">
      <c r="A1575" s="702"/>
      <c r="B1575" s="703" t="s">
        <v>604</v>
      </c>
      <c r="C1575" s="703"/>
      <c r="D1575" s="703"/>
      <c r="E1575" s="673">
        <f>28.2*23.5</f>
        <v>662.69999999999993</v>
      </c>
      <c r="F1575" s="674" t="s">
        <v>34</v>
      </c>
      <c r="G1575" s="704">
        <v>380</v>
      </c>
      <c r="H1575" s="705">
        <f t="shared" ref="H1575" si="506">E1575*G1575</f>
        <v>251825.99999999997</v>
      </c>
      <c r="I1575" s="706">
        <v>100</v>
      </c>
      <c r="J1575" s="707">
        <f>I1575*E1575</f>
        <v>66270</v>
      </c>
      <c r="K1575" s="708">
        <f>H1575+J1575</f>
        <v>318096</v>
      </c>
      <c r="L1575" s="1083"/>
      <c r="M1575" s="632"/>
      <c r="N1575" s="709">
        <f t="shared" si="503"/>
        <v>0</v>
      </c>
      <c r="O1575" s="681">
        <v>0</v>
      </c>
      <c r="P1575" s="673"/>
      <c r="Q1575" s="632"/>
      <c r="R1575" s="632"/>
      <c r="S1575" s="632"/>
    </row>
    <row r="1576" spans="1:19" ht="21.3">
      <c r="A1576" s="702"/>
      <c r="B1576" s="1141" t="s">
        <v>605</v>
      </c>
      <c r="C1576" s="710"/>
      <c r="D1576" s="899"/>
      <c r="E1576" s="673">
        <v>28.2</v>
      </c>
      <c r="F1576" s="674" t="s">
        <v>226</v>
      </c>
      <c r="G1576" s="711">
        <v>680</v>
      </c>
      <c r="H1576" s="705">
        <f>E1576*G1576</f>
        <v>19176</v>
      </c>
      <c r="I1576" s="712">
        <v>250</v>
      </c>
      <c r="J1576" s="707">
        <f t="shared" ref="J1576:J1578" si="507">I1576*E1576</f>
        <v>7050</v>
      </c>
      <c r="K1576" s="708">
        <f t="shared" ref="K1576:K1578" si="508">H1576+J1576</f>
        <v>26226</v>
      </c>
      <c r="L1576" s="1083"/>
      <c r="M1576" s="632"/>
      <c r="N1576" s="709">
        <f t="shared" si="503"/>
        <v>0</v>
      </c>
      <c r="O1576" s="681">
        <v>0</v>
      </c>
      <c r="P1576" s="673"/>
      <c r="Q1576" s="632"/>
      <c r="R1576" s="632"/>
      <c r="S1576" s="632"/>
    </row>
    <row r="1577" spans="1:19" ht="21.3">
      <c r="A1577" s="702"/>
      <c r="B1577" s="1141" t="s">
        <v>606</v>
      </c>
      <c r="C1577" s="710"/>
      <c r="D1577" s="899"/>
      <c r="E1577" s="673">
        <v>40</v>
      </c>
      <c r="F1577" s="674" t="s">
        <v>226</v>
      </c>
      <c r="G1577" s="711">
        <f>930+267</f>
        <v>1197</v>
      </c>
      <c r="H1577" s="705">
        <f>E1577*G1577</f>
        <v>47880</v>
      </c>
      <c r="I1577" s="712">
        <f>240+100</f>
        <v>340</v>
      </c>
      <c r="J1577" s="707">
        <f t="shared" si="507"/>
        <v>13600</v>
      </c>
      <c r="K1577" s="708">
        <f t="shared" si="508"/>
        <v>61480</v>
      </c>
      <c r="L1577" s="1083"/>
      <c r="M1577" s="632"/>
      <c r="N1577" s="709">
        <f t="shared" si="503"/>
        <v>0</v>
      </c>
      <c r="O1577" s="681">
        <v>0</v>
      </c>
      <c r="P1577" s="673"/>
      <c r="Q1577" s="632"/>
      <c r="R1577" s="632"/>
      <c r="S1577" s="632"/>
    </row>
    <row r="1578" spans="1:19" ht="21.3">
      <c r="A1578" s="702"/>
      <c r="B1578" s="1141" t="s">
        <v>1044</v>
      </c>
      <c r="C1578" s="710"/>
      <c r="D1578" s="899"/>
      <c r="E1578" s="673">
        <v>3011.44</v>
      </c>
      <c r="F1578" s="674" t="s">
        <v>34</v>
      </c>
      <c r="G1578" s="711">
        <v>140</v>
      </c>
      <c r="H1578" s="705">
        <f>E1578*G1578</f>
        <v>421601.60000000003</v>
      </c>
      <c r="I1578" s="712">
        <v>38</v>
      </c>
      <c r="J1578" s="707">
        <f t="shared" si="507"/>
        <v>114434.72</v>
      </c>
      <c r="K1578" s="708">
        <f t="shared" si="508"/>
        <v>536036.32000000007</v>
      </c>
      <c r="L1578" s="1083"/>
      <c r="M1578" s="632"/>
      <c r="N1578" s="709">
        <f t="shared" si="503"/>
        <v>0</v>
      </c>
      <c r="O1578" s="681">
        <v>0</v>
      </c>
      <c r="P1578" s="673"/>
      <c r="Q1578" s="632"/>
      <c r="R1578" s="632"/>
      <c r="S1578" s="632"/>
    </row>
    <row r="1579" spans="1:19" ht="21.3">
      <c r="A1579" s="702" t="s">
        <v>413</v>
      </c>
      <c r="B1579" s="703" t="s">
        <v>607</v>
      </c>
      <c r="C1579" s="703"/>
      <c r="D1579" s="703"/>
      <c r="E1579" s="673"/>
      <c r="F1579" s="674"/>
      <c r="G1579" s="704"/>
      <c r="H1579" s="705"/>
      <c r="I1579" s="706"/>
      <c r="J1579" s="707">
        <f>I1579*E1579</f>
        <v>0</v>
      </c>
      <c r="K1579" s="708">
        <f>H1579+J1579</f>
        <v>0</v>
      </c>
      <c r="L1579" s="1083"/>
      <c r="M1579" s="632"/>
      <c r="N1579" s="709">
        <f t="shared" si="503"/>
        <v>0</v>
      </c>
      <c r="O1579" s="681">
        <v>0</v>
      </c>
      <c r="P1579" s="673"/>
      <c r="Q1579" s="632"/>
      <c r="R1579" s="632"/>
      <c r="S1579" s="632"/>
    </row>
    <row r="1580" spans="1:19" ht="21.3">
      <c r="A1580" s="702"/>
      <c r="B1580" s="703" t="s">
        <v>410</v>
      </c>
      <c r="C1580" s="703"/>
      <c r="D1580" s="703"/>
      <c r="E1580" s="673">
        <v>26</v>
      </c>
      <c r="F1580" s="674" t="s">
        <v>34</v>
      </c>
      <c r="G1580" s="704">
        <v>1090</v>
      </c>
      <c r="H1580" s="705">
        <f>E1580*G1580</f>
        <v>28340</v>
      </c>
      <c r="I1580" s="706">
        <v>300</v>
      </c>
      <c r="J1580" s="707">
        <f>I1580*E1580</f>
        <v>7800</v>
      </c>
      <c r="K1580" s="708">
        <f>H1580+J1580</f>
        <v>36140</v>
      </c>
      <c r="L1580" s="1083"/>
      <c r="M1580" s="632"/>
      <c r="N1580" s="709">
        <f t="shared" si="503"/>
        <v>0</v>
      </c>
      <c r="O1580" s="681">
        <v>0</v>
      </c>
      <c r="P1580" s="673"/>
      <c r="Q1580" s="632"/>
      <c r="R1580" s="632"/>
      <c r="S1580" s="632"/>
    </row>
    <row r="1581" spans="1:19" ht="21.3">
      <c r="A1581" s="702"/>
      <c r="B1581" s="1141" t="s">
        <v>412</v>
      </c>
      <c r="C1581" s="710"/>
      <c r="D1581" s="899"/>
      <c r="E1581" s="673">
        <v>26</v>
      </c>
      <c r="F1581" s="674" t="s">
        <v>226</v>
      </c>
      <c r="G1581" s="711">
        <v>388</v>
      </c>
      <c r="H1581" s="705">
        <f>E1581*G1581</f>
        <v>10088</v>
      </c>
      <c r="I1581" s="712">
        <v>480</v>
      </c>
      <c r="J1581" s="707">
        <f t="shared" ref="J1581:J1582" si="509">I1581*E1581</f>
        <v>12480</v>
      </c>
      <c r="K1581" s="708">
        <f t="shared" ref="K1581:K1582" si="510">H1581+J1581</f>
        <v>22568</v>
      </c>
      <c r="L1581" s="1083"/>
      <c r="M1581" s="632"/>
      <c r="N1581" s="709">
        <f t="shared" si="503"/>
        <v>0</v>
      </c>
      <c r="O1581" s="681">
        <v>0</v>
      </c>
      <c r="P1581" s="673"/>
      <c r="Q1581" s="632"/>
      <c r="R1581" s="632"/>
      <c r="S1581" s="632"/>
    </row>
    <row r="1582" spans="1:19" ht="21.3">
      <c r="A1582" s="702"/>
      <c r="B1582" s="1141" t="s">
        <v>605</v>
      </c>
      <c r="C1582" s="710"/>
      <c r="D1582" s="899"/>
      <c r="E1582" s="673">
        <v>15</v>
      </c>
      <c r="F1582" s="674" t="s">
        <v>226</v>
      </c>
      <c r="G1582" s="711">
        <v>782</v>
      </c>
      <c r="H1582" s="705">
        <f>E1582*G1582</f>
        <v>11730</v>
      </c>
      <c r="I1582" s="712">
        <v>280</v>
      </c>
      <c r="J1582" s="707">
        <f t="shared" si="509"/>
        <v>4200</v>
      </c>
      <c r="K1582" s="708">
        <f t="shared" si="510"/>
        <v>15930</v>
      </c>
      <c r="L1582" s="1083"/>
      <c r="M1582" s="632"/>
      <c r="N1582" s="709">
        <f t="shared" si="503"/>
        <v>0</v>
      </c>
      <c r="O1582" s="681">
        <v>0</v>
      </c>
      <c r="P1582" s="673"/>
      <c r="Q1582" s="632"/>
      <c r="R1582" s="632"/>
      <c r="S1582" s="632"/>
    </row>
    <row r="1583" spans="1:19" ht="21.3">
      <c r="A1583" s="702"/>
      <c r="B1583" s="703" t="s">
        <v>608</v>
      </c>
      <c r="C1583" s="703"/>
      <c r="D1583" s="703"/>
      <c r="E1583" s="673">
        <v>162</v>
      </c>
      <c r="F1583" s="674" t="s">
        <v>34</v>
      </c>
      <c r="G1583" s="704">
        <v>8800</v>
      </c>
      <c r="H1583" s="705">
        <f>E1583*G1583</f>
        <v>1425600</v>
      </c>
      <c r="I1583" s="706">
        <v>0</v>
      </c>
      <c r="J1583" s="707">
        <f>I1583*E1583</f>
        <v>0</v>
      </c>
      <c r="K1583" s="708">
        <f>H1583+J1583</f>
        <v>1425600</v>
      </c>
      <c r="L1583" s="1083"/>
      <c r="M1583" s="632"/>
      <c r="N1583" s="709">
        <f t="shared" si="503"/>
        <v>0</v>
      </c>
      <c r="O1583" s="681">
        <v>0</v>
      </c>
      <c r="P1583" s="673"/>
      <c r="Q1583" s="632"/>
      <c r="R1583" s="632"/>
      <c r="S1583" s="632"/>
    </row>
    <row r="1584" spans="1:19" ht="21.3">
      <c r="A1584" s="702"/>
      <c r="B1584" s="703" t="s">
        <v>609</v>
      </c>
      <c r="C1584" s="703"/>
      <c r="D1584" s="703"/>
      <c r="E1584" s="673">
        <f>2*3</f>
        <v>6</v>
      </c>
      <c r="F1584" s="674" t="s">
        <v>363</v>
      </c>
      <c r="G1584" s="704">
        <v>6552</v>
      </c>
      <c r="H1584" s="705">
        <f>E1584*G1584</f>
        <v>39312</v>
      </c>
      <c r="I1584" s="706">
        <v>0</v>
      </c>
      <c r="J1584" s="707">
        <f>I1584*E1584</f>
        <v>0</v>
      </c>
      <c r="K1584" s="708">
        <f>H1584+J1584</f>
        <v>39312</v>
      </c>
      <c r="L1584" s="1083"/>
      <c r="M1584" s="632"/>
      <c r="N1584" s="709">
        <f t="shared" si="503"/>
        <v>0</v>
      </c>
      <c r="O1584" s="681">
        <v>0</v>
      </c>
      <c r="P1584" s="673"/>
      <c r="Q1584" s="632"/>
      <c r="R1584" s="632"/>
      <c r="S1584" s="632"/>
    </row>
    <row r="1585" spans="1:19" ht="21.3">
      <c r="A1585" s="702" t="s">
        <v>610</v>
      </c>
      <c r="B1585" s="1141" t="s">
        <v>611</v>
      </c>
      <c r="C1585" s="710"/>
      <c r="D1585" s="899"/>
      <c r="E1585" s="673"/>
      <c r="F1585" s="674"/>
      <c r="G1585" s="711"/>
      <c r="H1585" s="705"/>
      <c r="I1585" s="712"/>
      <c r="J1585" s="707">
        <f t="shared" ref="J1585:J1588" si="511">I1585*E1585</f>
        <v>0</v>
      </c>
      <c r="K1585" s="708">
        <f t="shared" ref="K1585:K1588" si="512">H1585+J1585</f>
        <v>0</v>
      </c>
      <c r="L1585" s="1083"/>
      <c r="M1585" s="632"/>
      <c r="N1585" s="709">
        <f t="shared" si="503"/>
        <v>0</v>
      </c>
      <c r="O1585" s="681">
        <v>0</v>
      </c>
      <c r="P1585" s="673"/>
      <c r="Q1585" s="632"/>
      <c r="R1585" s="632"/>
      <c r="S1585" s="632"/>
    </row>
    <row r="1586" spans="1:19" ht="21.3">
      <c r="A1586" s="702"/>
      <c r="B1586" s="1141" t="s">
        <v>410</v>
      </c>
      <c r="C1586" s="710"/>
      <c r="D1586" s="899"/>
      <c r="E1586" s="673">
        <v>395</v>
      </c>
      <c r="F1586" s="674" t="s">
        <v>34</v>
      </c>
      <c r="G1586" s="711">
        <v>1090</v>
      </c>
      <c r="H1586" s="705">
        <f t="shared" ref="H1586:H1591" si="513">E1586*G1586</f>
        <v>430550</v>
      </c>
      <c r="I1586" s="712">
        <v>300</v>
      </c>
      <c r="J1586" s="707">
        <f t="shared" si="511"/>
        <v>118500</v>
      </c>
      <c r="K1586" s="708">
        <f t="shared" si="512"/>
        <v>549050</v>
      </c>
      <c r="L1586" s="1083"/>
      <c r="M1586" s="632"/>
      <c r="N1586" s="709">
        <f t="shared" si="503"/>
        <v>0</v>
      </c>
      <c r="O1586" s="681">
        <v>0</v>
      </c>
      <c r="P1586" s="673"/>
      <c r="Q1586" s="632"/>
      <c r="R1586" s="632"/>
      <c r="S1586" s="632"/>
    </row>
    <row r="1587" spans="1:19" ht="21.3">
      <c r="A1587" s="702"/>
      <c r="B1587" s="1141" t="s">
        <v>412</v>
      </c>
      <c r="C1587" s="710"/>
      <c r="D1587" s="899"/>
      <c r="E1587" s="673">
        <v>116.75</v>
      </c>
      <c r="F1587" s="674" t="s">
        <v>226</v>
      </c>
      <c r="G1587" s="711">
        <v>388</v>
      </c>
      <c r="H1587" s="705">
        <f t="shared" si="513"/>
        <v>45299</v>
      </c>
      <c r="I1587" s="712">
        <v>480</v>
      </c>
      <c r="J1587" s="707">
        <f t="shared" si="511"/>
        <v>56040</v>
      </c>
      <c r="K1587" s="708">
        <f t="shared" si="512"/>
        <v>101339</v>
      </c>
      <c r="L1587" s="1083"/>
      <c r="M1587" s="632"/>
      <c r="N1587" s="709">
        <f t="shared" si="503"/>
        <v>0</v>
      </c>
      <c r="O1587" s="681">
        <v>0</v>
      </c>
      <c r="P1587" s="673"/>
      <c r="Q1587" s="632"/>
      <c r="R1587" s="632"/>
      <c r="S1587" s="632"/>
    </row>
    <row r="1588" spans="1:19" ht="21.3">
      <c r="A1588" s="702"/>
      <c r="B1588" s="1141" t="s">
        <v>605</v>
      </c>
      <c r="C1588" s="710"/>
      <c r="D1588" s="899"/>
      <c r="E1588" s="673">
        <v>108.85</v>
      </c>
      <c r="F1588" s="674" t="s">
        <v>226</v>
      </c>
      <c r="G1588" s="711">
        <v>1122</v>
      </c>
      <c r="H1588" s="705">
        <f t="shared" si="513"/>
        <v>122129.7</v>
      </c>
      <c r="I1588" s="712">
        <v>400</v>
      </c>
      <c r="J1588" s="707">
        <f t="shared" si="511"/>
        <v>43540</v>
      </c>
      <c r="K1588" s="708">
        <f t="shared" si="512"/>
        <v>165669.70000000001</v>
      </c>
      <c r="L1588" s="1083"/>
      <c r="M1588" s="632"/>
      <c r="N1588" s="709">
        <f t="shared" si="503"/>
        <v>0</v>
      </c>
      <c r="O1588" s="681">
        <v>0</v>
      </c>
      <c r="P1588" s="673"/>
      <c r="Q1588" s="632"/>
      <c r="R1588" s="632"/>
      <c r="S1588" s="632"/>
    </row>
    <row r="1589" spans="1:19" ht="21.3">
      <c r="A1589" s="702"/>
      <c r="B1589" s="703" t="s">
        <v>608</v>
      </c>
      <c r="C1589" s="703"/>
      <c r="D1589" s="703"/>
      <c r="E1589" s="673">
        <f>(3*13*2.5)+(3*1*2.5)+(6.8*109.45)+4.5</f>
        <v>853.76</v>
      </c>
      <c r="F1589" s="674" t="s">
        <v>34</v>
      </c>
      <c r="G1589" s="704">
        <v>8800</v>
      </c>
      <c r="H1589" s="705">
        <f t="shared" si="513"/>
        <v>7513088</v>
      </c>
      <c r="I1589" s="706">
        <v>0</v>
      </c>
      <c r="J1589" s="707">
        <f>I1589*E1589</f>
        <v>0</v>
      </c>
      <c r="K1589" s="708">
        <f>H1589+J1589</f>
        <v>7513088</v>
      </c>
      <c r="L1589" s="1083"/>
      <c r="M1589" s="632"/>
      <c r="N1589" s="709">
        <f t="shared" si="503"/>
        <v>0</v>
      </c>
      <c r="O1589" s="681">
        <v>0</v>
      </c>
      <c r="P1589" s="673"/>
      <c r="Q1589" s="632"/>
      <c r="R1589" s="632"/>
      <c r="S1589" s="632"/>
    </row>
    <row r="1590" spans="1:19" ht="21.3">
      <c r="A1590" s="702"/>
      <c r="B1590" s="703" t="s">
        <v>612</v>
      </c>
      <c r="C1590" s="703"/>
      <c r="D1590" s="703"/>
      <c r="E1590" s="673">
        <v>1</v>
      </c>
      <c r="F1590" s="674" t="s">
        <v>363</v>
      </c>
      <c r="G1590" s="704">
        <v>6552</v>
      </c>
      <c r="H1590" s="705">
        <f t="shared" si="513"/>
        <v>6552</v>
      </c>
      <c r="I1590" s="706">
        <v>0</v>
      </c>
      <c r="J1590" s="707">
        <f>I1590*E1590</f>
        <v>0</v>
      </c>
      <c r="K1590" s="708">
        <f>H1590+J1590</f>
        <v>6552</v>
      </c>
      <c r="L1590" s="1083"/>
      <c r="M1590" s="632"/>
      <c r="N1590" s="709">
        <f t="shared" si="503"/>
        <v>0</v>
      </c>
      <c r="O1590" s="681">
        <v>0</v>
      </c>
      <c r="P1590" s="673"/>
      <c r="Q1590" s="632"/>
      <c r="R1590" s="632"/>
      <c r="S1590" s="632"/>
    </row>
    <row r="1591" spans="1:19" ht="21.3">
      <c r="A1591" s="702"/>
      <c r="B1591" s="1141" t="s">
        <v>613</v>
      </c>
      <c r="C1591" s="710"/>
      <c r="D1591" s="899"/>
      <c r="E1591" s="673">
        <v>13</v>
      </c>
      <c r="F1591" s="674" t="s">
        <v>363</v>
      </c>
      <c r="G1591" s="711">
        <v>5850</v>
      </c>
      <c r="H1591" s="705">
        <f t="shared" si="513"/>
        <v>76050</v>
      </c>
      <c r="I1591" s="712">
        <v>0</v>
      </c>
      <c r="J1591" s="707">
        <f t="shared" ref="J1591:J1592" si="514">I1591*E1591</f>
        <v>0</v>
      </c>
      <c r="K1591" s="708">
        <f t="shared" ref="K1591:K1592" si="515">H1591+J1591</f>
        <v>76050</v>
      </c>
      <c r="L1591" s="1083"/>
      <c r="M1591" s="632"/>
      <c r="N1591" s="709">
        <f t="shared" si="503"/>
        <v>0</v>
      </c>
      <c r="O1591" s="681">
        <v>0</v>
      </c>
      <c r="P1591" s="673"/>
      <c r="Q1591" s="632"/>
      <c r="R1591" s="632"/>
      <c r="S1591" s="632"/>
    </row>
    <row r="1592" spans="1:19" ht="21.3">
      <c r="A1592" s="702" t="s">
        <v>614</v>
      </c>
      <c r="B1592" s="1141" t="s">
        <v>615</v>
      </c>
      <c r="C1592" s="710"/>
      <c r="D1592" s="899"/>
      <c r="E1592" s="673"/>
      <c r="F1592" s="674"/>
      <c r="G1592" s="711"/>
      <c r="H1592" s="705"/>
      <c r="I1592" s="712"/>
      <c r="J1592" s="707">
        <f t="shared" si="514"/>
        <v>0</v>
      </c>
      <c r="K1592" s="708">
        <f t="shared" si="515"/>
        <v>0</v>
      </c>
      <c r="L1592" s="1083"/>
      <c r="M1592" s="632"/>
      <c r="N1592" s="709">
        <f t="shared" si="503"/>
        <v>0</v>
      </c>
      <c r="O1592" s="681">
        <v>0</v>
      </c>
      <c r="P1592" s="673"/>
      <c r="Q1592" s="632"/>
      <c r="R1592" s="632"/>
      <c r="S1592" s="632"/>
    </row>
    <row r="1593" spans="1:19" ht="21.3">
      <c r="A1593" s="702"/>
      <c r="B1593" s="703" t="s">
        <v>410</v>
      </c>
      <c r="C1593" s="703"/>
      <c r="D1593" s="703"/>
      <c r="E1593" s="673">
        <v>140.79</v>
      </c>
      <c r="F1593" s="674" t="s">
        <v>34</v>
      </c>
      <c r="G1593" s="704">
        <v>1090</v>
      </c>
      <c r="H1593" s="705">
        <f t="shared" ref="H1593:H1599" si="516">E1593*G1593</f>
        <v>153461.1</v>
      </c>
      <c r="I1593" s="706">
        <v>300</v>
      </c>
      <c r="J1593" s="707">
        <f>I1593*E1593</f>
        <v>42237</v>
      </c>
      <c r="K1593" s="708">
        <f>H1593+J1593</f>
        <v>195698.1</v>
      </c>
      <c r="L1593" s="1083"/>
      <c r="M1593" s="632"/>
      <c r="N1593" s="709">
        <f t="shared" si="503"/>
        <v>0</v>
      </c>
      <c r="O1593" s="681">
        <v>0</v>
      </c>
      <c r="P1593" s="673"/>
      <c r="Q1593" s="632"/>
      <c r="R1593" s="632"/>
      <c r="S1593" s="632"/>
    </row>
    <row r="1594" spans="1:19" ht="21.3">
      <c r="A1594" s="702"/>
      <c r="B1594" s="703" t="s">
        <v>412</v>
      </c>
      <c r="C1594" s="703"/>
      <c r="D1594" s="703"/>
      <c r="E1594" s="673">
        <v>55.55</v>
      </c>
      <c r="F1594" s="674" t="s">
        <v>226</v>
      </c>
      <c r="G1594" s="704">
        <v>388</v>
      </c>
      <c r="H1594" s="705">
        <f t="shared" si="516"/>
        <v>21553.399999999998</v>
      </c>
      <c r="I1594" s="706">
        <v>480</v>
      </c>
      <c r="J1594" s="707">
        <f>I1594*E1594</f>
        <v>26664</v>
      </c>
      <c r="K1594" s="708">
        <f>H1594+J1594</f>
        <v>48217.399999999994</v>
      </c>
      <c r="L1594" s="1083"/>
      <c r="M1594" s="632"/>
      <c r="N1594" s="709">
        <f t="shared" si="503"/>
        <v>0</v>
      </c>
      <c r="O1594" s="681">
        <v>0</v>
      </c>
      <c r="P1594" s="673"/>
      <c r="Q1594" s="632"/>
      <c r="R1594" s="632"/>
      <c r="S1594" s="632"/>
    </row>
    <row r="1595" spans="1:19" ht="21.3">
      <c r="A1595" s="702"/>
      <c r="B1595" s="1141" t="s">
        <v>605</v>
      </c>
      <c r="C1595" s="710"/>
      <c r="D1595" s="899"/>
      <c r="E1595" s="673">
        <v>49.15</v>
      </c>
      <c r="F1595" s="674" t="s">
        <v>226</v>
      </c>
      <c r="G1595" s="711">
        <v>1156</v>
      </c>
      <c r="H1595" s="705">
        <f t="shared" si="516"/>
        <v>56817.4</v>
      </c>
      <c r="I1595" s="712">
        <v>410</v>
      </c>
      <c r="J1595" s="707">
        <f t="shared" ref="J1595:J1596" si="517">I1595*E1595</f>
        <v>20151.5</v>
      </c>
      <c r="K1595" s="708">
        <f t="shared" ref="K1595:K1596" si="518">H1595+J1595</f>
        <v>76968.899999999994</v>
      </c>
      <c r="L1595" s="1083"/>
      <c r="M1595" s="632"/>
      <c r="N1595" s="709">
        <f t="shared" si="503"/>
        <v>0</v>
      </c>
      <c r="O1595" s="681">
        <v>0</v>
      </c>
      <c r="P1595" s="673"/>
      <c r="Q1595" s="632"/>
      <c r="R1595" s="632"/>
      <c r="S1595" s="632"/>
    </row>
    <row r="1596" spans="1:19" ht="21.3">
      <c r="A1596" s="702"/>
      <c r="B1596" s="1141" t="s">
        <v>608</v>
      </c>
      <c r="C1596" s="710"/>
      <c r="D1596" s="899"/>
      <c r="E1596" s="673">
        <f>6.15*49.6+(3*5*2.5)</f>
        <v>342.54</v>
      </c>
      <c r="F1596" s="674" t="s">
        <v>34</v>
      </c>
      <c r="G1596" s="711">
        <v>8800</v>
      </c>
      <c r="H1596" s="705">
        <f t="shared" si="516"/>
        <v>3014352</v>
      </c>
      <c r="I1596" s="712">
        <v>0</v>
      </c>
      <c r="J1596" s="707">
        <f t="shared" si="517"/>
        <v>0</v>
      </c>
      <c r="K1596" s="708">
        <f t="shared" si="518"/>
        <v>3014352</v>
      </c>
      <c r="L1596" s="1083"/>
      <c r="M1596" s="632"/>
      <c r="N1596" s="709">
        <f t="shared" si="503"/>
        <v>0</v>
      </c>
      <c r="O1596" s="681">
        <v>0</v>
      </c>
      <c r="P1596" s="673"/>
      <c r="Q1596" s="632"/>
      <c r="R1596" s="632"/>
      <c r="S1596" s="632"/>
    </row>
    <row r="1597" spans="1:19" ht="21.3">
      <c r="A1597" s="702"/>
      <c r="B1597" s="703" t="s">
        <v>612</v>
      </c>
      <c r="C1597" s="703"/>
      <c r="D1597" s="703"/>
      <c r="E1597" s="673">
        <v>0</v>
      </c>
      <c r="F1597" s="674" t="s">
        <v>363</v>
      </c>
      <c r="G1597" s="704">
        <v>6552</v>
      </c>
      <c r="H1597" s="705">
        <f t="shared" si="516"/>
        <v>0</v>
      </c>
      <c r="I1597" s="706">
        <v>0</v>
      </c>
      <c r="J1597" s="707">
        <f>I1597*E1597</f>
        <v>0</v>
      </c>
      <c r="K1597" s="708">
        <f>H1597+J1597</f>
        <v>0</v>
      </c>
      <c r="L1597" s="1083"/>
      <c r="M1597" s="632"/>
      <c r="N1597" s="709">
        <f t="shared" si="503"/>
        <v>0</v>
      </c>
      <c r="O1597" s="681">
        <v>0</v>
      </c>
      <c r="P1597" s="673"/>
      <c r="Q1597" s="632"/>
      <c r="R1597" s="632"/>
      <c r="S1597" s="632"/>
    </row>
    <row r="1598" spans="1:19" ht="21.3">
      <c r="A1598" s="702"/>
      <c r="B1598" s="703" t="s">
        <v>613</v>
      </c>
      <c r="C1598" s="703"/>
      <c r="D1598" s="703"/>
      <c r="E1598" s="673">
        <v>5</v>
      </c>
      <c r="F1598" s="674" t="s">
        <v>363</v>
      </c>
      <c r="G1598" s="704">
        <v>5850</v>
      </c>
      <c r="H1598" s="705">
        <f t="shared" si="516"/>
        <v>29250</v>
      </c>
      <c r="I1598" s="706">
        <v>0</v>
      </c>
      <c r="J1598" s="707">
        <f>I1598*E1598</f>
        <v>0</v>
      </c>
      <c r="K1598" s="708">
        <f>H1598+J1598</f>
        <v>29250</v>
      </c>
      <c r="L1598" s="1083"/>
      <c r="M1598" s="632"/>
      <c r="N1598" s="709">
        <f t="shared" si="503"/>
        <v>0</v>
      </c>
      <c r="O1598" s="681">
        <v>0</v>
      </c>
      <c r="P1598" s="673"/>
      <c r="Q1598" s="632"/>
      <c r="R1598" s="632"/>
      <c r="S1598" s="632"/>
    </row>
    <row r="1599" spans="1:19" ht="21.3">
      <c r="A1599" s="702"/>
      <c r="B1599" s="617"/>
      <c r="C1599" s="617"/>
      <c r="D1599" s="617"/>
      <c r="E1599" s="673"/>
      <c r="F1599" s="625"/>
      <c r="G1599" s="697"/>
      <c r="H1599" s="698">
        <f t="shared" si="516"/>
        <v>0</v>
      </c>
      <c r="I1599" s="699"/>
      <c r="J1599" s="698">
        <f t="shared" ref="J1599" si="519">E1599*I1599</f>
        <v>0</v>
      </c>
      <c r="K1599" s="1081">
        <f t="shared" ref="K1599" si="520">H1599+J1599</f>
        <v>0</v>
      </c>
      <c r="L1599" s="1061"/>
      <c r="M1599" s="632"/>
      <c r="N1599" s="709">
        <f t="shared" si="503"/>
        <v>0</v>
      </c>
      <c r="O1599" s="681">
        <v>0</v>
      </c>
      <c r="P1599" s="637"/>
      <c r="Q1599" s="632"/>
      <c r="R1599" s="632"/>
      <c r="S1599" s="632"/>
    </row>
    <row r="1600" spans="1:19" ht="21.3">
      <c r="A1600" s="658"/>
      <c r="B1600" s="2228" t="str">
        <f>"รวมราคารายการที่ "&amp;A1570</f>
        <v>รวมราคารายการที่ 2.4</v>
      </c>
      <c r="C1600" s="2228"/>
      <c r="D1600" s="2228"/>
      <c r="E1600" s="600">
        <v>0</v>
      </c>
      <c r="F1600" s="601"/>
      <c r="G1600" s="602"/>
      <c r="H1600" s="660">
        <f>SUBTOTAL(9,H1571:H1599)</f>
        <v>14636966</v>
      </c>
      <c r="I1600" s="661"/>
      <c r="J1600" s="660">
        <f>SUBTOTAL(9,J1571:J1599)</f>
        <v>917279.62</v>
      </c>
      <c r="K1600" s="1072">
        <f>SUBTOTAL(9,K1571:K1599)</f>
        <v>15554245.619999999</v>
      </c>
      <c r="L1600" s="662"/>
      <c r="M1600" s="574"/>
      <c r="N1600" s="671"/>
      <c r="O1600" s="606"/>
      <c r="P1600" s="600"/>
      <c r="Q1600" s="574"/>
      <c r="R1600" s="574"/>
      <c r="S1600" s="574"/>
    </row>
    <row r="1601" spans="1:21" ht="21.3">
      <c r="A1601" s="608">
        <v>2.5</v>
      </c>
      <c r="B1601" s="1122" t="s">
        <v>414</v>
      </c>
      <c r="C1601" s="609"/>
      <c r="D1601" s="1123"/>
      <c r="E1601" s="610">
        <v>0</v>
      </c>
      <c r="F1601" s="611"/>
      <c r="G1601" s="612"/>
      <c r="H1601" s="613"/>
      <c r="I1601" s="614"/>
      <c r="J1601" s="613"/>
      <c r="K1601" s="1058"/>
      <c r="L1601" s="1059"/>
      <c r="M1601" s="574"/>
      <c r="N1601" s="615"/>
      <c r="O1601" s="616"/>
      <c r="P1601" s="610"/>
      <c r="Q1601" s="574"/>
      <c r="R1601" s="574"/>
      <c r="S1601" s="574"/>
    </row>
    <row r="1602" spans="1:21" ht="21.3">
      <c r="A1602" s="665" t="s">
        <v>415</v>
      </c>
      <c r="B1602" s="1111" t="s">
        <v>416</v>
      </c>
      <c r="C1602" s="617"/>
      <c r="D1602" s="1124"/>
      <c r="E1602" s="637">
        <v>0</v>
      </c>
      <c r="F1602" s="625"/>
      <c r="G1602" s="620"/>
      <c r="H1602" s="685"/>
      <c r="I1602" s="572"/>
      <c r="J1602" s="685"/>
      <c r="K1602" s="1080"/>
      <c r="L1602" s="1061"/>
      <c r="M1602" s="900">
        <f>SUM(E1603:E1611)</f>
        <v>22</v>
      </c>
      <c r="N1602" s="667"/>
      <c r="O1602" s="636"/>
      <c r="P1602" s="637"/>
      <c r="Q1602" s="574"/>
      <c r="R1602" s="574"/>
      <c r="S1602" s="1084" t="s">
        <v>1045</v>
      </c>
    </row>
    <row r="1603" spans="1:21" ht="21.3">
      <c r="A1603" s="665"/>
      <c r="B1603" s="1114" t="s">
        <v>417</v>
      </c>
      <c r="C1603" s="617" t="s">
        <v>616</v>
      </c>
      <c r="D1603" s="1124"/>
      <c r="E1603" s="637">
        <v>2</v>
      </c>
      <c r="F1603" s="625" t="s">
        <v>363</v>
      </c>
      <c r="G1603" s="620">
        <v>88800</v>
      </c>
      <c r="H1603" s="676">
        <f t="shared" ref="H1603:H1609" si="521">SUM(E1603*G1603)</f>
        <v>177600</v>
      </c>
      <c r="I1603" s="677">
        <v>31000</v>
      </c>
      <c r="J1603" s="678">
        <f t="shared" ref="J1603:J1666" si="522">SUM(E1603*I1603)</f>
        <v>62000</v>
      </c>
      <c r="K1603" s="675">
        <f>SUM(H1603+J1603)</f>
        <v>239600</v>
      </c>
      <c r="L1603" s="1061"/>
      <c r="M1603" s="574"/>
      <c r="N1603" s="667"/>
      <c r="O1603" s="636"/>
      <c r="P1603" s="637"/>
      <c r="Q1603" s="574"/>
      <c r="R1603" s="574">
        <v>2</v>
      </c>
      <c r="S1603" s="900">
        <f>+R1603-E1603</f>
        <v>0</v>
      </c>
      <c r="U1603" s="574"/>
    </row>
    <row r="1604" spans="1:21" ht="21.3">
      <c r="A1604" s="665"/>
      <c r="B1604" s="1114" t="s">
        <v>418</v>
      </c>
      <c r="C1604" s="617" t="s">
        <v>617</v>
      </c>
      <c r="D1604" s="1124"/>
      <c r="E1604" s="637">
        <v>2</v>
      </c>
      <c r="F1604" s="625" t="s">
        <v>363</v>
      </c>
      <c r="G1604" s="620">
        <v>44140</v>
      </c>
      <c r="H1604" s="676">
        <f t="shared" si="521"/>
        <v>88280</v>
      </c>
      <c r="I1604" s="677">
        <v>15400</v>
      </c>
      <c r="J1604" s="678">
        <f t="shared" si="522"/>
        <v>30800</v>
      </c>
      <c r="K1604" s="675">
        <f t="shared" ref="K1604:K1610" si="523">SUM(H1604+J1604)</f>
        <v>119080</v>
      </c>
      <c r="L1604" s="1061"/>
      <c r="M1604" s="574"/>
      <c r="N1604" s="667"/>
      <c r="O1604" s="636"/>
      <c r="P1604" s="637"/>
      <c r="Q1604" s="574"/>
      <c r="R1604" s="574">
        <v>2</v>
      </c>
      <c r="S1604" s="900">
        <f t="shared" ref="S1604:S1669" si="524">+R1604-E1604</f>
        <v>0</v>
      </c>
      <c r="U1604" s="574"/>
    </row>
    <row r="1605" spans="1:21" ht="21.3">
      <c r="A1605" s="665"/>
      <c r="B1605" s="1114" t="s">
        <v>419</v>
      </c>
      <c r="C1605" s="623" t="s">
        <v>618</v>
      </c>
      <c r="D1605" s="1124"/>
      <c r="E1605" s="637">
        <v>2</v>
      </c>
      <c r="F1605" s="625" t="s">
        <v>363</v>
      </c>
      <c r="G1605" s="620">
        <v>24510</v>
      </c>
      <c r="H1605" s="676">
        <f t="shared" si="521"/>
        <v>49020</v>
      </c>
      <c r="I1605" s="677">
        <v>3500</v>
      </c>
      <c r="J1605" s="678">
        <f t="shared" si="522"/>
        <v>7000</v>
      </c>
      <c r="K1605" s="675">
        <f t="shared" si="523"/>
        <v>56020</v>
      </c>
      <c r="L1605" s="1061"/>
      <c r="M1605" s="574"/>
      <c r="N1605" s="667"/>
      <c r="O1605" s="636"/>
      <c r="P1605" s="637"/>
      <c r="Q1605" s="574"/>
      <c r="R1605" s="574">
        <v>2</v>
      </c>
      <c r="S1605" s="900">
        <f t="shared" si="524"/>
        <v>0</v>
      </c>
      <c r="U1605" s="574"/>
    </row>
    <row r="1606" spans="1:21" ht="21.3">
      <c r="A1606" s="665"/>
      <c r="B1606" s="1114" t="s">
        <v>420</v>
      </c>
      <c r="C1606" s="623" t="s">
        <v>619</v>
      </c>
      <c r="D1606" s="1124"/>
      <c r="E1606" s="637">
        <v>2</v>
      </c>
      <c r="F1606" s="625" t="s">
        <v>363</v>
      </c>
      <c r="G1606" s="620">
        <v>34531</v>
      </c>
      <c r="H1606" s="676">
        <f t="shared" si="521"/>
        <v>69062</v>
      </c>
      <c r="I1606" s="677">
        <v>6200</v>
      </c>
      <c r="J1606" s="678">
        <f t="shared" si="522"/>
        <v>12400</v>
      </c>
      <c r="K1606" s="675">
        <f t="shared" si="523"/>
        <v>81462</v>
      </c>
      <c r="L1606" s="1061"/>
      <c r="M1606" s="574"/>
      <c r="N1606" s="667"/>
      <c r="O1606" s="636"/>
      <c r="P1606" s="637"/>
      <c r="Q1606" s="574"/>
      <c r="R1606" s="574">
        <v>2</v>
      </c>
      <c r="S1606" s="900">
        <f t="shared" si="524"/>
        <v>0</v>
      </c>
      <c r="U1606" s="574"/>
    </row>
    <row r="1607" spans="1:21" ht="21.3">
      <c r="A1607" s="665"/>
      <c r="B1607" s="1114" t="s">
        <v>421</v>
      </c>
      <c r="C1607" s="623" t="s">
        <v>620</v>
      </c>
      <c r="D1607" s="1124"/>
      <c r="E1607" s="637">
        <v>4</v>
      </c>
      <c r="F1607" s="625" t="s">
        <v>363</v>
      </c>
      <c r="G1607" s="620">
        <v>12131</v>
      </c>
      <c r="H1607" s="676">
        <f t="shared" si="521"/>
        <v>48524</v>
      </c>
      <c r="I1607" s="677">
        <v>3000</v>
      </c>
      <c r="J1607" s="678">
        <f t="shared" si="522"/>
        <v>12000</v>
      </c>
      <c r="K1607" s="675">
        <f t="shared" si="523"/>
        <v>60524</v>
      </c>
      <c r="L1607" s="1061"/>
      <c r="M1607" s="574"/>
      <c r="N1607" s="667"/>
      <c r="O1607" s="636"/>
      <c r="P1607" s="637"/>
      <c r="Q1607" s="574"/>
      <c r="R1607" s="574">
        <v>4</v>
      </c>
      <c r="S1607" s="900">
        <f t="shared" si="524"/>
        <v>0</v>
      </c>
      <c r="U1607" s="574"/>
    </row>
    <row r="1608" spans="1:21" ht="21.3">
      <c r="A1608" s="665"/>
      <c r="B1608" s="1114" t="s">
        <v>422</v>
      </c>
      <c r="C1608" s="623" t="s">
        <v>621</v>
      </c>
      <c r="D1608" s="1124"/>
      <c r="E1608" s="637">
        <v>4</v>
      </c>
      <c r="F1608" s="625" t="s">
        <v>363</v>
      </c>
      <c r="G1608" s="620">
        <v>24200</v>
      </c>
      <c r="H1608" s="676">
        <f t="shared" si="521"/>
        <v>96800</v>
      </c>
      <c r="I1608" s="677">
        <v>5400</v>
      </c>
      <c r="J1608" s="678">
        <f t="shared" si="522"/>
        <v>21600</v>
      </c>
      <c r="K1608" s="675">
        <f t="shared" si="523"/>
        <v>118400</v>
      </c>
      <c r="L1608" s="1061"/>
      <c r="M1608" s="574"/>
      <c r="N1608" s="667"/>
      <c r="O1608" s="636"/>
      <c r="P1608" s="637"/>
      <c r="Q1608" s="574"/>
      <c r="R1608" s="574">
        <v>4</v>
      </c>
      <c r="S1608" s="900">
        <f t="shared" si="524"/>
        <v>0</v>
      </c>
      <c r="U1608" s="574"/>
    </row>
    <row r="1609" spans="1:21" ht="21.3">
      <c r="A1609" s="665"/>
      <c r="B1609" s="1114" t="s">
        <v>423</v>
      </c>
      <c r="C1609" s="623" t="s">
        <v>622</v>
      </c>
      <c r="D1609" s="1124"/>
      <c r="E1609" s="637">
        <v>2</v>
      </c>
      <c r="F1609" s="625" t="s">
        <v>363</v>
      </c>
      <c r="G1609" s="620">
        <v>18705</v>
      </c>
      <c r="H1609" s="676">
        <f t="shared" si="521"/>
        <v>37410</v>
      </c>
      <c r="I1609" s="677">
        <v>4600</v>
      </c>
      <c r="J1609" s="678">
        <f t="shared" si="522"/>
        <v>9200</v>
      </c>
      <c r="K1609" s="675">
        <f t="shared" si="523"/>
        <v>46610</v>
      </c>
      <c r="L1609" s="1061"/>
      <c r="M1609" s="574"/>
      <c r="N1609" s="667"/>
      <c r="O1609" s="636"/>
      <c r="P1609" s="637"/>
      <c r="Q1609" s="574"/>
      <c r="R1609" s="574">
        <v>2</v>
      </c>
      <c r="S1609" s="900">
        <f t="shared" si="524"/>
        <v>0</v>
      </c>
      <c r="U1609" s="574"/>
    </row>
    <row r="1610" spans="1:21" ht="21.3">
      <c r="A1610" s="665"/>
      <c r="B1610" s="1114"/>
      <c r="C1610" s="623" t="s">
        <v>623</v>
      </c>
      <c r="D1610" s="1124"/>
      <c r="E1610" s="637">
        <v>4</v>
      </c>
      <c r="F1610" s="625" t="s">
        <v>363</v>
      </c>
      <c r="G1610" s="620">
        <v>26320</v>
      </c>
      <c r="H1610" s="676">
        <f t="shared" ref="H1610" si="525">SUM(E1610*G1610)</f>
        <v>105280</v>
      </c>
      <c r="I1610" s="677">
        <v>5900</v>
      </c>
      <c r="J1610" s="678">
        <f t="shared" si="522"/>
        <v>23600</v>
      </c>
      <c r="K1610" s="675">
        <f t="shared" si="523"/>
        <v>128880</v>
      </c>
      <c r="L1610" s="1061"/>
      <c r="M1610" s="574"/>
      <c r="N1610" s="667"/>
      <c r="O1610" s="636"/>
      <c r="P1610" s="637"/>
      <c r="Q1610" s="574"/>
      <c r="R1610" s="574">
        <v>7</v>
      </c>
      <c r="S1610" s="900">
        <f t="shared" si="524"/>
        <v>3</v>
      </c>
      <c r="U1610" s="574"/>
    </row>
    <row r="1611" spans="1:21" ht="21.3">
      <c r="A1611" s="665"/>
      <c r="B1611" s="1114"/>
      <c r="C1611" s="617"/>
      <c r="D1611" s="1124"/>
      <c r="E1611" s="637"/>
      <c r="F1611" s="625"/>
      <c r="G1611" s="620"/>
      <c r="H1611" s="676"/>
      <c r="I1611" s="677"/>
      <c r="J1611" s="678"/>
      <c r="K1611" s="675"/>
      <c r="L1611" s="1061"/>
      <c r="M1611" s="574"/>
      <c r="N1611" s="667"/>
      <c r="O1611" s="636"/>
      <c r="P1611" s="637"/>
      <c r="Q1611" s="574"/>
      <c r="R1611" s="574"/>
      <c r="S1611" s="900">
        <f t="shared" si="524"/>
        <v>0</v>
      </c>
      <c r="U1611" s="574"/>
    </row>
    <row r="1612" spans="1:21" ht="21.3">
      <c r="A1612" s="665" t="s">
        <v>426</v>
      </c>
      <c r="B1612" s="1111" t="s">
        <v>427</v>
      </c>
      <c r="C1612" s="617"/>
      <c r="D1612" s="1124"/>
      <c r="E1612" s="637"/>
      <c r="F1612" s="625"/>
      <c r="G1612" s="620"/>
      <c r="H1612" s="676">
        <f t="shared" ref="H1612:H1667" si="526">SUM(E1612*G1612)</f>
        <v>0</v>
      </c>
      <c r="I1612" s="677"/>
      <c r="J1612" s="678">
        <f t="shared" si="522"/>
        <v>0</v>
      </c>
      <c r="K1612" s="675"/>
      <c r="L1612" s="1061"/>
      <c r="M1612" s="900">
        <f>SUM(E1613:E1622)</f>
        <v>27</v>
      </c>
      <c r="N1612" s="667"/>
      <c r="O1612" s="636"/>
      <c r="P1612" s="637"/>
      <c r="Q1612" s="574"/>
      <c r="R1612" s="574"/>
      <c r="S1612" s="900">
        <f t="shared" si="524"/>
        <v>0</v>
      </c>
      <c r="U1612" s="574"/>
    </row>
    <row r="1613" spans="1:21" ht="21.3">
      <c r="A1613" s="665"/>
      <c r="B1613" s="1114" t="s">
        <v>417</v>
      </c>
      <c r="C1613" s="617" t="s">
        <v>616</v>
      </c>
      <c r="D1613" s="1124"/>
      <c r="E1613" s="637">
        <v>2</v>
      </c>
      <c r="F1613" s="625" t="s">
        <v>363</v>
      </c>
      <c r="G1613" s="620">
        <v>88800</v>
      </c>
      <c r="H1613" s="676">
        <f t="shared" si="526"/>
        <v>177600</v>
      </c>
      <c r="I1613" s="677">
        <v>31000</v>
      </c>
      <c r="J1613" s="678">
        <f t="shared" si="522"/>
        <v>62000</v>
      </c>
      <c r="K1613" s="675">
        <f t="shared" ref="K1613:K1676" si="527">SUM(H1613+J1613)</f>
        <v>239600</v>
      </c>
      <c r="L1613" s="1061"/>
      <c r="M1613" s="574"/>
      <c r="N1613" s="667"/>
      <c r="O1613" s="636"/>
      <c r="P1613" s="637"/>
      <c r="Q1613" s="574"/>
      <c r="R1613" s="574">
        <v>2</v>
      </c>
      <c r="S1613" s="900">
        <f t="shared" si="524"/>
        <v>0</v>
      </c>
      <c r="U1613" s="574"/>
    </row>
    <row r="1614" spans="1:21" ht="21.3">
      <c r="A1614" s="665"/>
      <c r="B1614" s="1114" t="s">
        <v>418</v>
      </c>
      <c r="C1614" s="617" t="s">
        <v>617</v>
      </c>
      <c r="D1614" s="1124"/>
      <c r="E1614" s="637">
        <v>4</v>
      </c>
      <c r="F1614" s="625" t="s">
        <v>363</v>
      </c>
      <c r="G1614" s="620">
        <v>44140</v>
      </c>
      <c r="H1614" s="676">
        <f t="shared" si="526"/>
        <v>176560</v>
      </c>
      <c r="I1614" s="677">
        <v>15400</v>
      </c>
      <c r="J1614" s="678">
        <f t="shared" si="522"/>
        <v>61600</v>
      </c>
      <c r="K1614" s="675">
        <f t="shared" si="527"/>
        <v>238160</v>
      </c>
      <c r="L1614" s="1061"/>
      <c r="M1614" s="574"/>
      <c r="N1614" s="667"/>
      <c r="O1614" s="636"/>
      <c r="P1614" s="637"/>
      <c r="Q1614" s="574"/>
      <c r="R1614" s="574">
        <v>4</v>
      </c>
      <c r="S1614" s="900">
        <f t="shared" si="524"/>
        <v>0</v>
      </c>
      <c r="U1614" s="574"/>
    </row>
    <row r="1615" spans="1:21" ht="21.3">
      <c r="A1615" s="665"/>
      <c r="B1615" s="1114" t="s">
        <v>419</v>
      </c>
      <c r="C1615" s="617" t="s">
        <v>618</v>
      </c>
      <c r="D1615" s="1124"/>
      <c r="E1615" s="637">
        <v>2</v>
      </c>
      <c r="F1615" s="625" t="s">
        <v>363</v>
      </c>
      <c r="G1615" s="620">
        <v>24510</v>
      </c>
      <c r="H1615" s="676">
        <f t="shared" si="526"/>
        <v>49020</v>
      </c>
      <c r="I1615" s="677">
        <v>3500</v>
      </c>
      <c r="J1615" s="678">
        <f t="shared" si="522"/>
        <v>7000</v>
      </c>
      <c r="K1615" s="675">
        <f t="shared" si="527"/>
        <v>56020</v>
      </c>
      <c r="L1615" s="1061"/>
      <c r="M1615" s="574"/>
      <c r="N1615" s="667"/>
      <c r="O1615" s="636"/>
      <c r="P1615" s="637"/>
      <c r="Q1615" s="574"/>
      <c r="R1615" s="574">
        <v>2</v>
      </c>
      <c r="S1615" s="900">
        <f t="shared" si="524"/>
        <v>0</v>
      </c>
      <c r="U1615" s="574"/>
    </row>
    <row r="1616" spans="1:21" ht="21.3">
      <c r="A1616" s="665"/>
      <c r="B1616" s="1114" t="s">
        <v>420</v>
      </c>
      <c r="C1616" s="617" t="s">
        <v>619</v>
      </c>
      <c r="D1616" s="1124"/>
      <c r="E1616" s="637">
        <v>2</v>
      </c>
      <c r="F1616" s="625" t="s">
        <v>363</v>
      </c>
      <c r="G1616" s="620">
        <v>34531</v>
      </c>
      <c r="H1616" s="676">
        <f t="shared" si="526"/>
        <v>69062</v>
      </c>
      <c r="I1616" s="677">
        <v>6200</v>
      </c>
      <c r="J1616" s="678">
        <f t="shared" si="522"/>
        <v>12400</v>
      </c>
      <c r="K1616" s="675">
        <f t="shared" si="527"/>
        <v>81462</v>
      </c>
      <c r="L1616" s="1061"/>
      <c r="M1616" s="574"/>
      <c r="N1616" s="667"/>
      <c r="O1616" s="636"/>
      <c r="P1616" s="637"/>
      <c r="Q1616" s="574"/>
      <c r="R1616" s="574">
        <v>2</v>
      </c>
      <c r="S1616" s="900">
        <f t="shared" si="524"/>
        <v>0</v>
      </c>
      <c r="U1616" s="574"/>
    </row>
    <row r="1617" spans="1:21" ht="21.3">
      <c r="A1617" s="665"/>
      <c r="B1617" s="1114" t="s">
        <v>421</v>
      </c>
      <c r="C1617" s="617" t="s">
        <v>620</v>
      </c>
      <c r="D1617" s="1124"/>
      <c r="E1617" s="637">
        <v>6</v>
      </c>
      <c r="F1617" s="625" t="s">
        <v>363</v>
      </c>
      <c r="G1617" s="620">
        <v>12131</v>
      </c>
      <c r="H1617" s="676">
        <f t="shared" si="526"/>
        <v>72786</v>
      </c>
      <c r="I1617" s="677">
        <v>3000</v>
      </c>
      <c r="J1617" s="678">
        <f t="shared" si="522"/>
        <v>18000</v>
      </c>
      <c r="K1617" s="675">
        <f t="shared" si="527"/>
        <v>90786</v>
      </c>
      <c r="L1617" s="1061"/>
      <c r="M1617" s="574"/>
      <c r="N1617" s="667"/>
      <c r="O1617" s="636"/>
      <c r="P1617" s="637"/>
      <c r="Q1617" s="574"/>
      <c r="R1617" s="574">
        <v>6</v>
      </c>
      <c r="S1617" s="900">
        <f t="shared" si="524"/>
        <v>0</v>
      </c>
      <c r="U1617" s="574"/>
    </row>
    <row r="1618" spans="1:21" ht="21.3">
      <c r="A1618" s="665"/>
      <c r="B1618" s="1114" t="s">
        <v>422</v>
      </c>
      <c r="C1618" s="617" t="s">
        <v>621</v>
      </c>
      <c r="D1618" s="1124"/>
      <c r="E1618" s="637">
        <v>2</v>
      </c>
      <c r="F1618" s="625" t="s">
        <v>363</v>
      </c>
      <c r="G1618" s="620">
        <v>24200</v>
      </c>
      <c r="H1618" s="676">
        <f t="shared" si="526"/>
        <v>48400</v>
      </c>
      <c r="I1618" s="677">
        <v>5400</v>
      </c>
      <c r="J1618" s="678">
        <f t="shared" si="522"/>
        <v>10800</v>
      </c>
      <c r="K1618" s="675">
        <f t="shared" si="527"/>
        <v>59200</v>
      </c>
      <c r="L1618" s="1061"/>
      <c r="M1618" s="574"/>
      <c r="N1618" s="667"/>
      <c r="O1618" s="636"/>
      <c r="P1618" s="637"/>
      <c r="Q1618" s="574"/>
      <c r="R1618" s="574">
        <v>2</v>
      </c>
      <c r="S1618" s="900">
        <f t="shared" si="524"/>
        <v>0</v>
      </c>
      <c r="U1618" s="574"/>
    </row>
    <row r="1619" spans="1:21" ht="21.3">
      <c r="A1619" s="665"/>
      <c r="B1619" s="1114" t="s">
        <v>428</v>
      </c>
      <c r="C1619" s="623" t="s">
        <v>633</v>
      </c>
      <c r="D1619" s="1124"/>
      <c r="E1619" s="637">
        <v>1</v>
      </c>
      <c r="F1619" s="625" t="s">
        <v>363</v>
      </c>
      <c r="G1619" s="620">
        <v>12131</v>
      </c>
      <c r="H1619" s="676">
        <f t="shared" si="526"/>
        <v>12131</v>
      </c>
      <c r="I1619" s="677">
        <v>3000</v>
      </c>
      <c r="J1619" s="678">
        <f t="shared" si="522"/>
        <v>3000</v>
      </c>
      <c r="K1619" s="675">
        <f t="shared" si="527"/>
        <v>15131</v>
      </c>
      <c r="L1619" s="1061"/>
      <c r="M1619" s="574"/>
      <c r="N1619" s="667"/>
      <c r="O1619" s="636"/>
      <c r="P1619" s="637"/>
      <c r="Q1619" s="574"/>
      <c r="R1619" s="574">
        <v>4</v>
      </c>
      <c r="S1619" s="900">
        <f t="shared" si="524"/>
        <v>3</v>
      </c>
      <c r="U1619" s="574"/>
    </row>
    <row r="1620" spans="1:21" ht="21.3">
      <c r="A1620" s="665"/>
      <c r="B1620" s="1114" t="s">
        <v>423</v>
      </c>
      <c r="C1620" s="623" t="s">
        <v>622</v>
      </c>
      <c r="D1620" s="1124"/>
      <c r="E1620" s="637">
        <v>2</v>
      </c>
      <c r="F1620" s="625" t="s">
        <v>363</v>
      </c>
      <c r="G1620" s="620">
        <v>18705</v>
      </c>
      <c r="H1620" s="676">
        <f t="shared" si="526"/>
        <v>37410</v>
      </c>
      <c r="I1620" s="677">
        <v>4600</v>
      </c>
      <c r="J1620" s="678">
        <f t="shared" si="522"/>
        <v>9200</v>
      </c>
      <c r="K1620" s="675">
        <f t="shared" si="527"/>
        <v>46610</v>
      </c>
      <c r="L1620" s="1061"/>
      <c r="M1620" s="574"/>
      <c r="N1620" s="667"/>
      <c r="O1620" s="636"/>
      <c r="P1620" s="637"/>
      <c r="Q1620" s="574"/>
      <c r="R1620" s="574">
        <v>2</v>
      </c>
      <c r="S1620" s="900">
        <f t="shared" si="524"/>
        <v>0</v>
      </c>
      <c r="U1620" s="574"/>
    </row>
    <row r="1621" spans="1:21" ht="21.3">
      <c r="A1621" s="665"/>
      <c r="B1621" s="1114"/>
      <c r="C1621" s="623" t="s">
        <v>623</v>
      </c>
      <c r="D1621" s="1124"/>
      <c r="E1621" s="637">
        <v>2</v>
      </c>
      <c r="F1621" s="625" t="s">
        <v>363</v>
      </c>
      <c r="G1621" s="620">
        <v>26320</v>
      </c>
      <c r="H1621" s="676">
        <f t="shared" si="526"/>
        <v>52640</v>
      </c>
      <c r="I1621" s="677">
        <v>5900</v>
      </c>
      <c r="J1621" s="678">
        <f t="shared" si="522"/>
        <v>11800</v>
      </c>
      <c r="K1621" s="675">
        <f t="shared" si="527"/>
        <v>64440</v>
      </c>
      <c r="L1621" s="1061"/>
      <c r="M1621" s="574"/>
      <c r="N1621" s="667"/>
      <c r="O1621" s="636"/>
      <c r="P1621" s="637"/>
      <c r="Q1621" s="574"/>
      <c r="R1621" s="574">
        <v>11</v>
      </c>
      <c r="S1621" s="900">
        <f t="shared" si="524"/>
        <v>9</v>
      </c>
      <c r="U1621" s="574"/>
    </row>
    <row r="1622" spans="1:21" ht="21.3">
      <c r="A1622" s="665"/>
      <c r="B1622" s="1114"/>
      <c r="C1622" s="623" t="s">
        <v>625</v>
      </c>
      <c r="D1622" s="1124"/>
      <c r="E1622" s="637">
        <v>4</v>
      </c>
      <c r="F1622" s="625" t="s">
        <v>363</v>
      </c>
      <c r="G1622" s="620">
        <v>12940</v>
      </c>
      <c r="H1622" s="676">
        <f t="shared" si="526"/>
        <v>51760</v>
      </c>
      <c r="I1622" s="677">
        <v>3200</v>
      </c>
      <c r="J1622" s="678">
        <f t="shared" si="522"/>
        <v>12800</v>
      </c>
      <c r="K1622" s="675">
        <f t="shared" si="527"/>
        <v>64560</v>
      </c>
      <c r="L1622" s="1061"/>
      <c r="M1622" s="574"/>
      <c r="N1622" s="667"/>
      <c r="O1622" s="636"/>
      <c r="P1622" s="637"/>
      <c r="Q1622" s="574"/>
      <c r="R1622" s="574">
        <v>4</v>
      </c>
      <c r="S1622" s="900">
        <f t="shared" si="524"/>
        <v>0</v>
      </c>
      <c r="U1622" s="574"/>
    </row>
    <row r="1623" spans="1:21" ht="21.3">
      <c r="A1623" s="665"/>
      <c r="B1623" s="1114"/>
      <c r="C1623" s="623" t="s">
        <v>1046</v>
      </c>
      <c r="D1623" s="1124"/>
      <c r="E1623" s="637">
        <v>6</v>
      </c>
      <c r="F1623" s="625" t="s">
        <v>34</v>
      </c>
      <c r="G1623" s="620">
        <v>6800</v>
      </c>
      <c r="H1623" s="676">
        <f t="shared" si="526"/>
        <v>40800</v>
      </c>
      <c r="I1623" s="677">
        <v>0</v>
      </c>
      <c r="J1623" s="678">
        <f t="shared" si="522"/>
        <v>0</v>
      </c>
      <c r="K1623" s="675">
        <f t="shared" si="527"/>
        <v>40800</v>
      </c>
      <c r="L1623" s="1061"/>
      <c r="M1623" s="574"/>
      <c r="N1623" s="667"/>
      <c r="O1623" s="636"/>
      <c r="P1623" s="637"/>
      <c r="Q1623" s="574"/>
      <c r="R1623" s="574"/>
      <c r="S1623" s="900">
        <f t="shared" si="524"/>
        <v>-6</v>
      </c>
      <c r="U1623" s="574"/>
    </row>
    <row r="1624" spans="1:21" ht="21.3">
      <c r="A1624" s="665"/>
      <c r="B1624" s="1114"/>
      <c r="C1624" s="623" t="s">
        <v>1047</v>
      </c>
      <c r="D1624" s="1124"/>
      <c r="E1624" s="637">
        <v>5</v>
      </c>
      <c r="F1624" s="625" t="s">
        <v>34</v>
      </c>
      <c r="G1624" s="620">
        <v>6800</v>
      </c>
      <c r="H1624" s="676">
        <f t="shared" si="526"/>
        <v>34000</v>
      </c>
      <c r="I1624" s="677">
        <v>0</v>
      </c>
      <c r="J1624" s="678">
        <f t="shared" si="522"/>
        <v>0</v>
      </c>
      <c r="K1624" s="675">
        <f>SUM(H1624+J1624)</f>
        <v>34000</v>
      </c>
      <c r="L1624" s="1061"/>
      <c r="M1624" s="574"/>
      <c r="N1624" s="667"/>
      <c r="O1624" s="636"/>
      <c r="P1624" s="637"/>
      <c r="Q1624" s="574"/>
      <c r="R1624" s="574"/>
      <c r="S1624" s="900">
        <f t="shared" si="524"/>
        <v>-5</v>
      </c>
      <c r="U1624" s="574"/>
    </row>
    <row r="1625" spans="1:21" ht="21.3">
      <c r="A1625" s="665"/>
      <c r="B1625" s="1114"/>
      <c r="C1625" s="617"/>
      <c r="D1625" s="1124"/>
      <c r="E1625" s="637"/>
      <c r="F1625" s="625"/>
      <c r="G1625" s="620"/>
      <c r="H1625" s="676">
        <f t="shared" si="526"/>
        <v>0</v>
      </c>
      <c r="I1625" s="677"/>
      <c r="J1625" s="678">
        <f t="shared" si="522"/>
        <v>0</v>
      </c>
      <c r="K1625" s="675">
        <f t="shared" si="527"/>
        <v>0</v>
      </c>
      <c r="L1625" s="1061"/>
      <c r="M1625" s="574"/>
      <c r="N1625" s="667"/>
      <c r="O1625" s="636"/>
      <c r="P1625" s="637"/>
      <c r="Q1625" s="574"/>
      <c r="R1625" s="574"/>
      <c r="S1625" s="900">
        <f t="shared" si="524"/>
        <v>0</v>
      </c>
      <c r="U1625" s="574"/>
    </row>
    <row r="1626" spans="1:21" ht="21.3">
      <c r="A1626" s="665" t="s">
        <v>429</v>
      </c>
      <c r="B1626" s="1111" t="s">
        <v>430</v>
      </c>
      <c r="C1626" s="617"/>
      <c r="D1626" s="1124"/>
      <c r="E1626" s="637"/>
      <c r="F1626" s="625"/>
      <c r="G1626" s="620"/>
      <c r="H1626" s="676">
        <f t="shared" si="526"/>
        <v>0</v>
      </c>
      <c r="I1626" s="677"/>
      <c r="J1626" s="678">
        <f t="shared" si="522"/>
        <v>0</v>
      </c>
      <c r="K1626" s="675">
        <f t="shared" si="527"/>
        <v>0</v>
      </c>
      <c r="L1626" s="1061"/>
      <c r="M1626" s="900">
        <f>SUM(E1627:E1652)</f>
        <v>41</v>
      </c>
      <c r="N1626" s="667"/>
      <c r="O1626" s="636"/>
      <c r="P1626" s="637"/>
      <c r="Q1626" s="574"/>
      <c r="R1626" s="574"/>
      <c r="S1626" s="900">
        <f t="shared" si="524"/>
        <v>0</v>
      </c>
      <c r="U1626" s="574"/>
    </row>
    <row r="1627" spans="1:21" ht="21.3">
      <c r="A1627" s="665"/>
      <c r="B1627" s="1114" t="s">
        <v>417</v>
      </c>
      <c r="C1627" s="617" t="s">
        <v>616</v>
      </c>
      <c r="D1627" s="1124"/>
      <c r="E1627" s="637">
        <v>4</v>
      </c>
      <c r="F1627" s="625" t="s">
        <v>363</v>
      </c>
      <c r="G1627" s="620">
        <v>88800</v>
      </c>
      <c r="H1627" s="676">
        <f t="shared" si="526"/>
        <v>355200</v>
      </c>
      <c r="I1627" s="677">
        <v>31000</v>
      </c>
      <c r="J1627" s="678">
        <f t="shared" si="522"/>
        <v>124000</v>
      </c>
      <c r="K1627" s="675">
        <f t="shared" si="527"/>
        <v>479200</v>
      </c>
      <c r="L1627" s="1061"/>
      <c r="M1627" s="574"/>
      <c r="N1627" s="667"/>
      <c r="O1627" s="636"/>
      <c r="P1627" s="637"/>
      <c r="Q1627" s="574"/>
      <c r="R1627" s="574">
        <v>6</v>
      </c>
      <c r="S1627" s="900">
        <f t="shared" si="524"/>
        <v>2</v>
      </c>
      <c r="U1627" s="574"/>
    </row>
    <row r="1628" spans="1:21" ht="21.3">
      <c r="A1628" s="665"/>
      <c r="B1628" s="1114" t="s">
        <v>418</v>
      </c>
      <c r="C1628" s="617" t="s">
        <v>617</v>
      </c>
      <c r="D1628" s="1124"/>
      <c r="E1628" s="637">
        <v>2</v>
      </c>
      <c r="F1628" s="625" t="s">
        <v>363</v>
      </c>
      <c r="G1628" s="620">
        <v>44140</v>
      </c>
      <c r="H1628" s="676">
        <f t="shared" si="526"/>
        <v>88280</v>
      </c>
      <c r="I1628" s="677">
        <v>15400</v>
      </c>
      <c r="J1628" s="678">
        <f t="shared" si="522"/>
        <v>30800</v>
      </c>
      <c r="K1628" s="675">
        <f t="shared" si="527"/>
        <v>119080</v>
      </c>
      <c r="L1628" s="1061"/>
      <c r="M1628" s="574"/>
      <c r="N1628" s="667"/>
      <c r="O1628" s="636"/>
      <c r="P1628" s="637"/>
      <c r="Q1628" s="574"/>
      <c r="R1628" s="574">
        <v>2</v>
      </c>
      <c r="S1628" s="900">
        <f t="shared" si="524"/>
        <v>0</v>
      </c>
      <c r="U1628" s="574"/>
    </row>
    <row r="1629" spans="1:21" ht="21.3">
      <c r="A1629" s="665"/>
      <c r="B1629" s="1114"/>
      <c r="C1629" s="617" t="s">
        <v>626</v>
      </c>
      <c r="D1629" s="1124"/>
      <c r="E1629" s="637">
        <v>2</v>
      </c>
      <c r="F1629" s="625" t="s">
        <v>363</v>
      </c>
      <c r="G1629" s="620">
        <v>36420</v>
      </c>
      <c r="H1629" s="676">
        <f t="shared" si="526"/>
        <v>72840</v>
      </c>
      <c r="I1629" s="677">
        <v>12700</v>
      </c>
      <c r="J1629" s="678">
        <f t="shared" si="522"/>
        <v>25400</v>
      </c>
      <c r="K1629" s="675">
        <f t="shared" si="527"/>
        <v>98240</v>
      </c>
      <c r="L1629" s="1061"/>
      <c r="M1629" s="574"/>
      <c r="N1629" s="667"/>
      <c r="O1629" s="636"/>
      <c r="P1629" s="637"/>
      <c r="Q1629" s="574"/>
      <c r="R1629" s="574">
        <v>2</v>
      </c>
      <c r="S1629" s="900">
        <f t="shared" si="524"/>
        <v>0</v>
      </c>
      <c r="U1629" s="574"/>
    </row>
    <row r="1630" spans="1:21" ht="21.3">
      <c r="A1630" s="665"/>
      <c r="B1630" s="1114" t="s">
        <v>431</v>
      </c>
      <c r="C1630" s="617" t="s">
        <v>627</v>
      </c>
      <c r="D1630" s="1124"/>
      <c r="E1630" s="637">
        <v>0</v>
      </c>
      <c r="F1630" s="625" t="s">
        <v>363</v>
      </c>
      <c r="G1630" s="620">
        <v>73390</v>
      </c>
      <c r="H1630" s="676">
        <f t="shared" si="526"/>
        <v>0</v>
      </c>
      <c r="I1630" s="677">
        <v>25600</v>
      </c>
      <c r="J1630" s="678">
        <f t="shared" si="522"/>
        <v>0</v>
      </c>
      <c r="K1630" s="675">
        <f t="shared" si="527"/>
        <v>0</v>
      </c>
      <c r="L1630" s="1061"/>
      <c r="M1630" s="574"/>
      <c r="N1630" s="667"/>
      <c r="O1630" s="636"/>
      <c r="P1630" s="637"/>
      <c r="Q1630" s="574"/>
      <c r="R1630" s="574">
        <v>2</v>
      </c>
      <c r="S1630" s="900">
        <f t="shared" si="524"/>
        <v>2</v>
      </c>
      <c r="U1630" s="574"/>
    </row>
    <row r="1631" spans="1:21" ht="21.3">
      <c r="A1631" s="665"/>
      <c r="B1631" s="1114"/>
      <c r="C1631" s="617" t="s">
        <v>628</v>
      </c>
      <c r="D1631" s="1124"/>
      <c r="E1631" s="637">
        <v>0</v>
      </c>
      <c r="F1631" s="625" t="s">
        <v>363</v>
      </c>
      <c r="G1631" s="620">
        <v>77650</v>
      </c>
      <c r="H1631" s="676">
        <f>SUM(E1631*G1631)</f>
        <v>0</v>
      </c>
      <c r="I1631" s="677">
        <v>27100</v>
      </c>
      <c r="J1631" s="678">
        <f t="shared" si="522"/>
        <v>0</v>
      </c>
      <c r="K1631" s="675">
        <f t="shared" si="527"/>
        <v>0</v>
      </c>
      <c r="L1631" s="1061"/>
      <c r="M1631" s="574"/>
      <c r="N1631" s="667"/>
      <c r="O1631" s="636"/>
      <c r="P1631" s="637"/>
      <c r="Q1631" s="574"/>
      <c r="R1631" s="574">
        <v>5</v>
      </c>
      <c r="S1631" s="900">
        <f t="shared" si="524"/>
        <v>5</v>
      </c>
      <c r="U1631" s="574"/>
    </row>
    <row r="1632" spans="1:21" ht="21.3">
      <c r="A1632" s="665"/>
      <c r="B1632" s="1114"/>
      <c r="C1632" s="617" t="s">
        <v>629</v>
      </c>
      <c r="D1632" s="1124"/>
      <c r="E1632" s="637">
        <v>0</v>
      </c>
      <c r="F1632" s="625" t="s">
        <v>363</v>
      </c>
      <c r="G1632" s="620">
        <v>98390</v>
      </c>
      <c r="H1632" s="676">
        <f t="shared" ref="H1632:H1633" si="528">SUM(E1632*G1632)</f>
        <v>0</v>
      </c>
      <c r="I1632" s="677">
        <v>34400</v>
      </c>
      <c r="J1632" s="678">
        <f t="shared" si="522"/>
        <v>0</v>
      </c>
      <c r="K1632" s="675">
        <f t="shared" si="527"/>
        <v>0</v>
      </c>
      <c r="L1632" s="1061"/>
      <c r="M1632" s="574"/>
      <c r="N1632" s="667"/>
      <c r="O1632" s="636"/>
      <c r="P1632" s="637"/>
      <c r="Q1632" s="574"/>
      <c r="R1632" s="574">
        <v>1</v>
      </c>
      <c r="S1632" s="900">
        <f t="shared" si="524"/>
        <v>1</v>
      </c>
      <c r="U1632" s="574"/>
    </row>
    <row r="1633" spans="1:21" ht="21.3">
      <c r="A1633" s="665"/>
      <c r="B1633" s="1114"/>
      <c r="C1633" s="617" t="s">
        <v>630</v>
      </c>
      <c r="D1633" s="1124"/>
      <c r="E1633" s="637">
        <v>0</v>
      </c>
      <c r="F1633" s="625" t="s">
        <v>363</v>
      </c>
      <c r="G1633" s="620">
        <v>45060</v>
      </c>
      <c r="H1633" s="676">
        <f t="shared" si="528"/>
        <v>0</v>
      </c>
      <c r="I1633" s="677">
        <v>15700</v>
      </c>
      <c r="J1633" s="678">
        <f t="shared" si="522"/>
        <v>0</v>
      </c>
      <c r="K1633" s="675">
        <f t="shared" si="527"/>
        <v>0</v>
      </c>
      <c r="L1633" s="1061"/>
      <c r="M1633" s="574"/>
      <c r="N1633" s="667"/>
      <c r="O1633" s="636"/>
      <c r="P1633" s="637"/>
      <c r="Q1633" s="574"/>
      <c r="R1633" s="574">
        <v>27</v>
      </c>
      <c r="S1633" s="900">
        <f t="shared" si="524"/>
        <v>27</v>
      </c>
      <c r="U1633" s="574"/>
    </row>
    <row r="1634" spans="1:21" ht="21.3">
      <c r="A1634" s="665"/>
      <c r="B1634" s="1114" t="s">
        <v>419</v>
      </c>
      <c r="C1634" s="617" t="s">
        <v>618</v>
      </c>
      <c r="D1634" s="1124"/>
      <c r="E1634" s="637">
        <v>8</v>
      </c>
      <c r="F1634" s="625" t="s">
        <v>363</v>
      </c>
      <c r="G1634" s="620">
        <v>24510</v>
      </c>
      <c r="H1634" s="676">
        <f t="shared" si="526"/>
        <v>196080</v>
      </c>
      <c r="I1634" s="677">
        <v>3500</v>
      </c>
      <c r="J1634" s="678">
        <f t="shared" si="522"/>
        <v>28000</v>
      </c>
      <c r="K1634" s="675">
        <f t="shared" si="527"/>
        <v>224080</v>
      </c>
      <c r="L1634" s="1061"/>
      <c r="M1634" s="574"/>
      <c r="N1634" s="667"/>
      <c r="O1634" s="636"/>
      <c r="P1634" s="637"/>
      <c r="Q1634" s="574"/>
      <c r="R1634" s="574">
        <v>8</v>
      </c>
      <c r="S1634" s="900">
        <f t="shared" si="524"/>
        <v>0</v>
      </c>
      <c r="U1634" s="574"/>
    </row>
    <row r="1635" spans="1:21" ht="21.3">
      <c r="A1635" s="665"/>
      <c r="B1635" s="1114" t="s">
        <v>420</v>
      </c>
      <c r="C1635" s="617" t="s">
        <v>619</v>
      </c>
      <c r="D1635" s="1124"/>
      <c r="E1635" s="637">
        <v>2</v>
      </c>
      <c r="F1635" s="625" t="s">
        <v>363</v>
      </c>
      <c r="G1635" s="620">
        <v>34531</v>
      </c>
      <c r="H1635" s="676">
        <f t="shared" si="526"/>
        <v>69062</v>
      </c>
      <c r="I1635" s="677">
        <v>6200</v>
      </c>
      <c r="J1635" s="678">
        <f t="shared" si="522"/>
        <v>12400</v>
      </c>
      <c r="K1635" s="675">
        <f t="shared" si="527"/>
        <v>81462</v>
      </c>
      <c r="L1635" s="1061"/>
      <c r="M1635" s="574"/>
      <c r="N1635" s="667"/>
      <c r="O1635" s="636"/>
      <c r="P1635" s="637"/>
      <c r="Q1635" s="574"/>
      <c r="R1635" s="574">
        <v>2</v>
      </c>
      <c r="S1635" s="900">
        <f t="shared" si="524"/>
        <v>0</v>
      </c>
      <c r="U1635" s="574"/>
    </row>
    <row r="1636" spans="1:21" ht="21.3">
      <c r="A1636" s="665"/>
      <c r="B1636" s="1114"/>
      <c r="C1636" s="623" t="s">
        <v>1048</v>
      </c>
      <c r="D1636" s="1124"/>
      <c r="E1636" s="637">
        <v>0</v>
      </c>
      <c r="F1636" s="625" t="s">
        <v>363</v>
      </c>
      <c r="G1636" s="620">
        <v>24510</v>
      </c>
      <c r="H1636" s="676">
        <f>SUM(E1636*G1636)</f>
        <v>0</v>
      </c>
      <c r="I1636" s="677">
        <v>3500</v>
      </c>
      <c r="J1636" s="678">
        <f t="shared" si="522"/>
        <v>0</v>
      </c>
      <c r="K1636" s="675">
        <f t="shared" si="527"/>
        <v>0</v>
      </c>
      <c r="L1636" s="1061"/>
      <c r="M1636" s="901" t="s">
        <v>1049</v>
      </c>
      <c r="N1636" s="667"/>
      <c r="O1636" s="636"/>
      <c r="P1636" s="637"/>
      <c r="Q1636" s="574"/>
      <c r="R1636" s="574">
        <v>4</v>
      </c>
      <c r="S1636" s="900">
        <f t="shared" si="524"/>
        <v>4</v>
      </c>
      <c r="U1636" s="574"/>
    </row>
    <row r="1637" spans="1:21" ht="21.3">
      <c r="A1637" s="665"/>
      <c r="B1637" s="1114"/>
      <c r="C1637" s="623" t="s">
        <v>631</v>
      </c>
      <c r="D1637" s="1124"/>
      <c r="E1637" s="637">
        <v>0</v>
      </c>
      <c r="F1637" s="625" t="s">
        <v>363</v>
      </c>
      <c r="G1637" s="620">
        <v>34531</v>
      </c>
      <c r="H1637" s="676">
        <f>SUM(E1637*G1637)</f>
        <v>0</v>
      </c>
      <c r="I1637" s="677">
        <v>6200</v>
      </c>
      <c r="J1637" s="678">
        <f t="shared" si="522"/>
        <v>0</v>
      </c>
      <c r="K1637" s="675">
        <f t="shared" si="527"/>
        <v>0</v>
      </c>
      <c r="L1637" s="1061"/>
      <c r="M1637" s="574"/>
      <c r="N1637" s="667"/>
      <c r="O1637" s="636"/>
      <c r="P1637" s="637"/>
      <c r="Q1637" s="574"/>
      <c r="R1637" s="574">
        <v>1</v>
      </c>
      <c r="S1637" s="900">
        <f t="shared" si="524"/>
        <v>1</v>
      </c>
      <c r="U1637" s="574"/>
    </row>
    <row r="1638" spans="1:21" ht="21.3">
      <c r="A1638" s="665"/>
      <c r="B1638" s="1114"/>
      <c r="C1638" s="623" t="s">
        <v>632</v>
      </c>
      <c r="D1638" s="1124"/>
      <c r="E1638" s="637">
        <v>0</v>
      </c>
      <c r="F1638" s="625" t="s">
        <v>363</v>
      </c>
      <c r="G1638" s="620">
        <v>46160</v>
      </c>
      <c r="H1638" s="676">
        <f>SUM(E1638*G1638)</f>
        <v>0</v>
      </c>
      <c r="I1638" s="677">
        <v>6400</v>
      </c>
      <c r="J1638" s="678">
        <f t="shared" si="522"/>
        <v>0</v>
      </c>
      <c r="K1638" s="675">
        <f t="shared" si="527"/>
        <v>0</v>
      </c>
      <c r="L1638" s="1061"/>
      <c r="M1638" s="574"/>
      <c r="N1638" s="667"/>
      <c r="O1638" s="636"/>
      <c r="P1638" s="637"/>
      <c r="Q1638" s="574"/>
      <c r="R1638" s="574">
        <v>1</v>
      </c>
      <c r="S1638" s="900">
        <f t="shared" si="524"/>
        <v>1</v>
      </c>
      <c r="U1638" s="574"/>
    </row>
    <row r="1639" spans="1:21" ht="21.3">
      <c r="A1639" s="665"/>
      <c r="B1639" s="1114" t="s">
        <v>421</v>
      </c>
      <c r="C1639" s="623" t="s">
        <v>620</v>
      </c>
      <c r="D1639" s="1124"/>
      <c r="E1639" s="637">
        <v>8</v>
      </c>
      <c r="F1639" s="625" t="s">
        <v>363</v>
      </c>
      <c r="G1639" s="620">
        <v>12131</v>
      </c>
      <c r="H1639" s="676">
        <f t="shared" si="526"/>
        <v>97048</v>
      </c>
      <c r="I1639" s="677">
        <v>3000</v>
      </c>
      <c r="J1639" s="678">
        <f t="shared" si="522"/>
        <v>24000</v>
      </c>
      <c r="K1639" s="675">
        <f t="shared" si="527"/>
        <v>121048</v>
      </c>
      <c r="L1639" s="1061"/>
      <c r="M1639" s="574"/>
      <c r="N1639" s="667"/>
      <c r="O1639" s="636"/>
      <c r="P1639" s="637"/>
      <c r="Q1639" s="574"/>
      <c r="R1639" s="574">
        <v>9</v>
      </c>
      <c r="S1639" s="900">
        <f t="shared" si="524"/>
        <v>1</v>
      </c>
      <c r="U1639" s="574"/>
    </row>
    <row r="1640" spans="1:21" ht="21.3">
      <c r="A1640" s="665"/>
      <c r="B1640" s="1114" t="s">
        <v>422</v>
      </c>
      <c r="C1640" s="623" t="s">
        <v>621</v>
      </c>
      <c r="D1640" s="1124"/>
      <c r="E1640" s="637">
        <v>4</v>
      </c>
      <c r="F1640" s="625" t="s">
        <v>363</v>
      </c>
      <c r="G1640" s="620">
        <v>24200</v>
      </c>
      <c r="H1640" s="676">
        <f t="shared" si="526"/>
        <v>96800</v>
      </c>
      <c r="I1640" s="677">
        <v>5400</v>
      </c>
      <c r="J1640" s="678">
        <f t="shared" si="522"/>
        <v>21600</v>
      </c>
      <c r="K1640" s="675">
        <f t="shared" si="527"/>
        <v>118400</v>
      </c>
      <c r="L1640" s="1061"/>
      <c r="M1640" s="574"/>
      <c r="N1640" s="667"/>
      <c r="O1640" s="636"/>
      <c r="P1640" s="637"/>
      <c r="Q1640" s="574"/>
      <c r="R1640" s="574">
        <v>4</v>
      </c>
      <c r="S1640" s="900">
        <f t="shared" si="524"/>
        <v>0</v>
      </c>
      <c r="U1640" s="574"/>
    </row>
    <row r="1641" spans="1:21" ht="21.3">
      <c r="A1641" s="665"/>
      <c r="B1641" s="1114" t="s">
        <v>428</v>
      </c>
      <c r="C1641" s="623" t="s">
        <v>624</v>
      </c>
      <c r="D1641" s="1124"/>
      <c r="E1641" s="637">
        <v>4</v>
      </c>
      <c r="F1641" s="625" t="s">
        <v>363</v>
      </c>
      <c r="G1641" s="620">
        <v>11640</v>
      </c>
      <c r="H1641" s="676">
        <f t="shared" si="526"/>
        <v>46560</v>
      </c>
      <c r="I1641" s="677">
        <v>2900</v>
      </c>
      <c r="J1641" s="678">
        <f t="shared" si="522"/>
        <v>11600</v>
      </c>
      <c r="K1641" s="675">
        <f t="shared" si="527"/>
        <v>58160</v>
      </c>
      <c r="L1641" s="1061"/>
      <c r="M1641" s="574"/>
      <c r="N1641" s="667"/>
      <c r="O1641" s="636"/>
      <c r="P1641" s="637"/>
      <c r="Q1641" s="574"/>
      <c r="R1641" s="574">
        <v>4</v>
      </c>
      <c r="S1641" s="900">
        <f t="shared" si="524"/>
        <v>0</v>
      </c>
      <c r="U1641" s="574"/>
    </row>
    <row r="1642" spans="1:21" ht="21.3">
      <c r="A1642" s="665"/>
      <c r="B1642" s="1114" t="s">
        <v>423</v>
      </c>
      <c r="C1642" s="623" t="s">
        <v>622</v>
      </c>
      <c r="D1642" s="1124"/>
      <c r="E1642" s="637">
        <v>4</v>
      </c>
      <c r="F1642" s="625" t="s">
        <v>363</v>
      </c>
      <c r="G1642" s="620">
        <v>18705</v>
      </c>
      <c r="H1642" s="676">
        <f t="shared" si="526"/>
        <v>74820</v>
      </c>
      <c r="I1642" s="677">
        <v>4600</v>
      </c>
      <c r="J1642" s="678">
        <f t="shared" si="522"/>
        <v>18400</v>
      </c>
      <c r="K1642" s="675">
        <f t="shared" si="527"/>
        <v>93220</v>
      </c>
      <c r="L1642" s="1061"/>
      <c r="M1642" s="574"/>
      <c r="N1642" s="667"/>
      <c r="O1642" s="636"/>
      <c r="P1642" s="637"/>
      <c r="Q1642" s="574"/>
      <c r="R1642" s="574">
        <v>4</v>
      </c>
      <c r="S1642" s="900">
        <f t="shared" si="524"/>
        <v>0</v>
      </c>
      <c r="U1642" s="574"/>
    </row>
    <row r="1643" spans="1:21" ht="21.3">
      <c r="A1643" s="665"/>
      <c r="B1643" s="1114" t="s">
        <v>432</v>
      </c>
      <c r="C1643" s="623" t="s">
        <v>633</v>
      </c>
      <c r="D1643" s="1124"/>
      <c r="E1643" s="637">
        <v>0</v>
      </c>
      <c r="F1643" s="625" t="s">
        <v>363</v>
      </c>
      <c r="G1643" s="620">
        <v>12131</v>
      </c>
      <c r="H1643" s="676">
        <f t="shared" si="526"/>
        <v>0</v>
      </c>
      <c r="I1643" s="677">
        <v>3000</v>
      </c>
      <c r="J1643" s="678">
        <f t="shared" si="522"/>
        <v>0</v>
      </c>
      <c r="K1643" s="675">
        <f t="shared" si="527"/>
        <v>0</v>
      </c>
      <c r="L1643" s="1061"/>
      <c r="M1643" s="574"/>
      <c r="N1643" s="667"/>
      <c r="O1643" s="636"/>
      <c r="P1643" s="637"/>
      <c r="Q1643" s="574"/>
      <c r="R1643" s="574">
        <v>1</v>
      </c>
      <c r="S1643" s="900">
        <f t="shared" si="524"/>
        <v>1</v>
      </c>
      <c r="U1643" s="574"/>
    </row>
    <row r="1644" spans="1:21" ht="21.3">
      <c r="A1644" s="665"/>
      <c r="B1644" s="1114"/>
      <c r="C1644" s="623" t="s">
        <v>623</v>
      </c>
      <c r="D1644" s="1124"/>
      <c r="E1644" s="637">
        <v>3</v>
      </c>
      <c r="F1644" s="625" t="s">
        <v>363</v>
      </c>
      <c r="G1644" s="620">
        <v>26320</v>
      </c>
      <c r="H1644" s="676">
        <f t="shared" si="526"/>
        <v>78960</v>
      </c>
      <c r="I1644" s="677">
        <v>5900</v>
      </c>
      <c r="J1644" s="678">
        <f t="shared" si="522"/>
        <v>17700</v>
      </c>
      <c r="K1644" s="675">
        <f t="shared" si="527"/>
        <v>96660</v>
      </c>
      <c r="L1644" s="1061"/>
      <c r="M1644" s="574"/>
      <c r="N1644" s="667"/>
      <c r="O1644" s="636"/>
      <c r="P1644" s="637"/>
      <c r="Q1644" s="574"/>
      <c r="R1644" s="574">
        <v>8</v>
      </c>
      <c r="S1644" s="900">
        <f t="shared" si="524"/>
        <v>5</v>
      </c>
      <c r="U1644" s="574"/>
    </row>
    <row r="1645" spans="1:21" ht="21.3">
      <c r="A1645" s="665"/>
      <c r="B1645" s="1114" t="s">
        <v>425</v>
      </c>
      <c r="C1645" s="623" t="s">
        <v>634</v>
      </c>
      <c r="D1645" s="1124"/>
      <c r="E1645" s="637">
        <v>0</v>
      </c>
      <c r="F1645" s="625" t="s">
        <v>363</v>
      </c>
      <c r="G1645" s="620">
        <v>273600</v>
      </c>
      <c r="H1645" s="676">
        <f t="shared" si="526"/>
        <v>0</v>
      </c>
      <c r="I1645" s="677">
        <v>41040</v>
      </c>
      <c r="J1645" s="678">
        <f t="shared" si="522"/>
        <v>0</v>
      </c>
      <c r="K1645" s="675">
        <f t="shared" si="527"/>
        <v>0</v>
      </c>
      <c r="L1645" s="1061"/>
      <c r="M1645" s="574"/>
      <c r="N1645" s="667"/>
      <c r="O1645" s="636"/>
      <c r="P1645" s="637"/>
      <c r="Q1645" s="574"/>
      <c r="R1645" s="574">
        <v>1</v>
      </c>
      <c r="S1645" s="900">
        <f t="shared" si="524"/>
        <v>1</v>
      </c>
      <c r="U1645" s="574"/>
    </row>
    <row r="1646" spans="1:21" ht="21.3">
      <c r="A1646" s="665"/>
      <c r="B1646" s="1114"/>
      <c r="C1646" s="617" t="s">
        <v>635</v>
      </c>
      <c r="D1646" s="1124"/>
      <c r="E1646" s="637">
        <v>0</v>
      </c>
      <c r="F1646" s="625" t="s">
        <v>363</v>
      </c>
      <c r="G1646" s="620">
        <v>18040</v>
      </c>
      <c r="H1646" s="676">
        <f t="shared" si="526"/>
        <v>0</v>
      </c>
      <c r="I1646" s="677">
        <v>3000</v>
      </c>
      <c r="J1646" s="678">
        <f t="shared" si="522"/>
        <v>0</v>
      </c>
      <c r="K1646" s="675">
        <f t="shared" si="527"/>
        <v>0</v>
      </c>
      <c r="L1646" s="1061"/>
      <c r="M1646" s="574"/>
      <c r="N1646" s="667"/>
      <c r="O1646" s="636"/>
      <c r="P1646" s="637"/>
      <c r="Q1646" s="574"/>
      <c r="R1646" s="574">
        <v>2</v>
      </c>
      <c r="S1646" s="900">
        <f t="shared" si="524"/>
        <v>2</v>
      </c>
      <c r="U1646" s="574"/>
    </row>
    <row r="1647" spans="1:21" ht="21.3">
      <c r="A1647" s="665"/>
      <c r="B1647" s="1114"/>
      <c r="C1647" s="617" t="s">
        <v>636</v>
      </c>
      <c r="D1647" s="1124"/>
      <c r="E1647" s="637">
        <v>0</v>
      </c>
      <c r="F1647" s="625" t="s">
        <v>363</v>
      </c>
      <c r="G1647" s="620">
        <v>17150</v>
      </c>
      <c r="H1647" s="676">
        <f t="shared" si="526"/>
        <v>0</v>
      </c>
      <c r="I1647" s="677">
        <v>2800</v>
      </c>
      <c r="J1647" s="678">
        <f t="shared" si="522"/>
        <v>0</v>
      </c>
      <c r="K1647" s="675">
        <f t="shared" si="527"/>
        <v>0</v>
      </c>
      <c r="L1647" s="1061"/>
      <c r="M1647" s="574"/>
      <c r="N1647" s="667"/>
      <c r="O1647" s="636"/>
      <c r="P1647" s="637"/>
      <c r="Q1647" s="574"/>
      <c r="R1647" s="574">
        <v>1</v>
      </c>
      <c r="S1647" s="900">
        <f t="shared" si="524"/>
        <v>1</v>
      </c>
      <c r="U1647" s="574"/>
    </row>
    <row r="1648" spans="1:21" ht="21.3">
      <c r="A1648" s="665"/>
      <c r="B1648" s="1114"/>
      <c r="C1648" s="617" t="s">
        <v>637</v>
      </c>
      <c r="D1648" s="1124"/>
      <c r="E1648" s="637">
        <v>0</v>
      </c>
      <c r="F1648" s="625" t="s">
        <v>363</v>
      </c>
      <c r="G1648" s="620">
        <v>18040</v>
      </c>
      <c r="H1648" s="676">
        <f t="shared" si="526"/>
        <v>0</v>
      </c>
      <c r="I1648" s="677">
        <v>3000</v>
      </c>
      <c r="J1648" s="678">
        <f t="shared" si="522"/>
        <v>0</v>
      </c>
      <c r="K1648" s="675">
        <f t="shared" si="527"/>
        <v>0</v>
      </c>
      <c r="L1648" s="1061"/>
      <c r="M1648" s="574"/>
      <c r="N1648" s="667"/>
      <c r="O1648" s="636"/>
      <c r="P1648" s="637"/>
      <c r="Q1648" s="574"/>
      <c r="R1648" s="574">
        <v>5</v>
      </c>
      <c r="S1648" s="900">
        <f t="shared" si="524"/>
        <v>5</v>
      </c>
      <c r="U1648" s="574"/>
    </row>
    <row r="1649" spans="1:21" ht="21.3">
      <c r="A1649" s="665"/>
      <c r="B1649" s="1114"/>
      <c r="C1649" s="617" t="s">
        <v>638</v>
      </c>
      <c r="D1649" s="1124"/>
      <c r="E1649" s="637">
        <v>0</v>
      </c>
      <c r="F1649" s="625" t="s">
        <v>363</v>
      </c>
      <c r="G1649" s="620">
        <v>20850</v>
      </c>
      <c r="H1649" s="676">
        <f t="shared" si="526"/>
        <v>0</v>
      </c>
      <c r="I1649" s="677">
        <v>3500</v>
      </c>
      <c r="J1649" s="678">
        <f t="shared" si="522"/>
        <v>0</v>
      </c>
      <c r="K1649" s="675">
        <f t="shared" si="527"/>
        <v>0</v>
      </c>
      <c r="L1649" s="1061"/>
      <c r="M1649" s="574"/>
      <c r="N1649" s="667"/>
      <c r="O1649" s="636"/>
      <c r="P1649" s="637"/>
      <c r="Q1649" s="574"/>
      <c r="R1649" s="574">
        <v>1</v>
      </c>
      <c r="S1649" s="900">
        <f t="shared" si="524"/>
        <v>1</v>
      </c>
      <c r="U1649" s="574"/>
    </row>
    <row r="1650" spans="1:21" ht="21.3">
      <c r="A1650" s="665"/>
      <c r="B1650" s="1114"/>
      <c r="C1650" s="623" t="s">
        <v>639</v>
      </c>
      <c r="D1650" s="1124"/>
      <c r="E1650" s="637">
        <v>0</v>
      </c>
      <c r="F1650" s="625" t="s">
        <v>363</v>
      </c>
      <c r="G1650" s="620">
        <v>51820</v>
      </c>
      <c r="H1650" s="676">
        <f t="shared" si="526"/>
        <v>0</v>
      </c>
      <c r="I1650" s="677">
        <v>12900</v>
      </c>
      <c r="J1650" s="678">
        <f t="shared" si="522"/>
        <v>0</v>
      </c>
      <c r="K1650" s="675">
        <f t="shared" si="527"/>
        <v>0</v>
      </c>
      <c r="L1650" s="1061"/>
      <c r="M1650" s="574"/>
      <c r="N1650" s="667"/>
      <c r="O1650" s="636"/>
      <c r="P1650" s="637"/>
      <c r="Q1650" s="574"/>
      <c r="R1650" s="574">
        <v>4</v>
      </c>
      <c r="S1650" s="900">
        <f t="shared" si="524"/>
        <v>4</v>
      </c>
      <c r="U1650" s="574"/>
    </row>
    <row r="1651" spans="1:21" ht="21.3">
      <c r="A1651" s="665"/>
      <c r="B1651" s="1114"/>
      <c r="C1651" s="623" t="s">
        <v>640</v>
      </c>
      <c r="D1651" s="1124"/>
      <c r="E1651" s="637">
        <v>0</v>
      </c>
      <c r="F1651" s="625" t="s">
        <v>363</v>
      </c>
      <c r="G1651" s="620">
        <v>27760</v>
      </c>
      <c r="H1651" s="676">
        <f>SUM(E1651*G1651)</f>
        <v>0</v>
      </c>
      <c r="I1651" s="677">
        <v>4600</v>
      </c>
      <c r="J1651" s="678">
        <f t="shared" si="522"/>
        <v>0</v>
      </c>
      <c r="K1651" s="675">
        <f t="shared" si="527"/>
        <v>0</v>
      </c>
      <c r="L1651" s="1061"/>
      <c r="M1651" s="574"/>
      <c r="N1651" s="667"/>
      <c r="O1651" s="636"/>
      <c r="P1651" s="637"/>
      <c r="Q1651" s="574"/>
      <c r="R1651" s="574">
        <v>9</v>
      </c>
      <c r="S1651" s="900">
        <f t="shared" si="524"/>
        <v>9</v>
      </c>
      <c r="U1651" s="574"/>
    </row>
    <row r="1652" spans="1:21" ht="21.3">
      <c r="A1652" s="665"/>
      <c r="B1652" s="1114"/>
      <c r="C1652" s="623" t="s">
        <v>641</v>
      </c>
      <c r="D1652" s="1124"/>
      <c r="E1652" s="637">
        <v>0</v>
      </c>
      <c r="F1652" s="625" t="s">
        <v>363</v>
      </c>
      <c r="G1652" s="620">
        <v>30570</v>
      </c>
      <c r="H1652" s="676">
        <f>SUM(E1652*G1652)</f>
        <v>0</v>
      </c>
      <c r="I1652" s="677">
        <v>5100</v>
      </c>
      <c r="J1652" s="678">
        <f t="shared" si="522"/>
        <v>0</v>
      </c>
      <c r="K1652" s="675">
        <f t="shared" si="527"/>
        <v>0</v>
      </c>
      <c r="L1652" s="1061"/>
      <c r="M1652" s="574"/>
      <c r="N1652" s="667"/>
      <c r="O1652" s="636"/>
      <c r="P1652" s="637"/>
      <c r="Q1652" s="574"/>
      <c r="R1652" s="574">
        <v>1</v>
      </c>
      <c r="S1652" s="900">
        <f t="shared" si="524"/>
        <v>1</v>
      </c>
      <c r="U1652" s="574"/>
    </row>
    <row r="1653" spans="1:21" ht="21.3">
      <c r="A1653" s="665"/>
      <c r="B1653" s="1114"/>
      <c r="C1653" s="617"/>
      <c r="D1653" s="1124"/>
      <c r="E1653" s="637"/>
      <c r="F1653" s="625"/>
      <c r="G1653" s="620"/>
      <c r="H1653" s="676">
        <f t="shared" si="526"/>
        <v>0</v>
      </c>
      <c r="I1653" s="677"/>
      <c r="J1653" s="678">
        <f t="shared" si="522"/>
        <v>0</v>
      </c>
      <c r="K1653" s="675">
        <f t="shared" si="527"/>
        <v>0</v>
      </c>
      <c r="L1653" s="1061"/>
      <c r="M1653" s="574"/>
      <c r="N1653" s="667"/>
      <c r="O1653" s="636"/>
      <c r="P1653" s="637"/>
      <c r="Q1653" s="574"/>
      <c r="R1653" s="574"/>
      <c r="S1653" s="900">
        <f t="shared" si="524"/>
        <v>0</v>
      </c>
      <c r="U1653" s="574"/>
    </row>
    <row r="1654" spans="1:21" ht="21.3">
      <c r="A1654" s="665" t="s">
        <v>433</v>
      </c>
      <c r="B1654" s="1111" t="s">
        <v>434</v>
      </c>
      <c r="C1654" s="617"/>
      <c r="D1654" s="1124"/>
      <c r="E1654" s="637"/>
      <c r="F1654" s="625"/>
      <c r="G1654" s="620"/>
      <c r="H1654" s="676">
        <f t="shared" si="526"/>
        <v>0</v>
      </c>
      <c r="I1654" s="677"/>
      <c r="J1654" s="678">
        <f t="shared" si="522"/>
        <v>0</v>
      </c>
      <c r="K1654" s="675">
        <f t="shared" si="527"/>
        <v>0</v>
      </c>
      <c r="L1654" s="1061"/>
      <c r="M1654" s="900">
        <f>SUM(E1655:E1674)</f>
        <v>38</v>
      </c>
      <c r="N1654" s="667"/>
      <c r="O1654" s="636"/>
      <c r="P1654" s="637"/>
      <c r="Q1654" s="574"/>
      <c r="R1654" s="574"/>
      <c r="S1654" s="900">
        <f t="shared" si="524"/>
        <v>0</v>
      </c>
      <c r="U1654" s="574"/>
    </row>
    <row r="1655" spans="1:21" ht="21.3">
      <c r="A1655" s="665"/>
      <c r="B1655" s="1114" t="s">
        <v>417</v>
      </c>
      <c r="C1655" s="617" t="s">
        <v>616</v>
      </c>
      <c r="D1655" s="1124"/>
      <c r="E1655" s="637">
        <v>4</v>
      </c>
      <c r="F1655" s="625" t="s">
        <v>363</v>
      </c>
      <c r="G1655" s="620">
        <v>88800</v>
      </c>
      <c r="H1655" s="676">
        <f t="shared" si="526"/>
        <v>355200</v>
      </c>
      <c r="I1655" s="677">
        <v>31000</v>
      </c>
      <c r="J1655" s="678">
        <f t="shared" si="522"/>
        <v>124000</v>
      </c>
      <c r="K1655" s="675">
        <f t="shared" si="527"/>
        <v>479200</v>
      </c>
      <c r="L1655" s="1061"/>
      <c r="M1655" s="574"/>
      <c r="N1655" s="667"/>
      <c r="O1655" s="636"/>
      <c r="P1655" s="637"/>
      <c r="Q1655" s="574"/>
      <c r="R1655" s="574">
        <v>6</v>
      </c>
      <c r="S1655" s="900">
        <f t="shared" si="524"/>
        <v>2</v>
      </c>
      <c r="U1655" s="574"/>
    </row>
    <row r="1656" spans="1:21" ht="21.3">
      <c r="A1656" s="665"/>
      <c r="B1656" s="1114" t="s">
        <v>418</v>
      </c>
      <c r="C1656" s="617" t="s">
        <v>617</v>
      </c>
      <c r="D1656" s="1124"/>
      <c r="E1656" s="637">
        <v>2</v>
      </c>
      <c r="F1656" s="625" t="s">
        <v>363</v>
      </c>
      <c r="G1656" s="620">
        <v>44140</v>
      </c>
      <c r="H1656" s="676">
        <f t="shared" si="526"/>
        <v>88280</v>
      </c>
      <c r="I1656" s="677">
        <v>15400</v>
      </c>
      <c r="J1656" s="678">
        <f t="shared" si="522"/>
        <v>30800</v>
      </c>
      <c r="K1656" s="675">
        <f t="shared" si="527"/>
        <v>119080</v>
      </c>
      <c r="L1656" s="1061"/>
      <c r="M1656" s="574"/>
      <c r="N1656" s="667"/>
      <c r="O1656" s="636"/>
      <c r="P1656" s="637"/>
      <c r="Q1656" s="574"/>
      <c r="R1656" s="574">
        <v>2</v>
      </c>
      <c r="S1656" s="900">
        <f t="shared" si="524"/>
        <v>0</v>
      </c>
      <c r="U1656" s="574"/>
    </row>
    <row r="1657" spans="1:21" ht="21.3">
      <c r="A1657" s="665"/>
      <c r="B1657" s="1114" t="s">
        <v>435</v>
      </c>
      <c r="C1657" s="623" t="s">
        <v>626</v>
      </c>
      <c r="D1657" s="1124"/>
      <c r="E1657" s="637">
        <v>2</v>
      </c>
      <c r="F1657" s="625" t="s">
        <v>363</v>
      </c>
      <c r="G1657" s="620">
        <v>36420</v>
      </c>
      <c r="H1657" s="676">
        <f t="shared" si="526"/>
        <v>72840</v>
      </c>
      <c r="I1657" s="677">
        <v>12700</v>
      </c>
      <c r="J1657" s="678">
        <f t="shared" si="522"/>
        <v>25400</v>
      </c>
      <c r="K1657" s="675">
        <f t="shared" si="527"/>
        <v>98240</v>
      </c>
      <c r="L1657" s="1061"/>
      <c r="M1657" s="574"/>
      <c r="N1657" s="667"/>
      <c r="O1657" s="636"/>
      <c r="P1657" s="637"/>
      <c r="Q1657" s="574"/>
      <c r="R1657" s="574">
        <v>2</v>
      </c>
      <c r="S1657" s="900">
        <f t="shared" si="524"/>
        <v>0</v>
      </c>
      <c r="U1657" s="574"/>
    </row>
    <row r="1658" spans="1:21" ht="21.3">
      <c r="A1658" s="665"/>
      <c r="B1658" s="1114"/>
      <c r="C1658" s="617" t="s">
        <v>628</v>
      </c>
      <c r="D1658" s="1124"/>
      <c r="E1658" s="637">
        <v>0</v>
      </c>
      <c r="F1658" s="625" t="s">
        <v>363</v>
      </c>
      <c r="G1658" s="620">
        <v>77650</v>
      </c>
      <c r="H1658" s="676">
        <f t="shared" si="526"/>
        <v>0</v>
      </c>
      <c r="I1658" s="677">
        <v>27100</v>
      </c>
      <c r="J1658" s="678">
        <f t="shared" si="522"/>
        <v>0</v>
      </c>
      <c r="K1658" s="675">
        <f t="shared" si="527"/>
        <v>0</v>
      </c>
      <c r="L1658" s="1061"/>
      <c r="M1658" s="901" t="s">
        <v>642</v>
      </c>
      <c r="N1658" s="667"/>
      <c r="O1658" s="636"/>
      <c r="P1658" s="637"/>
      <c r="Q1658" s="574"/>
      <c r="R1658" s="574">
        <v>7</v>
      </c>
      <c r="S1658" s="900">
        <f t="shared" si="524"/>
        <v>7</v>
      </c>
      <c r="U1658" s="574"/>
    </row>
    <row r="1659" spans="1:21" ht="21.3">
      <c r="A1659" s="665"/>
      <c r="B1659" s="1114"/>
      <c r="C1659" s="617" t="s">
        <v>629</v>
      </c>
      <c r="D1659" s="1124"/>
      <c r="E1659" s="637">
        <v>0</v>
      </c>
      <c r="F1659" s="625" t="s">
        <v>363</v>
      </c>
      <c r="G1659" s="620">
        <v>98390</v>
      </c>
      <c r="H1659" s="676">
        <f t="shared" si="526"/>
        <v>0</v>
      </c>
      <c r="I1659" s="677">
        <v>34400</v>
      </c>
      <c r="J1659" s="678">
        <f t="shared" si="522"/>
        <v>0</v>
      </c>
      <c r="K1659" s="675">
        <f t="shared" si="527"/>
        <v>0</v>
      </c>
      <c r="L1659" s="1061"/>
      <c r="M1659" s="574"/>
      <c r="N1659" s="667"/>
      <c r="O1659" s="636"/>
      <c r="P1659" s="637"/>
      <c r="Q1659" s="574"/>
      <c r="R1659" s="574">
        <v>2</v>
      </c>
      <c r="S1659" s="900">
        <f t="shared" si="524"/>
        <v>2</v>
      </c>
      <c r="U1659" s="574"/>
    </row>
    <row r="1660" spans="1:21" ht="21.3">
      <c r="A1660" s="665"/>
      <c r="B1660" s="1114"/>
      <c r="C1660" s="617" t="s">
        <v>630</v>
      </c>
      <c r="D1660" s="1124"/>
      <c r="E1660" s="637">
        <v>0</v>
      </c>
      <c r="F1660" s="625" t="s">
        <v>363</v>
      </c>
      <c r="G1660" s="620">
        <v>45060</v>
      </c>
      <c r="H1660" s="676">
        <f t="shared" si="526"/>
        <v>0</v>
      </c>
      <c r="I1660" s="677">
        <v>15700</v>
      </c>
      <c r="J1660" s="678">
        <f t="shared" si="522"/>
        <v>0</v>
      </c>
      <c r="K1660" s="675">
        <f t="shared" si="527"/>
        <v>0</v>
      </c>
      <c r="L1660" s="1061"/>
      <c r="M1660" s="574"/>
      <c r="N1660" s="667"/>
      <c r="O1660" s="636"/>
      <c r="P1660" s="637"/>
      <c r="Q1660" s="574"/>
      <c r="R1660" s="574">
        <v>11</v>
      </c>
      <c r="S1660" s="900">
        <f t="shared" si="524"/>
        <v>11</v>
      </c>
      <c r="U1660" s="574"/>
    </row>
    <row r="1661" spans="1:21" ht="21.3">
      <c r="A1661" s="665"/>
      <c r="B1661" s="1114" t="s">
        <v>421</v>
      </c>
      <c r="C1661" s="623" t="s">
        <v>620</v>
      </c>
      <c r="D1661" s="1124"/>
      <c r="E1661" s="637">
        <v>10</v>
      </c>
      <c r="F1661" s="625" t="s">
        <v>363</v>
      </c>
      <c r="G1661" s="620">
        <v>12131</v>
      </c>
      <c r="H1661" s="676">
        <f t="shared" si="526"/>
        <v>121310</v>
      </c>
      <c r="I1661" s="677">
        <v>3000</v>
      </c>
      <c r="J1661" s="678">
        <f t="shared" si="522"/>
        <v>30000</v>
      </c>
      <c r="K1661" s="675">
        <f t="shared" si="527"/>
        <v>151310</v>
      </c>
      <c r="L1661" s="1061"/>
      <c r="M1661" s="574"/>
      <c r="N1661" s="667"/>
      <c r="O1661" s="636"/>
      <c r="P1661" s="637"/>
      <c r="Q1661" s="574"/>
      <c r="R1661" s="574">
        <v>10</v>
      </c>
      <c r="S1661" s="900">
        <f t="shared" si="524"/>
        <v>0</v>
      </c>
      <c r="U1661" s="574"/>
    </row>
    <row r="1662" spans="1:21" ht="21.3">
      <c r="A1662" s="665"/>
      <c r="B1662" s="1114" t="s">
        <v>422</v>
      </c>
      <c r="C1662" s="623" t="s">
        <v>621</v>
      </c>
      <c r="D1662" s="1124"/>
      <c r="E1662" s="637">
        <v>4</v>
      </c>
      <c r="F1662" s="625" t="s">
        <v>363</v>
      </c>
      <c r="G1662" s="620">
        <v>24200</v>
      </c>
      <c r="H1662" s="676">
        <f t="shared" si="526"/>
        <v>96800</v>
      </c>
      <c r="I1662" s="677">
        <v>5400</v>
      </c>
      <c r="J1662" s="678">
        <f t="shared" si="522"/>
        <v>21600</v>
      </c>
      <c r="K1662" s="675">
        <f t="shared" si="527"/>
        <v>118400</v>
      </c>
      <c r="L1662" s="1061"/>
      <c r="M1662" s="574"/>
      <c r="N1662" s="667"/>
      <c r="O1662" s="636"/>
      <c r="P1662" s="637"/>
      <c r="Q1662" s="574"/>
      <c r="R1662" s="574">
        <v>4</v>
      </c>
      <c r="S1662" s="900">
        <f t="shared" si="524"/>
        <v>0</v>
      </c>
      <c r="U1662" s="574"/>
    </row>
    <row r="1663" spans="1:21" ht="21.3">
      <c r="A1663" s="665"/>
      <c r="B1663" s="1114" t="s">
        <v>428</v>
      </c>
      <c r="C1663" s="623" t="s">
        <v>624</v>
      </c>
      <c r="D1663" s="1124"/>
      <c r="E1663" s="637">
        <v>4</v>
      </c>
      <c r="F1663" s="625" t="s">
        <v>363</v>
      </c>
      <c r="G1663" s="620">
        <v>11640</v>
      </c>
      <c r="H1663" s="676">
        <f t="shared" si="526"/>
        <v>46560</v>
      </c>
      <c r="I1663" s="677">
        <v>2900</v>
      </c>
      <c r="J1663" s="678">
        <f t="shared" si="522"/>
        <v>11600</v>
      </c>
      <c r="K1663" s="675">
        <f t="shared" si="527"/>
        <v>58160</v>
      </c>
      <c r="L1663" s="1061"/>
      <c r="M1663" s="574"/>
      <c r="N1663" s="667"/>
      <c r="O1663" s="636"/>
      <c r="P1663" s="637"/>
      <c r="Q1663" s="574"/>
      <c r="R1663" s="574">
        <v>4</v>
      </c>
      <c r="S1663" s="900">
        <f t="shared" si="524"/>
        <v>0</v>
      </c>
      <c r="U1663" s="574"/>
    </row>
    <row r="1664" spans="1:21" ht="21.3">
      <c r="A1664" s="665"/>
      <c r="B1664" s="1114" t="s">
        <v>423</v>
      </c>
      <c r="C1664" s="623" t="s">
        <v>622</v>
      </c>
      <c r="D1664" s="1124"/>
      <c r="E1664" s="637">
        <v>4</v>
      </c>
      <c r="F1664" s="625" t="s">
        <v>363</v>
      </c>
      <c r="G1664" s="620">
        <v>18705</v>
      </c>
      <c r="H1664" s="676">
        <f t="shared" si="526"/>
        <v>74820</v>
      </c>
      <c r="I1664" s="677">
        <v>4600</v>
      </c>
      <c r="J1664" s="678">
        <f t="shared" si="522"/>
        <v>18400</v>
      </c>
      <c r="K1664" s="675">
        <f t="shared" si="527"/>
        <v>93220</v>
      </c>
      <c r="L1664" s="1061"/>
      <c r="M1664" s="574"/>
      <c r="N1664" s="667"/>
      <c r="O1664" s="636"/>
      <c r="P1664" s="637"/>
      <c r="Q1664" s="574"/>
      <c r="R1664" s="574">
        <v>4</v>
      </c>
      <c r="S1664" s="900">
        <f t="shared" si="524"/>
        <v>0</v>
      </c>
      <c r="U1664" s="574"/>
    </row>
    <row r="1665" spans="1:21" ht="21.3">
      <c r="A1665" s="665"/>
      <c r="B1665" s="1114" t="s">
        <v>424</v>
      </c>
      <c r="C1665" s="623" t="s">
        <v>643</v>
      </c>
      <c r="D1665" s="1129"/>
      <c r="E1665" s="637">
        <v>2</v>
      </c>
      <c r="F1665" s="625" t="s">
        <v>363</v>
      </c>
      <c r="G1665" s="620">
        <v>8750</v>
      </c>
      <c r="H1665" s="676">
        <f t="shared" si="526"/>
        <v>17500</v>
      </c>
      <c r="I1665" s="677">
        <v>2200</v>
      </c>
      <c r="J1665" s="678">
        <f t="shared" si="522"/>
        <v>4400</v>
      </c>
      <c r="K1665" s="675">
        <f t="shared" si="527"/>
        <v>21900</v>
      </c>
      <c r="L1665" s="1061"/>
      <c r="M1665" s="574"/>
      <c r="N1665" s="667"/>
      <c r="O1665" s="636"/>
      <c r="P1665" s="637"/>
      <c r="Q1665" s="574"/>
      <c r="R1665" s="574">
        <v>2</v>
      </c>
      <c r="S1665" s="900">
        <f t="shared" si="524"/>
        <v>0</v>
      </c>
      <c r="U1665" s="574"/>
    </row>
    <row r="1666" spans="1:21" ht="21.3">
      <c r="A1666" s="665"/>
      <c r="B1666" s="1114" t="s">
        <v>419</v>
      </c>
      <c r="C1666" s="902" t="s">
        <v>618</v>
      </c>
      <c r="D1666" s="1129"/>
      <c r="E1666" s="637">
        <v>4</v>
      </c>
      <c r="F1666" s="625" t="s">
        <v>363</v>
      </c>
      <c r="G1666" s="620">
        <v>24510</v>
      </c>
      <c r="H1666" s="676">
        <f t="shared" si="526"/>
        <v>98040</v>
      </c>
      <c r="I1666" s="677">
        <v>3500</v>
      </c>
      <c r="J1666" s="678">
        <f t="shared" si="522"/>
        <v>14000</v>
      </c>
      <c r="K1666" s="675">
        <f t="shared" si="527"/>
        <v>112040</v>
      </c>
      <c r="L1666" s="1061"/>
      <c r="M1666" s="574"/>
      <c r="N1666" s="667"/>
      <c r="O1666" s="636"/>
      <c r="P1666" s="637"/>
      <c r="Q1666" s="574"/>
      <c r="R1666" s="574">
        <v>4</v>
      </c>
      <c r="S1666" s="900">
        <f t="shared" si="524"/>
        <v>0</v>
      </c>
      <c r="U1666" s="574"/>
    </row>
    <row r="1667" spans="1:21" ht="21.3">
      <c r="A1667" s="665"/>
      <c r="B1667" s="1114" t="s">
        <v>420</v>
      </c>
      <c r="C1667" s="902" t="s">
        <v>619</v>
      </c>
      <c r="D1667" s="1124"/>
      <c r="E1667" s="637">
        <v>2</v>
      </c>
      <c r="F1667" s="625" t="s">
        <v>363</v>
      </c>
      <c r="G1667" s="620">
        <v>34531</v>
      </c>
      <c r="H1667" s="676">
        <f t="shared" si="526"/>
        <v>69062</v>
      </c>
      <c r="I1667" s="677">
        <v>6200</v>
      </c>
      <c r="J1667" s="678">
        <f t="shared" ref="J1667:J1730" si="529">SUM(E1667*I1667)</f>
        <v>12400</v>
      </c>
      <c r="K1667" s="675">
        <f t="shared" si="527"/>
        <v>81462</v>
      </c>
      <c r="L1667" s="1061"/>
      <c r="M1667" s="574"/>
      <c r="N1667" s="667"/>
      <c r="O1667" s="636"/>
      <c r="P1667" s="637"/>
      <c r="Q1667" s="574"/>
      <c r="R1667" s="574">
        <v>2</v>
      </c>
      <c r="S1667" s="900">
        <f t="shared" si="524"/>
        <v>0</v>
      </c>
      <c r="U1667" s="574"/>
    </row>
    <row r="1668" spans="1:21" ht="21.3">
      <c r="A1668" s="665"/>
      <c r="B1668" s="1114"/>
      <c r="C1668" s="902" t="s">
        <v>631</v>
      </c>
      <c r="D1668" s="1124"/>
      <c r="E1668" s="637">
        <v>0</v>
      </c>
      <c r="F1668" s="625" t="s">
        <v>363</v>
      </c>
      <c r="G1668" s="620">
        <v>34531</v>
      </c>
      <c r="H1668" s="676">
        <f>SUM(E1668*G1668)</f>
        <v>0</v>
      </c>
      <c r="I1668" s="677">
        <v>6200</v>
      </c>
      <c r="J1668" s="678">
        <f t="shared" si="529"/>
        <v>0</v>
      </c>
      <c r="K1668" s="675">
        <f t="shared" si="527"/>
        <v>0</v>
      </c>
      <c r="L1668" s="1061"/>
      <c r="M1668" s="574"/>
      <c r="N1668" s="667"/>
      <c r="O1668" s="636"/>
      <c r="P1668" s="637"/>
      <c r="Q1668" s="574"/>
      <c r="R1668" s="574">
        <v>2</v>
      </c>
      <c r="S1668" s="900">
        <f t="shared" si="524"/>
        <v>2</v>
      </c>
      <c r="U1668" s="574"/>
    </row>
    <row r="1669" spans="1:21" ht="21.3">
      <c r="A1669" s="665"/>
      <c r="B1669" s="1114"/>
      <c r="C1669" s="617" t="s">
        <v>635</v>
      </c>
      <c r="D1669" s="1124"/>
      <c r="E1669" s="637">
        <v>0</v>
      </c>
      <c r="F1669" s="625" t="s">
        <v>363</v>
      </c>
      <c r="G1669" s="620">
        <v>18040</v>
      </c>
      <c r="H1669" s="676">
        <f>SUM(E1669*G1669)</f>
        <v>0</v>
      </c>
      <c r="I1669" s="677">
        <v>3000</v>
      </c>
      <c r="J1669" s="678">
        <f t="shared" si="529"/>
        <v>0</v>
      </c>
      <c r="K1669" s="675">
        <f t="shared" si="527"/>
        <v>0</v>
      </c>
      <c r="L1669" s="1061"/>
      <c r="M1669" s="574"/>
      <c r="N1669" s="667"/>
      <c r="O1669" s="636"/>
      <c r="P1669" s="637"/>
      <c r="Q1669" s="574"/>
      <c r="R1669" s="574">
        <v>3</v>
      </c>
      <c r="S1669" s="900">
        <f t="shared" si="524"/>
        <v>3</v>
      </c>
      <c r="U1669" s="574"/>
    </row>
    <row r="1670" spans="1:21" ht="21.3">
      <c r="A1670" s="665"/>
      <c r="B1670" s="1114"/>
      <c r="C1670" s="617" t="s">
        <v>636</v>
      </c>
      <c r="D1670" s="1124"/>
      <c r="E1670" s="637">
        <v>0</v>
      </c>
      <c r="F1670" s="625" t="s">
        <v>363</v>
      </c>
      <c r="G1670" s="620">
        <v>17150</v>
      </c>
      <c r="H1670" s="676">
        <f t="shared" ref="H1670:H1673" si="530">SUM(E1670*G1670)</f>
        <v>0</v>
      </c>
      <c r="I1670" s="677">
        <v>2800</v>
      </c>
      <c r="J1670" s="678">
        <f t="shared" si="529"/>
        <v>0</v>
      </c>
      <c r="K1670" s="675">
        <f t="shared" si="527"/>
        <v>0</v>
      </c>
      <c r="L1670" s="1061"/>
      <c r="M1670" s="574"/>
      <c r="N1670" s="667"/>
      <c r="O1670" s="636"/>
      <c r="P1670" s="637"/>
      <c r="Q1670" s="574"/>
      <c r="R1670" s="574">
        <v>3</v>
      </c>
      <c r="S1670" s="900">
        <f t="shared" ref="S1670:S1733" si="531">+R1670-E1670</f>
        <v>3</v>
      </c>
      <c r="U1670" s="574"/>
    </row>
    <row r="1671" spans="1:21" ht="21.3">
      <c r="A1671" s="665"/>
      <c r="B1671" s="1114"/>
      <c r="C1671" s="617" t="s">
        <v>637</v>
      </c>
      <c r="D1671" s="1124"/>
      <c r="E1671" s="637">
        <v>0</v>
      </c>
      <c r="F1671" s="625" t="s">
        <v>363</v>
      </c>
      <c r="G1671" s="620">
        <v>18040</v>
      </c>
      <c r="H1671" s="676">
        <f t="shared" si="530"/>
        <v>0</v>
      </c>
      <c r="I1671" s="677">
        <v>3000</v>
      </c>
      <c r="J1671" s="678">
        <f t="shared" si="529"/>
        <v>0</v>
      </c>
      <c r="K1671" s="675">
        <f t="shared" si="527"/>
        <v>0</v>
      </c>
      <c r="L1671" s="1061"/>
      <c r="M1671" s="574"/>
      <c r="N1671" s="667"/>
      <c r="O1671" s="636"/>
      <c r="P1671" s="637"/>
      <c r="Q1671" s="574"/>
      <c r="R1671" s="574">
        <v>10</v>
      </c>
      <c r="S1671" s="900">
        <f t="shared" si="531"/>
        <v>10</v>
      </c>
      <c r="U1671" s="574"/>
    </row>
    <row r="1672" spans="1:21" ht="21.3">
      <c r="A1672" s="665"/>
      <c r="B1672" s="1114"/>
      <c r="C1672" s="617" t="s">
        <v>638</v>
      </c>
      <c r="D1672" s="1124"/>
      <c r="E1672" s="637">
        <v>0</v>
      </c>
      <c r="F1672" s="625" t="s">
        <v>363</v>
      </c>
      <c r="G1672" s="620">
        <v>20850</v>
      </c>
      <c r="H1672" s="676">
        <f t="shared" si="530"/>
        <v>0</v>
      </c>
      <c r="I1672" s="677">
        <v>3500</v>
      </c>
      <c r="J1672" s="678">
        <f t="shared" si="529"/>
        <v>0</v>
      </c>
      <c r="K1672" s="675">
        <f t="shared" si="527"/>
        <v>0</v>
      </c>
      <c r="L1672" s="1061"/>
      <c r="M1672" s="574"/>
      <c r="N1672" s="667"/>
      <c r="O1672" s="636"/>
      <c r="P1672" s="637"/>
      <c r="Q1672" s="574"/>
      <c r="R1672" s="574">
        <v>1</v>
      </c>
      <c r="S1672" s="900">
        <f t="shared" si="531"/>
        <v>1</v>
      </c>
      <c r="U1672" s="574"/>
    </row>
    <row r="1673" spans="1:21" ht="21.3">
      <c r="A1673" s="665"/>
      <c r="B1673" s="1114"/>
      <c r="C1673" s="623" t="s">
        <v>644</v>
      </c>
      <c r="D1673" s="1124"/>
      <c r="E1673" s="637">
        <v>0</v>
      </c>
      <c r="F1673" s="625" t="s">
        <v>363</v>
      </c>
      <c r="G1673" s="620">
        <v>18370</v>
      </c>
      <c r="H1673" s="676">
        <f t="shared" si="530"/>
        <v>0</v>
      </c>
      <c r="I1673" s="677">
        <v>3000</v>
      </c>
      <c r="J1673" s="678">
        <f t="shared" si="529"/>
        <v>0</v>
      </c>
      <c r="K1673" s="675">
        <f t="shared" si="527"/>
        <v>0</v>
      </c>
      <c r="L1673" s="1061"/>
      <c r="M1673" s="574"/>
      <c r="N1673" s="667"/>
      <c r="O1673" s="636"/>
      <c r="P1673" s="637"/>
      <c r="Q1673" s="574"/>
      <c r="R1673" s="574">
        <v>8</v>
      </c>
      <c r="S1673" s="900">
        <f t="shared" si="531"/>
        <v>8</v>
      </c>
      <c r="U1673" s="574"/>
    </row>
    <row r="1674" spans="1:21" ht="21.3">
      <c r="A1674" s="665"/>
      <c r="B1674" s="1114"/>
      <c r="C1674" s="623" t="s">
        <v>640</v>
      </c>
      <c r="D1674" s="1124"/>
      <c r="E1674" s="637">
        <v>0</v>
      </c>
      <c r="F1674" s="625" t="s">
        <v>363</v>
      </c>
      <c r="G1674" s="620">
        <v>27760</v>
      </c>
      <c r="H1674" s="676">
        <f>SUM(E1674*G1674)</f>
        <v>0</v>
      </c>
      <c r="I1674" s="677">
        <v>4600</v>
      </c>
      <c r="J1674" s="678">
        <f t="shared" si="529"/>
        <v>0</v>
      </c>
      <c r="K1674" s="675">
        <f t="shared" si="527"/>
        <v>0</v>
      </c>
      <c r="L1674" s="1061"/>
      <c r="M1674" s="574"/>
      <c r="N1674" s="667"/>
      <c r="O1674" s="636"/>
      <c r="P1674" s="637"/>
      <c r="Q1674" s="574"/>
      <c r="R1674" s="574">
        <v>19</v>
      </c>
      <c r="S1674" s="900">
        <f t="shared" si="531"/>
        <v>19</v>
      </c>
      <c r="U1674" s="574"/>
    </row>
    <row r="1675" spans="1:21" ht="21.3">
      <c r="A1675" s="665"/>
      <c r="B1675" s="1114"/>
      <c r="C1675" s="623" t="s">
        <v>645</v>
      </c>
      <c r="D1675" s="1124"/>
      <c r="E1675" s="637">
        <v>0</v>
      </c>
      <c r="F1675" s="625" t="s">
        <v>34</v>
      </c>
      <c r="G1675" s="620">
        <v>4500</v>
      </c>
      <c r="H1675" s="676">
        <f t="shared" ref="H1675:H1733" si="532">SUM(E1675*G1675)</f>
        <v>0</v>
      </c>
      <c r="I1675" s="677">
        <v>0</v>
      </c>
      <c r="J1675" s="678">
        <f t="shared" si="529"/>
        <v>0</v>
      </c>
      <c r="K1675" s="675">
        <f t="shared" si="527"/>
        <v>0</v>
      </c>
      <c r="L1675" s="1061"/>
      <c r="M1675" s="574"/>
      <c r="N1675" s="667"/>
      <c r="O1675" s="636"/>
      <c r="P1675" s="637"/>
      <c r="Q1675" s="574"/>
      <c r="R1675" s="574">
        <v>219</v>
      </c>
      <c r="S1675" s="900">
        <f t="shared" si="531"/>
        <v>219</v>
      </c>
      <c r="U1675" s="574"/>
    </row>
    <row r="1676" spans="1:21" ht="21.3">
      <c r="A1676" s="665"/>
      <c r="B1676" s="1114"/>
      <c r="C1676" s="623" t="s">
        <v>646</v>
      </c>
      <c r="D1676" s="1124"/>
      <c r="E1676" s="637">
        <v>0</v>
      </c>
      <c r="F1676" s="625" t="s">
        <v>34</v>
      </c>
      <c r="G1676" s="620">
        <v>6800</v>
      </c>
      <c r="H1676" s="676">
        <f t="shared" si="532"/>
        <v>0</v>
      </c>
      <c r="I1676" s="677">
        <v>0</v>
      </c>
      <c r="J1676" s="678">
        <f t="shared" si="529"/>
        <v>0</v>
      </c>
      <c r="K1676" s="675">
        <f t="shared" si="527"/>
        <v>0</v>
      </c>
      <c r="L1676" s="1061"/>
      <c r="M1676" s="574"/>
      <c r="N1676" s="667"/>
      <c r="O1676" s="636"/>
      <c r="P1676" s="637"/>
      <c r="Q1676" s="574"/>
      <c r="R1676" s="574">
        <v>19</v>
      </c>
      <c r="S1676" s="900">
        <f t="shared" si="531"/>
        <v>19</v>
      </c>
      <c r="U1676" s="574"/>
    </row>
    <row r="1677" spans="1:21" ht="21.3">
      <c r="A1677" s="665"/>
      <c r="B1677" s="1114"/>
      <c r="C1677" s="623" t="s">
        <v>647</v>
      </c>
      <c r="D1677" s="1124"/>
      <c r="E1677" s="637">
        <v>0</v>
      </c>
      <c r="F1677" s="625" t="s">
        <v>34</v>
      </c>
      <c r="G1677" s="620">
        <v>6800</v>
      </c>
      <c r="H1677" s="676">
        <f t="shared" si="532"/>
        <v>0</v>
      </c>
      <c r="I1677" s="677">
        <v>0</v>
      </c>
      <c r="J1677" s="678">
        <f t="shared" si="529"/>
        <v>0</v>
      </c>
      <c r="K1677" s="675">
        <f>SUM(H1677+J1677)</f>
        <v>0</v>
      </c>
      <c r="L1677" s="1061"/>
      <c r="M1677" s="574"/>
      <c r="N1677" s="667"/>
      <c r="O1677" s="636"/>
      <c r="P1677" s="637"/>
      <c r="Q1677" s="574"/>
      <c r="R1677" s="574">
        <v>20</v>
      </c>
      <c r="S1677" s="900">
        <f t="shared" si="531"/>
        <v>20</v>
      </c>
      <c r="U1677" s="574"/>
    </row>
    <row r="1678" spans="1:21" ht="21.3">
      <c r="A1678" s="665"/>
      <c r="B1678" s="1114"/>
      <c r="C1678" s="2028"/>
      <c r="D1678" s="1129"/>
      <c r="E1678" s="637"/>
      <c r="F1678" s="625"/>
      <c r="G1678" s="641"/>
      <c r="H1678" s="676">
        <f t="shared" si="532"/>
        <v>0</v>
      </c>
      <c r="I1678" s="677"/>
      <c r="J1678" s="678">
        <f t="shared" si="529"/>
        <v>0</v>
      </c>
      <c r="K1678" s="675"/>
      <c r="L1678" s="1061"/>
      <c r="M1678" s="574"/>
      <c r="N1678" s="667"/>
      <c r="O1678" s="636"/>
      <c r="P1678" s="637"/>
      <c r="Q1678" s="574"/>
      <c r="R1678" s="574"/>
      <c r="S1678" s="900">
        <f t="shared" si="531"/>
        <v>0</v>
      </c>
      <c r="U1678" s="574"/>
    </row>
    <row r="1679" spans="1:21" ht="21.3">
      <c r="A1679" s="665" t="s">
        <v>436</v>
      </c>
      <c r="B1679" s="1111" t="s">
        <v>437</v>
      </c>
      <c r="C1679" s="2028"/>
      <c r="D1679" s="1129"/>
      <c r="E1679" s="637"/>
      <c r="F1679" s="625"/>
      <c r="G1679" s="641"/>
      <c r="H1679" s="676">
        <f t="shared" si="532"/>
        <v>0</v>
      </c>
      <c r="I1679" s="677"/>
      <c r="J1679" s="678">
        <f t="shared" si="529"/>
        <v>0</v>
      </c>
      <c r="K1679" s="675"/>
      <c r="L1679" s="1061"/>
      <c r="M1679" s="900">
        <f>SUM(E1680:E1702)</f>
        <v>38</v>
      </c>
      <c r="N1679" s="667"/>
      <c r="O1679" s="636"/>
      <c r="P1679" s="637"/>
      <c r="Q1679" s="574"/>
      <c r="R1679" s="574"/>
      <c r="S1679" s="900">
        <f t="shared" si="531"/>
        <v>0</v>
      </c>
      <c r="U1679" s="574"/>
    </row>
    <row r="1680" spans="1:21" ht="21.3">
      <c r="A1680" s="665"/>
      <c r="B1680" s="1114" t="s">
        <v>417</v>
      </c>
      <c r="C1680" s="2028" t="s">
        <v>616</v>
      </c>
      <c r="D1680" s="1129"/>
      <c r="E1680" s="637">
        <v>4</v>
      </c>
      <c r="F1680" s="625" t="s">
        <v>363</v>
      </c>
      <c r="G1680" s="620">
        <v>88800</v>
      </c>
      <c r="H1680" s="676">
        <f t="shared" si="532"/>
        <v>355200</v>
      </c>
      <c r="I1680" s="677">
        <v>31000</v>
      </c>
      <c r="J1680" s="678">
        <f t="shared" si="529"/>
        <v>124000</v>
      </c>
      <c r="K1680" s="675">
        <f t="shared" ref="K1680:K1733" si="533">SUM(H1680+J1680)</f>
        <v>479200</v>
      </c>
      <c r="L1680" s="1061"/>
      <c r="M1680" s="574"/>
      <c r="N1680" s="667"/>
      <c r="O1680" s="636"/>
      <c r="P1680" s="637"/>
      <c r="Q1680" s="574"/>
      <c r="R1680" s="574">
        <v>6</v>
      </c>
      <c r="S1680" s="900">
        <f t="shared" si="531"/>
        <v>2</v>
      </c>
      <c r="U1680" s="574"/>
    </row>
    <row r="1681" spans="1:21" ht="21.3">
      <c r="A1681" s="665"/>
      <c r="B1681" s="1114" t="s">
        <v>418</v>
      </c>
      <c r="C1681" s="2028" t="s">
        <v>617</v>
      </c>
      <c r="D1681" s="1129"/>
      <c r="E1681" s="637">
        <v>2</v>
      </c>
      <c r="F1681" s="625" t="s">
        <v>363</v>
      </c>
      <c r="G1681" s="620">
        <v>44140</v>
      </c>
      <c r="H1681" s="676">
        <f t="shared" si="532"/>
        <v>88280</v>
      </c>
      <c r="I1681" s="677">
        <v>15400</v>
      </c>
      <c r="J1681" s="678">
        <f t="shared" si="529"/>
        <v>30800</v>
      </c>
      <c r="K1681" s="675">
        <f t="shared" si="533"/>
        <v>119080</v>
      </c>
      <c r="L1681" s="1061"/>
      <c r="M1681" s="574"/>
      <c r="N1681" s="667"/>
      <c r="O1681" s="636"/>
      <c r="P1681" s="637"/>
      <c r="Q1681" s="574"/>
      <c r="R1681" s="574">
        <v>2</v>
      </c>
      <c r="S1681" s="900">
        <f t="shared" si="531"/>
        <v>0</v>
      </c>
      <c r="U1681" s="574"/>
    </row>
    <row r="1682" spans="1:21" ht="21.3">
      <c r="A1682" s="665"/>
      <c r="B1682" s="1114" t="s">
        <v>435</v>
      </c>
      <c r="C1682" s="2028" t="s">
        <v>626</v>
      </c>
      <c r="D1682" s="1129"/>
      <c r="E1682" s="637">
        <v>2</v>
      </c>
      <c r="F1682" s="625" t="s">
        <v>363</v>
      </c>
      <c r="G1682" s="620">
        <v>36420</v>
      </c>
      <c r="H1682" s="676">
        <f t="shared" si="532"/>
        <v>72840</v>
      </c>
      <c r="I1682" s="677">
        <v>12700</v>
      </c>
      <c r="J1682" s="678">
        <f t="shared" si="529"/>
        <v>25400</v>
      </c>
      <c r="K1682" s="675">
        <f t="shared" si="533"/>
        <v>98240</v>
      </c>
      <c r="L1682" s="1061"/>
      <c r="M1682" s="574"/>
      <c r="N1682" s="667"/>
      <c r="O1682" s="636"/>
      <c r="P1682" s="637"/>
      <c r="Q1682" s="574"/>
      <c r="R1682" s="574">
        <v>2</v>
      </c>
      <c r="S1682" s="900">
        <f t="shared" si="531"/>
        <v>0</v>
      </c>
      <c r="U1682" s="574"/>
    </row>
    <row r="1683" spans="1:21" ht="21.3">
      <c r="A1683" s="665"/>
      <c r="B1683" s="1114"/>
      <c r="C1683" s="902" t="s">
        <v>628</v>
      </c>
      <c r="D1683" s="1129"/>
      <c r="E1683" s="637">
        <v>0</v>
      </c>
      <c r="F1683" s="625" t="s">
        <v>363</v>
      </c>
      <c r="G1683" s="620">
        <v>77650</v>
      </c>
      <c r="H1683" s="676">
        <f t="shared" si="532"/>
        <v>0</v>
      </c>
      <c r="I1683" s="677">
        <v>27100</v>
      </c>
      <c r="J1683" s="678">
        <f t="shared" si="529"/>
        <v>0</v>
      </c>
      <c r="K1683" s="675">
        <f t="shared" si="533"/>
        <v>0</v>
      </c>
      <c r="L1683" s="1061"/>
      <c r="M1683" s="574"/>
      <c r="N1683" s="667"/>
      <c r="O1683" s="636"/>
      <c r="P1683" s="637"/>
      <c r="Q1683" s="574"/>
      <c r="R1683" s="574">
        <v>6</v>
      </c>
      <c r="S1683" s="900">
        <f t="shared" si="531"/>
        <v>6</v>
      </c>
      <c r="U1683" s="574"/>
    </row>
    <row r="1684" spans="1:21" ht="21.3">
      <c r="A1684" s="665"/>
      <c r="B1684" s="1114"/>
      <c r="C1684" s="902" t="s">
        <v>630</v>
      </c>
      <c r="D1684" s="1129"/>
      <c r="E1684" s="637">
        <v>0</v>
      </c>
      <c r="F1684" s="625" t="s">
        <v>363</v>
      </c>
      <c r="G1684" s="620">
        <v>45060</v>
      </c>
      <c r="H1684" s="676">
        <f t="shared" si="532"/>
        <v>0</v>
      </c>
      <c r="I1684" s="677">
        <v>15700</v>
      </c>
      <c r="J1684" s="678">
        <f t="shared" si="529"/>
        <v>0</v>
      </c>
      <c r="K1684" s="675">
        <f t="shared" si="533"/>
        <v>0</v>
      </c>
      <c r="L1684" s="1061"/>
      <c r="M1684" s="574"/>
      <c r="N1684" s="667"/>
      <c r="O1684" s="636"/>
      <c r="P1684" s="637"/>
      <c r="Q1684" s="574"/>
      <c r="R1684" s="574">
        <v>16</v>
      </c>
      <c r="S1684" s="900">
        <f t="shared" si="531"/>
        <v>16</v>
      </c>
      <c r="U1684" s="574"/>
    </row>
    <row r="1685" spans="1:21" ht="21.3">
      <c r="A1685" s="665"/>
      <c r="B1685" s="1114" t="s">
        <v>438</v>
      </c>
      <c r="C1685" s="902" t="s">
        <v>648</v>
      </c>
      <c r="D1685" s="1129"/>
      <c r="E1685" s="637">
        <v>0</v>
      </c>
      <c r="F1685" s="625" t="s">
        <v>363</v>
      </c>
      <c r="G1685" s="620">
        <v>45061</v>
      </c>
      <c r="H1685" s="676">
        <f t="shared" si="532"/>
        <v>0</v>
      </c>
      <c r="I1685" s="677">
        <v>15701</v>
      </c>
      <c r="J1685" s="678">
        <f t="shared" si="529"/>
        <v>0</v>
      </c>
      <c r="K1685" s="675">
        <f t="shared" si="533"/>
        <v>0</v>
      </c>
      <c r="L1685" s="1061"/>
      <c r="M1685" s="574"/>
      <c r="N1685" s="667"/>
      <c r="O1685" s="636"/>
      <c r="P1685" s="637"/>
      <c r="Q1685" s="574"/>
      <c r="R1685" s="574">
        <v>1</v>
      </c>
      <c r="S1685" s="900">
        <f t="shared" si="531"/>
        <v>1</v>
      </c>
      <c r="U1685" s="574"/>
    </row>
    <row r="1686" spans="1:21" ht="21.3">
      <c r="A1686" s="665"/>
      <c r="B1686" s="1114" t="s">
        <v>439</v>
      </c>
      <c r="C1686" s="902" t="s">
        <v>635</v>
      </c>
      <c r="D1686" s="1129"/>
      <c r="E1686" s="637">
        <v>0</v>
      </c>
      <c r="F1686" s="625" t="s">
        <v>363</v>
      </c>
      <c r="G1686" s="620">
        <v>18040</v>
      </c>
      <c r="H1686" s="676">
        <f t="shared" si="532"/>
        <v>0</v>
      </c>
      <c r="I1686" s="677">
        <v>3000</v>
      </c>
      <c r="J1686" s="678">
        <f t="shared" si="529"/>
        <v>0</v>
      </c>
      <c r="K1686" s="675">
        <f t="shared" si="533"/>
        <v>0</v>
      </c>
      <c r="L1686" s="1061"/>
      <c r="M1686" s="574"/>
      <c r="N1686" s="667"/>
      <c r="O1686" s="636"/>
      <c r="P1686" s="637"/>
      <c r="Q1686" s="574"/>
      <c r="R1686" s="574">
        <v>15</v>
      </c>
      <c r="S1686" s="900">
        <f t="shared" si="531"/>
        <v>15</v>
      </c>
      <c r="U1686" s="574"/>
    </row>
    <row r="1687" spans="1:21" ht="21.3">
      <c r="A1687" s="665"/>
      <c r="B1687" s="1114" t="s">
        <v>440</v>
      </c>
      <c r="C1687" s="902" t="s">
        <v>636</v>
      </c>
      <c r="D1687" s="1129"/>
      <c r="E1687" s="637">
        <v>0</v>
      </c>
      <c r="F1687" s="625" t="s">
        <v>363</v>
      </c>
      <c r="G1687" s="620">
        <v>17150</v>
      </c>
      <c r="H1687" s="676">
        <f t="shared" si="532"/>
        <v>0</v>
      </c>
      <c r="I1687" s="677">
        <v>2800</v>
      </c>
      <c r="J1687" s="678">
        <f t="shared" si="529"/>
        <v>0</v>
      </c>
      <c r="K1687" s="675">
        <f t="shared" si="533"/>
        <v>0</v>
      </c>
      <c r="L1687" s="1061"/>
      <c r="M1687" s="574"/>
      <c r="N1687" s="667"/>
      <c r="O1687" s="636"/>
      <c r="P1687" s="637"/>
      <c r="Q1687" s="574"/>
      <c r="R1687" s="574">
        <v>12</v>
      </c>
      <c r="S1687" s="900">
        <f t="shared" si="531"/>
        <v>12</v>
      </c>
      <c r="U1687" s="574"/>
    </row>
    <row r="1688" spans="1:21" ht="21.3">
      <c r="A1688" s="665"/>
      <c r="B1688" s="1114" t="s">
        <v>441</v>
      </c>
      <c r="C1688" s="902" t="s">
        <v>637</v>
      </c>
      <c r="D1688" s="1129"/>
      <c r="E1688" s="637">
        <v>0</v>
      </c>
      <c r="F1688" s="625" t="s">
        <v>363</v>
      </c>
      <c r="G1688" s="620">
        <v>18040</v>
      </c>
      <c r="H1688" s="676">
        <f t="shared" si="532"/>
        <v>0</v>
      </c>
      <c r="I1688" s="677">
        <v>3000</v>
      </c>
      <c r="J1688" s="678">
        <f t="shared" si="529"/>
        <v>0</v>
      </c>
      <c r="K1688" s="675">
        <f t="shared" si="533"/>
        <v>0</v>
      </c>
      <c r="L1688" s="1061"/>
      <c r="M1688" s="574"/>
      <c r="N1688" s="667"/>
      <c r="O1688" s="636"/>
      <c r="P1688" s="637"/>
      <c r="Q1688" s="574"/>
      <c r="R1688" s="574">
        <v>4</v>
      </c>
      <c r="S1688" s="900">
        <f t="shared" si="531"/>
        <v>4</v>
      </c>
      <c r="U1688" s="574"/>
    </row>
    <row r="1689" spans="1:21" ht="21.3">
      <c r="A1689" s="665"/>
      <c r="B1689" s="1114" t="s">
        <v>443</v>
      </c>
      <c r="C1689" s="902" t="s">
        <v>639</v>
      </c>
      <c r="D1689" s="1129"/>
      <c r="E1689" s="637">
        <v>0</v>
      </c>
      <c r="F1689" s="625" t="s">
        <v>363</v>
      </c>
      <c r="G1689" s="620">
        <v>51820</v>
      </c>
      <c r="H1689" s="676">
        <f t="shared" si="532"/>
        <v>0</v>
      </c>
      <c r="I1689" s="677">
        <v>12900</v>
      </c>
      <c r="J1689" s="678">
        <f t="shared" si="529"/>
        <v>0</v>
      </c>
      <c r="K1689" s="675">
        <f t="shared" si="533"/>
        <v>0</v>
      </c>
      <c r="L1689" s="1061"/>
      <c r="M1689" s="574"/>
      <c r="N1689" s="667"/>
      <c r="O1689" s="636"/>
      <c r="P1689" s="637"/>
      <c r="Q1689" s="574"/>
      <c r="R1689" s="574">
        <v>3</v>
      </c>
      <c r="S1689" s="900">
        <f t="shared" si="531"/>
        <v>3</v>
      </c>
      <c r="U1689" s="574"/>
    </row>
    <row r="1690" spans="1:21" ht="21.3">
      <c r="A1690" s="665"/>
      <c r="B1690" s="1114" t="s">
        <v>444</v>
      </c>
      <c r="C1690" s="902" t="s">
        <v>644</v>
      </c>
      <c r="D1690" s="1129"/>
      <c r="E1690" s="637">
        <v>0</v>
      </c>
      <c r="F1690" s="625" t="s">
        <v>363</v>
      </c>
      <c r="G1690" s="620">
        <v>18370</v>
      </c>
      <c r="H1690" s="676">
        <f t="shared" si="532"/>
        <v>0</v>
      </c>
      <c r="I1690" s="677">
        <v>3000</v>
      </c>
      <c r="J1690" s="678">
        <f t="shared" si="529"/>
        <v>0</v>
      </c>
      <c r="K1690" s="675">
        <f t="shared" si="533"/>
        <v>0</v>
      </c>
      <c r="L1690" s="1061"/>
      <c r="M1690" s="574"/>
      <c r="N1690" s="667"/>
      <c r="O1690" s="636"/>
      <c r="P1690" s="637"/>
      <c r="Q1690" s="574"/>
      <c r="R1690" s="574">
        <v>1</v>
      </c>
      <c r="S1690" s="900">
        <f t="shared" si="531"/>
        <v>1</v>
      </c>
      <c r="U1690" s="574"/>
    </row>
    <row r="1691" spans="1:21" ht="21.3">
      <c r="A1691" s="665"/>
      <c r="B1691" s="1114"/>
      <c r="C1691" s="902" t="s">
        <v>640</v>
      </c>
      <c r="D1691" s="1129"/>
      <c r="E1691" s="637">
        <v>0</v>
      </c>
      <c r="F1691" s="625" t="s">
        <v>363</v>
      </c>
      <c r="G1691" s="620">
        <v>27760</v>
      </c>
      <c r="H1691" s="676">
        <f>SUM(E1691*G1691)</f>
        <v>0</v>
      </c>
      <c r="I1691" s="677">
        <v>4600</v>
      </c>
      <c r="J1691" s="678">
        <f t="shared" si="529"/>
        <v>0</v>
      </c>
      <c r="K1691" s="675">
        <f t="shared" si="533"/>
        <v>0</v>
      </c>
      <c r="L1691" s="1061"/>
      <c r="M1691" s="574"/>
      <c r="N1691" s="667"/>
      <c r="O1691" s="636"/>
      <c r="P1691" s="637"/>
      <c r="Q1691" s="574"/>
      <c r="R1691" s="574">
        <v>7</v>
      </c>
      <c r="S1691" s="900">
        <f t="shared" si="531"/>
        <v>7</v>
      </c>
      <c r="U1691" s="574"/>
    </row>
    <row r="1692" spans="1:21" ht="21.3">
      <c r="A1692" s="665"/>
      <c r="B1692" s="1114"/>
      <c r="C1692" s="902" t="s">
        <v>649</v>
      </c>
      <c r="D1692" s="1129"/>
      <c r="E1692" s="637">
        <v>0</v>
      </c>
      <c r="F1692" s="625" t="s">
        <v>363</v>
      </c>
      <c r="G1692" s="620">
        <v>0</v>
      </c>
      <c r="H1692" s="676">
        <f>SUM(E1692*G1692)</f>
        <v>0</v>
      </c>
      <c r="I1692" s="677">
        <v>0</v>
      </c>
      <c r="J1692" s="678">
        <f t="shared" si="529"/>
        <v>0</v>
      </c>
      <c r="K1692" s="675">
        <f t="shared" si="533"/>
        <v>0</v>
      </c>
      <c r="L1692" s="1061"/>
      <c r="M1692" s="903" t="s">
        <v>650</v>
      </c>
      <c r="N1692" s="667"/>
      <c r="O1692" s="636"/>
      <c r="P1692" s="637"/>
      <c r="Q1692" s="574"/>
      <c r="R1692" s="574">
        <v>14</v>
      </c>
      <c r="S1692" s="900">
        <f t="shared" si="531"/>
        <v>14</v>
      </c>
      <c r="U1692" s="574"/>
    </row>
    <row r="1693" spans="1:21" ht="21.3">
      <c r="A1693" s="665"/>
      <c r="B1693" s="1114" t="s">
        <v>421</v>
      </c>
      <c r="C1693" s="902" t="s">
        <v>620</v>
      </c>
      <c r="D1693" s="1129"/>
      <c r="E1693" s="637">
        <v>10</v>
      </c>
      <c r="F1693" s="625" t="s">
        <v>363</v>
      </c>
      <c r="G1693" s="620">
        <v>12131</v>
      </c>
      <c r="H1693" s="676">
        <f t="shared" si="532"/>
        <v>121310</v>
      </c>
      <c r="I1693" s="677">
        <v>3000</v>
      </c>
      <c r="J1693" s="678">
        <f t="shared" si="529"/>
        <v>30000</v>
      </c>
      <c r="K1693" s="675">
        <f t="shared" si="533"/>
        <v>151310</v>
      </c>
      <c r="L1693" s="1061"/>
      <c r="M1693" s="574"/>
      <c r="N1693" s="667"/>
      <c r="O1693" s="636"/>
      <c r="P1693" s="637"/>
      <c r="Q1693" s="574"/>
      <c r="R1693" s="574">
        <v>10</v>
      </c>
      <c r="S1693" s="900">
        <f t="shared" si="531"/>
        <v>0</v>
      </c>
      <c r="U1693" s="574"/>
    </row>
    <row r="1694" spans="1:21" ht="21.3">
      <c r="A1694" s="665"/>
      <c r="B1694" s="1114" t="s">
        <v>422</v>
      </c>
      <c r="C1694" s="902" t="s">
        <v>621</v>
      </c>
      <c r="D1694" s="1129"/>
      <c r="E1694" s="637">
        <v>4</v>
      </c>
      <c r="F1694" s="625" t="s">
        <v>363</v>
      </c>
      <c r="G1694" s="620">
        <v>24200</v>
      </c>
      <c r="H1694" s="676">
        <f t="shared" si="532"/>
        <v>96800</v>
      </c>
      <c r="I1694" s="677">
        <v>5400</v>
      </c>
      <c r="J1694" s="678">
        <f t="shared" si="529"/>
        <v>21600</v>
      </c>
      <c r="K1694" s="675">
        <f t="shared" si="533"/>
        <v>118400</v>
      </c>
      <c r="L1694" s="1061"/>
      <c r="M1694" s="574"/>
      <c r="N1694" s="667"/>
      <c r="O1694" s="636"/>
      <c r="P1694" s="637"/>
      <c r="Q1694" s="574"/>
      <c r="R1694" s="574">
        <v>4</v>
      </c>
      <c r="S1694" s="900">
        <f t="shared" si="531"/>
        <v>0</v>
      </c>
      <c r="U1694" s="574"/>
    </row>
    <row r="1695" spans="1:21" ht="21.3">
      <c r="A1695" s="665"/>
      <c r="B1695" s="1114" t="s">
        <v>428</v>
      </c>
      <c r="C1695" s="902" t="s">
        <v>624</v>
      </c>
      <c r="D1695" s="1129"/>
      <c r="E1695" s="637">
        <v>4</v>
      </c>
      <c r="F1695" s="625" t="s">
        <v>363</v>
      </c>
      <c r="G1695" s="620">
        <v>11640</v>
      </c>
      <c r="H1695" s="676">
        <f t="shared" si="532"/>
        <v>46560</v>
      </c>
      <c r="I1695" s="677">
        <v>2900</v>
      </c>
      <c r="J1695" s="678">
        <f t="shared" si="529"/>
        <v>11600</v>
      </c>
      <c r="K1695" s="675">
        <f t="shared" si="533"/>
        <v>58160</v>
      </c>
      <c r="L1695" s="1061"/>
      <c r="M1695" s="574"/>
      <c r="N1695" s="667"/>
      <c r="O1695" s="636"/>
      <c r="P1695" s="637"/>
      <c r="Q1695" s="574"/>
      <c r="R1695" s="574">
        <v>4</v>
      </c>
      <c r="S1695" s="900">
        <f t="shared" si="531"/>
        <v>0</v>
      </c>
      <c r="U1695" s="574"/>
    </row>
    <row r="1696" spans="1:21" ht="21.3">
      <c r="A1696" s="665"/>
      <c r="B1696" s="1114" t="s">
        <v>423</v>
      </c>
      <c r="C1696" s="902" t="s">
        <v>622</v>
      </c>
      <c r="D1696" s="1129"/>
      <c r="E1696" s="637">
        <v>4</v>
      </c>
      <c r="F1696" s="625" t="s">
        <v>363</v>
      </c>
      <c r="G1696" s="620">
        <v>18705</v>
      </c>
      <c r="H1696" s="676">
        <f t="shared" si="532"/>
        <v>74820</v>
      </c>
      <c r="I1696" s="677">
        <v>4600</v>
      </c>
      <c r="J1696" s="678">
        <f t="shared" si="529"/>
        <v>18400</v>
      </c>
      <c r="K1696" s="675">
        <f t="shared" si="533"/>
        <v>93220</v>
      </c>
      <c r="L1696" s="1061"/>
      <c r="M1696" s="574"/>
      <c r="N1696" s="667"/>
      <c r="O1696" s="636"/>
      <c r="P1696" s="637"/>
      <c r="Q1696" s="574"/>
      <c r="R1696" s="574">
        <v>4</v>
      </c>
      <c r="S1696" s="900">
        <f t="shared" si="531"/>
        <v>0</v>
      </c>
      <c r="U1696" s="574"/>
    </row>
    <row r="1697" spans="1:21" ht="21.3">
      <c r="A1697" s="665"/>
      <c r="B1697" s="1114"/>
      <c r="C1697" s="902" t="s">
        <v>623</v>
      </c>
      <c r="D1697" s="1129"/>
      <c r="E1697" s="637">
        <v>0</v>
      </c>
      <c r="F1697" s="625" t="s">
        <v>363</v>
      </c>
      <c r="G1697" s="620">
        <v>26320</v>
      </c>
      <c r="H1697" s="676">
        <f t="shared" si="532"/>
        <v>0</v>
      </c>
      <c r="I1697" s="677">
        <v>5900</v>
      </c>
      <c r="J1697" s="678">
        <f t="shared" si="529"/>
        <v>0</v>
      </c>
      <c r="K1697" s="675">
        <f t="shared" si="533"/>
        <v>0</v>
      </c>
      <c r="L1697" s="1061"/>
      <c r="M1697" s="574"/>
      <c r="N1697" s="667"/>
      <c r="O1697" s="636"/>
      <c r="P1697" s="637"/>
      <c r="Q1697" s="574"/>
      <c r="R1697" s="574">
        <v>1</v>
      </c>
      <c r="S1697" s="900">
        <f t="shared" si="531"/>
        <v>1</v>
      </c>
      <c r="U1697" s="574"/>
    </row>
    <row r="1698" spans="1:21" ht="21.3">
      <c r="A1698" s="665"/>
      <c r="B1698" s="1114"/>
      <c r="C1698" s="902" t="s">
        <v>643</v>
      </c>
      <c r="D1698" s="1129"/>
      <c r="E1698" s="637">
        <v>2</v>
      </c>
      <c r="F1698" s="625" t="s">
        <v>363</v>
      </c>
      <c r="G1698" s="620">
        <v>8750</v>
      </c>
      <c r="H1698" s="676">
        <f t="shared" si="532"/>
        <v>17500</v>
      </c>
      <c r="I1698" s="677">
        <v>2200</v>
      </c>
      <c r="J1698" s="678">
        <f t="shared" si="529"/>
        <v>4400</v>
      </c>
      <c r="K1698" s="675">
        <f t="shared" si="533"/>
        <v>21900</v>
      </c>
      <c r="L1698" s="1061"/>
      <c r="M1698" s="574"/>
      <c r="N1698" s="667"/>
      <c r="O1698" s="636"/>
      <c r="P1698" s="637"/>
      <c r="Q1698" s="574"/>
      <c r="R1698" s="574">
        <v>2</v>
      </c>
      <c r="S1698" s="900">
        <f t="shared" si="531"/>
        <v>0</v>
      </c>
      <c r="U1698" s="574"/>
    </row>
    <row r="1699" spans="1:21" ht="21.3">
      <c r="A1699" s="665"/>
      <c r="B1699" s="1114" t="s">
        <v>419</v>
      </c>
      <c r="C1699" s="902" t="s">
        <v>618</v>
      </c>
      <c r="D1699" s="1129"/>
      <c r="E1699" s="637">
        <v>4</v>
      </c>
      <c r="F1699" s="625" t="s">
        <v>363</v>
      </c>
      <c r="G1699" s="620">
        <v>24510</v>
      </c>
      <c r="H1699" s="676">
        <f t="shared" si="532"/>
        <v>98040</v>
      </c>
      <c r="I1699" s="677">
        <v>3500</v>
      </c>
      <c r="J1699" s="678">
        <f t="shared" si="529"/>
        <v>14000</v>
      </c>
      <c r="K1699" s="675">
        <f t="shared" si="533"/>
        <v>112040</v>
      </c>
      <c r="L1699" s="1061"/>
      <c r="M1699" s="574"/>
      <c r="N1699" s="667"/>
      <c r="O1699" s="636"/>
      <c r="P1699" s="637"/>
      <c r="Q1699" s="574"/>
      <c r="R1699" s="574">
        <v>4</v>
      </c>
      <c r="S1699" s="900">
        <f t="shared" si="531"/>
        <v>0</v>
      </c>
      <c r="U1699" s="574"/>
    </row>
    <row r="1700" spans="1:21" ht="21.3">
      <c r="A1700" s="665"/>
      <c r="B1700" s="1114" t="s">
        <v>420</v>
      </c>
      <c r="C1700" s="902" t="s">
        <v>619</v>
      </c>
      <c r="D1700" s="1129"/>
      <c r="E1700" s="637">
        <v>2</v>
      </c>
      <c r="F1700" s="625" t="s">
        <v>363</v>
      </c>
      <c r="G1700" s="620">
        <v>34531</v>
      </c>
      <c r="H1700" s="676">
        <f t="shared" si="532"/>
        <v>69062</v>
      </c>
      <c r="I1700" s="677">
        <v>6200</v>
      </c>
      <c r="J1700" s="678">
        <f t="shared" si="529"/>
        <v>12400</v>
      </c>
      <c r="K1700" s="675">
        <f t="shared" si="533"/>
        <v>81462</v>
      </c>
      <c r="L1700" s="1061"/>
      <c r="M1700" s="574"/>
      <c r="N1700" s="667"/>
      <c r="O1700" s="636"/>
      <c r="P1700" s="637"/>
      <c r="Q1700" s="574"/>
      <c r="R1700" s="574">
        <v>2</v>
      </c>
      <c r="S1700" s="900">
        <f t="shared" si="531"/>
        <v>0</v>
      </c>
      <c r="U1700" s="574"/>
    </row>
    <row r="1701" spans="1:21" ht="21.3">
      <c r="A1701" s="665"/>
      <c r="B1701" s="1114"/>
      <c r="C1701" s="902" t="s">
        <v>631</v>
      </c>
      <c r="D1701" s="1129"/>
      <c r="E1701" s="637">
        <v>0</v>
      </c>
      <c r="F1701" s="625" t="s">
        <v>363</v>
      </c>
      <c r="G1701" s="620">
        <v>34531</v>
      </c>
      <c r="H1701" s="676">
        <f>SUM(E1701*G1701)</f>
        <v>0</v>
      </c>
      <c r="I1701" s="677">
        <v>6200</v>
      </c>
      <c r="J1701" s="678">
        <f t="shared" si="529"/>
        <v>0</v>
      </c>
      <c r="K1701" s="675">
        <f t="shared" si="533"/>
        <v>0</v>
      </c>
      <c r="L1701" s="1061"/>
      <c r="M1701" s="574"/>
      <c r="N1701" s="667"/>
      <c r="O1701" s="636"/>
      <c r="P1701" s="637"/>
      <c r="Q1701" s="574"/>
      <c r="R1701" s="574">
        <v>1</v>
      </c>
      <c r="S1701" s="900">
        <f t="shared" si="531"/>
        <v>1</v>
      </c>
      <c r="U1701" s="574"/>
    </row>
    <row r="1702" spans="1:21" ht="21.3">
      <c r="A1702" s="665"/>
      <c r="B1702" s="1114"/>
      <c r="C1702" s="902" t="s">
        <v>632</v>
      </c>
      <c r="D1702" s="1129"/>
      <c r="E1702" s="637">
        <v>0</v>
      </c>
      <c r="F1702" s="625" t="s">
        <v>363</v>
      </c>
      <c r="G1702" s="620">
        <v>46160</v>
      </c>
      <c r="H1702" s="676">
        <f>SUM(E1702*G1702)</f>
        <v>0</v>
      </c>
      <c r="I1702" s="677">
        <v>6400</v>
      </c>
      <c r="J1702" s="678">
        <f t="shared" si="529"/>
        <v>0</v>
      </c>
      <c r="K1702" s="675">
        <f t="shared" si="533"/>
        <v>0</v>
      </c>
      <c r="L1702" s="1061"/>
      <c r="M1702" s="574"/>
      <c r="N1702" s="667"/>
      <c r="O1702" s="636"/>
      <c r="P1702" s="637"/>
      <c r="Q1702" s="574"/>
      <c r="R1702" s="574">
        <v>3</v>
      </c>
      <c r="S1702" s="900">
        <f t="shared" si="531"/>
        <v>3</v>
      </c>
      <c r="U1702" s="574"/>
    </row>
    <row r="1703" spans="1:21" ht="21.3">
      <c r="A1703" s="665"/>
      <c r="B1703" s="1114"/>
      <c r="C1703" s="902" t="s">
        <v>646</v>
      </c>
      <c r="D1703" s="1129"/>
      <c r="E1703" s="637">
        <v>0</v>
      </c>
      <c r="F1703" s="625" t="s">
        <v>34</v>
      </c>
      <c r="G1703" s="620">
        <v>6800</v>
      </c>
      <c r="H1703" s="676">
        <f t="shared" si="532"/>
        <v>0</v>
      </c>
      <c r="I1703" s="677">
        <v>0</v>
      </c>
      <c r="J1703" s="678">
        <f t="shared" si="529"/>
        <v>0</v>
      </c>
      <c r="K1703" s="675">
        <f t="shared" si="533"/>
        <v>0</v>
      </c>
      <c r="L1703" s="1085"/>
      <c r="M1703" s="574"/>
      <c r="N1703" s="667"/>
      <c r="O1703" s="636"/>
      <c r="P1703" s="637"/>
      <c r="Q1703" s="574"/>
      <c r="R1703" s="574">
        <v>19</v>
      </c>
      <c r="S1703" s="900">
        <f t="shared" si="531"/>
        <v>19</v>
      </c>
      <c r="U1703" s="574"/>
    </row>
    <row r="1704" spans="1:21" ht="21.3">
      <c r="A1704" s="665"/>
      <c r="B1704" s="1114"/>
      <c r="C1704" s="902" t="s">
        <v>647</v>
      </c>
      <c r="D1704" s="1129"/>
      <c r="E1704" s="637">
        <v>0</v>
      </c>
      <c r="F1704" s="625" t="s">
        <v>34</v>
      </c>
      <c r="G1704" s="620">
        <v>6800</v>
      </c>
      <c r="H1704" s="676">
        <f t="shared" si="532"/>
        <v>0</v>
      </c>
      <c r="I1704" s="677">
        <v>0</v>
      </c>
      <c r="J1704" s="678">
        <f t="shared" si="529"/>
        <v>0</v>
      </c>
      <c r="K1704" s="675">
        <f t="shared" si="533"/>
        <v>0</v>
      </c>
      <c r="L1704" s="1085"/>
      <c r="M1704" s="574"/>
      <c r="N1704" s="667"/>
      <c r="O1704" s="636"/>
      <c r="P1704" s="637"/>
      <c r="Q1704" s="574"/>
      <c r="R1704" s="574">
        <v>20</v>
      </c>
      <c r="S1704" s="900">
        <f t="shared" si="531"/>
        <v>20</v>
      </c>
      <c r="U1704" s="574"/>
    </row>
    <row r="1705" spans="1:21" ht="21.3">
      <c r="A1705" s="665"/>
      <c r="B1705" s="1114"/>
      <c r="C1705" s="2028"/>
      <c r="D1705" s="1129"/>
      <c r="E1705" s="637"/>
      <c r="F1705" s="625"/>
      <c r="G1705" s="641"/>
      <c r="H1705" s="676">
        <f t="shared" si="532"/>
        <v>0</v>
      </c>
      <c r="I1705" s="677"/>
      <c r="J1705" s="678">
        <f t="shared" si="529"/>
        <v>0</v>
      </c>
      <c r="K1705" s="675"/>
      <c r="L1705" s="1065"/>
      <c r="M1705" s="574"/>
      <c r="N1705" s="667"/>
      <c r="O1705" s="636"/>
      <c r="P1705" s="637"/>
      <c r="Q1705" s="574"/>
      <c r="R1705" s="574"/>
      <c r="S1705" s="900">
        <f t="shared" si="531"/>
        <v>0</v>
      </c>
      <c r="U1705" s="574"/>
    </row>
    <row r="1706" spans="1:21" ht="21.3">
      <c r="A1706" s="665" t="s">
        <v>446</v>
      </c>
      <c r="B1706" s="1111" t="s">
        <v>447</v>
      </c>
      <c r="C1706" s="2028"/>
      <c r="D1706" s="1129"/>
      <c r="E1706" s="637"/>
      <c r="F1706" s="625"/>
      <c r="G1706" s="641"/>
      <c r="H1706" s="676">
        <f t="shared" si="532"/>
        <v>0</v>
      </c>
      <c r="I1706" s="677"/>
      <c r="J1706" s="678">
        <f t="shared" si="529"/>
        <v>0</v>
      </c>
      <c r="K1706" s="675"/>
      <c r="L1706" s="1065"/>
      <c r="M1706" s="900">
        <f>SUM(E1707:E1728)</f>
        <v>38</v>
      </c>
      <c r="N1706" s="667"/>
      <c r="O1706" s="636"/>
      <c r="P1706" s="637"/>
      <c r="Q1706" s="574"/>
      <c r="R1706" s="574"/>
      <c r="S1706" s="900">
        <f t="shared" si="531"/>
        <v>0</v>
      </c>
      <c r="U1706" s="574"/>
    </row>
    <row r="1707" spans="1:21" ht="21.3">
      <c r="A1707" s="665"/>
      <c r="B1707" s="1114" t="s">
        <v>417</v>
      </c>
      <c r="C1707" s="2028" t="s">
        <v>616</v>
      </c>
      <c r="D1707" s="1129"/>
      <c r="E1707" s="645">
        <f>+E1680</f>
        <v>4</v>
      </c>
      <c r="F1707" s="625" t="s">
        <v>363</v>
      </c>
      <c r="G1707" s="620">
        <v>88800</v>
      </c>
      <c r="H1707" s="676">
        <f t="shared" si="532"/>
        <v>355200</v>
      </c>
      <c r="I1707" s="677">
        <v>31000</v>
      </c>
      <c r="J1707" s="678">
        <f t="shared" si="529"/>
        <v>124000</v>
      </c>
      <c r="K1707" s="675">
        <f t="shared" si="533"/>
        <v>479200</v>
      </c>
      <c r="L1707" s="1061"/>
      <c r="M1707" s="574"/>
      <c r="N1707" s="713"/>
      <c r="O1707" s="647"/>
      <c r="P1707" s="645"/>
      <c r="Q1707" s="574"/>
      <c r="R1707" s="574">
        <v>6</v>
      </c>
      <c r="S1707" s="900">
        <f t="shared" si="531"/>
        <v>2</v>
      </c>
      <c r="U1707" s="574"/>
    </row>
    <row r="1708" spans="1:21" ht="21.3">
      <c r="A1708" s="665"/>
      <c r="B1708" s="1114" t="s">
        <v>418</v>
      </c>
      <c r="C1708" s="2028" t="s">
        <v>617</v>
      </c>
      <c r="D1708" s="1129"/>
      <c r="E1708" s="645">
        <f t="shared" ref="E1708:E1709" si="534">+E1681</f>
        <v>2</v>
      </c>
      <c r="F1708" s="625" t="s">
        <v>363</v>
      </c>
      <c r="G1708" s="620">
        <v>44140</v>
      </c>
      <c r="H1708" s="676">
        <f t="shared" si="532"/>
        <v>88280</v>
      </c>
      <c r="I1708" s="677">
        <v>15400</v>
      </c>
      <c r="J1708" s="678">
        <f t="shared" si="529"/>
        <v>30800</v>
      </c>
      <c r="K1708" s="675">
        <f t="shared" si="533"/>
        <v>119080</v>
      </c>
      <c r="L1708" s="1061"/>
      <c r="M1708" s="574"/>
      <c r="N1708" s="713"/>
      <c r="O1708" s="647"/>
      <c r="P1708" s="645"/>
      <c r="Q1708" s="574"/>
      <c r="R1708" s="574">
        <v>2</v>
      </c>
      <c r="S1708" s="900">
        <f t="shared" si="531"/>
        <v>0</v>
      </c>
      <c r="U1708" s="574"/>
    </row>
    <row r="1709" spans="1:21" ht="21.3">
      <c r="A1709" s="665"/>
      <c r="B1709" s="1114" t="s">
        <v>435</v>
      </c>
      <c r="C1709" s="2028" t="s">
        <v>626</v>
      </c>
      <c r="D1709" s="1129"/>
      <c r="E1709" s="645">
        <f t="shared" si="534"/>
        <v>2</v>
      </c>
      <c r="F1709" s="625" t="s">
        <v>363</v>
      </c>
      <c r="G1709" s="620">
        <v>36420</v>
      </c>
      <c r="H1709" s="676">
        <f t="shared" si="532"/>
        <v>72840</v>
      </c>
      <c r="I1709" s="677">
        <v>12700</v>
      </c>
      <c r="J1709" s="678">
        <f t="shared" si="529"/>
        <v>25400</v>
      </c>
      <c r="K1709" s="675">
        <f t="shared" si="533"/>
        <v>98240</v>
      </c>
      <c r="L1709" s="1061"/>
      <c r="M1709" s="574"/>
      <c r="N1709" s="713"/>
      <c r="O1709" s="647"/>
      <c r="P1709" s="645"/>
      <c r="Q1709" s="574"/>
      <c r="R1709" s="574">
        <v>2</v>
      </c>
      <c r="S1709" s="900">
        <f t="shared" si="531"/>
        <v>0</v>
      </c>
      <c r="U1709" s="574"/>
    </row>
    <row r="1710" spans="1:21" ht="21.3">
      <c r="A1710" s="665"/>
      <c r="B1710" s="1114"/>
      <c r="C1710" s="902" t="s">
        <v>628</v>
      </c>
      <c r="D1710" s="1129"/>
      <c r="E1710" s="645"/>
      <c r="F1710" s="625" t="s">
        <v>363</v>
      </c>
      <c r="G1710" s="620">
        <v>77650</v>
      </c>
      <c r="H1710" s="676">
        <f t="shared" si="532"/>
        <v>0</v>
      </c>
      <c r="I1710" s="677">
        <v>27100</v>
      </c>
      <c r="J1710" s="678">
        <f t="shared" si="529"/>
        <v>0</v>
      </c>
      <c r="K1710" s="675">
        <f t="shared" si="533"/>
        <v>0</v>
      </c>
      <c r="L1710" s="1061"/>
      <c r="M1710" s="574"/>
      <c r="N1710" s="713"/>
      <c r="O1710" s="647"/>
      <c r="P1710" s="645"/>
      <c r="Q1710" s="574"/>
      <c r="R1710" s="574">
        <v>8</v>
      </c>
      <c r="S1710" s="900">
        <f t="shared" si="531"/>
        <v>8</v>
      </c>
      <c r="U1710" s="574"/>
    </row>
    <row r="1711" spans="1:21" ht="21.3">
      <c r="A1711" s="665"/>
      <c r="B1711" s="1114"/>
      <c r="C1711" s="902" t="s">
        <v>630</v>
      </c>
      <c r="D1711" s="1129"/>
      <c r="E1711" s="645"/>
      <c r="F1711" s="625" t="s">
        <v>363</v>
      </c>
      <c r="G1711" s="620">
        <v>45060</v>
      </c>
      <c r="H1711" s="676">
        <f t="shared" si="532"/>
        <v>0</v>
      </c>
      <c r="I1711" s="677">
        <v>15700</v>
      </c>
      <c r="J1711" s="678">
        <f t="shared" si="529"/>
        <v>0</v>
      </c>
      <c r="K1711" s="675">
        <f t="shared" si="533"/>
        <v>0</v>
      </c>
      <c r="L1711" s="1061"/>
      <c r="M1711" s="574"/>
      <c r="N1711" s="713"/>
      <c r="O1711" s="647"/>
      <c r="P1711" s="645"/>
      <c r="Q1711" s="574"/>
      <c r="R1711" s="574">
        <v>11</v>
      </c>
      <c r="S1711" s="900">
        <f t="shared" si="531"/>
        <v>11</v>
      </c>
      <c r="U1711" s="574"/>
    </row>
    <row r="1712" spans="1:21" ht="21.3">
      <c r="A1712" s="665"/>
      <c r="B1712" s="1114" t="s">
        <v>438</v>
      </c>
      <c r="C1712" s="902" t="s">
        <v>648</v>
      </c>
      <c r="D1712" s="1129"/>
      <c r="E1712" s="645"/>
      <c r="F1712" s="625" t="s">
        <v>363</v>
      </c>
      <c r="G1712" s="620">
        <v>45061</v>
      </c>
      <c r="H1712" s="676">
        <f t="shared" si="532"/>
        <v>0</v>
      </c>
      <c r="I1712" s="677">
        <v>15701</v>
      </c>
      <c r="J1712" s="678">
        <f t="shared" si="529"/>
        <v>0</v>
      </c>
      <c r="K1712" s="675">
        <f t="shared" si="533"/>
        <v>0</v>
      </c>
      <c r="L1712" s="1061"/>
      <c r="M1712" s="574"/>
      <c r="N1712" s="713"/>
      <c r="O1712" s="647"/>
      <c r="P1712" s="645"/>
      <c r="Q1712" s="574"/>
      <c r="R1712" s="574">
        <v>2</v>
      </c>
      <c r="S1712" s="900">
        <f t="shared" si="531"/>
        <v>2</v>
      </c>
      <c r="U1712" s="574"/>
    </row>
    <row r="1713" spans="1:21" ht="21.3">
      <c r="A1713" s="665"/>
      <c r="B1713" s="1114" t="s">
        <v>439</v>
      </c>
      <c r="C1713" s="902" t="s">
        <v>635</v>
      </c>
      <c r="D1713" s="1129"/>
      <c r="E1713" s="645"/>
      <c r="F1713" s="625" t="s">
        <v>363</v>
      </c>
      <c r="G1713" s="620">
        <v>18040</v>
      </c>
      <c r="H1713" s="676">
        <f t="shared" si="532"/>
        <v>0</v>
      </c>
      <c r="I1713" s="677">
        <v>3000</v>
      </c>
      <c r="J1713" s="678">
        <f t="shared" si="529"/>
        <v>0</v>
      </c>
      <c r="K1713" s="675">
        <f t="shared" si="533"/>
        <v>0</v>
      </c>
      <c r="L1713" s="1061"/>
      <c r="M1713" s="574"/>
      <c r="N1713" s="713"/>
      <c r="O1713" s="647"/>
      <c r="P1713" s="645"/>
      <c r="Q1713" s="574"/>
      <c r="R1713" s="574">
        <v>1</v>
      </c>
      <c r="S1713" s="900">
        <f t="shared" si="531"/>
        <v>1</v>
      </c>
      <c r="U1713" s="574"/>
    </row>
    <row r="1714" spans="1:21" ht="21.3">
      <c r="A1714" s="665"/>
      <c r="B1714" s="1114" t="s">
        <v>441</v>
      </c>
      <c r="C1714" s="902" t="s">
        <v>637</v>
      </c>
      <c r="D1714" s="1129"/>
      <c r="E1714" s="645"/>
      <c r="F1714" s="625" t="s">
        <v>363</v>
      </c>
      <c r="G1714" s="620">
        <v>18040</v>
      </c>
      <c r="H1714" s="676">
        <f t="shared" si="532"/>
        <v>0</v>
      </c>
      <c r="I1714" s="677">
        <v>3000</v>
      </c>
      <c r="J1714" s="678">
        <f t="shared" si="529"/>
        <v>0</v>
      </c>
      <c r="K1714" s="675">
        <f t="shared" si="533"/>
        <v>0</v>
      </c>
      <c r="L1714" s="1061"/>
      <c r="M1714" s="574"/>
      <c r="N1714" s="713"/>
      <c r="O1714" s="647"/>
      <c r="P1714" s="645"/>
      <c r="Q1714" s="574"/>
      <c r="R1714" s="574">
        <v>8</v>
      </c>
      <c r="S1714" s="900">
        <f t="shared" si="531"/>
        <v>8</v>
      </c>
      <c r="U1714" s="574"/>
    </row>
    <row r="1715" spans="1:21" ht="21.3">
      <c r="A1715" s="665"/>
      <c r="B1715" s="1114" t="s">
        <v>442</v>
      </c>
      <c r="C1715" s="902" t="s">
        <v>638</v>
      </c>
      <c r="D1715" s="1129"/>
      <c r="E1715" s="645"/>
      <c r="F1715" s="625" t="s">
        <v>363</v>
      </c>
      <c r="G1715" s="620">
        <v>20850</v>
      </c>
      <c r="H1715" s="676">
        <f t="shared" si="532"/>
        <v>0</v>
      </c>
      <c r="I1715" s="677">
        <v>3500</v>
      </c>
      <c r="J1715" s="678">
        <f t="shared" si="529"/>
        <v>0</v>
      </c>
      <c r="K1715" s="675">
        <f t="shared" si="533"/>
        <v>0</v>
      </c>
      <c r="L1715" s="1061"/>
      <c r="M1715" s="574"/>
      <c r="N1715" s="713"/>
      <c r="O1715" s="647"/>
      <c r="P1715" s="645"/>
      <c r="Q1715" s="574"/>
      <c r="R1715" s="574">
        <v>1</v>
      </c>
      <c r="S1715" s="900">
        <f t="shared" si="531"/>
        <v>1</v>
      </c>
      <c r="U1715" s="574"/>
    </row>
    <row r="1716" spans="1:21" ht="21.3">
      <c r="A1716" s="665"/>
      <c r="B1716" s="1114"/>
      <c r="C1716" s="902" t="s">
        <v>651</v>
      </c>
      <c r="D1716" s="1129"/>
      <c r="E1716" s="645"/>
      <c r="F1716" s="625" t="s">
        <v>363</v>
      </c>
      <c r="G1716" s="620">
        <v>40290</v>
      </c>
      <c r="H1716" s="676">
        <f t="shared" si="532"/>
        <v>0</v>
      </c>
      <c r="I1716" s="677">
        <v>6700</v>
      </c>
      <c r="J1716" s="678">
        <f t="shared" si="529"/>
        <v>0</v>
      </c>
      <c r="K1716" s="675">
        <f t="shared" si="533"/>
        <v>0</v>
      </c>
      <c r="L1716" s="1061"/>
      <c r="M1716" s="574"/>
      <c r="N1716" s="713"/>
      <c r="O1716" s="647"/>
      <c r="P1716" s="645"/>
      <c r="Q1716" s="574"/>
      <c r="R1716" s="574">
        <v>2</v>
      </c>
      <c r="S1716" s="900">
        <f t="shared" si="531"/>
        <v>2</v>
      </c>
      <c r="U1716" s="574"/>
    </row>
    <row r="1717" spans="1:21" ht="21.3">
      <c r="A1717" s="665"/>
      <c r="B1717" s="1114" t="s">
        <v>444</v>
      </c>
      <c r="C1717" s="902" t="s">
        <v>644</v>
      </c>
      <c r="D1717" s="1129"/>
      <c r="E1717" s="645"/>
      <c r="F1717" s="625" t="s">
        <v>363</v>
      </c>
      <c r="G1717" s="620">
        <v>18370</v>
      </c>
      <c r="H1717" s="676">
        <f t="shared" si="532"/>
        <v>0</v>
      </c>
      <c r="I1717" s="677">
        <v>3000</v>
      </c>
      <c r="J1717" s="678">
        <f t="shared" si="529"/>
        <v>0</v>
      </c>
      <c r="K1717" s="675">
        <f t="shared" si="533"/>
        <v>0</v>
      </c>
      <c r="L1717" s="1061"/>
      <c r="M1717" s="574"/>
      <c r="N1717" s="713"/>
      <c r="O1717" s="647"/>
      <c r="P1717" s="645"/>
      <c r="Q1717" s="574"/>
      <c r="R1717" s="574">
        <v>5</v>
      </c>
      <c r="S1717" s="900">
        <f t="shared" si="531"/>
        <v>5</v>
      </c>
      <c r="U1717" s="574"/>
    </row>
    <row r="1718" spans="1:21" ht="21.3">
      <c r="A1718" s="665"/>
      <c r="B1718" s="1114"/>
      <c r="C1718" s="902" t="s">
        <v>640</v>
      </c>
      <c r="D1718" s="1129"/>
      <c r="E1718" s="645"/>
      <c r="F1718" s="625" t="s">
        <v>363</v>
      </c>
      <c r="G1718" s="620">
        <v>27760</v>
      </c>
      <c r="H1718" s="676">
        <f>SUM(E1718*G1718)</f>
        <v>0</v>
      </c>
      <c r="I1718" s="677">
        <v>4600</v>
      </c>
      <c r="J1718" s="678">
        <f t="shared" si="529"/>
        <v>0</v>
      </c>
      <c r="K1718" s="675">
        <f t="shared" si="533"/>
        <v>0</v>
      </c>
      <c r="L1718" s="1061"/>
      <c r="M1718" s="574"/>
      <c r="N1718" s="713"/>
      <c r="O1718" s="647"/>
      <c r="P1718" s="645"/>
      <c r="Q1718" s="574"/>
      <c r="R1718" s="574">
        <v>7</v>
      </c>
      <c r="S1718" s="900">
        <f t="shared" si="531"/>
        <v>7</v>
      </c>
      <c r="U1718" s="574"/>
    </row>
    <row r="1719" spans="1:21" ht="21.3">
      <c r="A1719" s="665"/>
      <c r="B1719" s="1114" t="s">
        <v>421</v>
      </c>
      <c r="C1719" s="902" t="s">
        <v>620</v>
      </c>
      <c r="D1719" s="1129"/>
      <c r="E1719" s="645">
        <f>+E1693</f>
        <v>10</v>
      </c>
      <c r="F1719" s="625" t="s">
        <v>363</v>
      </c>
      <c r="G1719" s="620">
        <v>12131</v>
      </c>
      <c r="H1719" s="676">
        <f t="shared" si="532"/>
        <v>121310</v>
      </c>
      <c r="I1719" s="677">
        <v>3000</v>
      </c>
      <c r="J1719" s="678">
        <f t="shared" si="529"/>
        <v>30000</v>
      </c>
      <c r="K1719" s="675">
        <f t="shared" si="533"/>
        <v>151310</v>
      </c>
      <c r="L1719" s="1061"/>
      <c r="M1719" s="574"/>
      <c r="N1719" s="713"/>
      <c r="O1719" s="647"/>
      <c r="P1719" s="645"/>
      <c r="Q1719" s="574"/>
      <c r="R1719" s="574">
        <v>10</v>
      </c>
      <c r="S1719" s="900">
        <f t="shared" si="531"/>
        <v>0</v>
      </c>
      <c r="U1719" s="574"/>
    </row>
    <row r="1720" spans="1:21" ht="21.3">
      <c r="A1720" s="665"/>
      <c r="B1720" s="1114" t="s">
        <v>422</v>
      </c>
      <c r="C1720" s="902" t="s">
        <v>621</v>
      </c>
      <c r="D1720" s="1129"/>
      <c r="E1720" s="645">
        <f t="shared" ref="E1720:E1722" si="535">+E1694</f>
        <v>4</v>
      </c>
      <c r="F1720" s="625" t="s">
        <v>363</v>
      </c>
      <c r="G1720" s="620">
        <v>24200</v>
      </c>
      <c r="H1720" s="676">
        <f t="shared" si="532"/>
        <v>96800</v>
      </c>
      <c r="I1720" s="677">
        <v>5400</v>
      </c>
      <c r="J1720" s="678">
        <f t="shared" si="529"/>
        <v>21600</v>
      </c>
      <c r="K1720" s="675">
        <f t="shared" si="533"/>
        <v>118400</v>
      </c>
      <c r="L1720" s="1061"/>
      <c r="M1720" s="574"/>
      <c r="N1720" s="713"/>
      <c r="O1720" s="647"/>
      <c r="P1720" s="645"/>
      <c r="Q1720" s="574"/>
      <c r="R1720" s="574">
        <v>4</v>
      </c>
      <c r="S1720" s="900">
        <f t="shared" si="531"/>
        <v>0</v>
      </c>
      <c r="U1720" s="574"/>
    </row>
    <row r="1721" spans="1:21" ht="21.3">
      <c r="A1721" s="665"/>
      <c r="B1721" s="1114" t="s">
        <v>428</v>
      </c>
      <c r="C1721" s="902" t="s">
        <v>624</v>
      </c>
      <c r="D1721" s="1129"/>
      <c r="E1721" s="645">
        <f t="shared" si="535"/>
        <v>4</v>
      </c>
      <c r="F1721" s="625" t="s">
        <v>363</v>
      </c>
      <c r="G1721" s="620">
        <v>11640</v>
      </c>
      <c r="H1721" s="676">
        <f t="shared" si="532"/>
        <v>46560</v>
      </c>
      <c r="I1721" s="677">
        <v>2900</v>
      </c>
      <c r="J1721" s="678">
        <f t="shared" si="529"/>
        <v>11600</v>
      </c>
      <c r="K1721" s="675">
        <f t="shared" si="533"/>
        <v>58160</v>
      </c>
      <c r="L1721" s="1061"/>
      <c r="M1721" s="574"/>
      <c r="N1721" s="713"/>
      <c r="O1721" s="647"/>
      <c r="P1721" s="645"/>
      <c r="Q1721" s="574"/>
      <c r="R1721" s="574">
        <v>4</v>
      </c>
      <c r="S1721" s="900">
        <f t="shared" si="531"/>
        <v>0</v>
      </c>
      <c r="U1721" s="574"/>
    </row>
    <row r="1722" spans="1:21" ht="21.3">
      <c r="A1722" s="665"/>
      <c r="B1722" s="1114" t="s">
        <v>423</v>
      </c>
      <c r="C1722" s="902" t="s">
        <v>622</v>
      </c>
      <c r="D1722" s="1129"/>
      <c r="E1722" s="645">
        <f t="shared" si="535"/>
        <v>4</v>
      </c>
      <c r="F1722" s="625" t="s">
        <v>363</v>
      </c>
      <c r="G1722" s="620">
        <v>18705</v>
      </c>
      <c r="H1722" s="676">
        <f t="shared" si="532"/>
        <v>74820</v>
      </c>
      <c r="I1722" s="677">
        <v>4600</v>
      </c>
      <c r="J1722" s="678">
        <f t="shared" si="529"/>
        <v>18400</v>
      </c>
      <c r="K1722" s="675">
        <f t="shared" si="533"/>
        <v>93220</v>
      </c>
      <c r="L1722" s="1061"/>
      <c r="M1722" s="574"/>
      <c r="N1722" s="713"/>
      <c r="O1722" s="647"/>
      <c r="P1722" s="645"/>
      <c r="Q1722" s="574"/>
      <c r="R1722" s="574">
        <v>4</v>
      </c>
      <c r="S1722" s="900">
        <f t="shared" si="531"/>
        <v>0</v>
      </c>
      <c r="U1722" s="574"/>
    </row>
    <row r="1723" spans="1:21" ht="21.3">
      <c r="A1723" s="665"/>
      <c r="B1723" s="1114"/>
      <c r="C1723" s="902" t="s">
        <v>633</v>
      </c>
      <c r="D1723" s="1129"/>
      <c r="E1723" s="645">
        <v>0</v>
      </c>
      <c r="F1723" s="625" t="s">
        <v>363</v>
      </c>
      <c r="G1723" s="620">
        <v>12131</v>
      </c>
      <c r="H1723" s="676">
        <f t="shared" si="532"/>
        <v>0</v>
      </c>
      <c r="I1723" s="677">
        <v>3000</v>
      </c>
      <c r="J1723" s="678">
        <f t="shared" si="529"/>
        <v>0</v>
      </c>
      <c r="K1723" s="675">
        <f t="shared" si="533"/>
        <v>0</v>
      </c>
      <c r="L1723" s="1061"/>
      <c r="M1723" s="574"/>
      <c r="N1723" s="713"/>
      <c r="O1723" s="647"/>
      <c r="P1723" s="645"/>
      <c r="Q1723" s="574"/>
      <c r="R1723" s="574">
        <v>2</v>
      </c>
      <c r="S1723" s="900">
        <f t="shared" si="531"/>
        <v>2</v>
      </c>
      <c r="U1723" s="574"/>
    </row>
    <row r="1724" spans="1:21" ht="21.3">
      <c r="A1724" s="665"/>
      <c r="B1724" s="1114"/>
      <c r="C1724" s="902" t="s">
        <v>623</v>
      </c>
      <c r="D1724" s="1129"/>
      <c r="E1724" s="645">
        <f>+E1697</f>
        <v>0</v>
      </c>
      <c r="F1724" s="625" t="s">
        <v>363</v>
      </c>
      <c r="G1724" s="620">
        <v>26320</v>
      </c>
      <c r="H1724" s="676">
        <f t="shared" si="532"/>
        <v>0</v>
      </c>
      <c r="I1724" s="677">
        <v>5900</v>
      </c>
      <c r="J1724" s="678">
        <f t="shared" si="529"/>
        <v>0</v>
      </c>
      <c r="K1724" s="675">
        <f t="shared" si="533"/>
        <v>0</v>
      </c>
      <c r="L1724" s="1061"/>
      <c r="M1724" s="574"/>
      <c r="N1724" s="713"/>
      <c r="O1724" s="647"/>
      <c r="P1724" s="645"/>
      <c r="Q1724" s="574"/>
      <c r="R1724" s="574">
        <v>1</v>
      </c>
      <c r="S1724" s="900">
        <f t="shared" si="531"/>
        <v>1</v>
      </c>
      <c r="U1724" s="574"/>
    </row>
    <row r="1725" spans="1:21" ht="21.3">
      <c r="A1725" s="665"/>
      <c r="B1725" s="1114"/>
      <c r="C1725" s="902" t="s">
        <v>643</v>
      </c>
      <c r="D1725" s="1129"/>
      <c r="E1725" s="645">
        <f t="shared" ref="E1725:E1728" si="536">+E1698</f>
        <v>2</v>
      </c>
      <c r="F1725" s="625" t="s">
        <v>363</v>
      </c>
      <c r="G1725" s="620">
        <v>8750</v>
      </c>
      <c r="H1725" s="676">
        <f t="shared" si="532"/>
        <v>17500</v>
      </c>
      <c r="I1725" s="677">
        <v>2200</v>
      </c>
      <c r="J1725" s="678">
        <f t="shared" si="529"/>
        <v>4400</v>
      </c>
      <c r="K1725" s="675">
        <f t="shared" si="533"/>
        <v>21900</v>
      </c>
      <c r="L1725" s="1061"/>
      <c r="M1725" s="574"/>
      <c r="N1725" s="713"/>
      <c r="O1725" s="647"/>
      <c r="P1725" s="645"/>
      <c r="Q1725" s="574"/>
      <c r="R1725" s="574">
        <v>2</v>
      </c>
      <c r="S1725" s="900">
        <f t="shared" si="531"/>
        <v>0</v>
      </c>
      <c r="U1725" s="574"/>
    </row>
    <row r="1726" spans="1:21" ht="21.3">
      <c r="A1726" s="665"/>
      <c r="B1726" s="1114" t="s">
        <v>419</v>
      </c>
      <c r="C1726" s="2028" t="s">
        <v>618</v>
      </c>
      <c r="D1726" s="1129"/>
      <c r="E1726" s="645">
        <f t="shared" si="536"/>
        <v>4</v>
      </c>
      <c r="F1726" s="625" t="s">
        <v>363</v>
      </c>
      <c r="G1726" s="620">
        <v>24510</v>
      </c>
      <c r="H1726" s="676">
        <f t="shared" si="532"/>
        <v>98040</v>
      </c>
      <c r="I1726" s="677">
        <v>3500</v>
      </c>
      <c r="J1726" s="678">
        <f t="shared" si="529"/>
        <v>14000</v>
      </c>
      <c r="K1726" s="675">
        <f t="shared" si="533"/>
        <v>112040</v>
      </c>
      <c r="L1726" s="1061"/>
      <c r="M1726" s="901" t="s">
        <v>652</v>
      </c>
      <c r="N1726" s="713"/>
      <c r="O1726" s="647"/>
      <c r="P1726" s="645"/>
      <c r="Q1726" s="574"/>
      <c r="R1726" s="574">
        <v>5</v>
      </c>
      <c r="S1726" s="900">
        <f t="shared" si="531"/>
        <v>1</v>
      </c>
      <c r="U1726" s="574"/>
    </row>
    <row r="1727" spans="1:21" ht="21.3">
      <c r="A1727" s="665"/>
      <c r="B1727" s="1114" t="s">
        <v>420</v>
      </c>
      <c r="C1727" s="2028" t="s">
        <v>619</v>
      </c>
      <c r="D1727" s="1129"/>
      <c r="E1727" s="645">
        <f>+E1700</f>
        <v>2</v>
      </c>
      <c r="F1727" s="625" t="s">
        <v>363</v>
      </c>
      <c r="G1727" s="620">
        <v>34531</v>
      </c>
      <c r="H1727" s="676">
        <f t="shared" si="532"/>
        <v>69062</v>
      </c>
      <c r="I1727" s="677">
        <v>6200</v>
      </c>
      <c r="J1727" s="678">
        <f t="shared" si="529"/>
        <v>12400</v>
      </c>
      <c r="K1727" s="675">
        <f t="shared" si="533"/>
        <v>81462</v>
      </c>
      <c r="L1727" s="1061"/>
      <c r="M1727" s="574"/>
      <c r="N1727" s="713"/>
      <c r="O1727" s="647"/>
      <c r="P1727" s="645"/>
      <c r="Q1727" s="574"/>
      <c r="R1727" s="574">
        <v>2</v>
      </c>
      <c r="S1727" s="900">
        <f t="shared" si="531"/>
        <v>0</v>
      </c>
      <c r="U1727" s="574"/>
    </row>
    <row r="1728" spans="1:21" ht="21.3">
      <c r="A1728" s="665"/>
      <c r="B1728" s="1114"/>
      <c r="C1728" s="902" t="s">
        <v>631</v>
      </c>
      <c r="D1728" s="1129"/>
      <c r="E1728" s="645">
        <f t="shared" si="536"/>
        <v>0</v>
      </c>
      <c r="F1728" s="625" t="s">
        <v>363</v>
      </c>
      <c r="G1728" s="620">
        <v>34531</v>
      </c>
      <c r="H1728" s="676">
        <f>SUM(E1728*G1728)</f>
        <v>0</v>
      </c>
      <c r="I1728" s="677">
        <v>6200</v>
      </c>
      <c r="J1728" s="678">
        <f t="shared" si="529"/>
        <v>0</v>
      </c>
      <c r="K1728" s="675">
        <f t="shared" si="533"/>
        <v>0</v>
      </c>
      <c r="L1728" s="1061"/>
      <c r="M1728" s="574"/>
      <c r="N1728" s="713"/>
      <c r="O1728" s="647"/>
      <c r="P1728" s="645"/>
      <c r="Q1728" s="574"/>
      <c r="R1728" s="574">
        <v>2</v>
      </c>
      <c r="S1728" s="900">
        <f t="shared" si="531"/>
        <v>2</v>
      </c>
      <c r="U1728" s="574"/>
    </row>
    <row r="1729" spans="1:21" ht="21.3">
      <c r="A1729" s="665"/>
      <c r="B1729" s="1114"/>
      <c r="C1729" s="902" t="s">
        <v>645</v>
      </c>
      <c r="D1729" s="1129"/>
      <c r="E1729" s="645"/>
      <c r="F1729" s="625" t="s">
        <v>34</v>
      </c>
      <c r="G1729" s="620">
        <v>4500</v>
      </c>
      <c r="H1729" s="676">
        <f>SUM(E1729*G1729)</f>
        <v>0</v>
      </c>
      <c r="I1729" s="677">
        <v>0</v>
      </c>
      <c r="J1729" s="678">
        <f t="shared" si="529"/>
        <v>0</v>
      </c>
      <c r="K1729" s="675">
        <f t="shared" si="533"/>
        <v>0</v>
      </c>
      <c r="L1729" s="1061"/>
      <c r="M1729" s="574"/>
      <c r="N1729" s="713"/>
      <c r="O1729" s="647"/>
      <c r="P1729" s="645"/>
      <c r="Q1729" s="574"/>
      <c r="R1729" s="574">
        <v>236</v>
      </c>
      <c r="S1729" s="900">
        <f t="shared" si="531"/>
        <v>236</v>
      </c>
      <c r="U1729" s="574"/>
    </row>
    <row r="1730" spans="1:21" ht="21.3">
      <c r="A1730" s="665"/>
      <c r="B1730" s="1114" t="s">
        <v>445</v>
      </c>
      <c r="C1730" s="902" t="s">
        <v>653</v>
      </c>
      <c r="D1730" s="1129"/>
      <c r="E1730" s="637"/>
      <c r="F1730" s="625" t="s">
        <v>34</v>
      </c>
      <c r="G1730" s="620">
        <v>4500</v>
      </c>
      <c r="H1730" s="676">
        <f t="shared" si="532"/>
        <v>0</v>
      </c>
      <c r="I1730" s="677">
        <v>0</v>
      </c>
      <c r="J1730" s="678">
        <f t="shared" si="529"/>
        <v>0</v>
      </c>
      <c r="K1730" s="675">
        <f t="shared" si="533"/>
        <v>0</v>
      </c>
      <c r="L1730" s="1085"/>
      <c r="M1730" s="574"/>
      <c r="N1730" s="667"/>
      <c r="O1730" s="636"/>
      <c r="P1730" s="637"/>
      <c r="Q1730" s="574"/>
      <c r="R1730" s="574">
        <v>65</v>
      </c>
      <c r="S1730" s="900">
        <f t="shared" si="531"/>
        <v>65</v>
      </c>
      <c r="U1730" s="574"/>
    </row>
    <row r="1731" spans="1:21" ht="21.3">
      <c r="A1731" s="665"/>
      <c r="B1731" s="1114"/>
      <c r="C1731" s="902" t="s">
        <v>654</v>
      </c>
      <c r="D1731" s="1129"/>
      <c r="E1731" s="637"/>
      <c r="F1731" s="625" t="s">
        <v>34</v>
      </c>
      <c r="G1731" s="620">
        <v>4500</v>
      </c>
      <c r="H1731" s="676">
        <f t="shared" si="532"/>
        <v>0</v>
      </c>
      <c r="I1731" s="677">
        <v>0</v>
      </c>
      <c r="J1731" s="678">
        <f t="shared" ref="J1731:J1793" si="537">SUM(E1731*I1731)</f>
        <v>0</v>
      </c>
      <c r="K1731" s="675">
        <f t="shared" si="533"/>
        <v>0</v>
      </c>
      <c r="L1731" s="1085"/>
      <c r="M1731" s="574"/>
      <c r="N1731" s="667"/>
      <c r="O1731" s="636"/>
      <c r="P1731" s="637"/>
      <c r="Q1731" s="574"/>
      <c r="R1731" s="574">
        <v>69</v>
      </c>
      <c r="S1731" s="900">
        <f t="shared" si="531"/>
        <v>69</v>
      </c>
      <c r="U1731" s="574"/>
    </row>
    <row r="1732" spans="1:21" ht="21.3">
      <c r="A1732" s="665"/>
      <c r="B1732" s="1114"/>
      <c r="C1732" s="902" t="s">
        <v>646</v>
      </c>
      <c r="D1732" s="1129"/>
      <c r="E1732" s="637"/>
      <c r="F1732" s="625" t="s">
        <v>34</v>
      </c>
      <c r="G1732" s="620">
        <v>6800</v>
      </c>
      <c r="H1732" s="676">
        <f t="shared" si="532"/>
        <v>0</v>
      </c>
      <c r="I1732" s="677">
        <v>0</v>
      </c>
      <c r="J1732" s="678">
        <f t="shared" si="537"/>
        <v>0</v>
      </c>
      <c r="K1732" s="675">
        <f t="shared" si="533"/>
        <v>0</v>
      </c>
      <c r="L1732" s="1085"/>
      <c r="M1732" s="574"/>
      <c r="N1732" s="667"/>
      <c r="O1732" s="636"/>
      <c r="P1732" s="637"/>
      <c r="Q1732" s="574"/>
      <c r="R1732" s="574">
        <v>19</v>
      </c>
      <c r="S1732" s="900">
        <f t="shared" si="531"/>
        <v>19</v>
      </c>
      <c r="U1732" s="574"/>
    </row>
    <row r="1733" spans="1:21" ht="21.3">
      <c r="A1733" s="665"/>
      <c r="B1733" s="1114"/>
      <c r="C1733" s="902" t="s">
        <v>647</v>
      </c>
      <c r="D1733" s="1129"/>
      <c r="E1733" s="637"/>
      <c r="F1733" s="625" t="s">
        <v>34</v>
      </c>
      <c r="G1733" s="620">
        <v>6800</v>
      </c>
      <c r="H1733" s="676">
        <f t="shared" si="532"/>
        <v>0</v>
      </c>
      <c r="I1733" s="677">
        <v>0</v>
      </c>
      <c r="J1733" s="678">
        <f t="shared" si="537"/>
        <v>0</v>
      </c>
      <c r="K1733" s="675">
        <f t="shared" si="533"/>
        <v>0</v>
      </c>
      <c r="L1733" s="1085"/>
      <c r="M1733" s="574"/>
      <c r="N1733" s="667"/>
      <c r="O1733" s="636"/>
      <c r="P1733" s="637"/>
      <c r="Q1733" s="574"/>
      <c r="R1733" s="574">
        <v>20</v>
      </c>
      <c r="S1733" s="900">
        <f t="shared" si="531"/>
        <v>20</v>
      </c>
      <c r="U1733" s="574"/>
    </row>
    <row r="1734" spans="1:21" ht="21.3">
      <c r="A1734" s="665"/>
      <c r="B1734" s="1114"/>
      <c r="C1734" s="2028"/>
      <c r="D1734" s="1129"/>
      <c r="E1734" s="645"/>
      <c r="F1734" s="625"/>
      <c r="G1734" s="620"/>
      <c r="H1734" s="676"/>
      <c r="I1734" s="677"/>
      <c r="J1734" s="678">
        <f t="shared" si="537"/>
        <v>0</v>
      </c>
      <c r="K1734" s="675"/>
      <c r="L1734" s="1061"/>
      <c r="M1734" s="574"/>
      <c r="N1734" s="713"/>
      <c r="O1734" s="647"/>
      <c r="P1734" s="645"/>
      <c r="Q1734" s="574"/>
      <c r="R1734" s="574"/>
      <c r="S1734" s="900">
        <f t="shared" ref="S1734:S1798" si="538">+R1734-E1734</f>
        <v>0</v>
      </c>
      <c r="U1734" s="574"/>
    </row>
    <row r="1735" spans="1:21" ht="21.3">
      <c r="A1735" s="665" t="s">
        <v>448</v>
      </c>
      <c r="B1735" s="1111" t="s">
        <v>449</v>
      </c>
      <c r="C1735" s="2028"/>
      <c r="D1735" s="1129"/>
      <c r="E1735" s="637"/>
      <c r="F1735" s="625"/>
      <c r="G1735" s="641"/>
      <c r="H1735" s="676">
        <f t="shared" ref="H1735:H1823" si="539">SUM(E1735*G1735)</f>
        <v>0</v>
      </c>
      <c r="I1735" s="677"/>
      <c r="J1735" s="678">
        <f t="shared" si="537"/>
        <v>0</v>
      </c>
      <c r="K1735" s="675">
        <f t="shared" ref="K1735:K1813" si="540">SUM(H1735+J1735)</f>
        <v>0</v>
      </c>
      <c r="L1735" s="1065"/>
      <c r="M1735" s="900">
        <f>SUM(E1736:E1758)</f>
        <v>38</v>
      </c>
      <c r="N1735" s="667"/>
      <c r="O1735" s="636"/>
      <c r="P1735" s="637"/>
      <c r="Q1735" s="574"/>
      <c r="R1735" s="574"/>
      <c r="S1735" s="900">
        <f t="shared" si="538"/>
        <v>0</v>
      </c>
      <c r="U1735" s="574"/>
    </row>
    <row r="1736" spans="1:21" ht="21.3">
      <c r="A1736" s="665"/>
      <c r="B1736" s="1114" t="s">
        <v>417</v>
      </c>
      <c r="C1736" s="2028" t="s">
        <v>616</v>
      </c>
      <c r="D1736" s="1129"/>
      <c r="E1736" s="645">
        <f>+E1707</f>
        <v>4</v>
      </c>
      <c r="F1736" s="625" t="s">
        <v>363</v>
      </c>
      <c r="G1736" s="620">
        <v>88800</v>
      </c>
      <c r="H1736" s="676">
        <f t="shared" si="539"/>
        <v>355200</v>
      </c>
      <c r="I1736" s="677">
        <v>31000</v>
      </c>
      <c r="J1736" s="678">
        <f t="shared" si="537"/>
        <v>124000</v>
      </c>
      <c r="K1736" s="675">
        <f t="shared" si="540"/>
        <v>479200</v>
      </c>
      <c r="L1736" s="1061"/>
      <c r="M1736" s="574"/>
      <c r="N1736" s="713"/>
      <c r="O1736" s="647"/>
      <c r="P1736" s="645"/>
      <c r="Q1736" s="574"/>
      <c r="R1736" s="574">
        <v>6</v>
      </c>
      <c r="S1736" s="900">
        <f t="shared" si="538"/>
        <v>2</v>
      </c>
      <c r="U1736" s="574"/>
    </row>
    <row r="1737" spans="1:21" ht="21.3">
      <c r="A1737" s="665"/>
      <c r="B1737" s="1114" t="s">
        <v>418</v>
      </c>
      <c r="C1737" s="2028" t="s">
        <v>617</v>
      </c>
      <c r="D1737" s="1129"/>
      <c r="E1737" s="645">
        <f t="shared" ref="E1737:E1738" si="541">+E1708</f>
        <v>2</v>
      </c>
      <c r="F1737" s="625" t="s">
        <v>363</v>
      </c>
      <c r="G1737" s="620">
        <v>44140</v>
      </c>
      <c r="H1737" s="676">
        <f t="shared" si="539"/>
        <v>88280</v>
      </c>
      <c r="I1737" s="677">
        <v>15400</v>
      </c>
      <c r="J1737" s="678">
        <f t="shared" si="537"/>
        <v>30800</v>
      </c>
      <c r="K1737" s="675">
        <f t="shared" si="540"/>
        <v>119080</v>
      </c>
      <c r="L1737" s="1061"/>
      <c r="M1737" s="574"/>
      <c r="N1737" s="713"/>
      <c r="O1737" s="647"/>
      <c r="P1737" s="645"/>
      <c r="Q1737" s="574"/>
      <c r="R1737" s="574">
        <v>2</v>
      </c>
      <c r="S1737" s="900">
        <f t="shared" si="538"/>
        <v>0</v>
      </c>
      <c r="U1737" s="574"/>
    </row>
    <row r="1738" spans="1:21" ht="21.3">
      <c r="A1738" s="665"/>
      <c r="B1738" s="1114" t="s">
        <v>435</v>
      </c>
      <c r="C1738" s="2028" t="s">
        <v>626</v>
      </c>
      <c r="D1738" s="1129"/>
      <c r="E1738" s="645">
        <f t="shared" si="541"/>
        <v>2</v>
      </c>
      <c r="F1738" s="625" t="s">
        <v>363</v>
      </c>
      <c r="G1738" s="620">
        <v>36420</v>
      </c>
      <c r="H1738" s="676">
        <f t="shared" si="539"/>
        <v>72840</v>
      </c>
      <c r="I1738" s="677">
        <v>12700</v>
      </c>
      <c r="J1738" s="678">
        <f t="shared" si="537"/>
        <v>25400</v>
      </c>
      <c r="K1738" s="675">
        <f t="shared" si="540"/>
        <v>98240</v>
      </c>
      <c r="L1738" s="1061"/>
      <c r="M1738" s="574"/>
      <c r="N1738" s="713"/>
      <c r="O1738" s="647"/>
      <c r="P1738" s="645"/>
      <c r="Q1738" s="574"/>
      <c r="R1738" s="574">
        <v>2</v>
      </c>
      <c r="S1738" s="900">
        <f t="shared" si="538"/>
        <v>0</v>
      </c>
      <c r="U1738" s="574"/>
    </row>
    <row r="1739" spans="1:21" ht="21.3">
      <c r="A1739" s="665"/>
      <c r="B1739" s="1114"/>
      <c r="C1739" s="902" t="s">
        <v>628</v>
      </c>
      <c r="D1739" s="1129"/>
      <c r="E1739" s="645"/>
      <c r="F1739" s="625" t="s">
        <v>363</v>
      </c>
      <c r="G1739" s="620">
        <v>77650</v>
      </c>
      <c r="H1739" s="676">
        <f t="shared" si="539"/>
        <v>0</v>
      </c>
      <c r="I1739" s="677">
        <v>27100</v>
      </c>
      <c r="J1739" s="678">
        <f t="shared" si="537"/>
        <v>0</v>
      </c>
      <c r="K1739" s="675">
        <f t="shared" si="540"/>
        <v>0</v>
      </c>
      <c r="L1739" s="1061"/>
      <c r="M1739" s="574"/>
      <c r="N1739" s="713"/>
      <c r="O1739" s="647"/>
      <c r="P1739" s="645"/>
      <c r="Q1739" s="574"/>
      <c r="R1739" s="574">
        <v>4</v>
      </c>
      <c r="S1739" s="900">
        <f t="shared" si="538"/>
        <v>4</v>
      </c>
      <c r="U1739" s="574"/>
    </row>
    <row r="1740" spans="1:21" ht="21.3">
      <c r="A1740" s="665"/>
      <c r="B1740" s="1114"/>
      <c r="C1740" s="902" t="s">
        <v>629</v>
      </c>
      <c r="D1740" s="1129"/>
      <c r="E1740" s="645"/>
      <c r="F1740" s="625" t="s">
        <v>363</v>
      </c>
      <c r="G1740" s="620">
        <v>98390</v>
      </c>
      <c r="H1740" s="676">
        <f t="shared" si="539"/>
        <v>0</v>
      </c>
      <c r="I1740" s="677">
        <v>34400</v>
      </c>
      <c r="J1740" s="678">
        <f t="shared" si="537"/>
        <v>0</v>
      </c>
      <c r="K1740" s="675">
        <f t="shared" si="540"/>
        <v>0</v>
      </c>
      <c r="L1740" s="1061"/>
      <c r="M1740" s="574"/>
      <c r="N1740" s="713"/>
      <c r="O1740" s="647"/>
      <c r="P1740" s="645"/>
      <c r="Q1740" s="574"/>
      <c r="R1740" s="574">
        <v>2</v>
      </c>
      <c r="S1740" s="900">
        <f t="shared" si="538"/>
        <v>2</v>
      </c>
      <c r="U1740" s="574"/>
    </row>
    <row r="1741" spans="1:21" ht="21.3">
      <c r="A1741" s="665"/>
      <c r="B1741" s="1114"/>
      <c r="C1741" s="902" t="s">
        <v>630</v>
      </c>
      <c r="D1741" s="1129"/>
      <c r="E1741" s="645"/>
      <c r="F1741" s="625" t="s">
        <v>363</v>
      </c>
      <c r="G1741" s="620">
        <v>45060</v>
      </c>
      <c r="H1741" s="676">
        <f t="shared" si="539"/>
        <v>0</v>
      </c>
      <c r="I1741" s="677">
        <v>15700</v>
      </c>
      <c r="J1741" s="678">
        <f t="shared" si="537"/>
        <v>0</v>
      </c>
      <c r="K1741" s="675">
        <f t="shared" si="540"/>
        <v>0</v>
      </c>
      <c r="L1741" s="1061"/>
      <c r="M1741" s="574"/>
      <c r="N1741" s="713"/>
      <c r="O1741" s="647"/>
      <c r="P1741" s="645"/>
      <c r="Q1741" s="574"/>
      <c r="R1741" s="574">
        <v>5</v>
      </c>
      <c r="S1741" s="900">
        <f t="shared" si="538"/>
        <v>5</v>
      </c>
      <c r="U1741" s="574"/>
    </row>
    <row r="1742" spans="1:21" ht="21.3">
      <c r="A1742" s="665"/>
      <c r="B1742" s="1114" t="s">
        <v>439</v>
      </c>
      <c r="C1742" s="902" t="s">
        <v>635</v>
      </c>
      <c r="D1742" s="1129"/>
      <c r="E1742" s="645"/>
      <c r="F1742" s="625" t="s">
        <v>363</v>
      </c>
      <c r="G1742" s="620">
        <v>18040</v>
      </c>
      <c r="H1742" s="676">
        <f t="shared" si="539"/>
        <v>0</v>
      </c>
      <c r="I1742" s="677">
        <v>3000</v>
      </c>
      <c r="J1742" s="678">
        <f t="shared" si="537"/>
        <v>0</v>
      </c>
      <c r="K1742" s="675">
        <f t="shared" si="540"/>
        <v>0</v>
      </c>
      <c r="L1742" s="1061"/>
      <c r="M1742" s="574"/>
      <c r="N1742" s="713"/>
      <c r="O1742" s="647"/>
      <c r="P1742" s="645"/>
      <c r="Q1742" s="574"/>
      <c r="R1742" s="574">
        <v>15</v>
      </c>
      <c r="S1742" s="900">
        <f t="shared" si="538"/>
        <v>15</v>
      </c>
      <c r="U1742" s="574"/>
    </row>
    <row r="1743" spans="1:21" ht="21.3">
      <c r="A1743" s="665"/>
      <c r="B1743" s="1114" t="s">
        <v>440</v>
      </c>
      <c r="C1743" s="902" t="s">
        <v>636</v>
      </c>
      <c r="D1743" s="1129"/>
      <c r="E1743" s="645"/>
      <c r="F1743" s="625" t="s">
        <v>363</v>
      </c>
      <c r="G1743" s="620">
        <v>17150</v>
      </c>
      <c r="H1743" s="676">
        <f t="shared" si="539"/>
        <v>0</v>
      </c>
      <c r="I1743" s="677">
        <v>2800</v>
      </c>
      <c r="J1743" s="678">
        <f t="shared" si="537"/>
        <v>0</v>
      </c>
      <c r="K1743" s="675">
        <f t="shared" si="540"/>
        <v>0</v>
      </c>
      <c r="L1743" s="1061"/>
      <c r="M1743" s="574"/>
      <c r="N1743" s="713"/>
      <c r="O1743" s="647"/>
      <c r="P1743" s="645"/>
      <c r="Q1743" s="574"/>
      <c r="R1743" s="574">
        <v>2</v>
      </c>
      <c r="S1743" s="900">
        <f t="shared" si="538"/>
        <v>2</v>
      </c>
      <c r="U1743" s="574"/>
    </row>
    <row r="1744" spans="1:21" ht="21.3">
      <c r="A1744" s="665"/>
      <c r="B1744" s="1114" t="s">
        <v>441</v>
      </c>
      <c r="C1744" s="902" t="s">
        <v>637</v>
      </c>
      <c r="D1744" s="1129"/>
      <c r="E1744" s="645"/>
      <c r="F1744" s="625" t="s">
        <v>363</v>
      </c>
      <c r="G1744" s="620">
        <v>18040</v>
      </c>
      <c r="H1744" s="676">
        <f t="shared" si="539"/>
        <v>0</v>
      </c>
      <c r="I1744" s="677">
        <v>3000</v>
      </c>
      <c r="J1744" s="678">
        <f t="shared" si="537"/>
        <v>0</v>
      </c>
      <c r="K1744" s="675">
        <f t="shared" si="540"/>
        <v>0</v>
      </c>
      <c r="L1744" s="1061"/>
      <c r="M1744" s="574"/>
      <c r="N1744" s="713"/>
      <c r="O1744" s="647"/>
      <c r="P1744" s="645"/>
      <c r="Q1744" s="574"/>
      <c r="R1744" s="574">
        <v>13</v>
      </c>
      <c r="S1744" s="900">
        <f t="shared" si="538"/>
        <v>13</v>
      </c>
      <c r="U1744" s="574"/>
    </row>
    <row r="1745" spans="1:21" ht="21.3">
      <c r="A1745" s="665"/>
      <c r="B1745" s="1114" t="s">
        <v>443</v>
      </c>
      <c r="C1745" s="902" t="s">
        <v>639</v>
      </c>
      <c r="D1745" s="1129"/>
      <c r="E1745" s="645"/>
      <c r="F1745" s="625" t="s">
        <v>363</v>
      </c>
      <c r="G1745" s="620">
        <v>51820</v>
      </c>
      <c r="H1745" s="676">
        <f t="shared" si="539"/>
        <v>0</v>
      </c>
      <c r="I1745" s="677">
        <v>12900</v>
      </c>
      <c r="J1745" s="678">
        <f t="shared" si="537"/>
        <v>0</v>
      </c>
      <c r="K1745" s="675">
        <f t="shared" si="540"/>
        <v>0</v>
      </c>
      <c r="L1745" s="1061"/>
      <c r="M1745" s="574"/>
      <c r="N1745" s="713"/>
      <c r="O1745" s="647"/>
      <c r="P1745" s="645"/>
      <c r="Q1745" s="574"/>
      <c r="R1745" s="574">
        <v>2</v>
      </c>
      <c r="S1745" s="900">
        <f t="shared" si="538"/>
        <v>2</v>
      </c>
      <c r="U1745" s="574"/>
    </row>
    <row r="1746" spans="1:21" ht="21.3">
      <c r="A1746" s="665"/>
      <c r="B1746" s="1114"/>
      <c r="C1746" s="902"/>
      <c r="D1746" s="1129"/>
      <c r="E1746" s="645"/>
      <c r="F1746" s="625"/>
      <c r="G1746" s="620"/>
      <c r="H1746" s="676"/>
      <c r="I1746" s="677"/>
      <c r="J1746" s="678"/>
      <c r="K1746" s="675"/>
      <c r="L1746" s="1061"/>
      <c r="M1746" s="574"/>
      <c r="N1746" s="713"/>
      <c r="O1746" s="647"/>
      <c r="P1746" s="645"/>
      <c r="Q1746" s="574"/>
      <c r="R1746" s="574"/>
      <c r="S1746" s="900"/>
      <c r="U1746" s="574"/>
    </row>
    <row r="1747" spans="1:21" ht="21.3">
      <c r="A1747" s="665"/>
      <c r="B1747" s="1114" t="s">
        <v>444</v>
      </c>
      <c r="C1747" s="902" t="s">
        <v>644</v>
      </c>
      <c r="D1747" s="1129"/>
      <c r="E1747" s="645"/>
      <c r="F1747" s="625" t="s">
        <v>363</v>
      </c>
      <c r="G1747" s="620">
        <v>18370</v>
      </c>
      <c r="H1747" s="676">
        <f t="shared" si="539"/>
        <v>0</v>
      </c>
      <c r="I1747" s="677">
        <v>3000</v>
      </c>
      <c r="J1747" s="678">
        <f t="shared" si="537"/>
        <v>0</v>
      </c>
      <c r="K1747" s="675">
        <f t="shared" si="540"/>
        <v>0</v>
      </c>
      <c r="L1747" s="1061"/>
      <c r="M1747" s="574"/>
      <c r="N1747" s="713"/>
      <c r="O1747" s="647"/>
      <c r="P1747" s="645"/>
      <c r="Q1747" s="574"/>
      <c r="R1747" s="574">
        <v>7</v>
      </c>
      <c r="S1747" s="900">
        <f t="shared" si="538"/>
        <v>7</v>
      </c>
      <c r="U1747" s="574"/>
    </row>
    <row r="1748" spans="1:21" ht="21.3">
      <c r="A1748" s="665"/>
      <c r="B1748" s="1114"/>
      <c r="C1748" s="902" t="s">
        <v>640</v>
      </c>
      <c r="D1748" s="1129"/>
      <c r="E1748" s="645"/>
      <c r="F1748" s="625" t="s">
        <v>363</v>
      </c>
      <c r="G1748" s="620">
        <v>27760</v>
      </c>
      <c r="H1748" s="676">
        <f>SUM(E1748*G1748)</f>
        <v>0</v>
      </c>
      <c r="I1748" s="677">
        <v>4600</v>
      </c>
      <c r="J1748" s="678">
        <f t="shared" si="537"/>
        <v>0</v>
      </c>
      <c r="K1748" s="675">
        <f t="shared" si="540"/>
        <v>0</v>
      </c>
      <c r="L1748" s="1061"/>
      <c r="M1748" s="574"/>
      <c r="N1748" s="713"/>
      <c r="O1748" s="647"/>
      <c r="P1748" s="645"/>
      <c r="Q1748" s="574"/>
      <c r="R1748" s="574">
        <v>7</v>
      </c>
      <c r="S1748" s="900">
        <f t="shared" si="538"/>
        <v>7</v>
      </c>
      <c r="U1748" s="574"/>
    </row>
    <row r="1749" spans="1:21" ht="21.3">
      <c r="A1749" s="665"/>
      <c r="B1749" s="1114"/>
      <c r="C1749" s="902" t="s">
        <v>641</v>
      </c>
      <c r="D1749" s="1129"/>
      <c r="E1749" s="645"/>
      <c r="F1749" s="625" t="s">
        <v>363</v>
      </c>
      <c r="G1749" s="620">
        <v>30570</v>
      </c>
      <c r="H1749" s="676">
        <f>SUM(E1749*G1749)</f>
        <v>0</v>
      </c>
      <c r="I1749" s="677">
        <v>5100</v>
      </c>
      <c r="J1749" s="678">
        <f t="shared" si="537"/>
        <v>0</v>
      </c>
      <c r="K1749" s="675">
        <f t="shared" si="540"/>
        <v>0</v>
      </c>
      <c r="L1749" s="1061"/>
      <c r="M1749" s="574"/>
      <c r="N1749" s="713"/>
      <c r="O1749" s="647"/>
      <c r="P1749" s="645"/>
      <c r="Q1749" s="574"/>
      <c r="R1749" s="574">
        <v>2</v>
      </c>
      <c r="S1749" s="900">
        <f t="shared" si="538"/>
        <v>2</v>
      </c>
      <c r="U1749" s="574"/>
    </row>
    <row r="1750" spans="1:21" ht="21.3">
      <c r="A1750" s="665"/>
      <c r="B1750" s="1114" t="s">
        <v>421</v>
      </c>
      <c r="C1750" s="902" t="s">
        <v>620</v>
      </c>
      <c r="D1750" s="1129"/>
      <c r="E1750" s="645">
        <f>+E1719</f>
        <v>10</v>
      </c>
      <c r="F1750" s="625" t="s">
        <v>363</v>
      </c>
      <c r="G1750" s="620">
        <v>12131</v>
      </c>
      <c r="H1750" s="676">
        <f t="shared" si="539"/>
        <v>121310</v>
      </c>
      <c r="I1750" s="677">
        <v>3000</v>
      </c>
      <c r="J1750" s="678">
        <f t="shared" si="537"/>
        <v>30000</v>
      </c>
      <c r="K1750" s="675">
        <f t="shared" si="540"/>
        <v>151310</v>
      </c>
      <c r="L1750" s="1061"/>
      <c r="M1750" s="574"/>
      <c r="N1750" s="713"/>
      <c r="O1750" s="647"/>
      <c r="P1750" s="645"/>
      <c r="Q1750" s="574"/>
      <c r="R1750" s="574">
        <v>10</v>
      </c>
      <c r="S1750" s="900">
        <f t="shared" si="538"/>
        <v>0</v>
      </c>
      <c r="U1750" s="574"/>
    </row>
    <row r="1751" spans="1:21" ht="21.3">
      <c r="A1751" s="665"/>
      <c r="B1751" s="1114" t="s">
        <v>422</v>
      </c>
      <c r="C1751" s="902" t="s">
        <v>621</v>
      </c>
      <c r="D1751" s="1129"/>
      <c r="E1751" s="645">
        <f>+E1720</f>
        <v>4</v>
      </c>
      <c r="F1751" s="625" t="s">
        <v>363</v>
      </c>
      <c r="G1751" s="620">
        <v>24200</v>
      </c>
      <c r="H1751" s="676">
        <f t="shared" si="539"/>
        <v>96800</v>
      </c>
      <c r="I1751" s="677">
        <v>5400</v>
      </c>
      <c r="J1751" s="678">
        <f t="shared" si="537"/>
        <v>21600</v>
      </c>
      <c r="K1751" s="675">
        <f t="shared" si="540"/>
        <v>118400</v>
      </c>
      <c r="L1751" s="1061"/>
      <c r="M1751" s="574"/>
      <c r="N1751" s="713"/>
      <c r="O1751" s="647"/>
      <c r="P1751" s="645"/>
      <c r="Q1751" s="574"/>
      <c r="R1751" s="574">
        <v>4</v>
      </c>
      <c r="S1751" s="900">
        <f t="shared" si="538"/>
        <v>0</v>
      </c>
      <c r="U1751" s="574"/>
    </row>
    <row r="1752" spans="1:21" ht="21.3">
      <c r="A1752" s="665"/>
      <c r="B1752" s="1114" t="s">
        <v>428</v>
      </c>
      <c r="C1752" s="902" t="s">
        <v>624</v>
      </c>
      <c r="D1752" s="1129"/>
      <c r="E1752" s="645">
        <f>+E1721</f>
        <v>4</v>
      </c>
      <c r="F1752" s="625" t="s">
        <v>363</v>
      </c>
      <c r="G1752" s="620">
        <v>11640</v>
      </c>
      <c r="H1752" s="676">
        <f t="shared" si="539"/>
        <v>46560</v>
      </c>
      <c r="I1752" s="677">
        <v>2900</v>
      </c>
      <c r="J1752" s="678">
        <f t="shared" si="537"/>
        <v>11600</v>
      </c>
      <c r="K1752" s="675">
        <f t="shared" si="540"/>
        <v>58160</v>
      </c>
      <c r="L1752" s="1061"/>
      <c r="M1752" s="574"/>
      <c r="N1752" s="713"/>
      <c r="O1752" s="647"/>
      <c r="P1752" s="645"/>
      <c r="Q1752" s="574"/>
      <c r="R1752" s="574">
        <v>4</v>
      </c>
      <c r="S1752" s="900">
        <f t="shared" si="538"/>
        <v>0</v>
      </c>
      <c r="U1752" s="574"/>
    </row>
    <row r="1753" spans="1:21" ht="21.3">
      <c r="A1753" s="665"/>
      <c r="B1753" s="1114" t="s">
        <v>423</v>
      </c>
      <c r="C1753" s="902" t="s">
        <v>622</v>
      </c>
      <c r="D1753" s="1129"/>
      <c r="E1753" s="645">
        <f>+E1722</f>
        <v>4</v>
      </c>
      <c r="F1753" s="625" t="s">
        <v>363</v>
      </c>
      <c r="G1753" s="620">
        <v>18705</v>
      </c>
      <c r="H1753" s="676">
        <f t="shared" si="539"/>
        <v>74820</v>
      </c>
      <c r="I1753" s="677">
        <v>4600</v>
      </c>
      <c r="J1753" s="678">
        <f t="shared" si="537"/>
        <v>18400</v>
      </c>
      <c r="K1753" s="675">
        <f t="shared" si="540"/>
        <v>93220</v>
      </c>
      <c r="L1753" s="1061"/>
      <c r="M1753" s="574"/>
      <c r="N1753" s="713"/>
      <c r="O1753" s="647"/>
      <c r="P1753" s="645"/>
      <c r="Q1753" s="574"/>
      <c r="R1753" s="574">
        <v>4</v>
      </c>
      <c r="S1753" s="900">
        <f t="shared" si="538"/>
        <v>0</v>
      </c>
      <c r="U1753" s="574"/>
    </row>
    <row r="1754" spans="1:21" ht="21.3">
      <c r="A1754" s="665"/>
      <c r="B1754" s="1114"/>
      <c r="C1754" s="902" t="s">
        <v>643</v>
      </c>
      <c r="D1754" s="1129"/>
      <c r="E1754" s="645">
        <f>+E1725</f>
        <v>2</v>
      </c>
      <c r="F1754" s="625" t="s">
        <v>363</v>
      </c>
      <c r="G1754" s="620">
        <v>8750</v>
      </c>
      <c r="H1754" s="676">
        <f t="shared" si="539"/>
        <v>17500</v>
      </c>
      <c r="I1754" s="677">
        <v>2200</v>
      </c>
      <c r="J1754" s="678">
        <f t="shared" si="537"/>
        <v>4400</v>
      </c>
      <c r="K1754" s="675">
        <f t="shared" si="540"/>
        <v>21900</v>
      </c>
      <c r="L1754" s="1061"/>
      <c r="M1754" s="574"/>
      <c r="N1754" s="713"/>
      <c r="O1754" s="647"/>
      <c r="P1754" s="645"/>
      <c r="Q1754" s="574"/>
      <c r="R1754" s="574">
        <v>2</v>
      </c>
      <c r="S1754" s="900">
        <f t="shared" si="538"/>
        <v>0</v>
      </c>
      <c r="U1754" s="574"/>
    </row>
    <row r="1755" spans="1:21" ht="21.3">
      <c r="A1755" s="665"/>
      <c r="B1755" s="1114" t="s">
        <v>419</v>
      </c>
      <c r="C1755" s="2028" t="s">
        <v>618</v>
      </c>
      <c r="D1755" s="1129"/>
      <c r="E1755" s="645">
        <f>+E1726</f>
        <v>4</v>
      </c>
      <c r="F1755" s="625" t="s">
        <v>363</v>
      </c>
      <c r="G1755" s="620">
        <v>24510</v>
      </c>
      <c r="H1755" s="676">
        <f t="shared" si="539"/>
        <v>98040</v>
      </c>
      <c r="I1755" s="677">
        <v>3500</v>
      </c>
      <c r="J1755" s="678">
        <f t="shared" si="537"/>
        <v>14000</v>
      </c>
      <c r="K1755" s="675">
        <f t="shared" si="540"/>
        <v>112040</v>
      </c>
      <c r="L1755" s="1061"/>
      <c r="M1755" s="574"/>
      <c r="N1755" s="713"/>
      <c r="O1755" s="647"/>
      <c r="P1755" s="645"/>
      <c r="Q1755" s="574"/>
      <c r="R1755" s="574">
        <v>4</v>
      </c>
      <c r="S1755" s="900">
        <f t="shared" si="538"/>
        <v>0</v>
      </c>
      <c r="U1755" s="574"/>
    </row>
    <row r="1756" spans="1:21" ht="21.3">
      <c r="A1756" s="665"/>
      <c r="B1756" s="1114" t="s">
        <v>420</v>
      </c>
      <c r="C1756" s="2028" t="s">
        <v>619</v>
      </c>
      <c r="D1756" s="1129"/>
      <c r="E1756" s="645">
        <f>+E1727</f>
        <v>2</v>
      </c>
      <c r="F1756" s="625" t="s">
        <v>363</v>
      </c>
      <c r="G1756" s="620">
        <v>34531</v>
      </c>
      <c r="H1756" s="676">
        <f t="shared" si="539"/>
        <v>69062</v>
      </c>
      <c r="I1756" s="677">
        <v>6200</v>
      </c>
      <c r="J1756" s="678">
        <f t="shared" si="537"/>
        <v>12400</v>
      </c>
      <c r="K1756" s="675">
        <f t="shared" si="540"/>
        <v>81462</v>
      </c>
      <c r="L1756" s="1061"/>
      <c r="M1756" s="574"/>
      <c r="N1756" s="713"/>
      <c r="O1756" s="647"/>
      <c r="P1756" s="645"/>
      <c r="Q1756" s="574"/>
      <c r="R1756" s="574">
        <v>2</v>
      </c>
      <c r="S1756" s="900">
        <f t="shared" si="538"/>
        <v>0</v>
      </c>
      <c r="U1756" s="574"/>
    </row>
    <row r="1757" spans="1:21" ht="21.3">
      <c r="A1757" s="665"/>
      <c r="B1757" s="1114"/>
      <c r="C1757" s="2028" t="s">
        <v>631</v>
      </c>
      <c r="D1757" s="1129"/>
      <c r="E1757" s="645"/>
      <c r="F1757" s="625" t="s">
        <v>363</v>
      </c>
      <c r="G1757" s="620">
        <v>34531</v>
      </c>
      <c r="H1757" s="676">
        <f>SUM(E1757*G1757)</f>
        <v>0</v>
      </c>
      <c r="I1757" s="677">
        <v>6200</v>
      </c>
      <c r="J1757" s="678">
        <f t="shared" si="537"/>
        <v>0</v>
      </c>
      <c r="K1757" s="675">
        <f t="shared" si="540"/>
        <v>0</v>
      </c>
      <c r="L1757" s="1061"/>
      <c r="M1757" s="574"/>
      <c r="N1757" s="713"/>
      <c r="O1757" s="647"/>
      <c r="P1757" s="645"/>
      <c r="Q1757" s="574"/>
      <c r="R1757" s="574">
        <v>3</v>
      </c>
      <c r="S1757" s="900">
        <f t="shared" si="538"/>
        <v>3</v>
      </c>
      <c r="U1757" s="574"/>
    </row>
    <row r="1758" spans="1:21" ht="21.3">
      <c r="A1758" s="665"/>
      <c r="B1758" s="1114"/>
      <c r="C1758" s="2028" t="s">
        <v>632</v>
      </c>
      <c r="D1758" s="1129"/>
      <c r="E1758" s="645"/>
      <c r="F1758" s="625" t="s">
        <v>363</v>
      </c>
      <c r="G1758" s="620">
        <v>46160</v>
      </c>
      <c r="H1758" s="676">
        <f>SUM(E1758*G1758)</f>
        <v>0</v>
      </c>
      <c r="I1758" s="677">
        <v>6400</v>
      </c>
      <c r="J1758" s="678">
        <f t="shared" si="537"/>
        <v>0</v>
      </c>
      <c r="K1758" s="675">
        <f t="shared" si="540"/>
        <v>0</v>
      </c>
      <c r="L1758" s="1061"/>
      <c r="M1758" s="574"/>
      <c r="N1758" s="713"/>
      <c r="O1758" s="647"/>
      <c r="P1758" s="645"/>
      <c r="Q1758" s="574"/>
      <c r="R1758" s="574">
        <v>1</v>
      </c>
      <c r="S1758" s="900">
        <f t="shared" si="538"/>
        <v>1</v>
      </c>
      <c r="U1758" s="574"/>
    </row>
    <row r="1759" spans="1:21" ht="21.3">
      <c r="A1759" s="665"/>
      <c r="B1759" s="1114"/>
      <c r="C1759" s="902" t="s">
        <v>645</v>
      </c>
      <c r="D1759" s="1129"/>
      <c r="E1759" s="645"/>
      <c r="F1759" s="625" t="s">
        <v>34</v>
      </c>
      <c r="G1759" s="620">
        <v>4500</v>
      </c>
      <c r="H1759" s="676">
        <f>SUM(E1759*G1759)</f>
        <v>0</v>
      </c>
      <c r="I1759" s="677">
        <v>0</v>
      </c>
      <c r="J1759" s="678">
        <f t="shared" si="537"/>
        <v>0</v>
      </c>
      <c r="K1759" s="675">
        <f t="shared" si="540"/>
        <v>0</v>
      </c>
      <c r="L1759" s="1061"/>
      <c r="M1759" s="574"/>
      <c r="N1759" s="713"/>
      <c r="O1759" s="647"/>
      <c r="P1759" s="645"/>
      <c r="Q1759" s="574"/>
      <c r="R1759" s="574">
        <v>219</v>
      </c>
      <c r="S1759" s="900">
        <f t="shared" si="538"/>
        <v>219</v>
      </c>
      <c r="U1759" s="574"/>
    </row>
    <row r="1760" spans="1:21" ht="21.3">
      <c r="A1760" s="665"/>
      <c r="B1760" s="1114" t="s">
        <v>445</v>
      </c>
      <c r="C1760" s="902" t="s">
        <v>653</v>
      </c>
      <c r="D1760" s="1129"/>
      <c r="E1760" s="637"/>
      <c r="F1760" s="625" t="s">
        <v>34</v>
      </c>
      <c r="G1760" s="620">
        <v>4500</v>
      </c>
      <c r="H1760" s="676">
        <f t="shared" si="539"/>
        <v>0</v>
      </c>
      <c r="I1760" s="677">
        <v>0</v>
      </c>
      <c r="J1760" s="678">
        <f t="shared" si="537"/>
        <v>0</v>
      </c>
      <c r="K1760" s="675">
        <f t="shared" si="540"/>
        <v>0</v>
      </c>
      <c r="L1760" s="1085"/>
      <c r="M1760" s="574"/>
      <c r="N1760" s="667"/>
      <c r="O1760" s="636"/>
      <c r="P1760" s="637"/>
      <c r="Q1760" s="574"/>
      <c r="R1760" s="574">
        <v>65</v>
      </c>
      <c r="S1760" s="900">
        <f t="shared" si="538"/>
        <v>65</v>
      </c>
      <c r="U1760" s="574"/>
    </row>
    <row r="1761" spans="1:21" ht="21.3">
      <c r="A1761" s="665"/>
      <c r="B1761" s="1114" t="s">
        <v>454</v>
      </c>
      <c r="C1761" s="902" t="s">
        <v>654</v>
      </c>
      <c r="D1761" s="1129"/>
      <c r="E1761" s="637"/>
      <c r="F1761" s="625" t="s">
        <v>34</v>
      </c>
      <c r="G1761" s="620">
        <v>4500</v>
      </c>
      <c r="H1761" s="676">
        <f t="shared" si="539"/>
        <v>0</v>
      </c>
      <c r="I1761" s="677">
        <v>0</v>
      </c>
      <c r="J1761" s="678">
        <f t="shared" si="537"/>
        <v>0</v>
      </c>
      <c r="K1761" s="675">
        <f t="shared" si="540"/>
        <v>0</v>
      </c>
      <c r="L1761" s="1085"/>
      <c r="M1761" s="574"/>
      <c r="N1761" s="667"/>
      <c r="O1761" s="636"/>
      <c r="P1761" s="637"/>
      <c r="Q1761" s="574"/>
      <c r="R1761" s="574">
        <v>69</v>
      </c>
      <c r="S1761" s="900">
        <f t="shared" si="538"/>
        <v>69</v>
      </c>
      <c r="U1761" s="574"/>
    </row>
    <row r="1762" spans="1:21" ht="21.3">
      <c r="A1762" s="665"/>
      <c r="B1762" s="1114" t="s">
        <v>455</v>
      </c>
      <c r="C1762" s="902" t="s">
        <v>646</v>
      </c>
      <c r="D1762" s="1129"/>
      <c r="E1762" s="637"/>
      <c r="F1762" s="625" t="s">
        <v>34</v>
      </c>
      <c r="G1762" s="620">
        <v>6800</v>
      </c>
      <c r="H1762" s="676">
        <f t="shared" si="539"/>
        <v>0</v>
      </c>
      <c r="I1762" s="677">
        <v>0</v>
      </c>
      <c r="J1762" s="678">
        <f t="shared" si="537"/>
        <v>0</v>
      </c>
      <c r="K1762" s="675">
        <f t="shared" si="540"/>
        <v>0</v>
      </c>
      <c r="L1762" s="1085"/>
      <c r="M1762" s="574"/>
      <c r="N1762" s="667"/>
      <c r="O1762" s="636"/>
      <c r="P1762" s="637"/>
      <c r="Q1762" s="574"/>
      <c r="R1762" s="574">
        <v>19</v>
      </c>
      <c r="S1762" s="900">
        <f t="shared" si="538"/>
        <v>19</v>
      </c>
      <c r="U1762" s="574"/>
    </row>
    <row r="1763" spans="1:21" ht="21.3">
      <c r="A1763" s="665"/>
      <c r="B1763" s="1114" t="s">
        <v>456</v>
      </c>
      <c r="C1763" s="902" t="s">
        <v>647</v>
      </c>
      <c r="D1763" s="1129"/>
      <c r="E1763" s="637"/>
      <c r="F1763" s="625" t="s">
        <v>34</v>
      </c>
      <c r="G1763" s="620">
        <v>6800</v>
      </c>
      <c r="H1763" s="676">
        <f t="shared" si="539"/>
        <v>0</v>
      </c>
      <c r="I1763" s="677">
        <v>0</v>
      </c>
      <c r="J1763" s="678">
        <f t="shared" si="537"/>
        <v>0</v>
      </c>
      <c r="K1763" s="675">
        <f t="shared" si="540"/>
        <v>0</v>
      </c>
      <c r="L1763" s="1085"/>
      <c r="M1763" s="574"/>
      <c r="N1763" s="667"/>
      <c r="O1763" s="636"/>
      <c r="P1763" s="637"/>
      <c r="Q1763" s="574"/>
      <c r="R1763" s="574">
        <v>20</v>
      </c>
      <c r="S1763" s="900">
        <f t="shared" si="538"/>
        <v>20</v>
      </c>
      <c r="U1763" s="574"/>
    </row>
    <row r="1764" spans="1:21" ht="21.3">
      <c r="A1764" s="665"/>
      <c r="B1764" s="1114"/>
      <c r="C1764" s="2028"/>
      <c r="D1764" s="1129"/>
      <c r="E1764" s="637"/>
      <c r="F1764" s="625"/>
      <c r="G1764" s="641"/>
      <c r="H1764" s="676">
        <f t="shared" si="539"/>
        <v>0</v>
      </c>
      <c r="I1764" s="677"/>
      <c r="J1764" s="678">
        <f t="shared" si="537"/>
        <v>0</v>
      </c>
      <c r="K1764" s="675">
        <f t="shared" si="540"/>
        <v>0</v>
      </c>
      <c r="L1764" s="1065"/>
      <c r="M1764" s="574"/>
      <c r="N1764" s="667"/>
      <c r="O1764" s="636"/>
      <c r="P1764" s="637"/>
      <c r="Q1764" s="574"/>
      <c r="R1764" s="574"/>
      <c r="S1764" s="900">
        <f t="shared" si="538"/>
        <v>0</v>
      </c>
      <c r="U1764" s="574"/>
    </row>
    <row r="1765" spans="1:21" ht="21.3">
      <c r="A1765" s="665" t="s">
        <v>450</v>
      </c>
      <c r="B1765" s="1111" t="s">
        <v>451</v>
      </c>
      <c r="C1765" s="2028"/>
      <c r="D1765" s="1129"/>
      <c r="E1765" s="637"/>
      <c r="F1765" s="625"/>
      <c r="G1765" s="641"/>
      <c r="H1765" s="676">
        <f t="shared" si="539"/>
        <v>0</v>
      </c>
      <c r="I1765" s="677"/>
      <c r="J1765" s="678">
        <f t="shared" si="537"/>
        <v>0</v>
      </c>
      <c r="K1765" s="675">
        <f t="shared" si="540"/>
        <v>0</v>
      </c>
      <c r="L1765" s="1065"/>
      <c r="M1765" s="900">
        <f>SUM(E1766:E1783)</f>
        <v>38</v>
      </c>
      <c r="N1765" s="667"/>
      <c r="O1765" s="636"/>
      <c r="P1765" s="637"/>
      <c r="Q1765" s="574"/>
      <c r="R1765" s="574"/>
      <c r="S1765" s="900">
        <f t="shared" si="538"/>
        <v>0</v>
      </c>
      <c r="U1765" s="574"/>
    </row>
    <row r="1766" spans="1:21" ht="21.3">
      <c r="A1766" s="665"/>
      <c r="B1766" s="1114" t="s">
        <v>417</v>
      </c>
      <c r="C1766" s="2028" t="s">
        <v>616</v>
      </c>
      <c r="D1766" s="1129"/>
      <c r="E1766" s="645">
        <f>+E1736</f>
        <v>4</v>
      </c>
      <c r="F1766" s="625" t="s">
        <v>363</v>
      </c>
      <c r="G1766" s="620">
        <v>88800</v>
      </c>
      <c r="H1766" s="676">
        <f t="shared" si="539"/>
        <v>355200</v>
      </c>
      <c r="I1766" s="677">
        <v>31000</v>
      </c>
      <c r="J1766" s="678">
        <f t="shared" si="537"/>
        <v>124000</v>
      </c>
      <c r="K1766" s="675">
        <f t="shared" si="540"/>
        <v>479200</v>
      </c>
      <c r="L1766" s="1061"/>
      <c r="M1766" s="574"/>
      <c r="N1766" s="713"/>
      <c r="O1766" s="647"/>
      <c r="P1766" s="645"/>
      <c r="Q1766" s="574"/>
      <c r="R1766" s="574">
        <v>6</v>
      </c>
      <c r="S1766" s="900">
        <f t="shared" si="538"/>
        <v>2</v>
      </c>
      <c r="U1766" s="574"/>
    </row>
    <row r="1767" spans="1:21" ht="21.3">
      <c r="A1767" s="665"/>
      <c r="B1767" s="1114" t="s">
        <v>418</v>
      </c>
      <c r="C1767" s="2028" t="s">
        <v>617</v>
      </c>
      <c r="D1767" s="1129"/>
      <c r="E1767" s="645">
        <f>+E1737</f>
        <v>2</v>
      </c>
      <c r="F1767" s="625" t="s">
        <v>363</v>
      </c>
      <c r="G1767" s="620">
        <v>44140</v>
      </c>
      <c r="H1767" s="676">
        <f t="shared" si="539"/>
        <v>88280</v>
      </c>
      <c r="I1767" s="677">
        <v>15400</v>
      </c>
      <c r="J1767" s="678">
        <f t="shared" si="537"/>
        <v>30800</v>
      </c>
      <c r="K1767" s="675">
        <f t="shared" si="540"/>
        <v>119080</v>
      </c>
      <c r="L1767" s="1061"/>
      <c r="M1767" s="574"/>
      <c r="N1767" s="713"/>
      <c r="O1767" s="647"/>
      <c r="P1767" s="645"/>
      <c r="Q1767" s="574"/>
      <c r="R1767" s="574">
        <v>2</v>
      </c>
      <c r="S1767" s="900">
        <f t="shared" si="538"/>
        <v>0</v>
      </c>
      <c r="U1767" s="574"/>
    </row>
    <row r="1768" spans="1:21" ht="21.3">
      <c r="A1768" s="665"/>
      <c r="B1768" s="1114" t="s">
        <v>435</v>
      </c>
      <c r="C1768" s="2028" t="s">
        <v>626</v>
      </c>
      <c r="D1768" s="1129"/>
      <c r="E1768" s="645">
        <f>+E1738</f>
        <v>2</v>
      </c>
      <c r="F1768" s="625" t="s">
        <v>363</v>
      </c>
      <c r="G1768" s="620">
        <v>36420</v>
      </c>
      <c r="H1768" s="676">
        <f t="shared" si="539"/>
        <v>72840</v>
      </c>
      <c r="I1768" s="677">
        <v>12700</v>
      </c>
      <c r="J1768" s="678">
        <f t="shared" si="537"/>
        <v>25400</v>
      </c>
      <c r="K1768" s="675">
        <f t="shared" si="540"/>
        <v>98240</v>
      </c>
      <c r="L1768" s="1061"/>
      <c r="M1768" s="574"/>
      <c r="N1768" s="713"/>
      <c r="O1768" s="647"/>
      <c r="P1768" s="645"/>
      <c r="Q1768" s="574"/>
      <c r="R1768" s="574">
        <v>2</v>
      </c>
      <c r="S1768" s="900">
        <f t="shared" si="538"/>
        <v>0</v>
      </c>
      <c r="U1768" s="574"/>
    </row>
    <row r="1769" spans="1:21" ht="21.3">
      <c r="A1769" s="665"/>
      <c r="B1769" s="1114"/>
      <c r="C1769" s="902" t="s">
        <v>628</v>
      </c>
      <c r="D1769" s="1129"/>
      <c r="E1769" s="645"/>
      <c r="F1769" s="625" t="s">
        <v>363</v>
      </c>
      <c r="G1769" s="620">
        <v>77650</v>
      </c>
      <c r="H1769" s="676">
        <f>SUM(E1769*G1769)</f>
        <v>0</v>
      </c>
      <c r="I1769" s="677">
        <v>27100</v>
      </c>
      <c r="J1769" s="678">
        <f>SUM(E1769*I1769)</f>
        <v>0</v>
      </c>
      <c r="K1769" s="675">
        <f t="shared" si="540"/>
        <v>0</v>
      </c>
      <c r="L1769" s="1061"/>
      <c r="M1769" s="574"/>
      <c r="N1769" s="713"/>
      <c r="O1769" s="647"/>
      <c r="P1769" s="645"/>
      <c r="Q1769" s="574"/>
      <c r="R1769" s="574">
        <v>5</v>
      </c>
      <c r="S1769" s="900">
        <f t="shared" si="538"/>
        <v>5</v>
      </c>
      <c r="U1769" s="574"/>
    </row>
    <row r="1770" spans="1:21" ht="21.3">
      <c r="A1770" s="665"/>
      <c r="B1770" s="1114"/>
      <c r="C1770" s="902" t="s">
        <v>630</v>
      </c>
      <c r="D1770" s="1129"/>
      <c r="E1770" s="645"/>
      <c r="F1770" s="625" t="s">
        <v>363</v>
      </c>
      <c r="G1770" s="620">
        <v>45060</v>
      </c>
      <c r="H1770" s="676">
        <f t="shared" ref="H1770" si="542">SUM(E1770*G1770)</f>
        <v>0</v>
      </c>
      <c r="I1770" s="677">
        <v>15700</v>
      </c>
      <c r="J1770" s="678">
        <f t="shared" ref="J1770" si="543">SUM(E1770*I1770)</f>
        <v>0</v>
      </c>
      <c r="K1770" s="675">
        <f t="shared" si="540"/>
        <v>0</v>
      </c>
      <c r="L1770" s="1061"/>
      <c r="M1770" s="574"/>
      <c r="N1770" s="713"/>
      <c r="O1770" s="647"/>
      <c r="P1770" s="645"/>
      <c r="Q1770" s="574"/>
      <c r="R1770" s="574">
        <v>10</v>
      </c>
      <c r="S1770" s="900">
        <f t="shared" si="538"/>
        <v>10</v>
      </c>
      <c r="U1770" s="574"/>
    </row>
    <row r="1771" spans="1:21" ht="21.3">
      <c r="A1771" s="665"/>
      <c r="B1771" s="1114" t="s">
        <v>439</v>
      </c>
      <c r="C1771" s="902" t="s">
        <v>635</v>
      </c>
      <c r="D1771" s="1129"/>
      <c r="E1771" s="645"/>
      <c r="F1771" s="625" t="s">
        <v>363</v>
      </c>
      <c r="G1771" s="620">
        <v>18040</v>
      </c>
      <c r="H1771" s="676">
        <f t="shared" si="539"/>
        <v>0</v>
      </c>
      <c r="I1771" s="677">
        <v>3000</v>
      </c>
      <c r="J1771" s="678">
        <f t="shared" si="537"/>
        <v>0</v>
      </c>
      <c r="K1771" s="675">
        <f t="shared" si="540"/>
        <v>0</v>
      </c>
      <c r="L1771" s="1061"/>
      <c r="M1771" s="574"/>
      <c r="N1771" s="713"/>
      <c r="O1771" s="647"/>
      <c r="P1771" s="645"/>
      <c r="Q1771" s="574"/>
      <c r="R1771" s="574">
        <v>52</v>
      </c>
      <c r="S1771" s="900">
        <f t="shared" si="538"/>
        <v>52</v>
      </c>
      <c r="U1771" s="574"/>
    </row>
    <row r="1772" spans="1:21" ht="21.3">
      <c r="A1772" s="665"/>
      <c r="B1772" s="1114" t="s">
        <v>440</v>
      </c>
      <c r="C1772" s="902" t="s">
        <v>636</v>
      </c>
      <c r="D1772" s="1129"/>
      <c r="E1772" s="645"/>
      <c r="F1772" s="625" t="s">
        <v>363</v>
      </c>
      <c r="G1772" s="620">
        <v>17150</v>
      </c>
      <c r="H1772" s="676">
        <f t="shared" si="539"/>
        <v>0</v>
      </c>
      <c r="I1772" s="677">
        <v>2800</v>
      </c>
      <c r="J1772" s="678">
        <f t="shared" si="537"/>
        <v>0</v>
      </c>
      <c r="K1772" s="675">
        <f t="shared" si="540"/>
        <v>0</v>
      </c>
      <c r="L1772" s="1061"/>
      <c r="M1772" s="574"/>
      <c r="N1772" s="713"/>
      <c r="O1772" s="647"/>
      <c r="P1772" s="645"/>
      <c r="Q1772" s="574"/>
      <c r="R1772" s="574">
        <v>26</v>
      </c>
      <c r="S1772" s="900">
        <f t="shared" si="538"/>
        <v>26</v>
      </c>
      <c r="U1772" s="574"/>
    </row>
    <row r="1773" spans="1:21" ht="21.3">
      <c r="A1773" s="665"/>
      <c r="B1773" s="1114" t="s">
        <v>441</v>
      </c>
      <c r="C1773" s="902" t="s">
        <v>637</v>
      </c>
      <c r="D1773" s="1129"/>
      <c r="E1773" s="645"/>
      <c r="F1773" s="625" t="s">
        <v>363</v>
      </c>
      <c r="G1773" s="620">
        <v>18040</v>
      </c>
      <c r="H1773" s="676">
        <f t="shared" si="539"/>
        <v>0</v>
      </c>
      <c r="I1773" s="677">
        <v>3000</v>
      </c>
      <c r="J1773" s="678">
        <f t="shared" si="537"/>
        <v>0</v>
      </c>
      <c r="K1773" s="675">
        <f t="shared" si="540"/>
        <v>0</v>
      </c>
      <c r="L1773" s="1061"/>
      <c r="M1773" s="574"/>
      <c r="N1773" s="713"/>
      <c r="O1773" s="647"/>
      <c r="P1773" s="645"/>
      <c r="Q1773" s="574"/>
      <c r="R1773" s="574">
        <v>9</v>
      </c>
      <c r="S1773" s="900">
        <f t="shared" si="538"/>
        <v>9</v>
      </c>
      <c r="U1773" s="574"/>
    </row>
    <row r="1774" spans="1:21" ht="21.3">
      <c r="A1774" s="665"/>
      <c r="B1774" s="1114" t="s">
        <v>443</v>
      </c>
      <c r="C1774" s="902" t="s">
        <v>639</v>
      </c>
      <c r="D1774" s="1129"/>
      <c r="E1774" s="645"/>
      <c r="F1774" s="625" t="s">
        <v>363</v>
      </c>
      <c r="G1774" s="620">
        <v>51820</v>
      </c>
      <c r="H1774" s="676">
        <f t="shared" si="539"/>
        <v>0</v>
      </c>
      <c r="I1774" s="677">
        <v>12900</v>
      </c>
      <c r="J1774" s="678">
        <f t="shared" si="537"/>
        <v>0</v>
      </c>
      <c r="K1774" s="675">
        <f t="shared" si="540"/>
        <v>0</v>
      </c>
      <c r="L1774" s="1061"/>
      <c r="M1774" s="574"/>
      <c r="N1774" s="713"/>
      <c r="O1774" s="647"/>
      <c r="P1774" s="645"/>
      <c r="Q1774" s="574"/>
      <c r="R1774" s="574">
        <v>4</v>
      </c>
      <c r="S1774" s="900">
        <f t="shared" si="538"/>
        <v>4</v>
      </c>
      <c r="U1774" s="574"/>
    </row>
    <row r="1775" spans="1:21" ht="21.3">
      <c r="A1775" s="665"/>
      <c r="B1775" s="1114" t="s">
        <v>444</v>
      </c>
      <c r="C1775" s="902" t="s">
        <v>644</v>
      </c>
      <c r="D1775" s="1129"/>
      <c r="E1775" s="645"/>
      <c r="F1775" s="625" t="s">
        <v>363</v>
      </c>
      <c r="G1775" s="620">
        <v>18370</v>
      </c>
      <c r="H1775" s="676">
        <f t="shared" si="539"/>
        <v>0</v>
      </c>
      <c r="I1775" s="677">
        <v>3000</v>
      </c>
      <c r="J1775" s="678">
        <f t="shared" si="537"/>
        <v>0</v>
      </c>
      <c r="K1775" s="675">
        <f t="shared" si="540"/>
        <v>0</v>
      </c>
      <c r="L1775" s="1061"/>
      <c r="M1775" s="574"/>
      <c r="N1775" s="713"/>
      <c r="O1775" s="647"/>
      <c r="P1775" s="645"/>
      <c r="Q1775" s="574"/>
      <c r="R1775" s="574">
        <v>7</v>
      </c>
      <c r="S1775" s="900">
        <f t="shared" si="538"/>
        <v>7</v>
      </c>
      <c r="U1775" s="574"/>
    </row>
    <row r="1776" spans="1:21" ht="21.3">
      <c r="A1776" s="665"/>
      <c r="B1776" s="1114" t="s">
        <v>421</v>
      </c>
      <c r="C1776" s="902" t="s">
        <v>620</v>
      </c>
      <c r="D1776" s="1129"/>
      <c r="E1776" s="645">
        <f>+E1750</f>
        <v>10</v>
      </c>
      <c r="F1776" s="625" t="s">
        <v>363</v>
      </c>
      <c r="G1776" s="620">
        <v>12131</v>
      </c>
      <c r="H1776" s="676">
        <f t="shared" si="539"/>
        <v>121310</v>
      </c>
      <c r="I1776" s="677">
        <v>3000</v>
      </c>
      <c r="J1776" s="678">
        <f t="shared" si="537"/>
        <v>30000</v>
      </c>
      <c r="K1776" s="675">
        <f t="shared" si="540"/>
        <v>151310</v>
      </c>
      <c r="L1776" s="1061"/>
      <c r="M1776" s="574"/>
      <c r="N1776" s="713"/>
      <c r="O1776" s="647"/>
      <c r="P1776" s="645"/>
      <c r="Q1776" s="574"/>
      <c r="R1776" s="574">
        <v>10</v>
      </c>
      <c r="S1776" s="900">
        <f t="shared" si="538"/>
        <v>0</v>
      </c>
      <c r="U1776" s="574"/>
    </row>
    <row r="1777" spans="1:21" ht="21.3">
      <c r="A1777" s="665"/>
      <c r="B1777" s="1114" t="s">
        <v>422</v>
      </c>
      <c r="C1777" s="902" t="s">
        <v>621</v>
      </c>
      <c r="D1777" s="1129"/>
      <c r="E1777" s="645">
        <f t="shared" ref="E1777:E1782" si="544">+E1751</f>
        <v>4</v>
      </c>
      <c r="F1777" s="625" t="s">
        <v>363</v>
      </c>
      <c r="G1777" s="620">
        <v>24200</v>
      </c>
      <c r="H1777" s="676">
        <f t="shared" si="539"/>
        <v>96800</v>
      </c>
      <c r="I1777" s="677">
        <v>5400</v>
      </c>
      <c r="J1777" s="678">
        <f t="shared" si="537"/>
        <v>21600</v>
      </c>
      <c r="K1777" s="675">
        <f t="shared" si="540"/>
        <v>118400</v>
      </c>
      <c r="L1777" s="1061"/>
      <c r="M1777" s="574"/>
      <c r="N1777" s="713"/>
      <c r="O1777" s="647"/>
      <c r="P1777" s="645"/>
      <c r="Q1777" s="574"/>
      <c r="R1777" s="574">
        <v>4</v>
      </c>
      <c r="S1777" s="900">
        <f t="shared" si="538"/>
        <v>0</v>
      </c>
      <c r="U1777" s="574"/>
    </row>
    <row r="1778" spans="1:21" ht="21.3">
      <c r="A1778" s="665"/>
      <c r="B1778" s="1114" t="s">
        <v>428</v>
      </c>
      <c r="C1778" s="902" t="s">
        <v>624</v>
      </c>
      <c r="D1778" s="1129"/>
      <c r="E1778" s="645">
        <f t="shared" si="544"/>
        <v>4</v>
      </c>
      <c r="F1778" s="625" t="s">
        <v>363</v>
      </c>
      <c r="G1778" s="620">
        <v>11640</v>
      </c>
      <c r="H1778" s="676">
        <f t="shared" si="539"/>
        <v>46560</v>
      </c>
      <c r="I1778" s="677">
        <v>2900</v>
      </c>
      <c r="J1778" s="678">
        <f t="shared" si="537"/>
        <v>11600</v>
      </c>
      <c r="K1778" s="675">
        <f t="shared" si="540"/>
        <v>58160</v>
      </c>
      <c r="L1778" s="1061"/>
      <c r="M1778" s="574"/>
      <c r="N1778" s="713"/>
      <c r="O1778" s="647"/>
      <c r="P1778" s="645"/>
      <c r="Q1778" s="574"/>
      <c r="R1778" s="574">
        <v>4</v>
      </c>
      <c r="S1778" s="900">
        <f t="shared" si="538"/>
        <v>0</v>
      </c>
      <c r="U1778" s="574"/>
    </row>
    <row r="1779" spans="1:21" ht="21.3">
      <c r="A1779" s="665"/>
      <c r="B1779" s="1114" t="s">
        <v>423</v>
      </c>
      <c r="C1779" s="902" t="s">
        <v>622</v>
      </c>
      <c r="D1779" s="1129"/>
      <c r="E1779" s="645">
        <f t="shared" si="544"/>
        <v>4</v>
      </c>
      <c r="F1779" s="625" t="s">
        <v>363</v>
      </c>
      <c r="G1779" s="620">
        <v>18705</v>
      </c>
      <c r="H1779" s="676">
        <f t="shared" si="539"/>
        <v>74820</v>
      </c>
      <c r="I1779" s="677">
        <v>4600</v>
      </c>
      <c r="J1779" s="678">
        <f t="shared" si="537"/>
        <v>18400</v>
      </c>
      <c r="K1779" s="675">
        <f t="shared" si="540"/>
        <v>93220</v>
      </c>
      <c r="L1779" s="1061"/>
      <c r="M1779" s="574"/>
      <c r="N1779" s="713"/>
      <c r="O1779" s="647"/>
      <c r="P1779" s="645"/>
      <c r="Q1779" s="574"/>
      <c r="R1779" s="574">
        <v>4</v>
      </c>
      <c r="S1779" s="900">
        <f t="shared" si="538"/>
        <v>0</v>
      </c>
      <c r="U1779" s="574"/>
    </row>
    <row r="1780" spans="1:21" ht="21.3">
      <c r="A1780" s="665"/>
      <c r="B1780" s="1114"/>
      <c r="C1780" s="902" t="s">
        <v>643</v>
      </c>
      <c r="D1780" s="1129"/>
      <c r="E1780" s="645">
        <f t="shared" si="544"/>
        <v>2</v>
      </c>
      <c r="F1780" s="625" t="s">
        <v>363</v>
      </c>
      <c r="G1780" s="620">
        <v>8750</v>
      </c>
      <c r="H1780" s="676">
        <f t="shared" si="539"/>
        <v>17500</v>
      </c>
      <c r="I1780" s="677">
        <v>2200</v>
      </c>
      <c r="J1780" s="678">
        <f t="shared" si="537"/>
        <v>4400</v>
      </c>
      <c r="K1780" s="675">
        <f t="shared" si="540"/>
        <v>21900</v>
      </c>
      <c r="L1780" s="1061"/>
      <c r="M1780" s="574"/>
      <c r="N1780" s="713"/>
      <c r="O1780" s="647"/>
      <c r="P1780" s="645"/>
      <c r="Q1780" s="574"/>
      <c r="R1780" s="574">
        <v>2</v>
      </c>
      <c r="S1780" s="900">
        <f t="shared" si="538"/>
        <v>0</v>
      </c>
      <c r="U1780" s="574"/>
    </row>
    <row r="1781" spans="1:21" ht="21.3">
      <c r="A1781" s="665"/>
      <c r="B1781" s="1114" t="s">
        <v>419</v>
      </c>
      <c r="C1781" s="2028" t="s">
        <v>618</v>
      </c>
      <c r="D1781" s="1129"/>
      <c r="E1781" s="645">
        <f t="shared" si="544"/>
        <v>4</v>
      </c>
      <c r="F1781" s="625" t="s">
        <v>363</v>
      </c>
      <c r="G1781" s="620">
        <v>24510</v>
      </c>
      <c r="H1781" s="676">
        <f t="shared" si="539"/>
        <v>98040</v>
      </c>
      <c r="I1781" s="677">
        <v>3500</v>
      </c>
      <c r="J1781" s="678">
        <f t="shared" si="537"/>
        <v>14000</v>
      </c>
      <c r="K1781" s="675">
        <f t="shared" si="540"/>
        <v>112040</v>
      </c>
      <c r="L1781" s="1061"/>
      <c r="M1781" s="574"/>
      <c r="N1781" s="713"/>
      <c r="O1781" s="647"/>
      <c r="P1781" s="645"/>
      <c r="Q1781" s="574"/>
      <c r="R1781" s="574">
        <v>4</v>
      </c>
      <c r="S1781" s="900">
        <f t="shared" si="538"/>
        <v>0</v>
      </c>
      <c r="U1781" s="574"/>
    </row>
    <row r="1782" spans="1:21" ht="21.3">
      <c r="A1782" s="665"/>
      <c r="B1782" s="1114" t="s">
        <v>420</v>
      </c>
      <c r="C1782" s="2028" t="s">
        <v>619</v>
      </c>
      <c r="D1782" s="1129"/>
      <c r="E1782" s="645">
        <f t="shared" si="544"/>
        <v>2</v>
      </c>
      <c r="F1782" s="625" t="s">
        <v>363</v>
      </c>
      <c r="G1782" s="620">
        <v>34531</v>
      </c>
      <c r="H1782" s="676">
        <f t="shared" si="539"/>
        <v>69062</v>
      </c>
      <c r="I1782" s="677">
        <v>6200</v>
      </c>
      <c r="J1782" s="678">
        <f t="shared" si="537"/>
        <v>12400</v>
      </c>
      <c r="K1782" s="675">
        <f t="shared" si="540"/>
        <v>81462</v>
      </c>
      <c r="L1782" s="1061"/>
      <c r="M1782" s="574"/>
      <c r="N1782" s="713"/>
      <c r="O1782" s="647"/>
      <c r="P1782" s="645"/>
      <c r="Q1782" s="574"/>
      <c r="R1782" s="574">
        <v>2</v>
      </c>
      <c r="S1782" s="900">
        <f t="shared" si="538"/>
        <v>0</v>
      </c>
      <c r="U1782" s="574"/>
    </row>
    <row r="1783" spans="1:21" ht="21.3">
      <c r="A1783" s="665"/>
      <c r="B1783" s="1114"/>
      <c r="C1783" s="902" t="s">
        <v>632</v>
      </c>
      <c r="D1783" s="1129"/>
      <c r="E1783" s="645"/>
      <c r="F1783" s="625" t="s">
        <v>363</v>
      </c>
      <c r="G1783" s="620">
        <v>46160</v>
      </c>
      <c r="H1783" s="676">
        <f>SUM(E1783*G1783)</f>
        <v>0</v>
      </c>
      <c r="I1783" s="677">
        <v>6400</v>
      </c>
      <c r="J1783" s="678">
        <f t="shared" si="537"/>
        <v>0</v>
      </c>
      <c r="K1783" s="675">
        <f t="shared" si="540"/>
        <v>0</v>
      </c>
      <c r="L1783" s="1061"/>
      <c r="M1783" s="574"/>
      <c r="N1783" s="713"/>
      <c r="O1783" s="647"/>
      <c r="P1783" s="645"/>
      <c r="Q1783" s="574"/>
      <c r="R1783" s="574">
        <v>3</v>
      </c>
      <c r="S1783" s="900">
        <f t="shared" si="538"/>
        <v>3</v>
      </c>
      <c r="U1783" s="574"/>
    </row>
    <row r="1784" spans="1:21" ht="21.3">
      <c r="A1784" s="665"/>
      <c r="B1784" s="1114"/>
      <c r="C1784" s="902" t="s">
        <v>645</v>
      </c>
      <c r="D1784" s="1129"/>
      <c r="E1784" s="645"/>
      <c r="F1784" s="625" t="s">
        <v>34</v>
      </c>
      <c r="G1784" s="620">
        <v>4500</v>
      </c>
      <c r="H1784" s="676">
        <f>SUM(E1784*G1784)</f>
        <v>0</v>
      </c>
      <c r="I1784" s="677">
        <v>0</v>
      </c>
      <c r="J1784" s="678">
        <f t="shared" si="537"/>
        <v>0</v>
      </c>
      <c r="K1784" s="675">
        <f t="shared" si="540"/>
        <v>0</v>
      </c>
      <c r="L1784" s="1061"/>
      <c r="M1784" s="574"/>
      <c r="N1784" s="713"/>
      <c r="O1784" s="647"/>
      <c r="P1784" s="645"/>
      <c r="Q1784" s="574"/>
      <c r="R1784" s="574">
        <v>250</v>
      </c>
      <c r="S1784" s="900">
        <f t="shared" si="538"/>
        <v>250</v>
      </c>
      <c r="U1784" s="574"/>
    </row>
    <row r="1785" spans="1:21" ht="21.3">
      <c r="A1785" s="665"/>
      <c r="B1785" s="1114" t="s">
        <v>445</v>
      </c>
      <c r="C1785" s="902" t="s">
        <v>653</v>
      </c>
      <c r="D1785" s="1129"/>
      <c r="E1785" s="637"/>
      <c r="F1785" s="625" t="s">
        <v>34</v>
      </c>
      <c r="G1785" s="620">
        <v>4500</v>
      </c>
      <c r="H1785" s="676">
        <f t="shared" si="539"/>
        <v>0</v>
      </c>
      <c r="I1785" s="677">
        <v>0</v>
      </c>
      <c r="J1785" s="678">
        <f t="shared" si="537"/>
        <v>0</v>
      </c>
      <c r="K1785" s="675">
        <f t="shared" si="540"/>
        <v>0</v>
      </c>
      <c r="L1785" s="1085"/>
      <c r="M1785" s="574"/>
      <c r="N1785" s="667"/>
      <c r="O1785" s="636"/>
      <c r="P1785" s="637"/>
      <c r="Q1785" s="574"/>
      <c r="R1785" s="574">
        <v>65</v>
      </c>
      <c r="S1785" s="900">
        <f t="shared" si="538"/>
        <v>65</v>
      </c>
      <c r="U1785" s="574"/>
    </row>
    <row r="1786" spans="1:21" ht="21.3">
      <c r="A1786" s="665"/>
      <c r="B1786" s="1114" t="s">
        <v>454</v>
      </c>
      <c r="C1786" s="902" t="s">
        <v>654</v>
      </c>
      <c r="D1786" s="1129"/>
      <c r="E1786" s="637"/>
      <c r="F1786" s="625" t="s">
        <v>34</v>
      </c>
      <c r="G1786" s="620">
        <v>4500</v>
      </c>
      <c r="H1786" s="676">
        <f t="shared" si="539"/>
        <v>0</v>
      </c>
      <c r="I1786" s="677">
        <v>0</v>
      </c>
      <c r="J1786" s="678">
        <f t="shared" si="537"/>
        <v>0</v>
      </c>
      <c r="K1786" s="675">
        <f t="shared" si="540"/>
        <v>0</v>
      </c>
      <c r="L1786" s="1085"/>
      <c r="M1786" s="574"/>
      <c r="N1786" s="667"/>
      <c r="O1786" s="636"/>
      <c r="P1786" s="637"/>
      <c r="Q1786" s="574"/>
      <c r="R1786" s="574">
        <v>69</v>
      </c>
      <c r="S1786" s="900">
        <f t="shared" si="538"/>
        <v>69</v>
      </c>
      <c r="U1786" s="574"/>
    </row>
    <row r="1787" spans="1:21" ht="21.3">
      <c r="A1787" s="665"/>
      <c r="B1787" s="1114" t="s">
        <v>455</v>
      </c>
      <c r="C1787" s="902" t="s">
        <v>646</v>
      </c>
      <c r="D1787" s="1129"/>
      <c r="E1787" s="637"/>
      <c r="F1787" s="625" t="s">
        <v>34</v>
      </c>
      <c r="G1787" s="620">
        <v>6800</v>
      </c>
      <c r="H1787" s="676">
        <f t="shared" si="539"/>
        <v>0</v>
      </c>
      <c r="I1787" s="677">
        <v>0</v>
      </c>
      <c r="J1787" s="678">
        <f t="shared" si="537"/>
        <v>0</v>
      </c>
      <c r="K1787" s="675">
        <f t="shared" si="540"/>
        <v>0</v>
      </c>
      <c r="L1787" s="1085"/>
      <c r="M1787" s="574"/>
      <c r="N1787" s="667"/>
      <c r="O1787" s="636"/>
      <c r="P1787" s="637"/>
      <c r="Q1787" s="574"/>
      <c r="R1787" s="574">
        <v>19</v>
      </c>
      <c r="S1787" s="900">
        <f t="shared" si="538"/>
        <v>19</v>
      </c>
      <c r="U1787" s="574"/>
    </row>
    <row r="1788" spans="1:21" ht="21.3">
      <c r="A1788" s="665"/>
      <c r="B1788" s="1114" t="s">
        <v>456</v>
      </c>
      <c r="C1788" s="902" t="s">
        <v>647</v>
      </c>
      <c r="D1788" s="1129"/>
      <c r="E1788" s="637"/>
      <c r="F1788" s="625" t="s">
        <v>34</v>
      </c>
      <c r="G1788" s="620">
        <v>6800</v>
      </c>
      <c r="H1788" s="676">
        <f t="shared" si="539"/>
        <v>0</v>
      </c>
      <c r="I1788" s="677">
        <v>0</v>
      </c>
      <c r="J1788" s="678">
        <f t="shared" si="537"/>
        <v>0</v>
      </c>
      <c r="K1788" s="675">
        <f t="shared" si="540"/>
        <v>0</v>
      </c>
      <c r="L1788" s="1085"/>
      <c r="M1788" s="574"/>
      <c r="N1788" s="667"/>
      <c r="O1788" s="636"/>
      <c r="P1788" s="637"/>
      <c r="Q1788" s="574"/>
      <c r="R1788" s="574">
        <v>20</v>
      </c>
      <c r="S1788" s="900">
        <f t="shared" si="538"/>
        <v>20</v>
      </c>
      <c r="U1788" s="574"/>
    </row>
    <row r="1789" spans="1:21" ht="21.3">
      <c r="A1789" s="665"/>
      <c r="B1789" s="1114"/>
      <c r="C1789" s="2028"/>
      <c r="D1789" s="1129"/>
      <c r="E1789" s="637"/>
      <c r="F1789" s="625"/>
      <c r="G1789" s="641"/>
      <c r="H1789" s="676">
        <f t="shared" si="539"/>
        <v>0</v>
      </c>
      <c r="I1789" s="677"/>
      <c r="J1789" s="678">
        <f t="shared" si="537"/>
        <v>0</v>
      </c>
      <c r="K1789" s="675">
        <f t="shared" si="540"/>
        <v>0</v>
      </c>
      <c r="L1789" s="1065"/>
      <c r="M1789" s="574"/>
      <c r="N1789" s="667"/>
      <c r="O1789" s="636"/>
      <c r="P1789" s="637"/>
      <c r="Q1789" s="574"/>
      <c r="R1789" s="574"/>
      <c r="S1789" s="900">
        <f t="shared" si="538"/>
        <v>0</v>
      </c>
      <c r="U1789" s="574"/>
    </row>
    <row r="1790" spans="1:21" ht="21.3">
      <c r="A1790" s="665" t="s">
        <v>452</v>
      </c>
      <c r="B1790" s="1111" t="s">
        <v>453</v>
      </c>
      <c r="C1790" s="2028"/>
      <c r="D1790" s="1129"/>
      <c r="E1790" s="637"/>
      <c r="F1790" s="625"/>
      <c r="G1790" s="641"/>
      <c r="H1790" s="676">
        <f t="shared" si="539"/>
        <v>0</v>
      </c>
      <c r="I1790" s="677"/>
      <c r="J1790" s="678">
        <f t="shared" si="537"/>
        <v>0</v>
      </c>
      <c r="K1790" s="675">
        <f t="shared" si="540"/>
        <v>0</v>
      </c>
      <c r="L1790" s="1065"/>
      <c r="M1790" s="900">
        <f>SUM(E1791:E1808)</f>
        <v>38</v>
      </c>
      <c r="N1790" s="667"/>
      <c r="O1790" s="636"/>
      <c r="P1790" s="637"/>
      <c r="Q1790" s="574"/>
      <c r="R1790" s="574"/>
      <c r="S1790" s="900">
        <f t="shared" si="538"/>
        <v>0</v>
      </c>
      <c r="U1790" s="574"/>
    </row>
    <row r="1791" spans="1:21" ht="21.3">
      <c r="A1791" s="665"/>
      <c r="B1791" s="1114" t="s">
        <v>417</v>
      </c>
      <c r="C1791" s="2028" t="s">
        <v>616</v>
      </c>
      <c r="D1791" s="1129"/>
      <c r="E1791" s="645">
        <f>+E1766</f>
        <v>4</v>
      </c>
      <c r="F1791" s="625" t="s">
        <v>363</v>
      </c>
      <c r="G1791" s="620">
        <v>88800</v>
      </c>
      <c r="H1791" s="676">
        <f t="shared" si="539"/>
        <v>355200</v>
      </c>
      <c r="I1791" s="677">
        <v>31000</v>
      </c>
      <c r="J1791" s="678">
        <f t="shared" si="537"/>
        <v>124000</v>
      </c>
      <c r="K1791" s="675">
        <f t="shared" si="540"/>
        <v>479200</v>
      </c>
      <c r="L1791" s="1061"/>
      <c r="M1791" s="574"/>
      <c r="N1791" s="713"/>
      <c r="O1791" s="647"/>
      <c r="P1791" s="645"/>
      <c r="Q1791" s="574"/>
      <c r="R1791" s="574">
        <v>6</v>
      </c>
      <c r="S1791" s="900">
        <f t="shared" si="538"/>
        <v>2</v>
      </c>
      <c r="U1791" s="574"/>
    </row>
    <row r="1792" spans="1:21" ht="21.3">
      <c r="A1792" s="665"/>
      <c r="B1792" s="1114" t="s">
        <v>418</v>
      </c>
      <c r="C1792" s="2028" t="s">
        <v>617</v>
      </c>
      <c r="D1792" s="1129"/>
      <c r="E1792" s="645">
        <f t="shared" ref="E1792:E1793" si="545">+E1767</f>
        <v>2</v>
      </c>
      <c r="F1792" s="625" t="s">
        <v>363</v>
      </c>
      <c r="G1792" s="620">
        <v>44140</v>
      </c>
      <c r="H1792" s="676">
        <f t="shared" si="539"/>
        <v>88280</v>
      </c>
      <c r="I1792" s="677">
        <v>15400</v>
      </c>
      <c r="J1792" s="678">
        <f t="shared" si="537"/>
        <v>30800</v>
      </c>
      <c r="K1792" s="675">
        <f t="shared" si="540"/>
        <v>119080</v>
      </c>
      <c r="L1792" s="1061"/>
      <c r="M1792" s="574"/>
      <c r="N1792" s="713"/>
      <c r="O1792" s="647"/>
      <c r="P1792" s="645"/>
      <c r="Q1792" s="574"/>
      <c r="R1792" s="574">
        <v>2</v>
      </c>
      <c r="S1792" s="900">
        <f t="shared" si="538"/>
        <v>0</v>
      </c>
      <c r="U1792" s="574"/>
    </row>
    <row r="1793" spans="1:21" ht="21.3">
      <c r="A1793" s="665"/>
      <c r="B1793" s="1114" t="s">
        <v>435</v>
      </c>
      <c r="C1793" s="2028" t="s">
        <v>626</v>
      </c>
      <c r="D1793" s="1129"/>
      <c r="E1793" s="645">
        <f t="shared" si="545"/>
        <v>2</v>
      </c>
      <c r="F1793" s="625" t="s">
        <v>363</v>
      </c>
      <c r="G1793" s="620">
        <v>36420</v>
      </c>
      <c r="H1793" s="676">
        <f t="shared" si="539"/>
        <v>72840</v>
      </c>
      <c r="I1793" s="677">
        <v>12700</v>
      </c>
      <c r="J1793" s="678">
        <f t="shared" si="537"/>
        <v>25400</v>
      </c>
      <c r="K1793" s="675">
        <f t="shared" si="540"/>
        <v>98240</v>
      </c>
      <c r="L1793" s="1061"/>
      <c r="M1793" s="574"/>
      <c r="N1793" s="713"/>
      <c r="O1793" s="647"/>
      <c r="P1793" s="645"/>
      <c r="Q1793" s="574"/>
      <c r="R1793" s="574">
        <v>2</v>
      </c>
      <c r="S1793" s="900">
        <f t="shared" si="538"/>
        <v>0</v>
      </c>
      <c r="U1793" s="574"/>
    </row>
    <row r="1794" spans="1:21" ht="21.3">
      <c r="A1794" s="665"/>
      <c r="B1794" s="1114"/>
      <c r="C1794" s="902" t="s">
        <v>628</v>
      </c>
      <c r="D1794" s="1129"/>
      <c r="E1794" s="645"/>
      <c r="F1794" s="625" t="s">
        <v>363</v>
      </c>
      <c r="G1794" s="620">
        <v>77650</v>
      </c>
      <c r="H1794" s="676">
        <f>SUM(E1794*G1794)</f>
        <v>0</v>
      </c>
      <c r="I1794" s="677">
        <v>27100</v>
      </c>
      <c r="J1794" s="678">
        <f>SUM(E1794*I1794)</f>
        <v>0</v>
      </c>
      <c r="K1794" s="675">
        <f t="shared" si="540"/>
        <v>0</v>
      </c>
      <c r="L1794" s="1061"/>
      <c r="M1794" s="574"/>
      <c r="N1794" s="713"/>
      <c r="O1794" s="647"/>
      <c r="P1794" s="645"/>
      <c r="Q1794" s="574"/>
      <c r="R1794" s="574">
        <v>6</v>
      </c>
      <c r="S1794" s="900">
        <f t="shared" si="538"/>
        <v>6</v>
      </c>
      <c r="U1794" s="574"/>
    </row>
    <row r="1795" spans="1:21" ht="21.3">
      <c r="A1795" s="665"/>
      <c r="B1795" s="1114"/>
      <c r="C1795" s="902" t="s">
        <v>630</v>
      </c>
      <c r="D1795" s="1129"/>
      <c r="E1795" s="645"/>
      <c r="F1795" s="625" t="s">
        <v>363</v>
      </c>
      <c r="G1795" s="620">
        <v>45060</v>
      </c>
      <c r="H1795" s="676">
        <f t="shared" ref="H1795" si="546">SUM(E1795*G1795)</f>
        <v>0</v>
      </c>
      <c r="I1795" s="677">
        <v>15700</v>
      </c>
      <c r="J1795" s="678">
        <f t="shared" ref="J1795:J1818" si="547">SUM(E1795*I1795)</f>
        <v>0</v>
      </c>
      <c r="K1795" s="675">
        <f t="shared" si="540"/>
        <v>0</v>
      </c>
      <c r="L1795" s="1061"/>
      <c r="M1795" s="574"/>
      <c r="N1795" s="713"/>
      <c r="O1795" s="647"/>
      <c r="P1795" s="645"/>
      <c r="Q1795" s="574"/>
      <c r="R1795" s="574">
        <v>8</v>
      </c>
      <c r="S1795" s="900">
        <f t="shared" si="538"/>
        <v>8</v>
      </c>
      <c r="U1795" s="574"/>
    </row>
    <row r="1796" spans="1:21" ht="21.3">
      <c r="A1796" s="665"/>
      <c r="B1796" s="1114" t="s">
        <v>439</v>
      </c>
      <c r="C1796" s="902" t="s">
        <v>635</v>
      </c>
      <c r="D1796" s="1129"/>
      <c r="E1796" s="645"/>
      <c r="F1796" s="625" t="s">
        <v>363</v>
      </c>
      <c r="G1796" s="620">
        <v>18040</v>
      </c>
      <c r="H1796" s="676">
        <f t="shared" si="539"/>
        <v>0</v>
      </c>
      <c r="I1796" s="677">
        <v>3000</v>
      </c>
      <c r="J1796" s="678">
        <f t="shared" si="547"/>
        <v>0</v>
      </c>
      <c r="K1796" s="675">
        <f t="shared" si="540"/>
        <v>0</v>
      </c>
      <c r="L1796" s="1061"/>
      <c r="M1796" s="574"/>
      <c r="N1796" s="713"/>
      <c r="O1796" s="647"/>
      <c r="P1796" s="645"/>
      <c r="Q1796" s="574"/>
      <c r="R1796" s="574">
        <v>52</v>
      </c>
      <c r="S1796" s="900">
        <f t="shared" si="538"/>
        <v>52</v>
      </c>
      <c r="U1796" s="574"/>
    </row>
    <row r="1797" spans="1:21" ht="21.3">
      <c r="A1797" s="665"/>
      <c r="B1797" s="1114" t="s">
        <v>440</v>
      </c>
      <c r="C1797" s="902" t="s">
        <v>636</v>
      </c>
      <c r="D1797" s="1129"/>
      <c r="E1797" s="645"/>
      <c r="F1797" s="625" t="s">
        <v>363</v>
      </c>
      <c r="G1797" s="620">
        <v>17150</v>
      </c>
      <c r="H1797" s="676">
        <f t="shared" si="539"/>
        <v>0</v>
      </c>
      <c r="I1797" s="677">
        <v>2800</v>
      </c>
      <c r="J1797" s="678">
        <f t="shared" si="547"/>
        <v>0</v>
      </c>
      <c r="K1797" s="675">
        <f t="shared" si="540"/>
        <v>0</v>
      </c>
      <c r="L1797" s="1061"/>
      <c r="M1797" s="574"/>
      <c r="N1797" s="713"/>
      <c r="O1797" s="647"/>
      <c r="P1797" s="645"/>
      <c r="Q1797" s="574"/>
      <c r="R1797" s="574">
        <v>26</v>
      </c>
      <c r="S1797" s="900">
        <f t="shared" si="538"/>
        <v>26</v>
      </c>
      <c r="U1797" s="574"/>
    </row>
    <row r="1798" spans="1:21" ht="21.3">
      <c r="A1798" s="665"/>
      <c r="B1798" s="1114" t="s">
        <v>441</v>
      </c>
      <c r="C1798" s="902" t="s">
        <v>637</v>
      </c>
      <c r="D1798" s="1129"/>
      <c r="E1798" s="645"/>
      <c r="F1798" s="625" t="s">
        <v>363</v>
      </c>
      <c r="G1798" s="620">
        <v>18040</v>
      </c>
      <c r="H1798" s="676">
        <f t="shared" si="539"/>
        <v>0</v>
      </c>
      <c r="I1798" s="677">
        <v>3000</v>
      </c>
      <c r="J1798" s="678">
        <f t="shared" si="547"/>
        <v>0</v>
      </c>
      <c r="K1798" s="675">
        <f t="shared" si="540"/>
        <v>0</v>
      </c>
      <c r="L1798" s="1061"/>
      <c r="M1798" s="574"/>
      <c r="N1798" s="713"/>
      <c r="O1798" s="647"/>
      <c r="P1798" s="645"/>
      <c r="Q1798" s="574"/>
      <c r="R1798" s="574">
        <v>13</v>
      </c>
      <c r="S1798" s="900">
        <f t="shared" si="538"/>
        <v>13</v>
      </c>
      <c r="U1798" s="574"/>
    </row>
    <row r="1799" spans="1:21" ht="21.3">
      <c r="A1799" s="665"/>
      <c r="B1799" s="1114" t="s">
        <v>443</v>
      </c>
      <c r="C1799" s="902" t="s">
        <v>639</v>
      </c>
      <c r="D1799" s="1129"/>
      <c r="E1799" s="645"/>
      <c r="F1799" s="625" t="s">
        <v>363</v>
      </c>
      <c r="G1799" s="620">
        <v>51820</v>
      </c>
      <c r="H1799" s="676">
        <f t="shared" si="539"/>
        <v>0</v>
      </c>
      <c r="I1799" s="677">
        <v>12900</v>
      </c>
      <c r="J1799" s="678">
        <f t="shared" si="547"/>
        <v>0</v>
      </c>
      <c r="K1799" s="675">
        <f t="shared" si="540"/>
        <v>0</v>
      </c>
      <c r="L1799" s="1061"/>
      <c r="M1799" s="574"/>
      <c r="N1799" s="713"/>
      <c r="O1799" s="647"/>
      <c r="P1799" s="645"/>
      <c r="Q1799" s="574"/>
      <c r="R1799" s="574">
        <v>4</v>
      </c>
      <c r="S1799" s="900">
        <f t="shared" ref="S1799:S1863" si="548">+R1799-E1799</f>
        <v>4</v>
      </c>
      <c r="U1799" s="574"/>
    </row>
    <row r="1800" spans="1:21" ht="21.3">
      <c r="A1800" s="665"/>
      <c r="B1800" s="1114" t="s">
        <v>444</v>
      </c>
      <c r="C1800" s="902" t="s">
        <v>644</v>
      </c>
      <c r="D1800" s="1129"/>
      <c r="E1800" s="645"/>
      <c r="F1800" s="625" t="s">
        <v>363</v>
      </c>
      <c r="G1800" s="620">
        <v>18370</v>
      </c>
      <c r="H1800" s="676">
        <f t="shared" si="539"/>
        <v>0</v>
      </c>
      <c r="I1800" s="677">
        <v>3000</v>
      </c>
      <c r="J1800" s="678">
        <f t="shared" si="547"/>
        <v>0</v>
      </c>
      <c r="K1800" s="675">
        <f t="shared" si="540"/>
        <v>0</v>
      </c>
      <c r="L1800" s="1061"/>
      <c r="M1800" s="574"/>
      <c r="N1800" s="713"/>
      <c r="O1800" s="647"/>
      <c r="P1800" s="645"/>
      <c r="Q1800" s="574"/>
      <c r="R1800" s="574">
        <v>8</v>
      </c>
      <c r="S1800" s="900">
        <f t="shared" si="548"/>
        <v>8</v>
      </c>
      <c r="U1800" s="574"/>
    </row>
    <row r="1801" spans="1:21" ht="21.3">
      <c r="A1801" s="665"/>
      <c r="B1801" s="1114" t="s">
        <v>421</v>
      </c>
      <c r="C1801" s="902" t="s">
        <v>620</v>
      </c>
      <c r="D1801" s="1129"/>
      <c r="E1801" s="645">
        <f>+E1776</f>
        <v>10</v>
      </c>
      <c r="F1801" s="625" t="s">
        <v>363</v>
      </c>
      <c r="G1801" s="620">
        <v>12131</v>
      </c>
      <c r="H1801" s="676">
        <f t="shared" si="539"/>
        <v>121310</v>
      </c>
      <c r="I1801" s="677">
        <v>3000</v>
      </c>
      <c r="J1801" s="678">
        <f t="shared" si="547"/>
        <v>30000</v>
      </c>
      <c r="K1801" s="675">
        <f t="shared" si="540"/>
        <v>151310</v>
      </c>
      <c r="L1801" s="1061"/>
      <c r="M1801" s="574"/>
      <c r="N1801" s="713"/>
      <c r="O1801" s="647"/>
      <c r="P1801" s="645"/>
      <c r="Q1801" s="574"/>
      <c r="R1801" s="574">
        <v>10</v>
      </c>
      <c r="S1801" s="900">
        <f t="shared" si="548"/>
        <v>0</v>
      </c>
      <c r="U1801" s="574"/>
    </row>
    <row r="1802" spans="1:21" ht="21.3">
      <c r="A1802" s="665"/>
      <c r="B1802" s="1114" t="s">
        <v>422</v>
      </c>
      <c r="C1802" s="902" t="s">
        <v>621</v>
      </c>
      <c r="D1802" s="1129"/>
      <c r="E1802" s="645">
        <f t="shared" ref="E1802:E1807" si="549">+E1777</f>
        <v>4</v>
      </c>
      <c r="F1802" s="625" t="s">
        <v>363</v>
      </c>
      <c r="G1802" s="620">
        <v>24200</v>
      </c>
      <c r="H1802" s="676">
        <f t="shared" si="539"/>
        <v>96800</v>
      </c>
      <c r="I1802" s="677">
        <v>5400</v>
      </c>
      <c r="J1802" s="678">
        <f t="shared" si="547"/>
        <v>21600</v>
      </c>
      <c r="K1802" s="675">
        <f t="shared" si="540"/>
        <v>118400</v>
      </c>
      <c r="L1802" s="1061"/>
      <c r="M1802" s="574"/>
      <c r="N1802" s="713"/>
      <c r="O1802" s="647"/>
      <c r="P1802" s="645"/>
      <c r="Q1802" s="574"/>
      <c r="R1802" s="574">
        <v>4</v>
      </c>
      <c r="S1802" s="900">
        <f t="shared" si="548"/>
        <v>0</v>
      </c>
      <c r="U1802" s="574"/>
    </row>
    <row r="1803" spans="1:21" ht="21.3">
      <c r="A1803" s="665"/>
      <c r="B1803" s="1114" t="s">
        <v>428</v>
      </c>
      <c r="C1803" s="902" t="s">
        <v>624</v>
      </c>
      <c r="D1803" s="1129"/>
      <c r="E1803" s="645">
        <f t="shared" si="549"/>
        <v>4</v>
      </c>
      <c r="F1803" s="625" t="s">
        <v>363</v>
      </c>
      <c r="G1803" s="620">
        <v>11640</v>
      </c>
      <c r="H1803" s="676">
        <f t="shared" si="539"/>
        <v>46560</v>
      </c>
      <c r="I1803" s="677">
        <v>2900</v>
      </c>
      <c r="J1803" s="678">
        <f t="shared" si="547"/>
        <v>11600</v>
      </c>
      <c r="K1803" s="675">
        <f t="shared" si="540"/>
        <v>58160</v>
      </c>
      <c r="L1803" s="1061"/>
      <c r="M1803" s="574"/>
      <c r="N1803" s="713"/>
      <c r="O1803" s="647"/>
      <c r="P1803" s="645"/>
      <c r="Q1803" s="574"/>
      <c r="R1803" s="574">
        <v>4</v>
      </c>
      <c r="S1803" s="900">
        <f t="shared" si="548"/>
        <v>0</v>
      </c>
      <c r="U1803" s="574"/>
    </row>
    <row r="1804" spans="1:21" ht="21.3">
      <c r="A1804" s="665"/>
      <c r="B1804" s="1114" t="s">
        <v>423</v>
      </c>
      <c r="C1804" s="902" t="s">
        <v>622</v>
      </c>
      <c r="D1804" s="1129"/>
      <c r="E1804" s="645">
        <f t="shared" si="549"/>
        <v>4</v>
      </c>
      <c r="F1804" s="625" t="s">
        <v>363</v>
      </c>
      <c r="G1804" s="620">
        <v>18705</v>
      </c>
      <c r="H1804" s="676">
        <f t="shared" si="539"/>
        <v>74820</v>
      </c>
      <c r="I1804" s="677">
        <v>4600</v>
      </c>
      <c r="J1804" s="678">
        <f t="shared" si="547"/>
        <v>18400</v>
      </c>
      <c r="K1804" s="675">
        <f t="shared" si="540"/>
        <v>93220</v>
      </c>
      <c r="L1804" s="1061"/>
      <c r="M1804" s="574"/>
      <c r="N1804" s="713"/>
      <c r="O1804" s="647"/>
      <c r="P1804" s="645"/>
      <c r="Q1804" s="574"/>
      <c r="R1804" s="574">
        <v>4</v>
      </c>
      <c r="S1804" s="900">
        <f t="shared" si="548"/>
        <v>0</v>
      </c>
      <c r="U1804" s="574"/>
    </row>
    <row r="1805" spans="1:21" ht="21.3">
      <c r="A1805" s="665"/>
      <c r="B1805" s="1114"/>
      <c r="C1805" s="902" t="s">
        <v>643</v>
      </c>
      <c r="D1805" s="1129"/>
      <c r="E1805" s="645">
        <f t="shared" si="549"/>
        <v>2</v>
      </c>
      <c r="F1805" s="625" t="s">
        <v>363</v>
      </c>
      <c r="G1805" s="620">
        <v>8750</v>
      </c>
      <c r="H1805" s="676">
        <f t="shared" si="539"/>
        <v>17500</v>
      </c>
      <c r="I1805" s="677">
        <v>2200</v>
      </c>
      <c r="J1805" s="678">
        <f t="shared" si="547"/>
        <v>4400</v>
      </c>
      <c r="K1805" s="675">
        <f t="shared" si="540"/>
        <v>21900</v>
      </c>
      <c r="L1805" s="1061"/>
      <c r="M1805" s="574"/>
      <c r="N1805" s="713"/>
      <c r="O1805" s="647"/>
      <c r="P1805" s="645"/>
      <c r="Q1805" s="574"/>
      <c r="R1805" s="574">
        <v>2</v>
      </c>
      <c r="S1805" s="900">
        <f t="shared" si="548"/>
        <v>0</v>
      </c>
      <c r="U1805" s="574"/>
    </row>
    <row r="1806" spans="1:21" ht="21.3">
      <c r="A1806" s="665"/>
      <c r="B1806" s="1114" t="s">
        <v>419</v>
      </c>
      <c r="C1806" s="2028" t="s">
        <v>618</v>
      </c>
      <c r="D1806" s="1129"/>
      <c r="E1806" s="645">
        <f t="shared" si="549"/>
        <v>4</v>
      </c>
      <c r="F1806" s="625" t="s">
        <v>363</v>
      </c>
      <c r="G1806" s="620">
        <v>24510</v>
      </c>
      <c r="H1806" s="676">
        <f t="shared" si="539"/>
        <v>98040</v>
      </c>
      <c r="I1806" s="677">
        <v>3500</v>
      </c>
      <c r="J1806" s="678">
        <f t="shared" si="547"/>
        <v>14000</v>
      </c>
      <c r="K1806" s="675">
        <f t="shared" si="540"/>
        <v>112040</v>
      </c>
      <c r="L1806" s="1061"/>
      <c r="M1806" s="574"/>
      <c r="N1806" s="713"/>
      <c r="O1806" s="647"/>
      <c r="P1806" s="645"/>
      <c r="Q1806" s="574"/>
      <c r="R1806" s="574">
        <v>4</v>
      </c>
      <c r="S1806" s="900">
        <f t="shared" si="548"/>
        <v>0</v>
      </c>
      <c r="U1806" s="574"/>
    </row>
    <row r="1807" spans="1:21" ht="21.3">
      <c r="A1807" s="665"/>
      <c r="B1807" s="1114" t="s">
        <v>420</v>
      </c>
      <c r="C1807" s="2028" t="s">
        <v>619</v>
      </c>
      <c r="D1807" s="1129"/>
      <c r="E1807" s="645">
        <f t="shared" si="549"/>
        <v>2</v>
      </c>
      <c r="F1807" s="625" t="s">
        <v>363</v>
      </c>
      <c r="G1807" s="620">
        <v>34531</v>
      </c>
      <c r="H1807" s="676">
        <f t="shared" si="539"/>
        <v>69062</v>
      </c>
      <c r="I1807" s="677">
        <v>6200</v>
      </c>
      <c r="J1807" s="678">
        <f t="shared" si="547"/>
        <v>12400</v>
      </c>
      <c r="K1807" s="675">
        <f t="shared" si="540"/>
        <v>81462</v>
      </c>
      <c r="L1807" s="1061"/>
      <c r="M1807" s="574"/>
      <c r="N1807" s="713"/>
      <c r="O1807" s="647"/>
      <c r="P1807" s="645"/>
      <c r="Q1807" s="574"/>
      <c r="R1807" s="574">
        <v>2</v>
      </c>
      <c r="S1807" s="900">
        <f t="shared" si="548"/>
        <v>0</v>
      </c>
      <c r="U1807" s="574"/>
    </row>
    <row r="1808" spans="1:21" ht="21.3">
      <c r="A1808" s="665"/>
      <c r="B1808" s="1114"/>
      <c r="C1808" s="902" t="s">
        <v>632</v>
      </c>
      <c r="D1808" s="1129"/>
      <c r="E1808" s="645"/>
      <c r="F1808" s="625" t="s">
        <v>363</v>
      </c>
      <c r="G1808" s="620">
        <v>46160</v>
      </c>
      <c r="H1808" s="676">
        <f>SUM(E1808*G1808)</f>
        <v>0</v>
      </c>
      <c r="I1808" s="677">
        <v>6400</v>
      </c>
      <c r="J1808" s="678">
        <f t="shared" si="547"/>
        <v>0</v>
      </c>
      <c r="K1808" s="675">
        <f t="shared" si="540"/>
        <v>0</v>
      </c>
      <c r="L1808" s="1061"/>
      <c r="M1808" s="574"/>
      <c r="N1808" s="713"/>
      <c r="O1808" s="647"/>
      <c r="P1808" s="645"/>
      <c r="Q1808" s="574"/>
      <c r="R1808" s="574">
        <v>2</v>
      </c>
      <c r="S1808" s="900">
        <f t="shared" si="548"/>
        <v>2</v>
      </c>
      <c r="U1808" s="574"/>
    </row>
    <row r="1809" spans="1:21" ht="21.3">
      <c r="A1809" s="665"/>
      <c r="B1809" s="1114"/>
      <c r="C1809" s="902" t="s">
        <v>645</v>
      </c>
      <c r="D1809" s="1129"/>
      <c r="E1809" s="645"/>
      <c r="F1809" s="625" t="s">
        <v>34</v>
      </c>
      <c r="G1809" s="620">
        <v>4500</v>
      </c>
      <c r="H1809" s="676">
        <f>SUM(E1809*G1809)</f>
        <v>0</v>
      </c>
      <c r="I1809" s="677">
        <v>0</v>
      </c>
      <c r="J1809" s="678">
        <f t="shared" si="547"/>
        <v>0</v>
      </c>
      <c r="K1809" s="675">
        <f t="shared" si="540"/>
        <v>0</v>
      </c>
      <c r="L1809" s="1061"/>
      <c r="M1809" s="574"/>
      <c r="N1809" s="713"/>
      <c r="O1809" s="647"/>
      <c r="P1809" s="645"/>
      <c r="Q1809" s="574"/>
      <c r="R1809" s="574">
        <v>227</v>
      </c>
      <c r="S1809" s="900">
        <f t="shared" si="548"/>
        <v>227</v>
      </c>
      <c r="U1809" s="574"/>
    </row>
    <row r="1810" spans="1:21" ht="21.3">
      <c r="A1810" s="665"/>
      <c r="B1810" s="1114" t="s">
        <v>445</v>
      </c>
      <c r="C1810" s="902" t="s">
        <v>653</v>
      </c>
      <c r="D1810" s="1129"/>
      <c r="E1810" s="637"/>
      <c r="F1810" s="625" t="s">
        <v>34</v>
      </c>
      <c r="G1810" s="620">
        <v>4500</v>
      </c>
      <c r="H1810" s="676">
        <f t="shared" si="539"/>
        <v>0</v>
      </c>
      <c r="I1810" s="677">
        <v>0</v>
      </c>
      <c r="J1810" s="678">
        <f t="shared" si="547"/>
        <v>0</v>
      </c>
      <c r="K1810" s="675">
        <f t="shared" si="540"/>
        <v>0</v>
      </c>
      <c r="L1810" s="1085"/>
      <c r="M1810" s="574"/>
      <c r="N1810" s="667"/>
      <c r="O1810" s="636"/>
      <c r="P1810" s="637"/>
      <c r="Q1810" s="574"/>
      <c r="R1810" s="574">
        <v>65</v>
      </c>
      <c r="S1810" s="900">
        <f t="shared" si="548"/>
        <v>65</v>
      </c>
      <c r="U1810" s="574"/>
    </row>
    <row r="1811" spans="1:21" ht="21.3">
      <c r="A1811" s="665"/>
      <c r="B1811" s="1114" t="s">
        <v>454</v>
      </c>
      <c r="C1811" s="902" t="s">
        <v>654</v>
      </c>
      <c r="D1811" s="1129"/>
      <c r="E1811" s="637"/>
      <c r="F1811" s="625" t="s">
        <v>34</v>
      </c>
      <c r="G1811" s="620">
        <v>4500</v>
      </c>
      <c r="H1811" s="676">
        <f t="shared" si="539"/>
        <v>0</v>
      </c>
      <c r="I1811" s="677">
        <v>0</v>
      </c>
      <c r="J1811" s="678">
        <f t="shared" si="547"/>
        <v>0</v>
      </c>
      <c r="K1811" s="675">
        <f t="shared" si="540"/>
        <v>0</v>
      </c>
      <c r="L1811" s="1085"/>
      <c r="M1811" s="574"/>
      <c r="N1811" s="667"/>
      <c r="O1811" s="636"/>
      <c r="P1811" s="637"/>
      <c r="Q1811" s="574"/>
      <c r="R1811" s="574">
        <v>69</v>
      </c>
      <c r="S1811" s="900">
        <f t="shared" si="548"/>
        <v>69</v>
      </c>
      <c r="U1811" s="574"/>
    </row>
    <row r="1812" spans="1:21" ht="21.3">
      <c r="A1812" s="665"/>
      <c r="B1812" s="1114" t="s">
        <v>455</v>
      </c>
      <c r="C1812" s="902" t="s">
        <v>646</v>
      </c>
      <c r="D1812" s="1129"/>
      <c r="E1812" s="637"/>
      <c r="F1812" s="625" t="s">
        <v>34</v>
      </c>
      <c r="G1812" s="620">
        <v>6800</v>
      </c>
      <c r="H1812" s="676">
        <f t="shared" si="539"/>
        <v>0</v>
      </c>
      <c r="I1812" s="677">
        <v>0</v>
      </c>
      <c r="J1812" s="678">
        <f t="shared" si="547"/>
        <v>0</v>
      </c>
      <c r="K1812" s="675">
        <f t="shared" si="540"/>
        <v>0</v>
      </c>
      <c r="L1812" s="1085"/>
      <c r="M1812" s="574"/>
      <c r="N1812" s="667"/>
      <c r="O1812" s="636"/>
      <c r="P1812" s="637"/>
      <c r="Q1812" s="574"/>
      <c r="R1812" s="574">
        <v>19</v>
      </c>
      <c r="S1812" s="900">
        <f t="shared" si="548"/>
        <v>19</v>
      </c>
      <c r="U1812" s="574"/>
    </row>
    <row r="1813" spans="1:21" ht="21.3">
      <c r="A1813" s="665"/>
      <c r="B1813" s="1114" t="s">
        <v>456</v>
      </c>
      <c r="C1813" s="902" t="s">
        <v>647</v>
      </c>
      <c r="D1813" s="1129"/>
      <c r="E1813" s="637"/>
      <c r="F1813" s="625" t="s">
        <v>34</v>
      </c>
      <c r="G1813" s="620">
        <v>6800</v>
      </c>
      <c r="H1813" s="676">
        <f t="shared" si="539"/>
        <v>0</v>
      </c>
      <c r="I1813" s="677">
        <v>0</v>
      </c>
      <c r="J1813" s="678">
        <f t="shared" si="547"/>
        <v>0</v>
      </c>
      <c r="K1813" s="675">
        <f t="shared" si="540"/>
        <v>0</v>
      </c>
      <c r="L1813" s="1085"/>
      <c r="M1813" s="574"/>
      <c r="N1813" s="667"/>
      <c r="O1813" s="636"/>
      <c r="P1813" s="637"/>
      <c r="Q1813" s="574"/>
      <c r="R1813" s="574">
        <v>20</v>
      </c>
      <c r="S1813" s="900">
        <f t="shared" si="548"/>
        <v>20</v>
      </c>
      <c r="U1813" s="574"/>
    </row>
    <row r="1814" spans="1:21" ht="21.3">
      <c r="A1814" s="665"/>
      <c r="B1814" s="1114"/>
      <c r="C1814" s="2028"/>
      <c r="D1814" s="1129"/>
      <c r="E1814" s="637"/>
      <c r="F1814" s="625"/>
      <c r="G1814" s="641"/>
      <c r="H1814" s="676">
        <f t="shared" si="539"/>
        <v>0</v>
      </c>
      <c r="I1814" s="677"/>
      <c r="J1814" s="678">
        <f t="shared" si="547"/>
        <v>0</v>
      </c>
      <c r="K1814" s="675">
        <f t="shared" ref="K1814:K1917" si="550">SUM(H1814+J1814)</f>
        <v>0</v>
      </c>
      <c r="L1814" s="1065"/>
      <c r="M1814" s="574"/>
      <c r="N1814" s="667"/>
      <c r="O1814" s="636"/>
      <c r="P1814" s="637"/>
      <c r="Q1814" s="574"/>
      <c r="R1814" s="574"/>
      <c r="S1814" s="900">
        <f t="shared" si="548"/>
        <v>0</v>
      </c>
      <c r="U1814" s="574"/>
    </row>
    <row r="1815" spans="1:21" ht="21.3">
      <c r="A1815" s="665" t="s">
        <v>457</v>
      </c>
      <c r="B1815" s="1111" t="s">
        <v>458</v>
      </c>
      <c r="C1815" s="2028"/>
      <c r="D1815" s="1129"/>
      <c r="E1815" s="637"/>
      <c r="F1815" s="625"/>
      <c r="G1815" s="641"/>
      <c r="H1815" s="676">
        <f t="shared" si="539"/>
        <v>0</v>
      </c>
      <c r="I1815" s="677"/>
      <c r="J1815" s="678">
        <f t="shared" si="547"/>
        <v>0</v>
      </c>
      <c r="K1815" s="675">
        <f t="shared" si="550"/>
        <v>0</v>
      </c>
      <c r="L1815" s="1065"/>
      <c r="M1815" s="900">
        <f>SUM(E1816:E1833)</f>
        <v>38</v>
      </c>
      <c r="N1815" s="667"/>
      <c r="O1815" s="636"/>
      <c r="P1815" s="637"/>
      <c r="Q1815" s="574"/>
      <c r="R1815" s="574"/>
      <c r="S1815" s="900">
        <f t="shared" si="548"/>
        <v>0</v>
      </c>
      <c r="U1815" s="574"/>
    </row>
    <row r="1816" spans="1:21" ht="21.3">
      <c r="A1816" s="665"/>
      <c r="B1816" s="1114" t="s">
        <v>417</v>
      </c>
      <c r="C1816" s="2028" t="s">
        <v>616</v>
      </c>
      <c r="D1816" s="1129"/>
      <c r="E1816" s="645">
        <f>+E1791</f>
        <v>4</v>
      </c>
      <c r="F1816" s="625" t="s">
        <v>363</v>
      </c>
      <c r="G1816" s="620">
        <v>88800</v>
      </c>
      <c r="H1816" s="676">
        <f t="shared" si="539"/>
        <v>355200</v>
      </c>
      <c r="I1816" s="677">
        <v>31000</v>
      </c>
      <c r="J1816" s="678">
        <f t="shared" si="547"/>
        <v>124000</v>
      </c>
      <c r="K1816" s="675">
        <f t="shared" si="550"/>
        <v>479200</v>
      </c>
      <c r="L1816" s="1061"/>
      <c r="M1816" s="574"/>
      <c r="N1816" s="713"/>
      <c r="O1816" s="647"/>
      <c r="P1816" s="645"/>
      <c r="Q1816" s="574"/>
      <c r="R1816" s="574">
        <v>6</v>
      </c>
      <c r="S1816" s="900">
        <f t="shared" si="548"/>
        <v>2</v>
      </c>
      <c r="U1816" s="574"/>
    </row>
    <row r="1817" spans="1:21" ht="21.3">
      <c r="A1817" s="665"/>
      <c r="B1817" s="1114" t="s">
        <v>418</v>
      </c>
      <c r="C1817" s="2028" t="s">
        <v>617</v>
      </c>
      <c r="D1817" s="1129"/>
      <c r="E1817" s="645">
        <f t="shared" ref="E1817:E1818" si="551">+E1792</f>
        <v>2</v>
      </c>
      <c r="F1817" s="625" t="s">
        <v>363</v>
      </c>
      <c r="G1817" s="620">
        <v>44140</v>
      </c>
      <c r="H1817" s="676">
        <f t="shared" si="539"/>
        <v>88280</v>
      </c>
      <c r="I1817" s="677">
        <v>15400</v>
      </c>
      <c r="J1817" s="678">
        <f t="shared" si="547"/>
        <v>30800</v>
      </c>
      <c r="K1817" s="675">
        <f t="shared" si="550"/>
        <v>119080</v>
      </c>
      <c r="L1817" s="1061"/>
      <c r="M1817" s="574"/>
      <c r="N1817" s="713"/>
      <c r="O1817" s="647"/>
      <c r="P1817" s="645"/>
      <c r="Q1817" s="574"/>
      <c r="R1817" s="574">
        <v>2</v>
      </c>
      <c r="S1817" s="900">
        <f t="shared" si="548"/>
        <v>0</v>
      </c>
      <c r="U1817" s="574"/>
    </row>
    <row r="1818" spans="1:21" ht="21.3">
      <c r="A1818" s="665"/>
      <c r="B1818" s="1114" t="s">
        <v>435</v>
      </c>
      <c r="C1818" s="2028" t="s">
        <v>626</v>
      </c>
      <c r="D1818" s="1129"/>
      <c r="E1818" s="645">
        <f t="shared" si="551"/>
        <v>2</v>
      </c>
      <c r="F1818" s="625" t="s">
        <v>363</v>
      </c>
      <c r="G1818" s="620">
        <v>36420</v>
      </c>
      <c r="H1818" s="676">
        <f t="shared" si="539"/>
        <v>72840</v>
      </c>
      <c r="I1818" s="677">
        <v>12700</v>
      </c>
      <c r="J1818" s="678">
        <f t="shared" si="547"/>
        <v>25400</v>
      </c>
      <c r="K1818" s="675">
        <f t="shared" si="550"/>
        <v>98240</v>
      </c>
      <c r="L1818" s="1061"/>
      <c r="M1818" s="574"/>
      <c r="N1818" s="713"/>
      <c r="O1818" s="647"/>
      <c r="P1818" s="645"/>
      <c r="Q1818" s="574"/>
      <c r="R1818" s="574">
        <v>2</v>
      </c>
      <c r="S1818" s="900">
        <f t="shared" si="548"/>
        <v>0</v>
      </c>
      <c r="U1818" s="574"/>
    </row>
    <row r="1819" spans="1:21" ht="21.3">
      <c r="A1819" s="665"/>
      <c r="B1819" s="1114"/>
      <c r="C1819" s="902" t="s">
        <v>628</v>
      </c>
      <c r="D1819" s="1129"/>
      <c r="E1819" s="645"/>
      <c r="F1819" s="625" t="s">
        <v>363</v>
      </c>
      <c r="G1819" s="620">
        <v>77650</v>
      </c>
      <c r="H1819" s="676">
        <f>SUM(E1819*G1819)</f>
        <v>0</v>
      </c>
      <c r="I1819" s="677">
        <v>27100</v>
      </c>
      <c r="J1819" s="678">
        <f>SUM(E1819*I1819)</f>
        <v>0</v>
      </c>
      <c r="K1819" s="675">
        <f t="shared" si="550"/>
        <v>0</v>
      </c>
      <c r="L1819" s="1061"/>
      <c r="M1819" s="574"/>
      <c r="N1819" s="713"/>
      <c r="O1819" s="647"/>
      <c r="P1819" s="645"/>
      <c r="Q1819" s="574"/>
      <c r="R1819" s="574">
        <v>6</v>
      </c>
      <c r="S1819" s="900">
        <f t="shared" si="548"/>
        <v>6</v>
      </c>
      <c r="U1819" s="574"/>
    </row>
    <row r="1820" spans="1:21" ht="21.3">
      <c r="A1820" s="665"/>
      <c r="B1820" s="1114"/>
      <c r="C1820" s="902" t="s">
        <v>630</v>
      </c>
      <c r="D1820" s="1129"/>
      <c r="E1820" s="645"/>
      <c r="F1820" s="625" t="s">
        <v>363</v>
      </c>
      <c r="G1820" s="620">
        <v>45060</v>
      </c>
      <c r="H1820" s="676">
        <f t="shared" ref="H1820" si="552">SUM(E1820*G1820)</f>
        <v>0</v>
      </c>
      <c r="I1820" s="677">
        <v>15700</v>
      </c>
      <c r="J1820" s="678">
        <f t="shared" ref="J1820:J1884" si="553">SUM(E1820*I1820)</f>
        <v>0</v>
      </c>
      <c r="K1820" s="675">
        <f t="shared" si="550"/>
        <v>0</v>
      </c>
      <c r="L1820" s="1061"/>
      <c r="M1820" s="574"/>
      <c r="N1820" s="713"/>
      <c r="O1820" s="647"/>
      <c r="P1820" s="645"/>
      <c r="Q1820" s="574"/>
      <c r="R1820" s="574">
        <v>8</v>
      </c>
      <c r="S1820" s="900">
        <f t="shared" si="548"/>
        <v>8</v>
      </c>
      <c r="U1820" s="574"/>
    </row>
    <row r="1821" spans="1:21" ht="21.3">
      <c r="A1821" s="665"/>
      <c r="B1821" s="1114" t="s">
        <v>439</v>
      </c>
      <c r="C1821" s="902" t="s">
        <v>635</v>
      </c>
      <c r="D1821" s="1129"/>
      <c r="E1821" s="645"/>
      <c r="F1821" s="625" t="s">
        <v>363</v>
      </c>
      <c r="G1821" s="620">
        <v>18040</v>
      </c>
      <c r="H1821" s="676">
        <f t="shared" si="539"/>
        <v>0</v>
      </c>
      <c r="I1821" s="677">
        <v>3000</v>
      </c>
      <c r="J1821" s="678">
        <f t="shared" si="553"/>
        <v>0</v>
      </c>
      <c r="K1821" s="675">
        <f t="shared" si="550"/>
        <v>0</v>
      </c>
      <c r="L1821" s="1061"/>
      <c r="M1821" s="574"/>
      <c r="N1821" s="713"/>
      <c r="O1821" s="647"/>
      <c r="P1821" s="645"/>
      <c r="Q1821" s="574"/>
      <c r="R1821" s="574">
        <v>52</v>
      </c>
      <c r="S1821" s="900">
        <f t="shared" si="548"/>
        <v>52</v>
      </c>
      <c r="U1821" s="574"/>
    </row>
    <row r="1822" spans="1:21" ht="21.3">
      <c r="A1822" s="665"/>
      <c r="B1822" s="1114" t="s">
        <v>440</v>
      </c>
      <c r="C1822" s="902" t="s">
        <v>636</v>
      </c>
      <c r="D1822" s="1129"/>
      <c r="E1822" s="645"/>
      <c r="F1822" s="625" t="s">
        <v>363</v>
      </c>
      <c r="G1822" s="620">
        <v>17150</v>
      </c>
      <c r="H1822" s="676">
        <f t="shared" si="539"/>
        <v>0</v>
      </c>
      <c r="I1822" s="677">
        <v>2800</v>
      </c>
      <c r="J1822" s="678">
        <f t="shared" si="553"/>
        <v>0</v>
      </c>
      <c r="K1822" s="675">
        <f t="shared" si="550"/>
        <v>0</v>
      </c>
      <c r="L1822" s="1061"/>
      <c r="M1822" s="574"/>
      <c r="N1822" s="713"/>
      <c r="O1822" s="647"/>
      <c r="P1822" s="645"/>
      <c r="Q1822" s="574"/>
      <c r="R1822" s="574">
        <v>26</v>
      </c>
      <c r="S1822" s="900">
        <f t="shared" si="548"/>
        <v>26</v>
      </c>
      <c r="U1822" s="574"/>
    </row>
    <row r="1823" spans="1:21" ht="21.3">
      <c r="A1823" s="665"/>
      <c r="B1823" s="1114" t="s">
        <v>441</v>
      </c>
      <c r="C1823" s="902" t="s">
        <v>637</v>
      </c>
      <c r="D1823" s="1129"/>
      <c r="E1823" s="645"/>
      <c r="F1823" s="625" t="s">
        <v>363</v>
      </c>
      <c r="G1823" s="620">
        <v>18040</v>
      </c>
      <c r="H1823" s="676">
        <f t="shared" si="539"/>
        <v>0</v>
      </c>
      <c r="I1823" s="677">
        <v>3000</v>
      </c>
      <c r="J1823" s="678">
        <f t="shared" si="553"/>
        <v>0</v>
      </c>
      <c r="K1823" s="675">
        <f t="shared" si="550"/>
        <v>0</v>
      </c>
      <c r="L1823" s="1061"/>
      <c r="M1823" s="574"/>
      <c r="N1823" s="713"/>
      <c r="O1823" s="647"/>
      <c r="P1823" s="645"/>
      <c r="Q1823" s="574"/>
      <c r="R1823" s="574">
        <v>11</v>
      </c>
      <c r="S1823" s="900">
        <f t="shared" si="548"/>
        <v>11</v>
      </c>
      <c r="U1823" s="574"/>
    </row>
    <row r="1824" spans="1:21" ht="21.3">
      <c r="A1824" s="665"/>
      <c r="B1824" s="1114" t="s">
        <v>443</v>
      </c>
      <c r="C1824" s="902" t="s">
        <v>639</v>
      </c>
      <c r="D1824" s="1129"/>
      <c r="E1824" s="645"/>
      <c r="F1824" s="625" t="s">
        <v>363</v>
      </c>
      <c r="G1824" s="620">
        <v>51820</v>
      </c>
      <c r="H1824" s="676">
        <f t="shared" ref="H1824:H1888" si="554">SUM(E1824*G1824)</f>
        <v>0</v>
      </c>
      <c r="I1824" s="677">
        <v>12900</v>
      </c>
      <c r="J1824" s="678">
        <f t="shared" si="553"/>
        <v>0</v>
      </c>
      <c r="K1824" s="675">
        <f t="shared" si="550"/>
        <v>0</v>
      </c>
      <c r="L1824" s="1061"/>
      <c r="M1824" s="574"/>
      <c r="N1824" s="713"/>
      <c r="O1824" s="647"/>
      <c r="P1824" s="645"/>
      <c r="Q1824" s="574"/>
      <c r="R1824" s="574">
        <v>4</v>
      </c>
      <c r="S1824" s="900">
        <f t="shared" si="548"/>
        <v>4</v>
      </c>
      <c r="U1824" s="574"/>
    </row>
    <row r="1825" spans="1:21" ht="21.3">
      <c r="A1825" s="665"/>
      <c r="B1825" s="1114" t="s">
        <v>444</v>
      </c>
      <c r="C1825" s="902" t="s">
        <v>644</v>
      </c>
      <c r="D1825" s="1129"/>
      <c r="E1825" s="645"/>
      <c r="F1825" s="625" t="s">
        <v>363</v>
      </c>
      <c r="G1825" s="620">
        <v>18370</v>
      </c>
      <c r="H1825" s="676">
        <f t="shared" si="554"/>
        <v>0</v>
      </c>
      <c r="I1825" s="677">
        <v>3000</v>
      </c>
      <c r="J1825" s="678">
        <f t="shared" si="553"/>
        <v>0</v>
      </c>
      <c r="K1825" s="675">
        <f t="shared" si="550"/>
        <v>0</v>
      </c>
      <c r="L1825" s="1061"/>
      <c r="M1825" s="574"/>
      <c r="N1825" s="713"/>
      <c r="O1825" s="647"/>
      <c r="P1825" s="645"/>
      <c r="Q1825" s="574"/>
      <c r="R1825" s="574">
        <v>8</v>
      </c>
      <c r="S1825" s="900">
        <f t="shared" si="548"/>
        <v>8</v>
      </c>
      <c r="U1825" s="574"/>
    </row>
    <row r="1826" spans="1:21" ht="21.3">
      <c r="A1826" s="665"/>
      <c r="B1826" s="1114" t="s">
        <v>421</v>
      </c>
      <c r="C1826" s="902" t="s">
        <v>620</v>
      </c>
      <c r="D1826" s="1129"/>
      <c r="E1826" s="645">
        <f>+E1801</f>
        <v>10</v>
      </c>
      <c r="F1826" s="625" t="s">
        <v>363</v>
      </c>
      <c r="G1826" s="620">
        <v>12131</v>
      </c>
      <c r="H1826" s="676">
        <f t="shared" si="554"/>
        <v>121310</v>
      </c>
      <c r="I1826" s="677">
        <v>3000</v>
      </c>
      <c r="J1826" s="678">
        <f t="shared" si="553"/>
        <v>30000</v>
      </c>
      <c r="K1826" s="675">
        <f t="shared" si="550"/>
        <v>151310</v>
      </c>
      <c r="L1826" s="1061"/>
      <c r="M1826" s="574"/>
      <c r="N1826" s="713"/>
      <c r="O1826" s="647"/>
      <c r="P1826" s="645"/>
      <c r="Q1826" s="574"/>
      <c r="R1826" s="574">
        <v>10</v>
      </c>
      <c r="S1826" s="900">
        <f t="shared" si="548"/>
        <v>0</v>
      </c>
      <c r="U1826" s="574"/>
    </row>
    <row r="1827" spans="1:21" ht="21.3">
      <c r="A1827" s="665"/>
      <c r="B1827" s="1114" t="s">
        <v>422</v>
      </c>
      <c r="C1827" s="902" t="s">
        <v>621</v>
      </c>
      <c r="D1827" s="1129"/>
      <c r="E1827" s="645">
        <f t="shared" ref="E1827:E1832" si="555">+E1802</f>
        <v>4</v>
      </c>
      <c r="F1827" s="625" t="s">
        <v>363</v>
      </c>
      <c r="G1827" s="620">
        <v>24200</v>
      </c>
      <c r="H1827" s="676">
        <f t="shared" si="554"/>
        <v>96800</v>
      </c>
      <c r="I1827" s="677">
        <v>5400</v>
      </c>
      <c r="J1827" s="678">
        <f t="shared" si="553"/>
        <v>21600</v>
      </c>
      <c r="K1827" s="675">
        <f t="shared" si="550"/>
        <v>118400</v>
      </c>
      <c r="L1827" s="1061"/>
      <c r="M1827" s="574"/>
      <c r="N1827" s="713"/>
      <c r="O1827" s="647"/>
      <c r="P1827" s="645"/>
      <c r="Q1827" s="574"/>
      <c r="R1827" s="574">
        <v>4</v>
      </c>
      <c r="S1827" s="900">
        <f t="shared" si="548"/>
        <v>0</v>
      </c>
      <c r="U1827" s="574"/>
    </row>
    <row r="1828" spans="1:21" ht="21.3">
      <c r="A1828" s="665"/>
      <c r="B1828" s="1114" t="s">
        <v>428</v>
      </c>
      <c r="C1828" s="902" t="s">
        <v>624</v>
      </c>
      <c r="D1828" s="1129"/>
      <c r="E1828" s="645">
        <f t="shared" si="555"/>
        <v>4</v>
      </c>
      <c r="F1828" s="625" t="s">
        <v>363</v>
      </c>
      <c r="G1828" s="620">
        <v>11640</v>
      </c>
      <c r="H1828" s="676">
        <f t="shared" si="554"/>
        <v>46560</v>
      </c>
      <c r="I1828" s="677">
        <v>2900</v>
      </c>
      <c r="J1828" s="678">
        <f t="shared" si="553"/>
        <v>11600</v>
      </c>
      <c r="K1828" s="675">
        <f t="shared" si="550"/>
        <v>58160</v>
      </c>
      <c r="L1828" s="1061"/>
      <c r="M1828" s="574"/>
      <c r="N1828" s="713"/>
      <c r="O1828" s="647"/>
      <c r="P1828" s="645"/>
      <c r="Q1828" s="574"/>
      <c r="R1828" s="574">
        <v>4</v>
      </c>
      <c r="S1828" s="900">
        <f t="shared" si="548"/>
        <v>0</v>
      </c>
      <c r="U1828" s="574"/>
    </row>
    <row r="1829" spans="1:21" ht="21.3">
      <c r="A1829" s="665"/>
      <c r="B1829" s="1114" t="s">
        <v>423</v>
      </c>
      <c r="C1829" s="902" t="s">
        <v>622</v>
      </c>
      <c r="D1829" s="1129"/>
      <c r="E1829" s="645">
        <f t="shared" si="555"/>
        <v>4</v>
      </c>
      <c r="F1829" s="625" t="s">
        <v>363</v>
      </c>
      <c r="G1829" s="620">
        <v>18705</v>
      </c>
      <c r="H1829" s="676">
        <f t="shared" si="554"/>
        <v>74820</v>
      </c>
      <c r="I1829" s="677">
        <v>4600</v>
      </c>
      <c r="J1829" s="678">
        <f t="shared" si="553"/>
        <v>18400</v>
      </c>
      <c r="K1829" s="675">
        <f t="shared" si="550"/>
        <v>93220</v>
      </c>
      <c r="L1829" s="1061"/>
      <c r="M1829" s="574"/>
      <c r="N1829" s="713"/>
      <c r="O1829" s="647"/>
      <c r="P1829" s="645"/>
      <c r="Q1829" s="574"/>
      <c r="R1829" s="574">
        <v>4</v>
      </c>
      <c r="S1829" s="900">
        <f t="shared" si="548"/>
        <v>0</v>
      </c>
      <c r="U1829" s="574"/>
    </row>
    <row r="1830" spans="1:21" ht="21.3">
      <c r="A1830" s="665"/>
      <c r="B1830" s="1114"/>
      <c r="C1830" s="902" t="s">
        <v>643</v>
      </c>
      <c r="D1830" s="1129"/>
      <c r="E1830" s="645">
        <f t="shared" si="555"/>
        <v>2</v>
      </c>
      <c r="F1830" s="625" t="s">
        <v>363</v>
      </c>
      <c r="G1830" s="620">
        <v>8750</v>
      </c>
      <c r="H1830" s="676">
        <f t="shared" si="554"/>
        <v>17500</v>
      </c>
      <c r="I1830" s="677">
        <v>2200</v>
      </c>
      <c r="J1830" s="678">
        <f t="shared" si="553"/>
        <v>4400</v>
      </c>
      <c r="K1830" s="675">
        <f t="shared" si="550"/>
        <v>21900</v>
      </c>
      <c r="L1830" s="1061"/>
      <c r="M1830" s="574"/>
      <c r="N1830" s="713"/>
      <c r="O1830" s="647"/>
      <c r="P1830" s="645"/>
      <c r="Q1830" s="574"/>
      <c r="R1830" s="574">
        <v>2</v>
      </c>
      <c r="S1830" s="900">
        <f t="shared" si="548"/>
        <v>0</v>
      </c>
      <c r="U1830" s="574"/>
    </row>
    <row r="1831" spans="1:21" ht="21.3">
      <c r="A1831" s="665"/>
      <c r="B1831" s="1114" t="s">
        <v>419</v>
      </c>
      <c r="C1831" s="2028" t="s">
        <v>618</v>
      </c>
      <c r="D1831" s="1129"/>
      <c r="E1831" s="645">
        <f t="shared" si="555"/>
        <v>4</v>
      </c>
      <c r="F1831" s="625" t="s">
        <v>363</v>
      </c>
      <c r="G1831" s="620">
        <v>24510</v>
      </c>
      <c r="H1831" s="676">
        <f t="shared" si="554"/>
        <v>98040</v>
      </c>
      <c r="I1831" s="677">
        <v>3500</v>
      </c>
      <c r="J1831" s="678">
        <f t="shared" si="553"/>
        <v>14000</v>
      </c>
      <c r="K1831" s="675">
        <f t="shared" si="550"/>
        <v>112040</v>
      </c>
      <c r="L1831" s="1061"/>
      <c r="M1831" s="574"/>
      <c r="N1831" s="713"/>
      <c r="O1831" s="647"/>
      <c r="P1831" s="645"/>
      <c r="Q1831" s="574"/>
      <c r="R1831" s="574">
        <v>4</v>
      </c>
      <c r="S1831" s="900">
        <f t="shared" si="548"/>
        <v>0</v>
      </c>
      <c r="U1831" s="574"/>
    </row>
    <row r="1832" spans="1:21" ht="21.3">
      <c r="A1832" s="665"/>
      <c r="B1832" s="1114" t="s">
        <v>420</v>
      </c>
      <c r="C1832" s="2028" t="s">
        <v>619</v>
      </c>
      <c r="D1832" s="1129"/>
      <c r="E1832" s="645">
        <f t="shared" si="555"/>
        <v>2</v>
      </c>
      <c r="F1832" s="625" t="s">
        <v>363</v>
      </c>
      <c r="G1832" s="620">
        <v>34531</v>
      </c>
      <c r="H1832" s="676">
        <f t="shared" si="554"/>
        <v>69062</v>
      </c>
      <c r="I1832" s="677">
        <v>6200</v>
      </c>
      <c r="J1832" s="678">
        <f t="shared" si="553"/>
        <v>12400</v>
      </c>
      <c r="K1832" s="675">
        <f t="shared" si="550"/>
        <v>81462</v>
      </c>
      <c r="L1832" s="1061"/>
      <c r="M1832" s="574"/>
      <c r="N1832" s="713"/>
      <c r="O1832" s="647"/>
      <c r="P1832" s="645"/>
      <c r="Q1832" s="574"/>
      <c r="R1832" s="574">
        <v>2</v>
      </c>
      <c r="S1832" s="900">
        <f t="shared" si="548"/>
        <v>0</v>
      </c>
      <c r="U1832" s="574"/>
    </row>
    <row r="1833" spans="1:21" ht="21.3">
      <c r="A1833" s="665"/>
      <c r="B1833" s="1114"/>
      <c r="C1833" s="902" t="s">
        <v>632</v>
      </c>
      <c r="D1833" s="1129"/>
      <c r="E1833" s="645"/>
      <c r="F1833" s="625" t="s">
        <v>363</v>
      </c>
      <c r="G1833" s="620">
        <v>46160</v>
      </c>
      <c r="H1833" s="676">
        <f>SUM(E1833*G1833)</f>
        <v>0</v>
      </c>
      <c r="I1833" s="677">
        <v>6400</v>
      </c>
      <c r="J1833" s="678">
        <f t="shared" si="553"/>
        <v>0</v>
      </c>
      <c r="K1833" s="675">
        <f t="shared" si="550"/>
        <v>0</v>
      </c>
      <c r="L1833" s="1061"/>
      <c r="M1833" s="574"/>
      <c r="N1833" s="713"/>
      <c r="O1833" s="647"/>
      <c r="P1833" s="645"/>
      <c r="Q1833" s="574"/>
      <c r="R1833" s="574">
        <v>2</v>
      </c>
      <c r="S1833" s="900">
        <f t="shared" si="548"/>
        <v>2</v>
      </c>
      <c r="U1833" s="574"/>
    </row>
    <row r="1834" spans="1:21" ht="21.3">
      <c r="A1834" s="665"/>
      <c r="B1834" s="1114"/>
      <c r="C1834" s="902" t="s">
        <v>645</v>
      </c>
      <c r="D1834" s="1129"/>
      <c r="E1834" s="645"/>
      <c r="F1834" s="625" t="s">
        <v>34</v>
      </c>
      <c r="G1834" s="620">
        <v>4500</v>
      </c>
      <c r="H1834" s="676">
        <f>SUM(E1834*G1834)</f>
        <v>0</v>
      </c>
      <c r="I1834" s="677">
        <v>0</v>
      </c>
      <c r="J1834" s="678">
        <f t="shared" si="553"/>
        <v>0</v>
      </c>
      <c r="K1834" s="675">
        <f t="shared" si="550"/>
        <v>0</v>
      </c>
      <c r="L1834" s="1061"/>
      <c r="M1834" s="574"/>
      <c r="N1834" s="713"/>
      <c r="O1834" s="647"/>
      <c r="P1834" s="645"/>
      <c r="Q1834" s="574"/>
      <c r="R1834" s="574">
        <v>256</v>
      </c>
      <c r="S1834" s="900">
        <f t="shared" si="548"/>
        <v>256</v>
      </c>
      <c r="U1834" s="574"/>
    </row>
    <row r="1835" spans="1:21" ht="21.3">
      <c r="A1835" s="665"/>
      <c r="B1835" s="1114" t="s">
        <v>445</v>
      </c>
      <c r="C1835" s="902" t="s">
        <v>653</v>
      </c>
      <c r="D1835" s="1129"/>
      <c r="E1835" s="637"/>
      <c r="F1835" s="625" t="s">
        <v>34</v>
      </c>
      <c r="G1835" s="620">
        <v>4500</v>
      </c>
      <c r="H1835" s="676">
        <f t="shared" si="554"/>
        <v>0</v>
      </c>
      <c r="I1835" s="677">
        <v>0</v>
      </c>
      <c r="J1835" s="678">
        <f t="shared" si="553"/>
        <v>0</v>
      </c>
      <c r="K1835" s="675">
        <f t="shared" si="550"/>
        <v>0</v>
      </c>
      <c r="L1835" s="1085"/>
      <c r="M1835" s="574"/>
      <c r="N1835" s="667"/>
      <c r="O1835" s="636"/>
      <c r="P1835" s="637"/>
      <c r="Q1835" s="574"/>
      <c r="R1835" s="574">
        <v>65</v>
      </c>
      <c r="S1835" s="900">
        <f t="shared" si="548"/>
        <v>65</v>
      </c>
      <c r="U1835" s="574"/>
    </row>
    <row r="1836" spans="1:21" ht="21.3">
      <c r="A1836" s="665"/>
      <c r="B1836" s="1114" t="s">
        <v>454</v>
      </c>
      <c r="C1836" s="902" t="s">
        <v>654</v>
      </c>
      <c r="D1836" s="1129"/>
      <c r="E1836" s="637"/>
      <c r="F1836" s="625" t="s">
        <v>34</v>
      </c>
      <c r="G1836" s="620">
        <v>4500</v>
      </c>
      <c r="H1836" s="676">
        <f t="shared" si="554"/>
        <v>0</v>
      </c>
      <c r="I1836" s="677">
        <v>0</v>
      </c>
      <c r="J1836" s="678">
        <f t="shared" si="553"/>
        <v>0</v>
      </c>
      <c r="K1836" s="675">
        <f t="shared" si="550"/>
        <v>0</v>
      </c>
      <c r="L1836" s="1085"/>
      <c r="M1836" s="574"/>
      <c r="N1836" s="667"/>
      <c r="O1836" s="636"/>
      <c r="P1836" s="637"/>
      <c r="Q1836" s="574"/>
      <c r="R1836" s="574">
        <v>69</v>
      </c>
      <c r="S1836" s="900">
        <f t="shared" si="548"/>
        <v>69</v>
      </c>
      <c r="U1836" s="574"/>
    </row>
    <row r="1837" spans="1:21" ht="21.3">
      <c r="A1837" s="665"/>
      <c r="B1837" s="1114" t="s">
        <v>455</v>
      </c>
      <c r="C1837" s="902" t="s">
        <v>646</v>
      </c>
      <c r="D1837" s="1129"/>
      <c r="E1837" s="637"/>
      <c r="F1837" s="625" t="s">
        <v>34</v>
      </c>
      <c r="G1837" s="620">
        <v>6800</v>
      </c>
      <c r="H1837" s="676">
        <f t="shared" si="554"/>
        <v>0</v>
      </c>
      <c r="I1837" s="677">
        <v>0</v>
      </c>
      <c r="J1837" s="678">
        <f t="shared" si="553"/>
        <v>0</v>
      </c>
      <c r="K1837" s="675">
        <f t="shared" si="550"/>
        <v>0</v>
      </c>
      <c r="L1837" s="1085"/>
      <c r="M1837" s="574"/>
      <c r="N1837" s="667"/>
      <c r="O1837" s="636"/>
      <c r="P1837" s="637"/>
      <c r="Q1837" s="574"/>
      <c r="R1837" s="574">
        <v>19</v>
      </c>
      <c r="S1837" s="900">
        <f t="shared" si="548"/>
        <v>19</v>
      </c>
      <c r="U1837" s="574"/>
    </row>
    <row r="1838" spans="1:21" ht="21.3">
      <c r="A1838" s="665"/>
      <c r="B1838" s="1114" t="s">
        <v>456</v>
      </c>
      <c r="C1838" s="902" t="s">
        <v>647</v>
      </c>
      <c r="D1838" s="1129"/>
      <c r="E1838" s="637"/>
      <c r="F1838" s="625" t="s">
        <v>34</v>
      </c>
      <c r="G1838" s="620">
        <v>6800</v>
      </c>
      <c r="H1838" s="676">
        <f t="shared" si="554"/>
        <v>0</v>
      </c>
      <c r="I1838" s="677">
        <v>0</v>
      </c>
      <c r="J1838" s="678">
        <f t="shared" si="553"/>
        <v>0</v>
      </c>
      <c r="K1838" s="675">
        <f t="shared" si="550"/>
        <v>0</v>
      </c>
      <c r="L1838" s="1085"/>
      <c r="M1838" s="574"/>
      <c r="N1838" s="667"/>
      <c r="O1838" s="636"/>
      <c r="P1838" s="637"/>
      <c r="Q1838" s="574"/>
      <c r="R1838" s="574">
        <v>20</v>
      </c>
      <c r="S1838" s="900">
        <f t="shared" si="548"/>
        <v>20</v>
      </c>
      <c r="U1838" s="574"/>
    </row>
    <row r="1839" spans="1:21" ht="21.3">
      <c r="A1839" s="665"/>
      <c r="B1839" s="1114"/>
      <c r="C1839" s="2028"/>
      <c r="D1839" s="1129"/>
      <c r="E1839" s="637"/>
      <c r="F1839" s="625"/>
      <c r="G1839" s="641"/>
      <c r="H1839" s="676">
        <f t="shared" si="554"/>
        <v>0</v>
      </c>
      <c r="I1839" s="677"/>
      <c r="J1839" s="678">
        <f t="shared" si="553"/>
        <v>0</v>
      </c>
      <c r="K1839" s="675">
        <f t="shared" si="550"/>
        <v>0</v>
      </c>
      <c r="L1839" s="1065"/>
      <c r="M1839" s="574"/>
      <c r="N1839" s="667"/>
      <c r="O1839" s="636"/>
      <c r="P1839" s="637"/>
      <c r="Q1839" s="574"/>
      <c r="R1839" s="574"/>
      <c r="S1839" s="900">
        <f t="shared" si="548"/>
        <v>0</v>
      </c>
      <c r="U1839" s="574"/>
    </row>
    <row r="1840" spans="1:21" ht="21.3">
      <c r="A1840" s="665" t="s">
        <v>459</v>
      </c>
      <c r="B1840" s="1111" t="s">
        <v>460</v>
      </c>
      <c r="C1840" s="2028"/>
      <c r="D1840" s="1129"/>
      <c r="E1840" s="637"/>
      <c r="F1840" s="625"/>
      <c r="G1840" s="641"/>
      <c r="H1840" s="676">
        <f t="shared" si="554"/>
        <v>0</v>
      </c>
      <c r="I1840" s="677"/>
      <c r="J1840" s="678">
        <f t="shared" si="553"/>
        <v>0</v>
      </c>
      <c r="K1840" s="675">
        <f t="shared" si="550"/>
        <v>0</v>
      </c>
      <c r="L1840" s="1065"/>
      <c r="M1840" s="900">
        <f>SUM(E1841:E1859)</f>
        <v>38</v>
      </c>
      <c r="N1840" s="667"/>
      <c r="O1840" s="636"/>
      <c r="P1840" s="637"/>
      <c r="Q1840" s="574"/>
      <c r="R1840" s="574"/>
      <c r="S1840" s="900">
        <f t="shared" si="548"/>
        <v>0</v>
      </c>
      <c r="U1840" s="574"/>
    </row>
    <row r="1841" spans="1:21" ht="21.3">
      <c r="A1841" s="665"/>
      <c r="B1841" s="1114" t="s">
        <v>417</v>
      </c>
      <c r="C1841" s="2028" t="s">
        <v>616</v>
      </c>
      <c r="D1841" s="1129"/>
      <c r="E1841" s="645">
        <f>+E1816</f>
        <v>4</v>
      </c>
      <c r="F1841" s="625" t="s">
        <v>363</v>
      </c>
      <c r="G1841" s="620">
        <v>88800</v>
      </c>
      <c r="H1841" s="676">
        <f t="shared" si="554"/>
        <v>355200</v>
      </c>
      <c r="I1841" s="677">
        <v>31000</v>
      </c>
      <c r="J1841" s="678">
        <f t="shared" si="553"/>
        <v>124000</v>
      </c>
      <c r="K1841" s="675">
        <f t="shared" si="550"/>
        <v>479200</v>
      </c>
      <c r="L1841" s="1061"/>
      <c r="M1841" s="574"/>
      <c r="N1841" s="713"/>
      <c r="O1841" s="647"/>
      <c r="P1841" s="645"/>
      <c r="Q1841" s="574"/>
      <c r="R1841" s="574">
        <v>6</v>
      </c>
      <c r="S1841" s="900">
        <f t="shared" si="548"/>
        <v>2</v>
      </c>
      <c r="U1841" s="574"/>
    </row>
    <row r="1842" spans="1:21" ht="21.3">
      <c r="A1842" s="665"/>
      <c r="B1842" s="1114" t="s">
        <v>418</v>
      </c>
      <c r="C1842" s="2028" t="s">
        <v>617</v>
      </c>
      <c r="D1842" s="1129"/>
      <c r="E1842" s="645">
        <f t="shared" ref="E1842:E1843" si="556">+E1817</f>
        <v>2</v>
      </c>
      <c r="F1842" s="625" t="s">
        <v>363</v>
      </c>
      <c r="G1842" s="620">
        <v>44140</v>
      </c>
      <c r="H1842" s="676">
        <f t="shared" si="554"/>
        <v>88280</v>
      </c>
      <c r="I1842" s="677">
        <v>15400</v>
      </c>
      <c r="J1842" s="678">
        <f t="shared" si="553"/>
        <v>30800</v>
      </c>
      <c r="K1842" s="675">
        <f t="shared" si="550"/>
        <v>119080</v>
      </c>
      <c r="L1842" s="1061"/>
      <c r="M1842" s="574"/>
      <c r="N1842" s="713"/>
      <c r="O1842" s="647"/>
      <c r="P1842" s="645"/>
      <c r="Q1842" s="574"/>
      <c r="R1842" s="574">
        <v>2</v>
      </c>
      <c r="S1842" s="900">
        <f t="shared" si="548"/>
        <v>0</v>
      </c>
      <c r="U1842" s="574"/>
    </row>
    <row r="1843" spans="1:21" ht="21.3">
      <c r="A1843" s="665"/>
      <c r="B1843" s="1114" t="s">
        <v>435</v>
      </c>
      <c r="C1843" s="2028" t="s">
        <v>626</v>
      </c>
      <c r="D1843" s="1129"/>
      <c r="E1843" s="645">
        <f t="shared" si="556"/>
        <v>2</v>
      </c>
      <c r="F1843" s="625" t="s">
        <v>363</v>
      </c>
      <c r="G1843" s="620">
        <v>36420</v>
      </c>
      <c r="H1843" s="676">
        <f t="shared" si="554"/>
        <v>72840</v>
      </c>
      <c r="I1843" s="677">
        <v>12700</v>
      </c>
      <c r="J1843" s="678">
        <f t="shared" si="553"/>
        <v>25400</v>
      </c>
      <c r="K1843" s="675">
        <f t="shared" si="550"/>
        <v>98240</v>
      </c>
      <c r="L1843" s="1061"/>
      <c r="M1843" s="574"/>
      <c r="N1843" s="713"/>
      <c r="O1843" s="647"/>
      <c r="P1843" s="645"/>
      <c r="Q1843" s="574"/>
      <c r="R1843" s="574">
        <v>2</v>
      </c>
      <c r="S1843" s="900">
        <f t="shared" si="548"/>
        <v>0</v>
      </c>
      <c r="U1843" s="574"/>
    </row>
    <row r="1844" spans="1:21" ht="21.3">
      <c r="A1844" s="665"/>
      <c r="B1844" s="1114"/>
      <c r="C1844" s="902" t="s">
        <v>628</v>
      </c>
      <c r="D1844" s="1129"/>
      <c r="E1844" s="645"/>
      <c r="F1844" s="625" t="s">
        <v>363</v>
      </c>
      <c r="G1844" s="620">
        <v>77650</v>
      </c>
      <c r="H1844" s="676">
        <f>SUM(E1844*G1844)</f>
        <v>0</v>
      </c>
      <c r="I1844" s="677">
        <v>27100</v>
      </c>
      <c r="J1844" s="678">
        <f>SUM(E1844*I1844)</f>
        <v>0</v>
      </c>
      <c r="K1844" s="675">
        <f t="shared" si="550"/>
        <v>0</v>
      </c>
      <c r="L1844" s="1061"/>
      <c r="M1844" s="574"/>
      <c r="N1844" s="713"/>
      <c r="O1844" s="647"/>
      <c r="P1844" s="645"/>
      <c r="Q1844" s="574"/>
      <c r="R1844" s="574">
        <v>9</v>
      </c>
      <c r="S1844" s="900">
        <f t="shared" si="548"/>
        <v>9</v>
      </c>
      <c r="U1844" s="574"/>
    </row>
    <row r="1845" spans="1:21" ht="21.3">
      <c r="A1845" s="665"/>
      <c r="B1845" s="1114"/>
      <c r="C1845" s="902" t="s">
        <v>630</v>
      </c>
      <c r="D1845" s="1129"/>
      <c r="E1845" s="645"/>
      <c r="F1845" s="625" t="s">
        <v>363</v>
      </c>
      <c r="G1845" s="620">
        <v>45060</v>
      </c>
      <c r="H1845" s="676">
        <f t="shared" ref="H1845" si="557">SUM(E1845*G1845)</f>
        <v>0</v>
      </c>
      <c r="I1845" s="677">
        <v>15700</v>
      </c>
      <c r="J1845" s="678">
        <f t="shared" ref="J1845" si="558">SUM(E1845*I1845)</f>
        <v>0</v>
      </c>
      <c r="K1845" s="675">
        <f t="shared" si="550"/>
        <v>0</v>
      </c>
      <c r="L1845" s="1061"/>
      <c r="M1845" s="574"/>
      <c r="N1845" s="713"/>
      <c r="O1845" s="647"/>
      <c r="P1845" s="645"/>
      <c r="Q1845" s="574"/>
      <c r="R1845" s="574">
        <v>8</v>
      </c>
      <c r="S1845" s="900">
        <f t="shared" si="548"/>
        <v>8</v>
      </c>
      <c r="U1845" s="574"/>
    </row>
    <row r="1846" spans="1:21" ht="21.3">
      <c r="A1846" s="665"/>
      <c r="B1846" s="1114" t="s">
        <v>439</v>
      </c>
      <c r="C1846" s="902" t="s">
        <v>635</v>
      </c>
      <c r="D1846" s="1129"/>
      <c r="E1846" s="645"/>
      <c r="F1846" s="625" t="s">
        <v>363</v>
      </c>
      <c r="G1846" s="620">
        <v>18040</v>
      </c>
      <c r="H1846" s="676">
        <f t="shared" si="554"/>
        <v>0</v>
      </c>
      <c r="I1846" s="677">
        <v>3000</v>
      </c>
      <c r="J1846" s="678">
        <f t="shared" si="553"/>
        <v>0</v>
      </c>
      <c r="K1846" s="675">
        <f t="shared" si="550"/>
        <v>0</v>
      </c>
      <c r="L1846" s="1061"/>
      <c r="M1846" s="574"/>
      <c r="N1846" s="713"/>
      <c r="O1846" s="647"/>
      <c r="P1846" s="645"/>
      <c r="Q1846" s="574"/>
      <c r="R1846" s="574">
        <v>60</v>
      </c>
      <c r="S1846" s="900">
        <f t="shared" si="548"/>
        <v>60</v>
      </c>
      <c r="U1846" s="574"/>
    </row>
    <row r="1847" spans="1:21" ht="21.3">
      <c r="A1847" s="665"/>
      <c r="B1847" s="1114" t="s">
        <v>440</v>
      </c>
      <c r="C1847" s="902" t="s">
        <v>636</v>
      </c>
      <c r="D1847" s="1129"/>
      <c r="E1847" s="645"/>
      <c r="F1847" s="625" t="s">
        <v>363</v>
      </c>
      <c r="G1847" s="620">
        <v>17150</v>
      </c>
      <c r="H1847" s="676">
        <f t="shared" si="554"/>
        <v>0</v>
      </c>
      <c r="I1847" s="677">
        <v>2800</v>
      </c>
      <c r="J1847" s="678">
        <f t="shared" si="553"/>
        <v>0</v>
      </c>
      <c r="K1847" s="675">
        <f t="shared" si="550"/>
        <v>0</v>
      </c>
      <c r="L1847" s="1061"/>
      <c r="M1847" s="574"/>
      <c r="N1847" s="713"/>
      <c r="O1847" s="647"/>
      <c r="P1847" s="645"/>
      <c r="Q1847" s="574"/>
      <c r="R1847" s="574">
        <v>21</v>
      </c>
      <c r="S1847" s="900">
        <f t="shared" si="548"/>
        <v>21</v>
      </c>
      <c r="U1847" s="574"/>
    </row>
    <row r="1848" spans="1:21" ht="21.3">
      <c r="A1848" s="665"/>
      <c r="B1848" s="1114" t="s">
        <v>441</v>
      </c>
      <c r="C1848" s="902" t="s">
        <v>637</v>
      </c>
      <c r="D1848" s="1129"/>
      <c r="E1848" s="645"/>
      <c r="F1848" s="625" t="s">
        <v>363</v>
      </c>
      <c r="G1848" s="620">
        <v>18040</v>
      </c>
      <c r="H1848" s="676">
        <f t="shared" si="554"/>
        <v>0</v>
      </c>
      <c r="I1848" s="677">
        <v>3000</v>
      </c>
      <c r="J1848" s="678">
        <f t="shared" si="553"/>
        <v>0</v>
      </c>
      <c r="K1848" s="675">
        <f t="shared" si="550"/>
        <v>0</v>
      </c>
      <c r="L1848" s="1061"/>
      <c r="M1848" s="574"/>
      <c r="N1848" s="713"/>
      <c r="O1848" s="647"/>
      <c r="P1848" s="645"/>
      <c r="Q1848" s="574"/>
      <c r="R1848" s="574">
        <v>17</v>
      </c>
      <c r="S1848" s="900">
        <f t="shared" si="548"/>
        <v>17</v>
      </c>
      <c r="U1848" s="574"/>
    </row>
    <row r="1849" spans="1:21" ht="21.3">
      <c r="A1849" s="665"/>
      <c r="B1849" s="1114" t="s">
        <v>443</v>
      </c>
      <c r="C1849" s="902" t="s">
        <v>651</v>
      </c>
      <c r="D1849" s="1129"/>
      <c r="E1849" s="645"/>
      <c r="F1849" s="625" t="s">
        <v>363</v>
      </c>
      <c r="G1849" s="620">
        <v>40290</v>
      </c>
      <c r="H1849" s="676">
        <f t="shared" si="554"/>
        <v>0</v>
      </c>
      <c r="I1849" s="677">
        <v>6700</v>
      </c>
      <c r="J1849" s="678">
        <f t="shared" si="553"/>
        <v>0</v>
      </c>
      <c r="K1849" s="675">
        <f t="shared" si="550"/>
        <v>0</v>
      </c>
      <c r="L1849" s="1061"/>
      <c r="M1849" s="574"/>
      <c r="N1849" s="713"/>
      <c r="O1849" s="647"/>
      <c r="P1849" s="645"/>
      <c r="Q1849" s="574"/>
      <c r="R1849" s="574">
        <v>7</v>
      </c>
      <c r="S1849" s="900">
        <f t="shared" si="548"/>
        <v>7</v>
      </c>
      <c r="U1849" s="574"/>
    </row>
    <row r="1850" spans="1:21" ht="21.3">
      <c r="A1850" s="665"/>
      <c r="B1850" s="1114" t="s">
        <v>444</v>
      </c>
      <c r="C1850" s="902" t="s">
        <v>639</v>
      </c>
      <c r="D1850" s="1129"/>
      <c r="E1850" s="645"/>
      <c r="F1850" s="625" t="s">
        <v>363</v>
      </c>
      <c r="G1850" s="620">
        <v>51820</v>
      </c>
      <c r="H1850" s="676">
        <f t="shared" si="554"/>
        <v>0</v>
      </c>
      <c r="I1850" s="677">
        <v>12900</v>
      </c>
      <c r="J1850" s="678">
        <f t="shared" si="553"/>
        <v>0</v>
      </c>
      <c r="K1850" s="675">
        <f t="shared" si="550"/>
        <v>0</v>
      </c>
      <c r="L1850" s="1061"/>
      <c r="M1850" s="574"/>
      <c r="N1850" s="713"/>
      <c r="O1850" s="647"/>
      <c r="P1850" s="645"/>
      <c r="Q1850" s="574"/>
      <c r="R1850" s="574">
        <v>14</v>
      </c>
      <c r="S1850" s="900">
        <f t="shared" si="548"/>
        <v>14</v>
      </c>
      <c r="U1850" s="574"/>
    </row>
    <row r="1851" spans="1:21" ht="21.3">
      <c r="A1851" s="665"/>
      <c r="B1851" s="1114" t="s">
        <v>421</v>
      </c>
      <c r="C1851" s="902" t="s">
        <v>620</v>
      </c>
      <c r="D1851" s="1129"/>
      <c r="E1851" s="645">
        <f>+E1826</f>
        <v>10</v>
      </c>
      <c r="F1851" s="625" t="s">
        <v>363</v>
      </c>
      <c r="G1851" s="620">
        <v>12131</v>
      </c>
      <c r="H1851" s="676">
        <f t="shared" si="554"/>
        <v>121310</v>
      </c>
      <c r="I1851" s="677">
        <v>3000</v>
      </c>
      <c r="J1851" s="678">
        <f t="shared" si="553"/>
        <v>30000</v>
      </c>
      <c r="K1851" s="675">
        <f t="shared" si="550"/>
        <v>151310</v>
      </c>
      <c r="L1851" s="1061"/>
      <c r="M1851" s="574"/>
      <c r="N1851" s="713"/>
      <c r="O1851" s="647"/>
      <c r="P1851" s="645"/>
      <c r="Q1851" s="574"/>
      <c r="R1851" s="574">
        <v>10</v>
      </c>
      <c r="S1851" s="900">
        <f t="shared" si="548"/>
        <v>0</v>
      </c>
      <c r="U1851" s="574"/>
    </row>
    <row r="1852" spans="1:21" ht="21.3">
      <c r="A1852" s="665"/>
      <c r="B1852" s="1114" t="s">
        <v>422</v>
      </c>
      <c r="C1852" s="902" t="s">
        <v>621</v>
      </c>
      <c r="D1852" s="1129"/>
      <c r="E1852" s="645">
        <f t="shared" ref="E1852:E1853" si="559">+E1827</f>
        <v>4</v>
      </c>
      <c r="F1852" s="625" t="s">
        <v>363</v>
      </c>
      <c r="G1852" s="620">
        <v>24200</v>
      </c>
      <c r="H1852" s="676">
        <f t="shared" si="554"/>
        <v>96800</v>
      </c>
      <c r="I1852" s="677">
        <v>5400</v>
      </c>
      <c r="J1852" s="678">
        <f t="shared" si="553"/>
        <v>21600</v>
      </c>
      <c r="K1852" s="675">
        <f t="shared" si="550"/>
        <v>118400</v>
      </c>
      <c r="L1852" s="1061"/>
      <c r="M1852" s="574"/>
      <c r="N1852" s="713"/>
      <c r="O1852" s="647"/>
      <c r="P1852" s="645"/>
      <c r="Q1852" s="574"/>
      <c r="R1852" s="574">
        <v>4</v>
      </c>
      <c r="S1852" s="900">
        <f t="shared" si="548"/>
        <v>0</v>
      </c>
      <c r="U1852" s="574"/>
    </row>
    <row r="1853" spans="1:21" ht="21.3">
      <c r="A1853" s="665"/>
      <c r="B1853" s="1114" t="s">
        <v>428</v>
      </c>
      <c r="C1853" s="902" t="s">
        <v>624</v>
      </c>
      <c r="D1853" s="1129"/>
      <c r="E1853" s="645">
        <f t="shared" si="559"/>
        <v>4</v>
      </c>
      <c r="F1853" s="625" t="s">
        <v>363</v>
      </c>
      <c r="G1853" s="620">
        <v>11640</v>
      </c>
      <c r="H1853" s="676">
        <f t="shared" si="554"/>
        <v>46560</v>
      </c>
      <c r="I1853" s="677">
        <v>2900</v>
      </c>
      <c r="J1853" s="678">
        <f t="shared" si="553"/>
        <v>11600</v>
      </c>
      <c r="K1853" s="675">
        <f t="shared" si="550"/>
        <v>58160</v>
      </c>
      <c r="L1853" s="1061"/>
      <c r="M1853" s="574"/>
      <c r="N1853" s="713"/>
      <c r="O1853" s="647"/>
      <c r="P1853" s="645"/>
      <c r="Q1853" s="574"/>
      <c r="R1853" s="574">
        <v>4</v>
      </c>
      <c r="S1853" s="900">
        <f t="shared" si="548"/>
        <v>0</v>
      </c>
      <c r="U1853" s="574"/>
    </row>
    <row r="1854" spans="1:21" ht="21.3">
      <c r="A1854" s="665"/>
      <c r="B1854" s="1114"/>
      <c r="C1854" s="902"/>
      <c r="D1854" s="1129"/>
      <c r="E1854" s="645"/>
      <c r="F1854" s="625"/>
      <c r="G1854" s="620"/>
      <c r="H1854" s="676"/>
      <c r="I1854" s="677"/>
      <c r="J1854" s="678"/>
      <c r="K1854" s="675"/>
      <c r="L1854" s="1061"/>
      <c r="M1854" s="574"/>
      <c r="N1854" s="713"/>
      <c r="O1854" s="647"/>
      <c r="P1854" s="645"/>
      <c r="Q1854" s="574"/>
      <c r="R1854" s="574"/>
      <c r="S1854" s="900"/>
      <c r="U1854" s="574"/>
    </row>
    <row r="1855" spans="1:21" ht="21.3">
      <c r="A1855" s="665"/>
      <c r="B1855" s="1114" t="s">
        <v>423</v>
      </c>
      <c r="C1855" s="902" t="s">
        <v>622</v>
      </c>
      <c r="D1855" s="1129"/>
      <c r="E1855" s="645">
        <f>+E1829</f>
        <v>4</v>
      </c>
      <c r="F1855" s="625" t="s">
        <v>363</v>
      </c>
      <c r="G1855" s="620">
        <v>18705</v>
      </c>
      <c r="H1855" s="676">
        <f t="shared" si="554"/>
        <v>74820</v>
      </c>
      <c r="I1855" s="677">
        <v>4600</v>
      </c>
      <c r="J1855" s="678">
        <f t="shared" si="553"/>
        <v>18400</v>
      </c>
      <c r="K1855" s="675">
        <f t="shared" si="550"/>
        <v>93220</v>
      </c>
      <c r="L1855" s="1061"/>
      <c r="M1855" s="574"/>
      <c r="N1855" s="713"/>
      <c r="O1855" s="647"/>
      <c r="P1855" s="645"/>
      <c r="Q1855" s="574"/>
      <c r="R1855" s="574">
        <v>4</v>
      </c>
      <c r="S1855" s="900">
        <f t="shared" si="548"/>
        <v>0</v>
      </c>
      <c r="U1855" s="574"/>
    </row>
    <row r="1856" spans="1:21" ht="21.3">
      <c r="A1856" s="665"/>
      <c r="B1856" s="1114"/>
      <c r="C1856" s="902" t="s">
        <v>643</v>
      </c>
      <c r="D1856" s="1129"/>
      <c r="E1856" s="645">
        <f>+E1830</f>
        <v>2</v>
      </c>
      <c r="F1856" s="625" t="s">
        <v>363</v>
      </c>
      <c r="G1856" s="620">
        <v>8750</v>
      </c>
      <c r="H1856" s="676">
        <f t="shared" si="554"/>
        <v>17500</v>
      </c>
      <c r="I1856" s="677">
        <v>2200</v>
      </c>
      <c r="J1856" s="678">
        <f t="shared" si="553"/>
        <v>4400</v>
      </c>
      <c r="K1856" s="675">
        <f t="shared" si="550"/>
        <v>21900</v>
      </c>
      <c r="L1856" s="1061"/>
      <c r="M1856" s="574"/>
      <c r="N1856" s="713"/>
      <c r="O1856" s="647"/>
      <c r="P1856" s="645"/>
      <c r="Q1856" s="574"/>
      <c r="R1856" s="574">
        <v>2</v>
      </c>
      <c r="S1856" s="900">
        <f t="shared" si="548"/>
        <v>0</v>
      </c>
      <c r="U1856" s="574"/>
    </row>
    <row r="1857" spans="1:21" ht="21.3">
      <c r="A1857" s="665"/>
      <c r="B1857" s="1114" t="s">
        <v>419</v>
      </c>
      <c r="C1857" s="2028" t="s">
        <v>618</v>
      </c>
      <c r="D1857" s="1129"/>
      <c r="E1857" s="645">
        <f>+E1831</f>
        <v>4</v>
      </c>
      <c r="F1857" s="625" t="s">
        <v>363</v>
      </c>
      <c r="G1857" s="620">
        <v>24510</v>
      </c>
      <c r="H1857" s="676">
        <f t="shared" si="554"/>
        <v>98040</v>
      </c>
      <c r="I1857" s="677">
        <v>3500</v>
      </c>
      <c r="J1857" s="678">
        <f t="shared" si="553"/>
        <v>14000</v>
      </c>
      <c r="K1857" s="675">
        <f t="shared" si="550"/>
        <v>112040</v>
      </c>
      <c r="L1857" s="1061"/>
      <c r="M1857" s="574"/>
      <c r="N1857" s="713"/>
      <c r="O1857" s="647"/>
      <c r="P1857" s="645"/>
      <c r="Q1857" s="574"/>
      <c r="R1857" s="574">
        <v>4</v>
      </c>
      <c r="S1857" s="900">
        <f t="shared" si="548"/>
        <v>0</v>
      </c>
      <c r="U1857" s="574"/>
    </row>
    <row r="1858" spans="1:21" ht="21.3">
      <c r="A1858" s="665"/>
      <c r="B1858" s="1114" t="s">
        <v>420</v>
      </c>
      <c r="C1858" s="2028" t="s">
        <v>619</v>
      </c>
      <c r="D1858" s="1129"/>
      <c r="E1858" s="645">
        <f>+E1832</f>
        <v>2</v>
      </c>
      <c r="F1858" s="625" t="s">
        <v>363</v>
      </c>
      <c r="G1858" s="620">
        <v>34531</v>
      </c>
      <c r="H1858" s="676">
        <f t="shared" si="554"/>
        <v>69062</v>
      </c>
      <c r="I1858" s="677">
        <v>6200</v>
      </c>
      <c r="J1858" s="678">
        <f t="shared" si="553"/>
        <v>12400</v>
      </c>
      <c r="K1858" s="675">
        <f t="shared" si="550"/>
        <v>81462</v>
      </c>
      <c r="L1858" s="1061"/>
      <c r="M1858" s="574"/>
      <c r="N1858" s="713"/>
      <c r="O1858" s="647"/>
      <c r="P1858" s="645"/>
      <c r="Q1858" s="574"/>
      <c r="R1858" s="574">
        <v>2</v>
      </c>
      <c r="S1858" s="900">
        <f t="shared" si="548"/>
        <v>0</v>
      </c>
      <c r="U1858" s="574"/>
    </row>
    <row r="1859" spans="1:21" ht="21.3">
      <c r="A1859" s="665"/>
      <c r="B1859" s="1114"/>
      <c r="C1859" s="902" t="s">
        <v>632</v>
      </c>
      <c r="D1859" s="1129"/>
      <c r="E1859" s="645"/>
      <c r="F1859" s="625" t="s">
        <v>363</v>
      </c>
      <c r="G1859" s="620">
        <v>46160</v>
      </c>
      <c r="H1859" s="676">
        <f>SUM(E1859*G1859)</f>
        <v>0</v>
      </c>
      <c r="I1859" s="677">
        <v>6400</v>
      </c>
      <c r="J1859" s="678">
        <f t="shared" si="553"/>
        <v>0</v>
      </c>
      <c r="K1859" s="675">
        <f t="shared" si="550"/>
        <v>0</v>
      </c>
      <c r="L1859" s="1061"/>
      <c r="M1859" s="574"/>
      <c r="N1859" s="713"/>
      <c r="O1859" s="647"/>
      <c r="P1859" s="645"/>
      <c r="Q1859" s="574"/>
      <c r="R1859" s="574">
        <v>2</v>
      </c>
      <c r="S1859" s="900">
        <f t="shared" si="548"/>
        <v>2</v>
      </c>
      <c r="U1859" s="574"/>
    </row>
    <row r="1860" spans="1:21" ht="21.3">
      <c r="A1860" s="665"/>
      <c r="B1860" s="1114"/>
      <c r="C1860" s="902" t="s">
        <v>645</v>
      </c>
      <c r="D1860" s="1129"/>
      <c r="E1860" s="645"/>
      <c r="F1860" s="625" t="s">
        <v>34</v>
      </c>
      <c r="G1860" s="620">
        <v>4500</v>
      </c>
      <c r="H1860" s="676">
        <f>SUM(E1860*G1860)</f>
        <v>0</v>
      </c>
      <c r="I1860" s="677">
        <v>0</v>
      </c>
      <c r="J1860" s="678">
        <f t="shared" si="553"/>
        <v>0</v>
      </c>
      <c r="K1860" s="675">
        <f t="shared" si="550"/>
        <v>0</v>
      </c>
      <c r="L1860" s="1061"/>
      <c r="M1860" s="574"/>
      <c r="N1860" s="713"/>
      <c r="O1860" s="647"/>
      <c r="P1860" s="645"/>
      <c r="Q1860" s="574"/>
      <c r="R1860" s="574">
        <v>297</v>
      </c>
      <c r="S1860" s="900">
        <f t="shared" si="548"/>
        <v>297</v>
      </c>
      <c r="U1860" s="574"/>
    </row>
    <row r="1861" spans="1:21" ht="21.3">
      <c r="A1861" s="665"/>
      <c r="B1861" s="1114" t="s">
        <v>445</v>
      </c>
      <c r="C1861" s="902" t="s">
        <v>653</v>
      </c>
      <c r="D1861" s="1129"/>
      <c r="E1861" s="637"/>
      <c r="F1861" s="625" t="s">
        <v>34</v>
      </c>
      <c r="G1861" s="620">
        <v>4500</v>
      </c>
      <c r="H1861" s="676">
        <f t="shared" si="554"/>
        <v>0</v>
      </c>
      <c r="I1861" s="677">
        <v>0</v>
      </c>
      <c r="J1861" s="678">
        <f t="shared" si="553"/>
        <v>0</v>
      </c>
      <c r="K1861" s="675">
        <f t="shared" si="550"/>
        <v>0</v>
      </c>
      <c r="L1861" s="1085"/>
      <c r="M1861" s="574"/>
      <c r="N1861" s="667"/>
      <c r="O1861" s="636"/>
      <c r="P1861" s="637"/>
      <c r="Q1861" s="574"/>
      <c r="R1861" s="574">
        <v>65</v>
      </c>
      <c r="S1861" s="900">
        <f t="shared" si="548"/>
        <v>65</v>
      </c>
      <c r="U1861" s="574"/>
    </row>
    <row r="1862" spans="1:21" ht="21.3">
      <c r="A1862" s="665"/>
      <c r="B1862" s="1114" t="s">
        <v>454</v>
      </c>
      <c r="C1862" s="902" t="s">
        <v>654</v>
      </c>
      <c r="D1862" s="1129"/>
      <c r="E1862" s="637"/>
      <c r="F1862" s="625" t="s">
        <v>34</v>
      </c>
      <c r="G1862" s="620">
        <v>4500</v>
      </c>
      <c r="H1862" s="676">
        <f t="shared" si="554"/>
        <v>0</v>
      </c>
      <c r="I1862" s="677">
        <v>0</v>
      </c>
      <c r="J1862" s="678">
        <f t="shared" si="553"/>
        <v>0</v>
      </c>
      <c r="K1862" s="675">
        <f t="shared" si="550"/>
        <v>0</v>
      </c>
      <c r="L1862" s="1085"/>
      <c r="M1862" s="574"/>
      <c r="N1862" s="667"/>
      <c r="O1862" s="636"/>
      <c r="P1862" s="637"/>
      <c r="Q1862" s="574"/>
      <c r="R1862" s="574">
        <v>69</v>
      </c>
      <c r="S1862" s="900">
        <f t="shared" si="548"/>
        <v>69</v>
      </c>
      <c r="U1862" s="574"/>
    </row>
    <row r="1863" spans="1:21" ht="21.3">
      <c r="A1863" s="665"/>
      <c r="B1863" s="1114" t="s">
        <v>455</v>
      </c>
      <c r="C1863" s="902" t="s">
        <v>646</v>
      </c>
      <c r="D1863" s="1129"/>
      <c r="E1863" s="637"/>
      <c r="F1863" s="625" t="s">
        <v>34</v>
      </c>
      <c r="G1863" s="620">
        <v>6800</v>
      </c>
      <c r="H1863" s="676">
        <f t="shared" si="554"/>
        <v>0</v>
      </c>
      <c r="I1863" s="677">
        <v>0</v>
      </c>
      <c r="J1863" s="678">
        <f t="shared" si="553"/>
        <v>0</v>
      </c>
      <c r="K1863" s="675">
        <f t="shared" si="550"/>
        <v>0</v>
      </c>
      <c r="L1863" s="1085"/>
      <c r="M1863" s="574"/>
      <c r="N1863" s="667"/>
      <c r="O1863" s="636"/>
      <c r="P1863" s="637"/>
      <c r="Q1863" s="574"/>
      <c r="R1863" s="574">
        <v>19</v>
      </c>
      <c r="S1863" s="900">
        <f t="shared" si="548"/>
        <v>19</v>
      </c>
      <c r="U1863" s="574"/>
    </row>
    <row r="1864" spans="1:21" ht="21.3">
      <c r="A1864" s="665"/>
      <c r="B1864" s="1114" t="s">
        <v>456</v>
      </c>
      <c r="C1864" s="902" t="s">
        <v>647</v>
      </c>
      <c r="D1864" s="1129"/>
      <c r="E1864" s="637"/>
      <c r="F1864" s="625" t="s">
        <v>34</v>
      </c>
      <c r="G1864" s="620">
        <v>6800</v>
      </c>
      <c r="H1864" s="676">
        <f t="shared" si="554"/>
        <v>0</v>
      </c>
      <c r="I1864" s="677">
        <v>0</v>
      </c>
      <c r="J1864" s="678">
        <f t="shared" si="553"/>
        <v>0</v>
      </c>
      <c r="K1864" s="675">
        <f t="shared" si="550"/>
        <v>0</v>
      </c>
      <c r="L1864" s="1085"/>
      <c r="M1864" s="574"/>
      <c r="N1864" s="667"/>
      <c r="O1864" s="636"/>
      <c r="P1864" s="637"/>
      <c r="Q1864" s="574"/>
      <c r="R1864" s="574">
        <v>20</v>
      </c>
      <c r="S1864" s="900">
        <f t="shared" ref="S1864:S1928" si="560">+R1864-E1864</f>
        <v>20</v>
      </c>
      <c r="U1864" s="574"/>
    </row>
    <row r="1865" spans="1:21" ht="21.3">
      <c r="A1865" s="665"/>
      <c r="B1865" s="1114"/>
      <c r="C1865" s="2028"/>
      <c r="D1865" s="1129"/>
      <c r="E1865" s="637"/>
      <c r="F1865" s="625"/>
      <c r="G1865" s="641"/>
      <c r="H1865" s="676">
        <f t="shared" si="554"/>
        <v>0</v>
      </c>
      <c r="I1865" s="677"/>
      <c r="J1865" s="678">
        <f t="shared" si="553"/>
        <v>0</v>
      </c>
      <c r="K1865" s="675">
        <f t="shared" si="550"/>
        <v>0</v>
      </c>
      <c r="L1865" s="1065"/>
      <c r="M1865" s="574"/>
      <c r="N1865" s="667"/>
      <c r="O1865" s="636"/>
      <c r="P1865" s="637"/>
      <c r="Q1865" s="574"/>
      <c r="R1865" s="574"/>
      <c r="S1865" s="900">
        <f t="shared" si="560"/>
        <v>0</v>
      </c>
      <c r="U1865" s="574"/>
    </row>
    <row r="1866" spans="1:21" ht="21.3">
      <c r="A1866" s="665" t="s">
        <v>461</v>
      </c>
      <c r="B1866" s="1111" t="s">
        <v>462</v>
      </c>
      <c r="C1866" s="2028"/>
      <c r="D1866" s="1129"/>
      <c r="E1866" s="637"/>
      <c r="F1866" s="625"/>
      <c r="G1866" s="641"/>
      <c r="H1866" s="676">
        <f t="shared" si="554"/>
        <v>0</v>
      </c>
      <c r="I1866" s="677"/>
      <c r="J1866" s="678">
        <f t="shared" si="553"/>
        <v>0</v>
      </c>
      <c r="K1866" s="675">
        <f t="shared" si="550"/>
        <v>0</v>
      </c>
      <c r="L1866" s="1065"/>
      <c r="M1866" s="900">
        <f>SUM(E1867:E1884)</f>
        <v>38</v>
      </c>
      <c r="N1866" s="667"/>
      <c r="O1866" s="636"/>
      <c r="P1866" s="637"/>
      <c r="Q1866" s="574"/>
      <c r="R1866" s="574"/>
      <c r="S1866" s="900">
        <f t="shared" si="560"/>
        <v>0</v>
      </c>
      <c r="U1866" s="574"/>
    </row>
    <row r="1867" spans="1:21" ht="21.3">
      <c r="A1867" s="665"/>
      <c r="B1867" s="1114" t="s">
        <v>417</v>
      </c>
      <c r="C1867" s="2028" t="s">
        <v>616</v>
      </c>
      <c r="D1867" s="1129"/>
      <c r="E1867" s="645">
        <f>+E1841</f>
        <v>4</v>
      </c>
      <c r="F1867" s="625" t="s">
        <v>363</v>
      </c>
      <c r="G1867" s="620">
        <v>88800</v>
      </c>
      <c r="H1867" s="676">
        <f t="shared" si="554"/>
        <v>355200</v>
      </c>
      <c r="I1867" s="677">
        <v>31000</v>
      </c>
      <c r="J1867" s="678">
        <f t="shared" si="553"/>
        <v>124000</v>
      </c>
      <c r="K1867" s="675">
        <f t="shared" si="550"/>
        <v>479200</v>
      </c>
      <c r="L1867" s="1061"/>
      <c r="M1867" s="574"/>
      <c r="N1867" s="713"/>
      <c r="O1867" s="647"/>
      <c r="P1867" s="645"/>
      <c r="Q1867" s="574"/>
      <c r="R1867" s="574">
        <v>6</v>
      </c>
      <c r="S1867" s="900">
        <f t="shared" si="560"/>
        <v>2</v>
      </c>
      <c r="U1867" s="574"/>
    </row>
    <row r="1868" spans="1:21" ht="21.3">
      <c r="A1868" s="665"/>
      <c r="B1868" s="1114" t="s">
        <v>418</v>
      </c>
      <c r="C1868" s="2028" t="s">
        <v>617</v>
      </c>
      <c r="D1868" s="1129"/>
      <c r="E1868" s="645">
        <f>+E1842</f>
        <v>2</v>
      </c>
      <c r="F1868" s="625" t="s">
        <v>363</v>
      </c>
      <c r="G1868" s="620">
        <v>44140</v>
      </c>
      <c r="H1868" s="676">
        <f t="shared" si="554"/>
        <v>88280</v>
      </c>
      <c r="I1868" s="677">
        <v>15400</v>
      </c>
      <c r="J1868" s="678">
        <f t="shared" si="553"/>
        <v>30800</v>
      </c>
      <c r="K1868" s="675">
        <f t="shared" si="550"/>
        <v>119080</v>
      </c>
      <c r="L1868" s="1061"/>
      <c r="M1868" s="574"/>
      <c r="N1868" s="713"/>
      <c r="O1868" s="647"/>
      <c r="P1868" s="645"/>
      <c r="Q1868" s="574"/>
      <c r="R1868" s="574">
        <v>2</v>
      </c>
      <c r="S1868" s="900">
        <f t="shared" si="560"/>
        <v>0</v>
      </c>
      <c r="U1868" s="574"/>
    </row>
    <row r="1869" spans="1:21" ht="21.3">
      <c r="A1869" s="665"/>
      <c r="B1869" s="1114" t="s">
        <v>435</v>
      </c>
      <c r="C1869" s="2028" t="s">
        <v>626</v>
      </c>
      <c r="D1869" s="1129"/>
      <c r="E1869" s="645">
        <f>+E1843</f>
        <v>2</v>
      </c>
      <c r="F1869" s="625" t="s">
        <v>363</v>
      </c>
      <c r="G1869" s="620">
        <v>36420</v>
      </c>
      <c r="H1869" s="676">
        <f t="shared" si="554"/>
        <v>72840</v>
      </c>
      <c r="I1869" s="677">
        <v>12700</v>
      </c>
      <c r="J1869" s="678">
        <f t="shared" si="553"/>
        <v>25400</v>
      </c>
      <c r="K1869" s="675">
        <f t="shared" si="550"/>
        <v>98240</v>
      </c>
      <c r="L1869" s="1061"/>
      <c r="M1869" s="574"/>
      <c r="N1869" s="713"/>
      <c r="O1869" s="647"/>
      <c r="P1869" s="645"/>
      <c r="Q1869" s="574"/>
      <c r="R1869" s="574">
        <v>2</v>
      </c>
      <c r="S1869" s="900">
        <f t="shared" si="560"/>
        <v>0</v>
      </c>
      <c r="U1869" s="574"/>
    </row>
    <row r="1870" spans="1:21" ht="21.3">
      <c r="A1870" s="665"/>
      <c r="B1870" s="1114"/>
      <c r="C1870" s="902" t="s">
        <v>628</v>
      </c>
      <c r="D1870" s="1129"/>
      <c r="E1870" s="645"/>
      <c r="F1870" s="625" t="s">
        <v>363</v>
      </c>
      <c r="G1870" s="620">
        <v>77650</v>
      </c>
      <c r="H1870" s="676">
        <f>SUM(E1870*G1870)</f>
        <v>0</v>
      </c>
      <c r="I1870" s="677">
        <v>27100</v>
      </c>
      <c r="J1870" s="678">
        <f>SUM(E1870*I1870)</f>
        <v>0</v>
      </c>
      <c r="K1870" s="675">
        <f t="shared" si="550"/>
        <v>0</v>
      </c>
      <c r="L1870" s="1061"/>
      <c r="M1870" s="574"/>
      <c r="N1870" s="713"/>
      <c r="O1870" s="647"/>
      <c r="P1870" s="645"/>
      <c r="Q1870" s="574"/>
      <c r="R1870" s="574">
        <v>8</v>
      </c>
      <c r="S1870" s="900">
        <f t="shared" si="560"/>
        <v>8</v>
      </c>
      <c r="U1870" s="574"/>
    </row>
    <row r="1871" spans="1:21" ht="21.3">
      <c r="A1871" s="665"/>
      <c r="B1871" s="1114"/>
      <c r="C1871" s="902" t="s">
        <v>630</v>
      </c>
      <c r="D1871" s="1129"/>
      <c r="E1871" s="645"/>
      <c r="F1871" s="625" t="s">
        <v>363</v>
      </c>
      <c r="G1871" s="620">
        <v>45060</v>
      </c>
      <c r="H1871" s="676">
        <f t="shared" ref="H1871" si="561">SUM(E1871*G1871)</f>
        <v>0</v>
      </c>
      <c r="I1871" s="677">
        <v>15700</v>
      </c>
      <c r="J1871" s="678">
        <f t="shared" ref="J1871" si="562">SUM(E1871*I1871)</f>
        <v>0</v>
      </c>
      <c r="K1871" s="675">
        <f t="shared" si="550"/>
        <v>0</v>
      </c>
      <c r="L1871" s="1061"/>
      <c r="M1871" s="574"/>
      <c r="N1871" s="713"/>
      <c r="O1871" s="647"/>
      <c r="P1871" s="645"/>
      <c r="Q1871" s="574"/>
      <c r="R1871" s="574">
        <v>6</v>
      </c>
      <c r="S1871" s="900">
        <f t="shared" si="560"/>
        <v>6</v>
      </c>
      <c r="U1871" s="574"/>
    </row>
    <row r="1872" spans="1:21" ht="21.3">
      <c r="A1872" s="665"/>
      <c r="B1872" s="1114" t="s">
        <v>439</v>
      </c>
      <c r="C1872" s="902" t="s">
        <v>635</v>
      </c>
      <c r="D1872" s="1129"/>
      <c r="E1872" s="645"/>
      <c r="F1872" s="625" t="s">
        <v>363</v>
      </c>
      <c r="G1872" s="620">
        <v>18040</v>
      </c>
      <c r="H1872" s="676">
        <f t="shared" si="554"/>
        <v>0</v>
      </c>
      <c r="I1872" s="677">
        <v>3000</v>
      </c>
      <c r="J1872" s="678">
        <f t="shared" si="553"/>
        <v>0</v>
      </c>
      <c r="K1872" s="675">
        <f t="shared" si="550"/>
        <v>0</v>
      </c>
      <c r="L1872" s="1061"/>
      <c r="M1872" s="574"/>
      <c r="N1872" s="713"/>
      <c r="O1872" s="647"/>
      <c r="P1872" s="645"/>
      <c r="Q1872" s="574"/>
      <c r="R1872" s="574">
        <v>40</v>
      </c>
      <c r="S1872" s="900">
        <f t="shared" si="560"/>
        <v>40</v>
      </c>
      <c r="U1872" s="574"/>
    </row>
    <row r="1873" spans="1:21" ht="21.3">
      <c r="A1873" s="665"/>
      <c r="B1873" s="1114" t="s">
        <v>440</v>
      </c>
      <c r="C1873" s="902" t="s">
        <v>636</v>
      </c>
      <c r="D1873" s="1129"/>
      <c r="E1873" s="645"/>
      <c r="F1873" s="625" t="s">
        <v>363</v>
      </c>
      <c r="G1873" s="620">
        <v>17150</v>
      </c>
      <c r="H1873" s="676">
        <f t="shared" si="554"/>
        <v>0</v>
      </c>
      <c r="I1873" s="677">
        <v>2800</v>
      </c>
      <c r="J1873" s="678">
        <f t="shared" si="553"/>
        <v>0</v>
      </c>
      <c r="K1873" s="675">
        <f t="shared" si="550"/>
        <v>0</v>
      </c>
      <c r="L1873" s="1061"/>
      <c r="M1873" s="574"/>
      <c r="N1873" s="713"/>
      <c r="O1873" s="647"/>
      <c r="P1873" s="645"/>
      <c r="Q1873" s="574"/>
      <c r="R1873" s="574">
        <v>13</v>
      </c>
      <c r="S1873" s="900">
        <f t="shared" si="560"/>
        <v>13</v>
      </c>
      <c r="U1873" s="574"/>
    </row>
    <row r="1874" spans="1:21" ht="21.3">
      <c r="A1874" s="665"/>
      <c r="B1874" s="1114" t="s">
        <v>441</v>
      </c>
      <c r="C1874" s="902" t="s">
        <v>637</v>
      </c>
      <c r="D1874" s="1129"/>
      <c r="E1874" s="645"/>
      <c r="F1874" s="625" t="s">
        <v>363</v>
      </c>
      <c r="G1874" s="620">
        <v>18040</v>
      </c>
      <c r="H1874" s="676">
        <f t="shared" si="554"/>
        <v>0</v>
      </c>
      <c r="I1874" s="677">
        <v>3000</v>
      </c>
      <c r="J1874" s="678">
        <f t="shared" si="553"/>
        <v>0</v>
      </c>
      <c r="K1874" s="675">
        <f t="shared" si="550"/>
        <v>0</v>
      </c>
      <c r="L1874" s="1061"/>
      <c r="M1874" s="574"/>
      <c r="N1874" s="713"/>
      <c r="O1874" s="647"/>
      <c r="P1874" s="645"/>
      <c r="Q1874" s="574"/>
      <c r="R1874" s="574">
        <v>12</v>
      </c>
      <c r="S1874" s="900">
        <f t="shared" si="560"/>
        <v>12</v>
      </c>
      <c r="U1874" s="574"/>
    </row>
    <row r="1875" spans="1:21" ht="21.3">
      <c r="A1875" s="665"/>
      <c r="B1875" s="1114" t="s">
        <v>443</v>
      </c>
      <c r="C1875" s="902" t="s">
        <v>639</v>
      </c>
      <c r="D1875" s="1129"/>
      <c r="E1875" s="645"/>
      <c r="F1875" s="625" t="s">
        <v>363</v>
      </c>
      <c r="G1875" s="620">
        <v>51820</v>
      </c>
      <c r="H1875" s="676">
        <f t="shared" si="554"/>
        <v>0</v>
      </c>
      <c r="I1875" s="677">
        <v>12900</v>
      </c>
      <c r="J1875" s="678">
        <f t="shared" si="553"/>
        <v>0</v>
      </c>
      <c r="K1875" s="675">
        <f t="shared" si="550"/>
        <v>0</v>
      </c>
      <c r="L1875" s="1061"/>
      <c r="M1875" s="574"/>
      <c r="N1875" s="713"/>
      <c r="O1875" s="647"/>
      <c r="P1875" s="645"/>
      <c r="Q1875" s="574"/>
      <c r="R1875" s="574">
        <v>10</v>
      </c>
      <c r="S1875" s="900">
        <f t="shared" si="560"/>
        <v>10</v>
      </c>
      <c r="U1875" s="574"/>
    </row>
    <row r="1876" spans="1:21" ht="21.3">
      <c r="A1876" s="665"/>
      <c r="B1876" s="1114" t="s">
        <v>444</v>
      </c>
      <c r="C1876" s="902" t="s">
        <v>644</v>
      </c>
      <c r="D1876" s="1129"/>
      <c r="E1876" s="645"/>
      <c r="F1876" s="625" t="s">
        <v>363</v>
      </c>
      <c r="G1876" s="620">
        <v>18370</v>
      </c>
      <c r="H1876" s="676">
        <f t="shared" si="554"/>
        <v>0</v>
      </c>
      <c r="I1876" s="677">
        <v>3000</v>
      </c>
      <c r="J1876" s="678">
        <f t="shared" si="553"/>
        <v>0</v>
      </c>
      <c r="K1876" s="675">
        <f t="shared" si="550"/>
        <v>0</v>
      </c>
      <c r="L1876" s="1061"/>
      <c r="M1876" s="574"/>
      <c r="N1876" s="713"/>
      <c r="O1876" s="647"/>
      <c r="P1876" s="645"/>
      <c r="Q1876" s="574"/>
      <c r="R1876" s="574">
        <v>13</v>
      </c>
      <c r="S1876" s="900">
        <f t="shared" si="560"/>
        <v>13</v>
      </c>
      <c r="U1876" s="574"/>
    </row>
    <row r="1877" spans="1:21" ht="21.3">
      <c r="A1877" s="665"/>
      <c r="B1877" s="1114" t="s">
        <v>421</v>
      </c>
      <c r="C1877" s="902" t="s">
        <v>620</v>
      </c>
      <c r="D1877" s="1129"/>
      <c r="E1877" s="645">
        <f>+E1851</f>
        <v>10</v>
      </c>
      <c r="F1877" s="625" t="s">
        <v>363</v>
      </c>
      <c r="G1877" s="620">
        <v>12131</v>
      </c>
      <c r="H1877" s="676">
        <f t="shared" si="554"/>
        <v>121310</v>
      </c>
      <c r="I1877" s="677">
        <v>3000</v>
      </c>
      <c r="J1877" s="678">
        <f t="shared" si="553"/>
        <v>30000</v>
      </c>
      <c r="K1877" s="675">
        <f t="shared" si="550"/>
        <v>151310</v>
      </c>
      <c r="L1877" s="1061"/>
      <c r="M1877" s="574"/>
      <c r="N1877" s="713"/>
      <c r="O1877" s="647"/>
      <c r="P1877" s="645"/>
      <c r="Q1877" s="574"/>
      <c r="R1877" s="574">
        <v>10</v>
      </c>
      <c r="S1877" s="900">
        <f t="shared" si="560"/>
        <v>0</v>
      </c>
      <c r="U1877" s="574"/>
    </row>
    <row r="1878" spans="1:21" ht="21.3">
      <c r="A1878" s="665"/>
      <c r="B1878" s="1114" t="s">
        <v>422</v>
      </c>
      <c r="C1878" s="902" t="s">
        <v>621</v>
      </c>
      <c r="D1878" s="1129"/>
      <c r="E1878" s="645">
        <f>+E1852</f>
        <v>4</v>
      </c>
      <c r="F1878" s="625" t="s">
        <v>363</v>
      </c>
      <c r="G1878" s="620">
        <v>24200</v>
      </c>
      <c r="H1878" s="676">
        <f t="shared" si="554"/>
        <v>96800</v>
      </c>
      <c r="I1878" s="677">
        <v>5400</v>
      </c>
      <c r="J1878" s="678">
        <f t="shared" si="553"/>
        <v>21600</v>
      </c>
      <c r="K1878" s="675">
        <f t="shared" si="550"/>
        <v>118400</v>
      </c>
      <c r="L1878" s="1061"/>
      <c r="M1878" s="574"/>
      <c r="N1878" s="713"/>
      <c r="O1878" s="647"/>
      <c r="P1878" s="645"/>
      <c r="Q1878" s="574"/>
      <c r="R1878" s="574">
        <v>4</v>
      </c>
      <c r="S1878" s="900">
        <f t="shared" si="560"/>
        <v>0</v>
      </c>
      <c r="U1878" s="574"/>
    </row>
    <row r="1879" spans="1:21" ht="21.3">
      <c r="A1879" s="665"/>
      <c r="B1879" s="1114" t="s">
        <v>428</v>
      </c>
      <c r="C1879" s="902" t="s">
        <v>624</v>
      </c>
      <c r="D1879" s="1129"/>
      <c r="E1879" s="645">
        <f>+E1853</f>
        <v>4</v>
      </c>
      <c r="F1879" s="625" t="s">
        <v>363</v>
      </c>
      <c r="G1879" s="620">
        <v>11640</v>
      </c>
      <c r="H1879" s="676">
        <f t="shared" si="554"/>
        <v>46560</v>
      </c>
      <c r="I1879" s="677">
        <v>2900</v>
      </c>
      <c r="J1879" s="678">
        <f t="shared" si="553"/>
        <v>11600</v>
      </c>
      <c r="K1879" s="675">
        <f t="shared" si="550"/>
        <v>58160</v>
      </c>
      <c r="L1879" s="1061"/>
      <c r="M1879" s="574"/>
      <c r="N1879" s="713"/>
      <c r="O1879" s="647"/>
      <c r="P1879" s="645"/>
      <c r="Q1879" s="574"/>
      <c r="R1879" s="574">
        <v>4</v>
      </c>
      <c r="S1879" s="900">
        <f t="shared" si="560"/>
        <v>0</v>
      </c>
      <c r="U1879" s="574"/>
    </row>
    <row r="1880" spans="1:21" ht="21.3">
      <c r="A1880" s="665"/>
      <c r="B1880" s="1114" t="s">
        <v>423</v>
      </c>
      <c r="C1880" s="902" t="s">
        <v>622</v>
      </c>
      <c r="D1880" s="1129"/>
      <c r="E1880" s="645">
        <f t="shared" ref="E1880:E1883" si="563">+E1855</f>
        <v>4</v>
      </c>
      <c r="F1880" s="625" t="s">
        <v>363</v>
      </c>
      <c r="G1880" s="620">
        <v>18705</v>
      </c>
      <c r="H1880" s="676">
        <f t="shared" si="554"/>
        <v>74820</v>
      </c>
      <c r="I1880" s="677">
        <v>4600</v>
      </c>
      <c r="J1880" s="678">
        <f t="shared" si="553"/>
        <v>18400</v>
      </c>
      <c r="K1880" s="675">
        <f t="shared" si="550"/>
        <v>93220</v>
      </c>
      <c r="L1880" s="1061"/>
      <c r="M1880" s="574"/>
      <c r="N1880" s="713"/>
      <c r="O1880" s="647"/>
      <c r="P1880" s="645"/>
      <c r="Q1880" s="574"/>
      <c r="R1880" s="574">
        <v>4</v>
      </c>
      <c r="S1880" s="900">
        <f t="shared" si="560"/>
        <v>0</v>
      </c>
      <c r="U1880" s="574"/>
    </row>
    <row r="1881" spans="1:21" ht="21.3">
      <c r="A1881" s="665"/>
      <c r="B1881" s="1114"/>
      <c r="C1881" s="902" t="s">
        <v>643</v>
      </c>
      <c r="D1881" s="1129"/>
      <c r="E1881" s="645">
        <f t="shared" si="563"/>
        <v>2</v>
      </c>
      <c r="F1881" s="625" t="s">
        <v>363</v>
      </c>
      <c r="G1881" s="620">
        <v>8750</v>
      </c>
      <c r="H1881" s="676">
        <f t="shared" si="554"/>
        <v>17500</v>
      </c>
      <c r="I1881" s="677">
        <v>2200</v>
      </c>
      <c r="J1881" s="678">
        <f t="shared" si="553"/>
        <v>4400</v>
      </c>
      <c r="K1881" s="675">
        <f t="shared" si="550"/>
        <v>21900</v>
      </c>
      <c r="L1881" s="1061"/>
      <c r="M1881" s="574"/>
      <c r="N1881" s="713"/>
      <c r="O1881" s="647"/>
      <c r="P1881" s="645"/>
      <c r="Q1881" s="574"/>
      <c r="R1881" s="574">
        <v>2</v>
      </c>
      <c r="S1881" s="900">
        <f t="shared" si="560"/>
        <v>0</v>
      </c>
      <c r="U1881" s="574"/>
    </row>
    <row r="1882" spans="1:21" ht="21.3">
      <c r="A1882" s="665"/>
      <c r="B1882" s="1114" t="s">
        <v>419</v>
      </c>
      <c r="C1882" s="2028" t="s">
        <v>618</v>
      </c>
      <c r="D1882" s="1129"/>
      <c r="E1882" s="645">
        <f t="shared" si="563"/>
        <v>4</v>
      </c>
      <c r="F1882" s="625" t="s">
        <v>363</v>
      </c>
      <c r="G1882" s="620">
        <v>24510</v>
      </c>
      <c r="H1882" s="676">
        <f t="shared" si="554"/>
        <v>98040</v>
      </c>
      <c r="I1882" s="677">
        <v>3500</v>
      </c>
      <c r="J1882" s="678">
        <f t="shared" si="553"/>
        <v>14000</v>
      </c>
      <c r="K1882" s="675">
        <f t="shared" si="550"/>
        <v>112040</v>
      </c>
      <c r="L1882" s="1061"/>
      <c r="M1882" s="574"/>
      <c r="N1882" s="713"/>
      <c r="O1882" s="647"/>
      <c r="P1882" s="645"/>
      <c r="Q1882" s="574"/>
      <c r="R1882" s="574">
        <v>4</v>
      </c>
      <c r="S1882" s="900">
        <f t="shared" si="560"/>
        <v>0</v>
      </c>
      <c r="U1882" s="574"/>
    </row>
    <row r="1883" spans="1:21" ht="21.3">
      <c r="A1883" s="665"/>
      <c r="B1883" s="1114" t="s">
        <v>420</v>
      </c>
      <c r="C1883" s="2028" t="s">
        <v>619</v>
      </c>
      <c r="D1883" s="1129"/>
      <c r="E1883" s="645">
        <f t="shared" si="563"/>
        <v>2</v>
      </c>
      <c r="F1883" s="625" t="s">
        <v>363</v>
      </c>
      <c r="G1883" s="620">
        <v>34531</v>
      </c>
      <c r="H1883" s="676">
        <f t="shared" si="554"/>
        <v>69062</v>
      </c>
      <c r="I1883" s="677">
        <v>6200</v>
      </c>
      <c r="J1883" s="678">
        <f t="shared" si="553"/>
        <v>12400</v>
      </c>
      <c r="K1883" s="675">
        <f t="shared" si="550"/>
        <v>81462</v>
      </c>
      <c r="L1883" s="1061"/>
      <c r="M1883" s="574"/>
      <c r="N1883" s="713"/>
      <c r="O1883" s="647"/>
      <c r="P1883" s="645"/>
      <c r="Q1883" s="574"/>
      <c r="R1883" s="574">
        <v>2</v>
      </c>
      <c r="S1883" s="900">
        <f t="shared" si="560"/>
        <v>0</v>
      </c>
      <c r="U1883" s="574"/>
    </row>
    <row r="1884" spans="1:21" ht="21.3">
      <c r="A1884" s="665"/>
      <c r="B1884" s="1114"/>
      <c r="C1884" s="902" t="s">
        <v>632</v>
      </c>
      <c r="D1884" s="1129"/>
      <c r="E1884" s="645"/>
      <c r="F1884" s="625" t="s">
        <v>363</v>
      </c>
      <c r="G1884" s="620">
        <v>46160</v>
      </c>
      <c r="H1884" s="676">
        <f>SUM(E1884*G1884)</f>
        <v>0</v>
      </c>
      <c r="I1884" s="677">
        <v>6400</v>
      </c>
      <c r="J1884" s="678">
        <f t="shared" si="553"/>
        <v>0</v>
      </c>
      <c r="K1884" s="675">
        <f t="shared" si="550"/>
        <v>0</v>
      </c>
      <c r="L1884" s="1061"/>
      <c r="M1884" s="574"/>
      <c r="N1884" s="713"/>
      <c r="O1884" s="647"/>
      <c r="P1884" s="645"/>
      <c r="Q1884" s="574"/>
      <c r="R1884" s="574">
        <v>2</v>
      </c>
      <c r="S1884" s="900">
        <f t="shared" si="560"/>
        <v>2</v>
      </c>
      <c r="U1884" s="574"/>
    </row>
    <row r="1885" spans="1:21" ht="21.3">
      <c r="A1885" s="665"/>
      <c r="B1885" s="1114"/>
      <c r="C1885" s="902" t="s">
        <v>645</v>
      </c>
      <c r="D1885" s="1129"/>
      <c r="E1885" s="645"/>
      <c r="F1885" s="625" t="s">
        <v>34</v>
      </c>
      <c r="G1885" s="620">
        <v>4500</v>
      </c>
      <c r="H1885" s="676">
        <f>SUM(E1885*G1885)</f>
        <v>0</v>
      </c>
      <c r="I1885" s="677">
        <v>0</v>
      </c>
      <c r="J1885" s="678">
        <f t="shared" ref="J1885:J1915" si="564">SUM(E1885*I1885)</f>
        <v>0</v>
      </c>
      <c r="K1885" s="675">
        <f t="shared" si="550"/>
        <v>0</v>
      </c>
      <c r="L1885" s="1061"/>
      <c r="M1885" s="574"/>
      <c r="N1885" s="713"/>
      <c r="O1885" s="647"/>
      <c r="P1885" s="645"/>
      <c r="Q1885" s="574"/>
      <c r="R1885" s="574">
        <v>305</v>
      </c>
      <c r="S1885" s="900">
        <f t="shared" si="560"/>
        <v>305</v>
      </c>
      <c r="U1885" s="574"/>
    </row>
    <row r="1886" spans="1:21" ht="21.3">
      <c r="A1886" s="665"/>
      <c r="B1886" s="1114" t="s">
        <v>445</v>
      </c>
      <c r="C1886" s="902" t="s">
        <v>653</v>
      </c>
      <c r="D1886" s="1129"/>
      <c r="E1886" s="637"/>
      <c r="F1886" s="625" t="s">
        <v>34</v>
      </c>
      <c r="G1886" s="620">
        <v>4500</v>
      </c>
      <c r="H1886" s="676">
        <f t="shared" si="554"/>
        <v>0</v>
      </c>
      <c r="I1886" s="677">
        <v>0</v>
      </c>
      <c r="J1886" s="678">
        <f t="shared" si="564"/>
        <v>0</v>
      </c>
      <c r="K1886" s="675">
        <f t="shared" si="550"/>
        <v>0</v>
      </c>
      <c r="L1886" s="1085"/>
      <c r="M1886" s="574"/>
      <c r="N1886" s="667"/>
      <c r="O1886" s="636"/>
      <c r="P1886" s="637"/>
      <c r="Q1886" s="574"/>
      <c r="R1886" s="574">
        <v>65</v>
      </c>
      <c r="S1886" s="900">
        <f t="shared" si="560"/>
        <v>65</v>
      </c>
      <c r="U1886" s="574"/>
    </row>
    <row r="1887" spans="1:21" ht="21.3">
      <c r="A1887" s="665"/>
      <c r="B1887" s="1114" t="s">
        <v>454</v>
      </c>
      <c r="C1887" s="902" t="s">
        <v>654</v>
      </c>
      <c r="D1887" s="1129"/>
      <c r="E1887" s="637"/>
      <c r="F1887" s="625" t="s">
        <v>34</v>
      </c>
      <c r="G1887" s="620">
        <v>4500</v>
      </c>
      <c r="H1887" s="676">
        <f t="shared" si="554"/>
        <v>0</v>
      </c>
      <c r="I1887" s="677">
        <v>0</v>
      </c>
      <c r="J1887" s="678">
        <f t="shared" si="564"/>
        <v>0</v>
      </c>
      <c r="K1887" s="675">
        <f t="shared" si="550"/>
        <v>0</v>
      </c>
      <c r="L1887" s="1085"/>
      <c r="M1887" s="574"/>
      <c r="N1887" s="667"/>
      <c r="O1887" s="636"/>
      <c r="P1887" s="637"/>
      <c r="Q1887" s="574"/>
      <c r="R1887" s="574">
        <v>69</v>
      </c>
      <c r="S1887" s="900">
        <f t="shared" si="560"/>
        <v>69</v>
      </c>
      <c r="U1887" s="574"/>
    </row>
    <row r="1888" spans="1:21" ht="21.3">
      <c r="A1888" s="665"/>
      <c r="B1888" s="1114" t="s">
        <v>455</v>
      </c>
      <c r="C1888" s="902" t="s">
        <v>646</v>
      </c>
      <c r="D1888" s="1129"/>
      <c r="E1888" s="637"/>
      <c r="F1888" s="625" t="s">
        <v>34</v>
      </c>
      <c r="G1888" s="620">
        <v>6800</v>
      </c>
      <c r="H1888" s="676">
        <f t="shared" si="554"/>
        <v>0</v>
      </c>
      <c r="I1888" s="677">
        <v>0</v>
      </c>
      <c r="J1888" s="678">
        <f t="shared" si="564"/>
        <v>0</v>
      </c>
      <c r="K1888" s="675">
        <f t="shared" si="550"/>
        <v>0</v>
      </c>
      <c r="L1888" s="1085"/>
      <c r="M1888" s="574"/>
      <c r="N1888" s="667"/>
      <c r="O1888" s="636"/>
      <c r="P1888" s="637"/>
      <c r="Q1888" s="574"/>
      <c r="R1888" s="574">
        <v>19</v>
      </c>
      <c r="S1888" s="900">
        <f t="shared" si="560"/>
        <v>19</v>
      </c>
      <c r="U1888" s="574"/>
    </row>
    <row r="1889" spans="1:21" ht="21.3">
      <c r="A1889" s="665"/>
      <c r="B1889" s="1114" t="s">
        <v>456</v>
      </c>
      <c r="C1889" s="902" t="s">
        <v>647</v>
      </c>
      <c r="D1889" s="1129"/>
      <c r="E1889" s="637"/>
      <c r="F1889" s="625" t="s">
        <v>34</v>
      </c>
      <c r="G1889" s="620">
        <v>6800</v>
      </c>
      <c r="H1889" s="676">
        <f t="shared" ref="H1889:H1939" si="565">SUM(E1889*G1889)</f>
        <v>0</v>
      </c>
      <c r="I1889" s="677">
        <v>0</v>
      </c>
      <c r="J1889" s="678">
        <f t="shared" si="564"/>
        <v>0</v>
      </c>
      <c r="K1889" s="675">
        <f t="shared" si="550"/>
        <v>0</v>
      </c>
      <c r="L1889" s="1085"/>
      <c r="M1889" s="574"/>
      <c r="N1889" s="667"/>
      <c r="O1889" s="636"/>
      <c r="P1889" s="637"/>
      <c r="Q1889" s="574"/>
      <c r="R1889" s="574">
        <v>20</v>
      </c>
      <c r="S1889" s="900">
        <f t="shared" si="560"/>
        <v>20</v>
      </c>
      <c r="U1889" s="574"/>
    </row>
    <row r="1890" spans="1:21" ht="21.3">
      <c r="A1890" s="665"/>
      <c r="B1890" s="1114"/>
      <c r="C1890" s="2028"/>
      <c r="D1890" s="1129"/>
      <c r="E1890" s="637"/>
      <c r="F1890" s="625"/>
      <c r="G1890" s="641"/>
      <c r="H1890" s="676">
        <f t="shared" si="565"/>
        <v>0</v>
      </c>
      <c r="I1890" s="677"/>
      <c r="J1890" s="678">
        <f t="shared" si="564"/>
        <v>0</v>
      </c>
      <c r="K1890" s="675">
        <f t="shared" si="550"/>
        <v>0</v>
      </c>
      <c r="L1890" s="1065"/>
      <c r="M1890" s="574"/>
      <c r="N1890" s="667"/>
      <c r="O1890" s="636"/>
      <c r="P1890" s="637"/>
      <c r="Q1890" s="574"/>
      <c r="R1890" s="574"/>
      <c r="S1890" s="900">
        <f t="shared" si="560"/>
        <v>0</v>
      </c>
      <c r="U1890" s="574"/>
    </row>
    <row r="1891" spans="1:21" ht="21.3">
      <c r="A1891" s="665" t="s">
        <v>463</v>
      </c>
      <c r="B1891" s="1111" t="s">
        <v>464</v>
      </c>
      <c r="C1891" s="2028"/>
      <c r="D1891" s="1129"/>
      <c r="E1891" s="637"/>
      <c r="F1891" s="625"/>
      <c r="G1891" s="641"/>
      <c r="H1891" s="676">
        <f t="shared" si="565"/>
        <v>0</v>
      </c>
      <c r="I1891" s="677"/>
      <c r="J1891" s="678">
        <f t="shared" si="564"/>
        <v>0</v>
      </c>
      <c r="K1891" s="675">
        <f t="shared" si="550"/>
        <v>0</v>
      </c>
      <c r="L1891" s="1065"/>
      <c r="M1891" s="900">
        <f>SUM(E1892:E1910)</f>
        <v>38</v>
      </c>
      <c r="N1891" s="667"/>
      <c r="O1891" s="636"/>
      <c r="P1891" s="637"/>
      <c r="Q1891" s="574"/>
      <c r="R1891" s="574"/>
      <c r="S1891" s="900">
        <f t="shared" si="560"/>
        <v>0</v>
      </c>
      <c r="U1891" s="574"/>
    </row>
    <row r="1892" spans="1:21" ht="21.3">
      <c r="A1892" s="665"/>
      <c r="B1892" s="1114" t="s">
        <v>417</v>
      </c>
      <c r="C1892" s="2028" t="s">
        <v>616</v>
      </c>
      <c r="D1892" s="1129"/>
      <c r="E1892" s="645">
        <f>+E1867</f>
        <v>4</v>
      </c>
      <c r="F1892" s="625" t="s">
        <v>363</v>
      </c>
      <c r="G1892" s="620">
        <v>88800</v>
      </c>
      <c r="H1892" s="676">
        <f t="shared" si="565"/>
        <v>355200</v>
      </c>
      <c r="I1892" s="677">
        <v>31000</v>
      </c>
      <c r="J1892" s="678">
        <f t="shared" si="564"/>
        <v>124000</v>
      </c>
      <c r="K1892" s="675">
        <f t="shared" si="550"/>
        <v>479200</v>
      </c>
      <c r="L1892" s="1061"/>
      <c r="M1892" s="574"/>
      <c r="N1892" s="713"/>
      <c r="O1892" s="647"/>
      <c r="P1892" s="645"/>
      <c r="Q1892" s="574"/>
      <c r="R1892" s="574">
        <v>6</v>
      </c>
      <c r="S1892" s="900">
        <f t="shared" si="560"/>
        <v>2</v>
      </c>
      <c r="U1892" s="574"/>
    </row>
    <row r="1893" spans="1:21" ht="21.3">
      <c r="A1893" s="665"/>
      <c r="B1893" s="1114" t="s">
        <v>418</v>
      </c>
      <c r="C1893" s="2028" t="s">
        <v>617</v>
      </c>
      <c r="D1893" s="1129"/>
      <c r="E1893" s="645">
        <f t="shared" ref="E1893:E1894" si="566">+E1868</f>
        <v>2</v>
      </c>
      <c r="F1893" s="625" t="s">
        <v>363</v>
      </c>
      <c r="G1893" s="620">
        <v>44140</v>
      </c>
      <c r="H1893" s="676">
        <f t="shared" si="565"/>
        <v>88280</v>
      </c>
      <c r="I1893" s="677">
        <v>15400</v>
      </c>
      <c r="J1893" s="678">
        <f t="shared" si="564"/>
        <v>30800</v>
      </c>
      <c r="K1893" s="675">
        <f t="shared" si="550"/>
        <v>119080</v>
      </c>
      <c r="L1893" s="1061"/>
      <c r="M1893" s="574"/>
      <c r="N1893" s="713"/>
      <c r="O1893" s="647"/>
      <c r="P1893" s="645"/>
      <c r="Q1893" s="574"/>
      <c r="R1893" s="574">
        <v>2</v>
      </c>
      <c r="S1893" s="900">
        <f t="shared" si="560"/>
        <v>0</v>
      </c>
      <c r="U1893" s="574"/>
    </row>
    <row r="1894" spans="1:21" ht="21.3">
      <c r="A1894" s="665"/>
      <c r="B1894" s="1114" t="s">
        <v>435</v>
      </c>
      <c r="C1894" s="2028" t="s">
        <v>626</v>
      </c>
      <c r="D1894" s="1129"/>
      <c r="E1894" s="645">
        <f t="shared" si="566"/>
        <v>2</v>
      </c>
      <c r="F1894" s="625" t="s">
        <v>363</v>
      </c>
      <c r="G1894" s="620">
        <v>36420</v>
      </c>
      <c r="H1894" s="676">
        <f t="shared" si="565"/>
        <v>72840</v>
      </c>
      <c r="I1894" s="677">
        <v>12700</v>
      </c>
      <c r="J1894" s="678">
        <f t="shared" si="564"/>
        <v>25400</v>
      </c>
      <c r="K1894" s="675">
        <f t="shared" si="550"/>
        <v>98240</v>
      </c>
      <c r="L1894" s="1061"/>
      <c r="M1894" s="574"/>
      <c r="N1894" s="713"/>
      <c r="O1894" s="647"/>
      <c r="P1894" s="645"/>
      <c r="Q1894" s="574"/>
      <c r="R1894" s="574">
        <v>2</v>
      </c>
      <c r="S1894" s="900">
        <f t="shared" si="560"/>
        <v>0</v>
      </c>
      <c r="U1894" s="574"/>
    </row>
    <row r="1895" spans="1:21" ht="21.3">
      <c r="A1895" s="665"/>
      <c r="B1895" s="1114"/>
      <c r="C1895" s="902" t="s">
        <v>628</v>
      </c>
      <c r="D1895" s="1129"/>
      <c r="E1895" s="645"/>
      <c r="F1895" s="625" t="s">
        <v>363</v>
      </c>
      <c r="G1895" s="620">
        <v>77650</v>
      </c>
      <c r="H1895" s="676">
        <f>SUM(E1895*G1895)</f>
        <v>0</v>
      </c>
      <c r="I1895" s="677">
        <v>27100</v>
      </c>
      <c r="J1895" s="678">
        <f>SUM(E1895*I1895)</f>
        <v>0</v>
      </c>
      <c r="K1895" s="675">
        <f t="shared" si="550"/>
        <v>0</v>
      </c>
      <c r="L1895" s="1061"/>
      <c r="M1895" s="574"/>
      <c r="N1895" s="713"/>
      <c r="O1895" s="647"/>
      <c r="P1895" s="645"/>
      <c r="Q1895" s="574"/>
      <c r="R1895" s="574">
        <v>23</v>
      </c>
      <c r="S1895" s="900">
        <f t="shared" si="560"/>
        <v>23</v>
      </c>
      <c r="U1895" s="574"/>
    </row>
    <row r="1896" spans="1:21" ht="21.3">
      <c r="A1896" s="665"/>
      <c r="B1896" s="1114"/>
      <c r="C1896" s="902" t="s">
        <v>630</v>
      </c>
      <c r="D1896" s="1129"/>
      <c r="E1896" s="645"/>
      <c r="F1896" s="625" t="s">
        <v>363</v>
      </c>
      <c r="G1896" s="620">
        <v>45060</v>
      </c>
      <c r="H1896" s="676">
        <f t="shared" ref="H1896" si="567">SUM(E1896*G1896)</f>
        <v>0</v>
      </c>
      <c r="I1896" s="677">
        <v>15700</v>
      </c>
      <c r="J1896" s="678">
        <f t="shared" ref="J1896" si="568">SUM(E1896*I1896)</f>
        <v>0</v>
      </c>
      <c r="K1896" s="675">
        <f t="shared" si="550"/>
        <v>0</v>
      </c>
      <c r="L1896" s="1061"/>
      <c r="M1896" s="574"/>
      <c r="N1896" s="713"/>
      <c r="O1896" s="647"/>
      <c r="P1896" s="645"/>
      <c r="Q1896" s="574"/>
      <c r="R1896" s="574">
        <v>15</v>
      </c>
      <c r="S1896" s="900">
        <f t="shared" si="560"/>
        <v>15</v>
      </c>
      <c r="U1896" s="574"/>
    </row>
    <row r="1897" spans="1:21" ht="21.3">
      <c r="A1897" s="665"/>
      <c r="B1897" s="1114" t="s">
        <v>439</v>
      </c>
      <c r="C1897" s="902" t="s">
        <v>635</v>
      </c>
      <c r="D1897" s="1129"/>
      <c r="E1897" s="645"/>
      <c r="F1897" s="625" t="s">
        <v>363</v>
      </c>
      <c r="G1897" s="620">
        <v>18040</v>
      </c>
      <c r="H1897" s="676">
        <f t="shared" si="565"/>
        <v>0</v>
      </c>
      <c r="I1897" s="677">
        <v>3000</v>
      </c>
      <c r="J1897" s="678">
        <f t="shared" si="564"/>
        <v>0</v>
      </c>
      <c r="K1897" s="675">
        <f t="shared" si="550"/>
        <v>0</v>
      </c>
      <c r="L1897" s="1061"/>
      <c r="M1897" s="574"/>
      <c r="N1897" s="713"/>
      <c r="O1897" s="647"/>
      <c r="P1897" s="645"/>
      <c r="Q1897" s="574"/>
      <c r="R1897" s="574">
        <v>1</v>
      </c>
      <c r="S1897" s="900">
        <f t="shared" si="560"/>
        <v>1</v>
      </c>
      <c r="U1897" s="574"/>
    </row>
    <row r="1898" spans="1:21" ht="21.3">
      <c r="A1898" s="665"/>
      <c r="B1898" s="1114" t="s">
        <v>440</v>
      </c>
      <c r="C1898" s="902" t="s">
        <v>636</v>
      </c>
      <c r="D1898" s="1129"/>
      <c r="E1898" s="645"/>
      <c r="F1898" s="625" t="s">
        <v>363</v>
      </c>
      <c r="G1898" s="620">
        <v>17150</v>
      </c>
      <c r="H1898" s="676">
        <f t="shared" si="565"/>
        <v>0</v>
      </c>
      <c r="I1898" s="677">
        <v>2800</v>
      </c>
      <c r="J1898" s="678">
        <f t="shared" si="564"/>
        <v>0</v>
      </c>
      <c r="K1898" s="675">
        <f t="shared" si="550"/>
        <v>0</v>
      </c>
      <c r="L1898" s="1061"/>
      <c r="M1898" s="574"/>
      <c r="N1898" s="713"/>
      <c r="O1898" s="647"/>
      <c r="P1898" s="645"/>
      <c r="Q1898" s="574"/>
      <c r="R1898" s="574">
        <v>3</v>
      </c>
      <c r="S1898" s="900">
        <f t="shared" si="560"/>
        <v>3</v>
      </c>
      <c r="U1898" s="574"/>
    </row>
    <row r="1899" spans="1:21" ht="21.3">
      <c r="A1899" s="665"/>
      <c r="B1899" s="1114" t="s">
        <v>441</v>
      </c>
      <c r="C1899" s="902" t="s">
        <v>637</v>
      </c>
      <c r="D1899" s="1129"/>
      <c r="E1899" s="645"/>
      <c r="F1899" s="625" t="s">
        <v>363</v>
      </c>
      <c r="G1899" s="620">
        <v>18040</v>
      </c>
      <c r="H1899" s="676">
        <f t="shared" si="565"/>
        <v>0</v>
      </c>
      <c r="I1899" s="677">
        <v>3000</v>
      </c>
      <c r="J1899" s="678">
        <f t="shared" si="564"/>
        <v>0</v>
      </c>
      <c r="K1899" s="675">
        <f t="shared" si="550"/>
        <v>0</v>
      </c>
      <c r="L1899" s="1061"/>
      <c r="M1899" s="574"/>
      <c r="N1899" s="713"/>
      <c r="O1899" s="647"/>
      <c r="P1899" s="645"/>
      <c r="Q1899" s="574"/>
      <c r="R1899" s="574">
        <v>8</v>
      </c>
      <c r="S1899" s="900">
        <f t="shared" si="560"/>
        <v>8</v>
      </c>
      <c r="U1899" s="574"/>
    </row>
    <row r="1900" spans="1:21" ht="21.3">
      <c r="A1900" s="665"/>
      <c r="B1900" s="1114" t="s">
        <v>442</v>
      </c>
      <c r="C1900" s="902" t="s">
        <v>638</v>
      </c>
      <c r="D1900" s="1129"/>
      <c r="E1900" s="645"/>
      <c r="F1900" s="625" t="s">
        <v>363</v>
      </c>
      <c r="G1900" s="620">
        <v>20850</v>
      </c>
      <c r="H1900" s="676">
        <f t="shared" si="565"/>
        <v>0</v>
      </c>
      <c r="I1900" s="677">
        <v>3500</v>
      </c>
      <c r="J1900" s="678">
        <f t="shared" si="564"/>
        <v>0</v>
      </c>
      <c r="K1900" s="675">
        <f t="shared" si="550"/>
        <v>0</v>
      </c>
      <c r="L1900" s="1061"/>
      <c r="M1900" s="574"/>
      <c r="N1900" s="713"/>
      <c r="O1900" s="647"/>
      <c r="P1900" s="645"/>
      <c r="Q1900" s="574"/>
      <c r="R1900" s="574">
        <v>1</v>
      </c>
      <c r="S1900" s="900">
        <f t="shared" si="560"/>
        <v>1</v>
      </c>
      <c r="U1900" s="574"/>
    </row>
    <row r="1901" spans="1:21" ht="21.3">
      <c r="A1901" s="665"/>
      <c r="B1901" s="1114" t="s">
        <v>443</v>
      </c>
      <c r="C1901" s="902" t="s">
        <v>639</v>
      </c>
      <c r="D1901" s="1129"/>
      <c r="E1901" s="645"/>
      <c r="F1901" s="625" t="s">
        <v>363</v>
      </c>
      <c r="G1901" s="620">
        <v>51820</v>
      </c>
      <c r="H1901" s="676">
        <f t="shared" si="565"/>
        <v>0</v>
      </c>
      <c r="I1901" s="677">
        <v>12900</v>
      </c>
      <c r="J1901" s="678">
        <f t="shared" si="564"/>
        <v>0</v>
      </c>
      <c r="K1901" s="675">
        <f t="shared" si="550"/>
        <v>0</v>
      </c>
      <c r="L1901" s="1061"/>
      <c r="M1901" s="574"/>
      <c r="N1901" s="713"/>
      <c r="O1901" s="647"/>
      <c r="P1901" s="645"/>
      <c r="Q1901" s="574"/>
      <c r="R1901" s="574">
        <v>10</v>
      </c>
      <c r="S1901" s="900">
        <f t="shared" si="560"/>
        <v>10</v>
      </c>
      <c r="U1901" s="574"/>
    </row>
    <row r="1902" spans="1:21" ht="21.3">
      <c r="A1902" s="665"/>
      <c r="B1902" s="1114" t="s">
        <v>421</v>
      </c>
      <c r="C1902" s="902" t="s">
        <v>620</v>
      </c>
      <c r="D1902" s="1129"/>
      <c r="E1902" s="645">
        <f>+E1877</f>
        <v>10</v>
      </c>
      <c r="F1902" s="625" t="s">
        <v>363</v>
      </c>
      <c r="G1902" s="620">
        <v>12131</v>
      </c>
      <c r="H1902" s="676">
        <f t="shared" si="565"/>
        <v>121310</v>
      </c>
      <c r="I1902" s="677">
        <v>3000</v>
      </c>
      <c r="J1902" s="678">
        <f t="shared" si="564"/>
        <v>30000</v>
      </c>
      <c r="K1902" s="675">
        <f t="shared" si="550"/>
        <v>151310</v>
      </c>
      <c r="L1902" s="1061"/>
      <c r="M1902" s="574"/>
      <c r="N1902" s="713"/>
      <c r="O1902" s="647"/>
      <c r="P1902" s="645"/>
      <c r="Q1902" s="574"/>
      <c r="R1902" s="574">
        <v>10</v>
      </c>
      <c r="S1902" s="900">
        <f t="shared" si="560"/>
        <v>0</v>
      </c>
      <c r="U1902" s="574"/>
    </row>
    <row r="1903" spans="1:21" ht="21.3">
      <c r="A1903" s="665"/>
      <c r="B1903" s="1114" t="s">
        <v>422</v>
      </c>
      <c r="C1903" s="902" t="s">
        <v>621</v>
      </c>
      <c r="D1903" s="1129"/>
      <c r="E1903" s="645">
        <f t="shared" ref="E1903:E1907" si="569">+E1878</f>
        <v>4</v>
      </c>
      <c r="F1903" s="625" t="s">
        <v>363</v>
      </c>
      <c r="G1903" s="620">
        <v>24200</v>
      </c>
      <c r="H1903" s="676">
        <f t="shared" si="565"/>
        <v>96800</v>
      </c>
      <c r="I1903" s="677">
        <v>5400</v>
      </c>
      <c r="J1903" s="678">
        <f t="shared" si="564"/>
        <v>21600</v>
      </c>
      <c r="K1903" s="675">
        <f t="shared" si="550"/>
        <v>118400</v>
      </c>
      <c r="L1903" s="1061"/>
      <c r="M1903" s="574"/>
      <c r="N1903" s="713"/>
      <c r="O1903" s="647"/>
      <c r="P1903" s="645"/>
      <c r="Q1903" s="574"/>
      <c r="R1903" s="574">
        <v>4</v>
      </c>
      <c r="S1903" s="900">
        <f t="shared" si="560"/>
        <v>0</v>
      </c>
      <c r="U1903" s="574"/>
    </row>
    <row r="1904" spans="1:21" ht="21.3">
      <c r="A1904" s="665"/>
      <c r="B1904" s="1114" t="s">
        <v>428</v>
      </c>
      <c r="C1904" s="902" t="s">
        <v>624</v>
      </c>
      <c r="D1904" s="1129"/>
      <c r="E1904" s="645">
        <f t="shared" si="569"/>
        <v>4</v>
      </c>
      <c r="F1904" s="625" t="s">
        <v>363</v>
      </c>
      <c r="G1904" s="620">
        <v>11640</v>
      </c>
      <c r="H1904" s="676">
        <f t="shared" si="565"/>
        <v>46560</v>
      </c>
      <c r="I1904" s="677">
        <v>2900</v>
      </c>
      <c r="J1904" s="678">
        <f t="shared" si="564"/>
        <v>11600</v>
      </c>
      <c r="K1904" s="675">
        <f t="shared" si="550"/>
        <v>58160</v>
      </c>
      <c r="L1904" s="1061"/>
      <c r="M1904" s="574"/>
      <c r="N1904" s="713"/>
      <c r="O1904" s="647"/>
      <c r="P1904" s="645"/>
      <c r="Q1904" s="574"/>
      <c r="R1904" s="574">
        <v>4</v>
      </c>
      <c r="S1904" s="900">
        <f t="shared" si="560"/>
        <v>0</v>
      </c>
      <c r="U1904" s="574"/>
    </row>
    <row r="1905" spans="1:21" ht="21.3">
      <c r="A1905" s="665"/>
      <c r="B1905" s="1114" t="s">
        <v>423</v>
      </c>
      <c r="C1905" s="902" t="s">
        <v>622</v>
      </c>
      <c r="D1905" s="1129"/>
      <c r="E1905" s="645">
        <f t="shared" si="569"/>
        <v>4</v>
      </c>
      <c r="F1905" s="625" t="s">
        <v>363</v>
      </c>
      <c r="G1905" s="620">
        <v>18705</v>
      </c>
      <c r="H1905" s="676">
        <f t="shared" si="565"/>
        <v>74820</v>
      </c>
      <c r="I1905" s="677">
        <v>4600</v>
      </c>
      <c r="J1905" s="678">
        <f t="shared" si="564"/>
        <v>18400</v>
      </c>
      <c r="K1905" s="675">
        <f t="shared" si="550"/>
        <v>93220</v>
      </c>
      <c r="L1905" s="1061"/>
      <c r="M1905" s="574"/>
      <c r="N1905" s="713"/>
      <c r="O1905" s="647"/>
      <c r="P1905" s="645"/>
      <c r="Q1905" s="574"/>
      <c r="R1905" s="574">
        <v>4</v>
      </c>
      <c r="S1905" s="900">
        <f t="shared" si="560"/>
        <v>0</v>
      </c>
      <c r="U1905" s="574"/>
    </row>
    <row r="1906" spans="1:21" ht="21.3">
      <c r="A1906" s="665"/>
      <c r="B1906" s="1114"/>
      <c r="C1906" s="902" t="s">
        <v>643</v>
      </c>
      <c r="D1906" s="1129"/>
      <c r="E1906" s="645">
        <f t="shared" si="569"/>
        <v>2</v>
      </c>
      <c r="F1906" s="625" t="s">
        <v>363</v>
      </c>
      <c r="G1906" s="620">
        <v>8750</v>
      </c>
      <c r="H1906" s="676">
        <f t="shared" si="565"/>
        <v>17500</v>
      </c>
      <c r="I1906" s="677">
        <v>2200</v>
      </c>
      <c r="J1906" s="678">
        <f t="shared" si="564"/>
        <v>4400</v>
      </c>
      <c r="K1906" s="675">
        <f t="shared" si="550"/>
        <v>21900</v>
      </c>
      <c r="L1906" s="1061"/>
      <c r="M1906" s="574"/>
      <c r="N1906" s="713"/>
      <c r="O1906" s="647"/>
      <c r="P1906" s="645"/>
      <c r="Q1906" s="574"/>
      <c r="R1906" s="574">
        <v>2</v>
      </c>
      <c r="S1906" s="900">
        <f t="shared" si="560"/>
        <v>0</v>
      </c>
      <c r="U1906" s="574"/>
    </row>
    <row r="1907" spans="1:21" ht="21.3">
      <c r="A1907" s="665"/>
      <c r="B1907" s="1114" t="s">
        <v>419</v>
      </c>
      <c r="C1907" s="2028" t="s">
        <v>618</v>
      </c>
      <c r="D1907" s="1129"/>
      <c r="E1907" s="645">
        <f t="shared" si="569"/>
        <v>4</v>
      </c>
      <c r="F1907" s="625" t="s">
        <v>363</v>
      </c>
      <c r="G1907" s="620">
        <v>24510</v>
      </c>
      <c r="H1907" s="676">
        <f t="shared" si="565"/>
        <v>98040</v>
      </c>
      <c r="I1907" s="677">
        <v>3500</v>
      </c>
      <c r="J1907" s="678">
        <f t="shared" si="564"/>
        <v>14000</v>
      </c>
      <c r="K1907" s="675">
        <f t="shared" si="550"/>
        <v>112040</v>
      </c>
      <c r="L1907" s="1061"/>
      <c r="M1907" s="574"/>
      <c r="N1907" s="713"/>
      <c r="O1907" s="647"/>
      <c r="P1907" s="645"/>
      <c r="Q1907" s="574"/>
      <c r="R1907" s="574">
        <v>4</v>
      </c>
      <c r="S1907" s="900">
        <f t="shared" si="560"/>
        <v>0</v>
      </c>
      <c r="U1907" s="574"/>
    </row>
    <row r="1908" spans="1:21" ht="21.3">
      <c r="A1908" s="665"/>
      <c r="B1908" s="1114"/>
      <c r="C1908" s="2028"/>
      <c r="D1908" s="1129"/>
      <c r="E1908" s="645"/>
      <c r="F1908" s="625"/>
      <c r="G1908" s="620"/>
      <c r="H1908" s="676"/>
      <c r="I1908" s="677"/>
      <c r="J1908" s="678"/>
      <c r="K1908" s="675"/>
      <c r="L1908" s="1061"/>
      <c r="M1908" s="574"/>
      <c r="N1908" s="713"/>
      <c r="O1908" s="647"/>
      <c r="P1908" s="645"/>
      <c r="Q1908" s="574"/>
      <c r="R1908" s="574"/>
      <c r="S1908" s="900"/>
      <c r="U1908" s="574"/>
    </row>
    <row r="1909" spans="1:21" ht="21.3">
      <c r="A1909" s="665"/>
      <c r="B1909" s="1114" t="s">
        <v>420</v>
      </c>
      <c r="C1909" s="902" t="s">
        <v>619</v>
      </c>
      <c r="D1909" s="1129"/>
      <c r="E1909" s="645">
        <f>+E1883</f>
        <v>2</v>
      </c>
      <c r="F1909" s="625" t="s">
        <v>363</v>
      </c>
      <c r="G1909" s="620">
        <v>34531</v>
      </c>
      <c r="H1909" s="676">
        <f t="shared" si="565"/>
        <v>69062</v>
      </c>
      <c r="I1909" s="677">
        <v>6200</v>
      </c>
      <c r="J1909" s="678">
        <f t="shared" si="564"/>
        <v>12400</v>
      </c>
      <c r="K1909" s="675">
        <f t="shared" si="550"/>
        <v>81462</v>
      </c>
      <c r="L1909" s="1061"/>
      <c r="M1909" s="574"/>
      <c r="N1909" s="713"/>
      <c r="O1909" s="647"/>
      <c r="P1909" s="645"/>
      <c r="Q1909" s="574"/>
      <c r="R1909" s="574">
        <v>2</v>
      </c>
      <c r="S1909" s="900">
        <f t="shared" si="560"/>
        <v>0</v>
      </c>
      <c r="U1909" s="574"/>
    </row>
    <row r="1910" spans="1:21" ht="21.3">
      <c r="A1910" s="665"/>
      <c r="B1910" s="1114"/>
      <c r="C1910" s="902" t="s">
        <v>632</v>
      </c>
      <c r="D1910" s="1129"/>
      <c r="E1910" s="645"/>
      <c r="F1910" s="625" t="s">
        <v>363</v>
      </c>
      <c r="G1910" s="620">
        <v>46160</v>
      </c>
      <c r="H1910" s="676">
        <f>SUM(E1910*G1910)</f>
        <v>0</v>
      </c>
      <c r="I1910" s="677">
        <v>6400</v>
      </c>
      <c r="J1910" s="678">
        <f t="shared" si="564"/>
        <v>0</v>
      </c>
      <c r="K1910" s="675">
        <f t="shared" si="550"/>
        <v>0</v>
      </c>
      <c r="L1910" s="1061"/>
      <c r="M1910" s="574"/>
      <c r="N1910" s="713"/>
      <c r="O1910" s="647"/>
      <c r="P1910" s="645"/>
      <c r="Q1910" s="574"/>
      <c r="R1910" s="574">
        <v>2</v>
      </c>
      <c r="S1910" s="900">
        <f t="shared" si="560"/>
        <v>2</v>
      </c>
      <c r="U1910" s="574"/>
    </row>
    <row r="1911" spans="1:21" ht="21.3">
      <c r="A1911" s="665"/>
      <c r="B1911" s="1114"/>
      <c r="C1911" s="902" t="s">
        <v>645</v>
      </c>
      <c r="D1911" s="1129"/>
      <c r="E1911" s="645"/>
      <c r="F1911" s="625" t="s">
        <v>34</v>
      </c>
      <c r="G1911" s="620">
        <v>4500</v>
      </c>
      <c r="H1911" s="676">
        <f>SUM(E1911*G1911)</f>
        <v>0</v>
      </c>
      <c r="I1911" s="677">
        <v>0</v>
      </c>
      <c r="J1911" s="678">
        <f t="shared" si="564"/>
        <v>0</v>
      </c>
      <c r="K1911" s="675">
        <f t="shared" si="550"/>
        <v>0</v>
      </c>
      <c r="L1911" s="1061"/>
      <c r="M1911" s="574"/>
      <c r="N1911" s="713"/>
      <c r="O1911" s="647"/>
      <c r="P1911" s="645"/>
      <c r="Q1911" s="574"/>
      <c r="R1911" s="574">
        <v>39</v>
      </c>
      <c r="S1911" s="900">
        <f t="shared" si="560"/>
        <v>39</v>
      </c>
      <c r="U1911" s="574"/>
    </row>
    <row r="1912" spans="1:21" ht="21.3">
      <c r="A1912" s="665"/>
      <c r="B1912" s="1114"/>
      <c r="C1912" s="902" t="s">
        <v>655</v>
      </c>
      <c r="D1912" s="1129"/>
      <c r="E1912" s="645"/>
      <c r="F1912" s="625" t="s">
        <v>34</v>
      </c>
      <c r="G1912" s="620">
        <v>4500</v>
      </c>
      <c r="H1912" s="676">
        <f>SUM(E1912*G1912)</f>
        <v>0</v>
      </c>
      <c r="I1912" s="677">
        <v>0</v>
      </c>
      <c r="J1912" s="678">
        <f t="shared" si="564"/>
        <v>0</v>
      </c>
      <c r="K1912" s="675">
        <f t="shared" si="550"/>
        <v>0</v>
      </c>
      <c r="L1912" s="1061"/>
      <c r="M1912" s="574"/>
      <c r="N1912" s="713"/>
      <c r="O1912" s="647"/>
      <c r="P1912" s="645"/>
      <c r="Q1912" s="574"/>
      <c r="R1912" s="574">
        <v>65</v>
      </c>
      <c r="S1912" s="900">
        <f t="shared" si="560"/>
        <v>65</v>
      </c>
      <c r="U1912" s="574"/>
    </row>
    <row r="1913" spans="1:21" ht="21.3">
      <c r="A1913" s="665"/>
      <c r="B1913" s="1114"/>
      <c r="C1913" s="902" t="s">
        <v>656</v>
      </c>
      <c r="D1913" s="1129"/>
      <c r="E1913" s="645"/>
      <c r="F1913" s="625" t="s">
        <v>34</v>
      </c>
      <c r="G1913" s="620">
        <v>4500</v>
      </c>
      <c r="H1913" s="676">
        <f>SUM(E1913*G1913)</f>
        <v>0</v>
      </c>
      <c r="I1913" s="677">
        <v>0</v>
      </c>
      <c r="J1913" s="678">
        <f t="shared" si="564"/>
        <v>0</v>
      </c>
      <c r="K1913" s="675">
        <f t="shared" si="550"/>
        <v>0</v>
      </c>
      <c r="L1913" s="1061"/>
      <c r="M1913" s="574"/>
      <c r="N1913" s="713"/>
      <c r="O1913" s="647"/>
      <c r="P1913" s="645"/>
      <c r="Q1913" s="574"/>
      <c r="R1913" s="574">
        <v>69</v>
      </c>
      <c r="S1913" s="900">
        <f t="shared" si="560"/>
        <v>69</v>
      </c>
      <c r="U1913" s="574"/>
    </row>
    <row r="1914" spans="1:21" ht="21.3">
      <c r="A1914" s="665"/>
      <c r="B1914" s="1114"/>
      <c r="C1914" s="902" t="s">
        <v>657</v>
      </c>
      <c r="D1914" s="1129"/>
      <c r="E1914" s="645"/>
      <c r="F1914" s="625" t="s">
        <v>34</v>
      </c>
      <c r="G1914" s="620">
        <v>6300</v>
      </c>
      <c r="H1914" s="676">
        <f>SUM(E1914*G1914)</f>
        <v>0</v>
      </c>
      <c r="I1914" s="677">
        <v>0</v>
      </c>
      <c r="J1914" s="678">
        <f t="shared" si="564"/>
        <v>0</v>
      </c>
      <c r="K1914" s="675">
        <f t="shared" si="550"/>
        <v>0</v>
      </c>
      <c r="L1914" s="1061"/>
      <c r="M1914" s="574"/>
      <c r="N1914" s="713"/>
      <c r="O1914" s="647"/>
      <c r="P1914" s="645"/>
      <c r="Q1914" s="574"/>
      <c r="R1914" s="574">
        <v>19</v>
      </c>
      <c r="S1914" s="900">
        <f t="shared" si="560"/>
        <v>19</v>
      </c>
      <c r="U1914" s="574"/>
    </row>
    <row r="1915" spans="1:21" ht="21.3">
      <c r="A1915" s="665"/>
      <c r="B1915" s="1114" t="s">
        <v>465</v>
      </c>
      <c r="C1915" s="902" t="s">
        <v>658</v>
      </c>
      <c r="D1915" s="1129"/>
      <c r="E1915" s="637"/>
      <c r="F1915" s="625" t="s">
        <v>34</v>
      </c>
      <c r="G1915" s="620">
        <v>6300</v>
      </c>
      <c r="H1915" s="676">
        <f t="shared" si="565"/>
        <v>0</v>
      </c>
      <c r="I1915" s="677">
        <v>0</v>
      </c>
      <c r="J1915" s="678">
        <f t="shared" si="564"/>
        <v>0</v>
      </c>
      <c r="K1915" s="675">
        <f t="shared" si="550"/>
        <v>0</v>
      </c>
      <c r="L1915" s="1085"/>
      <c r="M1915" s="574"/>
      <c r="N1915" s="667"/>
      <c r="O1915" s="636"/>
      <c r="P1915" s="637"/>
      <c r="Q1915" s="574"/>
      <c r="R1915" s="574">
        <v>20</v>
      </c>
      <c r="S1915" s="900">
        <f t="shared" si="560"/>
        <v>20</v>
      </c>
      <c r="U1915" s="574"/>
    </row>
    <row r="1916" spans="1:21" ht="21.3">
      <c r="A1916" s="665"/>
      <c r="B1916" s="1114"/>
      <c r="C1916" s="902"/>
      <c r="D1916" s="1129"/>
      <c r="E1916" s="637"/>
      <c r="F1916" s="625"/>
      <c r="G1916" s="620"/>
      <c r="H1916" s="676"/>
      <c r="I1916" s="677"/>
      <c r="J1916" s="678"/>
      <c r="K1916" s="675"/>
      <c r="L1916" s="1085"/>
      <c r="M1916" s="574"/>
      <c r="N1916" s="667"/>
      <c r="O1916" s="636"/>
      <c r="P1916" s="637"/>
      <c r="Q1916" s="574"/>
      <c r="R1916" s="574"/>
      <c r="S1916" s="900">
        <f t="shared" si="560"/>
        <v>0</v>
      </c>
      <c r="U1916" s="574"/>
    </row>
    <row r="1917" spans="1:21" ht="21.3">
      <c r="A1917" s="665" t="s">
        <v>466</v>
      </c>
      <c r="B1917" s="1111" t="s">
        <v>467</v>
      </c>
      <c r="C1917" s="2028"/>
      <c r="D1917" s="1129"/>
      <c r="E1917" s="637"/>
      <c r="F1917" s="625"/>
      <c r="G1917" s="641"/>
      <c r="H1917" s="676">
        <f t="shared" si="565"/>
        <v>0</v>
      </c>
      <c r="I1917" s="677"/>
      <c r="J1917" s="678">
        <f t="shared" ref="J1917:J1939" si="570">SUM(E1917*I1917)</f>
        <v>0</v>
      </c>
      <c r="K1917" s="675">
        <f t="shared" si="550"/>
        <v>0</v>
      </c>
      <c r="L1917" s="1065"/>
      <c r="M1917" s="900">
        <f>SUM(E1918:E1924)</f>
        <v>31</v>
      </c>
      <c r="N1917" s="667"/>
      <c r="O1917" s="636"/>
      <c r="P1917" s="637"/>
      <c r="Q1917" s="574"/>
      <c r="R1917" s="574"/>
      <c r="S1917" s="900">
        <f t="shared" si="560"/>
        <v>0</v>
      </c>
      <c r="U1917" s="574"/>
    </row>
    <row r="1918" spans="1:21" ht="21.3">
      <c r="A1918" s="665"/>
      <c r="B1918" s="1114" t="s">
        <v>421</v>
      </c>
      <c r="C1918" s="902" t="s">
        <v>620</v>
      </c>
      <c r="D1918" s="1129"/>
      <c r="E1918" s="637">
        <v>10</v>
      </c>
      <c r="F1918" s="625" t="s">
        <v>363</v>
      </c>
      <c r="G1918" s="620">
        <v>12131</v>
      </c>
      <c r="H1918" s="676">
        <f t="shared" si="565"/>
        <v>121310</v>
      </c>
      <c r="I1918" s="677">
        <v>3000</v>
      </c>
      <c r="J1918" s="678">
        <f t="shared" si="570"/>
        <v>30000</v>
      </c>
      <c r="K1918" s="675">
        <f t="shared" ref="K1918:K1939" si="571">SUM(H1918+J1918)</f>
        <v>151310</v>
      </c>
      <c r="L1918" s="1061"/>
      <c r="M1918" s="574"/>
      <c r="N1918" s="669"/>
      <c r="O1918" s="636"/>
      <c r="P1918" s="637"/>
      <c r="Q1918" s="574"/>
      <c r="R1918" s="574">
        <v>10</v>
      </c>
      <c r="S1918" s="900">
        <f t="shared" si="560"/>
        <v>0</v>
      </c>
      <c r="U1918" s="574"/>
    </row>
    <row r="1919" spans="1:21" ht="21.3">
      <c r="A1919" s="665"/>
      <c r="B1919" s="1114" t="s">
        <v>422</v>
      </c>
      <c r="C1919" s="902" t="s">
        <v>621</v>
      </c>
      <c r="D1919" s="1129"/>
      <c r="E1919" s="637">
        <v>2</v>
      </c>
      <c r="F1919" s="625" t="s">
        <v>363</v>
      </c>
      <c r="G1919" s="620">
        <v>24200</v>
      </c>
      <c r="H1919" s="676">
        <f t="shared" si="565"/>
        <v>48400</v>
      </c>
      <c r="I1919" s="677">
        <v>5400</v>
      </c>
      <c r="J1919" s="678">
        <f t="shared" si="570"/>
        <v>10800</v>
      </c>
      <c r="K1919" s="675">
        <f t="shared" si="571"/>
        <v>59200</v>
      </c>
      <c r="L1919" s="1061"/>
      <c r="M1919" s="574"/>
      <c r="N1919" s="669"/>
      <c r="O1919" s="636"/>
      <c r="P1919" s="637"/>
      <c r="Q1919" s="574"/>
      <c r="R1919" s="574">
        <v>2</v>
      </c>
      <c r="S1919" s="900">
        <f t="shared" si="560"/>
        <v>0</v>
      </c>
      <c r="U1919" s="574"/>
    </row>
    <row r="1920" spans="1:21" ht="21.3">
      <c r="A1920" s="665"/>
      <c r="B1920" s="1114"/>
      <c r="C1920" s="902" t="s">
        <v>623</v>
      </c>
      <c r="D1920" s="1129"/>
      <c r="E1920" s="637">
        <v>9</v>
      </c>
      <c r="F1920" s="625" t="s">
        <v>363</v>
      </c>
      <c r="G1920" s="620">
        <v>26320</v>
      </c>
      <c r="H1920" s="676">
        <f t="shared" si="565"/>
        <v>236880</v>
      </c>
      <c r="I1920" s="677">
        <v>5900</v>
      </c>
      <c r="J1920" s="678">
        <f t="shared" si="570"/>
        <v>53100</v>
      </c>
      <c r="K1920" s="675">
        <f t="shared" si="571"/>
        <v>289980</v>
      </c>
      <c r="L1920" s="1061"/>
      <c r="M1920" s="574"/>
      <c r="N1920" s="669"/>
      <c r="O1920" s="636"/>
      <c r="P1920" s="637"/>
      <c r="Q1920" s="574"/>
      <c r="R1920" s="574">
        <v>9</v>
      </c>
      <c r="S1920" s="900">
        <f t="shared" si="560"/>
        <v>0</v>
      </c>
      <c r="U1920" s="574"/>
    </row>
    <row r="1921" spans="1:21" ht="21.3">
      <c r="A1921" s="665"/>
      <c r="B1921" s="1114" t="s">
        <v>424</v>
      </c>
      <c r="C1921" s="902" t="s">
        <v>643</v>
      </c>
      <c r="D1921" s="1129"/>
      <c r="E1921" s="637">
        <v>2</v>
      </c>
      <c r="F1921" s="625" t="s">
        <v>363</v>
      </c>
      <c r="G1921" s="620">
        <v>8750</v>
      </c>
      <c r="H1921" s="676">
        <f t="shared" si="565"/>
        <v>17500</v>
      </c>
      <c r="I1921" s="677">
        <v>2200</v>
      </c>
      <c r="J1921" s="678">
        <f t="shared" si="570"/>
        <v>4400</v>
      </c>
      <c r="K1921" s="675">
        <f t="shared" si="571"/>
        <v>21900</v>
      </c>
      <c r="L1921" s="1061"/>
      <c r="M1921" s="574"/>
      <c r="N1921" s="669"/>
      <c r="O1921" s="636"/>
      <c r="P1921" s="637"/>
      <c r="Q1921" s="574"/>
      <c r="R1921" s="574">
        <v>2</v>
      </c>
      <c r="S1921" s="900">
        <f t="shared" si="560"/>
        <v>0</v>
      </c>
      <c r="U1921" s="574"/>
    </row>
    <row r="1922" spans="1:21" ht="21.3">
      <c r="A1922" s="665"/>
      <c r="B1922" s="1114"/>
      <c r="C1922" s="902" t="s">
        <v>659</v>
      </c>
      <c r="D1922" s="1129"/>
      <c r="E1922" s="637">
        <v>2</v>
      </c>
      <c r="F1922" s="625" t="s">
        <v>363</v>
      </c>
      <c r="G1922" s="620">
        <v>26311</v>
      </c>
      <c r="H1922" s="676">
        <f t="shared" si="565"/>
        <v>52622</v>
      </c>
      <c r="I1922" s="677">
        <v>5900</v>
      </c>
      <c r="J1922" s="678">
        <f t="shared" si="570"/>
        <v>11800</v>
      </c>
      <c r="K1922" s="675">
        <f t="shared" si="571"/>
        <v>64422</v>
      </c>
      <c r="L1922" s="1061"/>
      <c r="M1922" s="574"/>
      <c r="N1922" s="669"/>
      <c r="O1922" s="636"/>
      <c r="P1922" s="637"/>
      <c r="Q1922" s="574"/>
      <c r="R1922" s="574">
        <v>2</v>
      </c>
      <c r="S1922" s="900">
        <f t="shared" si="560"/>
        <v>0</v>
      </c>
      <c r="U1922" s="574"/>
    </row>
    <row r="1923" spans="1:21" ht="21.3">
      <c r="A1923" s="665"/>
      <c r="B1923" s="1114"/>
      <c r="C1923" s="902" t="s">
        <v>660</v>
      </c>
      <c r="D1923" s="1129"/>
      <c r="E1923" s="637">
        <v>2</v>
      </c>
      <c r="F1923" s="625" t="s">
        <v>363</v>
      </c>
      <c r="G1923" s="620">
        <v>12800</v>
      </c>
      <c r="H1923" s="676">
        <f t="shared" si="565"/>
        <v>25600</v>
      </c>
      <c r="I1923" s="677">
        <v>2100</v>
      </c>
      <c r="J1923" s="678">
        <f t="shared" si="570"/>
        <v>4200</v>
      </c>
      <c r="K1923" s="675">
        <f t="shared" si="571"/>
        <v>29800</v>
      </c>
      <c r="L1923" s="1061"/>
      <c r="M1923" s="574"/>
      <c r="N1923" s="669"/>
      <c r="O1923" s="636"/>
      <c r="P1923" s="637"/>
      <c r="Q1923" s="574"/>
      <c r="R1923" s="574">
        <v>2</v>
      </c>
      <c r="S1923" s="900">
        <f t="shared" si="560"/>
        <v>0</v>
      </c>
      <c r="U1923" s="574"/>
    </row>
    <row r="1924" spans="1:21" ht="21.3">
      <c r="A1924" s="665"/>
      <c r="B1924" s="1114" t="s">
        <v>419</v>
      </c>
      <c r="C1924" s="902" t="s">
        <v>618</v>
      </c>
      <c r="D1924" s="1129"/>
      <c r="E1924" s="637">
        <v>4</v>
      </c>
      <c r="F1924" s="625" t="s">
        <v>363</v>
      </c>
      <c r="G1924" s="620">
        <v>24510</v>
      </c>
      <c r="H1924" s="676">
        <f t="shared" si="565"/>
        <v>98040</v>
      </c>
      <c r="I1924" s="677">
        <v>3500</v>
      </c>
      <c r="J1924" s="678">
        <f t="shared" si="570"/>
        <v>14000</v>
      </c>
      <c r="K1924" s="675">
        <f t="shared" si="571"/>
        <v>112040</v>
      </c>
      <c r="L1924" s="1061"/>
      <c r="M1924" s="574"/>
      <c r="N1924" s="669"/>
      <c r="O1924" s="636"/>
      <c r="P1924" s="637"/>
      <c r="Q1924" s="574"/>
      <c r="R1924" s="574">
        <v>4</v>
      </c>
      <c r="S1924" s="900">
        <f t="shared" si="560"/>
        <v>0</v>
      </c>
      <c r="U1924" s="574"/>
    </row>
    <row r="1925" spans="1:21" ht="21.3">
      <c r="A1925" s="665"/>
      <c r="B1925" s="1114"/>
      <c r="C1925" s="902" t="s">
        <v>661</v>
      </c>
      <c r="D1925" s="1129"/>
      <c r="E1925" s="637">
        <v>2</v>
      </c>
      <c r="F1925" s="625" t="s">
        <v>363</v>
      </c>
      <c r="G1925" s="620">
        <v>6600</v>
      </c>
      <c r="H1925" s="676">
        <f t="shared" si="565"/>
        <v>13200</v>
      </c>
      <c r="I1925" s="677">
        <v>0</v>
      </c>
      <c r="J1925" s="678">
        <f t="shared" si="570"/>
        <v>0</v>
      </c>
      <c r="K1925" s="675">
        <f t="shared" si="571"/>
        <v>13200</v>
      </c>
      <c r="L1925" s="1085"/>
      <c r="M1925" s="901" t="s">
        <v>1050</v>
      </c>
      <c r="N1925" s="667"/>
      <c r="O1925" s="636"/>
      <c r="P1925" s="637"/>
      <c r="Q1925" s="574"/>
      <c r="R1925" s="574">
        <v>2</v>
      </c>
      <c r="S1925" s="900">
        <f t="shared" si="560"/>
        <v>0</v>
      </c>
      <c r="U1925" s="574"/>
    </row>
    <row r="1926" spans="1:21" ht="21.3">
      <c r="A1926" s="665"/>
      <c r="B1926" s="1114"/>
      <c r="C1926" s="902" t="s">
        <v>662</v>
      </c>
      <c r="D1926" s="1129"/>
      <c r="E1926" s="637">
        <v>6</v>
      </c>
      <c r="F1926" s="625" t="s">
        <v>363</v>
      </c>
      <c r="G1926" s="620">
        <v>6600</v>
      </c>
      <c r="H1926" s="676">
        <f t="shared" si="565"/>
        <v>39600</v>
      </c>
      <c r="I1926" s="677">
        <v>0</v>
      </c>
      <c r="J1926" s="678">
        <f t="shared" si="570"/>
        <v>0</v>
      </c>
      <c r="K1926" s="675">
        <f t="shared" si="571"/>
        <v>39600</v>
      </c>
      <c r="L1926" s="1085"/>
      <c r="M1926" s="901" t="s">
        <v>1051</v>
      </c>
      <c r="N1926" s="667"/>
      <c r="O1926" s="636"/>
      <c r="P1926" s="637"/>
      <c r="Q1926" s="574"/>
      <c r="R1926" s="574">
        <v>6</v>
      </c>
      <c r="S1926" s="900">
        <f t="shared" si="560"/>
        <v>0</v>
      </c>
      <c r="U1926" s="574"/>
    </row>
    <row r="1927" spans="1:21" ht="21.3">
      <c r="A1927" s="665"/>
      <c r="B1927" s="1114"/>
      <c r="C1927" s="902" t="s">
        <v>1052</v>
      </c>
      <c r="D1927" s="1129"/>
      <c r="E1927" s="637">
        <v>2</v>
      </c>
      <c r="F1927" s="625" t="s">
        <v>363</v>
      </c>
      <c r="G1927" s="620">
        <v>6600</v>
      </c>
      <c r="H1927" s="676">
        <f t="shared" si="565"/>
        <v>13200</v>
      </c>
      <c r="I1927" s="677">
        <v>0</v>
      </c>
      <c r="J1927" s="678">
        <f t="shared" si="570"/>
        <v>0</v>
      </c>
      <c r="K1927" s="675">
        <f t="shared" si="571"/>
        <v>13200</v>
      </c>
      <c r="L1927" s="1085"/>
      <c r="M1927" s="901" t="s">
        <v>1053</v>
      </c>
      <c r="N1927" s="667"/>
      <c r="O1927" s="636"/>
      <c r="P1927" s="637"/>
      <c r="Q1927" s="574"/>
      <c r="R1927" s="574">
        <v>2</v>
      </c>
      <c r="S1927" s="900">
        <f t="shared" si="560"/>
        <v>0</v>
      </c>
      <c r="U1927" s="574"/>
    </row>
    <row r="1928" spans="1:21" ht="21.3">
      <c r="A1928" s="665"/>
      <c r="B1928" s="1114"/>
      <c r="C1928" s="902" t="s">
        <v>1054</v>
      </c>
      <c r="D1928" s="1129"/>
      <c r="E1928" s="637">
        <v>2</v>
      </c>
      <c r="F1928" s="625" t="s">
        <v>363</v>
      </c>
      <c r="G1928" s="620">
        <v>6600</v>
      </c>
      <c r="H1928" s="676">
        <f t="shared" si="565"/>
        <v>13200</v>
      </c>
      <c r="I1928" s="677">
        <v>0</v>
      </c>
      <c r="J1928" s="678">
        <f t="shared" si="570"/>
        <v>0</v>
      </c>
      <c r="K1928" s="675">
        <f t="shared" si="571"/>
        <v>13200</v>
      </c>
      <c r="L1928" s="1085"/>
      <c r="M1928" s="901" t="s">
        <v>1055</v>
      </c>
      <c r="N1928" s="667"/>
      <c r="O1928" s="636"/>
      <c r="P1928" s="637"/>
      <c r="Q1928" s="574"/>
      <c r="R1928" s="574">
        <v>2</v>
      </c>
      <c r="S1928" s="900">
        <f t="shared" si="560"/>
        <v>0</v>
      </c>
      <c r="U1928" s="574"/>
    </row>
    <row r="1929" spans="1:21" ht="21.3">
      <c r="A1929" s="665"/>
      <c r="B1929" s="1114"/>
      <c r="C1929" s="902" t="s">
        <v>1056</v>
      </c>
      <c r="D1929" s="1129"/>
      <c r="E1929" s="637">
        <v>4</v>
      </c>
      <c r="F1929" s="625" t="s">
        <v>363</v>
      </c>
      <c r="G1929" s="620">
        <v>6600</v>
      </c>
      <c r="H1929" s="676">
        <f t="shared" si="565"/>
        <v>26400</v>
      </c>
      <c r="I1929" s="677">
        <v>0</v>
      </c>
      <c r="J1929" s="678">
        <f t="shared" si="570"/>
        <v>0</v>
      </c>
      <c r="K1929" s="675">
        <f t="shared" si="571"/>
        <v>26400</v>
      </c>
      <c r="L1929" s="1085"/>
      <c r="M1929" s="901" t="s">
        <v>1057</v>
      </c>
      <c r="N1929" s="667"/>
      <c r="O1929" s="636"/>
      <c r="P1929" s="637"/>
      <c r="Q1929" s="574"/>
      <c r="R1929" s="574">
        <v>4</v>
      </c>
      <c r="S1929" s="900">
        <f t="shared" ref="S1929:S1939" si="572">+R1929-E1929</f>
        <v>0</v>
      </c>
      <c r="U1929" s="574"/>
    </row>
    <row r="1930" spans="1:21" ht="21.3">
      <c r="A1930" s="665"/>
      <c r="B1930" s="1114"/>
      <c r="C1930" s="902" t="s">
        <v>1058</v>
      </c>
      <c r="D1930" s="1129"/>
      <c r="E1930" s="637">
        <v>2</v>
      </c>
      <c r="F1930" s="625" t="s">
        <v>363</v>
      </c>
      <c r="G1930" s="620">
        <v>6600</v>
      </c>
      <c r="H1930" s="676">
        <f t="shared" si="565"/>
        <v>13200</v>
      </c>
      <c r="I1930" s="677">
        <v>0</v>
      </c>
      <c r="J1930" s="678">
        <f t="shared" si="570"/>
        <v>0</v>
      </c>
      <c r="K1930" s="675">
        <f t="shared" si="571"/>
        <v>13200</v>
      </c>
      <c r="L1930" s="1085"/>
      <c r="M1930" s="901" t="s">
        <v>1059</v>
      </c>
      <c r="N1930" s="667"/>
      <c r="O1930" s="636"/>
      <c r="P1930" s="637"/>
      <c r="Q1930" s="574"/>
      <c r="R1930" s="574">
        <v>2</v>
      </c>
      <c r="S1930" s="900">
        <f t="shared" si="572"/>
        <v>0</v>
      </c>
      <c r="U1930" s="574"/>
    </row>
    <row r="1931" spans="1:21" ht="21.3">
      <c r="A1931" s="665"/>
      <c r="B1931" s="1114"/>
      <c r="C1931" s="902" t="s">
        <v>1060</v>
      </c>
      <c r="D1931" s="1129"/>
      <c r="E1931" s="637">
        <v>2</v>
      </c>
      <c r="F1931" s="625" t="s">
        <v>363</v>
      </c>
      <c r="G1931" s="620">
        <v>6600</v>
      </c>
      <c r="H1931" s="676">
        <f t="shared" si="565"/>
        <v>13200</v>
      </c>
      <c r="I1931" s="677">
        <v>0</v>
      </c>
      <c r="J1931" s="678">
        <f t="shared" si="570"/>
        <v>0</v>
      </c>
      <c r="K1931" s="675">
        <f t="shared" si="571"/>
        <v>13200</v>
      </c>
      <c r="L1931" s="1085"/>
      <c r="M1931" s="901" t="s">
        <v>1061</v>
      </c>
      <c r="N1931" s="667"/>
      <c r="O1931" s="636"/>
      <c r="P1931" s="637"/>
      <c r="Q1931" s="574"/>
      <c r="R1931" s="574">
        <v>2</v>
      </c>
      <c r="S1931" s="900">
        <f t="shared" si="572"/>
        <v>0</v>
      </c>
      <c r="U1931" s="574"/>
    </row>
    <row r="1932" spans="1:21" ht="21.3">
      <c r="A1932" s="665"/>
      <c r="B1932" s="1114"/>
      <c r="C1932" s="902" t="s">
        <v>1062</v>
      </c>
      <c r="D1932" s="1129"/>
      <c r="E1932" s="637">
        <v>2</v>
      </c>
      <c r="F1932" s="625" t="s">
        <v>363</v>
      </c>
      <c r="G1932" s="620">
        <v>6600</v>
      </c>
      <c r="H1932" s="676">
        <f t="shared" si="565"/>
        <v>13200</v>
      </c>
      <c r="I1932" s="677">
        <v>0</v>
      </c>
      <c r="J1932" s="678">
        <f t="shared" si="570"/>
        <v>0</v>
      </c>
      <c r="K1932" s="675">
        <f t="shared" si="571"/>
        <v>13200</v>
      </c>
      <c r="L1932" s="1085"/>
      <c r="M1932" s="901" t="s">
        <v>1063</v>
      </c>
      <c r="N1932" s="667"/>
      <c r="O1932" s="636"/>
      <c r="P1932" s="637"/>
      <c r="Q1932" s="574"/>
      <c r="R1932" s="574">
        <v>2</v>
      </c>
      <c r="S1932" s="900">
        <f t="shared" si="572"/>
        <v>0</v>
      </c>
      <c r="U1932" s="574"/>
    </row>
    <row r="1933" spans="1:21" ht="21.3">
      <c r="A1933" s="665"/>
      <c r="B1933" s="1114"/>
      <c r="C1933" s="2028" t="s">
        <v>663</v>
      </c>
      <c r="D1933" s="1129"/>
      <c r="E1933" s="637">
        <v>4</v>
      </c>
      <c r="F1933" s="1086" t="s">
        <v>363</v>
      </c>
      <c r="G1933" s="620">
        <v>12500</v>
      </c>
      <c r="H1933" s="676">
        <f t="shared" si="565"/>
        <v>50000</v>
      </c>
      <c r="I1933" s="677">
        <v>0</v>
      </c>
      <c r="J1933" s="678">
        <f t="shared" si="570"/>
        <v>0</v>
      </c>
      <c r="K1933" s="675">
        <f t="shared" si="571"/>
        <v>50000</v>
      </c>
      <c r="L1933" s="1085"/>
      <c r="M1933" s="574"/>
      <c r="N1933" s="667"/>
      <c r="O1933" s="636"/>
      <c r="P1933" s="637"/>
      <c r="Q1933" s="574"/>
      <c r="R1933" s="574">
        <v>4</v>
      </c>
      <c r="S1933" s="900">
        <f t="shared" si="572"/>
        <v>0</v>
      </c>
      <c r="U1933" s="574"/>
    </row>
    <row r="1934" spans="1:21" ht="21.3">
      <c r="A1934" s="665"/>
      <c r="B1934" s="1114"/>
      <c r="C1934" s="2028" t="s">
        <v>664</v>
      </c>
      <c r="D1934" s="1129"/>
      <c r="E1934" s="637">
        <v>4</v>
      </c>
      <c r="F1934" s="1086" t="s">
        <v>363</v>
      </c>
      <c r="G1934" s="620">
        <v>12500</v>
      </c>
      <c r="H1934" s="676">
        <f t="shared" si="565"/>
        <v>50000</v>
      </c>
      <c r="I1934" s="677">
        <v>0</v>
      </c>
      <c r="J1934" s="678">
        <f t="shared" si="570"/>
        <v>0</v>
      </c>
      <c r="K1934" s="675">
        <f t="shared" si="571"/>
        <v>50000</v>
      </c>
      <c r="L1934" s="1085"/>
      <c r="M1934" s="574"/>
      <c r="N1934" s="667"/>
      <c r="O1934" s="636"/>
      <c r="P1934" s="637"/>
      <c r="Q1934" s="574"/>
      <c r="R1934" s="574">
        <v>4</v>
      </c>
      <c r="S1934" s="900">
        <f t="shared" si="572"/>
        <v>0</v>
      </c>
      <c r="U1934" s="574"/>
    </row>
    <row r="1935" spans="1:21" ht="21.3">
      <c r="A1935" s="665"/>
      <c r="B1935" s="1114"/>
      <c r="C1935" s="2028" t="s">
        <v>665</v>
      </c>
      <c r="D1935" s="1129"/>
      <c r="E1935" s="637">
        <v>2</v>
      </c>
      <c r="F1935" s="1086" t="s">
        <v>363</v>
      </c>
      <c r="G1935" s="620">
        <v>12500</v>
      </c>
      <c r="H1935" s="676">
        <f t="shared" si="565"/>
        <v>25000</v>
      </c>
      <c r="I1935" s="677">
        <v>0</v>
      </c>
      <c r="J1935" s="678">
        <f t="shared" si="570"/>
        <v>0</v>
      </c>
      <c r="K1935" s="675">
        <f t="shared" si="571"/>
        <v>25000</v>
      </c>
      <c r="L1935" s="1085"/>
      <c r="M1935" s="574"/>
      <c r="N1935" s="667"/>
      <c r="O1935" s="636"/>
      <c r="P1935" s="637"/>
      <c r="Q1935" s="574"/>
      <c r="R1935" s="574">
        <v>2</v>
      </c>
      <c r="S1935" s="900">
        <f t="shared" si="572"/>
        <v>0</v>
      </c>
      <c r="U1935" s="574"/>
    </row>
    <row r="1936" spans="1:21" ht="21.3">
      <c r="A1936" s="665"/>
      <c r="B1936" s="1114"/>
      <c r="C1936" s="2028" t="s">
        <v>666</v>
      </c>
      <c r="D1936" s="1129"/>
      <c r="E1936" s="637">
        <v>1</v>
      </c>
      <c r="F1936" s="1086" t="s">
        <v>363</v>
      </c>
      <c r="G1936" s="620">
        <v>12500</v>
      </c>
      <c r="H1936" s="676">
        <f t="shared" si="565"/>
        <v>12500</v>
      </c>
      <c r="I1936" s="677">
        <v>0</v>
      </c>
      <c r="J1936" s="678">
        <f t="shared" si="570"/>
        <v>0</v>
      </c>
      <c r="K1936" s="675">
        <f t="shared" si="571"/>
        <v>12500</v>
      </c>
      <c r="L1936" s="1085"/>
      <c r="M1936" s="574"/>
      <c r="N1936" s="667"/>
      <c r="O1936" s="636"/>
      <c r="P1936" s="637"/>
      <c r="Q1936" s="574"/>
      <c r="R1936" s="574">
        <v>1</v>
      </c>
      <c r="S1936" s="900">
        <f t="shared" si="572"/>
        <v>0</v>
      </c>
      <c r="U1936" s="574"/>
    </row>
    <row r="1937" spans="1:24" ht="21.3">
      <c r="A1937" s="665"/>
      <c r="B1937" s="1114"/>
      <c r="C1937" s="2028" t="s">
        <v>667</v>
      </c>
      <c r="D1937" s="1129"/>
      <c r="E1937" s="637">
        <v>1</v>
      </c>
      <c r="F1937" s="1086" t="s">
        <v>363</v>
      </c>
      <c r="G1937" s="620">
        <v>12500</v>
      </c>
      <c r="H1937" s="676">
        <f t="shared" si="565"/>
        <v>12500</v>
      </c>
      <c r="I1937" s="677">
        <v>0</v>
      </c>
      <c r="J1937" s="678">
        <f t="shared" si="570"/>
        <v>0</v>
      </c>
      <c r="K1937" s="675">
        <f t="shared" si="571"/>
        <v>12500</v>
      </c>
      <c r="L1937" s="1085"/>
      <c r="M1937" s="574"/>
      <c r="N1937" s="667"/>
      <c r="O1937" s="636"/>
      <c r="P1937" s="637"/>
      <c r="Q1937" s="574"/>
      <c r="R1937" s="574">
        <v>1</v>
      </c>
      <c r="S1937" s="900">
        <f t="shared" si="572"/>
        <v>0</v>
      </c>
      <c r="U1937" s="574"/>
    </row>
    <row r="1938" spans="1:24" ht="21.3">
      <c r="A1938" s="665"/>
      <c r="B1938" s="1114"/>
      <c r="C1938" s="2028" t="s">
        <v>668</v>
      </c>
      <c r="D1938" s="1129"/>
      <c r="E1938" s="637">
        <v>1</v>
      </c>
      <c r="F1938" s="1086" t="s">
        <v>363</v>
      </c>
      <c r="G1938" s="620">
        <v>12500</v>
      </c>
      <c r="H1938" s="676">
        <f t="shared" si="565"/>
        <v>12500</v>
      </c>
      <c r="I1938" s="677">
        <v>0</v>
      </c>
      <c r="J1938" s="678">
        <f t="shared" si="570"/>
        <v>0</v>
      </c>
      <c r="K1938" s="675">
        <f t="shared" si="571"/>
        <v>12500</v>
      </c>
      <c r="L1938" s="1085"/>
      <c r="M1938" s="574"/>
      <c r="N1938" s="667"/>
      <c r="O1938" s="636"/>
      <c r="P1938" s="637"/>
      <c r="Q1938" s="574"/>
      <c r="R1938" s="574">
        <v>1</v>
      </c>
      <c r="S1938" s="900">
        <f t="shared" si="572"/>
        <v>0</v>
      </c>
      <c r="U1938" s="574"/>
    </row>
    <row r="1939" spans="1:24" ht="21.3">
      <c r="A1939" s="665"/>
      <c r="B1939" s="1114"/>
      <c r="C1939" s="2028" t="s">
        <v>669</v>
      </c>
      <c r="D1939" s="1129"/>
      <c r="E1939" s="637">
        <v>1</v>
      </c>
      <c r="F1939" s="1086" t="s">
        <v>363</v>
      </c>
      <c r="G1939" s="620">
        <v>15200</v>
      </c>
      <c r="H1939" s="676">
        <f t="shared" si="565"/>
        <v>15200</v>
      </c>
      <c r="I1939" s="677">
        <v>0</v>
      </c>
      <c r="J1939" s="678">
        <f t="shared" si="570"/>
        <v>0</v>
      </c>
      <c r="K1939" s="675">
        <f t="shared" si="571"/>
        <v>15200</v>
      </c>
      <c r="L1939" s="1085"/>
      <c r="M1939" s="574"/>
      <c r="N1939" s="667"/>
      <c r="O1939" s="636"/>
      <c r="P1939" s="637"/>
      <c r="Q1939" s="574"/>
      <c r="R1939" s="574">
        <v>1</v>
      </c>
      <c r="S1939" s="900">
        <f t="shared" si="572"/>
        <v>0</v>
      </c>
      <c r="U1939" s="574"/>
    </row>
    <row r="1940" spans="1:24" ht="21.3">
      <c r="A1940" s="658"/>
      <c r="B1940" s="2228" t="s">
        <v>470</v>
      </c>
      <c r="C1940" s="2228"/>
      <c r="D1940" s="2228"/>
      <c r="E1940" s="600">
        <v>0</v>
      </c>
      <c r="F1940" s="601"/>
      <c r="G1940" s="602"/>
      <c r="H1940" s="660">
        <f>SUM(H1602:H1939)</f>
        <v>13997167</v>
      </c>
      <c r="I1940" s="661"/>
      <c r="J1940" s="660">
        <f>SUM(J1602:J1939)</f>
        <v>3755400</v>
      </c>
      <c r="K1940" s="1072">
        <f>SUM(K1602:K1939)</f>
        <v>17752567</v>
      </c>
      <c r="L1940" s="662"/>
      <c r="M1940" s="574"/>
      <c r="N1940" s="671"/>
      <c r="O1940" s="606"/>
      <c r="P1940" s="600"/>
      <c r="Q1940" s="607">
        <f>H1940+J1940</f>
        <v>17752567</v>
      </c>
      <c r="R1940" s="574"/>
      <c r="S1940" s="716"/>
      <c r="T1940" s="574"/>
      <c r="U1940" s="716"/>
      <c r="X1940" s="717"/>
    </row>
    <row r="1941" spans="1:24" ht="21.3">
      <c r="A1941" s="694">
        <v>2.6</v>
      </c>
      <c r="B1941" s="1138" t="s">
        <v>468</v>
      </c>
      <c r="C1941" s="1139"/>
      <c r="D1941" s="1140"/>
      <c r="E1941" s="695"/>
      <c r="F1941" s="696"/>
      <c r="G1941" s="697"/>
      <c r="H1941" s="698"/>
      <c r="I1941" s="699"/>
      <c r="J1941" s="698"/>
      <c r="K1941" s="1081"/>
      <c r="L1941" s="1082"/>
      <c r="M1941" s="574"/>
      <c r="N1941" s="700"/>
      <c r="O1941" s="701"/>
      <c r="P1941" s="695"/>
      <c r="Q1941" s="574"/>
      <c r="R1941" s="574"/>
      <c r="S1941" s="574"/>
    </row>
    <row r="1942" spans="1:24" ht="21.3">
      <c r="A1942" s="904" t="s">
        <v>472</v>
      </c>
      <c r="B1942" s="803" t="s">
        <v>670</v>
      </c>
      <c r="C1942" s="803"/>
      <c r="D1942" s="803"/>
      <c r="E1942" s="673"/>
      <c r="F1942" s="674"/>
      <c r="G1942" s="704"/>
      <c r="H1942" s="705"/>
      <c r="I1942" s="706"/>
      <c r="J1942" s="707"/>
      <c r="K1942" s="708"/>
      <c r="L1942" s="1083"/>
      <c r="M1942" s="632"/>
      <c r="N1942" s="709">
        <f t="shared" ref="N1942:N2085" si="573">+(1+O1942)*P1942</f>
        <v>0</v>
      </c>
      <c r="O1942" s="681">
        <v>0</v>
      </c>
      <c r="P1942" s="673"/>
      <c r="Q1942" s="632"/>
      <c r="R1942" s="632"/>
      <c r="S1942" s="632"/>
    </row>
    <row r="1943" spans="1:24" ht="21.3">
      <c r="A1943" s="702"/>
      <c r="B1943" s="1141"/>
      <c r="C1943" s="710" t="s">
        <v>671</v>
      </c>
      <c r="D1943" s="899"/>
      <c r="E1943" s="673"/>
      <c r="F1943" s="674"/>
      <c r="G1943" s="711"/>
      <c r="H1943" s="705"/>
      <c r="I1943" s="712"/>
      <c r="J1943" s="707"/>
      <c r="K1943" s="708"/>
      <c r="L1943" s="1083"/>
      <c r="M1943" s="632"/>
      <c r="N1943" s="709">
        <f t="shared" si="573"/>
        <v>0</v>
      </c>
      <c r="O1943" s="681">
        <v>0</v>
      </c>
      <c r="P1943" s="673"/>
      <c r="Q1943" s="632"/>
      <c r="R1943" s="632"/>
      <c r="S1943" s="632"/>
    </row>
    <row r="1944" spans="1:24" ht="21.3">
      <c r="A1944" s="702"/>
      <c r="B1944" s="1141" t="s">
        <v>672</v>
      </c>
      <c r="C1944" s="710"/>
      <c r="D1944" s="899"/>
      <c r="E1944" s="673">
        <f>95.56*6.28</f>
        <v>600.11680000000001</v>
      </c>
      <c r="F1944" s="674" t="s">
        <v>34</v>
      </c>
      <c r="G1944" s="711">
        <v>10800</v>
      </c>
      <c r="H1944" s="705">
        <f t="shared" ref="H1944:H1955" si="574">E1944*G1944</f>
        <v>6481261.4400000004</v>
      </c>
      <c r="I1944" s="712">
        <v>0</v>
      </c>
      <c r="J1944" s="707">
        <f t="shared" ref="J1944:J1955" si="575">I1944*E1944</f>
        <v>0</v>
      </c>
      <c r="K1944" s="708">
        <f t="shared" ref="K1944:K1955" si="576">H1944+J1944</f>
        <v>6481261.4400000004</v>
      </c>
      <c r="L1944" s="1083"/>
      <c r="M1944" s="632"/>
      <c r="N1944" s="709">
        <f t="shared" si="573"/>
        <v>0</v>
      </c>
      <c r="O1944" s="681">
        <v>0</v>
      </c>
      <c r="P1944" s="673"/>
      <c r="Q1944" s="632"/>
      <c r="R1944" s="632"/>
      <c r="S1944" s="632"/>
    </row>
    <row r="1945" spans="1:24" ht="21.3">
      <c r="A1945" s="702"/>
      <c r="B1945" s="703"/>
      <c r="C1945" s="703" t="s">
        <v>673</v>
      </c>
      <c r="D1945" s="703"/>
      <c r="E1945" s="673">
        <f>95.56*1</f>
        <v>95.56</v>
      </c>
      <c r="F1945" s="674" t="s">
        <v>34</v>
      </c>
      <c r="G1945" s="704">
        <v>1595</v>
      </c>
      <c r="H1945" s="705">
        <f t="shared" si="574"/>
        <v>152418.20000000001</v>
      </c>
      <c r="I1945" s="706">
        <v>0</v>
      </c>
      <c r="J1945" s="707">
        <f t="shared" si="575"/>
        <v>0</v>
      </c>
      <c r="K1945" s="708">
        <f t="shared" si="576"/>
        <v>152418.20000000001</v>
      </c>
      <c r="L1945" s="1083"/>
      <c r="M1945" s="632"/>
      <c r="N1945" s="709">
        <f t="shared" si="573"/>
        <v>0</v>
      </c>
      <c r="O1945" s="681">
        <v>0</v>
      </c>
      <c r="P1945" s="673"/>
      <c r="Q1945" s="632"/>
      <c r="R1945" s="632"/>
      <c r="S1945" s="632"/>
    </row>
    <row r="1946" spans="1:24" ht="21.3">
      <c r="A1946" s="702"/>
      <c r="B1946" s="703"/>
      <c r="C1946" s="703" t="s">
        <v>674</v>
      </c>
      <c r="D1946" s="703"/>
      <c r="E1946" s="673">
        <f>95.56*2.12</f>
        <v>202.58720000000002</v>
      </c>
      <c r="F1946" s="674" t="s">
        <v>34</v>
      </c>
      <c r="G1946" s="704">
        <v>310</v>
      </c>
      <c r="H1946" s="705">
        <f t="shared" si="574"/>
        <v>62802.032000000007</v>
      </c>
      <c r="I1946" s="706">
        <f>ROUNDUP((G1946*0.25),0)</f>
        <v>78</v>
      </c>
      <c r="J1946" s="707">
        <f t="shared" si="575"/>
        <v>15801.801600000003</v>
      </c>
      <c r="K1946" s="708">
        <f t="shared" si="576"/>
        <v>78603.833600000013</v>
      </c>
      <c r="L1946" s="1083"/>
      <c r="M1946" s="632"/>
      <c r="N1946" s="709">
        <f t="shared" si="573"/>
        <v>0</v>
      </c>
      <c r="O1946" s="681">
        <v>0</v>
      </c>
      <c r="P1946" s="673"/>
      <c r="Q1946" s="632"/>
      <c r="R1946" s="632"/>
      <c r="S1946" s="632"/>
    </row>
    <row r="1947" spans="1:24" ht="21.3">
      <c r="A1947" s="702"/>
      <c r="B1947" s="1141"/>
      <c r="C1947" s="710" t="s">
        <v>675</v>
      </c>
      <c r="D1947" s="899"/>
      <c r="E1947" s="673">
        <f>95.56*(0.6+0.92+0.9)</f>
        <v>231.2552</v>
      </c>
      <c r="F1947" s="674" t="s">
        <v>34</v>
      </c>
      <c r="G1947" s="711">
        <v>496</v>
      </c>
      <c r="H1947" s="705">
        <f t="shared" si="574"/>
        <v>114702.57920000001</v>
      </c>
      <c r="I1947" s="712">
        <f>172</f>
        <v>172</v>
      </c>
      <c r="J1947" s="707">
        <f t="shared" si="575"/>
        <v>39775.894399999997</v>
      </c>
      <c r="K1947" s="708">
        <f t="shared" si="576"/>
        <v>154478.4736</v>
      </c>
      <c r="L1947" s="1083"/>
      <c r="M1947" s="632"/>
      <c r="N1947" s="709">
        <f t="shared" si="573"/>
        <v>0</v>
      </c>
      <c r="O1947" s="681">
        <v>0</v>
      </c>
      <c r="P1947" s="673"/>
      <c r="Q1947" s="632"/>
      <c r="R1947" s="632"/>
      <c r="S1947" s="632"/>
    </row>
    <row r="1948" spans="1:24" ht="21.3">
      <c r="A1948" s="702"/>
      <c r="B1948" s="1141" t="s">
        <v>676</v>
      </c>
      <c r="C1948" s="710"/>
      <c r="D1948" s="899"/>
      <c r="E1948" s="673">
        <f>95.56*1.4</f>
        <v>133.78399999999999</v>
      </c>
      <c r="F1948" s="674" t="s">
        <v>34</v>
      </c>
      <c r="G1948" s="711">
        <v>7050</v>
      </c>
      <c r="H1948" s="705">
        <f t="shared" si="574"/>
        <v>943177.2</v>
      </c>
      <c r="I1948" s="712">
        <v>0</v>
      </c>
      <c r="J1948" s="707">
        <f t="shared" si="575"/>
        <v>0</v>
      </c>
      <c r="K1948" s="708">
        <f t="shared" si="576"/>
        <v>943177.2</v>
      </c>
      <c r="L1948" s="1083"/>
      <c r="M1948" s="632"/>
      <c r="N1948" s="709">
        <f t="shared" si="573"/>
        <v>0</v>
      </c>
      <c r="O1948" s="681">
        <v>0</v>
      </c>
      <c r="P1948" s="673"/>
      <c r="Q1948" s="632"/>
      <c r="R1948" s="632"/>
      <c r="S1948" s="632"/>
    </row>
    <row r="1949" spans="1:24" ht="21.3">
      <c r="A1949" s="702"/>
      <c r="B1949" s="703" t="s">
        <v>677</v>
      </c>
      <c r="C1949" s="703"/>
      <c r="D1949" s="703"/>
      <c r="E1949" s="673">
        <f>ROUNDUP(95.56/1.4,0)+2-(8.4/1.4)</f>
        <v>65</v>
      </c>
      <c r="F1949" s="674" t="s">
        <v>363</v>
      </c>
      <c r="G1949" s="704">
        <v>5544</v>
      </c>
      <c r="H1949" s="705">
        <f t="shared" si="574"/>
        <v>360360</v>
      </c>
      <c r="I1949" s="706">
        <v>165</v>
      </c>
      <c r="J1949" s="707">
        <f t="shared" si="575"/>
        <v>10725</v>
      </c>
      <c r="K1949" s="708">
        <f t="shared" si="576"/>
        <v>371085</v>
      </c>
      <c r="L1949" s="1083"/>
      <c r="M1949" s="632"/>
      <c r="N1949" s="709">
        <f t="shared" si="573"/>
        <v>0</v>
      </c>
      <c r="O1949" s="681">
        <v>0</v>
      </c>
      <c r="P1949" s="673"/>
      <c r="Q1949" s="632"/>
      <c r="R1949" s="632"/>
      <c r="S1949" s="632"/>
    </row>
    <row r="1950" spans="1:24" ht="21.3">
      <c r="A1950" s="702"/>
      <c r="B1950" s="703" t="s">
        <v>678</v>
      </c>
      <c r="C1950" s="703"/>
      <c r="D1950" s="703"/>
      <c r="E1950" s="673">
        <f>ROUNDUP(95.56/1.4,0)+2</f>
        <v>71</v>
      </c>
      <c r="F1950" s="674" t="s">
        <v>363</v>
      </c>
      <c r="G1950" s="704">
        <v>3136</v>
      </c>
      <c r="H1950" s="705">
        <f t="shared" si="574"/>
        <v>222656</v>
      </c>
      <c r="I1950" s="706">
        <v>165</v>
      </c>
      <c r="J1950" s="707">
        <f t="shared" si="575"/>
        <v>11715</v>
      </c>
      <c r="K1950" s="708">
        <f t="shared" si="576"/>
        <v>234371</v>
      </c>
      <c r="L1950" s="1083"/>
      <c r="M1950" s="632"/>
      <c r="N1950" s="709">
        <f t="shared" si="573"/>
        <v>0</v>
      </c>
      <c r="O1950" s="681">
        <v>0</v>
      </c>
      <c r="P1950" s="673"/>
      <c r="Q1950" s="632"/>
      <c r="R1950" s="632"/>
      <c r="S1950" s="632"/>
    </row>
    <row r="1951" spans="1:24" ht="21.3">
      <c r="A1951" s="702"/>
      <c r="B1951" s="703" t="s">
        <v>679</v>
      </c>
      <c r="C1951" s="703"/>
      <c r="D1951" s="703"/>
      <c r="E1951" s="673">
        <v>1</v>
      </c>
      <c r="F1951" s="674" t="s">
        <v>363</v>
      </c>
      <c r="G1951" s="704">
        <v>262140</v>
      </c>
      <c r="H1951" s="705">
        <f t="shared" ref="H1951:H1952" si="577">SUM(E1951*G1951)</f>
        <v>262140</v>
      </c>
      <c r="I1951" s="706">
        <v>91700</v>
      </c>
      <c r="J1951" s="707">
        <f t="shared" si="575"/>
        <v>91700</v>
      </c>
      <c r="K1951" s="708">
        <f t="shared" si="576"/>
        <v>353840</v>
      </c>
      <c r="L1951" s="1083"/>
      <c r="M1951" s="632"/>
      <c r="N1951" s="709">
        <f t="shared" si="573"/>
        <v>0</v>
      </c>
      <c r="O1951" s="681">
        <v>0</v>
      </c>
      <c r="P1951" s="673"/>
      <c r="Q1951" s="632"/>
      <c r="R1951" s="632"/>
      <c r="S1951" s="632"/>
    </row>
    <row r="1952" spans="1:24" ht="21.3">
      <c r="A1952" s="702"/>
      <c r="B1952" s="703" t="s">
        <v>680</v>
      </c>
      <c r="C1952" s="703"/>
      <c r="D1952" s="703"/>
      <c r="E1952" s="673">
        <v>1</v>
      </c>
      <c r="F1952" s="674" t="s">
        <v>363</v>
      </c>
      <c r="G1952" s="704">
        <v>474780</v>
      </c>
      <c r="H1952" s="705">
        <f t="shared" si="577"/>
        <v>474780</v>
      </c>
      <c r="I1952" s="706">
        <v>78200</v>
      </c>
      <c r="J1952" s="707">
        <f t="shared" si="575"/>
        <v>78200</v>
      </c>
      <c r="K1952" s="708">
        <f t="shared" si="576"/>
        <v>552980</v>
      </c>
      <c r="L1952" s="1083"/>
      <c r="M1952" s="632"/>
      <c r="N1952" s="709">
        <f t="shared" si="573"/>
        <v>0</v>
      </c>
      <c r="O1952" s="681">
        <v>0</v>
      </c>
      <c r="P1952" s="673"/>
      <c r="Q1952" s="632"/>
      <c r="R1952" s="632"/>
      <c r="S1952" s="632"/>
    </row>
    <row r="1953" spans="1:19" ht="21.3">
      <c r="A1953" s="702"/>
      <c r="B1953" s="1141" t="s">
        <v>681</v>
      </c>
      <c r="C1953" s="710"/>
      <c r="D1953" s="899"/>
      <c r="E1953" s="673"/>
      <c r="F1953" s="674"/>
      <c r="G1953" s="711"/>
      <c r="H1953" s="705">
        <f t="shared" si="574"/>
        <v>0</v>
      </c>
      <c r="I1953" s="712">
        <v>0</v>
      </c>
      <c r="J1953" s="707">
        <f t="shared" si="575"/>
        <v>0</v>
      </c>
      <c r="K1953" s="708">
        <f t="shared" si="576"/>
        <v>0</v>
      </c>
      <c r="L1953" s="1083"/>
      <c r="M1953" s="632"/>
      <c r="N1953" s="709">
        <f t="shared" si="573"/>
        <v>0</v>
      </c>
      <c r="O1953" s="681">
        <v>0</v>
      </c>
      <c r="P1953" s="673"/>
      <c r="Q1953" s="632"/>
      <c r="R1953" s="632"/>
      <c r="S1953" s="632"/>
    </row>
    <row r="1954" spans="1:19" ht="21.3">
      <c r="A1954" s="702"/>
      <c r="B1954" s="1141"/>
      <c r="C1954" s="710"/>
      <c r="D1954" s="899" t="s">
        <v>682</v>
      </c>
      <c r="E1954" s="673">
        <f>2.8*6*6.65</f>
        <v>111.71999999999998</v>
      </c>
      <c r="F1954" s="674" t="s">
        <v>34</v>
      </c>
      <c r="G1954" s="711">
        <f>5550+0</f>
        <v>5550</v>
      </c>
      <c r="H1954" s="705">
        <f t="shared" si="574"/>
        <v>620045.99999999988</v>
      </c>
      <c r="I1954" s="712">
        <v>0</v>
      </c>
      <c r="J1954" s="707">
        <f t="shared" si="575"/>
        <v>0</v>
      </c>
      <c r="K1954" s="708">
        <f t="shared" si="576"/>
        <v>620045.99999999988</v>
      </c>
      <c r="L1954" s="1083"/>
      <c r="M1954" s="632"/>
      <c r="N1954" s="709">
        <f t="shared" si="573"/>
        <v>0</v>
      </c>
      <c r="O1954" s="681">
        <v>0</v>
      </c>
      <c r="P1954" s="673"/>
      <c r="Q1954" s="632"/>
      <c r="R1954" s="632"/>
      <c r="S1954" s="632"/>
    </row>
    <row r="1955" spans="1:19" ht="21.3">
      <c r="A1955" s="702"/>
      <c r="B1955" s="703"/>
      <c r="C1955" s="703"/>
      <c r="D1955" s="703" t="s">
        <v>683</v>
      </c>
      <c r="E1955" s="673">
        <f>4.75*2*6.65</f>
        <v>63.175000000000004</v>
      </c>
      <c r="F1955" s="674" t="s">
        <v>34</v>
      </c>
      <c r="G1955" s="704">
        <f>5550+0</f>
        <v>5550</v>
      </c>
      <c r="H1955" s="705">
        <f t="shared" si="574"/>
        <v>350621.25</v>
      </c>
      <c r="I1955" s="706">
        <v>0</v>
      </c>
      <c r="J1955" s="707">
        <f t="shared" si="575"/>
        <v>0</v>
      </c>
      <c r="K1955" s="708">
        <f t="shared" si="576"/>
        <v>350621.25</v>
      </c>
      <c r="L1955" s="1083"/>
      <c r="M1955" s="632"/>
      <c r="N1955" s="709">
        <f t="shared" si="573"/>
        <v>0</v>
      </c>
      <c r="O1955" s="681">
        <v>0</v>
      </c>
      <c r="P1955" s="673"/>
      <c r="Q1955" s="632"/>
      <c r="R1955" s="632"/>
      <c r="S1955" s="632"/>
    </row>
    <row r="1956" spans="1:19" ht="21.3">
      <c r="A1956" s="702"/>
      <c r="B1956" s="703"/>
      <c r="C1956" s="703" t="s">
        <v>684</v>
      </c>
      <c r="D1956" s="703"/>
      <c r="E1956" s="673"/>
      <c r="F1956" s="674"/>
      <c r="G1956" s="704"/>
      <c r="H1956" s="705"/>
      <c r="I1956" s="706"/>
      <c r="J1956" s="707"/>
      <c r="K1956" s="708"/>
      <c r="L1956" s="1083"/>
      <c r="M1956" s="632"/>
      <c r="N1956" s="709">
        <f t="shared" si="573"/>
        <v>0</v>
      </c>
      <c r="O1956" s="681">
        <v>0</v>
      </c>
      <c r="P1956" s="673"/>
      <c r="Q1956" s="632"/>
      <c r="R1956" s="632"/>
      <c r="S1956" s="632"/>
    </row>
    <row r="1957" spans="1:19" ht="21.3">
      <c r="A1957" s="702"/>
      <c r="B1957" s="1141" t="s">
        <v>685</v>
      </c>
      <c r="C1957" s="710"/>
      <c r="D1957" s="899"/>
      <c r="E1957" s="673">
        <f>+(101.88+75.32+75.92+80.47+81.07+81.67+82.27+82.82+106.67)*1.46</f>
        <v>1121.4114</v>
      </c>
      <c r="F1957" s="674" t="s">
        <v>34</v>
      </c>
      <c r="G1957" s="711">
        <v>12500</v>
      </c>
      <c r="H1957" s="705">
        <f>E1957*G1957</f>
        <v>14017642.5</v>
      </c>
      <c r="I1957" s="712">
        <v>0</v>
      </c>
      <c r="J1957" s="707">
        <f t="shared" ref="J1957:J1978" si="578">I1957*E1957</f>
        <v>0</v>
      </c>
      <c r="K1957" s="708">
        <f t="shared" ref="K1957:K1978" si="579">H1957+J1957</f>
        <v>14017642.5</v>
      </c>
      <c r="L1957" s="1083"/>
      <c r="M1957" s="632"/>
      <c r="N1957" s="709">
        <f t="shared" si="573"/>
        <v>0</v>
      </c>
      <c r="O1957" s="681">
        <v>0</v>
      </c>
      <c r="P1957" s="673"/>
      <c r="Q1957" s="632"/>
      <c r="R1957" s="632"/>
      <c r="S1957" s="632"/>
    </row>
    <row r="1958" spans="1:19" ht="21.3">
      <c r="A1958" s="702"/>
      <c r="B1958" s="1141" t="s">
        <v>686</v>
      </c>
      <c r="C1958" s="710"/>
      <c r="D1958" s="899"/>
      <c r="E1958" s="673"/>
      <c r="F1958" s="674"/>
      <c r="G1958" s="711"/>
      <c r="H1958" s="705">
        <f>E1958*G1958</f>
        <v>0</v>
      </c>
      <c r="I1958" s="712">
        <v>0</v>
      </c>
      <c r="J1958" s="707">
        <f t="shared" si="578"/>
        <v>0</v>
      </c>
      <c r="K1958" s="708">
        <f t="shared" si="579"/>
        <v>0</v>
      </c>
      <c r="L1958" s="1083"/>
      <c r="M1958" s="632"/>
      <c r="N1958" s="709">
        <f t="shared" si="573"/>
        <v>0</v>
      </c>
      <c r="O1958" s="681">
        <v>0</v>
      </c>
      <c r="P1958" s="673"/>
      <c r="Q1958" s="632"/>
      <c r="R1958" s="632"/>
      <c r="S1958" s="632"/>
    </row>
    <row r="1959" spans="1:19" ht="21.3">
      <c r="A1959" s="702"/>
      <c r="B1959" s="1141" t="s">
        <v>676</v>
      </c>
      <c r="C1959" s="710"/>
      <c r="D1959" s="899"/>
      <c r="E1959" s="673">
        <f>+(101.88+75.32+75.92+80.47+81.07+81.67+82.27+82.82+106.67)*1.4</f>
        <v>1075.326</v>
      </c>
      <c r="F1959" s="674" t="s">
        <v>34</v>
      </c>
      <c r="G1959" s="711">
        <v>7050</v>
      </c>
      <c r="H1959" s="705">
        <f>E1959*G1959</f>
        <v>7581048.2999999998</v>
      </c>
      <c r="I1959" s="712">
        <v>0</v>
      </c>
      <c r="J1959" s="707">
        <f t="shared" si="578"/>
        <v>0</v>
      </c>
      <c r="K1959" s="708">
        <f t="shared" si="579"/>
        <v>7581048.2999999998</v>
      </c>
      <c r="L1959" s="1083"/>
      <c r="M1959" s="632"/>
      <c r="N1959" s="709">
        <f t="shared" si="573"/>
        <v>0</v>
      </c>
      <c r="O1959" s="681">
        <v>0</v>
      </c>
      <c r="P1959" s="673"/>
      <c r="Q1959" s="632"/>
      <c r="R1959" s="632"/>
      <c r="S1959" s="632"/>
    </row>
    <row r="1960" spans="1:19" ht="21.3">
      <c r="A1960" s="702"/>
      <c r="B1960" s="1141" t="s">
        <v>687</v>
      </c>
      <c r="C1960" s="710"/>
      <c r="D1960" s="899"/>
      <c r="E1960" s="673">
        <f>ROUNDUP(+(101.88+75.32+75.92+80.47+81.07+81.67+82.27+82.82+106.67)/1.4,0)+9*2</f>
        <v>567</v>
      </c>
      <c r="F1960" s="674" t="s">
        <v>363</v>
      </c>
      <c r="G1960" s="711">
        <v>3136</v>
      </c>
      <c r="H1960" s="705">
        <f t="shared" ref="H1960:H1963" si="580">E1960*G1960</f>
        <v>1778112</v>
      </c>
      <c r="I1960" s="712">
        <v>165</v>
      </c>
      <c r="J1960" s="707">
        <f t="shared" si="578"/>
        <v>93555</v>
      </c>
      <c r="K1960" s="708">
        <f t="shared" si="579"/>
        <v>1871667</v>
      </c>
      <c r="L1960" s="1083"/>
      <c r="M1960" s="632"/>
      <c r="N1960" s="709">
        <f t="shared" si="573"/>
        <v>0</v>
      </c>
      <c r="O1960" s="681">
        <v>0</v>
      </c>
      <c r="P1960" s="673"/>
      <c r="Q1960" s="632"/>
      <c r="R1960" s="632"/>
      <c r="S1960" s="632"/>
    </row>
    <row r="1961" spans="1:19" ht="21.3">
      <c r="A1961" s="702"/>
      <c r="B1961" s="1141"/>
      <c r="C1961" s="710"/>
      <c r="D1961" s="899"/>
      <c r="E1961" s="673"/>
      <c r="F1961" s="674"/>
      <c r="G1961" s="1088"/>
      <c r="H1961" s="705"/>
      <c r="I1961" s="712"/>
      <c r="J1961" s="707"/>
      <c r="K1961" s="708"/>
      <c r="L1961" s="1083"/>
      <c r="M1961" s="632"/>
      <c r="N1961" s="709"/>
      <c r="O1961" s="681"/>
      <c r="P1961" s="673"/>
      <c r="Q1961" s="632"/>
      <c r="R1961" s="632"/>
      <c r="S1961" s="632"/>
    </row>
    <row r="1962" spans="1:19" ht="21.3">
      <c r="A1962" s="702"/>
      <c r="B1962" s="1141"/>
      <c r="C1962" s="710"/>
      <c r="D1962" s="899"/>
      <c r="E1962" s="673"/>
      <c r="F1962" s="674"/>
      <c r="G1962" s="1088"/>
      <c r="H1962" s="705"/>
      <c r="I1962" s="712"/>
      <c r="J1962" s="707"/>
      <c r="K1962" s="708"/>
      <c r="L1962" s="1083"/>
      <c r="M1962" s="632"/>
      <c r="N1962" s="709"/>
      <c r="O1962" s="681"/>
      <c r="P1962" s="673"/>
      <c r="Q1962" s="632"/>
      <c r="R1962" s="632"/>
      <c r="S1962" s="632"/>
    </row>
    <row r="1963" spans="1:19" ht="21.3">
      <c r="A1963" s="702"/>
      <c r="B1963" s="703" t="s">
        <v>688</v>
      </c>
      <c r="C1963" s="703"/>
      <c r="D1963" s="703"/>
      <c r="E1963" s="673">
        <f>+(101.88*2.98)+((7.55+10.16+8.67+10.16+9.88+10.16+11.03+10.16)*2.07)+((8.12+10.16+9.28+10.16+14.48+10.16)*1.93)+(83.2*1.92*7)+(106.67*3.83)</f>
        <v>2111.6952000000001</v>
      </c>
      <c r="F1963" s="674" t="s">
        <v>34</v>
      </c>
      <c r="G1963" s="704">
        <f>5550+0</f>
        <v>5550</v>
      </c>
      <c r="H1963" s="705">
        <f t="shared" si="580"/>
        <v>11719908.360000001</v>
      </c>
      <c r="I1963" s="706">
        <v>0</v>
      </c>
      <c r="J1963" s="707">
        <f t="shared" si="578"/>
        <v>0</v>
      </c>
      <c r="K1963" s="708">
        <f t="shared" si="579"/>
        <v>11719908.360000001</v>
      </c>
      <c r="L1963" s="1083"/>
      <c r="M1963" s="632"/>
      <c r="N1963" s="709">
        <f t="shared" si="573"/>
        <v>0</v>
      </c>
      <c r="O1963" s="681">
        <v>0</v>
      </c>
      <c r="P1963" s="673"/>
      <c r="Q1963" s="632"/>
      <c r="R1963" s="632"/>
      <c r="S1963" s="632"/>
    </row>
    <row r="1964" spans="1:19" ht="21.3">
      <c r="A1964" s="702"/>
      <c r="B1964" s="703"/>
      <c r="C1964" s="703" t="s">
        <v>673</v>
      </c>
      <c r="D1964" s="703"/>
      <c r="E1964" s="673">
        <f>+(101.88+75.32+75.92+80.47+81.07+81.67+82.27+82.82+106.67)*0.85</f>
        <v>652.87649999999996</v>
      </c>
      <c r="F1964" s="674" t="s">
        <v>34</v>
      </c>
      <c r="G1964" s="704">
        <v>1595</v>
      </c>
      <c r="H1964" s="705">
        <f>E1964*G1964</f>
        <v>1041338.0175</v>
      </c>
      <c r="I1964" s="706">
        <v>0</v>
      </c>
      <c r="J1964" s="707">
        <f t="shared" si="578"/>
        <v>0</v>
      </c>
      <c r="K1964" s="708">
        <f t="shared" si="579"/>
        <v>1041338.0175</v>
      </c>
      <c r="L1964" s="1083"/>
      <c r="M1964" s="632"/>
      <c r="N1964" s="709">
        <f t="shared" si="573"/>
        <v>0</v>
      </c>
      <c r="O1964" s="681">
        <v>0</v>
      </c>
      <c r="P1964" s="673"/>
      <c r="Q1964" s="632"/>
      <c r="R1964" s="632"/>
      <c r="S1964" s="632"/>
    </row>
    <row r="1965" spans="1:19" ht="21.3">
      <c r="A1965" s="702"/>
      <c r="B1965" s="1141"/>
      <c r="C1965" s="710" t="s">
        <v>689</v>
      </c>
      <c r="D1965" s="899"/>
      <c r="E1965" s="673">
        <f>+(101.88+75.32+75.92+80.47+81.07+81.67+82.27+82.82+106.67)*0.92</f>
        <v>706.64280000000008</v>
      </c>
      <c r="F1965" s="674" t="s">
        <v>34</v>
      </c>
      <c r="G1965" s="711">
        <f>ROUNDUP((281+119*1.41),0)</f>
        <v>449</v>
      </c>
      <c r="H1965" s="705">
        <f>SUM(E1965*G1965)</f>
        <v>317282.61720000004</v>
      </c>
      <c r="I1965" s="712">
        <f>ROUNDUP((80+44*1.41),0)</f>
        <v>143</v>
      </c>
      <c r="J1965" s="707">
        <f t="shared" si="578"/>
        <v>101049.92040000002</v>
      </c>
      <c r="K1965" s="708">
        <f t="shared" si="579"/>
        <v>418332.53760000004</v>
      </c>
      <c r="L1965" s="1083"/>
      <c r="M1965" s="632"/>
      <c r="N1965" s="709">
        <f t="shared" si="573"/>
        <v>0</v>
      </c>
      <c r="O1965" s="681">
        <v>0</v>
      </c>
      <c r="P1965" s="673"/>
      <c r="Q1965" s="632"/>
      <c r="R1965" s="632"/>
      <c r="S1965" s="632"/>
    </row>
    <row r="1966" spans="1:19" ht="21.3">
      <c r="A1966" s="702"/>
      <c r="B1966" s="1141"/>
      <c r="C1966" s="710" t="s">
        <v>674</v>
      </c>
      <c r="D1966" s="899"/>
      <c r="E1966" s="673">
        <f>+(101.88+75.32+75.92+80.47+81.07+81.67+82.27+82.82+106.67)*(0.81)</f>
        <v>622.15290000000005</v>
      </c>
      <c r="F1966" s="674" t="s">
        <v>34</v>
      </c>
      <c r="G1966" s="711">
        <v>310</v>
      </c>
      <c r="H1966" s="705">
        <f>E1966*G1966</f>
        <v>192867.399</v>
      </c>
      <c r="I1966" s="712">
        <f>ROUNDUP((G1966*0.25),0)</f>
        <v>78</v>
      </c>
      <c r="J1966" s="707">
        <f t="shared" si="578"/>
        <v>48527.926200000002</v>
      </c>
      <c r="K1966" s="708">
        <f t="shared" si="579"/>
        <v>241395.32520000002</v>
      </c>
      <c r="L1966" s="1087"/>
      <c r="M1966" s="632"/>
      <c r="N1966" s="709">
        <f t="shared" si="573"/>
        <v>0</v>
      </c>
      <c r="O1966" s="681">
        <v>0</v>
      </c>
      <c r="P1966" s="673"/>
      <c r="Q1966" s="632"/>
      <c r="R1966" s="632"/>
      <c r="S1966" s="632"/>
    </row>
    <row r="1967" spans="1:19" ht="21.3">
      <c r="A1967" s="702"/>
      <c r="B1967" s="703"/>
      <c r="C1967" s="703" t="s">
        <v>690</v>
      </c>
      <c r="D1967" s="703"/>
      <c r="E1967" s="673">
        <f>+(101.88+75.32+75.92+80.47+81.07+81.67+82.27+82.82+106.67)*(0.92)</f>
        <v>706.64280000000008</v>
      </c>
      <c r="F1967" s="674" t="s">
        <v>34</v>
      </c>
      <c r="G1967" s="704">
        <v>211</v>
      </c>
      <c r="H1967" s="705">
        <f>SUM(E1967*G1967)</f>
        <v>149101.63080000001</v>
      </c>
      <c r="I1967" s="706">
        <f>ROUNDUP((G1967*0.25),0)</f>
        <v>53</v>
      </c>
      <c r="J1967" s="707">
        <f t="shared" si="578"/>
        <v>37452.068400000004</v>
      </c>
      <c r="K1967" s="708">
        <f t="shared" si="579"/>
        <v>186553.69920000003</v>
      </c>
      <c r="L1967" s="1083"/>
      <c r="M1967" s="632"/>
      <c r="N1967" s="709">
        <f t="shared" si="573"/>
        <v>0</v>
      </c>
      <c r="O1967" s="681">
        <v>0</v>
      </c>
      <c r="P1967" s="673"/>
      <c r="Q1967" s="632"/>
      <c r="R1967" s="632"/>
      <c r="S1967" s="632"/>
    </row>
    <row r="1968" spans="1:19" ht="21.3">
      <c r="A1968" s="702"/>
      <c r="B1968" s="703"/>
      <c r="C1968" s="703" t="s">
        <v>675</v>
      </c>
      <c r="D1968" s="703"/>
      <c r="E1968" s="673">
        <f>+(101.88+75.32+75.92+80.47+81.07+81.67+82.27+82.82+106.67)*(0.9+0.92)-(28.65*0.92)</f>
        <v>1371.5658000000001</v>
      </c>
      <c r="F1968" s="674" t="s">
        <v>34</v>
      </c>
      <c r="G1968" s="704">
        <v>496</v>
      </c>
      <c r="H1968" s="705">
        <f t="shared" ref="H1968" si="581">E1968*G1968</f>
        <v>680296.63680000009</v>
      </c>
      <c r="I1968" s="706">
        <f>172</f>
        <v>172</v>
      </c>
      <c r="J1968" s="707">
        <f t="shared" si="578"/>
        <v>235909.31760000001</v>
      </c>
      <c r="K1968" s="708">
        <f t="shared" si="579"/>
        <v>916205.95440000016</v>
      </c>
      <c r="L1968" s="1083"/>
      <c r="M1968" s="632"/>
      <c r="N1968" s="709">
        <f t="shared" si="573"/>
        <v>0</v>
      </c>
      <c r="O1968" s="681">
        <v>0</v>
      </c>
      <c r="P1968" s="673"/>
      <c r="Q1968" s="632"/>
      <c r="R1968" s="632"/>
      <c r="S1968" s="632"/>
    </row>
    <row r="1969" spans="1:19" ht="21.3">
      <c r="A1969" s="702"/>
      <c r="B1969" s="1141" t="s">
        <v>691</v>
      </c>
      <c r="C1969" s="710"/>
      <c r="D1969" s="899"/>
      <c r="E1969" s="673"/>
      <c r="F1969" s="674"/>
      <c r="G1969" s="711"/>
      <c r="H1969" s="705">
        <f>E1969*G1969</f>
        <v>0</v>
      </c>
      <c r="I1969" s="712">
        <v>0</v>
      </c>
      <c r="J1969" s="707">
        <f t="shared" si="578"/>
        <v>0</v>
      </c>
      <c r="K1969" s="708">
        <f t="shared" si="579"/>
        <v>0</v>
      </c>
      <c r="L1969" s="1083"/>
      <c r="M1969" s="632"/>
      <c r="N1969" s="709">
        <f t="shared" si="573"/>
        <v>0</v>
      </c>
      <c r="O1969" s="681">
        <v>0</v>
      </c>
      <c r="P1969" s="673"/>
      <c r="Q1969" s="632"/>
      <c r="R1969" s="632"/>
      <c r="S1969" s="632"/>
    </row>
    <row r="1970" spans="1:19" ht="21.3">
      <c r="A1970" s="702"/>
      <c r="B1970" s="1141"/>
      <c r="C1970" s="710" t="s">
        <v>692</v>
      </c>
      <c r="D1970" s="899"/>
      <c r="E1970" s="673">
        <f>+(84.8*3.7)+(100*3.55)</f>
        <v>668.76</v>
      </c>
      <c r="F1970" s="674" t="s">
        <v>34</v>
      </c>
      <c r="G1970" s="711">
        <f>5550+0</f>
        <v>5550</v>
      </c>
      <c r="H1970" s="705">
        <f t="shared" ref="H1970:H1978" si="582">E1970*G1970</f>
        <v>3711618</v>
      </c>
      <c r="I1970" s="712">
        <v>0</v>
      </c>
      <c r="J1970" s="707">
        <f t="shared" si="578"/>
        <v>0</v>
      </c>
      <c r="K1970" s="708">
        <f t="shared" si="579"/>
        <v>3711618</v>
      </c>
      <c r="L1970" s="1087"/>
      <c r="M1970" s="632"/>
      <c r="N1970" s="709">
        <f t="shared" si="573"/>
        <v>0</v>
      </c>
      <c r="O1970" s="681">
        <v>0</v>
      </c>
      <c r="P1970" s="673"/>
      <c r="Q1970" s="632"/>
      <c r="R1970" s="632"/>
      <c r="S1970" s="632"/>
    </row>
    <row r="1971" spans="1:19" ht="21.3">
      <c r="A1971" s="702"/>
      <c r="B1971" s="703"/>
      <c r="C1971" s="703"/>
      <c r="D1971" s="703" t="s">
        <v>693</v>
      </c>
      <c r="E1971" s="673">
        <v>84</v>
      </c>
      <c r="F1971" s="674" t="s">
        <v>226</v>
      </c>
      <c r="G1971" s="704">
        <v>975</v>
      </c>
      <c r="H1971" s="705">
        <f t="shared" si="582"/>
        <v>81900</v>
      </c>
      <c r="I1971" s="706">
        <v>0</v>
      </c>
      <c r="J1971" s="707">
        <f t="shared" si="578"/>
        <v>0</v>
      </c>
      <c r="K1971" s="708">
        <f t="shared" si="579"/>
        <v>81900</v>
      </c>
      <c r="L1971" s="1083"/>
      <c r="M1971" s="632"/>
      <c r="N1971" s="709">
        <f t="shared" si="573"/>
        <v>0</v>
      </c>
      <c r="O1971" s="681">
        <v>0</v>
      </c>
      <c r="P1971" s="673"/>
      <c r="Q1971" s="632"/>
      <c r="R1971" s="632"/>
      <c r="S1971" s="632"/>
    </row>
    <row r="1972" spans="1:19" ht="21.3">
      <c r="A1972" s="702"/>
      <c r="B1972" s="1141"/>
      <c r="C1972" s="710"/>
      <c r="D1972" s="899" t="s">
        <v>694</v>
      </c>
      <c r="E1972" s="673">
        <v>41</v>
      </c>
      <c r="F1972" s="674" t="s">
        <v>363</v>
      </c>
      <c r="G1972" s="711">
        <f>10529+1289</f>
        <v>11818</v>
      </c>
      <c r="H1972" s="705">
        <f t="shared" si="582"/>
        <v>484538</v>
      </c>
      <c r="I1972" s="712">
        <v>0</v>
      </c>
      <c r="J1972" s="707">
        <f t="shared" si="578"/>
        <v>0</v>
      </c>
      <c r="K1972" s="708">
        <f t="shared" si="579"/>
        <v>484538</v>
      </c>
      <c r="L1972" s="1083"/>
      <c r="M1972" s="632"/>
      <c r="N1972" s="709">
        <f t="shared" si="573"/>
        <v>0</v>
      </c>
      <c r="O1972" s="681">
        <v>0</v>
      </c>
      <c r="P1972" s="673"/>
      <c r="Q1972" s="632"/>
      <c r="R1972" s="632"/>
      <c r="S1972" s="632"/>
    </row>
    <row r="1973" spans="1:19" ht="21.3">
      <c r="A1973" s="702"/>
      <c r="B1973" s="1141"/>
      <c r="C1973" s="710" t="s">
        <v>695</v>
      </c>
      <c r="D1973" s="899"/>
      <c r="E1973" s="673">
        <v>83.2</v>
      </c>
      <c r="F1973" s="674" t="s">
        <v>226</v>
      </c>
      <c r="G1973" s="711">
        <f>15263+3151</f>
        <v>18414</v>
      </c>
      <c r="H1973" s="705">
        <f t="shared" si="582"/>
        <v>1532044.8</v>
      </c>
      <c r="I1973" s="712">
        <v>0</v>
      </c>
      <c r="J1973" s="707">
        <f t="shared" si="578"/>
        <v>0</v>
      </c>
      <c r="K1973" s="708">
        <f t="shared" si="579"/>
        <v>1532044.8</v>
      </c>
      <c r="L1973" s="1083"/>
      <c r="M1973" s="632"/>
      <c r="N1973" s="709">
        <f t="shared" si="573"/>
        <v>0</v>
      </c>
      <c r="O1973" s="681">
        <v>0</v>
      </c>
      <c r="P1973" s="673"/>
      <c r="Q1973" s="632"/>
      <c r="R1973" s="632"/>
      <c r="S1973" s="632"/>
    </row>
    <row r="1974" spans="1:19" ht="21.3">
      <c r="A1974" s="702"/>
      <c r="B1974" s="703"/>
      <c r="C1974" s="703" t="s">
        <v>696</v>
      </c>
      <c r="D1974" s="703"/>
      <c r="E1974" s="673">
        <f>39*3.3*7</f>
        <v>900.89999999999986</v>
      </c>
      <c r="F1974" s="674" t="s">
        <v>226</v>
      </c>
      <c r="G1974" s="704">
        <f>11831+637</f>
        <v>12468</v>
      </c>
      <c r="H1974" s="705">
        <f t="shared" si="582"/>
        <v>11232421.199999997</v>
      </c>
      <c r="I1974" s="706">
        <v>0</v>
      </c>
      <c r="J1974" s="707">
        <f t="shared" si="578"/>
        <v>0</v>
      </c>
      <c r="K1974" s="708">
        <f t="shared" si="579"/>
        <v>11232421.199999997</v>
      </c>
      <c r="L1974" s="1083"/>
      <c r="M1974" s="632"/>
      <c r="N1974" s="709">
        <f t="shared" si="573"/>
        <v>0</v>
      </c>
      <c r="O1974" s="681">
        <v>0</v>
      </c>
      <c r="P1974" s="673"/>
      <c r="Q1974" s="632"/>
      <c r="R1974" s="632"/>
      <c r="S1974" s="632"/>
    </row>
    <row r="1975" spans="1:19" ht="21.3">
      <c r="A1975" s="702"/>
      <c r="B1975" s="703"/>
      <c r="C1975" s="703"/>
      <c r="D1975" s="703" t="s">
        <v>697</v>
      </c>
      <c r="E1975" s="673">
        <v>15</v>
      </c>
      <c r="F1975" s="674" t="s">
        <v>363</v>
      </c>
      <c r="G1975" s="704">
        <f>1439</f>
        <v>1439</v>
      </c>
      <c r="H1975" s="705">
        <f t="shared" si="582"/>
        <v>21585</v>
      </c>
      <c r="I1975" s="706">
        <v>0</v>
      </c>
      <c r="J1975" s="707">
        <f t="shared" si="578"/>
        <v>0</v>
      </c>
      <c r="K1975" s="708">
        <f t="shared" si="579"/>
        <v>21585</v>
      </c>
      <c r="L1975" s="1083"/>
      <c r="M1975" s="632"/>
      <c r="N1975" s="709">
        <f t="shared" si="573"/>
        <v>0</v>
      </c>
      <c r="O1975" s="681">
        <v>0</v>
      </c>
      <c r="P1975" s="673"/>
      <c r="Q1975" s="632"/>
      <c r="R1975" s="632"/>
      <c r="S1975" s="632"/>
    </row>
    <row r="1976" spans="1:19" ht="21.3">
      <c r="A1976" s="702"/>
      <c r="B1976" s="1141"/>
      <c r="C1976" s="710" t="s">
        <v>698</v>
      </c>
      <c r="D1976" s="899"/>
      <c r="E1976" s="673">
        <f>39.47+(10.16*4)</f>
        <v>80.11</v>
      </c>
      <c r="F1976" s="674" t="s">
        <v>226</v>
      </c>
      <c r="G1976" s="711">
        <f>15540+2841+384</f>
        <v>18765</v>
      </c>
      <c r="H1976" s="705">
        <f t="shared" si="582"/>
        <v>1503264.15</v>
      </c>
      <c r="I1976" s="712">
        <v>0</v>
      </c>
      <c r="J1976" s="707">
        <f t="shared" si="578"/>
        <v>0</v>
      </c>
      <c r="K1976" s="708">
        <f t="shared" si="579"/>
        <v>1503264.15</v>
      </c>
      <c r="L1976" s="1083"/>
      <c r="M1976" s="632"/>
      <c r="N1976" s="709">
        <f t="shared" si="573"/>
        <v>0</v>
      </c>
      <c r="O1976" s="681">
        <v>0</v>
      </c>
      <c r="P1976" s="673"/>
      <c r="Q1976" s="632"/>
      <c r="R1976" s="632"/>
      <c r="S1976" s="632"/>
    </row>
    <row r="1977" spans="1:19" ht="21.3">
      <c r="A1977" s="702"/>
      <c r="B1977" s="1141" t="s">
        <v>699</v>
      </c>
      <c r="C1977" s="710"/>
      <c r="D1977" s="899"/>
      <c r="E1977" s="673">
        <f>6.8*39</f>
        <v>265.2</v>
      </c>
      <c r="F1977" s="674" t="s">
        <v>226</v>
      </c>
      <c r="G1977" s="711">
        <f>4000+637</f>
        <v>4637</v>
      </c>
      <c r="H1977" s="705">
        <f t="shared" si="582"/>
        <v>1229732.3999999999</v>
      </c>
      <c r="I1977" s="712">
        <v>0</v>
      </c>
      <c r="J1977" s="707">
        <f t="shared" si="578"/>
        <v>0</v>
      </c>
      <c r="K1977" s="708">
        <f t="shared" si="579"/>
        <v>1229732.3999999999</v>
      </c>
      <c r="L1977" s="1083"/>
      <c r="M1977" s="632"/>
      <c r="N1977" s="709">
        <f t="shared" si="573"/>
        <v>0</v>
      </c>
      <c r="O1977" s="681">
        <v>0</v>
      </c>
      <c r="P1977" s="673"/>
      <c r="Q1977" s="632"/>
      <c r="R1977" s="632"/>
      <c r="S1977" s="632"/>
    </row>
    <row r="1978" spans="1:19" ht="21.3">
      <c r="A1978" s="702"/>
      <c r="B1978" s="703"/>
      <c r="C1978" s="703"/>
      <c r="D1978" s="703" t="s">
        <v>700</v>
      </c>
      <c r="E1978" s="673"/>
      <c r="F1978" s="674"/>
      <c r="G1978" s="704"/>
      <c r="H1978" s="705">
        <f t="shared" si="582"/>
        <v>0</v>
      </c>
      <c r="I1978" s="706"/>
      <c r="J1978" s="707">
        <f t="shared" si="578"/>
        <v>0</v>
      </c>
      <c r="K1978" s="708">
        <f t="shared" si="579"/>
        <v>0</v>
      </c>
      <c r="L1978" s="1083"/>
      <c r="M1978" s="632"/>
      <c r="N1978" s="709">
        <f t="shared" si="573"/>
        <v>0</v>
      </c>
      <c r="O1978" s="681">
        <v>0</v>
      </c>
      <c r="P1978" s="673"/>
      <c r="Q1978" s="632"/>
      <c r="R1978" s="632"/>
      <c r="S1978" s="632"/>
    </row>
    <row r="1979" spans="1:19" ht="21.3">
      <c r="A1979" s="904" t="s">
        <v>494</v>
      </c>
      <c r="B1979" s="803" t="s">
        <v>701</v>
      </c>
      <c r="C1979" s="803"/>
      <c r="D1979" s="803"/>
      <c r="E1979" s="673"/>
      <c r="F1979" s="674"/>
      <c r="G1979" s="704"/>
      <c r="H1979" s="705"/>
      <c r="I1979" s="706"/>
      <c r="J1979" s="707"/>
      <c r="K1979" s="708">
        <f>H1979+J1979</f>
        <v>0</v>
      </c>
      <c r="L1979" s="1083"/>
      <c r="M1979" s="632"/>
      <c r="N1979" s="709">
        <f t="shared" si="573"/>
        <v>0</v>
      </c>
      <c r="O1979" s="681">
        <v>0</v>
      </c>
      <c r="P1979" s="673"/>
      <c r="Q1979" s="632"/>
      <c r="R1979" s="632"/>
      <c r="S1979" s="632"/>
    </row>
    <row r="1980" spans="1:19" ht="21.3">
      <c r="A1980" s="702"/>
      <c r="B1980" s="1141"/>
      <c r="C1980" s="710" t="s">
        <v>671</v>
      </c>
      <c r="D1980" s="899"/>
      <c r="E1980" s="673"/>
      <c r="F1980" s="674"/>
      <c r="G1980" s="711"/>
      <c r="H1980" s="705"/>
      <c r="I1980" s="712"/>
      <c r="J1980" s="707"/>
      <c r="K1980" s="708">
        <f t="shared" ref="K1980:K1981" si="583">H1980+J1980</f>
        <v>0</v>
      </c>
      <c r="L1980" s="1083"/>
      <c r="M1980" s="632"/>
      <c r="N1980" s="709">
        <f t="shared" si="573"/>
        <v>0</v>
      </c>
      <c r="O1980" s="681">
        <v>0</v>
      </c>
      <c r="P1980" s="673"/>
      <c r="Q1980" s="632"/>
      <c r="R1980" s="632"/>
      <c r="S1980" s="632"/>
    </row>
    <row r="1981" spans="1:19" ht="21.3">
      <c r="A1981" s="702"/>
      <c r="B1981" s="1141" t="s">
        <v>702</v>
      </c>
      <c r="C1981" s="710"/>
      <c r="D1981" s="899"/>
      <c r="E1981" s="673">
        <f>73.6*6.25</f>
        <v>459.99999999999994</v>
      </c>
      <c r="F1981" s="674" t="s">
        <v>34</v>
      </c>
      <c r="G1981" s="711">
        <v>10800</v>
      </c>
      <c r="H1981" s="705">
        <f t="shared" ref="H1981:H1988" si="584">E1981*G1981</f>
        <v>4967999.9999999991</v>
      </c>
      <c r="I1981" s="712">
        <v>0</v>
      </c>
      <c r="J1981" s="707">
        <f t="shared" ref="J1981:J1988" si="585">I1981*E1981</f>
        <v>0</v>
      </c>
      <c r="K1981" s="708">
        <f t="shared" si="583"/>
        <v>4967999.9999999991</v>
      </c>
      <c r="L1981" s="1083"/>
      <c r="M1981" s="632"/>
      <c r="N1981" s="709">
        <f t="shared" si="573"/>
        <v>0</v>
      </c>
      <c r="O1981" s="681">
        <v>0</v>
      </c>
      <c r="P1981" s="673"/>
      <c r="Q1981" s="632"/>
      <c r="R1981" s="632"/>
      <c r="S1981" s="632"/>
    </row>
    <row r="1982" spans="1:19" ht="21.3">
      <c r="A1982" s="702"/>
      <c r="B1982" s="703"/>
      <c r="C1982" s="703" t="s">
        <v>673</v>
      </c>
      <c r="D1982" s="703"/>
      <c r="E1982" s="673">
        <f>73.6*(0.9+0.6)</f>
        <v>110.39999999999999</v>
      </c>
      <c r="F1982" s="674" t="s">
        <v>34</v>
      </c>
      <c r="G1982" s="704">
        <v>1595</v>
      </c>
      <c r="H1982" s="705">
        <f t="shared" si="584"/>
        <v>176088</v>
      </c>
      <c r="I1982" s="706">
        <v>0</v>
      </c>
      <c r="J1982" s="707">
        <f t="shared" si="585"/>
        <v>0</v>
      </c>
      <c r="K1982" s="708">
        <f>H1982+J1982</f>
        <v>176088</v>
      </c>
      <c r="L1982" s="1083"/>
      <c r="M1982" s="632"/>
      <c r="N1982" s="709">
        <f t="shared" si="573"/>
        <v>0</v>
      </c>
      <c r="O1982" s="681">
        <v>0</v>
      </c>
      <c r="P1982" s="673"/>
      <c r="Q1982" s="632"/>
      <c r="R1982" s="632"/>
      <c r="S1982" s="632"/>
    </row>
    <row r="1983" spans="1:19" ht="21.3">
      <c r="A1983" s="702"/>
      <c r="B1983" s="703"/>
      <c r="C1983" s="703" t="s">
        <v>674</v>
      </c>
      <c r="D1983" s="703"/>
      <c r="E1983" s="673">
        <f>73.6*2.12</f>
        <v>156.03199999999998</v>
      </c>
      <c r="F1983" s="674" t="s">
        <v>34</v>
      </c>
      <c r="G1983" s="704">
        <v>310</v>
      </c>
      <c r="H1983" s="705">
        <f t="shared" si="584"/>
        <v>48369.919999999991</v>
      </c>
      <c r="I1983" s="706">
        <f>ROUNDUP((G1983*0.25),0)</f>
        <v>78</v>
      </c>
      <c r="J1983" s="707">
        <f t="shared" si="585"/>
        <v>12170.495999999999</v>
      </c>
      <c r="K1983" s="708">
        <f>H1983+J1983</f>
        <v>60540.41599999999</v>
      </c>
      <c r="L1983" s="1083"/>
      <c r="M1983" s="632"/>
      <c r="N1983" s="709">
        <f t="shared" si="573"/>
        <v>0</v>
      </c>
      <c r="O1983" s="681">
        <v>0</v>
      </c>
      <c r="P1983" s="673"/>
      <c r="Q1983" s="632"/>
      <c r="R1983" s="632"/>
      <c r="S1983" s="632"/>
    </row>
    <row r="1984" spans="1:19" ht="21.3">
      <c r="A1984" s="702"/>
      <c r="B1984" s="1141"/>
      <c r="C1984" s="710" t="s">
        <v>675</v>
      </c>
      <c r="D1984" s="899"/>
      <c r="E1984" s="673">
        <f>73.6*(1+0.9+0.6)</f>
        <v>184</v>
      </c>
      <c r="F1984" s="674" t="s">
        <v>34</v>
      </c>
      <c r="G1984" s="711">
        <v>496</v>
      </c>
      <c r="H1984" s="705">
        <f t="shared" si="584"/>
        <v>91264</v>
      </c>
      <c r="I1984" s="712">
        <f>172</f>
        <v>172</v>
      </c>
      <c r="J1984" s="707">
        <f t="shared" si="585"/>
        <v>31648</v>
      </c>
      <c r="K1984" s="708">
        <f t="shared" ref="K1984:K1988" si="586">H1984+J1984</f>
        <v>122912</v>
      </c>
      <c r="L1984" s="1083"/>
      <c r="M1984" s="632"/>
      <c r="N1984" s="709">
        <f t="shared" si="573"/>
        <v>0</v>
      </c>
      <c r="O1984" s="681">
        <v>0</v>
      </c>
      <c r="P1984" s="673"/>
      <c r="Q1984" s="632"/>
      <c r="R1984" s="632"/>
      <c r="S1984" s="632"/>
    </row>
    <row r="1985" spans="1:19" ht="21.3">
      <c r="A1985" s="702"/>
      <c r="B1985" s="1141" t="s">
        <v>676</v>
      </c>
      <c r="C1985" s="710"/>
      <c r="D1985" s="899"/>
      <c r="E1985" s="673">
        <f>73.6*1.4</f>
        <v>103.03999999999999</v>
      </c>
      <c r="F1985" s="674" t="s">
        <v>34</v>
      </c>
      <c r="G1985" s="711">
        <v>7050</v>
      </c>
      <c r="H1985" s="705">
        <f t="shared" si="584"/>
        <v>726432</v>
      </c>
      <c r="I1985" s="712">
        <v>0</v>
      </c>
      <c r="J1985" s="707">
        <f t="shared" si="585"/>
        <v>0</v>
      </c>
      <c r="K1985" s="708">
        <f t="shared" si="586"/>
        <v>726432</v>
      </c>
      <c r="L1985" s="1083"/>
      <c r="M1985" s="632"/>
      <c r="N1985" s="709">
        <f t="shared" si="573"/>
        <v>0</v>
      </c>
      <c r="O1985" s="681">
        <v>0</v>
      </c>
      <c r="P1985" s="673"/>
      <c r="Q1985" s="632"/>
      <c r="R1985" s="632"/>
      <c r="S1985" s="632"/>
    </row>
    <row r="1986" spans="1:19" ht="21.3">
      <c r="A1986" s="702"/>
      <c r="B1986" s="1141" t="s">
        <v>677</v>
      </c>
      <c r="C1986" s="710"/>
      <c r="D1986" s="899"/>
      <c r="E1986" s="673">
        <f>ROUNDUP(73.6/1.4,0)+2-1</f>
        <v>54</v>
      </c>
      <c r="F1986" s="674" t="s">
        <v>363</v>
      </c>
      <c r="G1986" s="711">
        <v>5544</v>
      </c>
      <c r="H1986" s="705">
        <f t="shared" si="584"/>
        <v>299376</v>
      </c>
      <c r="I1986" s="712">
        <v>165</v>
      </c>
      <c r="J1986" s="707">
        <f t="shared" si="585"/>
        <v>8910</v>
      </c>
      <c r="K1986" s="708">
        <f t="shared" si="586"/>
        <v>308286</v>
      </c>
      <c r="L1986" s="1083"/>
      <c r="M1986" s="632"/>
      <c r="N1986" s="709">
        <f t="shared" si="573"/>
        <v>0</v>
      </c>
      <c r="O1986" s="681">
        <v>0</v>
      </c>
      <c r="P1986" s="673"/>
      <c r="Q1986" s="632"/>
      <c r="R1986" s="632"/>
      <c r="S1986" s="632"/>
    </row>
    <row r="1987" spans="1:19" ht="21.3">
      <c r="A1987" s="702"/>
      <c r="B1987" s="1141" t="s">
        <v>678</v>
      </c>
      <c r="C1987" s="710"/>
      <c r="D1987" s="899"/>
      <c r="E1987" s="673">
        <f>ROUNDUP(73.6/1.4,0)+2</f>
        <v>55</v>
      </c>
      <c r="F1987" s="674" t="s">
        <v>363</v>
      </c>
      <c r="G1987" s="711">
        <v>3136</v>
      </c>
      <c r="H1987" s="705">
        <f t="shared" si="584"/>
        <v>172480</v>
      </c>
      <c r="I1987" s="712">
        <v>165</v>
      </c>
      <c r="J1987" s="707">
        <f t="shared" si="585"/>
        <v>9075</v>
      </c>
      <c r="K1987" s="708">
        <f t="shared" si="586"/>
        <v>181555</v>
      </c>
      <c r="L1987" s="1083"/>
      <c r="M1987" s="632"/>
      <c r="N1987" s="709">
        <f t="shared" si="573"/>
        <v>0</v>
      </c>
      <c r="O1987" s="681">
        <v>0</v>
      </c>
      <c r="P1987" s="673"/>
      <c r="Q1987" s="632"/>
      <c r="R1987" s="632"/>
      <c r="S1987" s="632"/>
    </row>
    <row r="1988" spans="1:19" ht="21.3">
      <c r="A1988" s="702"/>
      <c r="B1988" s="1141" t="s">
        <v>703</v>
      </c>
      <c r="C1988" s="710"/>
      <c r="D1988" s="899"/>
      <c r="E1988" s="673">
        <f>17*4*7.89</f>
        <v>536.52</v>
      </c>
      <c r="F1988" s="674" t="s">
        <v>34</v>
      </c>
      <c r="G1988" s="711">
        <f>5550+0</f>
        <v>5550</v>
      </c>
      <c r="H1988" s="705">
        <f t="shared" si="584"/>
        <v>2977686</v>
      </c>
      <c r="I1988" s="712">
        <v>0</v>
      </c>
      <c r="J1988" s="707">
        <f t="shared" si="585"/>
        <v>0</v>
      </c>
      <c r="K1988" s="708">
        <f t="shared" si="586"/>
        <v>2977686</v>
      </c>
      <c r="L1988" s="1083"/>
      <c r="M1988" s="632"/>
      <c r="N1988" s="709">
        <f t="shared" si="573"/>
        <v>0</v>
      </c>
      <c r="O1988" s="681">
        <v>0</v>
      </c>
      <c r="P1988" s="673"/>
      <c r="Q1988" s="632"/>
      <c r="R1988" s="632"/>
      <c r="S1988" s="632"/>
    </row>
    <row r="1989" spans="1:19" ht="21.3">
      <c r="A1989" s="702"/>
      <c r="B1989" s="1141"/>
      <c r="C1989" s="710"/>
      <c r="D1989" s="899"/>
      <c r="E1989" s="673"/>
      <c r="F1989" s="674"/>
      <c r="G1989" s="1088"/>
      <c r="H1989" s="705"/>
      <c r="I1989" s="712"/>
      <c r="J1989" s="707"/>
      <c r="K1989" s="708"/>
      <c r="L1989" s="1083"/>
      <c r="M1989" s="632"/>
      <c r="N1989" s="709"/>
      <c r="O1989" s="681"/>
      <c r="P1989" s="673"/>
      <c r="Q1989" s="632"/>
      <c r="R1989" s="632"/>
      <c r="S1989" s="632"/>
    </row>
    <row r="1990" spans="1:19" ht="21.3">
      <c r="A1990" s="702"/>
      <c r="B1990" s="703"/>
      <c r="C1990" s="703" t="s">
        <v>684</v>
      </c>
      <c r="D1990" s="703"/>
      <c r="E1990" s="673"/>
      <c r="F1990" s="674"/>
      <c r="G1990" s="704"/>
      <c r="H1990" s="705"/>
      <c r="I1990" s="706"/>
      <c r="J1990" s="707"/>
      <c r="K1990" s="708">
        <f>H1990+J1990</f>
        <v>0</v>
      </c>
      <c r="L1990" s="1083"/>
      <c r="M1990" s="632"/>
      <c r="N1990" s="709">
        <f t="shared" si="573"/>
        <v>0</v>
      </c>
      <c r="O1990" s="681">
        <v>0</v>
      </c>
      <c r="P1990" s="673"/>
      <c r="Q1990" s="632"/>
      <c r="R1990" s="632"/>
      <c r="S1990" s="632"/>
    </row>
    <row r="1991" spans="1:19" ht="21.3">
      <c r="A1991" s="702"/>
      <c r="B1991" s="703" t="s">
        <v>704</v>
      </c>
      <c r="C1991" s="703"/>
      <c r="D1991" s="703"/>
      <c r="E1991" s="673">
        <f>7.8*4.8+7.8*3.6*7+7.8*5.1</f>
        <v>273.77999999999997</v>
      </c>
      <c r="F1991" s="674" t="s">
        <v>34</v>
      </c>
      <c r="G1991" s="704">
        <v>11800</v>
      </c>
      <c r="H1991" s="705">
        <f>E1991*G1991</f>
        <v>3230603.9999999995</v>
      </c>
      <c r="I1991" s="706">
        <v>0</v>
      </c>
      <c r="J1991" s="707">
        <f t="shared" ref="J1991:J2003" si="587">I1991*E1991</f>
        <v>0</v>
      </c>
      <c r="K1991" s="708">
        <f>H1991+J1991</f>
        <v>3230603.9999999995</v>
      </c>
      <c r="L1991" s="1083"/>
      <c r="M1991" s="632">
        <f>7.8*3.34+7.8*2.14*7+7.8*3.64</f>
        <v>171.28799999999998</v>
      </c>
      <c r="N1991" s="709">
        <f t="shared" si="573"/>
        <v>0</v>
      </c>
      <c r="O1991" s="681">
        <v>0</v>
      </c>
      <c r="P1991" s="673"/>
      <c r="Q1991" s="632"/>
      <c r="R1991" s="632"/>
      <c r="S1991" s="632"/>
    </row>
    <row r="1992" spans="1:19" ht="21.3">
      <c r="A1992" s="702"/>
      <c r="B1992" s="1141" t="s">
        <v>705</v>
      </c>
      <c r="C1992" s="710"/>
      <c r="D1992" s="899"/>
      <c r="E1992" s="673">
        <f>17.18*4.8+17.2*7*3.6+17.2*5.1</f>
        <v>603.62400000000002</v>
      </c>
      <c r="F1992" s="674" t="s">
        <v>34</v>
      </c>
      <c r="G1992" s="711">
        <v>11800</v>
      </c>
      <c r="H1992" s="705">
        <f t="shared" ref="H1992:H1995" si="588">E1992*G1992</f>
        <v>7122763.2000000002</v>
      </c>
      <c r="I1992" s="712">
        <v>0</v>
      </c>
      <c r="J1992" s="707">
        <f t="shared" si="587"/>
        <v>0</v>
      </c>
      <c r="K1992" s="708">
        <f t="shared" ref="K1992:K1993" si="589">H1992+J1992</f>
        <v>7122763.2000000002</v>
      </c>
      <c r="L1992" s="1083"/>
      <c r="M1992" s="632">
        <f>17.18*3.34+17.2*7*2.14+17.2*3.64</f>
        <v>377.64519999999999</v>
      </c>
      <c r="N1992" s="709">
        <f t="shared" si="573"/>
        <v>0</v>
      </c>
      <c r="O1992" s="681">
        <v>0</v>
      </c>
      <c r="P1992" s="673"/>
      <c r="Q1992" s="632"/>
      <c r="R1992" s="632"/>
      <c r="S1992" s="632"/>
    </row>
    <row r="1993" spans="1:19" ht="21.3">
      <c r="A1993" s="702"/>
      <c r="B1993" s="1141" t="s">
        <v>706</v>
      </c>
      <c r="C1993" s="710"/>
      <c r="D1993" s="899"/>
      <c r="E1993" s="673">
        <f>19.42*4.8+(19.85+20.29+20.7+21.13+21.58+22.02+22.43)*3.6+22.87*5.1</f>
        <v>742.65300000000002</v>
      </c>
      <c r="F1993" s="674" t="s">
        <v>34</v>
      </c>
      <c r="G1993" s="711">
        <v>11800</v>
      </c>
      <c r="H1993" s="705">
        <f t="shared" si="588"/>
        <v>8763305.4000000004</v>
      </c>
      <c r="I1993" s="712">
        <v>0</v>
      </c>
      <c r="J1993" s="707">
        <f t="shared" si="587"/>
        <v>0</v>
      </c>
      <c r="K1993" s="708">
        <f t="shared" si="589"/>
        <v>8763305.4000000004</v>
      </c>
      <c r="L1993" s="1083"/>
      <c r="M1993" s="632">
        <f>19.42*3.34+(19.85+20.29+20.7+21.13+21.58+22.02+22.43)*2.14+22.87*3.64</f>
        <v>464.82960000000003</v>
      </c>
      <c r="N1993" s="709">
        <f t="shared" si="573"/>
        <v>0</v>
      </c>
      <c r="O1993" s="681">
        <v>0</v>
      </c>
      <c r="P1993" s="673"/>
      <c r="Q1993" s="632"/>
      <c r="R1993" s="632"/>
      <c r="S1993" s="632"/>
    </row>
    <row r="1994" spans="1:19" ht="21.3">
      <c r="A1994" s="702"/>
      <c r="B1994" s="1141"/>
      <c r="C1994" s="710"/>
      <c r="D1994" s="899"/>
      <c r="E1994" s="673"/>
      <c r="F1994" s="674"/>
      <c r="G1994" s="1088"/>
      <c r="H1994" s="705"/>
      <c r="I1994" s="712"/>
      <c r="J1994" s="707"/>
      <c r="K1994" s="708"/>
      <c r="L1994" s="1083"/>
      <c r="M1994" s="632"/>
      <c r="N1994" s="709"/>
      <c r="O1994" s="681"/>
      <c r="P1994" s="673"/>
      <c r="Q1994" s="632"/>
      <c r="R1994" s="632"/>
      <c r="S1994" s="632"/>
    </row>
    <row r="1995" spans="1:19" ht="21.3">
      <c r="A1995" s="702"/>
      <c r="B1995" s="703" t="s">
        <v>707</v>
      </c>
      <c r="C1995" s="703"/>
      <c r="D1995" s="703"/>
      <c r="E1995" s="673">
        <f>13.86*4.8+(13.4+12.96+12.55+12.11+11.67+11.23+10.82)*3.6+10.38*5.1</f>
        <v>424.53</v>
      </c>
      <c r="F1995" s="674" t="s">
        <v>34</v>
      </c>
      <c r="G1995" s="704">
        <v>11800</v>
      </c>
      <c r="H1995" s="705">
        <f t="shared" si="588"/>
        <v>5009454</v>
      </c>
      <c r="I1995" s="706">
        <v>0</v>
      </c>
      <c r="J1995" s="707">
        <f t="shared" si="587"/>
        <v>0</v>
      </c>
      <c r="K1995" s="708">
        <f>H1995+J1995</f>
        <v>5009454</v>
      </c>
      <c r="L1995" s="1083"/>
      <c r="M1995" s="632">
        <f>13.86*3.34+(13.4+12.96+12.55+12.11+11.67+11.23+10.82)*2.14+10.38*3.64</f>
        <v>265.41920000000005</v>
      </c>
      <c r="N1995" s="709">
        <f t="shared" si="573"/>
        <v>0</v>
      </c>
      <c r="O1995" s="681">
        <v>0</v>
      </c>
      <c r="P1995" s="673"/>
      <c r="Q1995" s="632"/>
      <c r="R1995" s="632"/>
      <c r="S1995" s="632"/>
    </row>
    <row r="1996" spans="1:19" ht="21.3">
      <c r="A1996" s="702"/>
      <c r="B1996" s="703"/>
      <c r="C1996" s="703" t="s">
        <v>708</v>
      </c>
      <c r="D1996" s="703"/>
      <c r="E1996" s="673">
        <f>SUM(M1991:M1995)</f>
        <v>1279.182</v>
      </c>
      <c r="F1996" s="674" t="s">
        <v>34</v>
      </c>
      <c r="G1996" s="704">
        <v>1595</v>
      </c>
      <c r="H1996" s="705">
        <f>E1996*G1996</f>
        <v>2040295.29</v>
      </c>
      <c r="I1996" s="706">
        <v>0</v>
      </c>
      <c r="J1996" s="707">
        <f t="shared" si="587"/>
        <v>0</v>
      </c>
      <c r="K1996" s="708">
        <f>H1996+J1996</f>
        <v>2040295.29</v>
      </c>
      <c r="L1996" s="1083"/>
      <c r="M1996" s="632"/>
      <c r="N1996" s="709">
        <f t="shared" si="573"/>
        <v>0</v>
      </c>
      <c r="O1996" s="681">
        <v>0</v>
      </c>
      <c r="P1996" s="673"/>
      <c r="Q1996" s="632"/>
      <c r="R1996" s="632"/>
      <c r="S1996" s="632"/>
    </row>
    <row r="1997" spans="1:19" ht="21.3">
      <c r="A1997" s="702"/>
      <c r="B1997" s="1141"/>
      <c r="C1997" s="710" t="s">
        <v>709</v>
      </c>
      <c r="D1997" s="899"/>
      <c r="E1997" s="673">
        <f>+(58.25*9*0.79)</f>
        <v>414.15750000000003</v>
      </c>
      <c r="F1997" s="674" t="s">
        <v>34</v>
      </c>
      <c r="G1997" s="711">
        <v>496</v>
      </c>
      <c r="H1997" s="705">
        <f t="shared" ref="H1997:H1998" si="590">E1997*G1997</f>
        <v>205422.12000000002</v>
      </c>
      <c r="I1997" s="712">
        <f>172</f>
        <v>172</v>
      </c>
      <c r="J1997" s="707">
        <f t="shared" si="587"/>
        <v>71235.090000000011</v>
      </c>
      <c r="K1997" s="708">
        <f t="shared" ref="K1997:K1998" si="591">H1997+J1997</f>
        <v>276657.21000000002</v>
      </c>
      <c r="L1997" s="1083"/>
      <c r="M1997" s="632"/>
      <c r="N1997" s="709">
        <f t="shared" si="573"/>
        <v>0</v>
      </c>
      <c r="O1997" s="681">
        <v>0</v>
      </c>
      <c r="P1997" s="673"/>
      <c r="Q1997" s="632"/>
      <c r="R1997" s="632"/>
      <c r="S1997" s="632"/>
    </row>
    <row r="1998" spans="1:19" ht="21.3">
      <c r="A1998" s="702"/>
      <c r="B1998" s="1141"/>
      <c r="C1998" s="710" t="s">
        <v>675</v>
      </c>
      <c r="D1998" s="899"/>
      <c r="E1998" s="673">
        <f>+((58.25*8)*(0.9+0.82))+(58.25*(0.9+1.07))</f>
        <v>916.27250000000004</v>
      </c>
      <c r="F1998" s="674" t="s">
        <v>34</v>
      </c>
      <c r="G1998" s="711">
        <v>496</v>
      </c>
      <c r="H1998" s="705">
        <f t="shared" si="590"/>
        <v>454471.16000000003</v>
      </c>
      <c r="I1998" s="712">
        <f>172</f>
        <v>172</v>
      </c>
      <c r="J1998" s="707">
        <f t="shared" si="587"/>
        <v>157598.87</v>
      </c>
      <c r="K1998" s="708">
        <f t="shared" si="591"/>
        <v>612070.03</v>
      </c>
      <c r="L1998" s="1083"/>
      <c r="M1998" s="632"/>
      <c r="N1998" s="709">
        <f t="shared" si="573"/>
        <v>0</v>
      </c>
      <c r="O1998" s="681">
        <v>0</v>
      </c>
      <c r="P1998" s="673"/>
      <c r="Q1998" s="632"/>
      <c r="R1998" s="632"/>
      <c r="S1998" s="632"/>
    </row>
    <row r="1999" spans="1:19" ht="21.3">
      <c r="A1999" s="702"/>
      <c r="B1999" s="703"/>
      <c r="C1999" s="703" t="s">
        <v>710</v>
      </c>
      <c r="D1999" s="703"/>
      <c r="E1999" s="673">
        <f>75*0.9</f>
        <v>67.5</v>
      </c>
      <c r="F1999" s="674" t="s">
        <v>34</v>
      </c>
      <c r="G1999" s="704">
        <f>ROUNDUP((281+119*1.41+88),0)</f>
        <v>537</v>
      </c>
      <c r="H1999" s="705">
        <f>SUM(E1999*G1999)</f>
        <v>36247.5</v>
      </c>
      <c r="I1999" s="706">
        <f>ROUNDUP((80+44*1.41+95),0)</f>
        <v>238</v>
      </c>
      <c r="J1999" s="707">
        <f>I1999*E1999</f>
        <v>16065</v>
      </c>
      <c r="K1999" s="708">
        <f>H1999+J1999</f>
        <v>52312.5</v>
      </c>
      <c r="L1999" s="1083"/>
      <c r="M1999" s="632"/>
      <c r="N1999" s="709">
        <f t="shared" si="573"/>
        <v>0</v>
      </c>
      <c r="O1999" s="681">
        <v>0</v>
      </c>
      <c r="P1999" s="673"/>
      <c r="Q1999" s="632"/>
      <c r="R1999" s="632"/>
      <c r="S1999" s="632"/>
    </row>
    <row r="2000" spans="1:19" ht="21.3">
      <c r="A2000" s="702"/>
      <c r="B2000" s="703" t="s">
        <v>676</v>
      </c>
      <c r="C2000" s="703"/>
      <c r="D2000" s="703"/>
      <c r="E2000" s="673">
        <f>+(58.25*1.4*9)</f>
        <v>733.94999999999993</v>
      </c>
      <c r="F2000" s="674" t="s">
        <v>34</v>
      </c>
      <c r="G2000" s="704">
        <v>7050</v>
      </c>
      <c r="H2000" s="705">
        <f>E2000*G2000</f>
        <v>5174347.4999999991</v>
      </c>
      <c r="I2000" s="706">
        <v>0</v>
      </c>
      <c r="J2000" s="707">
        <f t="shared" si="587"/>
        <v>0</v>
      </c>
      <c r="K2000" s="708">
        <f>H2000+J2000</f>
        <v>5174347.4999999991</v>
      </c>
      <c r="L2000" s="1083"/>
      <c r="M2000" s="632"/>
      <c r="N2000" s="709">
        <f t="shared" si="573"/>
        <v>0</v>
      </c>
      <c r="O2000" s="681">
        <v>0</v>
      </c>
      <c r="P2000" s="673"/>
      <c r="Q2000" s="632"/>
      <c r="R2000" s="632"/>
      <c r="S2000" s="632"/>
    </row>
    <row r="2001" spans="1:19" ht="21.3">
      <c r="A2001" s="702"/>
      <c r="B2001" s="1141" t="s">
        <v>687</v>
      </c>
      <c r="C2001" s="710"/>
      <c r="D2001" s="899"/>
      <c r="E2001" s="673">
        <f>ROUNDUP(58.25/1.4,0)*9+9*2</f>
        <v>396</v>
      </c>
      <c r="F2001" s="674" t="s">
        <v>363</v>
      </c>
      <c r="G2001" s="711">
        <v>3136</v>
      </c>
      <c r="H2001" s="705">
        <f>E2001*G2001</f>
        <v>1241856</v>
      </c>
      <c r="I2001" s="712">
        <v>165</v>
      </c>
      <c r="J2001" s="707">
        <f t="shared" si="587"/>
        <v>65340</v>
      </c>
      <c r="K2001" s="708">
        <f t="shared" ref="K2001" si="592">H2001+J2001</f>
        <v>1307196</v>
      </c>
      <c r="L2001" s="1083"/>
      <c r="M2001" s="632"/>
      <c r="N2001" s="709">
        <f t="shared" si="573"/>
        <v>0</v>
      </c>
      <c r="O2001" s="681">
        <v>0</v>
      </c>
      <c r="P2001" s="673"/>
      <c r="Q2001" s="632"/>
      <c r="R2001" s="632"/>
      <c r="S2001" s="632"/>
    </row>
    <row r="2002" spans="1:19" ht="21.3">
      <c r="A2002" s="702"/>
      <c r="B2002" s="703"/>
      <c r="C2002" s="703" t="s">
        <v>711</v>
      </c>
      <c r="D2002" s="703"/>
      <c r="E2002" s="673">
        <f>+(7.5+7.5+7.5+9.5)*36.67</f>
        <v>1173.44</v>
      </c>
      <c r="F2002" s="674" t="s">
        <v>34</v>
      </c>
      <c r="G2002" s="704">
        <v>8800</v>
      </c>
      <c r="H2002" s="705">
        <f>E2002*G2002</f>
        <v>10326272</v>
      </c>
      <c r="I2002" s="706">
        <v>0</v>
      </c>
      <c r="J2002" s="707">
        <f t="shared" si="587"/>
        <v>0</v>
      </c>
      <c r="K2002" s="708">
        <f>H2002+J2002</f>
        <v>10326272</v>
      </c>
      <c r="L2002" s="1083"/>
      <c r="M2002" s="632"/>
      <c r="N2002" s="709">
        <f t="shared" si="573"/>
        <v>0</v>
      </c>
      <c r="O2002" s="681">
        <v>0</v>
      </c>
      <c r="P2002" s="673"/>
      <c r="Q2002" s="632"/>
      <c r="R2002" s="632"/>
      <c r="S2002" s="632"/>
    </row>
    <row r="2003" spans="1:19" ht="21.3">
      <c r="A2003" s="702"/>
      <c r="B2003" s="1141"/>
      <c r="C2003" s="710"/>
      <c r="D2003" s="899" t="s">
        <v>712</v>
      </c>
      <c r="E2003" s="673"/>
      <c r="F2003" s="674"/>
      <c r="G2003" s="711"/>
      <c r="H2003" s="705">
        <f t="shared" ref="H2003" si="593">E2003*G2003</f>
        <v>0</v>
      </c>
      <c r="I2003" s="712"/>
      <c r="J2003" s="707">
        <f t="shared" si="587"/>
        <v>0</v>
      </c>
      <c r="K2003" s="708">
        <f t="shared" ref="K2003:K2004" si="594">H2003+J2003</f>
        <v>0</v>
      </c>
      <c r="L2003" s="1083"/>
      <c r="M2003" s="632"/>
      <c r="N2003" s="709">
        <f t="shared" si="573"/>
        <v>0</v>
      </c>
      <c r="O2003" s="681">
        <v>0</v>
      </c>
      <c r="P2003" s="673"/>
      <c r="Q2003" s="632"/>
      <c r="R2003" s="632"/>
      <c r="S2003" s="632"/>
    </row>
    <row r="2004" spans="1:19" ht="21.3">
      <c r="A2004" s="702"/>
      <c r="B2004" s="1141"/>
      <c r="C2004" s="710" t="s">
        <v>713</v>
      </c>
      <c r="D2004" s="899"/>
      <c r="E2004" s="673">
        <f>22.02*3.35*8+(22.02*3.6)</f>
        <v>669.40800000000002</v>
      </c>
      <c r="F2004" s="674" t="s">
        <v>34</v>
      </c>
      <c r="G2004" s="711">
        <f>ROUNDUP((281+119*0.7+88+69),0)</f>
        <v>522</v>
      </c>
      <c r="H2004" s="705">
        <f>SUM(E2004*G2004)</f>
        <v>349430.97600000002</v>
      </c>
      <c r="I2004" s="712">
        <f>ROUNDUP((80+44*0.7+95+28),0)</f>
        <v>234</v>
      </c>
      <c r="J2004" s="707">
        <f>I2004*E2004</f>
        <v>156641.47200000001</v>
      </c>
      <c r="K2004" s="708">
        <f t="shared" si="594"/>
        <v>506072.44800000003</v>
      </c>
      <c r="L2004" s="1083"/>
      <c r="M2004" s="632"/>
      <c r="N2004" s="709">
        <f t="shared" si="573"/>
        <v>0</v>
      </c>
      <c r="O2004" s="681">
        <v>0</v>
      </c>
      <c r="P2004" s="673"/>
      <c r="Q2004" s="632"/>
      <c r="R2004" s="632"/>
      <c r="S2004" s="632"/>
    </row>
    <row r="2005" spans="1:19" ht="21.3">
      <c r="A2005" s="702"/>
      <c r="B2005" s="703" t="s">
        <v>714</v>
      </c>
      <c r="C2005" s="703"/>
      <c r="D2005" s="703"/>
      <c r="E2005" s="673"/>
      <c r="F2005" s="674"/>
      <c r="G2005" s="704"/>
      <c r="H2005" s="705">
        <f>E2005*G2005</f>
        <v>0</v>
      </c>
      <c r="I2005" s="706">
        <v>0</v>
      </c>
      <c r="J2005" s="707">
        <f t="shared" ref="J2005" si="595">I2005*E2005</f>
        <v>0</v>
      </c>
      <c r="K2005" s="708">
        <f>H2005+J2005</f>
        <v>0</v>
      </c>
      <c r="L2005" s="1083"/>
      <c r="M2005" s="632"/>
      <c r="N2005" s="709">
        <f t="shared" si="573"/>
        <v>0</v>
      </c>
      <c r="O2005" s="681">
        <v>0</v>
      </c>
      <c r="P2005" s="673"/>
      <c r="Q2005" s="632"/>
      <c r="R2005" s="632"/>
      <c r="S2005" s="632"/>
    </row>
    <row r="2006" spans="1:19" ht="21.3">
      <c r="A2006" s="702"/>
      <c r="B2006" s="703" t="s">
        <v>715</v>
      </c>
      <c r="C2006" s="703"/>
      <c r="D2006" s="703"/>
      <c r="E2006" s="673"/>
      <c r="F2006" s="674"/>
      <c r="G2006" s="704"/>
      <c r="H2006" s="705">
        <f>E2006*G2006</f>
        <v>0</v>
      </c>
      <c r="I2006" s="706">
        <v>0</v>
      </c>
      <c r="J2006" s="707">
        <f>I2006*E2006</f>
        <v>0</v>
      </c>
      <c r="K2006" s="708">
        <f>H2006+J2006</f>
        <v>0</v>
      </c>
      <c r="L2006" s="1083"/>
      <c r="M2006" s="632"/>
      <c r="N2006" s="709">
        <f t="shared" si="573"/>
        <v>0</v>
      </c>
      <c r="O2006" s="681">
        <v>0</v>
      </c>
      <c r="P2006" s="673"/>
      <c r="Q2006" s="632"/>
      <c r="R2006" s="632"/>
      <c r="S2006" s="632"/>
    </row>
    <row r="2007" spans="1:19" ht="21.3">
      <c r="A2007" s="702"/>
      <c r="B2007" s="1141"/>
      <c r="C2007" s="710" t="s">
        <v>716</v>
      </c>
      <c r="D2007" s="899"/>
      <c r="E2007" s="673">
        <f>17*36.1</f>
        <v>613.70000000000005</v>
      </c>
      <c r="F2007" s="674" t="s">
        <v>226</v>
      </c>
      <c r="G2007" s="711">
        <v>22317</v>
      </c>
      <c r="H2007" s="705">
        <f t="shared" ref="H2007:H2014" si="596">E2007*G2007</f>
        <v>13695942.9</v>
      </c>
      <c r="I2007" s="712">
        <v>0</v>
      </c>
      <c r="J2007" s="707">
        <f t="shared" ref="J2007:J2014" si="597">I2007*E2007</f>
        <v>0</v>
      </c>
      <c r="K2007" s="708">
        <f t="shared" ref="K2007:K2010" si="598">H2007+J2007</f>
        <v>13695942.9</v>
      </c>
      <c r="L2007" s="1083"/>
      <c r="M2007" s="632"/>
      <c r="N2007" s="709">
        <f t="shared" si="573"/>
        <v>0</v>
      </c>
      <c r="O2007" s="681">
        <v>0</v>
      </c>
      <c r="P2007" s="673"/>
      <c r="Q2007" s="632"/>
      <c r="R2007" s="632"/>
      <c r="S2007" s="632"/>
    </row>
    <row r="2008" spans="1:19" ht="21.3">
      <c r="A2008" s="702"/>
      <c r="B2008" s="1141"/>
      <c r="C2008" s="710" t="s">
        <v>717</v>
      </c>
      <c r="D2008" s="899"/>
      <c r="E2008" s="673">
        <f>123.74+25.6+6.4+18.53+13.3*4</f>
        <v>227.47000000000003</v>
      </c>
      <c r="F2008" s="674" t="s">
        <v>226</v>
      </c>
      <c r="G2008" s="711">
        <v>22317</v>
      </c>
      <c r="H2008" s="705">
        <f t="shared" si="596"/>
        <v>5076447.99</v>
      </c>
      <c r="I2008" s="712">
        <v>0</v>
      </c>
      <c r="J2008" s="707">
        <f t="shared" si="597"/>
        <v>0</v>
      </c>
      <c r="K2008" s="708">
        <f t="shared" si="598"/>
        <v>5076447.99</v>
      </c>
      <c r="L2008" s="1083"/>
      <c r="M2008" s="632"/>
      <c r="N2008" s="709">
        <f t="shared" si="573"/>
        <v>0</v>
      </c>
      <c r="O2008" s="681">
        <v>0</v>
      </c>
      <c r="P2008" s="673"/>
      <c r="Q2008" s="632"/>
      <c r="R2008" s="632"/>
      <c r="S2008" s="632"/>
    </row>
    <row r="2009" spans="1:19" ht="21.3">
      <c r="A2009" s="702"/>
      <c r="B2009" s="1141"/>
      <c r="C2009" s="710" t="s">
        <v>718</v>
      </c>
      <c r="D2009" s="899"/>
      <c r="E2009" s="673">
        <f>17*1.75</f>
        <v>29.75</v>
      </c>
      <c r="F2009" s="674" t="s">
        <v>226</v>
      </c>
      <c r="G2009" s="711">
        <v>22317</v>
      </c>
      <c r="H2009" s="705">
        <f t="shared" si="596"/>
        <v>663930.75</v>
      </c>
      <c r="I2009" s="712">
        <v>0</v>
      </c>
      <c r="J2009" s="707">
        <f t="shared" si="597"/>
        <v>0</v>
      </c>
      <c r="K2009" s="708">
        <f t="shared" si="598"/>
        <v>663930.75</v>
      </c>
      <c r="L2009" s="1083"/>
      <c r="M2009" s="632"/>
      <c r="N2009" s="709">
        <f t="shared" si="573"/>
        <v>0</v>
      </c>
      <c r="O2009" s="681">
        <v>0</v>
      </c>
      <c r="P2009" s="673"/>
      <c r="Q2009" s="632"/>
      <c r="R2009" s="632"/>
      <c r="S2009" s="632"/>
    </row>
    <row r="2010" spans="1:19" ht="21.3">
      <c r="A2010" s="702"/>
      <c r="B2010" s="1141"/>
      <c r="C2010" s="710" t="s">
        <v>719</v>
      </c>
      <c r="D2010" s="899"/>
      <c r="E2010" s="673">
        <v>17</v>
      </c>
      <c r="F2010" s="674" t="s">
        <v>363</v>
      </c>
      <c r="G2010" s="711">
        <v>2604</v>
      </c>
      <c r="H2010" s="705">
        <f t="shared" si="596"/>
        <v>44268</v>
      </c>
      <c r="I2010" s="712">
        <v>0</v>
      </c>
      <c r="J2010" s="707">
        <f t="shared" si="597"/>
        <v>0</v>
      </c>
      <c r="K2010" s="708">
        <f t="shared" si="598"/>
        <v>44268</v>
      </c>
      <c r="L2010" s="1083"/>
      <c r="M2010" s="632"/>
      <c r="N2010" s="709">
        <f t="shared" si="573"/>
        <v>0</v>
      </c>
      <c r="O2010" s="681">
        <v>0</v>
      </c>
      <c r="P2010" s="673"/>
      <c r="Q2010" s="632"/>
      <c r="R2010" s="632"/>
      <c r="S2010" s="632"/>
    </row>
    <row r="2011" spans="1:19" ht="21.3">
      <c r="A2011" s="702"/>
      <c r="B2011" s="703"/>
      <c r="C2011" s="703" t="s">
        <v>720</v>
      </c>
      <c r="D2011" s="703"/>
      <c r="E2011" s="673">
        <v>5</v>
      </c>
      <c r="F2011" s="674" t="s">
        <v>363</v>
      </c>
      <c r="G2011" s="704">
        <v>5850</v>
      </c>
      <c r="H2011" s="705">
        <f t="shared" si="596"/>
        <v>29250</v>
      </c>
      <c r="I2011" s="706">
        <v>0</v>
      </c>
      <c r="J2011" s="707">
        <f t="shared" si="597"/>
        <v>0</v>
      </c>
      <c r="K2011" s="708">
        <f>H2011+J2011</f>
        <v>29250</v>
      </c>
      <c r="L2011" s="1083"/>
      <c r="M2011" s="632"/>
      <c r="N2011" s="709">
        <f t="shared" si="573"/>
        <v>0</v>
      </c>
      <c r="O2011" s="681">
        <v>0</v>
      </c>
      <c r="P2011" s="673"/>
      <c r="Q2011" s="632"/>
      <c r="R2011" s="632"/>
      <c r="S2011" s="632"/>
    </row>
    <row r="2012" spans="1:19" ht="21.3">
      <c r="A2012" s="702"/>
      <c r="B2012" s="703" t="s">
        <v>721</v>
      </c>
      <c r="C2012" s="703"/>
      <c r="D2012" s="703"/>
      <c r="E2012" s="673"/>
      <c r="F2012" s="674"/>
      <c r="G2012" s="704"/>
      <c r="H2012" s="705">
        <f t="shared" si="596"/>
        <v>0</v>
      </c>
      <c r="I2012" s="706">
        <v>0</v>
      </c>
      <c r="J2012" s="707">
        <f t="shared" si="597"/>
        <v>0</v>
      </c>
      <c r="K2012" s="708">
        <f>H2012+J2012</f>
        <v>0</v>
      </c>
      <c r="L2012" s="1083"/>
      <c r="M2012" s="632"/>
      <c r="N2012" s="709">
        <f t="shared" si="573"/>
        <v>0</v>
      </c>
      <c r="O2012" s="681">
        <v>0</v>
      </c>
      <c r="P2012" s="673"/>
      <c r="Q2012" s="632"/>
      <c r="R2012" s="632"/>
      <c r="S2012" s="632"/>
    </row>
    <row r="2013" spans="1:19" ht="21.3">
      <c r="A2013" s="702"/>
      <c r="B2013" s="1141"/>
      <c r="C2013" s="710" t="s">
        <v>722</v>
      </c>
      <c r="D2013" s="899"/>
      <c r="E2013" s="673">
        <f>8*25.3</f>
        <v>202.4</v>
      </c>
      <c r="F2013" s="674" t="s">
        <v>226</v>
      </c>
      <c r="G2013" s="711">
        <v>26434</v>
      </c>
      <c r="H2013" s="705">
        <f t="shared" si="596"/>
        <v>5350241.6000000006</v>
      </c>
      <c r="I2013" s="712">
        <v>0</v>
      </c>
      <c r="J2013" s="707">
        <f t="shared" si="597"/>
        <v>0</v>
      </c>
      <c r="K2013" s="708">
        <f t="shared" ref="K2013:K2014" si="599">H2013+J2013</f>
        <v>5350241.6000000006</v>
      </c>
      <c r="L2013" s="1083"/>
      <c r="M2013" s="632"/>
      <c r="N2013" s="709">
        <f t="shared" si="573"/>
        <v>0</v>
      </c>
      <c r="O2013" s="681">
        <v>0</v>
      </c>
      <c r="P2013" s="673"/>
      <c r="Q2013" s="632"/>
      <c r="R2013" s="632"/>
      <c r="S2013" s="632"/>
    </row>
    <row r="2014" spans="1:19" ht="21.3">
      <c r="A2014" s="702"/>
      <c r="B2014" s="1141"/>
      <c r="C2014" s="710" t="s">
        <v>723</v>
      </c>
      <c r="D2014" s="899"/>
      <c r="E2014" s="673">
        <f>1*25.3</f>
        <v>25.3</v>
      </c>
      <c r="F2014" s="674" t="s">
        <v>226</v>
      </c>
      <c r="G2014" s="711">
        <v>32633</v>
      </c>
      <c r="H2014" s="705">
        <f t="shared" si="596"/>
        <v>825614.9</v>
      </c>
      <c r="I2014" s="712">
        <v>0</v>
      </c>
      <c r="J2014" s="707">
        <f t="shared" si="597"/>
        <v>0</v>
      </c>
      <c r="K2014" s="708">
        <f t="shared" si="599"/>
        <v>825614.9</v>
      </c>
      <c r="L2014" s="1083"/>
      <c r="M2014" s="632"/>
      <c r="N2014" s="709">
        <f t="shared" si="573"/>
        <v>0</v>
      </c>
      <c r="O2014" s="681">
        <v>0</v>
      </c>
      <c r="P2014" s="673"/>
      <c r="Q2014" s="632"/>
      <c r="R2014" s="632"/>
      <c r="S2014" s="632"/>
    </row>
    <row r="2015" spans="1:19" ht="21.3">
      <c r="A2015" s="702"/>
      <c r="B2015" s="1141"/>
      <c r="C2015" s="710"/>
      <c r="D2015" s="899"/>
      <c r="E2015" s="673"/>
      <c r="F2015" s="674"/>
      <c r="G2015" s="1088"/>
      <c r="H2015" s="705"/>
      <c r="I2015" s="712"/>
      <c r="J2015" s="707"/>
      <c r="K2015" s="708"/>
      <c r="L2015" s="1083"/>
      <c r="M2015" s="632"/>
      <c r="N2015" s="709"/>
      <c r="O2015" s="681"/>
      <c r="P2015" s="673"/>
      <c r="Q2015" s="632"/>
      <c r="R2015" s="632"/>
      <c r="S2015" s="632"/>
    </row>
    <row r="2016" spans="1:19" ht="21.3">
      <c r="A2016" s="702"/>
      <c r="B2016" s="1141"/>
      <c r="C2016" s="710"/>
      <c r="D2016" s="899"/>
      <c r="E2016" s="673"/>
      <c r="F2016" s="674"/>
      <c r="G2016" s="1088"/>
      <c r="H2016" s="705"/>
      <c r="I2016" s="712"/>
      <c r="J2016" s="707"/>
      <c r="K2016" s="708"/>
      <c r="L2016" s="1083"/>
      <c r="M2016" s="632"/>
      <c r="N2016" s="709"/>
      <c r="O2016" s="681"/>
      <c r="P2016" s="673"/>
      <c r="Q2016" s="632"/>
      <c r="R2016" s="632"/>
      <c r="S2016" s="632"/>
    </row>
    <row r="2017" spans="1:19" ht="21.3">
      <c r="A2017" s="702"/>
      <c r="B2017" s="1141"/>
      <c r="C2017" s="710"/>
      <c r="D2017" s="899"/>
      <c r="E2017" s="673"/>
      <c r="F2017" s="674"/>
      <c r="G2017" s="1088"/>
      <c r="H2017" s="705"/>
      <c r="I2017" s="712"/>
      <c r="J2017" s="707"/>
      <c r="K2017" s="708"/>
      <c r="L2017" s="1083"/>
      <c r="M2017" s="632"/>
      <c r="N2017" s="709"/>
      <c r="O2017" s="681"/>
      <c r="P2017" s="673"/>
      <c r="Q2017" s="632"/>
      <c r="R2017" s="632"/>
      <c r="S2017" s="632"/>
    </row>
    <row r="2018" spans="1:19" ht="21.3">
      <c r="A2018" s="702"/>
      <c r="B2018" s="1141"/>
      <c r="C2018" s="710"/>
      <c r="D2018" s="899"/>
      <c r="E2018" s="673"/>
      <c r="F2018" s="674"/>
      <c r="G2018" s="1088"/>
      <c r="H2018" s="705"/>
      <c r="I2018" s="712"/>
      <c r="J2018" s="707"/>
      <c r="K2018" s="708"/>
      <c r="L2018" s="1083"/>
      <c r="M2018" s="632"/>
      <c r="N2018" s="709"/>
      <c r="O2018" s="681"/>
      <c r="P2018" s="673"/>
      <c r="Q2018" s="632"/>
      <c r="R2018" s="632"/>
      <c r="S2018" s="632"/>
    </row>
    <row r="2019" spans="1:19" ht="21.3">
      <c r="A2019" s="702"/>
      <c r="B2019" s="1141"/>
      <c r="C2019" s="710"/>
      <c r="D2019" s="899"/>
      <c r="E2019" s="673"/>
      <c r="F2019" s="674"/>
      <c r="G2019" s="1088"/>
      <c r="H2019" s="705"/>
      <c r="I2019" s="712"/>
      <c r="J2019" s="707"/>
      <c r="K2019" s="708"/>
      <c r="L2019" s="1083"/>
      <c r="M2019" s="632"/>
      <c r="N2019" s="709"/>
      <c r="O2019" s="681"/>
      <c r="P2019" s="673"/>
      <c r="Q2019" s="632"/>
      <c r="R2019" s="632"/>
      <c r="S2019" s="632"/>
    </row>
    <row r="2020" spans="1:19" ht="21.3">
      <c r="A2020" s="702"/>
      <c r="B2020" s="1141"/>
      <c r="C2020" s="710"/>
      <c r="D2020" s="899"/>
      <c r="E2020" s="673"/>
      <c r="F2020" s="674"/>
      <c r="G2020" s="1088"/>
      <c r="H2020" s="705"/>
      <c r="I2020" s="712"/>
      <c r="J2020" s="707"/>
      <c r="K2020" s="708"/>
      <c r="L2020" s="1083"/>
      <c r="M2020" s="632"/>
      <c r="N2020" s="709"/>
      <c r="O2020" s="681"/>
      <c r="P2020" s="673"/>
      <c r="Q2020" s="632"/>
      <c r="R2020" s="632"/>
      <c r="S2020" s="632"/>
    </row>
    <row r="2021" spans="1:19" ht="21.3">
      <c r="A2021" s="702"/>
      <c r="B2021" s="1141"/>
      <c r="C2021" s="710"/>
      <c r="D2021" s="899"/>
      <c r="E2021" s="673"/>
      <c r="F2021" s="674"/>
      <c r="G2021" s="1088"/>
      <c r="H2021" s="705"/>
      <c r="I2021" s="712"/>
      <c r="J2021" s="707"/>
      <c r="K2021" s="708"/>
      <c r="L2021" s="1083"/>
      <c r="M2021" s="632"/>
      <c r="N2021" s="709"/>
      <c r="O2021" s="681"/>
      <c r="P2021" s="673"/>
      <c r="Q2021" s="632"/>
      <c r="R2021" s="632"/>
      <c r="S2021" s="632"/>
    </row>
    <row r="2022" spans="1:19" ht="21.3">
      <c r="A2022" s="904" t="s">
        <v>530</v>
      </c>
      <c r="B2022" s="803" t="s">
        <v>724</v>
      </c>
      <c r="C2022" s="803"/>
      <c r="D2022" s="803"/>
      <c r="E2022" s="673"/>
      <c r="F2022" s="674"/>
      <c r="G2022" s="704"/>
      <c r="H2022" s="705"/>
      <c r="I2022" s="706"/>
      <c r="J2022" s="707"/>
      <c r="K2022" s="708">
        <f>H2022+J2022</f>
        <v>0</v>
      </c>
      <c r="L2022" s="1083"/>
      <c r="M2022" s="632"/>
      <c r="N2022" s="709">
        <f t="shared" si="573"/>
        <v>0</v>
      </c>
      <c r="O2022" s="681">
        <v>0</v>
      </c>
      <c r="P2022" s="673"/>
      <c r="Q2022" s="632"/>
      <c r="R2022" s="632"/>
      <c r="S2022" s="632"/>
    </row>
    <row r="2023" spans="1:19" ht="21.3">
      <c r="A2023" s="702"/>
      <c r="B2023" s="1141"/>
      <c r="C2023" s="710" t="s">
        <v>725</v>
      </c>
      <c r="D2023" s="899"/>
      <c r="E2023" s="673"/>
      <c r="F2023" s="674"/>
      <c r="G2023" s="711"/>
      <c r="H2023" s="705"/>
      <c r="I2023" s="712"/>
      <c r="J2023" s="707">
        <f>I2023*E2023</f>
        <v>0</v>
      </c>
      <c r="K2023" s="708">
        <f t="shared" ref="K2023:K2024" si="600">H2023+J2023</f>
        <v>0</v>
      </c>
      <c r="L2023" s="1083"/>
      <c r="M2023" s="632"/>
      <c r="N2023" s="709">
        <f t="shared" si="573"/>
        <v>0</v>
      </c>
      <c r="O2023" s="681">
        <v>0</v>
      </c>
      <c r="P2023" s="673"/>
      <c r="Q2023" s="632"/>
      <c r="R2023" s="632"/>
      <c r="S2023" s="632"/>
    </row>
    <row r="2024" spans="1:19" ht="21.3">
      <c r="A2024" s="702"/>
      <c r="B2024" s="1141" t="s">
        <v>726</v>
      </c>
      <c r="C2024" s="710"/>
      <c r="D2024" s="899"/>
      <c r="E2024" s="673">
        <f>65.8*2.55</f>
        <v>167.79</v>
      </c>
      <c r="F2024" s="674" t="s">
        <v>34</v>
      </c>
      <c r="G2024" s="711">
        <v>12300</v>
      </c>
      <c r="H2024" s="705">
        <f>E2024*G2024</f>
        <v>2063817</v>
      </c>
      <c r="I2024" s="712">
        <v>0</v>
      </c>
      <c r="J2024" s="707">
        <f>I2024*E2024</f>
        <v>0</v>
      </c>
      <c r="K2024" s="708">
        <f t="shared" si="600"/>
        <v>2063817</v>
      </c>
      <c r="L2024" s="1083"/>
      <c r="M2024" s="632"/>
      <c r="N2024" s="709">
        <f t="shared" si="573"/>
        <v>0</v>
      </c>
      <c r="O2024" s="681">
        <v>0</v>
      </c>
      <c r="P2024" s="673"/>
      <c r="Q2024" s="632"/>
      <c r="R2024" s="632"/>
      <c r="S2024" s="632"/>
    </row>
    <row r="2025" spans="1:19" ht="21.3">
      <c r="A2025" s="702"/>
      <c r="B2025" s="703"/>
      <c r="C2025" s="703" t="s">
        <v>673</v>
      </c>
      <c r="D2025" s="703"/>
      <c r="E2025" s="673">
        <f>65.8*0.95</f>
        <v>62.509999999999991</v>
      </c>
      <c r="F2025" s="674" t="s">
        <v>34</v>
      </c>
      <c r="G2025" s="704">
        <v>1595</v>
      </c>
      <c r="H2025" s="705">
        <f>E2025*G2025</f>
        <v>99703.449999999983</v>
      </c>
      <c r="I2025" s="706">
        <v>0</v>
      </c>
      <c r="J2025" s="707">
        <f t="shared" ref="J2025:J2037" si="601">I2025*E2025</f>
        <v>0</v>
      </c>
      <c r="K2025" s="708">
        <f>H2025+J2025</f>
        <v>99703.449999999983</v>
      </c>
      <c r="L2025" s="1083"/>
      <c r="M2025" s="632"/>
      <c r="N2025" s="709">
        <f t="shared" si="573"/>
        <v>0</v>
      </c>
      <c r="O2025" s="681">
        <v>0</v>
      </c>
      <c r="P2025" s="673"/>
      <c r="Q2025" s="632"/>
      <c r="R2025" s="632"/>
      <c r="S2025" s="632"/>
    </row>
    <row r="2026" spans="1:19" ht="21.3">
      <c r="A2026" s="702"/>
      <c r="B2026" s="703"/>
      <c r="C2026" s="703" t="s">
        <v>674</v>
      </c>
      <c r="D2026" s="703"/>
      <c r="E2026" s="673">
        <f>65.8*0.95</f>
        <v>62.509999999999991</v>
      </c>
      <c r="F2026" s="674" t="s">
        <v>34</v>
      </c>
      <c r="G2026" s="704">
        <v>310</v>
      </c>
      <c r="H2026" s="705">
        <f>E2026*G2026</f>
        <v>19378.099999999999</v>
      </c>
      <c r="I2026" s="706">
        <f>ROUNDUP((G2026*0.25),0)</f>
        <v>78</v>
      </c>
      <c r="J2026" s="707">
        <f t="shared" si="601"/>
        <v>4875.7799999999988</v>
      </c>
      <c r="K2026" s="708">
        <f>H2026+J2026</f>
        <v>24253.879999999997</v>
      </c>
      <c r="L2026" s="1083"/>
      <c r="M2026" s="632"/>
      <c r="N2026" s="709">
        <f t="shared" si="573"/>
        <v>0</v>
      </c>
      <c r="O2026" s="681">
        <v>0</v>
      </c>
      <c r="P2026" s="673"/>
      <c r="Q2026" s="632"/>
      <c r="R2026" s="632"/>
      <c r="S2026" s="632"/>
    </row>
    <row r="2027" spans="1:19" ht="21.3">
      <c r="A2027" s="702"/>
      <c r="B2027" s="1141"/>
      <c r="C2027" s="710" t="s">
        <v>675</v>
      </c>
      <c r="D2027" s="899"/>
      <c r="E2027" s="673">
        <f>65.8*0.95</f>
        <v>62.509999999999991</v>
      </c>
      <c r="F2027" s="674" t="s">
        <v>34</v>
      </c>
      <c r="G2027" s="711">
        <v>496</v>
      </c>
      <c r="H2027" s="705">
        <f>E2027*G2027</f>
        <v>31004.959999999995</v>
      </c>
      <c r="I2027" s="712">
        <f>172</f>
        <v>172</v>
      </c>
      <c r="J2027" s="707">
        <f t="shared" si="601"/>
        <v>10751.719999999998</v>
      </c>
      <c r="K2027" s="708">
        <f t="shared" ref="K2027:K2029" si="602">H2027+J2027</f>
        <v>41756.679999999993</v>
      </c>
      <c r="L2027" s="1083"/>
      <c r="M2027" s="632"/>
      <c r="N2027" s="709">
        <f t="shared" si="573"/>
        <v>0</v>
      </c>
      <c r="O2027" s="681">
        <v>0</v>
      </c>
      <c r="P2027" s="673"/>
      <c r="Q2027" s="632"/>
      <c r="R2027" s="632"/>
      <c r="S2027" s="632"/>
    </row>
    <row r="2028" spans="1:19" ht="21.3">
      <c r="A2028" s="702"/>
      <c r="B2028" s="1141" t="s">
        <v>677</v>
      </c>
      <c r="C2028" s="710"/>
      <c r="D2028" s="899"/>
      <c r="E2028" s="673">
        <f>ROUNDUP(65.8/1.4,0)+2-(8.4/1.4)</f>
        <v>43</v>
      </c>
      <c r="F2028" s="674" t="s">
        <v>363</v>
      </c>
      <c r="G2028" s="711">
        <v>5544</v>
      </c>
      <c r="H2028" s="705">
        <f>E2028*G2028</f>
        <v>238392</v>
      </c>
      <c r="I2028" s="712">
        <v>165</v>
      </c>
      <c r="J2028" s="707">
        <f t="shared" si="601"/>
        <v>7095</v>
      </c>
      <c r="K2028" s="708">
        <f t="shared" si="602"/>
        <v>245487</v>
      </c>
      <c r="L2028" s="1083"/>
      <c r="M2028" s="632"/>
      <c r="N2028" s="709">
        <f t="shared" si="573"/>
        <v>0</v>
      </c>
      <c r="O2028" s="681">
        <v>0</v>
      </c>
      <c r="P2028" s="673"/>
      <c r="Q2028" s="632"/>
      <c r="R2028" s="632"/>
      <c r="S2028" s="632"/>
    </row>
    <row r="2029" spans="1:19" ht="21.3">
      <c r="A2029" s="702"/>
      <c r="B2029" s="1141" t="s">
        <v>727</v>
      </c>
      <c r="C2029" s="710"/>
      <c r="D2029" s="899"/>
      <c r="E2029" s="673">
        <v>1</v>
      </c>
      <c r="F2029" s="674" t="s">
        <v>363</v>
      </c>
      <c r="G2029" s="711">
        <v>364890</v>
      </c>
      <c r="H2029" s="705">
        <f>SUM(E2029*G2029)</f>
        <v>364890</v>
      </c>
      <c r="I2029" s="712">
        <v>80900</v>
      </c>
      <c r="J2029" s="707">
        <f t="shared" si="601"/>
        <v>80900</v>
      </c>
      <c r="K2029" s="708">
        <f t="shared" si="602"/>
        <v>445790</v>
      </c>
      <c r="L2029" s="1083"/>
      <c r="M2029" s="632"/>
      <c r="N2029" s="709">
        <f t="shared" si="573"/>
        <v>0</v>
      </c>
      <c r="O2029" s="681">
        <v>0</v>
      </c>
      <c r="P2029" s="673"/>
      <c r="Q2029" s="632"/>
      <c r="R2029" s="632"/>
      <c r="S2029" s="632"/>
    </row>
    <row r="2030" spans="1:19" ht="21.3">
      <c r="A2030" s="702"/>
      <c r="B2030" s="703"/>
      <c r="C2030" s="703" t="s">
        <v>728</v>
      </c>
      <c r="D2030" s="703"/>
      <c r="E2030" s="673"/>
      <c r="F2030" s="674"/>
      <c r="G2030" s="704"/>
      <c r="H2030" s="705"/>
      <c r="I2030" s="706"/>
      <c r="J2030" s="707">
        <f t="shared" si="601"/>
        <v>0</v>
      </c>
      <c r="K2030" s="708">
        <f>H2030+J2030</f>
        <v>0</v>
      </c>
      <c r="L2030" s="1083"/>
      <c r="M2030" s="632"/>
      <c r="N2030" s="709">
        <f t="shared" si="573"/>
        <v>0</v>
      </c>
      <c r="O2030" s="681">
        <v>0</v>
      </c>
      <c r="P2030" s="673"/>
      <c r="Q2030" s="632"/>
      <c r="R2030" s="632"/>
      <c r="S2030" s="632"/>
    </row>
    <row r="2031" spans="1:19" ht="21.3">
      <c r="A2031" s="702"/>
      <c r="B2031" s="703" t="s">
        <v>729</v>
      </c>
      <c r="C2031" s="703"/>
      <c r="D2031" s="703"/>
      <c r="E2031" s="673">
        <f>63.76*4.37</f>
        <v>278.63119999999998</v>
      </c>
      <c r="F2031" s="674" t="s">
        <v>34</v>
      </c>
      <c r="G2031" s="704">
        <v>10800</v>
      </c>
      <c r="H2031" s="705">
        <f t="shared" ref="H2031:H2036" si="603">E2031*G2031</f>
        <v>3009216.96</v>
      </c>
      <c r="I2031" s="706">
        <v>0</v>
      </c>
      <c r="J2031" s="707">
        <f t="shared" si="601"/>
        <v>0</v>
      </c>
      <c r="K2031" s="708">
        <f>H2031+J2031</f>
        <v>3009216.96</v>
      </c>
      <c r="L2031" s="1083"/>
      <c r="M2031" s="632"/>
      <c r="N2031" s="709">
        <f t="shared" si="573"/>
        <v>0</v>
      </c>
      <c r="O2031" s="681">
        <v>0</v>
      </c>
      <c r="P2031" s="673"/>
      <c r="Q2031" s="632"/>
      <c r="R2031" s="632"/>
      <c r="S2031" s="632"/>
    </row>
    <row r="2032" spans="1:19" ht="21.3">
      <c r="A2032" s="702"/>
      <c r="B2032" s="1141"/>
      <c r="C2032" s="710" t="s">
        <v>673</v>
      </c>
      <c r="D2032" s="899"/>
      <c r="E2032" s="673">
        <f>63.76*(1.2+0.6)</f>
        <v>114.76799999999999</v>
      </c>
      <c r="F2032" s="674" t="s">
        <v>34</v>
      </c>
      <c r="G2032" s="711">
        <v>1595</v>
      </c>
      <c r="H2032" s="705">
        <f t="shared" si="603"/>
        <v>183054.96</v>
      </c>
      <c r="I2032" s="712">
        <v>0</v>
      </c>
      <c r="J2032" s="707">
        <f t="shared" si="601"/>
        <v>0</v>
      </c>
      <c r="K2032" s="708">
        <f t="shared" ref="K2032:K2033" si="604">H2032+J2032</f>
        <v>183054.96</v>
      </c>
      <c r="L2032" s="1083"/>
      <c r="M2032" s="632"/>
      <c r="N2032" s="709">
        <f t="shared" si="573"/>
        <v>0</v>
      </c>
      <c r="O2032" s="681">
        <v>0</v>
      </c>
      <c r="P2032" s="673"/>
      <c r="Q2032" s="632"/>
      <c r="R2032" s="632"/>
      <c r="S2032" s="632"/>
    </row>
    <row r="2033" spans="1:19" ht="21.3">
      <c r="A2033" s="702"/>
      <c r="B2033" s="1141"/>
      <c r="C2033" s="710" t="s">
        <v>675</v>
      </c>
      <c r="D2033" s="899"/>
      <c r="E2033" s="673">
        <f>63.76*(1.2+0.6)</f>
        <v>114.76799999999999</v>
      </c>
      <c r="F2033" s="674" t="s">
        <v>34</v>
      </c>
      <c r="G2033" s="711">
        <v>496</v>
      </c>
      <c r="H2033" s="705">
        <f t="shared" si="603"/>
        <v>56924.927999999993</v>
      </c>
      <c r="I2033" s="712">
        <f>172</f>
        <v>172</v>
      </c>
      <c r="J2033" s="707">
        <f t="shared" si="601"/>
        <v>19740.095999999998</v>
      </c>
      <c r="K2033" s="708">
        <f t="shared" si="604"/>
        <v>76665.02399999999</v>
      </c>
      <c r="L2033" s="1083"/>
      <c r="M2033" s="632"/>
      <c r="N2033" s="709">
        <f t="shared" si="573"/>
        <v>0</v>
      </c>
      <c r="O2033" s="681">
        <v>0</v>
      </c>
      <c r="P2033" s="673"/>
      <c r="Q2033" s="632"/>
      <c r="R2033" s="632"/>
      <c r="S2033" s="632"/>
    </row>
    <row r="2034" spans="1:19" ht="21.3">
      <c r="A2034" s="702"/>
      <c r="B2034" s="703"/>
      <c r="C2034" s="703" t="s">
        <v>730</v>
      </c>
      <c r="D2034" s="703"/>
      <c r="E2034" s="673">
        <v>1.26</v>
      </c>
      <c r="F2034" s="674" t="s">
        <v>34</v>
      </c>
      <c r="G2034" s="704">
        <v>5550</v>
      </c>
      <c r="H2034" s="705">
        <f t="shared" si="603"/>
        <v>6993</v>
      </c>
      <c r="I2034" s="706">
        <v>0</v>
      </c>
      <c r="J2034" s="707">
        <f t="shared" si="601"/>
        <v>0</v>
      </c>
      <c r="K2034" s="708">
        <f>H2034+J2034</f>
        <v>6993</v>
      </c>
      <c r="L2034" s="1083"/>
      <c r="M2034" s="632"/>
      <c r="N2034" s="709">
        <f t="shared" si="573"/>
        <v>0</v>
      </c>
      <c r="O2034" s="681">
        <v>0</v>
      </c>
      <c r="P2034" s="673"/>
      <c r="Q2034" s="632"/>
      <c r="R2034" s="632"/>
      <c r="S2034" s="632"/>
    </row>
    <row r="2035" spans="1:19" ht="21.3">
      <c r="A2035" s="702"/>
      <c r="B2035" s="703" t="s">
        <v>676</v>
      </c>
      <c r="C2035" s="703"/>
      <c r="D2035" s="703"/>
      <c r="E2035" s="673">
        <f>63.76*1.4</f>
        <v>89.263999999999996</v>
      </c>
      <c r="F2035" s="674" t="s">
        <v>34</v>
      </c>
      <c r="G2035" s="704">
        <v>7050</v>
      </c>
      <c r="H2035" s="705">
        <f t="shared" si="603"/>
        <v>629311.19999999995</v>
      </c>
      <c r="I2035" s="706">
        <v>0</v>
      </c>
      <c r="J2035" s="707">
        <f t="shared" si="601"/>
        <v>0</v>
      </c>
      <c r="K2035" s="708">
        <f>H2035+J2035</f>
        <v>629311.19999999995</v>
      </c>
      <c r="L2035" s="1083"/>
      <c r="M2035" s="632"/>
      <c r="N2035" s="709">
        <f t="shared" si="573"/>
        <v>0</v>
      </c>
      <c r="O2035" s="681">
        <v>0</v>
      </c>
      <c r="P2035" s="673"/>
      <c r="Q2035" s="632"/>
      <c r="R2035" s="632"/>
      <c r="S2035" s="632"/>
    </row>
    <row r="2036" spans="1:19" ht="21.3">
      <c r="A2036" s="702"/>
      <c r="B2036" s="1141" t="s">
        <v>678</v>
      </c>
      <c r="C2036" s="710"/>
      <c r="D2036" s="899"/>
      <c r="E2036" s="673">
        <f>ROUNDUP(63.76/1.4,0)+2</f>
        <v>48</v>
      </c>
      <c r="F2036" s="674" t="s">
        <v>363</v>
      </c>
      <c r="G2036" s="711">
        <v>3136</v>
      </c>
      <c r="H2036" s="705">
        <f t="shared" si="603"/>
        <v>150528</v>
      </c>
      <c r="I2036" s="712">
        <v>165</v>
      </c>
      <c r="J2036" s="707">
        <f t="shared" si="601"/>
        <v>7920</v>
      </c>
      <c r="K2036" s="708">
        <f t="shared" ref="K2036:K2037" si="605">H2036+J2036</f>
        <v>158448</v>
      </c>
      <c r="L2036" s="1083"/>
      <c r="M2036" s="632"/>
      <c r="N2036" s="709">
        <f t="shared" si="573"/>
        <v>0</v>
      </c>
      <c r="O2036" s="681">
        <v>0</v>
      </c>
      <c r="P2036" s="673"/>
      <c r="Q2036" s="632"/>
      <c r="R2036" s="632"/>
      <c r="S2036" s="632"/>
    </row>
    <row r="2037" spans="1:19" ht="21.3">
      <c r="A2037" s="702"/>
      <c r="B2037" s="1141"/>
      <c r="C2037" s="710" t="s">
        <v>684</v>
      </c>
      <c r="D2037" s="899"/>
      <c r="E2037" s="673"/>
      <c r="F2037" s="674"/>
      <c r="G2037" s="711"/>
      <c r="H2037" s="705"/>
      <c r="I2037" s="712"/>
      <c r="J2037" s="707">
        <f t="shared" si="601"/>
        <v>0</v>
      </c>
      <c r="K2037" s="708">
        <f t="shared" si="605"/>
        <v>0</v>
      </c>
      <c r="L2037" s="1083"/>
      <c r="M2037" s="632"/>
      <c r="N2037" s="709">
        <f t="shared" si="573"/>
        <v>0</v>
      </c>
      <c r="O2037" s="681">
        <v>0</v>
      </c>
      <c r="P2037" s="673"/>
      <c r="Q2037" s="632"/>
      <c r="R2037" s="632"/>
      <c r="S2037" s="632"/>
    </row>
    <row r="2038" spans="1:19" ht="21.3">
      <c r="A2038" s="702"/>
      <c r="B2038" s="703" t="s">
        <v>731</v>
      </c>
      <c r="C2038" s="703"/>
      <c r="D2038" s="703"/>
      <c r="E2038" s="673">
        <f>42*3.12*9</f>
        <v>1179.3599999999999</v>
      </c>
      <c r="F2038" s="674" t="s">
        <v>34</v>
      </c>
      <c r="G2038" s="704">
        <v>12300</v>
      </c>
      <c r="H2038" s="705">
        <f t="shared" ref="H2038:H2051" si="606">E2038*G2038</f>
        <v>14506127.999999998</v>
      </c>
      <c r="I2038" s="706">
        <v>0</v>
      </c>
      <c r="J2038" s="707"/>
      <c r="K2038" s="708">
        <f>H2038+J2038</f>
        <v>14506127.999999998</v>
      </c>
      <c r="L2038" s="1083"/>
      <c r="M2038" s="632"/>
      <c r="N2038" s="709">
        <f t="shared" si="573"/>
        <v>0</v>
      </c>
      <c r="O2038" s="681">
        <v>0</v>
      </c>
      <c r="P2038" s="673"/>
      <c r="Q2038" s="632"/>
      <c r="R2038" s="632"/>
      <c r="S2038" s="632"/>
    </row>
    <row r="2039" spans="1:19" ht="21.3">
      <c r="A2039" s="702"/>
      <c r="B2039" s="703" t="s">
        <v>732</v>
      </c>
      <c r="C2039" s="703"/>
      <c r="D2039" s="703"/>
      <c r="E2039" s="673">
        <f>+(8.15+8.76+9.37+9.92+10.51+11.2+11.72+12.27+12.87)*3.57</f>
        <v>338.32889999999998</v>
      </c>
      <c r="F2039" s="674" t="s">
        <v>34</v>
      </c>
      <c r="G2039" s="704">
        <v>10800</v>
      </c>
      <c r="H2039" s="705">
        <f t="shared" si="606"/>
        <v>3653952.1199999996</v>
      </c>
      <c r="I2039" s="706">
        <v>0</v>
      </c>
      <c r="J2039" s="707">
        <f>I2039*E2039</f>
        <v>0</v>
      </c>
      <c r="K2039" s="708">
        <f>H2039+J2039</f>
        <v>3653952.1199999996</v>
      </c>
      <c r="L2039" s="1083"/>
      <c r="M2039" s="632"/>
      <c r="N2039" s="709">
        <f t="shared" si="573"/>
        <v>0</v>
      </c>
      <c r="O2039" s="681">
        <v>0</v>
      </c>
      <c r="P2039" s="673"/>
      <c r="Q2039" s="632"/>
      <c r="R2039" s="632"/>
      <c r="S2039" s="632"/>
    </row>
    <row r="2040" spans="1:19" ht="21.3">
      <c r="A2040" s="702"/>
      <c r="B2040" s="1141"/>
      <c r="C2040" s="710" t="s">
        <v>673</v>
      </c>
      <c r="D2040" s="899"/>
      <c r="E2040" s="673">
        <f>(42*1.72*9)+((8.15+8.76+9.37+9.92+10.51+11.2+11.72+12.27+12.87)*1.72)</f>
        <v>813.1644</v>
      </c>
      <c r="F2040" s="674" t="s">
        <v>34</v>
      </c>
      <c r="G2040" s="711">
        <v>1595</v>
      </c>
      <c r="H2040" s="705">
        <f t="shared" si="606"/>
        <v>1296997.2180000001</v>
      </c>
      <c r="I2040" s="712">
        <v>0</v>
      </c>
      <c r="J2040" s="707">
        <f t="shared" ref="J2040:J2041" si="607">I2040*E2040</f>
        <v>0</v>
      </c>
      <c r="K2040" s="708">
        <f t="shared" ref="K2040:K2041" si="608">H2040+J2040</f>
        <v>1296997.2180000001</v>
      </c>
      <c r="L2040" s="1083"/>
      <c r="M2040" s="632"/>
      <c r="N2040" s="709">
        <f t="shared" si="573"/>
        <v>0</v>
      </c>
      <c r="O2040" s="681">
        <v>0</v>
      </c>
      <c r="P2040" s="673"/>
      <c r="Q2040" s="632"/>
      <c r="R2040" s="632"/>
      <c r="S2040" s="632"/>
    </row>
    <row r="2041" spans="1:19" ht="21.3">
      <c r="A2041" s="702"/>
      <c r="B2041" s="1141"/>
      <c r="C2041" s="710" t="s">
        <v>675</v>
      </c>
      <c r="D2041" s="899"/>
      <c r="E2041" s="673">
        <f>(42*1.72*9)+((8.15+8.76+9.37+9.92+10.51+11.2+11.72+12.27+12.87)*1.72)</f>
        <v>813.1644</v>
      </c>
      <c r="F2041" s="674" t="s">
        <v>34</v>
      </c>
      <c r="G2041" s="711">
        <v>496</v>
      </c>
      <c r="H2041" s="705">
        <f t="shared" si="606"/>
        <v>403329.54239999998</v>
      </c>
      <c r="I2041" s="712">
        <f>172</f>
        <v>172</v>
      </c>
      <c r="J2041" s="707">
        <f t="shared" si="607"/>
        <v>139864.27679999999</v>
      </c>
      <c r="K2041" s="708">
        <f t="shared" si="608"/>
        <v>543193.81920000003</v>
      </c>
      <c r="L2041" s="1083"/>
      <c r="M2041" s="632"/>
      <c r="N2041" s="709">
        <f t="shared" si="573"/>
        <v>0</v>
      </c>
      <c r="O2041" s="681">
        <v>0</v>
      </c>
      <c r="P2041" s="673"/>
      <c r="Q2041" s="632"/>
      <c r="R2041" s="632"/>
      <c r="S2041" s="632"/>
    </row>
    <row r="2042" spans="1:19" ht="21.3">
      <c r="A2042" s="702"/>
      <c r="B2042" s="703" t="s">
        <v>676</v>
      </c>
      <c r="C2042" s="703"/>
      <c r="D2042" s="703"/>
      <c r="E2042" s="673">
        <f>(42*1.4*9)+((8.15+8.76+9.37+9.92+10.51+11.2+11.72+12.27+12.87)*1.4)</f>
        <v>661.87799999999993</v>
      </c>
      <c r="F2042" s="674" t="s">
        <v>34</v>
      </c>
      <c r="G2042" s="704">
        <v>7050</v>
      </c>
      <c r="H2042" s="705">
        <f t="shared" si="606"/>
        <v>4666239.8999999994</v>
      </c>
      <c r="I2042" s="706">
        <v>0</v>
      </c>
      <c r="J2042" s="707">
        <f>I2042*E2042</f>
        <v>0</v>
      </c>
      <c r="K2042" s="708">
        <f>H2042+J2042</f>
        <v>4666239.8999999994</v>
      </c>
      <c r="L2042" s="1083"/>
      <c r="M2042" s="632"/>
      <c r="N2042" s="709">
        <f t="shared" si="573"/>
        <v>0</v>
      </c>
      <c r="O2042" s="681">
        <v>0</v>
      </c>
      <c r="P2042" s="673"/>
      <c r="Q2042" s="632"/>
      <c r="R2042" s="632"/>
      <c r="S2042" s="632"/>
    </row>
    <row r="2043" spans="1:19" ht="21.3">
      <c r="A2043" s="702"/>
      <c r="B2043" s="703" t="s">
        <v>687</v>
      </c>
      <c r="C2043" s="703"/>
      <c r="D2043" s="703"/>
      <c r="E2043" s="673">
        <f>ROUNDUP(42/1.4,0)*9+9+ROUNDUP(8.15/1.4,0)+ROUNDUP(8.76/1.4,0)+ROUNDUP(9.37/1.4,0)+ROUNDUP(9.92/1.4,0)+ROUNDUP(10.51/1.4,0)+ROUNDUP(11.2/1.4,0)+ROUNDUP(11.72/1.4,0)+ROUNDUP(12.27/1.4,0)+ROUNDUP(12.87/1.4,0)</f>
        <v>351</v>
      </c>
      <c r="F2043" s="674" t="s">
        <v>363</v>
      </c>
      <c r="G2043" s="704">
        <v>3136</v>
      </c>
      <c r="H2043" s="705">
        <f t="shared" si="606"/>
        <v>1100736</v>
      </c>
      <c r="I2043" s="706">
        <v>165</v>
      </c>
      <c r="J2043" s="707">
        <f t="shared" ref="J2043:J2045" si="609">I2043*E2043</f>
        <v>57915</v>
      </c>
      <c r="K2043" s="708">
        <f t="shared" ref="K2043:K2045" si="610">H2043+J2043</f>
        <v>1158651</v>
      </c>
      <c r="L2043" s="1083"/>
      <c r="M2043" s="632"/>
      <c r="N2043" s="709">
        <f t="shared" si="573"/>
        <v>0</v>
      </c>
      <c r="O2043" s="681">
        <v>0</v>
      </c>
      <c r="P2043" s="673"/>
      <c r="Q2043" s="632"/>
      <c r="R2043" s="632"/>
      <c r="S2043" s="632"/>
    </row>
    <row r="2044" spans="1:19" ht="21.3">
      <c r="A2044" s="702"/>
      <c r="B2044" s="1141" t="s">
        <v>733</v>
      </c>
      <c r="C2044" s="710"/>
      <c r="D2044" s="899"/>
      <c r="E2044" s="673"/>
      <c r="F2044" s="674"/>
      <c r="G2044" s="711"/>
      <c r="H2044" s="705">
        <f t="shared" si="606"/>
        <v>0</v>
      </c>
      <c r="I2044" s="712">
        <v>0</v>
      </c>
      <c r="J2044" s="707">
        <f t="shared" si="609"/>
        <v>0</v>
      </c>
      <c r="K2044" s="708">
        <f t="shared" si="610"/>
        <v>0</v>
      </c>
      <c r="L2044" s="1083"/>
      <c r="M2044" s="632"/>
      <c r="N2044" s="709">
        <f t="shared" si="573"/>
        <v>0</v>
      </c>
      <c r="O2044" s="681">
        <v>0</v>
      </c>
      <c r="P2044" s="673"/>
      <c r="Q2044" s="632"/>
      <c r="R2044" s="632"/>
      <c r="S2044" s="632"/>
    </row>
    <row r="2045" spans="1:19" ht="21.3">
      <c r="A2045" s="702"/>
      <c r="B2045" s="1141" t="s">
        <v>734</v>
      </c>
      <c r="C2045" s="710"/>
      <c r="D2045" s="899"/>
      <c r="E2045" s="673"/>
      <c r="F2045" s="674"/>
      <c r="G2045" s="711"/>
      <c r="H2045" s="705">
        <f t="shared" si="606"/>
        <v>0</v>
      </c>
      <c r="I2045" s="712">
        <v>0</v>
      </c>
      <c r="J2045" s="707">
        <f t="shared" si="609"/>
        <v>0</v>
      </c>
      <c r="K2045" s="708">
        <f t="shared" si="610"/>
        <v>0</v>
      </c>
      <c r="L2045" s="1083"/>
      <c r="M2045" s="632"/>
      <c r="N2045" s="709">
        <f t="shared" si="573"/>
        <v>0</v>
      </c>
      <c r="O2045" s="681">
        <v>0</v>
      </c>
      <c r="P2045" s="673"/>
      <c r="Q2045" s="632"/>
      <c r="R2045" s="632"/>
      <c r="S2045" s="632"/>
    </row>
    <row r="2046" spans="1:19" ht="21.3">
      <c r="A2046" s="702"/>
      <c r="B2046" s="703"/>
      <c r="C2046" s="703" t="s">
        <v>735</v>
      </c>
      <c r="D2046" s="703"/>
      <c r="E2046" s="673">
        <v>255</v>
      </c>
      <c r="F2046" s="674" t="s">
        <v>226</v>
      </c>
      <c r="G2046" s="704">
        <v>20557</v>
      </c>
      <c r="H2046" s="705">
        <f t="shared" si="606"/>
        <v>5242035</v>
      </c>
      <c r="I2046" s="706">
        <v>0</v>
      </c>
      <c r="J2046" s="707">
        <f>I2046*E2046</f>
        <v>0</v>
      </c>
      <c r="K2046" s="708">
        <f>H2046+J2046</f>
        <v>5242035</v>
      </c>
      <c r="L2046" s="1083"/>
      <c r="M2046" s="632"/>
      <c r="N2046" s="709">
        <f t="shared" si="573"/>
        <v>0</v>
      </c>
      <c r="O2046" s="681">
        <v>0</v>
      </c>
      <c r="P2046" s="673"/>
      <c r="Q2046" s="632"/>
      <c r="R2046" s="632"/>
      <c r="S2046" s="632"/>
    </row>
    <row r="2047" spans="1:19" ht="21.3">
      <c r="A2047" s="702"/>
      <c r="B2047" s="703"/>
      <c r="C2047" s="703" t="s">
        <v>736</v>
      </c>
      <c r="D2047" s="703"/>
      <c r="E2047" s="673">
        <v>6</v>
      </c>
      <c r="F2047" s="674" t="s">
        <v>363</v>
      </c>
      <c r="G2047" s="704">
        <v>5850</v>
      </c>
      <c r="H2047" s="705">
        <f t="shared" si="606"/>
        <v>35100</v>
      </c>
      <c r="I2047" s="706">
        <v>0</v>
      </c>
      <c r="J2047" s="707">
        <f>I2047*E2047</f>
        <v>0</v>
      </c>
      <c r="K2047" s="708">
        <f>H2047+J2047</f>
        <v>35100</v>
      </c>
      <c r="L2047" s="1083"/>
      <c r="M2047" s="632"/>
      <c r="N2047" s="709">
        <f t="shared" si="573"/>
        <v>0</v>
      </c>
      <c r="O2047" s="681">
        <v>0</v>
      </c>
      <c r="P2047" s="673"/>
      <c r="Q2047" s="632"/>
      <c r="R2047" s="632"/>
      <c r="S2047" s="632"/>
    </row>
    <row r="2048" spans="1:19" ht="21.3">
      <c r="A2048" s="702"/>
      <c r="B2048" s="703"/>
      <c r="C2048" s="703"/>
      <c r="D2048" s="703"/>
      <c r="E2048" s="673"/>
      <c r="F2048" s="674"/>
      <c r="G2048" s="813"/>
      <c r="H2048" s="705"/>
      <c r="I2048" s="706"/>
      <c r="J2048" s="707"/>
      <c r="K2048" s="708"/>
      <c r="L2048" s="1083"/>
      <c r="M2048" s="632"/>
      <c r="N2048" s="709"/>
      <c r="O2048" s="681"/>
      <c r="P2048" s="673"/>
      <c r="Q2048" s="632"/>
      <c r="R2048" s="632"/>
      <c r="S2048" s="632"/>
    </row>
    <row r="2049" spans="1:19" ht="21.3">
      <c r="A2049" s="702"/>
      <c r="B2049" s="1141" t="s">
        <v>737</v>
      </c>
      <c r="C2049" s="710"/>
      <c r="D2049" s="899"/>
      <c r="E2049" s="673"/>
      <c r="F2049" s="674"/>
      <c r="G2049" s="711"/>
      <c r="H2049" s="705">
        <f t="shared" si="606"/>
        <v>0</v>
      </c>
      <c r="I2049" s="712">
        <v>0</v>
      </c>
      <c r="J2049" s="707">
        <f t="shared" ref="J2049:J2050" si="611">I2049*E2049</f>
        <v>0</v>
      </c>
      <c r="K2049" s="708">
        <f t="shared" ref="K2049:K2050" si="612">H2049+J2049</f>
        <v>0</v>
      </c>
      <c r="L2049" s="1083"/>
      <c r="M2049" s="632"/>
      <c r="N2049" s="709">
        <f t="shared" si="573"/>
        <v>0</v>
      </c>
      <c r="O2049" s="681">
        <v>0</v>
      </c>
      <c r="P2049" s="673"/>
      <c r="Q2049" s="632"/>
      <c r="R2049" s="632"/>
      <c r="S2049" s="632"/>
    </row>
    <row r="2050" spans="1:19" ht="21.3">
      <c r="A2050" s="702"/>
      <c r="B2050" s="1141"/>
      <c r="C2050" s="710" t="s">
        <v>738</v>
      </c>
      <c r="D2050" s="899"/>
      <c r="E2050" s="673">
        <v>388</v>
      </c>
      <c r="F2050" s="674" t="s">
        <v>226</v>
      </c>
      <c r="G2050" s="711">
        <v>24039</v>
      </c>
      <c r="H2050" s="705">
        <f t="shared" si="606"/>
        <v>9327132</v>
      </c>
      <c r="I2050" s="712">
        <v>0</v>
      </c>
      <c r="J2050" s="707">
        <f t="shared" si="611"/>
        <v>0</v>
      </c>
      <c r="K2050" s="708">
        <f t="shared" si="612"/>
        <v>9327132</v>
      </c>
      <c r="L2050" s="1083"/>
      <c r="M2050" s="632"/>
      <c r="N2050" s="709">
        <f t="shared" si="573"/>
        <v>0</v>
      </c>
      <c r="O2050" s="681">
        <v>0</v>
      </c>
      <c r="P2050" s="673"/>
      <c r="Q2050" s="632"/>
      <c r="R2050" s="632"/>
      <c r="S2050" s="632"/>
    </row>
    <row r="2051" spans="1:19" ht="21.3">
      <c r="A2051" s="702"/>
      <c r="B2051" s="703"/>
      <c r="C2051" s="703" t="s">
        <v>739</v>
      </c>
      <c r="D2051" s="703"/>
      <c r="E2051" s="673">
        <v>1022</v>
      </c>
      <c r="F2051" s="674" t="s">
        <v>226</v>
      </c>
      <c r="G2051" s="704">
        <v>20557</v>
      </c>
      <c r="H2051" s="705">
        <f t="shared" si="606"/>
        <v>21009254</v>
      </c>
      <c r="I2051" s="706">
        <v>0</v>
      </c>
      <c r="J2051" s="707">
        <f>I2051*E2051</f>
        <v>0</v>
      </c>
      <c r="K2051" s="708">
        <f>H2051+J2051</f>
        <v>21009254</v>
      </c>
      <c r="L2051" s="1083"/>
      <c r="M2051" s="632"/>
      <c r="N2051" s="709">
        <f t="shared" si="573"/>
        <v>0</v>
      </c>
      <c r="O2051" s="681">
        <v>0</v>
      </c>
      <c r="P2051" s="673"/>
      <c r="Q2051" s="632"/>
      <c r="R2051" s="632"/>
      <c r="S2051" s="632"/>
    </row>
    <row r="2052" spans="1:19" ht="21.3">
      <c r="A2052" s="702"/>
      <c r="B2052" s="703"/>
      <c r="C2052" s="703" t="s">
        <v>740</v>
      </c>
      <c r="D2052" s="703"/>
      <c r="E2052" s="673">
        <f>31-4</f>
        <v>27</v>
      </c>
      <c r="F2052" s="674" t="s">
        <v>363</v>
      </c>
      <c r="G2052" s="704">
        <v>2754</v>
      </c>
      <c r="H2052" s="705">
        <f>E2052*G2052</f>
        <v>74358</v>
      </c>
      <c r="I2052" s="706">
        <v>0</v>
      </c>
      <c r="J2052" s="707">
        <f>I2052*E2052</f>
        <v>0</v>
      </c>
      <c r="K2052" s="708">
        <f>H2052+J2052</f>
        <v>74358</v>
      </c>
      <c r="L2052" s="1083"/>
      <c r="M2052" s="632"/>
      <c r="N2052" s="709">
        <f t="shared" si="573"/>
        <v>0</v>
      </c>
      <c r="O2052" s="681">
        <v>0</v>
      </c>
      <c r="P2052" s="673"/>
      <c r="Q2052" s="632"/>
      <c r="R2052" s="632"/>
      <c r="S2052" s="632"/>
    </row>
    <row r="2053" spans="1:19" ht="21.3">
      <c r="A2053" s="904" t="s">
        <v>532</v>
      </c>
      <c r="B2053" s="1142" t="s">
        <v>741</v>
      </c>
      <c r="C2053" s="710"/>
      <c r="D2053" s="899"/>
      <c r="E2053" s="673"/>
      <c r="F2053" s="674"/>
      <c r="G2053" s="711"/>
      <c r="H2053" s="705"/>
      <c r="I2053" s="712"/>
      <c r="J2053" s="707">
        <f t="shared" ref="J2053:J2054" si="613">I2053*E2053</f>
        <v>0</v>
      </c>
      <c r="K2053" s="708">
        <f t="shared" ref="K2053:K2054" si="614">H2053+J2053</f>
        <v>0</v>
      </c>
      <c r="L2053" s="1083"/>
      <c r="M2053" s="632"/>
      <c r="N2053" s="709">
        <f t="shared" si="573"/>
        <v>0</v>
      </c>
      <c r="O2053" s="681">
        <v>0</v>
      </c>
      <c r="P2053" s="673"/>
      <c r="Q2053" s="632"/>
      <c r="R2053" s="632"/>
      <c r="S2053" s="632"/>
    </row>
    <row r="2054" spans="1:19" ht="21.3">
      <c r="A2054" s="702"/>
      <c r="B2054" s="1141"/>
      <c r="C2054" s="710" t="s">
        <v>725</v>
      </c>
      <c r="D2054" s="899"/>
      <c r="E2054" s="673"/>
      <c r="F2054" s="674"/>
      <c r="G2054" s="711"/>
      <c r="H2054" s="705"/>
      <c r="I2054" s="712"/>
      <c r="J2054" s="707">
        <f t="shared" si="613"/>
        <v>0</v>
      </c>
      <c r="K2054" s="708">
        <f t="shared" si="614"/>
        <v>0</v>
      </c>
      <c r="L2054" s="1083"/>
      <c r="M2054" s="632"/>
      <c r="N2054" s="709">
        <f t="shared" si="573"/>
        <v>0</v>
      </c>
      <c r="O2054" s="681">
        <v>0</v>
      </c>
      <c r="P2054" s="673"/>
      <c r="Q2054" s="632"/>
      <c r="R2054" s="632"/>
      <c r="S2054" s="632"/>
    </row>
    <row r="2055" spans="1:19" ht="21.3">
      <c r="A2055" s="702"/>
      <c r="B2055" s="703" t="s">
        <v>742</v>
      </c>
      <c r="C2055" s="703"/>
      <c r="D2055" s="703"/>
      <c r="E2055" s="673">
        <f>+(36.8)*2.34</f>
        <v>86.111999999999995</v>
      </c>
      <c r="F2055" s="674" t="s">
        <v>34</v>
      </c>
      <c r="G2055" s="704">
        <v>10800</v>
      </c>
      <c r="H2055" s="705">
        <f>E2055*G2055</f>
        <v>930009.59999999998</v>
      </c>
      <c r="I2055" s="706">
        <v>0</v>
      </c>
      <c r="J2055" s="707">
        <f>I2055*E2055</f>
        <v>0</v>
      </c>
      <c r="K2055" s="708">
        <f>H2055+J2055</f>
        <v>930009.59999999998</v>
      </c>
      <c r="L2055" s="1083"/>
      <c r="M2055" s="632"/>
      <c r="N2055" s="709">
        <f t="shared" si="573"/>
        <v>0</v>
      </c>
      <c r="O2055" s="681">
        <v>0</v>
      </c>
      <c r="P2055" s="673"/>
      <c r="Q2055" s="632"/>
      <c r="R2055" s="632"/>
      <c r="S2055" s="632"/>
    </row>
    <row r="2056" spans="1:19" ht="21.3">
      <c r="A2056" s="702"/>
      <c r="B2056" s="703"/>
      <c r="C2056" s="703" t="s">
        <v>673</v>
      </c>
      <c r="D2056" s="703"/>
      <c r="E2056" s="673">
        <f>+(36.8)*0.9</f>
        <v>33.119999999999997</v>
      </c>
      <c r="F2056" s="674" t="s">
        <v>34</v>
      </c>
      <c r="G2056" s="704">
        <v>1595</v>
      </c>
      <c r="H2056" s="705">
        <f>E2056*G2056</f>
        <v>52826.399999999994</v>
      </c>
      <c r="I2056" s="706">
        <v>0</v>
      </c>
      <c r="J2056" s="707">
        <f>I2056*E2056</f>
        <v>0</v>
      </c>
      <c r="K2056" s="708">
        <f>H2056+J2056</f>
        <v>52826.399999999994</v>
      </c>
      <c r="L2056" s="1083"/>
      <c r="M2056" s="632"/>
      <c r="N2056" s="709">
        <f t="shared" si="573"/>
        <v>0</v>
      </c>
      <c r="O2056" s="681">
        <v>0</v>
      </c>
      <c r="P2056" s="673"/>
      <c r="Q2056" s="632"/>
      <c r="R2056" s="632"/>
      <c r="S2056" s="632"/>
    </row>
    <row r="2057" spans="1:19" ht="21.3">
      <c r="A2057" s="702"/>
      <c r="B2057" s="1141"/>
      <c r="C2057" s="710" t="s">
        <v>674</v>
      </c>
      <c r="D2057" s="899"/>
      <c r="E2057" s="673">
        <f>+(36.8)*0.9</f>
        <v>33.119999999999997</v>
      </c>
      <c r="F2057" s="674" t="s">
        <v>34</v>
      </c>
      <c r="G2057" s="711">
        <v>310</v>
      </c>
      <c r="H2057" s="705">
        <f>E2057*G2057</f>
        <v>10267.199999999999</v>
      </c>
      <c r="I2057" s="712">
        <f>ROUNDUP((G2057*0.25),0)</f>
        <v>78</v>
      </c>
      <c r="J2057" s="707">
        <f t="shared" ref="J2057:J2059" si="615">I2057*E2057</f>
        <v>2583.3599999999997</v>
      </c>
      <c r="K2057" s="708">
        <f t="shared" ref="K2057:K2059" si="616">H2057+J2057</f>
        <v>12850.559999999998</v>
      </c>
      <c r="L2057" s="1083"/>
      <c r="M2057" s="632"/>
      <c r="N2057" s="709">
        <f t="shared" si="573"/>
        <v>0</v>
      </c>
      <c r="O2057" s="681">
        <v>0</v>
      </c>
      <c r="P2057" s="673"/>
      <c r="Q2057" s="632"/>
      <c r="R2057" s="632"/>
      <c r="S2057" s="632"/>
    </row>
    <row r="2058" spans="1:19" ht="21.3">
      <c r="A2058" s="702"/>
      <c r="B2058" s="1141"/>
      <c r="C2058" s="710" t="s">
        <v>675</v>
      </c>
      <c r="D2058" s="899"/>
      <c r="E2058" s="673">
        <f>+(36.8)*0.9</f>
        <v>33.119999999999997</v>
      </c>
      <c r="F2058" s="674" t="s">
        <v>34</v>
      </c>
      <c r="G2058" s="711">
        <v>496</v>
      </c>
      <c r="H2058" s="705">
        <f>E2058*G2058</f>
        <v>16427.52</v>
      </c>
      <c r="I2058" s="712">
        <f>172</f>
        <v>172</v>
      </c>
      <c r="J2058" s="707">
        <f t="shared" si="615"/>
        <v>5696.6399999999994</v>
      </c>
      <c r="K2058" s="708">
        <f t="shared" si="616"/>
        <v>22124.16</v>
      </c>
      <c r="L2058" s="1083"/>
      <c r="M2058" s="632"/>
      <c r="N2058" s="709">
        <f t="shared" si="573"/>
        <v>0</v>
      </c>
      <c r="O2058" s="681">
        <v>0</v>
      </c>
      <c r="P2058" s="673"/>
      <c r="Q2058" s="632"/>
      <c r="R2058" s="632"/>
      <c r="S2058" s="632"/>
    </row>
    <row r="2059" spans="1:19" ht="21.3">
      <c r="A2059" s="702"/>
      <c r="B2059" s="703" t="s">
        <v>677</v>
      </c>
      <c r="C2059" s="703"/>
      <c r="D2059" s="703"/>
      <c r="E2059" s="673">
        <f>ROUNDUP(36.8/1.4,0)+2-1</f>
        <v>28</v>
      </c>
      <c r="F2059" s="674" t="s">
        <v>363</v>
      </c>
      <c r="G2059" s="704">
        <v>5544</v>
      </c>
      <c r="H2059" s="705">
        <f t="shared" ref="H2059:H2060" si="617">E2059*G2059</f>
        <v>155232</v>
      </c>
      <c r="I2059" s="706">
        <v>165</v>
      </c>
      <c r="J2059" s="707">
        <f t="shared" si="615"/>
        <v>4620</v>
      </c>
      <c r="K2059" s="708">
        <f t="shared" si="616"/>
        <v>159852</v>
      </c>
      <c r="L2059" s="1083"/>
      <c r="M2059" s="632"/>
      <c r="N2059" s="709">
        <f t="shared" si="573"/>
        <v>0</v>
      </c>
      <c r="O2059" s="681">
        <v>0</v>
      </c>
      <c r="P2059" s="673"/>
      <c r="Q2059" s="632"/>
      <c r="R2059" s="632"/>
      <c r="S2059" s="632"/>
    </row>
    <row r="2060" spans="1:19" ht="21.3">
      <c r="A2060" s="702"/>
      <c r="B2060" s="703" t="s">
        <v>688</v>
      </c>
      <c r="C2060" s="703"/>
      <c r="D2060" s="703"/>
      <c r="E2060" s="673">
        <f>+(36.8)*0.9</f>
        <v>33.119999999999997</v>
      </c>
      <c r="F2060" s="674" t="s">
        <v>34</v>
      </c>
      <c r="G2060" s="704">
        <f>5550+0</f>
        <v>5550</v>
      </c>
      <c r="H2060" s="705">
        <f t="shared" si="617"/>
        <v>183816</v>
      </c>
      <c r="I2060" s="706">
        <v>0</v>
      </c>
      <c r="J2060" s="707">
        <f>I2060*E2060</f>
        <v>0</v>
      </c>
      <c r="K2060" s="708">
        <f>H2060+J2060</f>
        <v>183816</v>
      </c>
      <c r="L2060" s="1083"/>
      <c r="M2060" s="632"/>
      <c r="N2060" s="709">
        <f t="shared" si="573"/>
        <v>0</v>
      </c>
      <c r="O2060" s="681">
        <v>0</v>
      </c>
      <c r="P2060" s="673"/>
      <c r="Q2060" s="632"/>
      <c r="R2060" s="632"/>
      <c r="S2060" s="632"/>
    </row>
    <row r="2061" spans="1:19" ht="21.3">
      <c r="A2061" s="702"/>
      <c r="B2061" s="1141"/>
      <c r="C2061" s="710" t="s">
        <v>743</v>
      </c>
      <c r="D2061" s="899"/>
      <c r="E2061" s="673"/>
      <c r="F2061" s="674"/>
      <c r="G2061" s="711"/>
      <c r="H2061" s="705"/>
      <c r="I2061" s="712"/>
      <c r="J2061" s="707">
        <f t="shared" ref="J2061:J2062" si="618">I2061*E2061</f>
        <v>0</v>
      </c>
      <c r="K2061" s="708">
        <f t="shared" ref="K2061:K2062" si="619">H2061+J2061</f>
        <v>0</v>
      </c>
      <c r="L2061" s="1083"/>
      <c r="M2061" s="632"/>
      <c r="N2061" s="709">
        <f t="shared" si="573"/>
        <v>0</v>
      </c>
      <c r="O2061" s="681">
        <v>0</v>
      </c>
      <c r="P2061" s="673"/>
      <c r="Q2061" s="632"/>
      <c r="R2061" s="632"/>
      <c r="S2061" s="632"/>
    </row>
    <row r="2062" spans="1:19" ht="21.3">
      <c r="A2062" s="702"/>
      <c r="B2062" s="1141" t="s">
        <v>744</v>
      </c>
      <c r="C2062" s="710"/>
      <c r="D2062" s="899"/>
      <c r="E2062" s="673">
        <f>38.32*1.46*2</f>
        <v>111.8944</v>
      </c>
      <c r="F2062" s="674" t="s">
        <v>34</v>
      </c>
      <c r="G2062" s="711">
        <v>12300</v>
      </c>
      <c r="H2062" s="705">
        <f>E2062*G2062</f>
        <v>1376301.12</v>
      </c>
      <c r="I2062" s="712">
        <v>0</v>
      </c>
      <c r="J2062" s="707">
        <f t="shared" si="618"/>
        <v>0</v>
      </c>
      <c r="K2062" s="708">
        <f t="shared" si="619"/>
        <v>1376301.12</v>
      </c>
      <c r="L2062" s="1083"/>
      <c r="M2062" s="632"/>
      <c r="N2062" s="709">
        <f t="shared" si="573"/>
        <v>0</v>
      </c>
      <c r="O2062" s="681">
        <v>0</v>
      </c>
      <c r="P2062" s="673"/>
      <c r="Q2062" s="632"/>
      <c r="R2062" s="632"/>
      <c r="S2062" s="632"/>
    </row>
    <row r="2063" spans="1:19" ht="21.3">
      <c r="A2063" s="702"/>
      <c r="B2063" s="703" t="s">
        <v>676</v>
      </c>
      <c r="C2063" s="703"/>
      <c r="D2063" s="703"/>
      <c r="E2063" s="673">
        <f>38.32*1.4*2</f>
        <v>107.29599999999999</v>
      </c>
      <c r="F2063" s="674" t="s">
        <v>34</v>
      </c>
      <c r="G2063" s="704">
        <v>7050</v>
      </c>
      <c r="H2063" s="705">
        <f>E2063*G2063</f>
        <v>756436.79999999993</v>
      </c>
      <c r="I2063" s="706">
        <v>0</v>
      </c>
      <c r="J2063" s="707">
        <f>I2063*E2063</f>
        <v>0</v>
      </c>
      <c r="K2063" s="708">
        <f>H2063+J2063</f>
        <v>756436.79999999993</v>
      </c>
      <c r="L2063" s="1083"/>
      <c r="M2063" s="632"/>
      <c r="N2063" s="709">
        <f t="shared" si="573"/>
        <v>0</v>
      </c>
      <c r="O2063" s="681">
        <v>0</v>
      </c>
      <c r="P2063" s="673"/>
      <c r="Q2063" s="632"/>
      <c r="R2063" s="632"/>
      <c r="S2063" s="632"/>
    </row>
    <row r="2064" spans="1:19" ht="21.3">
      <c r="A2064" s="702"/>
      <c r="B2064" s="703" t="s">
        <v>687</v>
      </c>
      <c r="C2064" s="703"/>
      <c r="D2064" s="703"/>
      <c r="E2064" s="673">
        <f>ROUNDUP(38.32/1.4,0)*2+2*2</f>
        <v>60</v>
      </c>
      <c r="F2064" s="674" t="s">
        <v>363</v>
      </c>
      <c r="G2064" s="704">
        <v>3136</v>
      </c>
      <c r="H2064" s="705">
        <f>E2064*G2064</f>
        <v>188160</v>
      </c>
      <c r="I2064" s="706">
        <v>165</v>
      </c>
      <c r="J2064" s="707">
        <f t="shared" ref="J2064:J2066" si="620">I2064*E2064</f>
        <v>9900</v>
      </c>
      <c r="K2064" s="708">
        <f t="shared" ref="K2064:K2066" si="621">H2064+J2064</f>
        <v>198060</v>
      </c>
      <c r="L2064" s="1083"/>
      <c r="M2064" s="632"/>
      <c r="N2064" s="709">
        <f t="shared" si="573"/>
        <v>0</v>
      </c>
      <c r="O2064" s="681">
        <v>0</v>
      </c>
      <c r="P2064" s="673"/>
      <c r="Q2064" s="632"/>
      <c r="R2064" s="632"/>
      <c r="S2064" s="632"/>
    </row>
    <row r="2065" spans="1:19" ht="21.3">
      <c r="A2065" s="702"/>
      <c r="B2065" s="1141" t="s">
        <v>688</v>
      </c>
      <c r="C2065" s="710"/>
      <c r="D2065" s="899"/>
      <c r="E2065" s="673">
        <f>38.32*(1.28+0.93)*2</f>
        <v>169.37440000000001</v>
      </c>
      <c r="F2065" s="674" t="s">
        <v>34</v>
      </c>
      <c r="G2065" s="711">
        <f>5550+0</f>
        <v>5550</v>
      </c>
      <c r="H2065" s="705">
        <f t="shared" ref="H2065" si="622">E2065*G2065</f>
        <v>940027.92</v>
      </c>
      <c r="I2065" s="712">
        <v>0</v>
      </c>
      <c r="J2065" s="707">
        <f t="shared" si="620"/>
        <v>0</v>
      </c>
      <c r="K2065" s="708">
        <f t="shared" si="621"/>
        <v>940027.92</v>
      </c>
      <c r="L2065" s="1083"/>
      <c r="M2065" s="632"/>
      <c r="N2065" s="709">
        <f t="shared" si="573"/>
        <v>0</v>
      </c>
      <c r="O2065" s="681">
        <v>0</v>
      </c>
      <c r="P2065" s="673"/>
      <c r="Q2065" s="632"/>
      <c r="R2065" s="632"/>
      <c r="S2065" s="632"/>
    </row>
    <row r="2066" spans="1:19" ht="21.3">
      <c r="A2066" s="702"/>
      <c r="B2066" s="1141"/>
      <c r="C2066" s="710" t="s">
        <v>708</v>
      </c>
      <c r="D2066" s="899"/>
      <c r="E2066" s="673">
        <f>38.32*(1.28+0.93)*2</f>
        <v>169.37440000000001</v>
      </c>
      <c r="F2066" s="674" t="s">
        <v>34</v>
      </c>
      <c r="G2066" s="711">
        <v>1595</v>
      </c>
      <c r="H2066" s="705">
        <f>E2066*G2066</f>
        <v>270152.16800000001</v>
      </c>
      <c r="I2066" s="712">
        <v>0</v>
      </c>
      <c r="J2066" s="707">
        <f t="shared" si="620"/>
        <v>0</v>
      </c>
      <c r="K2066" s="708">
        <f t="shared" si="621"/>
        <v>270152.16800000001</v>
      </c>
      <c r="L2066" s="1083"/>
      <c r="M2066" s="632"/>
      <c r="N2066" s="709">
        <f t="shared" si="573"/>
        <v>0</v>
      </c>
      <c r="O2066" s="681">
        <v>0</v>
      </c>
      <c r="P2066" s="673"/>
      <c r="Q2066" s="632"/>
      <c r="R2066" s="632"/>
      <c r="S2066" s="632"/>
    </row>
    <row r="2067" spans="1:19" ht="21.3">
      <c r="A2067" s="702"/>
      <c r="B2067" s="703"/>
      <c r="C2067" s="703" t="s">
        <v>689</v>
      </c>
      <c r="D2067" s="703"/>
      <c r="E2067" s="673">
        <f>38.32*(0.9)*2</f>
        <v>68.975999999999999</v>
      </c>
      <c r="F2067" s="674" t="s">
        <v>34</v>
      </c>
      <c r="G2067" s="704">
        <f>ROUNDUP((281+119*1.41),0)</f>
        <v>449</v>
      </c>
      <c r="H2067" s="705">
        <f>SUM(E2067*G2067)</f>
        <v>30970.223999999998</v>
      </c>
      <c r="I2067" s="706">
        <f>ROUNDUP((80+44*1.41),0)</f>
        <v>143</v>
      </c>
      <c r="J2067" s="707">
        <f>I2067*E2067</f>
        <v>9863.5679999999993</v>
      </c>
      <c r="K2067" s="708">
        <f>H2067+J2067</f>
        <v>40833.792000000001</v>
      </c>
      <c r="L2067" s="1083"/>
      <c r="M2067" s="632"/>
      <c r="N2067" s="709">
        <f t="shared" si="573"/>
        <v>0</v>
      </c>
      <c r="O2067" s="681">
        <v>0</v>
      </c>
      <c r="P2067" s="673"/>
      <c r="Q2067" s="632"/>
      <c r="R2067" s="632"/>
      <c r="S2067" s="632"/>
    </row>
    <row r="2068" spans="1:19" ht="21.3">
      <c r="A2068" s="702"/>
      <c r="B2068" s="703"/>
      <c r="C2068" s="703" t="s">
        <v>675</v>
      </c>
      <c r="D2068" s="703"/>
      <c r="E2068" s="673">
        <f>38.32*(0.92+0.82)*2</f>
        <v>133.3536</v>
      </c>
      <c r="F2068" s="674" t="s">
        <v>34</v>
      </c>
      <c r="G2068" s="704">
        <v>496</v>
      </c>
      <c r="H2068" s="705">
        <f>E2068*G2068</f>
        <v>66143.385599999994</v>
      </c>
      <c r="I2068" s="706">
        <f>172</f>
        <v>172</v>
      </c>
      <c r="J2068" s="707">
        <f>I2068*E2068</f>
        <v>22936.819200000002</v>
      </c>
      <c r="K2068" s="708">
        <f>H2068+J2068</f>
        <v>89080.204799999992</v>
      </c>
      <c r="L2068" s="1083"/>
      <c r="M2068" s="632"/>
      <c r="N2068" s="709">
        <f t="shared" si="573"/>
        <v>0</v>
      </c>
      <c r="O2068" s="681">
        <v>0</v>
      </c>
      <c r="P2068" s="673"/>
      <c r="Q2068" s="632"/>
      <c r="R2068" s="632"/>
      <c r="S2068" s="632"/>
    </row>
    <row r="2069" spans="1:19" ht="21.3">
      <c r="A2069" s="702"/>
      <c r="B2069" s="1141"/>
      <c r="C2069" s="710" t="s">
        <v>745</v>
      </c>
      <c r="D2069" s="899"/>
      <c r="E2069" s="673"/>
      <c r="F2069" s="674"/>
      <c r="G2069" s="711"/>
      <c r="H2069" s="705"/>
      <c r="I2069" s="712"/>
      <c r="J2069" s="707">
        <f t="shared" ref="J2069:J2070" si="623">I2069*E2069</f>
        <v>0</v>
      </c>
      <c r="K2069" s="708">
        <f t="shared" ref="K2069:K2070" si="624">H2069+J2069</f>
        <v>0</v>
      </c>
      <c r="L2069" s="1083"/>
      <c r="M2069" s="632"/>
      <c r="N2069" s="709">
        <f t="shared" si="573"/>
        <v>0</v>
      </c>
      <c r="O2069" s="681">
        <v>0</v>
      </c>
      <c r="P2069" s="673"/>
      <c r="Q2069" s="632"/>
      <c r="R2069" s="632"/>
      <c r="S2069" s="632"/>
    </row>
    <row r="2070" spans="1:19" ht="21.3">
      <c r="A2070" s="702"/>
      <c r="B2070" s="1141" t="s">
        <v>746</v>
      </c>
      <c r="C2070" s="710"/>
      <c r="D2070" s="899"/>
      <c r="E2070" s="673">
        <f>38.32*1.46*8</f>
        <v>447.57760000000002</v>
      </c>
      <c r="F2070" s="674" t="s">
        <v>34</v>
      </c>
      <c r="G2070" s="711">
        <v>12300</v>
      </c>
      <c r="H2070" s="705">
        <f>E2070*G2070</f>
        <v>5505204.4800000004</v>
      </c>
      <c r="I2070" s="712">
        <v>0</v>
      </c>
      <c r="J2070" s="707">
        <f t="shared" si="623"/>
        <v>0</v>
      </c>
      <c r="K2070" s="708">
        <f t="shared" si="624"/>
        <v>5505204.4800000004</v>
      </c>
      <c r="L2070" s="1083"/>
      <c r="M2070" s="632"/>
      <c r="N2070" s="709">
        <f t="shared" si="573"/>
        <v>0</v>
      </c>
      <c r="O2070" s="681">
        <v>0</v>
      </c>
      <c r="P2070" s="673"/>
      <c r="Q2070" s="632"/>
      <c r="R2070" s="632"/>
      <c r="S2070" s="632"/>
    </row>
    <row r="2071" spans="1:19" ht="21.3">
      <c r="A2071" s="702"/>
      <c r="B2071" s="703" t="s">
        <v>676</v>
      </c>
      <c r="C2071" s="703"/>
      <c r="D2071" s="703"/>
      <c r="E2071" s="673">
        <f>38.32*1.4*8</f>
        <v>429.18399999999997</v>
      </c>
      <c r="F2071" s="674" t="s">
        <v>34</v>
      </c>
      <c r="G2071" s="704">
        <v>7050</v>
      </c>
      <c r="H2071" s="705">
        <f>E2071*G2071</f>
        <v>3025747.1999999997</v>
      </c>
      <c r="I2071" s="706">
        <v>0</v>
      </c>
      <c r="J2071" s="707">
        <f>I2071*E2071</f>
        <v>0</v>
      </c>
      <c r="K2071" s="708">
        <f>H2071+J2071</f>
        <v>3025747.1999999997</v>
      </c>
      <c r="L2071" s="1083"/>
      <c r="M2071" s="632"/>
      <c r="N2071" s="709">
        <f t="shared" si="573"/>
        <v>0</v>
      </c>
      <c r="O2071" s="681">
        <v>0</v>
      </c>
      <c r="P2071" s="673"/>
      <c r="Q2071" s="632"/>
      <c r="R2071" s="632"/>
      <c r="S2071" s="632"/>
    </row>
    <row r="2072" spans="1:19" ht="21.3">
      <c r="A2072" s="702"/>
      <c r="B2072" s="703" t="s">
        <v>687</v>
      </c>
      <c r="C2072" s="703"/>
      <c r="D2072" s="703"/>
      <c r="E2072" s="673">
        <f>ROUNDUP(38.32/1.4,0)*8+8*2</f>
        <v>240</v>
      </c>
      <c r="F2072" s="674" t="s">
        <v>363</v>
      </c>
      <c r="G2072" s="704">
        <v>3136</v>
      </c>
      <c r="H2072" s="705">
        <f>E2072*G2072</f>
        <v>752640</v>
      </c>
      <c r="I2072" s="706">
        <v>165</v>
      </c>
      <c r="J2072" s="707">
        <f t="shared" ref="J2072:J2074" si="625">I2072*E2072</f>
        <v>39600</v>
      </c>
      <c r="K2072" s="708">
        <f t="shared" ref="K2072:K2074" si="626">H2072+J2072</f>
        <v>792240</v>
      </c>
      <c r="L2072" s="1083"/>
      <c r="M2072" s="632"/>
      <c r="N2072" s="709">
        <f t="shared" si="573"/>
        <v>0</v>
      </c>
      <c r="O2072" s="681">
        <v>0</v>
      </c>
      <c r="P2072" s="673"/>
      <c r="Q2072" s="632"/>
      <c r="R2072" s="632"/>
      <c r="S2072" s="632"/>
    </row>
    <row r="2073" spans="1:19" ht="21.3">
      <c r="A2073" s="702"/>
      <c r="B2073" s="1141" t="s">
        <v>688</v>
      </c>
      <c r="C2073" s="710"/>
      <c r="D2073" s="899"/>
      <c r="E2073" s="673">
        <f>38.32*(1.28+0.93)*8</f>
        <v>677.49760000000003</v>
      </c>
      <c r="F2073" s="674" t="s">
        <v>34</v>
      </c>
      <c r="G2073" s="711">
        <f>5550+0</f>
        <v>5550</v>
      </c>
      <c r="H2073" s="705">
        <f t="shared" ref="H2073" si="627">E2073*G2073</f>
        <v>3760111.68</v>
      </c>
      <c r="I2073" s="712">
        <v>0</v>
      </c>
      <c r="J2073" s="707">
        <f t="shared" si="625"/>
        <v>0</v>
      </c>
      <c r="K2073" s="708">
        <f t="shared" si="626"/>
        <v>3760111.68</v>
      </c>
      <c r="L2073" s="1083"/>
      <c r="M2073" s="632"/>
      <c r="N2073" s="709">
        <f t="shared" si="573"/>
        <v>0</v>
      </c>
      <c r="O2073" s="681">
        <v>0</v>
      </c>
      <c r="P2073" s="673"/>
      <c r="Q2073" s="632"/>
      <c r="R2073" s="632"/>
      <c r="S2073" s="632"/>
    </row>
    <row r="2074" spans="1:19" ht="21.3">
      <c r="A2074" s="702"/>
      <c r="B2074" s="1141"/>
      <c r="C2074" s="710" t="s">
        <v>708</v>
      </c>
      <c r="D2074" s="899"/>
      <c r="E2074" s="673">
        <f>38.32*(1.28+0.93)*8</f>
        <v>677.49760000000003</v>
      </c>
      <c r="F2074" s="674" t="s">
        <v>34</v>
      </c>
      <c r="G2074" s="711">
        <v>1595</v>
      </c>
      <c r="H2074" s="705">
        <f>E2074*G2074</f>
        <v>1080608.672</v>
      </c>
      <c r="I2074" s="712">
        <v>0</v>
      </c>
      <c r="J2074" s="707">
        <f t="shared" si="625"/>
        <v>0</v>
      </c>
      <c r="K2074" s="708">
        <f t="shared" si="626"/>
        <v>1080608.672</v>
      </c>
      <c r="L2074" s="1083"/>
      <c r="M2074" s="632"/>
      <c r="N2074" s="709">
        <f t="shared" si="573"/>
        <v>0</v>
      </c>
      <c r="O2074" s="681">
        <v>0</v>
      </c>
      <c r="P2074" s="673"/>
      <c r="Q2074" s="632"/>
      <c r="R2074" s="632"/>
      <c r="S2074" s="632"/>
    </row>
    <row r="2075" spans="1:19" ht="21.3">
      <c r="A2075" s="702"/>
      <c r="B2075" s="703"/>
      <c r="C2075" s="703" t="s">
        <v>689</v>
      </c>
      <c r="D2075" s="703"/>
      <c r="E2075" s="673">
        <f>38.32*(0.9)*8</f>
        <v>275.904</v>
      </c>
      <c r="F2075" s="674" t="s">
        <v>34</v>
      </c>
      <c r="G2075" s="704">
        <f>ROUNDUP((281+119*1.41),0)</f>
        <v>449</v>
      </c>
      <c r="H2075" s="705">
        <f>SUM(E2075*G2075)</f>
        <v>123880.89599999999</v>
      </c>
      <c r="I2075" s="706">
        <f>ROUNDUP((80+44*1.41),0)</f>
        <v>143</v>
      </c>
      <c r="J2075" s="707">
        <f>I2075*E2075</f>
        <v>39454.271999999997</v>
      </c>
      <c r="K2075" s="708">
        <f>H2075+J2075</f>
        <v>163335.16800000001</v>
      </c>
      <c r="L2075" s="1083"/>
      <c r="M2075" s="632"/>
      <c r="N2075" s="709">
        <f t="shared" si="573"/>
        <v>0</v>
      </c>
      <c r="O2075" s="681">
        <v>0</v>
      </c>
      <c r="P2075" s="673"/>
      <c r="Q2075" s="632"/>
      <c r="R2075" s="632"/>
      <c r="S2075" s="632"/>
    </row>
    <row r="2076" spans="1:19" ht="21.3">
      <c r="A2076" s="702"/>
      <c r="B2076" s="703"/>
      <c r="C2076" s="703" t="s">
        <v>675</v>
      </c>
      <c r="D2076" s="703"/>
      <c r="E2076" s="673">
        <f>38.32*(0.92+0.82)*8</f>
        <v>533.4144</v>
      </c>
      <c r="F2076" s="674" t="s">
        <v>34</v>
      </c>
      <c r="G2076" s="704">
        <v>496</v>
      </c>
      <c r="H2076" s="705">
        <f>E2076*G2076</f>
        <v>264573.54239999998</v>
      </c>
      <c r="I2076" s="706">
        <f>172</f>
        <v>172</v>
      </c>
      <c r="J2076" s="707">
        <f>I2076*E2076</f>
        <v>91747.276800000007</v>
      </c>
      <c r="K2076" s="708">
        <f>H2076+J2076</f>
        <v>356320.81919999997</v>
      </c>
      <c r="L2076" s="1083"/>
      <c r="M2076" s="632"/>
      <c r="N2076" s="709">
        <f t="shared" si="573"/>
        <v>0</v>
      </c>
      <c r="O2076" s="681">
        <v>0</v>
      </c>
      <c r="P2076" s="673"/>
      <c r="Q2076" s="632"/>
      <c r="R2076" s="632"/>
      <c r="S2076" s="632"/>
    </row>
    <row r="2077" spans="1:19" ht="21.3">
      <c r="A2077" s="702"/>
      <c r="B2077" s="1141" t="s">
        <v>747</v>
      </c>
      <c r="C2077" s="710"/>
      <c r="D2077" s="899"/>
      <c r="E2077" s="673">
        <f>+(12.79+7.72)*43.95</f>
        <v>901.41449999999998</v>
      </c>
      <c r="F2077" s="674" t="s">
        <v>34</v>
      </c>
      <c r="G2077" s="711">
        <f>8800</f>
        <v>8800</v>
      </c>
      <c r="H2077" s="705">
        <f t="shared" ref="H2077" si="628">E2077*G2077</f>
        <v>7932447.5999999996</v>
      </c>
      <c r="I2077" s="712">
        <v>0</v>
      </c>
      <c r="J2077" s="707">
        <f t="shared" ref="J2077:J2078" si="629">I2077*E2077</f>
        <v>0</v>
      </c>
      <c r="K2077" s="708">
        <f t="shared" ref="K2077:K2078" si="630">H2077+J2077</f>
        <v>7932447.5999999996</v>
      </c>
      <c r="L2077" s="1083"/>
      <c r="M2077" s="632"/>
      <c r="N2077" s="709">
        <f t="shared" si="573"/>
        <v>0</v>
      </c>
      <c r="O2077" s="681">
        <v>0</v>
      </c>
      <c r="P2077" s="673"/>
      <c r="Q2077" s="632"/>
      <c r="R2077" s="632"/>
      <c r="S2077" s="632"/>
    </row>
    <row r="2078" spans="1:19" ht="21.3">
      <c r="A2078" s="702"/>
      <c r="B2078" s="1141" t="s">
        <v>748</v>
      </c>
      <c r="C2078" s="710"/>
      <c r="D2078" s="899"/>
      <c r="E2078" s="673"/>
      <c r="F2078" s="674"/>
      <c r="G2078" s="711"/>
      <c r="H2078" s="705">
        <f>E2078*G2078</f>
        <v>0</v>
      </c>
      <c r="I2078" s="712">
        <v>0</v>
      </c>
      <c r="J2078" s="707">
        <f t="shared" si="629"/>
        <v>0</v>
      </c>
      <c r="K2078" s="708">
        <f t="shared" si="630"/>
        <v>0</v>
      </c>
      <c r="L2078" s="1083"/>
      <c r="M2078" s="632"/>
      <c r="N2078" s="709">
        <f t="shared" si="573"/>
        <v>0</v>
      </c>
      <c r="O2078" s="681">
        <v>0</v>
      </c>
      <c r="P2078" s="673"/>
      <c r="Q2078" s="632"/>
      <c r="R2078" s="632"/>
      <c r="S2078" s="632"/>
    </row>
    <row r="2079" spans="1:19" ht="21.3">
      <c r="A2079" s="702"/>
      <c r="B2079" s="703" t="s">
        <v>749</v>
      </c>
      <c r="C2079" s="703"/>
      <c r="D2079" s="703"/>
      <c r="E2079" s="673"/>
      <c r="F2079" s="674"/>
      <c r="G2079" s="704"/>
      <c r="H2079" s="705">
        <f>E2079*G2079</f>
        <v>0</v>
      </c>
      <c r="I2079" s="706">
        <v>0</v>
      </c>
      <c r="J2079" s="707">
        <f>I2079*E2079</f>
        <v>0</v>
      </c>
      <c r="K2079" s="708">
        <f>H2079+J2079</f>
        <v>0</v>
      </c>
      <c r="L2079" s="1083"/>
      <c r="M2079" s="632"/>
      <c r="N2079" s="709">
        <f t="shared" si="573"/>
        <v>0</v>
      </c>
      <c r="O2079" s="681">
        <v>0</v>
      </c>
      <c r="P2079" s="673"/>
      <c r="Q2079" s="632"/>
      <c r="R2079" s="632"/>
      <c r="S2079" s="632"/>
    </row>
    <row r="2080" spans="1:19" ht="21.3">
      <c r="A2080" s="702"/>
      <c r="B2080" s="703"/>
      <c r="C2080" s="703" t="s">
        <v>750</v>
      </c>
      <c r="D2080" s="703"/>
      <c r="E2080" s="673">
        <v>1010</v>
      </c>
      <c r="F2080" s="674" t="s">
        <v>226</v>
      </c>
      <c r="G2080" s="704">
        <v>20557</v>
      </c>
      <c r="H2080" s="705">
        <f t="shared" ref="H2080:H2085" si="631">E2080*G2080</f>
        <v>20762570</v>
      </c>
      <c r="I2080" s="706">
        <v>0</v>
      </c>
      <c r="J2080" s="707">
        <f>I2080*E2080</f>
        <v>0</v>
      </c>
      <c r="K2080" s="708">
        <f>H2080+J2080</f>
        <v>20762570</v>
      </c>
      <c r="L2080" s="1083"/>
      <c r="M2080" s="632"/>
      <c r="N2080" s="709">
        <f t="shared" si="573"/>
        <v>0</v>
      </c>
      <c r="O2080" s="681">
        <v>0</v>
      </c>
      <c r="P2080" s="673"/>
      <c r="Q2080" s="632"/>
      <c r="R2080" s="632"/>
      <c r="S2080" s="632"/>
    </row>
    <row r="2081" spans="1:19" ht="21.3">
      <c r="A2081" s="702"/>
      <c r="B2081" s="1141"/>
      <c r="C2081" s="710" t="s">
        <v>751</v>
      </c>
      <c r="D2081" s="899"/>
      <c r="E2081" s="673">
        <v>23</v>
      </c>
      <c r="F2081" s="674" t="s">
        <v>363</v>
      </c>
      <c r="G2081" s="711">
        <v>2754</v>
      </c>
      <c r="H2081" s="705">
        <f t="shared" si="631"/>
        <v>63342</v>
      </c>
      <c r="I2081" s="712">
        <v>0</v>
      </c>
      <c r="J2081" s="707">
        <f t="shared" ref="J2081:J2082" si="632">I2081*E2081</f>
        <v>0</v>
      </c>
      <c r="K2081" s="708">
        <f t="shared" ref="K2081:K2082" si="633">H2081+J2081</f>
        <v>63342</v>
      </c>
      <c r="L2081" s="1083"/>
      <c r="M2081" s="632"/>
      <c r="N2081" s="709">
        <f t="shared" si="573"/>
        <v>0</v>
      </c>
      <c r="O2081" s="681">
        <v>0</v>
      </c>
      <c r="P2081" s="673"/>
      <c r="Q2081" s="632"/>
      <c r="R2081" s="632"/>
      <c r="S2081" s="632"/>
    </row>
    <row r="2082" spans="1:19" ht="21.3">
      <c r="A2082" s="702"/>
      <c r="B2082" s="1141"/>
      <c r="C2082" s="710"/>
      <c r="D2082" s="899" t="s">
        <v>752</v>
      </c>
      <c r="E2082" s="673"/>
      <c r="F2082" s="674"/>
      <c r="G2082" s="711"/>
      <c r="H2082" s="705">
        <f t="shared" si="631"/>
        <v>0</v>
      </c>
      <c r="I2082" s="712"/>
      <c r="J2082" s="707">
        <f t="shared" si="632"/>
        <v>0</v>
      </c>
      <c r="K2082" s="708">
        <f t="shared" si="633"/>
        <v>0</v>
      </c>
      <c r="L2082" s="1083"/>
      <c r="M2082" s="632"/>
      <c r="N2082" s="709">
        <f t="shared" si="573"/>
        <v>0</v>
      </c>
      <c r="O2082" s="681">
        <v>0</v>
      </c>
      <c r="P2082" s="673"/>
      <c r="Q2082" s="632"/>
      <c r="R2082" s="632"/>
      <c r="S2082" s="632"/>
    </row>
    <row r="2083" spans="1:19" ht="21.3">
      <c r="A2083" s="702"/>
      <c r="B2083" s="703" t="s">
        <v>753</v>
      </c>
      <c r="C2083" s="703"/>
      <c r="D2083" s="703"/>
      <c r="E2083" s="673"/>
      <c r="F2083" s="674"/>
      <c r="G2083" s="704"/>
      <c r="H2083" s="705">
        <f t="shared" si="631"/>
        <v>0</v>
      </c>
      <c r="I2083" s="706">
        <v>0</v>
      </c>
      <c r="J2083" s="707">
        <f>I2083*E2083</f>
        <v>0</v>
      </c>
      <c r="K2083" s="708">
        <f>H2083+J2083</f>
        <v>0</v>
      </c>
      <c r="L2083" s="1083"/>
      <c r="M2083" s="632"/>
      <c r="N2083" s="709">
        <f t="shared" si="573"/>
        <v>0</v>
      </c>
      <c r="O2083" s="681">
        <v>0</v>
      </c>
      <c r="P2083" s="673"/>
      <c r="Q2083" s="632"/>
      <c r="R2083" s="632"/>
      <c r="S2083" s="632"/>
    </row>
    <row r="2084" spans="1:19" ht="21.3">
      <c r="A2084" s="702"/>
      <c r="B2084" s="703"/>
      <c r="C2084" s="703" t="s">
        <v>754</v>
      </c>
      <c r="D2084" s="703"/>
      <c r="E2084" s="673">
        <v>423</v>
      </c>
      <c r="F2084" s="674" t="s">
        <v>226</v>
      </c>
      <c r="G2084" s="704">
        <v>23148</v>
      </c>
      <c r="H2084" s="705">
        <f t="shared" si="631"/>
        <v>9791604</v>
      </c>
      <c r="I2084" s="706">
        <v>0</v>
      </c>
      <c r="J2084" s="707">
        <f>I2084*E2084</f>
        <v>0</v>
      </c>
      <c r="K2084" s="708">
        <f>H2084+J2084</f>
        <v>9791604</v>
      </c>
      <c r="L2084" s="1083"/>
      <c r="M2084" s="632"/>
      <c r="N2084" s="709">
        <f t="shared" si="573"/>
        <v>0</v>
      </c>
      <c r="O2084" s="681">
        <v>0</v>
      </c>
      <c r="P2084" s="673"/>
      <c r="Q2084" s="632"/>
      <c r="R2084" s="632"/>
      <c r="S2084" s="632"/>
    </row>
    <row r="2085" spans="1:19" ht="21.3">
      <c r="A2085" s="702"/>
      <c r="B2085" s="617"/>
      <c r="C2085" s="617"/>
      <c r="D2085" s="617"/>
      <c r="E2085" s="673"/>
      <c r="F2085" s="625"/>
      <c r="G2085" s="697"/>
      <c r="H2085" s="698">
        <f t="shared" si="631"/>
        <v>0</v>
      </c>
      <c r="I2085" s="699"/>
      <c r="J2085" s="698">
        <f t="shared" ref="J2085" si="634">E2085*I2085</f>
        <v>0</v>
      </c>
      <c r="K2085" s="1081">
        <f t="shared" ref="K2085" si="635">H2085+J2085</f>
        <v>0</v>
      </c>
      <c r="L2085" s="1061"/>
      <c r="M2085" s="632"/>
      <c r="N2085" s="709">
        <f t="shared" si="573"/>
        <v>0</v>
      </c>
      <c r="O2085" s="681">
        <v>0</v>
      </c>
      <c r="P2085" s="637"/>
      <c r="Q2085" s="632"/>
      <c r="R2085" s="632"/>
      <c r="S2085" s="632"/>
    </row>
    <row r="2086" spans="1:19" ht="21.3">
      <c r="A2086" s="658"/>
      <c r="B2086" s="2228" t="str">
        <f>"รวมราคารายการที่ "&amp;A1941</f>
        <v>รวมราคารายการที่ 2.6</v>
      </c>
      <c r="C2086" s="2228"/>
      <c r="D2086" s="2228"/>
      <c r="E2086" s="600">
        <v>0</v>
      </c>
      <c r="F2086" s="601"/>
      <c r="G2086" s="602"/>
      <c r="H2086" s="660">
        <f>SUBTOTAL(9,H1942:H2085)</f>
        <v>272627503.6649</v>
      </c>
      <c r="I2086" s="661"/>
      <c r="J2086" s="660">
        <f>SUBTOTAL(9,J1942:J2085)</f>
        <v>1848559.6654000003</v>
      </c>
      <c r="K2086" s="1072">
        <f>SUBTOTAL(9,K1942:K2085)</f>
        <v>274476063.33029997</v>
      </c>
      <c r="L2086" s="662"/>
      <c r="M2086" s="574"/>
      <c r="N2086" s="671"/>
      <c r="O2086" s="606"/>
      <c r="P2086" s="600"/>
      <c r="Q2086" s="574"/>
      <c r="R2086" s="574"/>
      <c r="S2086" s="574"/>
    </row>
    <row r="2087" spans="1:19" s="684" customFormat="1" ht="24" customHeight="1">
      <c r="A2087" s="718">
        <v>2.7</v>
      </c>
      <c r="B2087" s="719" t="s">
        <v>471</v>
      </c>
      <c r="C2087" s="720"/>
      <c r="D2087" s="905"/>
      <c r="E2087" s="721">
        <v>0</v>
      </c>
      <c r="F2087" s="722"/>
      <c r="G2087" s="723"/>
      <c r="H2087" s="724"/>
      <c r="I2087" s="725"/>
      <c r="J2087" s="726"/>
      <c r="K2087" s="723"/>
      <c r="L2087" s="1089"/>
      <c r="M2087" s="683"/>
      <c r="N2087" s="727"/>
      <c r="O2087" s="728"/>
      <c r="P2087" s="721"/>
      <c r="Q2087" s="683"/>
      <c r="R2087" s="683"/>
      <c r="S2087" s="683"/>
    </row>
    <row r="2088" spans="1:19" s="684" customFormat="1" ht="24" customHeight="1">
      <c r="A2088" s="729" t="s">
        <v>755</v>
      </c>
      <c r="B2088" s="730" t="s">
        <v>473</v>
      </c>
      <c r="C2088" s="703"/>
      <c r="D2088" s="906"/>
      <c r="E2088" s="673">
        <v>0</v>
      </c>
      <c r="F2088" s="674"/>
      <c r="G2088" s="731"/>
      <c r="H2088" s="732"/>
      <c r="I2088" s="677"/>
      <c r="J2088" s="733"/>
      <c r="K2088" s="1090"/>
      <c r="L2088" s="1091"/>
      <c r="M2088" s="683"/>
      <c r="N2088" s="680"/>
      <c r="O2088" s="681"/>
      <c r="P2088" s="673"/>
      <c r="Q2088" s="683"/>
      <c r="R2088" s="683"/>
      <c r="S2088" s="683"/>
    </row>
    <row r="2089" spans="1:19" s="746" customFormat="1" ht="24" customHeight="1">
      <c r="A2089" s="734"/>
      <c r="B2089" s="735" t="s">
        <v>1069</v>
      </c>
      <c r="C2089" s="736"/>
      <c r="D2089" s="907"/>
      <c r="E2089" s="737">
        <v>0</v>
      </c>
      <c r="F2089" s="738"/>
      <c r="G2089" s="739"/>
      <c r="H2089" s="740"/>
      <c r="I2089" s="741"/>
      <c r="J2089" s="742"/>
      <c r="K2089" s="1092"/>
      <c r="L2089" s="1079"/>
      <c r="M2089" s="743"/>
      <c r="N2089" s="744"/>
      <c r="O2089" s="745"/>
      <c r="P2089" s="737"/>
      <c r="Q2089" s="743"/>
      <c r="R2089" s="743"/>
      <c r="S2089" s="743"/>
    </row>
    <row r="2090" spans="1:19" s="746" customFormat="1" ht="24" customHeight="1">
      <c r="A2090" s="734"/>
      <c r="B2090" s="747" t="s">
        <v>469</v>
      </c>
      <c r="C2090" s="735" t="s">
        <v>474</v>
      </c>
      <c r="D2090" s="907"/>
      <c r="E2090" s="737">
        <v>2</v>
      </c>
      <c r="F2090" s="738" t="s">
        <v>363</v>
      </c>
      <c r="G2090" s="739">
        <v>644</v>
      </c>
      <c r="H2090" s="748">
        <f t="shared" ref="H2090:H2104" si="636">SUM(E2090*G2090)</f>
        <v>1288</v>
      </c>
      <c r="I2090" s="741">
        <v>450</v>
      </c>
      <c r="J2090" s="749">
        <f t="shared" ref="J2090:J2104" si="637">SUM(E2090*I2090)</f>
        <v>900</v>
      </c>
      <c r="K2090" s="739">
        <f t="shared" ref="K2090:K2104" si="638">SUM(H2090+J2090)</f>
        <v>2188</v>
      </c>
      <c r="L2090" s="1079"/>
      <c r="M2090" s="743"/>
      <c r="N2090" s="744"/>
      <c r="O2090" s="745"/>
      <c r="P2090" s="737"/>
      <c r="Q2090" s="743"/>
      <c r="R2090" s="743"/>
      <c r="S2090" s="743"/>
    </row>
    <row r="2091" spans="1:19" s="746" customFormat="1" ht="24" customHeight="1">
      <c r="A2091" s="734"/>
      <c r="B2091" s="747" t="s">
        <v>469</v>
      </c>
      <c r="C2091" s="735" t="s">
        <v>475</v>
      </c>
      <c r="D2091" s="907"/>
      <c r="E2091" s="737">
        <f>+E2090</f>
        <v>2</v>
      </c>
      <c r="F2091" s="738" t="s">
        <v>363</v>
      </c>
      <c r="G2091" s="739">
        <v>1192</v>
      </c>
      <c r="H2091" s="748">
        <f t="shared" si="636"/>
        <v>2384</v>
      </c>
      <c r="I2091" s="741">
        <v>200</v>
      </c>
      <c r="J2091" s="749">
        <f t="shared" si="637"/>
        <v>400</v>
      </c>
      <c r="K2091" s="739">
        <f t="shared" si="638"/>
        <v>2784</v>
      </c>
      <c r="L2091" s="1079"/>
      <c r="M2091" s="743"/>
      <c r="N2091" s="744"/>
      <c r="O2091" s="745"/>
      <c r="P2091" s="737"/>
      <c r="Q2091" s="743"/>
      <c r="R2091" s="743"/>
      <c r="S2091" s="743"/>
    </row>
    <row r="2092" spans="1:19" s="746" customFormat="1" ht="21">
      <c r="A2092" s="734"/>
      <c r="B2092" s="747" t="s">
        <v>469</v>
      </c>
      <c r="C2092" s="735" t="s">
        <v>476</v>
      </c>
      <c r="D2092" s="907"/>
      <c r="E2092" s="737">
        <f t="shared" ref="E2092:E2095" si="639">+E2091</f>
        <v>2</v>
      </c>
      <c r="F2092" s="738" t="s">
        <v>363</v>
      </c>
      <c r="G2092" s="739">
        <v>336</v>
      </c>
      <c r="H2092" s="748">
        <f t="shared" si="636"/>
        <v>672</v>
      </c>
      <c r="I2092" s="741">
        <v>0</v>
      </c>
      <c r="J2092" s="749">
        <f t="shared" si="637"/>
        <v>0</v>
      </c>
      <c r="K2092" s="739">
        <f t="shared" si="638"/>
        <v>672</v>
      </c>
      <c r="L2092" s="1079"/>
      <c r="M2092" s="743"/>
      <c r="N2092" s="744"/>
      <c r="O2092" s="745"/>
      <c r="P2092" s="737"/>
      <c r="Q2092" s="743"/>
      <c r="R2092" s="743"/>
      <c r="S2092" s="743"/>
    </row>
    <row r="2093" spans="1:19" s="746" customFormat="1" ht="24" customHeight="1">
      <c r="A2093" s="734"/>
      <c r="B2093" s="747" t="s">
        <v>469</v>
      </c>
      <c r="C2093" s="735" t="s">
        <v>477</v>
      </c>
      <c r="D2093" s="907"/>
      <c r="E2093" s="737">
        <f t="shared" si="639"/>
        <v>2</v>
      </c>
      <c r="F2093" s="738" t="s">
        <v>363</v>
      </c>
      <c r="G2093" s="739">
        <v>688</v>
      </c>
      <c r="H2093" s="748">
        <f t="shared" si="636"/>
        <v>1376</v>
      </c>
      <c r="I2093" s="741">
        <v>0</v>
      </c>
      <c r="J2093" s="749">
        <f t="shared" si="637"/>
        <v>0</v>
      </c>
      <c r="K2093" s="739">
        <f t="shared" si="638"/>
        <v>1376</v>
      </c>
      <c r="L2093" s="1079"/>
      <c r="M2093" s="743"/>
      <c r="N2093" s="744"/>
      <c r="O2093" s="745"/>
      <c r="P2093" s="737"/>
      <c r="Q2093" s="743"/>
      <c r="R2093" s="743"/>
      <c r="S2093" s="743"/>
    </row>
    <row r="2094" spans="1:19" s="746" customFormat="1" ht="24" customHeight="1">
      <c r="A2094" s="734"/>
      <c r="B2094" s="747" t="s">
        <v>469</v>
      </c>
      <c r="C2094" s="735" t="s">
        <v>478</v>
      </c>
      <c r="D2094" s="735"/>
      <c r="E2094" s="737">
        <f t="shared" si="639"/>
        <v>2</v>
      </c>
      <c r="F2094" s="738" t="s">
        <v>363</v>
      </c>
      <c r="G2094" s="739">
        <v>176</v>
      </c>
      <c r="H2094" s="748">
        <f t="shared" si="636"/>
        <v>352</v>
      </c>
      <c r="I2094" s="741">
        <v>0</v>
      </c>
      <c r="J2094" s="749">
        <f t="shared" si="637"/>
        <v>0</v>
      </c>
      <c r="K2094" s="739">
        <f t="shared" si="638"/>
        <v>352</v>
      </c>
      <c r="L2094" s="1079"/>
      <c r="M2094" s="743"/>
      <c r="N2094" s="744"/>
      <c r="O2094" s="745"/>
      <c r="P2094" s="737"/>
      <c r="Q2094" s="743"/>
      <c r="R2094" s="743"/>
      <c r="S2094" s="743"/>
    </row>
    <row r="2095" spans="1:19" s="746" customFormat="1" ht="24" customHeight="1">
      <c r="A2095" s="734"/>
      <c r="B2095" s="747" t="s">
        <v>469</v>
      </c>
      <c r="C2095" s="735" t="s">
        <v>479</v>
      </c>
      <c r="D2095" s="907"/>
      <c r="E2095" s="737">
        <f t="shared" si="639"/>
        <v>2</v>
      </c>
      <c r="F2095" s="738" t="s">
        <v>363</v>
      </c>
      <c r="G2095" s="739">
        <v>216</v>
      </c>
      <c r="H2095" s="748">
        <f t="shared" si="636"/>
        <v>432</v>
      </c>
      <c r="I2095" s="741">
        <v>35</v>
      </c>
      <c r="J2095" s="749">
        <f t="shared" si="637"/>
        <v>70</v>
      </c>
      <c r="K2095" s="739">
        <f t="shared" si="638"/>
        <v>502</v>
      </c>
      <c r="L2095" s="1079"/>
      <c r="M2095" s="743"/>
      <c r="N2095" s="744"/>
      <c r="O2095" s="745"/>
      <c r="P2095" s="737"/>
      <c r="Q2095" s="743"/>
      <c r="R2095" s="743"/>
      <c r="S2095" s="743"/>
    </row>
    <row r="2096" spans="1:19" s="746" customFormat="1" ht="24" customHeight="1">
      <c r="A2096" s="734"/>
      <c r="B2096" s="750"/>
      <c r="C2096" s="736"/>
      <c r="D2096" s="907"/>
      <c r="E2096" s="737"/>
      <c r="F2096" s="738"/>
      <c r="G2096" s="739">
        <v>0</v>
      </c>
      <c r="H2096" s="748">
        <f t="shared" si="636"/>
        <v>0</v>
      </c>
      <c r="I2096" s="741">
        <v>0</v>
      </c>
      <c r="J2096" s="749">
        <f t="shared" si="637"/>
        <v>0</v>
      </c>
      <c r="K2096" s="739">
        <f t="shared" si="638"/>
        <v>0</v>
      </c>
      <c r="L2096" s="1079"/>
      <c r="M2096" s="743"/>
      <c r="N2096" s="744"/>
      <c r="O2096" s="745"/>
      <c r="P2096" s="737"/>
      <c r="Q2096" s="743"/>
      <c r="R2096" s="743"/>
      <c r="S2096" s="743"/>
    </row>
    <row r="2097" spans="1:19" s="746" customFormat="1" ht="24" customHeight="1">
      <c r="A2097" s="734"/>
      <c r="B2097" s="747" t="s">
        <v>469</v>
      </c>
      <c r="C2097" s="735" t="s">
        <v>480</v>
      </c>
      <c r="D2097" s="907"/>
      <c r="E2097" s="737">
        <v>2</v>
      </c>
      <c r="F2097" s="738" t="s">
        <v>363</v>
      </c>
      <c r="G2097" s="739">
        <v>4060</v>
      </c>
      <c r="H2097" s="748">
        <f t="shared" si="636"/>
        <v>8120</v>
      </c>
      <c r="I2097" s="741">
        <v>0</v>
      </c>
      <c r="J2097" s="749">
        <f t="shared" si="637"/>
        <v>0</v>
      </c>
      <c r="K2097" s="739">
        <f t="shared" si="638"/>
        <v>8120</v>
      </c>
      <c r="L2097" s="1079"/>
      <c r="M2097" s="743"/>
      <c r="N2097" s="744"/>
      <c r="O2097" s="745"/>
      <c r="P2097" s="737"/>
      <c r="Q2097" s="743"/>
      <c r="R2097" s="743"/>
      <c r="S2097" s="743"/>
    </row>
    <row r="2098" spans="1:19" s="746" customFormat="1" ht="24" customHeight="1">
      <c r="A2098" s="734"/>
      <c r="B2098" s="747" t="s">
        <v>469</v>
      </c>
      <c r="C2098" s="735" t="s">
        <v>481</v>
      </c>
      <c r="D2098" s="907"/>
      <c r="E2098" s="737">
        <f>+E2097</f>
        <v>2</v>
      </c>
      <c r="F2098" s="738" t="s">
        <v>363</v>
      </c>
      <c r="G2098" s="739">
        <v>4288</v>
      </c>
      <c r="H2098" s="748">
        <f t="shared" si="636"/>
        <v>8576</v>
      </c>
      <c r="I2098" s="741">
        <v>0</v>
      </c>
      <c r="J2098" s="749">
        <f t="shared" si="637"/>
        <v>0</v>
      </c>
      <c r="K2098" s="739">
        <f t="shared" si="638"/>
        <v>8576</v>
      </c>
      <c r="L2098" s="1079"/>
      <c r="M2098" s="743"/>
      <c r="N2098" s="744"/>
      <c r="O2098" s="745"/>
      <c r="P2098" s="737"/>
      <c r="Q2098" s="743"/>
      <c r="R2098" s="743"/>
      <c r="S2098" s="743"/>
    </row>
    <row r="2099" spans="1:19" s="746" customFormat="1" ht="21">
      <c r="A2099" s="734"/>
      <c r="B2099" s="747" t="s">
        <v>469</v>
      </c>
      <c r="C2099" s="735" t="s">
        <v>482</v>
      </c>
      <c r="D2099" s="735"/>
      <c r="E2099" s="737">
        <f t="shared" ref="E2099:E2100" si="640">+E2098</f>
        <v>2</v>
      </c>
      <c r="F2099" s="738" t="s">
        <v>363</v>
      </c>
      <c r="G2099" s="739">
        <v>560</v>
      </c>
      <c r="H2099" s="748">
        <f t="shared" si="636"/>
        <v>1120</v>
      </c>
      <c r="I2099" s="741">
        <v>35</v>
      </c>
      <c r="J2099" s="749">
        <f t="shared" si="637"/>
        <v>70</v>
      </c>
      <c r="K2099" s="739">
        <f t="shared" si="638"/>
        <v>1190</v>
      </c>
      <c r="L2099" s="1079"/>
      <c r="M2099" s="743"/>
      <c r="N2099" s="744"/>
      <c r="O2099" s="745"/>
      <c r="P2099" s="737"/>
      <c r="Q2099" s="743"/>
      <c r="R2099" s="743"/>
      <c r="S2099" s="743"/>
    </row>
    <row r="2100" spans="1:19" s="746" customFormat="1" ht="24" customHeight="1">
      <c r="A2100" s="734"/>
      <c r="B2100" s="747" t="s">
        <v>469</v>
      </c>
      <c r="C2100" s="735" t="s">
        <v>483</v>
      </c>
      <c r="D2100" s="907"/>
      <c r="E2100" s="737">
        <f t="shared" si="640"/>
        <v>2</v>
      </c>
      <c r="F2100" s="738" t="s">
        <v>363</v>
      </c>
      <c r="G2100" s="739">
        <v>216</v>
      </c>
      <c r="H2100" s="748">
        <f t="shared" si="636"/>
        <v>432</v>
      </c>
      <c r="I2100" s="741">
        <v>35</v>
      </c>
      <c r="J2100" s="749">
        <f t="shared" si="637"/>
        <v>70</v>
      </c>
      <c r="K2100" s="739">
        <f t="shared" si="638"/>
        <v>502</v>
      </c>
      <c r="L2100" s="1079"/>
      <c r="M2100" s="743"/>
      <c r="N2100" s="744"/>
      <c r="O2100" s="745"/>
      <c r="P2100" s="737"/>
      <c r="Q2100" s="743"/>
      <c r="R2100" s="743"/>
      <c r="S2100" s="743"/>
    </row>
    <row r="2101" spans="1:19" s="746" customFormat="1" ht="24" customHeight="1">
      <c r="A2101" s="734"/>
      <c r="B2101" s="747"/>
      <c r="C2101" s="735"/>
      <c r="D2101" s="907"/>
      <c r="E2101" s="737"/>
      <c r="F2101" s="738"/>
      <c r="G2101" s="739">
        <v>0</v>
      </c>
      <c r="H2101" s="748">
        <f t="shared" si="636"/>
        <v>0</v>
      </c>
      <c r="I2101" s="741">
        <v>0</v>
      </c>
      <c r="J2101" s="749">
        <f t="shared" si="637"/>
        <v>0</v>
      </c>
      <c r="K2101" s="739">
        <f t="shared" si="638"/>
        <v>0</v>
      </c>
      <c r="L2101" s="1079"/>
      <c r="M2101" s="743"/>
      <c r="N2101" s="744"/>
      <c r="O2101" s="745"/>
      <c r="P2101" s="737"/>
      <c r="Q2101" s="743"/>
      <c r="R2101" s="743"/>
      <c r="S2101" s="743"/>
    </row>
    <row r="2102" spans="1:19" s="746" customFormat="1" ht="24" customHeight="1">
      <c r="A2102" s="734"/>
      <c r="B2102" s="747" t="s">
        <v>484</v>
      </c>
      <c r="C2102" s="735" t="s">
        <v>485</v>
      </c>
      <c r="D2102" s="907"/>
      <c r="E2102" s="737">
        <v>2</v>
      </c>
      <c r="F2102" s="738" t="s">
        <v>363</v>
      </c>
      <c r="G2102" s="739">
        <v>285</v>
      </c>
      <c r="H2102" s="748">
        <f t="shared" si="636"/>
        <v>570</v>
      </c>
      <c r="I2102" s="741">
        <v>75</v>
      </c>
      <c r="J2102" s="749">
        <f t="shared" ref="J2102" si="641">I2102*E2102</f>
        <v>150</v>
      </c>
      <c r="K2102" s="739">
        <f t="shared" ref="K2102" si="642">H2102+J2102</f>
        <v>720</v>
      </c>
      <c r="L2102" s="1093"/>
      <c r="M2102" s="743"/>
      <c r="N2102" s="744"/>
      <c r="O2102" s="745"/>
      <c r="P2102" s="737"/>
      <c r="Q2102" s="743"/>
      <c r="R2102" s="743"/>
      <c r="S2102" s="743"/>
    </row>
    <row r="2103" spans="1:19" s="746" customFormat="1" ht="24" customHeight="1">
      <c r="A2103" s="734"/>
      <c r="B2103" s="747" t="s">
        <v>469</v>
      </c>
      <c r="C2103" s="735" t="s">
        <v>486</v>
      </c>
      <c r="D2103" s="907"/>
      <c r="E2103" s="737">
        <v>2</v>
      </c>
      <c r="F2103" s="738" t="s">
        <v>363</v>
      </c>
      <c r="G2103" s="739">
        <v>552</v>
      </c>
      <c r="H2103" s="748">
        <f t="shared" si="636"/>
        <v>1104</v>
      </c>
      <c r="I2103" s="741">
        <v>25</v>
      </c>
      <c r="J2103" s="749">
        <f t="shared" si="637"/>
        <v>50</v>
      </c>
      <c r="K2103" s="739">
        <f t="shared" si="638"/>
        <v>1154</v>
      </c>
      <c r="L2103" s="1079"/>
      <c r="M2103" s="743"/>
      <c r="N2103" s="744"/>
      <c r="O2103" s="745"/>
      <c r="P2103" s="737"/>
      <c r="Q2103" s="743"/>
      <c r="R2103" s="743"/>
      <c r="S2103" s="743"/>
    </row>
    <row r="2104" spans="1:19" s="746" customFormat="1" ht="21">
      <c r="A2104" s="734"/>
      <c r="B2104" s="747"/>
      <c r="C2104" s="735"/>
      <c r="D2104" s="907"/>
      <c r="E2104" s="737"/>
      <c r="F2104" s="738"/>
      <c r="G2104" s="739">
        <v>0</v>
      </c>
      <c r="H2104" s="748">
        <f t="shared" si="636"/>
        <v>0</v>
      </c>
      <c r="I2104" s="741">
        <v>0</v>
      </c>
      <c r="J2104" s="749">
        <f t="shared" si="637"/>
        <v>0</v>
      </c>
      <c r="K2104" s="739">
        <f t="shared" si="638"/>
        <v>0</v>
      </c>
      <c r="L2104" s="1079"/>
      <c r="M2104" s="743"/>
      <c r="N2104" s="744"/>
      <c r="O2104" s="745"/>
      <c r="P2104" s="737"/>
      <c r="Q2104" s="743"/>
      <c r="R2104" s="743"/>
      <c r="S2104" s="743"/>
    </row>
    <row r="2105" spans="1:19" s="746" customFormat="1" ht="24" customHeight="1">
      <c r="A2105" s="734"/>
      <c r="B2105" s="747" t="s">
        <v>469</v>
      </c>
      <c r="C2105" s="735" t="s">
        <v>487</v>
      </c>
      <c r="D2105" s="907"/>
      <c r="E2105" s="737">
        <v>2</v>
      </c>
      <c r="F2105" s="738" t="s">
        <v>363</v>
      </c>
      <c r="G2105" s="739">
        <v>2855</v>
      </c>
      <c r="H2105" s="748">
        <f t="shared" ref="H2105" si="643">E2105*G2105</f>
        <v>5710</v>
      </c>
      <c r="I2105" s="741">
        <v>1432</v>
      </c>
      <c r="J2105" s="749">
        <f t="shared" ref="J2105" si="644">I2105*E2105</f>
        <v>2864</v>
      </c>
      <c r="K2105" s="739">
        <f t="shared" ref="K2105" si="645">H2105+J2105</f>
        <v>8574</v>
      </c>
      <c r="L2105" s="1079"/>
      <c r="M2105" s="743"/>
      <c r="N2105" s="744"/>
      <c r="O2105" s="745"/>
      <c r="P2105" s="737"/>
      <c r="Q2105" s="743"/>
      <c r="R2105" s="743"/>
      <c r="S2105" s="743"/>
    </row>
    <row r="2106" spans="1:19" s="746" customFormat="1" ht="24" customHeight="1">
      <c r="A2106" s="734"/>
      <c r="B2106" s="747"/>
      <c r="C2106" s="735" t="s">
        <v>488</v>
      </c>
      <c r="D2106" s="907"/>
      <c r="E2106" s="737"/>
      <c r="F2106" s="738"/>
      <c r="G2106" s="739">
        <v>0</v>
      </c>
      <c r="H2106" s="740"/>
      <c r="I2106" s="741"/>
      <c r="J2106" s="742"/>
      <c r="K2106" s="1092"/>
      <c r="L2106" s="1079"/>
      <c r="M2106" s="743"/>
      <c r="N2106" s="744"/>
      <c r="O2106" s="745"/>
      <c r="P2106" s="737"/>
      <c r="Q2106" s="743"/>
      <c r="R2106" s="743"/>
      <c r="S2106" s="743"/>
    </row>
    <row r="2107" spans="1:19" s="746" customFormat="1" ht="24" customHeight="1">
      <c r="A2107" s="734"/>
      <c r="B2107" s="751" t="s">
        <v>1070</v>
      </c>
      <c r="C2107" s="735"/>
      <c r="D2107" s="907"/>
      <c r="E2107" s="737"/>
      <c r="F2107" s="738"/>
      <c r="G2107" s="739">
        <v>0</v>
      </c>
      <c r="H2107" s="740"/>
      <c r="I2107" s="741"/>
      <c r="J2107" s="742"/>
      <c r="K2107" s="1092"/>
      <c r="L2107" s="1079"/>
      <c r="M2107" s="743"/>
      <c r="N2107" s="744"/>
      <c r="O2107" s="745"/>
      <c r="P2107" s="737"/>
      <c r="Q2107" s="743"/>
      <c r="R2107" s="743"/>
      <c r="S2107" s="743"/>
    </row>
    <row r="2108" spans="1:19" s="746" customFormat="1" ht="24" customHeight="1">
      <c r="A2108" s="734"/>
      <c r="B2108" s="747" t="s">
        <v>469</v>
      </c>
      <c r="C2108" s="735" t="s">
        <v>486</v>
      </c>
      <c r="D2108" s="907"/>
      <c r="E2108" s="737">
        <v>0</v>
      </c>
      <c r="F2108" s="738" t="s">
        <v>363</v>
      </c>
      <c r="G2108" s="739">
        <v>552</v>
      </c>
      <c r="H2108" s="748">
        <f>SUM(E2108*G2108)</f>
        <v>0</v>
      </c>
      <c r="I2108" s="741">
        <v>25</v>
      </c>
      <c r="J2108" s="749">
        <f t="shared" ref="J2108" si="646">SUM(E2108*I2108)</f>
        <v>0</v>
      </c>
      <c r="K2108" s="739">
        <f t="shared" ref="K2108" si="647">SUM(H2108+J2108)</f>
        <v>0</v>
      </c>
      <c r="L2108" s="1079"/>
      <c r="M2108" s="743"/>
      <c r="N2108" s="744"/>
      <c r="O2108" s="745"/>
      <c r="P2108" s="737"/>
      <c r="Q2108" s="743"/>
      <c r="R2108" s="743"/>
      <c r="S2108" s="743"/>
    </row>
    <row r="2109" spans="1:19" s="746" customFormat="1" ht="24" customHeight="1">
      <c r="A2109" s="734"/>
      <c r="B2109" s="747" t="s">
        <v>484</v>
      </c>
      <c r="C2109" s="735" t="s">
        <v>485</v>
      </c>
      <c r="D2109" s="907"/>
      <c r="E2109" s="737">
        <v>0</v>
      </c>
      <c r="F2109" s="738" t="s">
        <v>363</v>
      </c>
      <c r="G2109" s="739">
        <v>0</v>
      </c>
      <c r="H2109" s="748">
        <f>SUM(E2109*G2109)</f>
        <v>0</v>
      </c>
      <c r="I2109" s="741">
        <v>75</v>
      </c>
      <c r="J2109" s="749">
        <f t="shared" ref="J2109" si="648">I2109*E2109</f>
        <v>0</v>
      </c>
      <c r="K2109" s="739">
        <f t="shared" ref="K2109" si="649">H2109+J2109</f>
        <v>0</v>
      </c>
      <c r="L2109" s="1093"/>
      <c r="M2109" s="743"/>
      <c r="N2109" s="744"/>
      <c r="O2109" s="745"/>
      <c r="P2109" s="737"/>
      <c r="Q2109" s="743"/>
      <c r="R2109" s="743"/>
      <c r="S2109" s="743"/>
    </row>
    <row r="2110" spans="1:19" s="746" customFormat="1" ht="24" customHeight="1">
      <c r="A2110" s="734"/>
      <c r="B2110" s="750"/>
      <c r="C2110" s="736"/>
      <c r="D2110" s="907"/>
      <c r="E2110" s="737"/>
      <c r="F2110" s="738"/>
      <c r="G2110" s="739">
        <v>0</v>
      </c>
      <c r="H2110" s="740"/>
      <c r="I2110" s="741"/>
      <c r="J2110" s="742"/>
      <c r="K2110" s="1092"/>
      <c r="L2110" s="1079"/>
      <c r="M2110" s="743"/>
      <c r="N2110" s="744"/>
      <c r="O2110" s="745"/>
      <c r="P2110" s="737"/>
      <c r="Q2110" s="743"/>
      <c r="R2110" s="743"/>
      <c r="S2110" s="743"/>
    </row>
    <row r="2111" spans="1:19" s="746" customFormat="1" ht="24" customHeight="1">
      <c r="A2111" s="734"/>
      <c r="B2111" s="735" t="s">
        <v>1071</v>
      </c>
      <c r="C2111" s="736"/>
      <c r="D2111" s="907"/>
      <c r="E2111" s="737"/>
      <c r="F2111" s="738"/>
      <c r="G2111" s="739">
        <v>0</v>
      </c>
      <c r="H2111" s="740"/>
      <c r="I2111" s="741"/>
      <c r="J2111" s="742"/>
      <c r="K2111" s="1092"/>
      <c r="L2111" s="1079"/>
      <c r="M2111" s="743"/>
      <c r="N2111" s="744"/>
      <c r="O2111" s="745"/>
      <c r="P2111" s="737"/>
      <c r="Q2111" s="743"/>
      <c r="R2111" s="743"/>
      <c r="S2111" s="743"/>
    </row>
    <row r="2112" spans="1:19" s="746" customFormat="1" ht="24" customHeight="1">
      <c r="A2112" s="734"/>
      <c r="B2112" s="747" t="s">
        <v>469</v>
      </c>
      <c r="C2112" s="735" t="s">
        <v>474</v>
      </c>
      <c r="D2112" s="907"/>
      <c r="E2112" s="737">
        <v>2</v>
      </c>
      <c r="F2112" s="738" t="s">
        <v>363</v>
      </c>
      <c r="G2112" s="739">
        <v>644</v>
      </c>
      <c r="H2112" s="748">
        <f t="shared" ref="H2112:H2129" si="650">SUM(E2112*G2112)</f>
        <v>1288</v>
      </c>
      <c r="I2112" s="741">
        <v>450</v>
      </c>
      <c r="J2112" s="749">
        <f t="shared" ref="J2112:J2129" si="651">SUM(E2112*I2112)</f>
        <v>900</v>
      </c>
      <c r="K2112" s="739">
        <f t="shared" ref="K2112:K2129" si="652">SUM(H2112+J2112)</f>
        <v>2188</v>
      </c>
      <c r="L2112" s="1079"/>
      <c r="M2112" s="743"/>
      <c r="N2112" s="744"/>
      <c r="O2112" s="745"/>
      <c r="P2112" s="737"/>
      <c r="Q2112" s="743"/>
      <c r="R2112" s="743"/>
      <c r="S2112" s="743"/>
    </row>
    <row r="2113" spans="1:19" s="746" customFormat="1" ht="24" customHeight="1">
      <c r="A2113" s="734"/>
      <c r="B2113" s="747" t="s">
        <v>469</v>
      </c>
      <c r="C2113" s="735" t="s">
        <v>489</v>
      </c>
      <c r="D2113" s="907"/>
      <c r="E2113" s="737">
        <f>+E2112</f>
        <v>2</v>
      </c>
      <c r="F2113" s="738" t="s">
        <v>363</v>
      </c>
      <c r="G2113" s="739">
        <v>1192</v>
      </c>
      <c r="H2113" s="748">
        <f t="shared" si="650"/>
        <v>2384</v>
      </c>
      <c r="I2113" s="741">
        <v>200</v>
      </c>
      <c r="J2113" s="749">
        <f t="shared" si="651"/>
        <v>400</v>
      </c>
      <c r="K2113" s="739">
        <f t="shared" si="652"/>
        <v>2784</v>
      </c>
      <c r="L2113" s="1079"/>
      <c r="M2113" s="743"/>
      <c r="N2113" s="744"/>
      <c r="O2113" s="745"/>
      <c r="P2113" s="737"/>
      <c r="Q2113" s="743"/>
      <c r="R2113" s="743"/>
      <c r="S2113" s="743"/>
    </row>
    <row r="2114" spans="1:19" s="746" customFormat="1" ht="24" customHeight="1">
      <c r="A2114" s="734"/>
      <c r="B2114" s="747" t="s">
        <v>469</v>
      </c>
      <c r="C2114" s="735" t="s">
        <v>476</v>
      </c>
      <c r="D2114" s="907"/>
      <c r="E2114" s="737">
        <f t="shared" ref="E2114:E2117" si="653">+E2113</f>
        <v>2</v>
      </c>
      <c r="F2114" s="738" t="s">
        <v>363</v>
      </c>
      <c r="G2114" s="739">
        <v>336</v>
      </c>
      <c r="H2114" s="748">
        <f t="shared" si="650"/>
        <v>672</v>
      </c>
      <c r="I2114" s="741">
        <v>0</v>
      </c>
      <c r="J2114" s="749">
        <f t="shared" si="651"/>
        <v>0</v>
      </c>
      <c r="K2114" s="739">
        <f t="shared" si="652"/>
        <v>672</v>
      </c>
      <c r="L2114" s="1079"/>
      <c r="M2114" s="743"/>
      <c r="N2114" s="744"/>
      <c r="O2114" s="745"/>
      <c r="P2114" s="737"/>
      <c r="Q2114" s="743"/>
      <c r="R2114" s="743"/>
      <c r="S2114" s="743"/>
    </row>
    <row r="2115" spans="1:19" s="746" customFormat="1" ht="24" customHeight="1">
      <c r="A2115" s="734"/>
      <c r="B2115" s="747" t="s">
        <v>469</v>
      </c>
      <c r="C2115" s="735" t="s">
        <v>490</v>
      </c>
      <c r="D2115" s="907"/>
      <c r="E2115" s="737">
        <f t="shared" si="653"/>
        <v>2</v>
      </c>
      <c r="F2115" s="738" t="s">
        <v>363</v>
      </c>
      <c r="G2115" s="739">
        <v>688</v>
      </c>
      <c r="H2115" s="748">
        <f t="shared" si="650"/>
        <v>1376</v>
      </c>
      <c r="I2115" s="741">
        <v>0</v>
      </c>
      <c r="J2115" s="749">
        <f t="shared" si="651"/>
        <v>0</v>
      </c>
      <c r="K2115" s="739">
        <f t="shared" si="652"/>
        <v>1376</v>
      </c>
      <c r="L2115" s="1079"/>
      <c r="M2115" s="743"/>
      <c r="N2115" s="744"/>
      <c r="O2115" s="745"/>
      <c r="P2115" s="737"/>
      <c r="Q2115" s="743"/>
      <c r="R2115" s="743"/>
      <c r="S2115" s="743"/>
    </row>
    <row r="2116" spans="1:19" s="746" customFormat="1" ht="24" customHeight="1">
      <c r="A2116" s="734"/>
      <c r="B2116" s="747" t="s">
        <v>469</v>
      </c>
      <c r="C2116" s="735" t="s">
        <v>478</v>
      </c>
      <c r="D2116" s="735"/>
      <c r="E2116" s="737">
        <f t="shared" si="653"/>
        <v>2</v>
      </c>
      <c r="F2116" s="738" t="s">
        <v>363</v>
      </c>
      <c r="G2116" s="739">
        <v>176</v>
      </c>
      <c r="H2116" s="748">
        <f t="shared" si="650"/>
        <v>352</v>
      </c>
      <c r="I2116" s="741">
        <v>0</v>
      </c>
      <c r="J2116" s="749">
        <f t="shared" si="651"/>
        <v>0</v>
      </c>
      <c r="K2116" s="739">
        <f t="shared" si="652"/>
        <v>352</v>
      </c>
      <c r="L2116" s="1079"/>
      <c r="M2116" s="743"/>
      <c r="N2116" s="744"/>
      <c r="O2116" s="745"/>
      <c r="P2116" s="737"/>
      <c r="Q2116" s="743"/>
      <c r="R2116" s="743"/>
      <c r="S2116" s="743"/>
    </row>
    <row r="2117" spans="1:19" s="746" customFormat="1" ht="24" customHeight="1">
      <c r="A2117" s="734"/>
      <c r="B2117" s="747" t="s">
        <v>469</v>
      </c>
      <c r="C2117" s="735" t="s">
        <v>491</v>
      </c>
      <c r="D2117" s="907"/>
      <c r="E2117" s="737">
        <f t="shared" si="653"/>
        <v>2</v>
      </c>
      <c r="F2117" s="738" t="s">
        <v>363</v>
      </c>
      <c r="G2117" s="739">
        <v>216</v>
      </c>
      <c r="H2117" s="748">
        <f t="shared" si="650"/>
        <v>432</v>
      </c>
      <c r="I2117" s="741">
        <v>35</v>
      </c>
      <c r="J2117" s="749">
        <f t="shared" si="651"/>
        <v>70</v>
      </c>
      <c r="K2117" s="739">
        <f t="shared" si="652"/>
        <v>502</v>
      </c>
      <c r="L2117" s="1079"/>
      <c r="M2117" s="743"/>
      <c r="N2117" s="744"/>
      <c r="O2117" s="745"/>
      <c r="P2117" s="737"/>
      <c r="Q2117" s="743"/>
      <c r="R2117" s="743"/>
      <c r="S2117" s="743"/>
    </row>
    <row r="2118" spans="1:19" s="746" customFormat="1" ht="24" customHeight="1">
      <c r="A2118" s="734"/>
      <c r="B2118" s="750"/>
      <c r="C2118" s="736"/>
      <c r="D2118" s="907"/>
      <c r="E2118" s="737"/>
      <c r="F2118" s="738"/>
      <c r="G2118" s="739">
        <v>0</v>
      </c>
      <c r="H2118" s="748">
        <f t="shared" si="650"/>
        <v>0</v>
      </c>
      <c r="I2118" s="741">
        <v>0</v>
      </c>
      <c r="J2118" s="749">
        <f t="shared" si="651"/>
        <v>0</v>
      </c>
      <c r="K2118" s="739">
        <f t="shared" si="652"/>
        <v>0</v>
      </c>
      <c r="L2118" s="1079"/>
      <c r="M2118" s="743"/>
      <c r="N2118" s="744"/>
      <c r="O2118" s="745"/>
      <c r="P2118" s="737"/>
      <c r="Q2118" s="743"/>
      <c r="R2118" s="743"/>
      <c r="S2118" s="743"/>
    </row>
    <row r="2119" spans="1:19" s="746" customFormat="1" ht="24" customHeight="1">
      <c r="A2119" s="734"/>
      <c r="B2119" s="747" t="s">
        <v>469</v>
      </c>
      <c r="C2119" s="735" t="s">
        <v>492</v>
      </c>
      <c r="D2119" s="907"/>
      <c r="E2119" s="737">
        <v>2</v>
      </c>
      <c r="F2119" s="738" t="s">
        <v>363</v>
      </c>
      <c r="G2119" s="739">
        <v>4060</v>
      </c>
      <c r="H2119" s="748">
        <f t="shared" si="650"/>
        <v>8120</v>
      </c>
      <c r="I2119" s="741">
        <v>0</v>
      </c>
      <c r="J2119" s="749">
        <f t="shared" si="651"/>
        <v>0</v>
      </c>
      <c r="K2119" s="739">
        <f t="shared" si="652"/>
        <v>8120</v>
      </c>
      <c r="L2119" s="1079"/>
      <c r="M2119" s="743"/>
      <c r="N2119" s="744"/>
      <c r="O2119" s="745"/>
      <c r="P2119" s="737"/>
      <c r="Q2119" s="743"/>
      <c r="R2119" s="743"/>
      <c r="S2119" s="743"/>
    </row>
    <row r="2120" spans="1:19" s="746" customFormat="1" ht="24" customHeight="1">
      <c r="A2120" s="734"/>
      <c r="B2120" s="747" t="s">
        <v>469</v>
      </c>
      <c r="C2120" s="735" t="s">
        <v>481</v>
      </c>
      <c r="D2120" s="907"/>
      <c r="E2120" s="737">
        <f>+E2119</f>
        <v>2</v>
      </c>
      <c r="F2120" s="738" t="s">
        <v>363</v>
      </c>
      <c r="G2120" s="739">
        <v>4288</v>
      </c>
      <c r="H2120" s="748">
        <f t="shared" si="650"/>
        <v>8576</v>
      </c>
      <c r="I2120" s="741">
        <v>0</v>
      </c>
      <c r="J2120" s="749">
        <f t="shared" si="651"/>
        <v>0</v>
      </c>
      <c r="K2120" s="739">
        <f t="shared" si="652"/>
        <v>8576</v>
      </c>
      <c r="L2120" s="1079"/>
      <c r="M2120" s="743"/>
      <c r="N2120" s="744"/>
      <c r="O2120" s="745"/>
      <c r="P2120" s="737"/>
      <c r="Q2120" s="743"/>
      <c r="R2120" s="743"/>
      <c r="S2120" s="743"/>
    </row>
    <row r="2121" spans="1:19" s="746" customFormat="1" ht="24" customHeight="1">
      <c r="A2121" s="734"/>
      <c r="B2121" s="747" t="s">
        <v>469</v>
      </c>
      <c r="C2121" s="735" t="s">
        <v>482</v>
      </c>
      <c r="D2121" s="735"/>
      <c r="E2121" s="737">
        <f t="shared" ref="E2121:E2122" si="654">+E2120</f>
        <v>2</v>
      </c>
      <c r="F2121" s="738" t="s">
        <v>363</v>
      </c>
      <c r="G2121" s="739">
        <v>560</v>
      </c>
      <c r="H2121" s="748">
        <f t="shared" si="650"/>
        <v>1120</v>
      </c>
      <c r="I2121" s="741">
        <v>35</v>
      </c>
      <c r="J2121" s="749">
        <f t="shared" si="651"/>
        <v>70</v>
      </c>
      <c r="K2121" s="739">
        <f t="shared" si="652"/>
        <v>1190</v>
      </c>
      <c r="L2121" s="1079"/>
      <c r="M2121" s="743"/>
      <c r="N2121" s="744"/>
      <c r="O2121" s="745"/>
      <c r="P2121" s="737"/>
      <c r="Q2121" s="743"/>
      <c r="R2121" s="743"/>
      <c r="S2121" s="743"/>
    </row>
    <row r="2122" spans="1:19" s="746" customFormat="1" ht="24" customHeight="1">
      <c r="A2122" s="734"/>
      <c r="B2122" s="747" t="s">
        <v>469</v>
      </c>
      <c r="C2122" s="735" t="s">
        <v>493</v>
      </c>
      <c r="D2122" s="907"/>
      <c r="E2122" s="737">
        <f t="shared" si="654"/>
        <v>2</v>
      </c>
      <c r="F2122" s="738" t="s">
        <v>363</v>
      </c>
      <c r="G2122" s="739">
        <v>216</v>
      </c>
      <c r="H2122" s="748">
        <f t="shared" si="650"/>
        <v>432</v>
      </c>
      <c r="I2122" s="741">
        <v>35</v>
      </c>
      <c r="J2122" s="749">
        <f t="shared" si="651"/>
        <v>70</v>
      </c>
      <c r="K2122" s="739">
        <f t="shared" si="652"/>
        <v>502</v>
      </c>
      <c r="L2122" s="1079"/>
      <c r="M2122" s="743"/>
      <c r="N2122" s="744"/>
      <c r="O2122" s="745"/>
      <c r="P2122" s="737"/>
      <c r="Q2122" s="743"/>
      <c r="R2122" s="743"/>
      <c r="S2122" s="743"/>
    </row>
    <row r="2123" spans="1:19" s="746" customFormat="1" ht="24" customHeight="1">
      <c r="A2123" s="734"/>
      <c r="B2123" s="747"/>
      <c r="C2123" s="735"/>
      <c r="D2123" s="907"/>
      <c r="E2123" s="737"/>
      <c r="F2123" s="738"/>
      <c r="G2123" s="739">
        <v>0</v>
      </c>
      <c r="H2123" s="748">
        <f t="shared" si="650"/>
        <v>0</v>
      </c>
      <c r="I2123" s="741">
        <v>0</v>
      </c>
      <c r="J2123" s="749">
        <f t="shared" si="651"/>
        <v>0</v>
      </c>
      <c r="K2123" s="739">
        <f t="shared" si="652"/>
        <v>0</v>
      </c>
      <c r="L2123" s="1079"/>
      <c r="M2123" s="743"/>
      <c r="N2123" s="744"/>
      <c r="O2123" s="745"/>
      <c r="P2123" s="737"/>
      <c r="Q2123" s="743"/>
      <c r="R2123" s="743"/>
      <c r="S2123" s="743"/>
    </row>
    <row r="2124" spans="1:19" s="746" customFormat="1" ht="24" customHeight="1">
      <c r="A2124" s="734"/>
      <c r="B2124" s="747" t="s">
        <v>484</v>
      </c>
      <c r="C2124" s="735" t="s">
        <v>485</v>
      </c>
      <c r="D2124" s="907"/>
      <c r="E2124" s="737">
        <v>2</v>
      </c>
      <c r="F2124" s="738" t="s">
        <v>363</v>
      </c>
      <c r="G2124" s="739">
        <v>285</v>
      </c>
      <c r="H2124" s="748">
        <f t="shared" si="650"/>
        <v>570</v>
      </c>
      <c r="I2124" s="741">
        <v>75</v>
      </c>
      <c r="J2124" s="749">
        <f t="shared" ref="J2124" si="655">I2124*E2124</f>
        <v>150</v>
      </c>
      <c r="K2124" s="739">
        <f t="shared" ref="K2124" si="656">H2124+J2124</f>
        <v>720</v>
      </c>
      <c r="L2124" s="1093"/>
      <c r="M2124" s="743"/>
      <c r="N2124" s="744"/>
      <c r="O2124" s="745"/>
      <c r="P2124" s="737"/>
      <c r="Q2124" s="743"/>
      <c r="R2124" s="743"/>
      <c r="S2124" s="743"/>
    </row>
    <row r="2125" spans="1:19" s="746" customFormat="1" ht="24" customHeight="1">
      <c r="A2125" s="734"/>
      <c r="B2125" s="747" t="s">
        <v>469</v>
      </c>
      <c r="C2125" s="735" t="s">
        <v>486</v>
      </c>
      <c r="D2125" s="907"/>
      <c r="E2125" s="737">
        <v>2</v>
      </c>
      <c r="F2125" s="738" t="s">
        <v>363</v>
      </c>
      <c r="G2125" s="739">
        <v>552</v>
      </c>
      <c r="H2125" s="748">
        <f t="shared" si="650"/>
        <v>1104</v>
      </c>
      <c r="I2125" s="741">
        <v>25</v>
      </c>
      <c r="J2125" s="749">
        <f t="shared" ref="J2125" si="657">SUM(E2125*I2125)</f>
        <v>50</v>
      </c>
      <c r="K2125" s="739">
        <f t="shared" ref="K2125" si="658">SUM(H2125+J2125)</f>
        <v>1154</v>
      </c>
      <c r="L2125" s="1079"/>
      <c r="M2125" s="743"/>
      <c r="N2125" s="744"/>
      <c r="O2125" s="745"/>
      <c r="P2125" s="737"/>
      <c r="Q2125" s="743"/>
      <c r="R2125" s="743"/>
      <c r="S2125" s="743"/>
    </row>
    <row r="2126" spans="1:19" s="746" customFormat="1" ht="24" customHeight="1">
      <c r="A2126" s="734"/>
      <c r="B2126" s="747"/>
      <c r="C2126" s="735"/>
      <c r="D2126" s="907"/>
      <c r="E2126" s="737"/>
      <c r="F2126" s="738"/>
      <c r="G2126" s="739">
        <v>0</v>
      </c>
      <c r="H2126" s="748">
        <f t="shared" si="650"/>
        <v>0</v>
      </c>
      <c r="I2126" s="741">
        <v>0</v>
      </c>
      <c r="J2126" s="749">
        <f t="shared" si="651"/>
        <v>0</v>
      </c>
      <c r="K2126" s="739">
        <f t="shared" si="652"/>
        <v>0</v>
      </c>
      <c r="L2126" s="1079"/>
      <c r="M2126" s="743"/>
      <c r="N2126" s="744"/>
      <c r="O2126" s="745"/>
      <c r="P2126" s="737"/>
      <c r="Q2126" s="743"/>
      <c r="R2126" s="743"/>
      <c r="S2126" s="743"/>
    </row>
    <row r="2127" spans="1:19" s="746" customFormat="1" ht="24" customHeight="1">
      <c r="A2127" s="734"/>
      <c r="B2127" s="747" t="s">
        <v>469</v>
      </c>
      <c r="C2127" s="735" t="s">
        <v>487</v>
      </c>
      <c r="D2127" s="907"/>
      <c r="E2127" s="737">
        <v>2</v>
      </c>
      <c r="F2127" s="738" t="s">
        <v>363</v>
      </c>
      <c r="G2127" s="739">
        <v>2855</v>
      </c>
      <c r="H2127" s="748">
        <f t="shared" ref="H2127" si="659">E2127*G2127</f>
        <v>5710</v>
      </c>
      <c r="I2127" s="741">
        <v>1432</v>
      </c>
      <c r="J2127" s="749">
        <f t="shared" ref="J2127" si="660">I2127*E2127</f>
        <v>2864</v>
      </c>
      <c r="K2127" s="739">
        <f t="shared" ref="K2127" si="661">H2127+J2127</f>
        <v>8574</v>
      </c>
      <c r="L2127" s="1079"/>
      <c r="M2127" s="743"/>
      <c r="N2127" s="744"/>
      <c r="O2127" s="745"/>
      <c r="P2127" s="737"/>
      <c r="Q2127" s="743"/>
      <c r="R2127" s="743"/>
      <c r="S2127" s="743"/>
    </row>
    <row r="2128" spans="1:19" s="746" customFormat="1" ht="24" customHeight="1">
      <c r="A2128" s="734"/>
      <c r="B2128" s="747"/>
      <c r="C2128" s="735" t="s">
        <v>488</v>
      </c>
      <c r="D2128" s="907"/>
      <c r="E2128" s="737"/>
      <c r="F2128" s="738"/>
      <c r="G2128" s="739">
        <v>0</v>
      </c>
      <c r="H2128" s="748">
        <f t="shared" si="650"/>
        <v>0</v>
      </c>
      <c r="I2128" s="741">
        <v>0</v>
      </c>
      <c r="J2128" s="749">
        <f t="shared" si="651"/>
        <v>0</v>
      </c>
      <c r="K2128" s="739">
        <f t="shared" si="652"/>
        <v>0</v>
      </c>
      <c r="L2128" s="1079"/>
      <c r="M2128" s="743"/>
      <c r="N2128" s="744"/>
      <c r="O2128" s="745"/>
      <c r="P2128" s="737"/>
      <c r="Q2128" s="743"/>
      <c r="R2128" s="743"/>
      <c r="S2128" s="743"/>
    </row>
    <row r="2129" spans="1:19" s="746" customFormat="1" ht="24" customHeight="1">
      <c r="A2129" s="734"/>
      <c r="B2129" s="747"/>
      <c r="C2129" s="735"/>
      <c r="D2129" s="907"/>
      <c r="E2129" s="737"/>
      <c r="F2129" s="738"/>
      <c r="G2129" s="739">
        <v>0</v>
      </c>
      <c r="H2129" s="748">
        <f t="shared" si="650"/>
        <v>0</v>
      </c>
      <c r="I2129" s="741">
        <v>0</v>
      </c>
      <c r="J2129" s="749">
        <f t="shared" si="651"/>
        <v>0</v>
      </c>
      <c r="K2129" s="739">
        <f t="shared" si="652"/>
        <v>0</v>
      </c>
      <c r="L2129" s="1079"/>
      <c r="M2129" s="743"/>
      <c r="N2129" s="744"/>
      <c r="O2129" s="745"/>
      <c r="P2129" s="737"/>
      <c r="Q2129" s="743"/>
      <c r="R2129" s="743"/>
      <c r="S2129" s="743"/>
    </row>
    <row r="2130" spans="1:19" s="746" customFormat="1" ht="24" customHeight="1">
      <c r="A2130" s="734"/>
      <c r="B2130" s="751" t="s">
        <v>1070</v>
      </c>
      <c r="C2130" s="735"/>
      <c r="D2130" s="907"/>
      <c r="E2130" s="737"/>
      <c r="F2130" s="738"/>
      <c r="G2130" s="739">
        <v>0</v>
      </c>
      <c r="H2130" s="740"/>
      <c r="I2130" s="741"/>
      <c r="J2130" s="742"/>
      <c r="K2130" s="1092"/>
      <c r="L2130" s="1079"/>
      <c r="M2130" s="743"/>
      <c r="N2130" s="744"/>
      <c r="O2130" s="745"/>
      <c r="P2130" s="737"/>
      <c r="Q2130" s="743"/>
      <c r="R2130" s="743"/>
      <c r="S2130" s="743"/>
    </row>
    <row r="2131" spans="1:19" s="746" customFormat="1" ht="24" customHeight="1">
      <c r="A2131" s="729"/>
      <c r="B2131" s="747" t="s">
        <v>469</v>
      </c>
      <c r="C2131" s="735" t="s">
        <v>486</v>
      </c>
      <c r="D2131" s="907"/>
      <c r="E2131" s="737">
        <v>0</v>
      </c>
      <c r="F2131" s="738" t="s">
        <v>363</v>
      </c>
      <c r="G2131" s="739">
        <v>552</v>
      </c>
      <c r="H2131" s="748">
        <f>SUM(E2131*G2131)</f>
        <v>0</v>
      </c>
      <c r="I2131" s="741">
        <v>25</v>
      </c>
      <c r="J2131" s="749">
        <f t="shared" ref="J2131" si="662">SUM(E2131*I2131)</f>
        <v>0</v>
      </c>
      <c r="K2131" s="739">
        <f t="shared" ref="K2131" si="663">SUM(H2131+J2131)</f>
        <v>0</v>
      </c>
      <c r="L2131" s="1079"/>
      <c r="M2131" s="743"/>
      <c r="N2131" s="744"/>
      <c r="O2131" s="745"/>
      <c r="P2131" s="737"/>
      <c r="Q2131" s="743"/>
      <c r="R2131" s="743"/>
      <c r="S2131" s="743"/>
    </row>
    <row r="2132" spans="1:19" s="746" customFormat="1" ht="24" customHeight="1">
      <c r="A2132" s="729"/>
      <c r="B2132" s="747" t="s">
        <v>484</v>
      </c>
      <c r="C2132" s="735" t="s">
        <v>485</v>
      </c>
      <c r="D2132" s="907"/>
      <c r="E2132" s="737">
        <v>0</v>
      </c>
      <c r="F2132" s="738" t="s">
        <v>363</v>
      </c>
      <c r="G2132" s="739">
        <v>0</v>
      </c>
      <c r="H2132" s="748">
        <f>SUM(E2132*G2132)</f>
        <v>0</v>
      </c>
      <c r="I2132" s="741">
        <v>75</v>
      </c>
      <c r="J2132" s="749">
        <f t="shared" ref="J2132" si="664">I2132*E2132</f>
        <v>0</v>
      </c>
      <c r="K2132" s="739">
        <f t="shared" ref="K2132" si="665">H2132+J2132</f>
        <v>0</v>
      </c>
      <c r="L2132" s="1093"/>
      <c r="M2132" s="743"/>
      <c r="N2132" s="744"/>
      <c r="O2132" s="745"/>
      <c r="P2132" s="737"/>
      <c r="Q2132" s="743"/>
      <c r="R2132" s="743"/>
      <c r="S2132" s="743"/>
    </row>
    <row r="2133" spans="1:19" s="746" customFormat="1" ht="24" customHeight="1">
      <c r="A2133" s="729"/>
      <c r="B2133" s="747"/>
      <c r="C2133" s="735"/>
      <c r="D2133" s="907"/>
      <c r="E2133" s="737"/>
      <c r="F2133" s="738"/>
      <c r="G2133" s="739"/>
      <c r="H2133" s="748"/>
      <c r="I2133" s="741"/>
      <c r="J2133" s="749"/>
      <c r="K2133" s="739"/>
      <c r="L2133" s="1093"/>
      <c r="M2133" s="743"/>
      <c r="N2133" s="744"/>
      <c r="O2133" s="745"/>
      <c r="P2133" s="737"/>
      <c r="Q2133" s="743"/>
      <c r="R2133" s="743"/>
      <c r="S2133" s="743"/>
    </row>
    <row r="2134" spans="1:19" s="746" customFormat="1" ht="24" customHeight="1">
      <c r="A2134" s="734"/>
      <c r="B2134" s="735" t="s">
        <v>1071</v>
      </c>
      <c r="C2134" s="736"/>
      <c r="D2134" s="907"/>
      <c r="E2134" s="737"/>
      <c r="F2134" s="738"/>
      <c r="G2134" s="739">
        <v>0</v>
      </c>
      <c r="H2134" s="740"/>
      <c r="I2134" s="741"/>
      <c r="J2134" s="742"/>
      <c r="K2134" s="1092"/>
      <c r="L2134" s="1079"/>
      <c r="M2134" s="743"/>
      <c r="N2134" s="744"/>
      <c r="O2134" s="745"/>
      <c r="P2134" s="737"/>
      <c r="Q2134" s="743"/>
      <c r="R2134" s="743"/>
      <c r="S2134" s="743"/>
    </row>
    <row r="2135" spans="1:19" s="746" customFormat="1" ht="24" customHeight="1">
      <c r="A2135" s="734"/>
      <c r="B2135" s="747" t="s">
        <v>469</v>
      </c>
      <c r="C2135" s="735" t="s">
        <v>474</v>
      </c>
      <c r="D2135" s="907"/>
      <c r="E2135" s="737">
        <v>2</v>
      </c>
      <c r="F2135" s="738" t="s">
        <v>363</v>
      </c>
      <c r="G2135" s="739">
        <v>644</v>
      </c>
      <c r="H2135" s="748">
        <f t="shared" ref="H2135:H2149" si="666">SUM(E2135*G2135)</f>
        <v>1288</v>
      </c>
      <c r="I2135" s="741">
        <v>450</v>
      </c>
      <c r="J2135" s="749">
        <f t="shared" ref="J2135:J2146" si="667">SUM(E2135*I2135)</f>
        <v>900</v>
      </c>
      <c r="K2135" s="739">
        <f t="shared" ref="K2135:K2146" si="668">SUM(H2135+J2135)</f>
        <v>2188</v>
      </c>
      <c r="L2135" s="1079"/>
      <c r="M2135" s="743"/>
      <c r="N2135" s="744"/>
      <c r="O2135" s="745"/>
      <c r="P2135" s="737"/>
      <c r="Q2135" s="743"/>
      <c r="R2135" s="743"/>
      <c r="S2135" s="743"/>
    </row>
    <row r="2136" spans="1:19" s="746" customFormat="1" ht="24" customHeight="1">
      <c r="A2136" s="734"/>
      <c r="B2136" s="747" t="s">
        <v>469</v>
      </c>
      <c r="C2136" s="735" t="s">
        <v>489</v>
      </c>
      <c r="D2136" s="907"/>
      <c r="E2136" s="737">
        <f>+E2135</f>
        <v>2</v>
      </c>
      <c r="F2136" s="738" t="s">
        <v>363</v>
      </c>
      <c r="G2136" s="739">
        <v>1192</v>
      </c>
      <c r="H2136" s="748">
        <f t="shared" si="666"/>
        <v>2384</v>
      </c>
      <c r="I2136" s="741">
        <v>200</v>
      </c>
      <c r="J2136" s="749">
        <f t="shared" si="667"/>
        <v>400</v>
      </c>
      <c r="K2136" s="739">
        <f t="shared" si="668"/>
        <v>2784</v>
      </c>
      <c r="L2136" s="1079"/>
      <c r="M2136" s="743"/>
      <c r="N2136" s="744"/>
      <c r="O2136" s="745"/>
      <c r="P2136" s="737"/>
      <c r="Q2136" s="743"/>
      <c r="R2136" s="743"/>
      <c r="S2136" s="743"/>
    </row>
    <row r="2137" spans="1:19" s="746" customFormat="1" ht="24" customHeight="1">
      <c r="A2137" s="734"/>
      <c r="B2137" s="747" t="s">
        <v>469</v>
      </c>
      <c r="C2137" s="735" t="s">
        <v>476</v>
      </c>
      <c r="D2137" s="907"/>
      <c r="E2137" s="737">
        <f t="shared" ref="E2137:E2140" si="669">+E2136</f>
        <v>2</v>
      </c>
      <c r="F2137" s="738" t="s">
        <v>363</v>
      </c>
      <c r="G2137" s="739">
        <v>336</v>
      </c>
      <c r="H2137" s="748">
        <f t="shared" si="666"/>
        <v>672</v>
      </c>
      <c r="I2137" s="741">
        <v>0</v>
      </c>
      <c r="J2137" s="749">
        <f t="shared" si="667"/>
        <v>0</v>
      </c>
      <c r="K2137" s="739">
        <f t="shared" si="668"/>
        <v>672</v>
      </c>
      <c r="L2137" s="1079"/>
      <c r="M2137" s="743"/>
      <c r="N2137" s="744"/>
      <c r="O2137" s="745"/>
      <c r="P2137" s="737"/>
      <c r="Q2137" s="743"/>
      <c r="R2137" s="743"/>
      <c r="S2137" s="743"/>
    </row>
    <row r="2138" spans="1:19" s="746" customFormat="1" ht="24" customHeight="1">
      <c r="A2138" s="734"/>
      <c r="B2138" s="747" t="s">
        <v>469</v>
      </c>
      <c r="C2138" s="735" t="s">
        <v>490</v>
      </c>
      <c r="D2138" s="907"/>
      <c r="E2138" s="737">
        <f t="shared" si="669"/>
        <v>2</v>
      </c>
      <c r="F2138" s="738" t="s">
        <v>363</v>
      </c>
      <c r="G2138" s="739">
        <v>688</v>
      </c>
      <c r="H2138" s="748">
        <f t="shared" si="666"/>
        <v>1376</v>
      </c>
      <c r="I2138" s="741">
        <v>0</v>
      </c>
      <c r="J2138" s="749">
        <f t="shared" si="667"/>
        <v>0</v>
      </c>
      <c r="K2138" s="739">
        <f t="shared" si="668"/>
        <v>1376</v>
      </c>
      <c r="L2138" s="1079"/>
      <c r="M2138" s="743"/>
      <c r="N2138" s="744"/>
      <c r="O2138" s="745"/>
      <c r="P2138" s="737"/>
      <c r="Q2138" s="743"/>
      <c r="R2138" s="743"/>
      <c r="S2138" s="743"/>
    </row>
    <row r="2139" spans="1:19" s="746" customFormat="1" ht="24" customHeight="1">
      <c r="A2139" s="734"/>
      <c r="B2139" s="747" t="s">
        <v>469</v>
      </c>
      <c r="C2139" s="735" t="s">
        <v>478</v>
      </c>
      <c r="D2139" s="735"/>
      <c r="E2139" s="737">
        <f t="shared" si="669"/>
        <v>2</v>
      </c>
      <c r="F2139" s="738" t="s">
        <v>363</v>
      </c>
      <c r="G2139" s="739">
        <v>176</v>
      </c>
      <c r="H2139" s="748">
        <f t="shared" si="666"/>
        <v>352</v>
      </c>
      <c r="I2139" s="741">
        <v>0</v>
      </c>
      <c r="J2139" s="749">
        <f t="shared" si="667"/>
        <v>0</v>
      </c>
      <c r="K2139" s="739">
        <f t="shared" si="668"/>
        <v>352</v>
      </c>
      <c r="L2139" s="1079"/>
      <c r="M2139" s="743"/>
      <c r="N2139" s="744"/>
      <c r="O2139" s="745"/>
      <c r="P2139" s="737"/>
      <c r="Q2139" s="743"/>
      <c r="R2139" s="743"/>
      <c r="S2139" s="743"/>
    </row>
    <row r="2140" spans="1:19" s="746" customFormat="1" ht="24" customHeight="1">
      <c r="A2140" s="734"/>
      <c r="B2140" s="747" t="s">
        <v>469</v>
      </c>
      <c r="C2140" s="735" t="s">
        <v>491</v>
      </c>
      <c r="D2140" s="907"/>
      <c r="E2140" s="737">
        <f t="shared" si="669"/>
        <v>2</v>
      </c>
      <c r="F2140" s="738" t="s">
        <v>363</v>
      </c>
      <c r="G2140" s="739">
        <v>216</v>
      </c>
      <c r="H2140" s="748">
        <f t="shared" si="666"/>
        <v>432</v>
      </c>
      <c r="I2140" s="741">
        <v>35</v>
      </c>
      <c r="J2140" s="749">
        <f t="shared" si="667"/>
        <v>70</v>
      </c>
      <c r="K2140" s="739">
        <f t="shared" si="668"/>
        <v>502</v>
      </c>
      <c r="L2140" s="1079"/>
      <c r="M2140" s="743"/>
      <c r="N2140" s="744"/>
      <c r="O2140" s="745"/>
      <c r="P2140" s="737"/>
      <c r="Q2140" s="743"/>
      <c r="R2140" s="743"/>
      <c r="S2140" s="743"/>
    </row>
    <row r="2141" spans="1:19" s="746" customFormat="1" ht="24" customHeight="1">
      <c r="A2141" s="734"/>
      <c r="B2141" s="750"/>
      <c r="C2141" s="736"/>
      <c r="D2141" s="907"/>
      <c r="E2141" s="737"/>
      <c r="F2141" s="738"/>
      <c r="G2141" s="739">
        <v>0</v>
      </c>
      <c r="H2141" s="748">
        <f t="shared" si="666"/>
        <v>0</v>
      </c>
      <c r="I2141" s="741">
        <v>0</v>
      </c>
      <c r="J2141" s="749">
        <f t="shared" si="667"/>
        <v>0</v>
      </c>
      <c r="K2141" s="739">
        <f t="shared" si="668"/>
        <v>0</v>
      </c>
      <c r="L2141" s="1079"/>
      <c r="M2141" s="743"/>
      <c r="N2141" s="744"/>
      <c r="O2141" s="745"/>
      <c r="P2141" s="737"/>
      <c r="Q2141" s="743"/>
      <c r="R2141" s="743"/>
      <c r="S2141" s="743"/>
    </row>
    <row r="2142" spans="1:19" s="746" customFormat="1" ht="24" customHeight="1">
      <c r="A2142" s="734"/>
      <c r="B2142" s="747" t="s">
        <v>469</v>
      </c>
      <c r="C2142" s="735" t="s">
        <v>492</v>
      </c>
      <c r="D2142" s="907"/>
      <c r="E2142" s="737">
        <v>2</v>
      </c>
      <c r="F2142" s="738" t="s">
        <v>363</v>
      </c>
      <c r="G2142" s="739">
        <v>4060</v>
      </c>
      <c r="H2142" s="748">
        <f t="shared" si="666"/>
        <v>8120</v>
      </c>
      <c r="I2142" s="741">
        <v>0</v>
      </c>
      <c r="J2142" s="749">
        <f t="shared" si="667"/>
        <v>0</v>
      </c>
      <c r="K2142" s="739">
        <f t="shared" si="668"/>
        <v>8120</v>
      </c>
      <c r="L2142" s="1079"/>
      <c r="M2142" s="743"/>
      <c r="N2142" s="744"/>
      <c r="O2142" s="745"/>
      <c r="P2142" s="737"/>
      <c r="Q2142" s="743"/>
      <c r="R2142" s="743"/>
      <c r="S2142" s="743"/>
    </row>
    <row r="2143" spans="1:19" s="746" customFormat="1" ht="24" customHeight="1">
      <c r="A2143" s="734"/>
      <c r="B2143" s="747" t="s">
        <v>469</v>
      </c>
      <c r="C2143" s="735" t="s">
        <v>481</v>
      </c>
      <c r="D2143" s="907"/>
      <c r="E2143" s="737">
        <f>+E2142</f>
        <v>2</v>
      </c>
      <c r="F2143" s="738" t="s">
        <v>363</v>
      </c>
      <c r="G2143" s="739">
        <v>4288</v>
      </c>
      <c r="H2143" s="748">
        <f t="shared" si="666"/>
        <v>8576</v>
      </c>
      <c r="I2143" s="741">
        <v>0</v>
      </c>
      <c r="J2143" s="749">
        <f t="shared" si="667"/>
        <v>0</v>
      </c>
      <c r="K2143" s="739">
        <f t="shared" si="668"/>
        <v>8576</v>
      </c>
      <c r="L2143" s="1079"/>
      <c r="M2143" s="743"/>
      <c r="N2143" s="744"/>
      <c r="O2143" s="745"/>
      <c r="P2143" s="737"/>
      <c r="Q2143" s="743"/>
      <c r="R2143" s="743"/>
      <c r="S2143" s="743"/>
    </row>
    <row r="2144" spans="1:19" s="746" customFormat="1" ht="24" customHeight="1">
      <c r="A2144" s="734"/>
      <c r="B2144" s="747" t="s">
        <v>469</v>
      </c>
      <c r="C2144" s="735" t="s">
        <v>482</v>
      </c>
      <c r="D2144" s="735"/>
      <c r="E2144" s="737">
        <f t="shared" ref="E2144:E2145" si="670">+E2143</f>
        <v>2</v>
      </c>
      <c r="F2144" s="738" t="s">
        <v>363</v>
      </c>
      <c r="G2144" s="739">
        <v>560</v>
      </c>
      <c r="H2144" s="748">
        <f t="shared" si="666"/>
        <v>1120</v>
      </c>
      <c r="I2144" s="741">
        <v>35</v>
      </c>
      <c r="J2144" s="749">
        <f t="shared" si="667"/>
        <v>70</v>
      </c>
      <c r="K2144" s="739">
        <f t="shared" si="668"/>
        <v>1190</v>
      </c>
      <c r="L2144" s="1079"/>
      <c r="M2144" s="743"/>
      <c r="N2144" s="744"/>
      <c r="O2144" s="745"/>
      <c r="P2144" s="737"/>
      <c r="Q2144" s="743"/>
      <c r="R2144" s="743"/>
      <c r="S2144" s="743"/>
    </row>
    <row r="2145" spans="1:19" s="746" customFormat="1" ht="24" customHeight="1">
      <c r="A2145" s="734"/>
      <c r="B2145" s="747" t="s">
        <v>469</v>
      </c>
      <c r="C2145" s="735" t="s">
        <v>493</v>
      </c>
      <c r="D2145" s="907"/>
      <c r="E2145" s="737">
        <f t="shared" si="670"/>
        <v>2</v>
      </c>
      <c r="F2145" s="738" t="s">
        <v>363</v>
      </c>
      <c r="G2145" s="739">
        <v>216</v>
      </c>
      <c r="H2145" s="748">
        <f t="shared" si="666"/>
        <v>432</v>
      </c>
      <c r="I2145" s="741">
        <v>35</v>
      </c>
      <c r="J2145" s="749">
        <f t="shared" si="667"/>
        <v>70</v>
      </c>
      <c r="K2145" s="739">
        <f t="shared" si="668"/>
        <v>502</v>
      </c>
      <c r="L2145" s="1079"/>
      <c r="M2145" s="743"/>
      <c r="N2145" s="744"/>
      <c r="O2145" s="745"/>
      <c r="P2145" s="737"/>
      <c r="Q2145" s="743"/>
      <c r="R2145" s="743"/>
      <c r="S2145" s="743"/>
    </row>
    <row r="2146" spans="1:19" s="746" customFormat="1" ht="24" customHeight="1">
      <c r="A2146" s="734"/>
      <c r="B2146" s="747"/>
      <c r="C2146" s="735"/>
      <c r="D2146" s="907"/>
      <c r="E2146" s="737"/>
      <c r="F2146" s="738"/>
      <c r="G2146" s="739">
        <v>0</v>
      </c>
      <c r="H2146" s="748">
        <f t="shared" si="666"/>
        <v>0</v>
      </c>
      <c r="I2146" s="741">
        <v>0</v>
      </c>
      <c r="J2146" s="749">
        <f t="shared" si="667"/>
        <v>0</v>
      </c>
      <c r="K2146" s="739">
        <f t="shared" si="668"/>
        <v>0</v>
      </c>
      <c r="L2146" s="1079"/>
      <c r="M2146" s="743"/>
      <c r="N2146" s="744"/>
      <c r="O2146" s="745"/>
      <c r="P2146" s="737"/>
      <c r="Q2146" s="743"/>
      <c r="R2146" s="743"/>
      <c r="S2146" s="743"/>
    </row>
    <row r="2147" spans="1:19" s="746" customFormat="1" ht="24" customHeight="1">
      <c r="A2147" s="734"/>
      <c r="B2147" s="747" t="s">
        <v>484</v>
      </c>
      <c r="C2147" s="735" t="s">
        <v>485</v>
      </c>
      <c r="D2147" s="907"/>
      <c r="E2147" s="737">
        <v>2</v>
      </c>
      <c r="F2147" s="738" t="s">
        <v>363</v>
      </c>
      <c r="G2147" s="739">
        <v>285</v>
      </c>
      <c r="H2147" s="748">
        <f t="shared" si="666"/>
        <v>570</v>
      </c>
      <c r="I2147" s="741">
        <v>75</v>
      </c>
      <c r="J2147" s="749">
        <f t="shared" ref="J2147" si="671">I2147*E2147</f>
        <v>150</v>
      </c>
      <c r="K2147" s="739">
        <f t="shared" ref="K2147" si="672">H2147+J2147</f>
        <v>720</v>
      </c>
      <c r="L2147" s="1093"/>
      <c r="M2147" s="743"/>
      <c r="N2147" s="744"/>
      <c r="O2147" s="745"/>
      <c r="P2147" s="737"/>
      <c r="Q2147" s="743"/>
      <c r="R2147" s="743"/>
      <c r="S2147" s="743"/>
    </row>
    <row r="2148" spans="1:19" s="746" customFormat="1" ht="24" customHeight="1">
      <c r="A2148" s="734"/>
      <c r="B2148" s="747" t="s">
        <v>469</v>
      </c>
      <c r="C2148" s="735" t="s">
        <v>486</v>
      </c>
      <c r="D2148" s="907"/>
      <c r="E2148" s="737">
        <v>2</v>
      </c>
      <c r="F2148" s="738" t="s">
        <v>363</v>
      </c>
      <c r="G2148" s="739">
        <v>552</v>
      </c>
      <c r="H2148" s="748">
        <f t="shared" si="666"/>
        <v>1104</v>
      </c>
      <c r="I2148" s="741">
        <v>25</v>
      </c>
      <c r="J2148" s="749">
        <f t="shared" ref="J2148:J2149" si="673">SUM(E2148*I2148)</f>
        <v>50</v>
      </c>
      <c r="K2148" s="739">
        <f t="shared" ref="K2148:K2149" si="674">SUM(H2148+J2148)</f>
        <v>1154</v>
      </c>
      <c r="L2148" s="1079"/>
      <c r="M2148" s="743"/>
      <c r="N2148" s="744"/>
      <c r="O2148" s="745"/>
      <c r="P2148" s="737"/>
      <c r="Q2148" s="743"/>
      <c r="R2148" s="743"/>
      <c r="S2148" s="743"/>
    </row>
    <row r="2149" spans="1:19" s="746" customFormat="1" ht="24" customHeight="1">
      <c r="A2149" s="734"/>
      <c r="B2149" s="747"/>
      <c r="C2149" s="735"/>
      <c r="D2149" s="907"/>
      <c r="E2149" s="737"/>
      <c r="F2149" s="738"/>
      <c r="G2149" s="739">
        <v>0</v>
      </c>
      <c r="H2149" s="748">
        <f t="shared" si="666"/>
        <v>0</v>
      </c>
      <c r="I2149" s="741">
        <v>0</v>
      </c>
      <c r="J2149" s="749">
        <f t="shared" si="673"/>
        <v>0</v>
      </c>
      <c r="K2149" s="739">
        <f t="shared" si="674"/>
        <v>0</v>
      </c>
      <c r="L2149" s="1079"/>
      <c r="M2149" s="743"/>
      <c r="N2149" s="744"/>
      <c r="O2149" s="745"/>
      <c r="P2149" s="737"/>
      <c r="Q2149" s="743"/>
      <c r="R2149" s="743"/>
      <c r="S2149" s="743"/>
    </row>
    <row r="2150" spans="1:19" s="746" customFormat="1" ht="24" customHeight="1">
      <c r="A2150" s="734"/>
      <c r="B2150" s="747" t="s">
        <v>469</v>
      </c>
      <c r="C2150" s="735" t="s">
        <v>487</v>
      </c>
      <c r="D2150" s="907"/>
      <c r="E2150" s="737">
        <v>2</v>
      </c>
      <c r="F2150" s="738" t="s">
        <v>363</v>
      </c>
      <c r="G2150" s="739">
        <v>2855</v>
      </c>
      <c r="H2150" s="748">
        <f t="shared" ref="H2150" si="675">E2150*G2150</f>
        <v>5710</v>
      </c>
      <c r="I2150" s="741">
        <v>1432</v>
      </c>
      <c r="J2150" s="749">
        <f t="shared" ref="J2150" si="676">I2150*E2150</f>
        <v>2864</v>
      </c>
      <c r="K2150" s="739">
        <f t="shared" ref="K2150" si="677">H2150+J2150</f>
        <v>8574</v>
      </c>
      <c r="L2150" s="1079"/>
      <c r="M2150" s="743"/>
      <c r="N2150" s="744"/>
      <c r="O2150" s="745"/>
      <c r="P2150" s="737"/>
      <c r="Q2150" s="743"/>
      <c r="R2150" s="743"/>
      <c r="S2150" s="743"/>
    </row>
    <row r="2151" spans="1:19" s="746" customFormat="1" ht="24" customHeight="1">
      <c r="A2151" s="734"/>
      <c r="B2151" s="747"/>
      <c r="C2151" s="735" t="s">
        <v>488</v>
      </c>
      <c r="D2151" s="907"/>
      <c r="E2151" s="737"/>
      <c r="F2151" s="738"/>
      <c r="G2151" s="739">
        <v>0</v>
      </c>
      <c r="H2151" s="748">
        <f t="shared" ref="H2151:H2152" si="678">SUM(E2151*G2151)</f>
        <v>0</v>
      </c>
      <c r="I2151" s="741">
        <v>0</v>
      </c>
      <c r="J2151" s="749">
        <f t="shared" ref="J2151:J2152" si="679">SUM(E2151*I2151)</f>
        <v>0</v>
      </c>
      <c r="K2151" s="739">
        <f t="shared" ref="K2151:K2152" si="680">SUM(H2151+J2151)</f>
        <v>0</v>
      </c>
      <c r="L2151" s="1079"/>
      <c r="M2151" s="743"/>
      <c r="N2151" s="744"/>
      <c r="O2151" s="745"/>
      <c r="P2151" s="737"/>
      <c r="Q2151" s="743"/>
      <c r="R2151" s="743"/>
      <c r="S2151" s="743"/>
    </row>
    <row r="2152" spans="1:19" s="746" customFormat="1" ht="24" customHeight="1">
      <c r="A2152" s="734"/>
      <c r="B2152" s="747"/>
      <c r="C2152" s="735"/>
      <c r="D2152" s="907"/>
      <c r="E2152" s="737"/>
      <c r="F2152" s="738"/>
      <c r="G2152" s="739">
        <v>0</v>
      </c>
      <c r="H2152" s="748">
        <f t="shared" si="678"/>
        <v>0</v>
      </c>
      <c r="I2152" s="741">
        <v>0</v>
      </c>
      <c r="J2152" s="749">
        <f t="shared" si="679"/>
        <v>0</v>
      </c>
      <c r="K2152" s="739">
        <f t="shared" si="680"/>
        <v>0</v>
      </c>
      <c r="L2152" s="1079"/>
      <c r="M2152" s="743"/>
      <c r="N2152" s="744"/>
      <c r="O2152" s="745"/>
      <c r="P2152" s="737"/>
      <c r="Q2152" s="743"/>
      <c r="R2152" s="743"/>
      <c r="S2152" s="743"/>
    </row>
    <row r="2153" spans="1:19" s="746" customFormat="1" ht="24" customHeight="1">
      <c r="A2153" s="734"/>
      <c r="B2153" s="751" t="s">
        <v>1070</v>
      </c>
      <c r="C2153" s="735"/>
      <c r="D2153" s="907"/>
      <c r="E2153" s="737"/>
      <c r="F2153" s="738"/>
      <c r="G2153" s="739">
        <v>0</v>
      </c>
      <c r="H2153" s="740"/>
      <c r="I2153" s="741"/>
      <c r="J2153" s="742"/>
      <c r="K2153" s="1092"/>
      <c r="L2153" s="1079"/>
      <c r="M2153" s="743"/>
      <c r="N2153" s="744"/>
      <c r="O2153" s="745"/>
      <c r="P2153" s="737"/>
      <c r="Q2153" s="743"/>
      <c r="R2153" s="743"/>
      <c r="S2153" s="743"/>
    </row>
    <row r="2154" spans="1:19" s="746" customFormat="1" ht="24" customHeight="1">
      <c r="A2154" s="729"/>
      <c r="B2154" s="747" t="s">
        <v>469</v>
      </c>
      <c r="C2154" s="735" t="s">
        <v>486</v>
      </c>
      <c r="D2154" s="907"/>
      <c r="E2154" s="737">
        <v>0</v>
      </c>
      <c r="F2154" s="738" t="s">
        <v>363</v>
      </c>
      <c r="G2154" s="739">
        <v>552</v>
      </c>
      <c r="H2154" s="748">
        <f>SUM(E2154*G2154)</f>
        <v>0</v>
      </c>
      <c r="I2154" s="741">
        <v>25</v>
      </c>
      <c r="J2154" s="749">
        <f t="shared" ref="J2154" si="681">SUM(E2154*I2154)</f>
        <v>0</v>
      </c>
      <c r="K2154" s="739">
        <f t="shared" ref="K2154" si="682">SUM(H2154+J2154)</f>
        <v>0</v>
      </c>
      <c r="L2154" s="1079"/>
      <c r="M2154" s="743"/>
      <c r="N2154" s="744"/>
      <c r="O2154" s="745"/>
      <c r="P2154" s="737"/>
      <c r="Q2154" s="743"/>
      <c r="R2154" s="743"/>
      <c r="S2154" s="743"/>
    </row>
    <row r="2155" spans="1:19" s="746" customFormat="1" ht="24" customHeight="1">
      <c r="A2155" s="729"/>
      <c r="B2155" s="747" t="s">
        <v>484</v>
      </c>
      <c r="C2155" s="735" t="s">
        <v>485</v>
      </c>
      <c r="D2155" s="907"/>
      <c r="E2155" s="737">
        <v>0</v>
      </c>
      <c r="F2155" s="738" t="s">
        <v>363</v>
      </c>
      <c r="G2155" s="739">
        <v>0</v>
      </c>
      <c r="H2155" s="748">
        <f>SUM(E2155*G2155)</f>
        <v>0</v>
      </c>
      <c r="I2155" s="741">
        <v>75</v>
      </c>
      <c r="J2155" s="749">
        <f t="shared" ref="J2155" si="683">I2155*E2155</f>
        <v>0</v>
      </c>
      <c r="K2155" s="739">
        <f t="shared" ref="K2155" si="684">H2155+J2155</f>
        <v>0</v>
      </c>
      <c r="L2155" s="1093"/>
      <c r="M2155" s="743"/>
      <c r="N2155" s="744"/>
      <c r="O2155" s="745"/>
      <c r="P2155" s="737"/>
      <c r="Q2155" s="743"/>
      <c r="R2155" s="743"/>
      <c r="S2155" s="743"/>
    </row>
    <row r="2156" spans="1:19" s="746" customFormat="1" ht="24" customHeight="1">
      <c r="A2156" s="729"/>
      <c r="B2156" s="747"/>
      <c r="C2156" s="735"/>
      <c r="D2156" s="907"/>
      <c r="E2156" s="737"/>
      <c r="F2156" s="738"/>
      <c r="G2156" s="739"/>
      <c r="H2156" s="748"/>
      <c r="I2156" s="741"/>
      <c r="J2156" s="749"/>
      <c r="K2156" s="739"/>
      <c r="L2156" s="1093"/>
      <c r="M2156" s="743"/>
      <c r="N2156" s="744"/>
      <c r="O2156" s="745"/>
      <c r="P2156" s="737"/>
      <c r="Q2156" s="743"/>
      <c r="R2156" s="743"/>
      <c r="S2156" s="743"/>
    </row>
    <row r="2157" spans="1:19" s="684" customFormat="1" ht="24" customHeight="1">
      <c r="A2157" s="729" t="s">
        <v>756</v>
      </c>
      <c r="B2157" s="730" t="s">
        <v>495</v>
      </c>
      <c r="C2157" s="703"/>
      <c r="D2157" s="906"/>
      <c r="E2157" s="673"/>
      <c r="F2157" s="674"/>
      <c r="G2157" s="675">
        <v>0</v>
      </c>
      <c r="H2157" s="676">
        <f t="shared" ref="H2157:H2221" si="685">SUM(E2157*G2157)</f>
        <v>0</v>
      </c>
      <c r="I2157" s="677">
        <v>0</v>
      </c>
      <c r="J2157" s="678">
        <f t="shared" ref="J2157:J2221" si="686">SUM(E2157*I2157)</f>
        <v>0</v>
      </c>
      <c r="K2157" s="675">
        <f t="shared" ref="K2157:K2221" si="687">SUM(H2157+J2157)</f>
        <v>0</v>
      </c>
      <c r="L2157" s="1091"/>
      <c r="M2157" s="683"/>
      <c r="N2157" s="680"/>
      <c r="O2157" s="681"/>
      <c r="P2157" s="673"/>
      <c r="Q2157" s="683"/>
      <c r="R2157" s="683"/>
      <c r="S2157" s="683"/>
    </row>
    <row r="2158" spans="1:19" s="753" customFormat="1" ht="24" customHeight="1">
      <c r="A2158" s="734"/>
      <c r="B2158" s="735" t="s">
        <v>1072</v>
      </c>
      <c r="C2158" s="736"/>
      <c r="D2158" s="907"/>
      <c r="E2158" s="737"/>
      <c r="F2158" s="738"/>
      <c r="G2158" s="739">
        <v>0</v>
      </c>
      <c r="H2158" s="748">
        <f t="shared" si="685"/>
        <v>0</v>
      </c>
      <c r="I2158" s="741">
        <v>0</v>
      </c>
      <c r="J2158" s="749">
        <f t="shared" si="686"/>
        <v>0</v>
      </c>
      <c r="K2158" s="739">
        <f t="shared" si="687"/>
        <v>0</v>
      </c>
      <c r="L2158" s="1079"/>
      <c r="M2158" s="752"/>
      <c r="N2158" s="744"/>
      <c r="O2158" s="745"/>
      <c r="P2158" s="737"/>
      <c r="Q2158" s="752"/>
      <c r="R2158" s="752"/>
      <c r="S2158" s="752"/>
    </row>
    <row r="2159" spans="1:19" s="753" customFormat="1" ht="24" customHeight="1">
      <c r="A2159" s="734"/>
      <c r="B2159" s="747" t="s">
        <v>469</v>
      </c>
      <c r="C2159" s="735" t="s">
        <v>497</v>
      </c>
      <c r="D2159" s="735"/>
      <c r="E2159" s="737">
        <f>+N2159</f>
        <v>4</v>
      </c>
      <c r="F2159" s="738" t="s">
        <v>363</v>
      </c>
      <c r="G2159" s="739">
        <v>1540</v>
      </c>
      <c r="H2159" s="748">
        <f t="shared" si="685"/>
        <v>6160</v>
      </c>
      <c r="I2159" s="741">
        <v>450</v>
      </c>
      <c r="J2159" s="749">
        <f t="shared" si="686"/>
        <v>1800</v>
      </c>
      <c r="K2159" s="739">
        <f t="shared" si="687"/>
        <v>7960</v>
      </c>
      <c r="L2159" s="1079"/>
      <c r="M2159" s="752"/>
      <c r="N2159" s="744">
        <f t="shared" ref="N2159:N2223" si="688">+(1+O2159)*P2159</f>
        <v>4</v>
      </c>
      <c r="O2159" s="745">
        <v>0</v>
      </c>
      <c r="P2159" s="737">
        <v>4</v>
      </c>
      <c r="Q2159" s="752"/>
      <c r="R2159" s="752"/>
      <c r="S2159" s="752"/>
    </row>
    <row r="2160" spans="1:19" s="753" customFormat="1" ht="24" customHeight="1">
      <c r="A2160" s="734"/>
      <c r="B2160" s="747" t="s">
        <v>469</v>
      </c>
      <c r="C2160" s="735" t="s">
        <v>498</v>
      </c>
      <c r="D2160" s="735"/>
      <c r="E2160" s="737">
        <f t="shared" ref="E2160:E2224" si="689">+N2160</f>
        <v>4</v>
      </c>
      <c r="F2160" s="738" t="s">
        <v>363</v>
      </c>
      <c r="G2160" s="739">
        <v>6640</v>
      </c>
      <c r="H2160" s="748">
        <f t="shared" si="685"/>
        <v>26560</v>
      </c>
      <c r="I2160" s="741">
        <v>200</v>
      </c>
      <c r="J2160" s="749">
        <f t="shared" si="686"/>
        <v>800</v>
      </c>
      <c r="K2160" s="739">
        <f t="shared" si="687"/>
        <v>27360</v>
      </c>
      <c r="L2160" s="1079"/>
      <c r="M2160" s="752"/>
      <c r="N2160" s="744">
        <f t="shared" si="688"/>
        <v>4</v>
      </c>
      <c r="O2160" s="745">
        <v>0</v>
      </c>
      <c r="P2160" s="737">
        <v>4</v>
      </c>
      <c r="Q2160" s="752"/>
      <c r="R2160" s="752"/>
      <c r="S2160" s="752"/>
    </row>
    <row r="2161" spans="1:19" s="753" customFormat="1" ht="24" customHeight="1">
      <c r="A2161" s="734"/>
      <c r="B2161" s="747" t="s">
        <v>469</v>
      </c>
      <c r="C2161" s="735" t="s">
        <v>496</v>
      </c>
      <c r="D2161" s="735"/>
      <c r="E2161" s="737">
        <f t="shared" si="689"/>
        <v>4</v>
      </c>
      <c r="F2161" s="738" t="s">
        <v>363</v>
      </c>
      <c r="G2161" s="739">
        <v>336</v>
      </c>
      <c r="H2161" s="748">
        <f t="shared" si="685"/>
        <v>1344</v>
      </c>
      <c r="I2161" s="741">
        <v>0</v>
      </c>
      <c r="J2161" s="749">
        <f t="shared" si="686"/>
        <v>0</v>
      </c>
      <c r="K2161" s="739">
        <f t="shared" si="687"/>
        <v>1344</v>
      </c>
      <c r="L2161" s="1079"/>
      <c r="M2161" s="752"/>
      <c r="N2161" s="744">
        <f t="shared" si="688"/>
        <v>4</v>
      </c>
      <c r="O2161" s="745">
        <v>0</v>
      </c>
      <c r="P2161" s="737">
        <v>4</v>
      </c>
      <c r="Q2161" s="752"/>
      <c r="R2161" s="752"/>
      <c r="S2161" s="752"/>
    </row>
    <row r="2162" spans="1:19" s="753" customFormat="1" ht="24" customHeight="1">
      <c r="A2162" s="734"/>
      <c r="B2162" s="747" t="s">
        <v>469</v>
      </c>
      <c r="C2162" s="735" t="s">
        <v>490</v>
      </c>
      <c r="D2162" s="735"/>
      <c r="E2162" s="737">
        <f t="shared" si="689"/>
        <v>4</v>
      </c>
      <c r="F2162" s="738" t="s">
        <v>363</v>
      </c>
      <c r="G2162" s="739">
        <v>736</v>
      </c>
      <c r="H2162" s="748">
        <f t="shared" si="685"/>
        <v>2944</v>
      </c>
      <c r="I2162" s="741">
        <v>0</v>
      </c>
      <c r="J2162" s="749">
        <f t="shared" si="686"/>
        <v>0</v>
      </c>
      <c r="K2162" s="739">
        <f t="shared" si="687"/>
        <v>2944</v>
      </c>
      <c r="L2162" s="1079"/>
      <c r="M2162" s="752"/>
      <c r="N2162" s="744">
        <f t="shared" si="688"/>
        <v>4</v>
      </c>
      <c r="O2162" s="745">
        <v>0</v>
      </c>
      <c r="P2162" s="737">
        <v>4</v>
      </c>
      <c r="Q2162" s="752"/>
      <c r="R2162" s="752"/>
      <c r="S2162" s="752"/>
    </row>
    <row r="2163" spans="1:19" s="753" customFormat="1" ht="24" customHeight="1">
      <c r="A2163" s="734"/>
      <c r="B2163" s="747" t="s">
        <v>469</v>
      </c>
      <c r="C2163" s="735" t="s">
        <v>478</v>
      </c>
      <c r="D2163" s="735"/>
      <c r="E2163" s="737">
        <f t="shared" si="689"/>
        <v>4</v>
      </c>
      <c r="F2163" s="738" t="s">
        <v>363</v>
      </c>
      <c r="G2163" s="739">
        <v>176</v>
      </c>
      <c r="H2163" s="748">
        <f t="shared" si="685"/>
        <v>704</v>
      </c>
      <c r="I2163" s="741">
        <v>0</v>
      </c>
      <c r="J2163" s="749">
        <f t="shared" si="686"/>
        <v>0</v>
      </c>
      <c r="K2163" s="739">
        <f t="shared" si="687"/>
        <v>704</v>
      </c>
      <c r="L2163" s="1079"/>
      <c r="M2163" s="752"/>
      <c r="N2163" s="744">
        <f t="shared" si="688"/>
        <v>4</v>
      </c>
      <c r="O2163" s="745">
        <v>0</v>
      </c>
      <c r="P2163" s="737">
        <v>4</v>
      </c>
      <c r="Q2163" s="752"/>
      <c r="R2163" s="752"/>
      <c r="S2163" s="752"/>
    </row>
    <row r="2164" spans="1:19" s="753" customFormat="1" ht="24" customHeight="1">
      <c r="A2164" s="734"/>
      <c r="B2164" s="747" t="s">
        <v>469</v>
      </c>
      <c r="C2164" s="735" t="s">
        <v>499</v>
      </c>
      <c r="D2164" s="735"/>
      <c r="E2164" s="737">
        <f t="shared" si="689"/>
        <v>4</v>
      </c>
      <c r="F2164" s="738" t="s">
        <v>363</v>
      </c>
      <c r="G2164" s="739">
        <v>216</v>
      </c>
      <c r="H2164" s="748">
        <f t="shared" si="685"/>
        <v>864</v>
      </c>
      <c r="I2164" s="741">
        <v>35</v>
      </c>
      <c r="J2164" s="749">
        <f t="shared" si="686"/>
        <v>140</v>
      </c>
      <c r="K2164" s="739">
        <f t="shared" si="687"/>
        <v>1004</v>
      </c>
      <c r="L2164" s="1079"/>
      <c r="M2164" s="752"/>
      <c r="N2164" s="744">
        <f t="shared" si="688"/>
        <v>4</v>
      </c>
      <c r="O2164" s="745">
        <v>0</v>
      </c>
      <c r="P2164" s="737">
        <v>4</v>
      </c>
      <c r="Q2164" s="752"/>
      <c r="R2164" s="752"/>
      <c r="S2164" s="752"/>
    </row>
    <row r="2165" spans="1:19" s="753" customFormat="1" ht="24" customHeight="1">
      <c r="A2165" s="734"/>
      <c r="B2165" s="750"/>
      <c r="C2165" s="736"/>
      <c r="D2165" s="907"/>
      <c r="E2165" s="737">
        <f t="shared" si="689"/>
        <v>0</v>
      </c>
      <c r="F2165" s="738"/>
      <c r="G2165" s="739">
        <v>0</v>
      </c>
      <c r="H2165" s="748">
        <f t="shared" si="685"/>
        <v>0</v>
      </c>
      <c r="I2165" s="741">
        <v>0</v>
      </c>
      <c r="J2165" s="749">
        <f t="shared" si="686"/>
        <v>0</v>
      </c>
      <c r="K2165" s="739">
        <f t="shared" si="687"/>
        <v>0</v>
      </c>
      <c r="L2165" s="1079"/>
      <c r="M2165" s="752"/>
      <c r="N2165" s="744">
        <f t="shared" si="688"/>
        <v>0</v>
      </c>
      <c r="O2165" s="745">
        <v>0</v>
      </c>
      <c r="P2165" s="737">
        <v>0</v>
      </c>
      <c r="Q2165" s="752"/>
      <c r="R2165" s="752"/>
      <c r="S2165" s="752"/>
    </row>
    <row r="2166" spans="1:19" s="753" customFormat="1" ht="24" customHeight="1">
      <c r="A2166" s="734"/>
      <c r="B2166" s="747" t="s">
        <v>469</v>
      </c>
      <c r="C2166" s="735" t="s">
        <v>492</v>
      </c>
      <c r="D2166" s="735"/>
      <c r="E2166" s="737">
        <f t="shared" si="689"/>
        <v>5</v>
      </c>
      <c r="F2166" s="738" t="s">
        <v>363</v>
      </c>
      <c r="G2166" s="739">
        <v>9375</v>
      </c>
      <c r="H2166" s="748">
        <f t="shared" si="685"/>
        <v>46875</v>
      </c>
      <c r="I2166" s="741">
        <v>450</v>
      </c>
      <c r="J2166" s="749">
        <f t="shared" si="686"/>
        <v>2250</v>
      </c>
      <c r="K2166" s="739">
        <f t="shared" si="687"/>
        <v>49125</v>
      </c>
      <c r="L2166" s="1079"/>
      <c r="M2166" s="752"/>
      <c r="N2166" s="744">
        <f>+(1+O2166)*P2166</f>
        <v>5</v>
      </c>
      <c r="O2166" s="745">
        <v>0</v>
      </c>
      <c r="P2166" s="737">
        <v>5</v>
      </c>
      <c r="Q2166" s="752"/>
      <c r="R2166" s="752"/>
      <c r="S2166" s="752"/>
    </row>
    <row r="2167" spans="1:19" s="753" customFormat="1" ht="24" customHeight="1">
      <c r="A2167" s="734"/>
      <c r="B2167" s="747" t="s">
        <v>469</v>
      </c>
      <c r="C2167" s="735" t="s">
        <v>500</v>
      </c>
      <c r="D2167" s="735"/>
      <c r="E2167" s="737">
        <f t="shared" si="689"/>
        <v>5</v>
      </c>
      <c r="F2167" s="738" t="s">
        <v>363</v>
      </c>
      <c r="G2167" s="739">
        <v>12752</v>
      </c>
      <c r="H2167" s="748">
        <f t="shared" si="685"/>
        <v>63760</v>
      </c>
      <c r="I2167" s="741">
        <v>0</v>
      </c>
      <c r="J2167" s="749">
        <f t="shared" si="686"/>
        <v>0</v>
      </c>
      <c r="K2167" s="739">
        <f t="shared" si="687"/>
        <v>63760</v>
      </c>
      <c r="L2167" s="1079"/>
      <c r="M2167" s="752"/>
      <c r="N2167" s="744">
        <f t="shared" si="688"/>
        <v>5</v>
      </c>
      <c r="O2167" s="745">
        <v>0</v>
      </c>
      <c r="P2167" s="737">
        <v>5</v>
      </c>
      <c r="Q2167" s="752"/>
      <c r="R2167" s="752"/>
      <c r="S2167" s="752"/>
    </row>
    <row r="2168" spans="1:19" s="753" customFormat="1" ht="24" customHeight="1">
      <c r="A2168" s="734"/>
      <c r="B2168" s="747" t="s">
        <v>469</v>
      </c>
      <c r="C2168" s="735" t="s">
        <v>501</v>
      </c>
      <c r="D2168" s="735"/>
      <c r="E2168" s="737">
        <v>0</v>
      </c>
      <c r="F2168" s="738" t="s">
        <v>363</v>
      </c>
      <c r="G2168" s="739">
        <v>1950</v>
      </c>
      <c r="H2168" s="748">
        <f t="shared" si="685"/>
        <v>0</v>
      </c>
      <c r="I2168" s="741">
        <v>35</v>
      </c>
      <c r="J2168" s="749">
        <f t="shared" si="686"/>
        <v>0</v>
      </c>
      <c r="K2168" s="739">
        <f t="shared" si="687"/>
        <v>0</v>
      </c>
      <c r="L2168" s="1079"/>
      <c r="M2168" s="752"/>
      <c r="N2168" s="744">
        <f t="shared" si="688"/>
        <v>5</v>
      </c>
      <c r="O2168" s="745">
        <v>0</v>
      </c>
      <c r="P2168" s="737">
        <v>5</v>
      </c>
      <c r="Q2168" s="752"/>
      <c r="R2168" s="752"/>
      <c r="S2168" s="752"/>
    </row>
    <row r="2169" spans="1:19" s="753" customFormat="1" ht="24" customHeight="1">
      <c r="A2169" s="734"/>
      <c r="B2169" s="747" t="s">
        <v>469</v>
      </c>
      <c r="C2169" s="735" t="s">
        <v>502</v>
      </c>
      <c r="D2169" s="735"/>
      <c r="E2169" s="737">
        <f t="shared" si="689"/>
        <v>5</v>
      </c>
      <c r="F2169" s="738" t="s">
        <v>363</v>
      </c>
      <c r="G2169" s="739">
        <v>216</v>
      </c>
      <c r="H2169" s="748">
        <f t="shared" si="685"/>
        <v>1080</v>
      </c>
      <c r="I2169" s="741">
        <v>35</v>
      </c>
      <c r="J2169" s="749">
        <f t="shared" si="686"/>
        <v>175</v>
      </c>
      <c r="K2169" s="739">
        <f t="shared" si="687"/>
        <v>1255</v>
      </c>
      <c r="L2169" s="1079"/>
      <c r="M2169" s="752"/>
      <c r="N2169" s="744">
        <f t="shared" si="688"/>
        <v>5</v>
      </c>
      <c r="O2169" s="745">
        <v>0</v>
      </c>
      <c r="P2169" s="737">
        <v>5</v>
      </c>
      <c r="Q2169" s="754"/>
      <c r="R2169" s="752"/>
      <c r="S2169" s="752"/>
    </row>
    <row r="2170" spans="1:19" s="753" customFormat="1" ht="24" customHeight="1">
      <c r="A2170" s="734"/>
      <c r="B2170" s="747"/>
      <c r="C2170" s="735"/>
      <c r="D2170" s="907"/>
      <c r="E2170" s="737">
        <f t="shared" si="689"/>
        <v>0</v>
      </c>
      <c r="F2170" s="738"/>
      <c r="G2170" s="739">
        <v>0</v>
      </c>
      <c r="H2170" s="748">
        <f t="shared" si="685"/>
        <v>0</v>
      </c>
      <c r="I2170" s="741">
        <v>0</v>
      </c>
      <c r="J2170" s="749">
        <f t="shared" si="686"/>
        <v>0</v>
      </c>
      <c r="K2170" s="739">
        <f t="shared" si="687"/>
        <v>0</v>
      </c>
      <c r="L2170" s="1079"/>
      <c r="M2170" s="752"/>
      <c r="N2170" s="744">
        <f t="shared" si="688"/>
        <v>0</v>
      </c>
      <c r="O2170" s="745">
        <v>0</v>
      </c>
      <c r="P2170" s="737">
        <v>0</v>
      </c>
      <c r="Q2170" s="752"/>
      <c r="R2170" s="752"/>
      <c r="S2170" s="752"/>
    </row>
    <row r="2171" spans="1:19" s="753" customFormat="1" ht="24" customHeight="1">
      <c r="A2171" s="734"/>
      <c r="B2171" s="747" t="s">
        <v>469</v>
      </c>
      <c r="C2171" s="735" t="s">
        <v>503</v>
      </c>
      <c r="D2171" s="735"/>
      <c r="E2171" s="737">
        <f>+N2171</f>
        <v>8</v>
      </c>
      <c r="F2171" s="738" t="s">
        <v>363</v>
      </c>
      <c r="G2171" s="739">
        <v>3920</v>
      </c>
      <c r="H2171" s="748">
        <f t="shared" si="685"/>
        <v>31360</v>
      </c>
      <c r="I2171" s="741">
        <v>450</v>
      </c>
      <c r="J2171" s="749">
        <f t="shared" si="686"/>
        <v>3600</v>
      </c>
      <c r="K2171" s="739">
        <f t="shared" si="687"/>
        <v>34960</v>
      </c>
      <c r="L2171" s="1079"/>
      <c r="M2171" s="752"/>
      <c r="N2171" s="744">
        <f t="shared" si="688"/>
        <v>8</v>
      </c>
      <c r="O2171" s="745">
        <v>0</v>
      </c>
      <c r="P2171" s="737">
        <v>8</v>
      </c>
      <c r="Q2171" s="752"/>
      <c r="R2171" s="752"/>
      <c r="S2171" s="752"/>
    </row>
    <row r="2172" spans="1:19" s="753" customFormat="1" ht="24" customHeight="1">
      <c r="A2172" s="734"/>
      <c r="B2172" s="747" t="s">
        <v>469</v>
      </c>
      <c r="C2172" s="735" t="s">
        <v>504</v>
      </c>
      <c r="D2172" s="735"/>
      <c r="E2172" s="737">
        <f t="shared" si="689"/>
        <v>8</v>
      </c>
      <c r="F2172" s="738" t="s">
        <v>363</v>
      </c>
      <c r="G2172" s="739">
        <v>12752</v>
      </c>
      <c r="H2172" s="748">
        <f t="shared" si="685"/>
        <v>102016</v>
      </c>
      <c r="I2172" s="741">
        <v>0</v>
      </c>
      <c r="J2172" s="749">
        <f t="shared" si="686"/>
        <v>0</v>
      </c>
      <c r="K2172" s="739">
        <f t="shared" si="687"/>
        <v>102016</v>
      </c>
      <c r="L2172" s="1079"/>
      <c r="M2172" s="752"/>
      <c r="N2172" s="744">
        <f t="shared" si="688"/>
        <v>8</v>
      </c>
      <c r="O2172" s="745">
        <v>0</v>
      </c>
      <c r="P2172" s="737">
        <v>8</v>
      </c>
      <c r="Q2172" s="752"/>
      <c r="R2172" s="752"/>
      <c r="S2172" s="752"/>
    </row>
    <row r="2173" spans="1:19" s="682" customFormat="1" ht="24" customHeight="1">
      <c r="A2173" s="734"/>
      <c r="B2173" s="747" t="s">
        <v>469</v>
      </c>
      <c r="C2173" s="735" t="s">
        <v>505</v>
      </c>
      <c r="D2173" s="735"/>
      <c r="E2173" s="737">
        <f t="shared" si="689"/>
        <v>6</v>
      </c>
      <c r="F2173" s="738" t="s">
        <v>363</v>
      </c>
      <c r="G2173" s="739">
        <v>2280</v>
      </c>
      <c r="H2173" s="748">
        <f t="shared" si="685"/>
        <v>13680</v>
      </c>
      <c r="I2173" s="741">
        <v>300</v>
      </c>
      <c r="J2173" s="749">
        <f t="shared" si="686"/>
        <v>1800</v>
      </c>
      <c r="K2173" s="739">
        <f t="shared" si="687"/>
        <v>15480</v>
      </c>
      <c r="L2173" s="1079"/>
      <c r="M2173" s="679"/>
      <c r="N2173" s="744">
        <f t="shared" si="688"/>
        <v>6</v>
      </c>
      <c r="O2173" s="745">
        <v>0</v>
      </c>
      <c r="P2173" s="737">
        <v>6</v>
      </c>
      <c r="Q2173" s="679"/>
      <c r="R2173" s="679"/>
      <c r="S2173" s="679"/>
    </row>
    <row r="2174" spans="1:19" s="682" customFormat="1" ht="24" customHeight="1">
      <c r="A2174" s="734"/>
      <c r="B2174" s="747" t="s">
        <v>469</v>
      </c>
      <c r="C2174" s="735" t="s">
        <v>506</v>
      </c>
      <c r="D2174" s="735"/>
      <c r="E2174" s="737">
        <f t="shared" si="689"/>
        <v>0</v>
      </c>
      <c r="F2174" s="738" t="s">
        <v>363</v>
      </c>
      <c r="G2174" s="739">
        <v>6592</v>
      </c>
      <c r="H2174" s="748">
        <f t="shared" si="685"/>
        <v>0</v>
      </c>
      <c r="I2174" s="741">
        <v>140</v>
      </c>
      <c r="J2174" s="749">
        <f t="shared" si="686"/>
        <v>0</v>
      </c>
      <c r="K2174" s="739">
        <f t="shared" si="687"/>
        <v>0</v>
      </c>
      <c r="L2174" s="1079"/>
      <c r="M2174" s="679"/>
      <c r="N2174" s="744">
        <f t="shared" si="688"/>
        <v>0</v>
      </c>
      <c r="O2174" s="745">
        <v>0</v>
      </c>
      <c r="P2174" s="737">
        <v>0</v>
      </c>
      <c r="Q2174" s="679"/>
      <c r="R2174" s="679"/>
      <c r="S2174" s="679"/>
    </row>
    <row r="2175" spans="1:19" s="753" customFormat="1" ht="24" customHeight="1">
      <c r="A2175" s="734"/>
      <c r="B2175" s="747" t="s">
        <v>484</v>
      </c>
      <c r="C2175" s="735" t="s">
        <v>485</v>
      </c>
      <c r="D2175" s="735"/>
      <c r="E2175" s="737">
        <f t="shared" si="689"/>
        <v>7</v>
      </c>
      <c r="F2175" s="738" t="s">
        <v>363</v>
      </c>
      <c r="G2175" s="739">
        <v>285</v>
      </c>
      <c r="H2175" s="748">
        <f t="shared" si="685"/>
        <v>1995</v>
      </c>
      <c r="I2175" s="741">
        <v>75</v>
      </c>
      <c r="J2175" s="749">
        <f t="shared" si="686"/>
        <v>525</v>
      </c>
      <c r="K2175" s="739">
        <f t="shared" si="687"/>
        <v>2520</v>
      </c>
      <c r="L2175" s="1093"/>
      <c r="M2175" s="752"/>
      <c r="N2175" s="744">
        <f t="shared" si="688"/>
        <v>7</v>
      </c>
      <c r="O2175" s="745">
        <v>0</v>
      </c>
      <c r="P2175" s="737">
        <v>7</v>
      </c>
      <c r="Q2175" s="752"/>
      <c r="R2175" s="752"/>
      <c r="S2175" s="752"/>
    </row>
    <row r="2176" spans="1:19" s="753" customFormat="1" ht="24" customHeight="1">
      <c r="A2176" s="734"/>
      <c r="B2176" s="747" t="s">
        <v>469</v>
      </c>
      <c r="C2176" s="735" t="s">
        <v>486</v>
      </c>
      <c r="D2176" s="735"/>
      <c r="E2176" s="737">
        <f t="shared" si="689"/>
        <v>1</v>
      </c>
      <c r="F2176" s="738" t="s">
        <v>363</v>
      </c>
      <c r="G2176" s="739">
        <v>552</v>
      </c>
      <c r="H2176" s="748">
        <f t="shared" si="685"/>
        <v>552</v>
      </c>
      <c r="I2176" s="741">
        <v>25</v>
      </c>
      <c r="J2176" s="749">
        <f t="shared" si="686"/>
        <v>25</v>
      </c>
      <c r="K2176" s="739">
        <f t="shared" si="687"/>
        <v>577</v>
      </c>
      <c r="L2176" s="1079"/>
      <c r="M2176" s="752"/>
      <c r="N2176" s="744">
        <f t="shared" si="688"/>
        <v>1</v>
      </c>
      <c r="O2176" s="745">
        <v>0</v>
      </c>
      <c r="P2176" s="737">
        <v>1</v>
      </c>
      <c r="Q2176" s="752"/>
      <c r="R2176" s="752"/>
      <c r="S2176" s="752"/>
    </row>
    <row r="2177" spans="1:19" s="753" customFormat="1" ht="24" customHeight="1">
      <c r="A2177" s="734"/>
      <c r="B2177" s="747" t="s">
        <v>469</v>
      </c>
      <c r="C2177" s="735" t="s">
        <v>507</v>
      </c>
      <c r="D2177" s="735"/>
      <c r="E2177" s="737">
        <f t="shared" si="689"/>
        <v>1</v>
      </c>
      <c r="F2177" s="738" t="s">
        <v>363</v>
      </c>
      <c r="G2177" s="739">
        <v>1650</v>
      </c>
      <c r="H2177" s="748">
        <f t="shared" si="685"/>
        <v>1650</v>
      </c>
      <c r="I2177" s="741">
        <v>70</v>
      </c>
      <c r="J2177" s="749">
        <f t="shared" si="686"/>
        <v>70</v>
      </c>
      <c r="K2177" s="739">
        <f t="shared" si="687"/>
        <v>1720</v>
      </c>
      <c r="L2177" s="1079"/>
      <c r="M2177" s="752"/>
      <c r="N2177" s="744">
        <f t="shared" si="688"/>
        <v>1</v>
      </c>
      <c r="O2177" s="745">
        <v>0</v>
      </c>
      <c r="P2177" s="737">
        <v>1</v>
      </c>
      <c r="Q2177" s="752"/>
      <c r="R2177" s="752"/>
      <c r="S2177" s="752"/>
    </row>
    <row r="2178" spans="1:19" s="753" customFormat="1" ht="24" customHeight="1">
      <c r="A2178" s="734"/>
      <c r="B2178" s="747" t="s">
        <v>469</v>
      </c>
      <c r="C2178" s="735" t="s">
        <v>508</v>
      </c>
      <c r="D2178" s="735"/>
      <c r="E2178" s="737">
        <f t="shared" si="689"/>
        <v>5</v>
      </c>
      <c r="F2178" s="738" t="s">
        <v>363</v>
      </c>
      <c r="G2178" s="739">
        <v>13500</v>
      </c>
      <c r="H2178" s="748">
        <f t="shared" si="685"/>
        <v>67500</v>
      </c>
      <c r="I2178" s="741">
        <v>750</v>
      </c>
      <c r="J2178" s="749">
        <f t="shared" si="686"/>
        <v>3750</v>
      </c>
      <c r="K2178" s="739">
        <f t="shared" si="687"/>
        <v>71250</v>
      </c>
      <c r="L2178" s="1079"/>
      <c r="M2178" s="752"/>
      <c r="N2178" s="744">
        <f t="shared" si="688"/>
        <v>5</v>
      </c>
      <c r="O2178" s="745">
        <v>0</v>
      </c>
      <c r="P2178" s="737">
        <v>5</v>
      </c>
      <c r="Q2178" s="752"/>
      <c r="R2178" s="752"/>
      <c r="S2178" s="752"/>
    </row>
    <row r="2179" spans="1:19" s="682" customFormat="1" ht="24" customHeight="1">
      <c r="A2179" s="734"/>
      <c r="B2179" s="747" t="s">
        <v>469</v>
      </c>
      <c r="C2179" s="735" t="s">
        <v>509</v>
      </c>
      <c r="D2179" s="735"/>
      <c r="E2179" s="737">
        <f t="shared" si="689"/>
        <v>1</v>
      </c>
      <c r="F2179" s="738" t="s">
        <v>363</v>
      </c>
      <c r="G2179" s="739">
        <v>14476</v>
      </c>
      <c r="H2179" s="748">
        <f t="shared" si="685"/>
        <v>14476</v>
      </c>
      <c r="I2179" s="741">
        <v>5367</v>
      </c>
      <c r="J2179" s="749">
        <f t="shared" si="686"/>
        <v>5367</v>
      </c>
      <c r="K2179" s="739">
        <f t="shared" si="687"/>
        <v>19843</v>
      </c>
      <c r="L2179" s="1079"/>
      <c r="M2179" s="679"/>
      <c r="N2179" s="744">
        <f t="shared" si="688"/>
        <v>1</v>
      </c>
      <c r="O2179" s="745">
        <v>0</v>
      </c>
      <c r="P2179" s="737">
        <v>1</v>
      </c>
      <c r="Q2179" s="679"/>
      <c r="R2179" s="679"/>
      <c r="S2179" s="679"/>
    </row>
    <row r="2180" spans="1:19" s="753" customFormat="1" ht="24" customHeight="1">
      <c r="A2180" s="734"/>
      <c r="B2180" s="747" t="s">
        <v>469</v>
      </c>
      <c r="C2180" s="735" t="s">
        <v>510</v>
      </c>
      <c r="D2180" s="735"/>
      <c r="E2180" s="737">
        <f t="shared" si="689"/>
        <v>4.1500000000000004</v>
      </c>
      <c r="F2180" s="738" t="s">
        <v>361</v>
      </c>
      <c r="G2180" s="739">
        <v>2694</v>
      </c>
      <c r="H2180" s="748">
        <f t="shared" si="685"/>
        <v>11180.1</v>
      </c>
      <c r="I2180" s="741">
        <v>1288</v>
      </c>
      <c r="J2180" s="749">
        <f t="shared" si="686"/>
        <v>5345.2000000000007</v>
      </c>
      <c r="K2180" s="739">
        <f t="shared" si="687"/>
        <v>16525.300000000003</v>
      </c>
      <c r="L2180" s="1079"/>
      <c r="M2180" s="752"/>
      <c r="N2180" s="744">
        <f t="shared" si="688"/>
        <v>4.1500000000000004</v>
      </c>
      <c r="O2180" s="745">
        <v>0</v>
      </c>
      <c r="P2180" s="737">
        <v>4.1500000000000004</v>
      </c>
      <c r="Q2180" s="752"/>
      <c r="R2180" s="752"/>
      <c r="S2180" s="752"/>
    </row>
    <row r="2181" spans="1:19" s="753" customFormat="1" ht="24" customHeight="1">
      <c r="A2181" s="734"/>
      <c r="B2181" s="747"/>
      <c r="C2181" s="735" t="s">
        <v>511</v>
      </c>
      <c r="D2181" s="735"/>
      <c r="E2181" s="737">
        <f t="shared" si="689"/>
        <v>0</v>
      </c>
      <c r="F2181" s="738"/>
      <c r="G2181" s="739"/>
      <c r="H2181" s="748">
        <f t="shared" si="685"/>
        <v>0</v>
      </c>
      <c r="I2181" s="741"/>
      <c r="J2181" s="749">
        <f t="shared" si="686"/>
        <v>0</v>
      </c>
      <c r="K2181" s="739">
        <f t="shared" si="687"/>
        <v>0</v>
      </c>
      <c r="L2181" s="1079"/>
      <c r="M2181" s="752"/>
      <c r="N2181" s="744">
        <f t="shared" si="688"/>
        <v>0</v>
      </c>
      <c r="O2181" s="745">
        <v>0</v>
      </c>
      <c r="P2181" s="737">
        <v>0</v>
      </c>
      <c r="Q2181" s="752"/>
      <c r="R2181" s="752"/>
      <c r="S2181" s="752"/>
    </row>
    <row r="2182" spans="1:19" s="753" customFormat="1" ht="24" customHeight="1">
      <c r="A2182" s="734"/>
      <c r="B2182" s="747" t="s">
        <v>469</v>
      </c>
      <c r="C2182" s="735" t="s">
        <v>512</v>
      </c>
      <c r="D2182" s="735"/>
      <c r="E2182" s="737">
        <f t="shared" si="689"/>
        <v>4.1500000000000004</v>
      </c>
      <c r="F2182" s="738" t="s">
        <v>361</v>
      </c>
      <c r="G2182" s="739">
        <v>3886</v>
      </c>
      <c r="H2182" s="748">
        <f t="shared" si="685"/>
        <v>16126.900000000001</v>
      </c>
      <c r="I2182" s="741">
        <v>1238</v>
      </c>
      <c r="J2182" s="749">
        <f t="shared" si="686"/>
        <v>5137.7000000000007</v>
      </c>
      <c r="K2182" s="739">
        <f t="shared" si="687"/>
        <v>21264.600000000002</v>
      </c>
      <c r="L2182" s="1079"/>
      <c r="M2182" s="752"/>
      <c r="N2182" s="744">
        <f t="shared" si="688"/>
        <v>4.1500000000000004</v>
      </c>
      <c r="O2182" s="745">
        <v>0</v>
      </c>
      <c r="P2182" s="737">
        <v>4.1500000000000004</v>
      </c>
      <c r="Q2182" s="752"/>
      <c r="R2182" s="752"/>
      <c r="S2182" s="752"/>
    </row>
    <row r="2183" spans="1:19" s="753" customFormat="1" ht="24" customHeight="1">
      <c r="A2183" s="734"/>
      <c r="B2183" s="747"/>
      <c r="C2183" s="735" t="s">
        <v>513</v>
      </c>
      <c r="D2183" s="735"/>
      <c r="E2183" s="737">
        <f t="shared" si="689"/>
        <v>0</v>
      </c>
      <c r="F2183" s="738"/>
      <c r="G2183" s="739">
        <v>0</v>
      </c>
      <c r="H2183" s="748">
        <f t="shared" si="685"/>
        <v>0</v>
      </c>
      <c r="I2183" s="741">
        <v>0</v>
      </c>
      <c r="J2183" s="749">
        <f t="shared" si="686"/>
        <v>0</v>
      </c>
      <c r="K2183" s="739">
        <f t="shared" si="687"/>
        <v>0</v>
      </c>
      <c r="L2183" s="1079"/>
      <c r="M2183" s="752"/>
      <c r="N2183" s="744">
        <f t="shared" si="688"/>
        <v>0</v>
      </c>
      <c r="O2183" s="745">
        <v>0</v>
      </c>
      <c r="P2183" s="737">
        <v>0</v>
      </c>
      <c r="Q2183" s="752"/>
      <c r="R2183" s="752"/>
      <c r="S2183" s="752"/>
    </row>
    <row r="2184" spans="1:19" s="753" customFormat="1" ht="24" customHeight="1">
      <c r="A2184" s="734"/>
      <c r="B2184" s="747" t="s">
        <v>469</v>
      </c>
      <c r="C2184" s="735" t="s">
        <v>514</v>
      </c>
      <c r="D2184" s="735"/>
      <c r="E2184" s="737">
        <f t="shared" si="689"/>
        <v>7.1</v>
      </c>
      <c r="F2184" s="738" t="s">
        <v>361</v>
      </c>
      <c r="G2184" s="739">
        <v>1522</v>
      </c>
      <c r="H2184" s="748">
        <f t="shared" si="685"/>
        <v>10806.199999999999</v>
      </c>
      <c r="I2184" s="741">
        <v>315</v>
      </c>
      <c r="J2184" s="749">
        <f t="shared" si="686"/>
        <v>2236.5</v>
      </c>
      <c r="K2184" s="739">
        <f t="shared" si="687"/>
        <v>13042.699999999999</v>
      </c>
      <c r="L2184" s="1079"/>
      <c r="M2184" s="752"/>
      <c r="N2184" s="744">
        <f t="shared" si="688"/>
        <v>7.1</v>
      </c>
      <c r="O2184" s="745">
        <v>0</v>
      </c>
      <c r="P2184" s="737">
        <v>7.1</v>
      </c>
      <c r="Q2184" s="752"/>
      <c r="R2184" s="752"/>
      <c r="S2184" s="752"/>
    </row>
    <row r="2185" spans="1:19" s="753" customFormat="1" ht="24" customHeight="1">
      <c r="A2185" s="734"/>
      <c r="B2185" s="747"/>
      <c r="C2185" s="735"/>
      <c r="D2185" s="735"/>
      <c r="E2185" s="737">
        <f t="shared" si="689"/>
        <v>0</v>
      </c>
      <c r="F2185" s="738"/>
      <c r="G2185" s="739">
        <v>0</v>
      </c>
      <c r="H2185" s="748">
        <f t="shared" si="685"/>
        <v>0</v>
      </c>
      <c r="I2185" s="741">
        <v>0</v>
      </c>
      <c r="J2185" s="749">
        <f t="shared" si="686"/>
        <v>0</v>
      </c>
      <c r="K2185" s="739">
        <f t="shared" si="687"/>
        <v>0</v>
      </c>
      <c r="L2185" s="1079"/>
      <c r="M2185" s="752"/>
      <c r="N2185" s="744">
        <f t="shared" si="688"/>
        <v>0</v>
      </c>
      <c r="O2185" s="745">
        <v>0</v>
      </c>
      <c r="P2185" s="737">
        <v>0</v>
      </c>
      <c r="Q2185" s="752"/>
      <c r="R2185" s="752"/>
      <c r="S2185" s="752"/>
    </row>
    <row r="2186" spans="1:19" s="682" customFormat="1" ht="24" customHeight="1">
      <c r="A2186" s="734"/>
      <c r="B2186" s="747" t="s">
        <v>469</v>
      </c>
      <c r="C2186" s="735" t="s">
        <v>515</v>
      </c>
      <c r="D2186" s="735"/>
      <c r="E2186" s="737">
        <f t="shared" si="689"/>
        <v>1</v>
      </c>
      <c r="F2186" s="738" t="s">
        <v>363</v>
      </c>
      <c r="G2186" s="739">
        <v>5013</v>
      </c>
      <c r="H2186" s="748">
        <f t="shared" si="685"/>
        <v>5013</v>
      </c>
      <c r="I2186" s="741">
        <v>2403</v>
      </c>
      <c r="J2186" s="749">
        <f t="shared" si="686"/>
        <v>2403</v>
      </c>
      <c r="K2186" s="739">
        <f t="shared" si="687"/>
        <v>7416</v>
      </c>
      <c r="L2186" s="1079"/>
      <c r="M2186" s="679"/>
      <c r="N2186" s="744">
        <f t="shared" si="688"/>
        <v>1</v>
      </c>
      <c r="O2186" s="745">
        <v>0</v>
      </c>
      <c r="P2186" s="737">
        <v>1</v>
      </c>
      <c r="Q2186" s="679"/>
      <c r="R2186" s="679"/>
      <c r="S2186" s="679"/>
    </row>
    <row r="2187" spans="1:19" s="682" customFormat="1" ht="24" customHeight="1">
      <c r="A2187" s="734"/>
      <c r="B2187" s="747"/>
      <c r="C2187" s="735" t="s">
        <v>516</v>
      </c>
      <c r="D2187" s="735"/>
      <c r="E2187" s="737">
        <f t="shared" si="689"/>
        <v>0</v>
      </c>
      <c r="F2187" s="738"/>
      <c r="G2187" s="739"/>
      <c r="H2187" s="748">
        <f t="shared" si="685"/>
        <v>0</v>
      </c>
      <c r="I2187" s="741"/>
      <c r="J2187" s="749">
        <f t="shared" si="686"/>
        <v>0</v>
      </c>
      <c r="K2187" s="739">
        <f t="shared" si="687"/>
        <v>0</v>
      </c>
      <c r="L2187" s="1079"/>
      <c r="M2187" s="679"/>
      <c r="N2187" s="744">
        <f t="shared" si="688"/>
        <v>0</v>
      </c>
      <c r="O2187" s="745">
        <v>0</v>
      </c>
      <c r="P2187" s="737">
        <v>0</v>
      </c>
      <c r="Q2187" s="679"/>
      <c r="R2187" s="679"/>
      <c r="S2187" s="679"/>
    </row>
    <row r="2188" spans="1:19" s="682" customFormat="1" ht="24" customHeight="1">
      <c r="A2188" s="734"/>
      <c r="B2188" s="747"/>
      <c r="C2188" s="735"/>
      <c r="D2188" s="735"/>
      <c r="E2188" s="737">
        <f t="shared" si="689"/>
        <v>0</v>
      </c>
      <c r="F2188" s="738"/>
      <c r="G2188" s="739"/>
      <c r="H2188" s="748">
        <f t="shared" si="685"/>
        <v>0</v>
      </c>
      <c r="I2188" s="741"/>
      <c r="J2188" s="749">
        <f t="shared" si="686"/>
        <v>0</v>
      </c>
      <c r="K2188" s="739">
        <f t="shared" si="687"/>
        <v>0</v>
      </c>
      <c r="L2188" s="1079"/>
      <c r="M2188" s="679"/>
      <c r="N2188" s="744">
        <f t="shared" si="688"/>
        <v>0</v>
      </c>
      <c r="O2188" s="745">
        <v>0</v>
      </c>
      <c r="P2188" s="737">
        <v>0</v>
      </c>
      <c r="Q2188" s="679"/>
      <c r="R2188" s="679"/>
      <c r="S2188" s="679"/>
    </row>
    <row r="2189" spans="1:19" s="756" customFormat="1" ht="24" customHeight="1">
      <c r="A2189" s="734"/>
      <c r="B2189" s="747" t="s">
        <v>469</v>
      </c>
      <c r="C2189" s="735" t="s">
        <v>517</v>
      </c>
      <c r="D2189" s="907"/>
      <c r="E2189" s="737">
        <f t="shared" si="689"/>
        <v>0</v>
      </c>
      <c r="F2189" s="738" t="s">
        <v>361</v>
      </c>
      <c r="G2189" s="739">
        <v>5075.5555555555557</v>
      </c>
      <c r="H2189" s="748">
        <f t="shared" si="685"/>
        <v>0</v>
      </c>
      <c r="I2189" s="741">
        <v>2545.7777777777778</v>
      </c>
      <c r="J2189" s="749">
        <f t="shared" si="686"/>
        <v>0</v>
      </c>
      <c r="K2189" s="739">
        <f t="shared" si="687"/>
        <v>0</v>
      </c>
      <c r="L2189" s="1079"/>
      <c r="M2189" s="755"/>
      <c r="N2189" s="744">
        <f t="shared" si="688"/>
        <v>0</v>
      </c>
      <c r="O2189" s="745">
        <v>0</v>
      </c>
      <c r="P2189" s="737">
        <v>0</v>
      </c>
      <c r="Q2189" s="755"/>
      <c r="R2189" s="755"/>
      <c r="S2189" s="755"/>
    </row>
    <row r="2190" spans="1:19" s="756" customFormat="1" ht="24" customHeight="1">
      <c r="A2190" s="734"/>
      <c r="B2190" s="747"/>
      <c r="C2190" s="735" t="s">
        <v>488</v>
      </c>
      <c r="D2190" s="907"/>
      <c r="E2190" s="737">
        <f t="shared" si="689"/>
        <v>0</v>
      </c>
      <c r="F2190" s="738"/>
      <c r="G2190" s="739">
        <v>0</v>
      </c>
      <c r="H2190" s="748">
        <f t="shared" si="685"/>
        <v>0</v>
      </c>
      <c r="I2190" s="741">
        <v>0</v>
      </c>
      <c r="J2190" s="749">
        <f t="shared" si="686"/>
        <v>0</v>
      </c>
      <c r="K2190" s="739">
        <f t="shared" si="687"/>
        <v>0</v>
      </c>
      <c r="L2190" s="1079"/>
      <c r="M2190" s="755"/>
      <c r="N2190" s="744">
        <f t="shared" si="688"/>
        <v>0</v>
      </c>
      <c r="O2190" s="745">
        <v>0</v>
      </c>
      <c r="P2190" s="737">
        <v>0</v>
      </c>
      <c r="Q2190" s="755"/>
      <c r="R2190" s="755"/>
      <c r="S2190" s="755"/>
    </row>
    <row r="2191" spans="1:19" s="753" customFormat="1" ht="24" customHeight="1">
      <c r="A2191" s="734"/>
      <c r="B2191" s="747" t="s">
        <v>469</v>
      </c>
      <c r="C2191" s="735" t="s">
        <v>518</v>
      </c>
      <c r="D2191" s="735"/>
      <c r="E2191" s="737">
        <f t="shared" si="689"/>
        <v>0</v>
      </c>
      <c r="F2191" s="738" t="s">
        <v>361</v>
      </c>
      <c r="G2191" s="739">
        <v>3886</v>
      </c>
      <c r="H2191" s="748">
        <f t="shared" si="685"/>
        <v>0</v>
      </c>
      <c r="I2191" s="741">
        <v>1238</v>
      </c>
      <c r="J2191" s="749">
        <f t="shared" si="686"/>
        <v>0</v>
      </c>
      <c r="K2191" s="739">
        <f t="shared" si="687"/>
        <v>0</v>
      </c>
      <c r="L2191" s="1079"/>
      <c r="M2191" s="752"/>
      <c r="N2191" s="744">
        <f t="shared" si="688"/>
        <v>0</v>
      </c>
      <c r="O2191" s="745">
        <v>0</v>
      </c>
      <c r="P2191" s="737">
        <v>0</v>
      </c>
      <c r="Q2191" s="752"/>
      <c r="R2191" s="752"/>
      <c r="S2191" s="752"/>
    </row>
    <row r="2192" spans="1:19" s="753" customFormat="1" ht="24" customHeight="1">
      <c r="A2192" s="734"/>
      <c r="B2192" s="747"/>
      <c r="C2192" s="735" t="s">
        <v>513</v>
      </c>
      <c r="D2192" s="735"/>
      <c r="E2192" s="737">
        <f t="shared" si="689"/>
        <v>0</v>
      </c>
      <c r="F2192" s="738"/>
      <c r="G2192" s="739">
        <v>0</v>
      </c>
      <c r="H2192" s="748">
        <f t="shared" si="685"/>
        <v>0</v>
      </c>
      <c r="I2192" s="741">
        <v>0</v>
      </c>
      <c r="J2192" s="749">
        <f t="shared" si="686"/>
        <v>0</v>
      </c>
      <c r="K2192" s="739">
        <f t="shared" si="687"/>
        <v>0</v>
      </c>
      <c r="L2192" s="1079"/>
      <c r="M2192" s="752"/>
      <c r="N2192" s="744">
        <f t="shared" si="688"/>
        <v>0</v>
      </c>
      <c r="O2192" s="745">
        <v>0</v>
      </c>
      <c r="P2192" s="737">
        <v>0</v>
      </c>
      <c r="Q2192" s="752"/>
      <c r="R2192" s="752"/>
      <c r="S2192" s="752"/>
    </row>
    <row r="2193" spans="1:19" s="682" customFormat="1" ht="24" customHeight="1">
      <c r="A2193" s="734"/>
      <c r="B2193" s="747" t="s">
        <v>469</v>
      </c>
      <c r="C2193" s="735" t="s">
        <v>519</v>
      </c>
      <c r="D2193" s="735"/>
      <c r="E2193" s="737">
        <f t="shared" si="689"/>
        <v>1</v>
      </c>
      <c r="F2193" s="738" t="s">
        <v>363</v>
      </c>
      <c r="G2193" s="739">
        <v>800</v>
      </c>
      <c r="H2193" s="748">
        <f t="shared" si="685"/>
        <v>800</v>
      </c>
      <c r="I2193" s="741">
        <v>70</v>
      </c>
      <c r="J2193" s="749">
        <f t="shared" si="686"/>
        <v>70</v>
      </c>
      <c r="K2193" s="739">
        <f t="shared" si="687"/>
        <v>870</v>
      </c>
      <c r="L2193" s="1079"/>
      <c r="M2193" s="679"/>
      <c r="N2193" s="744">
        <f t="shared" si="688"/>
        <v>1</v>
      </c>
      <c r="O2193" s="745">
        <v>0</v>
      </c>
      <c r="P2193" s="737">
        <v>1</v>
      </c>
      <c r="Q2193" s="679"/>
      <c r="R2193" s="679"/>
      <c r="S2193" s="679"/>
    </row>
    <row r="2194" spans="1:19" s="682" customFormat="1" ht="24" customHeight="1">
      <c r="A2194" s="734"/>
      <c r="B2194" s="747" t="s">
        <v>469</v>
      </c>
      <c r="C2194" s="735" t="s">
        <v>520</v>
      </c>
      <c r="D2194" s="735"/>
      <c r="E2194" s="737">
        <f t="shared" si="689"/>
        <v>0</v>
      </c>
      <c r="F2194" s="738" t="s">
        <v>361</v>
      </c>
      <c r="G2194" s="739">
        <v>190</v>
      </c>
      <c r="H2194" s="748">
        <f t="shared" si="685"/>
        <v>0</v>
      </c>
      <c r="I2194" s="741">
        <v>75</v>
      </c>
      <c r="J2194" s="749">
        <f t="shared" si="686"/>
        <v>0</v>
      </c>
      <c r="K2194" s="739">
        <f t="shared" si="687"/>
        <v>0</v>
      </c>
      <c r="L2194" s="1079"/>
      <c r="M2194" s="679"/>
      <c r="N2194" s="744">
        <f t="shared" si="688"/>
        <v>0</v>
      </c>
      <c r="O2194" s="745">
        <v>0</v>
      </c>
      <c r="P2194" s="737">
        <v>0</v>
      </c>
      <c r="Q2194" s="679"/>
      <c r="R2194" s="679"/>
      <c r="S2194" s="679"/>
    </row>
    <row r="2195" spans="1:19" s="682" customFormat="1" ht="24" customHeight="1">
      <c r="A2195" s="734"/>
      <c r="B2195" s="747"/>
      <c r="C2195" s="735"/>
      <c r="D2195" s="735"/>
      <c r="E2195" s="737">
        <f t="shared" si="689"/>
        <v>0</v>
      </c>
      <c r="F2195" s="738"/>
      <c r="G2195" s="739"/>
      <c r="H2195" s="748">
        <f t="shared" si="685"/>
        <v>0</v>
      </c>
      <c r="I2195" s="741"/>
      <c r="J2195" s="749">
        <f t="shared" si="686"/>
        <v>0</v>
      </c>
      <c r="K2195" s="739">
        <f t="shared" si="687"/>
        <v>0</v>
      </c>
      <c r="L2195" s="1079"/>
      <c r="M2195" s="679"/>
      <c r="N2195" s="744">
        <f t="shared" si="688"/>
        <v>0</v>
      </c>
      <c r="O2195" s="745">
        <v>0</v>
      </c>
      <c r="P2195" s="737">
        <v>0</v>
      </c>
      <c r="Q2195" s="679"/>
      <c r="R2195" s="679"/>
      <c r="S2195" s="679"/>
    </row>
    <row r="2196" spans="1:19" s="682" customFormat="1" ht="24" customHeight="1">
      <c r="A2196" s="734"/>
      <c r="B2196" s="747"/>
      <c r="C2196" s="735"/>
      <c r="D2196" s="735"/>
      <c r="E2196" s="737"/>
      <c r="F2196" s="738"/>
      <c r="G2196" s="739"/>
      <c r="H2196" s="748"/>
      <c r="I2196" s="741"/>
      <c r="J2196" s="749"/>
      <c r="K2196" s="739"/>
      <c r="L2196" s="1079"/>
      <c r="M2196" s="679"/>
      <c r="N2196" s="744"/>
      <c r="O2196" s="745"/>
      <c r="P2196" s="737"/>
      <c r="Q2196" s="679"/>
      <c r="R2196" s="679"/>
      <c r="S2196" s="679"/>
    </row>
    <row r="2197" spans="1:19" s="753" customFormat="1" ht="24" customHeight="1">
      <c r="A2197" s="734"/>
      <c r="B2197" s="735" t="s">
        <v>1073</v>
      </c>
      <c r="C2197" s="735"/>
      <c r="D2197" s="907"/>
      <c r="E2197" s="737">
        <f t="shared" si="689"/>
        <v>0</v>
      </c>
      <c r="F2197" s="738"/>
      <c r="G2197" s="739">
        <v>0</v>
      </c>
      <c r="H2197" s="748">
        <f t="shared" si="685"/>
        <v>0</v>
      </c>
      <c r="I2197" s="741">
        <v>0</v>
      </c>
      <c r="J2197" s="749">
        <f t="shared" si="686"/>
        <v>0</v>
      </c>
      <c r="K2197" s="739">
        <f t="shared" si="687"/>
        <v>0</v>
      </c>
      <c r="L2197" s="1079"/>
      <c r="M2197" s="752"/>
      <c r="N2197" s="744">
        <f t="shared" si="688"/>
        <v>0</v>
      </c>
      <c r="O2197" s="745">
        <v>0</v>
      </c>
      <c r="P2197" s="737">
        <v>0</v>
      </c>
      <c r="Q2197" s="752"/>
      <c r="R2197" s="752"/>
      <c r="S2197" s="752"/>
    </row>
    <row r="2198" spans="1:19" s="753" customFormat="1" ht="24" customHeight="1">
      <c r="A2198" s="734"/>
      <c r="B2198" s="747" t="s">
        <v>469</v>
      </c>
      <c r="C2198" s="735" t="s">
        <v>497</v>
      </c>
      <c r="D2198" s="735"/>
      <c r="E2198" s="737">
        <f t="shared" si="689"/>
        <v>6</v>
      </c>
      <c r="F2198" s="738" t="s">
        <v>363</v>
      </c>
      <c r="G2198" s="739">
        <v>1540</v>
      </c>
      <c r="H2198" s="748">
        <f t="shared" si="685"/>
        <v>9240</v>
      </c>
      <c r="I2198" s="741">
        <v>450</v>
      </c>
      <c r="J2198" s="749">
        <f t="shared" si="686"/>
        <v>2700</v>
      </c>
      <c r="K2198" s="739">
        <f t="shared" si="687"/>
        <v>11940</v>
      </c>
      <c r="L2198" s="1079"/>
      <c r="M2198" s="752"/>
      <c r="N2198" s="744">
        <f t="shared" si="688"/>
        <v>6</v>
      </c>
      <c r="O2198" s="745">
        <v>0</v>
      </c>
      <c r="P2198" s="737">
        <v>6</v>
      </c>
      <c r="Q2198" s="752"/>
      <c r="R2198" s="752"/>
      <c r="S2198" s="752"/>
    </row>
    <row r="2199" spans="1:19" s="753" customFormat="1" ht="24" customHeight="1">
      <c r="A2199" s="734"/>
      <c r="B2199" s="747" t="s">
        <v>469</v>
      </c>
      <c r="C2199" s="735" t="s">
        <v>498</v>
      </c>
      <c r="D2199" s="735"/>
      <c r="E2199" s="737">
        <f t="shared" si="689"/>
        <v>6</v>
      </c>
      <c r="F2199" s="738" t="s">
        <v>363</v>
      </c>
      <c r="G2199" s="739">
        <v>6640</v>
      </c>
      <c r="H2199" s="748">
        <f t="shared" si="685"/>
        <v>39840</v>
      </c>
      <c r="I2199" s="741">
        <v>200</v>
      </c>
      <c r="J2199" s="749">
        <f t="shared" si="686"/>
        <v>1200</v>
      </c>
      <c r="K2199" s="739">
        <f t="shared" si="687"/>
        <v>41040</v>
      </c>
      <c r="L2199" s="1079"/>
      <c r="M2199" s="752"/>
      <c r="N2199" s="744">
        <f t="shared" si="688"/>
        <v>6</v>
      </c>
      <c r="O2199" s="745">
        <v>0</v>
      </c>
      <c r="P2199" s="737">
        <v>6</v>
      </c>
      <c r="Q2199" s="752"/>
      <c r="R2199" s="752"/>
      <c r="S2199" s="752"/>
    </row>
    <row r="2200" spans="1:19" s="753" customFormat="1" ht="24" customHeight="1">
      <c r="A2200" s="734"/>
      <c r="B2200" s="747" t="s">
        <v>469</v>
      </c>
      <c r="C2200" s="735" t="s">
        <v>476</v>
      </c>
      <c r="D2200" s="735"/>
      <c r="E2200" s="737">
        <f t="shared" si="689"/>
        <v>6</v>
      </c>
      <c r="F2200" s="738" t="s">
        <v>363</v>
      </c>
      <c r="G2200" s="739">
        <v>336</v>
      </c>
      <c r="H2200" s="748">
        <f t="shared" si="685"/>
        <v>2016</v>
      </c>
      <c r="I2200" s="741">
        <v>0</v>
      </c>
      <c r="J2200" s="749">
        <f t="shared" si="686"/>
        <v>0</v>
      </c>
      <c r="K2200" s="739">
        <f t="shared" si="687"/>
        <v>2016</v>
      </c>
      <c r="L2200" s="1079"/>
      <c r="M2200" s="752"/>
      <c r="N2200" s="744">
        <f t="shared" si="688"/>
        <v>6</v>
      </c>
      <c r="O2200" s="745">
        <v>0</v>
      </c>
      <c r="P2200" s="737">
        <v>6</v>
      </c>
      <c r="Q2200" s="752"/>
      <c r="R2200" s="752"/>
      <c r="S2200" s="752"/>
    </row>
    <row r="2201" spans="1:19" s="753" customFormat="1" ht="24" customHeight="1">
      <c r="A2201" s="734"/>
      <c r="B2201" s="747" t="s">
        <v>469</v>
      </c>
      <c r="C2201" s="735" t="s">
        <v>477</v>
      </c>
      <c r="D2201" s="735"/>
      <c r="E2201" s="737">
        <f t="shared" si="689"/>
        <v>6</v>
      </c>
      <c r="F2201" s="738" t="s">
        <v>363</v>
      </c>
      <c r="G2201" s="739">
        <v>736</v>
      </c>
      <c r="H2201" s="748">
        <f t="shared" si="685"/>
        <v>4416</v>
      </c>
      <c r="I2201" s="741">
        <v>0</v>
      </c>
      <c r="J2201" s="749">
        <f t="shared" si="686"/>
        <v>0</v>
      </c>
      <c r="K2201" s="739">
        <f t="shared" si="687"/>
        <v>4416</v>
      </c>
      <c r="L2201" s="1079"/>
      <c r="M2201" s="752"/>
      <c r="N2201" s="744">
        <f t="shared" si="688"/>
        <v>6</v>
      </c>
      <c r="O2201" s="745">
        <v>0</v>
      </c>
      <c r="P2201" s="737">
        <v>6</v>
      </c>
      <c r="Q2201" s="752"/>
      <c r="R2201" s="752"/>
      <c r="S2201" s="752"/>
    </row>
    <row r="2202" spans="1:19" s="753" customFormat="1" ht="24" customHeight="1">
      <c r="A2202" s="734"/>
      <c r="B2202" s="747" t="s">
        <v>469</v>
      </c>
      <c r="C2202" s="735" t="s">
        <v>478</v>
      </c>
      <c r="D2202" s="735"/>
      <c r="E2202" s="737">
        <f t="shared" si="689"/>
        <v>6</v>
      </c>
      <c r="F2202" s="738" t="s">
        <v>363</v>
      </c>
      <c r="G2202" s="739">
        <v>176</v>
      </c>
      <c r="H2202" s="748">
        <f t="shared" si="685"/>
        <v>1056</v>
      </c>
      <c r="I2202" s="741">
        <v>0</v>
      </c>
      <c r="J2202" s="749">
        <f t="shared" si="686"/>
        <v>0</v>
      </c>
      <c r="K2202" s="739">
        <f t="shared" si="687"/>
        <v>1056</v>
      </c>
      <c r="L2202" s="1079"/>
      <c r="M2202" s="752"/>
      <c r="N2202" s="744">
        <f t="shared" si="688"/>
        <v>6</v>
      </c>
      <c r="O2202" s="745">
        <v>0</v>
      </c>
      <c r="P2202" s="737">
        <v>6</v>
      </c>
      <c r="Q2202" s="752"/>
      <c r="R2202" s="752"/>
      <c r="S2202" s="752"/>
    </row>
    <row r="2203" spans="1:19" s="753" customFormat="1" ht="24" customHeight="1">
      <c r="A2203" s="734"/>
      <c r="B2203" s="747" t="s">
        <v>469</v>
      </c>
      <c r="C2203" s="735" t="s">
        <v>499</v>
      </c>
      <c r="D2203" s="735"/>
      <c r="E2203" s="737">
        <f t="shared" si="689"/>
        <v>6</v>
      </c>
      <c r="F2203" s="738" t="s">
        <v>363</v>
      </c>
      <c r="G2203" s="739">
        <v>216</v>
      </c>
      <c r="H2203" s="748">
        <f t="shared" si="685"/>
        <v>1296</v>
      </c>
      <c r="I2203" s="741">
        <v>35</v>
      </c>
      <c r="J2203" s="749">
        <f t="shared" si="686"/>
        <v>210</v>
      </c>
      <c r="K2203" s="739">
        <f t="shared" si="687"/>
        <v>1506</v>
      </c>
      <c r="L2203" s="1079"/>
      <c r="M2203" s="752"/>
      <c r="N2203" s="744">
        <f t="shared" si="688"/>
        <v>6</v>
      </c>
      <c r="O2203" s="745">
        <v>0</v>
      </c>
      <c r="P2203" s="737">
        <v>6</v>
      </c>
      <c r="Q2203" s="752"/>
      <c r="R2203" s="752"/>
      <c r="S2203" s="752"/>
    </row>
    <row r="2204" spans="1:19" s="753" customFormat="1" ht="24" customHeight="1">
      <c r="A2204" s="734"/>
      <c r="B2204" s="747"/>
      <c r="C2204" s="736"/>
      <c r="D2204" s="907"/>
      <c r="E2204" s="737">
        <f t="shared" si="689"/>
        <v>0</v>
      </c>
      <c r="F2204" s="738"/>
      <c r="G2204" s="739">
        <v>0</v>
      </c>
      <c r="H2204" s="748">
        <f t="shared" si="685"/>
        <v>0</v>
      </c>
      <c r="I2204" s="741">
        <v>0</v>
      </c>
      <c r="J2204" s="749">
        <f t="shared" si="686"/>
        <v>0</v>
      </c>
      <c r="K2204" s="739">
        <f t="shared" si="687"/>
        <v>0</v>
      </c>
      <c r="L2204" s="1079"/>
      <c r="M2204" s="752"/>
      <c r="N2204" s="744">
        <f t="shared" si="688"/>
        <v>0</v>
      </c>
      <c r="O2204" s="745">
        <v>0</v>
      </c>
      <c r="P2204" s="737">
        <v>0</v>
      </c>
      <c r="Q2204" s="752"/>
      <c r="R2204" s="752"/>
      <c r="S2204" s="752"/>
    </row>
    <row r="2205" spans="1:19" s="753" customFormat="1" ht="24" customHeight="1">
      <c r="A2205" s="734"/>
      <c r="B2205" s="747" t="s">
        <v>469</v>
      </c>
      <c r="C2205" s="735" t="s">
        <v>492</v>
      </c>
      <c r="D2205" s="735"/>
      <c r="E2205" s="737">
        <f t="shared" si="689"/>
        <v>10</v>
      </c>
      <c r="F2205" s="738" t="s">
        <v>363</v>
      </c>
      <c r="G2205" s="739">
        <v>9375</v>
      </c>
      <c r="H2205" s="748">
        <f t="shared" si="685"/>
        <v>93750</v>
      </c>
      <c r="I2205" s="741">
        <v>450</v>
      </c>
      <c r="J2205" s="749">
        <f t="shared" si="686"/>
        <v>4500</v>
      </c>
      <c r="K2205" s="739">
        <f t="shared" si="687"/>
        <v>98250</v>
      </c>
      <c r="L2205" s="1079"/>
      <c r="M2205" s="752"/>
      <c r="N2205" s="744">
        <f t="shared" si="688"/>
        <v>10</v>
      </c>
      <c r="O2205" s="745">
        <v>0</v>
      </c>
      <c r="P2205" s="737">
        <v>10</v>
      </c>
      <c r="Q2205" s="752"/>
      <c r="R2205" s="752"/>
      <c r="S2205" s="752"/>
    </row>
    <row r="2206" spans="1:19" s="753" customFormat="1" ht="24" customHeight="1">
      <c r="A2206" s="734"/>
      <c r="B2206" s="747" t="s">
        <v>469</v>
      </c>
      <c r="C2206" s="735" t="s">
        <v>500</v>
      </c>
      <c r="D2206" s="735"/>
      <c r="E2206" s="737">
        <f t="shared" si="689"/>
        <v>10</v>
      </c>
      <c r="F2206" s="738" t="s">
        <v>363</v>
      </c>
      <c r="G2206" s="739">
        <v>12752</v>
      </c>
      <c r="H2206" s="748">
        <f t="shared" si="685"/>
        <v>127520</v>
      </c>
      <c r="I2206" s="741">
        <v>0</v>
      </c>
      <c r="J2206" s="749">
        <f t="shared" si="686"/>
        <v>0</v>
      </c>
      <c r="K2206" s="739">
        <f t="shared" si="687"/>
        <v>127520</v>
      </c>
      <c r="L2206" s="1079"/>
      <c r="M2206" s="752"/>
      <c r="N2206" s="744">
        <f t="shared" si="688"/>
        <v>10</v>
      </c>
      <c r="O2206" s="745">
        <v>0</v>
      </c>
      <c r="P2206" s="737">
        <v>10</v>
      </c>
      <c r="Q2206" s="752"/>
      <c r="R2206" s="752"/>
      <c r="S2206" s="752"/>
    </row>
    <row r="2207" spans="1:19" s="753" customFormat="1" ht="24" customHeight="1">
      <c r="A2207" s="734"/>
      <c r="B2207" s="747" t="s">
        <v>469</v>
      </c>
      <c r="C2207" s="735" t="s">
        <v>501</v>
      </c>
      <c r="D2207" s="735"/>
      <c r="E2207" s="737">
        <v>0</v>
      </c>
      <c r="F2207" s="738" t="s">
        <v>363</v>
      </c>
      <c r="G2207" s="739">
        <v>1950</v>
      </c>
      <c r="H2207" s="748">
        <f t="shared" si="685"/>
        <v>0</v>
      </c>
      <c r="I2207" s="741">
        <v>35</v>
      </c>
      <c r="J2207" s="749">
        <f t="shared" si="686"/>
        <v>0</v>
      </c>
      <c r="K2207" s="739">
        <f t="shared" si="687"/>
        <v>0</v>
      </c>
      <c r="L2207" s="1079"/>
      <c r="M2207" s="752"/>
      <c r="N2207" s="744">
        <f t="shared" si="688"/>
        <v>10</v>
      </c>
      <c r="O2207" s="745">
        <v>0</v>
      </c>
      <c r="P2207" s="737">
        <v>10</v>
      </c>
      <c r="Q2207" s="752"/>
      <c r="R2207" s="752"/>
      <c r="S2207" s="752"/>
    </row>
    <row r="2208" spans="1:19" s="753" customFormat="1" ht="24" customHeight="1">
      <c r="A2208" s="734"/>
      <c r="B2208" s="747" t="s">
        <v>469</v>
      </c>
      <c r="C2208" s="735" t="s">
        <v>502</v>
      </c>
      <c r="D2208" s="735"/>
      <c r="E2208" s="737">
        <f t="shared" si="689"/>
        <v>10</v>
      </c>
      <c r="F2208" s="738" t="s">
        <v>363</v>
      </c>
      <c r="G2208" s="739">
        <v>216</v>
      </c>
      <c r="H2208" s="748">
        <f t="shared" si="685"/>
        <v>2160</v>
      </c>
      <c r="I2208" s="741">
        <v>35</v>
      </c>
      <c r="J2208" s="749">
        <f t="shared" si="686"/>
        <v>350</v>
      </c>
      <c r="K2208" s="739">
        <f t="shared" si="687"/>
        <v>2510</v>
      </c>
      <c r="L2208" s="1079"/>
      <c r="M2208" s="752"/>
      <c r="N2208" s="744">
        <f t="shared" si="688"/>
        <v>10</v>
      </c>
      <c r="O2208" s="745">
        <v>0</v>
      </c>
      <c r="P2208" s="737">
        <v>10</v>
      </c>
      <c r="Q2208" s="752"/>
      <c r="R2208" s="752"/>
      <c r="S2208" s="752"/>
    </row>
    <row r="2209" spans="1:19" s="753" customFormat="1" ht="24" customHeight="1">
      <c r="A2209" s="734"/>
      <c r="B2209" s="747"/>
      <c r="C2209" s="735"/>
      <c r="D2209" s="735"/>
      <c r="E2209" s="737">
        <f t="shared" si="689"/>
        <v>0</v>
      </c>
      <c r="F2209" s="738"/>
      <c r="G2209" s="739"/>
      <c r="H2209" s="748">
        <f t="shared" si="685"/>
        <v>0</v>
      </c>
      <c r="I2209" s="741"/>
      <c r="J2209" s="749">
        <f t="shared" si="686"/>
        <v>0</v>
      </c>
      <c r="K2209" s="739">
        <f t="shared" si="687"/>
        <v>0</v>
      </c>
      <c r="L2209" s="1079"/>
      <c r="M2209" s="752"/>
      <c r="N2209" s="744">
        <f t="shared" si="688"/>
        <v>0</v>
      </c>
      <c r="O2209" s="745">
        <v>0</v>
      </c>
      <c r="P2209" s="737">
        <v>0</v>
      </c>
      <c r="Q2209" s="752"/>
      <c r="R2209" s="752"/>
      <c r="S2209" s="752"/>
    </row>
    <row r="2210" spans="1:19" s="753" customFormat="1" ht="24" customHeight="1">
      <c r="A2210" s="734"/>
      <c r="B2210" s="747" t="s">
        <v>484</v>
      </c>
      <c r="C2210" s="735" t="s">
        <v>485</v>
      </c>
      <c r="D2210" s="735"/>
      <c r="E2210" s="737">
        <f t="shared" si="689"/>
        <v>7</v>
      </c>
      <c r="F2210" s="738" t="s">
        <v>363</v>
      </c>
      <c r="G2210" s="739">
        <v>285</v>
      </c>
      <c r="H2210" s="748">
        <f t="shared" si="685"/>
        <v>1995</v>
      </c>
      <c r="I2210" s="741">
        <v>75</v>
      </c>
      <c r="J2210" s="749">
        <f t="shared" si="686"/>
        <v>525</v>
      </c>
      <c r="K2210" s="739">
        <f t="shared" si="687"/>
        <v>2520</v>
      </c>
      <c r="L2210" s="1093"/>
      <c r="M2210" s="752"/>
      <c r="N2210" s="744">
        <f t="shared" si="688"/>
        <v>7</v>
      </c>
      <c r="O2210" s="745">
        <v>0</v>
      </c>
      <c r="P2210" s="737">
        <v>7</v>
      </c>
      <c r="Q2210" s="752"/>
      <c r="R2210" s="752"/>
      <c r="S2210" s="752"/>
    </row>
    <row r="2211" spans="1:19" s="753" customFormat="1" ht="24" customHeight="1">
      <c r="A2211" s="734"/>
      <c r="B2211" s="747" t="s">
        <v>469</v>
      </c>
      <c r="C2211" s="735" t="s">
        <v>486</v>
      </c>
      <c r="D2211" s="735"/>
      <c r="E2211" s="737">
        <f t="shared" si="689"/>
        <v>1</v>
      </c>
      <c r="F2211" s="738" t="s">
        <v>363</v>
      </c>
      <c r="G2211" s="739">
        <v>552</v>
      </c>
      <c r="H2211" s="748">
        <f t="shared" si="685"/>
        <v>552</v>
      </c>
      <c r="I2211" s="741">
        <v>25</v>
      </c>
      <c r="J2211" s="749">
        <f t="shared" si="686"/>
        <v>25</v>
      </c>
      <c r="K2211" s="739">
        <f t="shared" si="687"/>
        <v>577</v>
      </c>
      <c r="L2211" s="1079"/>
      <c r="M2211" s="752"/>
      <c r="N2211" s="744">
        <f t="shared" si="688"/>
        <v>1</v>
      </c>
      <c r="O2211" s="745">
        <v>0</v>
      </c>
      <c r="P2211" s="737">
        <v>1</v>
      </c>
      <c r="Q2211" s="752"/>
      <c r="R2211" s="752"/>
      <c r="S2211" s="752"/>
    </row>
    <row r="2212" spans="1:19" s="753" customFormat="1" ht="24" customHeight="1">
      <c r="A2212" s="734"/>
      <c r="B2212" s="747" t="s">
        <v>469</v>
      </c>
      <c r="C2212" s="735" t="s">
        <v>507</v>
      </c>
      <c r="D2212" s="735"/>
      <c r="E2212" s="737">
        <f t="shared" si="689"/>
        <v>1</v>
      </c>
      <c r="F2212" s="738" t="s">
        <v>363</v>
      </c>
      <c r="G2212" s="739">
        <v>1650</v>
      </c>
      <c r="H2212" s="748">
        <f t="shared" si="685"/>
        <v>1650</v>
      </c>
      <c r="I2212" s="741">
        <v>70</v>
      </c>
      <c r="J2212" s="749">
        <f t="shared" si="686"/>
        <v>70</v>
      </c>
      <c r="K2212" s="739">
        <f t="shared" si="687"/>
        <v>1720</v>
      </c>
      <c r="L2212" s="1079"/>
      <c r="M2212" s="752"/>
      <c r="N2212" s="744">
        <f t="shared" si="688"/>
        <v>1</v>
      </c>
      <c r="O2212" s="745">
        <v>0</v>
      </c>
      <c r="P2212" s="737">
        <v>1</v>
      </c>
      <c r="Q2212" s="752"/>
      <c r="R2212" s="752"/>
      <c r="S2212" s="752"/>
    </row>
    <row r="2213" spans="1:19" s="753" customFormat="1" ht="24" customHeight="1">
      <c r="A2213" s="734"/>
      <c r="B2213" s="747" t="s">
        <v>469</v>
      </c>
      <c r="C2213" s="735" t="s">
        <v>508</v>
      </c>
      <c r="D2213" s="735"/>
      <c r="E2213" s="737">
        <f t="shared" si="689"/>
        <v>10</v>
      </c>
      <c r="F2213" s="738" t="s">
        <v>363</v>
      </c>
      <c r="G2213" s="739">
        <v>13500</v>
      </c>
      <c r="H2213" s="748">
        <f t="shared" si="685"/>
        <v>135000</v>
      </c>
      <c r="I2213" s="741">
        <v>750</v>
      </c>
      <c r="J2213" s="749">
        <f t="shared" si="686"/>
        <v>7500</v>
      </c>
      <c r="K2213" s="739">
        <f t="shared" si="687"/>
        <v>142500</v>
      </c>
      <c r="L2213" s="1079"/>
      <c r="M2213" s="752"/>
      <c r="N2213" s="744">
        <f t="shared" si="688"/>
        <v>10</v>
      </c>
      <c r="O2213" s="745">
        <v>0</v>
      </c>
      <c r="P2213" s="737">
        <v>10</v>
      </c>
      <c r="Q2213" s="752"/>
      <c r="R2213" s="752"/>
      <c r="S2213" s="752"/>
    </row>
    <row r="2214" spans="1:19" s="682" customFormat="1" ht="24" customHeight="1">
      <c r="A2214" s="734"/>
      <c r="B2214" s="747" t="s">
        <v>469</v>
      </c>
      <c r="C2214" s="735" t="s">
        <v>509</v>
      </c>
      <c r="D2214" s="735"/>
      <c r="E2214" s="737">
        <f t="shared" si="689"/>
        <v>1</v>
      </c>
      <c r="F2214" s="738" t="s">
        <v>363</v>
      </c>
      <c r="G2214" s="739">
        <v>14476</v>
      </c>
      <c r="H2214" s="748">
        <f t="shared" si="685"/>
        <v>14476</v>
      </c>
      <c r="I2214" s="741">
        <v>5367</v>
      </c>
      <c r="J2214" s="749">
        <f t="shared" si="686"/>
        <v>5367</v>
      </c>
      <c r="K2214" s="739">
        <f t="shared" si="687"/>
        <v>19843</v>
      </c>
      <c r="L2214" s="1079"/>
      <c r="M2214" s="679"/>
      <c r="N2214" s="744">
        <f t="shared" si="688"/>
        <v>1</v>
      </c>
      <c r="O2214" s="745">
        <v>0</v>
      </c>
      <c r="P2214" s="737">
        <v>1</v>
      </c>
      <c r="Q2214" s="679"/>
      <c r="R2214" s="679"/>
      <c r="S2214" s="679"/>
    </row>
    <row r="2215" spans="1:19" s="753" customFormat="1" ht="24" customHeight="1">
      <c r="A2215" s="734"/>
      <c r="B2215" s="747"/>
      <c r="C2215" s="735"/>
      <c r="D2215" s="907"/>
      <c r="E2215" s="737">
        <f t="shared" si="689"/>
        <v>0</v>
      </c>
      <c r="F2215" s="738"/>
      <c r="G2215" s="739">
        <v>0</v>
      </c>
      <c r="H2215" s="748">
        <f t="shared" si="685"/>
        <v>0</v>
      </c>
      <c r="I2215" s="741">
        <v>0</v>
      </c>
      <c r="J2215" s="749">
        <f t="shared" si="686"/>
        <v>0</v>
      </c>
      <c r="K2215" s="739">
        <f t="shared" si="687"/>
        <v>0</v>
      </c>
      <c r="L2215" s="1079"/>
      <c r="M2215" s="752"/>
      <c r="N2215" s="744">
        <f t="shared" si="688"/>
        <v>0</v>
      </c>
      <c r="O2215" s="745">
        <v>0</v>
      </c>
      <c r="P2215" s="737">
        <v>0</v>
      </c>
      <c r="Q2215" s="752"/>
      <c r="R2215" s="752"/>
      <c r="S2215" s="752"/>
    </row>
    <row r="2216" spans="1:19" s="753" customFormat="1" ht="24" customHeight="1">
      <c r="A2216" s="734"/>
      <c r="B2216" s="747" t="s">
        <v>469</v>
      </c>
      <c r="C2216" s="735" t="s">
        <v>510</v>
      </c>
      <c r="D2216" s="735"/>
      <c r="E2216" s="737">
        <f t="shared" si="689"/>
        <v>5.8</v>
      </c>
      <c r="F2216" s="738" t="s">
        <v>361</v>
      </c>
      <c r="G2216" s="739">
        <v>2694</v>
      </c>
      <c r="H2216" s="748">
        <f t="shared" si="685"/>
        <v>15625.199999999999</v>
      </c>
      <c r="I2216" s="741">
        <v>1288</v>
      </c>
      <c r="J2216" s="749">
        <f t="shared" si="686"/>
        <v>7470.4</v>
      </c>
      <c r="K2216" s="739">
        <f t="shared" si="687"/>
        <v>23095.599999999999</v>
      </c>
      <c r="L2216" s="1079"/>
      <c r="M2216" s="752"/>
      <c r="N2216" s="744">
        <f t="shared" si="688"/>
        <v>5.8</v>
      </c>
      <c r="O2216" s="745">
        <v>0</v>
      </c>
      <c r="P2216" s="737">
        <v>5.8</v>
      </c>
      <c r="Q2216" s="752"/>
      <c r="R2216" s="752"/>
      <c r="S2216" s="752"/>
    </row>
    <row r="2217" spans="1:19" s="753" customFormat="1" ht="24" customHeight="1">
      <c r="A2217" s="734"/>
      <c r="B2217" s="747"/>
      <c r="C2217" s="735" t="s">
        <v>511</v>
      </c>
      <c r="D2217" s="735"/>
      <c r="E2217" s="737">
        <f t="shared" si="689"/>
        <v>0</v>
      </c>
      <c r="F2217" s="738"/>
      <c r="G2217" s="739"/>
      <c r="H2217" s="748">
        <f t="shared" si="685"/>
        <v>0</v>
      </c>
      <c r="I2217" s="741"/>
      <c r="J2217" s="749">
        <f t="shared" si="686"/>
        <v>0</v>
      </c>
      <c r="K2217" s="739">
        <f t="shared" si="687"/>
        <v>0</v>
      </c>
      <c r="L2217" s="1079"/>
      <c r="M2217" s="752"/>
      <c r="N2217" s="744">
        <f t="shared" si="688"/>
        <v>0</v>
      </c>
      <c r="O2217" s="745">
        <v>0</v>
      </c>
      <c r="P2217" s="737">
        <v>0</v>
      </c>
      <c r="Q2217" s="752"/>
      <c r="R2217" s="752"/>
      <c r="S2217" s="752"/>
    </row>
    <row r="2218" spans="1:19" s="753" customFormat="1" ht="24" customHeight="1">
      <c r="A2218" s="734"/>
      <c r="B2218" s="747" t="s">
        <v>469</v>
      </c>
      <c r="C2218" s="735" t="s">
        <v>512</v>
      </c>
      <c r="D2218" s="735"/>
      <c r="E2218" s="737">
        <f t="shared" si="689"/>
        <v>5.8</v>
      </c>
      <c r="F2218" s="738" t="s">
        <v>361</v>
      </c>
      <c r="G2218" s="739">
        <v>3886</v>
      </c>
      <c r="H2218" s="748">
        <f t="shared" si="685"/>
        <v>22538.799999999999</v>
      </c>
      <c r="I2218" s="741">
        <v>1238</v>
      </c>
      <c r="J2218" s="749">
        <f t="shared" si="686"/>
        <v>7180.4</v>
      </c>
      <c r="K2218" s="739">
        <f t="shared" si="687"/>
        <v>29719.199999999997</v>
      </c>
      <c r="L2218" s="1079"/>
      <c r="M2218" s="752"/>
      <c r="N2218" s="744">
        <f t="shared" si="688"/>
        <v>5.8</v>
      </c>
      <c r="O2218" s="745">
        <v>0</v>
      </c>
      <c r="P2218" s="737">
        <v>5.8</v>
      </c>
      <c r="Q2218" s="752"/>
      <c r="R2218" s="752"/>
      <c r="S2218" s="752"/>
    </row>
    <row r="2219" spans="1:19" s="753" customFormat="1" ht="24" customHeight="1">
      <c r="A2219" s="734"/>
      <c r="B2219" s="747"/>
      <c r="C2219" s="735" t="s">
        <v>513</v>
      </c>
      <c r="D2219" s="735"/>
      <c r="E2219" s="737">
        <f t="shared" si="689"/>
        <v>0</v>
      </c>
      <c r="F2219" s="738"/>
      <c r="G2219" s="739">
        <v>0</v>
      </c>
      <c r="H2219" s="748">
        <f t="shared" si="685"/>
        <v>0</v>
      </c>
      <c r="I2219" s="741">
        <v>0</v>
      </c>
      <c r="J2219" s="749">
        <f t="shared" si="686"/>
        <v>0</v>
      </c>
      <c r="K2219" s="739">
        <f t="shared" si="687"/>
        <v>0</v>
      </c>
      <c r="L2219" s="1079"/>
      <c r="M2219" s="752"/>
      <c r="N2219" s="744">
        <f t="shared" si="688"/>
        <v>0</v>
      </c>
      <c r="O2219" s="745">
        <v>0</v>
      </c>
      <c r="P2219" s="737">
        <v>0</v>
      </c>
      <c r="Q2219" s="752"/>
      <c r="R2219" s="752"/>
      <c r="S2219" s="752"/>
    </row>
    <row r="2220" spans="1:19" s="753" customFormat="1" ht="24" customHeight="1">
      <c r="A2220" s="734"/>
      <c r="B2220" s="747" t="s">
        <v>469</v>
      </c>
      <c r="C2220" s="735" t="s">
        <v>521</v>
      </c>
      <c r="D2220" s="735"/>
      <c r="E2220" s="737">
        <f t="shared" si="689"/>
        <v>9</v>
      </c>
      <c r="F2220" s="738" t="s">
        <v>361</v>
      </c>
      <c r="G2220" s="739">
        <v>1522</v>
      </c>
      <c r="H2220" s="748">
        <f t="shared" si="685"/>
        <v>13698</v>
      </c>
      <c r="I2220" s="741">
        <v>315</v>
      </c>
      <c r="J2220" s="749">
        <f t="shared" si="686"/>
        <v>2835</v>
      </c>
      <c r="K2220" s="739">
        <f t="shared" si="687"/>
        <v>16533</v>
      </c>
      <c r="L2220" s="1079"/>
      <c r="M2220" s="752"/>
      <c r="N2220" s="744">
        <f t="shared" si="688"/>
        <v>9</v>
      </c>
      <c r="O2220" s="745">
        <v>0</v>
      </c>
      <c r="P2220" s="737">
        <v>9</v>
      </c>
      <c r="Q2220" s="752"/>
      <c r="R2220" s="752"/>
      <c r="S2220" s="752"/>
    </row>
    <row r="2221" spans="1:19" s="753" customFormat="1" ht="24" customHeight="1">
      <c r="A2221" s="734"/>
      <c r="B2221" s="747"/>
      <c r="C2221" s="735"/>
      <c r="D2221" s="735"/>
      <c r="E2221" s="737">
        <f t="shared" si="689"/>
        <v>0</v>
      </c>
      <c r="F2221" s="738"/>
      <c r="G2221" s="739">
        <v>0</v>
      </c>
      <c r="H2221" s="748">
        <f t="shared" si="685"/>
        <v>0</v>
      </c>
      <c r="I2221" s="741">
        <v>0</v>
      </c>
      <c r="J2221" s="749">
        <f t="shared" si="686"/>
        <v>0</v>
      </c>
      <c r="K2221" s="739">
        <f t="shared" si="687"/>
        <v>0</v>
      </c>
      <c r="L2221" s="1079"/>
      <c r="M2221" s="752"/>
      <c r="N2221" s="744">
        <f t="shared" si="688"/>
        <v>0</v>
      </c>
      <c r="O2221" s="745">
        <v>0</v>
      </c>
      <c r="P2221" s="737">
        <v>0</v>
      </c>
      <c r="Q2221" s="752"/>
      <c r="R2221" s="752"/>
      <c r="S2221" s="752"/>
    </row>
    <row r="2222" spans="1:19" s="682" customFormat="1" ht="24" customHeight="1">
      <c r="A2222" s="734"/>
      <c r="B2222" s="747" t="s">
        <v>469</v>
      </c>
      <c r="C2222" s="735" t="s">
        <v>515</v>
      </c>
      <c r="D2222" s="735"/>
      <c r="E2222" s="737">
        <f t="shared" si="689"/>
        <v>1</v>
      </c>
      <c r="F2222" s="738" t="s">
        <v>363</v>
      </c>
      <c r="G2222" s="739">
        <v>5013</v>
      </c>
      <c r="H2222" s="748">
        <f t="shared" ref="H2222" si="690">SUM(E2222*G2222)</f>
        <v>5013</v>
      </c>
      <c r="I2222" s="741">
        <v>2403</v>
      </c>
      <c r="J2222" s="749">
        <f t="shared" ref="J2222:J2257" si="691">SUM(E2222*I2222)</f>
        <v>2403</v>
      </c>
      <c r="K2222" s="739">
        <f t="shared" ref="K2222:K2285" si="692">SUM(H2222+J2222)</f>
        <v>7416</v>
      </c>
      <c r="L2222" s="1079"/>
      <c r="M2222" s="679"/>
      <c r="N2222" s="744">
        <f t="shared" si="688"/>
        <v>1</v>
      </c>
      <c r="O2222" s="745">
        <v>0</v>
      </c>
      <c r="P2222" s="737">
        <v>1</v>
      </c>
      <c r="Q2222" s="679"/>
      <c r="R2222" s="679"/>
      <c r="S2222" s="679"/>
    </row>
    <row r="2223" spans="1:19" s="682" customFormat="1" ht="24" customHeight="1">
      <c r="A2223" s="734"/>
      <c r="B2223" s="747"/>
      <c r="C2223" s="735" t="s">
        <v>516</v>
      </c>
      <c r="D2223" s="735"/>
      <c r="E2223" s="737">
        <f t="shared" si="689"/>
        <v>0</v>
      </c>
      <c r="F2223" s="738"/>
      <c r="G2223" s="739"/>
      <c r="H2223" s="748">
        <f t="shared" ref="H2223:H2257" si="693">SUM(E2223*G2223)</f>
        <v>0</v>
      </c>
      <c r="I2223" s="741"/>
      <c r="J2223" s="749">
        <f t="shared" si="691"/>
        <v>0</v>
      </c>
      <c r="K2223" s="739">
        <f t="shared" si="692"/>
        <v>0</v>
      </c>
      <c r="L2223" s="1079"/>
      <c r="M2223" s="679"/>
      <c r="N2223" s="744">
        <f t="shared" si="688"/>
        <v>0</v>
      </c>
      <c r="O2223" s="745">
        <v>0</v>
      </c>
      <c r="P2223" s="737">
        <v>0</v>
      </c>
      <c r="Q2223" s="679"/>
      <c r="R2223" s="679"/>
      <c r="S2223" s="679"/>
    </row>
    <row r="2224" spans="1:19" s="682" customFormat="1" ht="24" customHeight="1">
      <c r="A2224" s="734"/>
      <c r="B2224" s="747"/>
      <c r="C2224" s="735"/>
      <c r="D2224" s="735"/>
      <c r="E2224" s="737">
        <f t="shared" si="689"/>
        <v>0</v>
      </c>
      <c r="F2224" s="738"/>
      <c r="G2224" s="739"/>
      <c r="H2224" s="748">
        <f t="shared" si="693"/>
        <v>0</v>
      </c>
      <c r="I2224" s="741"/>
      <c r="J2224" s="749">
        <f t="shared" si="691"/>
        <v>0</v>
      </c>
      <c r="K2224" s="739">
        <f t="shared" si="692"/>
        <v>0</v>
      </c>
      <c r="L2224" s="1079"/>
      <c r="M2224" s="679"/>
      <c r="N2224" s="744">
        <f t="shared" ref="N2224:N2287" si="694">+(1+O2224)*P2224</f>
        <v>0</v>
      </c>
      <c r="O2224" s="745">
        <v>0</v>
      </c>
      <c r="P2224" s="737">
        <v>0</v>
      </c>
      <c r="Q2224" s="679"/>
      <c r="R2224" s="679"/>
      <c r="S2224" s="679"/>
    </row>
    <row r="2225" spans="1:19" s="756" customFormat="1" ht="24" customHeight="1">
      <c r="A2225" s="734"/>
      <c r="B2225" s="747" t="s">
        <v>469</v>
      </c>
      <c r="C2225" s="735" t="s">
        <v>517</v>
      </c>
      <c r="D2225" s="907"/>
      <c r="E2225" s="737">
        <f t="shared" ref="E2225:E2288" si="695">+N2225</f>
        <v>0</v>
      </c>
      <c r="F2225" s="738" t="s">
        <v>361</v>
      </c>
      <c r="G2225" s="739">
        <v>5075.5555555555557</v>
      </c>
      <c r="H2225" s="748">
        <f t="shared" si="693"/>
        <v>0</v>
      </c>
      <c r="I2225" s="741">
        <v>2545.7777777777778</v>
      </c>
      <c r="J2225" s="749">
        <f t="shared" si="691"/>
        <v>0</v>
      </c>
      <c r="K2225" s="739">
        <f t="shared" si="692"/>
        <v>0</v>
      </c>
      <c r="L2225" s="1079"/>
      <c r="M2225" s="755"/>
      <c r="N2225" s="744">
        <f t="shared" si="694"/>
        <v>0</v>
      </c>
      <c r="O2225" s="745">
        <v>0</v>
      </c>
      <c r="P2225" s="737">
        <v>0</v>
      </c>
      <c r="Q2225" s="755"/>
      <c r="R2225" s="755"/>
      <c r="S2225" s="755"/>
    </row>
    <row r="2226" spans="1:19" s="756" customFormat="1" ht="24" customHeight="1">
      <c r="A2226" s="734"/>
      <c r="B2226" s="747"/>
      <c r="C2226" s="735" t="s">
        <v>488</v>
      </c>
      <c r="D2226" s="907"/>
      <c r="E2226" s="737">
        <f t="shared" si="695"/>
        <v>0</v>
      </c>
      <c r="F2226" s="738"/>
      <c r="G2226" s="739">
        <v>0</v>
      </c>
      <c r="H2226" s="748">
        <f t="shared" si="693"/>
        <v>0</v>
      </c>
      <c r="I2226" s="741">
        <v>0</v>
      </c>
      <c r="J2226" s="749">
        <f t="shared" si="691"/>
        <v>0</v>
      </c>
      <c r="K2226" s="739">
        <f t="shared" si="692"/>
        <v>0</v>
      </c>
      <c r="L2226" s="1079"/>
      <c r="M2226" s="755"/>
      <c r="N2226" s="744">
        <f t="shared" si="694"/>
        <v>0</v>
      </c>
      <c r="O2226" s="745">
        <v>0</v>
      </c>
      <c r="P2226" s="737">
        <v>0</v>
      </c>
      <c r="Q2226" s="755"/>
      <c r="R2226" s="755"/>
      <c r="S2226" s="755"/>
    </row>
    <row r="2227" spans="1:19" s="753" customFormat="1" ht="24" customHeight="1">
      <c r="A2227" s="734"/>
      <c r="B2227" s="747" t="s">
        <v>469</v>
      </c>
      <c r="C2227" s="735" t="s">
        <v>518</v>
      </c>
      <c r="D2227" s="735"/>
      <c r="E2227" s="737">
        <f t="shared" si="695"/>
        <v>0</v>
      </c>
      <c r="F2227" s="738" t="s">
        <v>361</v>
      </c>
      <c r="G2227" s="739">
        <v>3886</v>
      </c>
      <c r="H2227" s="748">
        <f t="shared" si="693"/>
        <v>0</v>
      </c>
      <c r="I2227" s="741">
        <v>1238</v>
      </c>
      <c r="J2227" s="749">
        <f t="shared" si="691"/>
        <v>0</v>
      </c>
      <c r="K2227" s="739">
        <f t="shared" si="692"/>
        <v>0</v>
      </c>
      <c r="L2227" s="1079"/>
      <c r="M2227" s="752"/>
      <c r="N2227" s="744">
        <f t="shared" si="694"/>
        <v>0</v>
      </c>
      <c r="O2227" s="745">
        <v>0</v>
      </c>
      <c r="P2227" s="737">
        <v>0</v>
      </c>
      <c r="Q2227" s="752"/>
      <c r="R2227" s="752"/>
      <c r="S2227" s="752"/>
    </row>
    <row r="2228" spans="1:19" s="753" customFormat="1" ht="24" customHeight="1">
      <c r="A2228" s="734"/>
      <c r="B2228" s="747"/>
      <c r="C2228" s="735" t="s">
        <v>513</v>
      </c>
      <c r="D2228" s="735"/>
      <c r="E2228" s="737">
        <f t="shared" si="695"/>
        <v>0</v>
      </c>
      <c r="F2228" s="738"/>
      <c r="G2228" s="739">
        <v>0</v>
      </c>
      <c r="H2228" s="748">
        <f t="shared" si="693"/>
        <v>0</v>
      </c>
      <c r="I2228" s="741">
        <v>0</v>
      </c>
      <c r="J2228" s="749">
        <f t="shared" si="691"/>
        <v>0</v>
      </c>
      <c r="K2228" s="739">
        <f t="shared" si="692"/>
        <v>0</v>
      </c>
      <c r="L2228" s="1079"/>
      <c r="M2228" s="752"/>
      <c r="N2228" s="744">
        <f t="shared" si="694"/>
        <v>0</v>
      </c>
      <c r="O2228" s="745">
        <v>0</v>
      </c>
      <c r="P2228" s="737">
        <v>0</v>
      </c>
      <c r="Q2228" s="752"/>
      <c r="R2228" s="752"/>
      <c r="S2228" s="752"/>
    </row>
    <row r="2229" spans="1:19" s="682" customFormat="1" ht="24" customHeight="1">
      <c r="A2229" s="734"/>
      <c r="B2229" s="747"/>
      <c r="C2229" s="735"/>
      <c r="D2229" s="735"/>
      <c r="E2229" s="737">
        <f t="shared" si="695"/>
        <v>0</v>
      </c>
      <c r="F2229" s="738"/>
      <c r="G2229" s="739"/>
      <c r="H2229" s="748">
        <f t="shared" si="693"/>
        <v>0</v>
      </c>
      <c r="I2229" s="741"/>
      <c r="J2229" s="749">
        <f t="shared" si="691"/>
        <v>0</v>
      </c>
      <c r="K2229" s="739">
        <f t="shared" si="692"/>
        <v>0</v>
      </c>
      <c r="L2229" s="1079"/>
      <c r="M2229" s="679"/>
      <c r="N2229" s="744">
        <f t="shared" si="694"/>
        <v>0</v>
      </c>
      <c r="O2229" s="745">
        <v>0</v>
      </c>
      <c r="P2229" s="737">
        <v>0</v>
      </c>
      <c r="Q2229" s="679"/>
      <c r="R2229" s="679"/>
      <c r="S2229" s="679"/>
    </row>
    <row r="2230" spans="1:19" s="682" customFormat="1" ht="24" customHeight="1">
      <c r="A2230" s="734"/>
      <c r="B2230" s="747" t="s">
        <v>469</v>
      </c>
      <c r="C2230" s="735" t="s">
        <v>519</v>
      </c>
      <c r="D2230" s="735"/>
      <c r="E2230" s="737">
        <f t="shared" si="695"/>
        <v>1</v>
      </c>
      <c r="F2230" s="738" t="s">
        <v>363</v>
      </c>
      <c r="G2230" s="739">
        <v>800</v>
      </c>
      <c r="H2230" s="748">
        <f t="shared" si="693"/>
        <v>800</v>
      </c>
      <c r="I2230" s="741">
        <v>70</v>
      </c>
      <c r="J2230" s="749">
        <f t="shared" si="691"/>
        <v>70</v>
      </c>
      <c r="K2230" s="739">
        <f t="shared" si="692"/>
        <v>870</v>
      </c>
      <c r="L2230" s="1079"/>
      <c r="M2230" s="679"/>
      <c r="N2230" s="744">
        <f t="shared" si="694"/>
        <v>1</v>
      </c>
      <c r="O2230" s="745">
        <v>0</v>
      </c>
      <c r="P2230" s="737">
        <v>1</v>
      </c>
      <c r="Q2230" s="679"/>
      <c r="R2230" s="679"/>
      <c r="S2230" s="679"/>
    </row>
    <row r="2231" spans="1:19" s="682" customFormat="1" ht="24" customHeight="1">
      <c r="A2231" s="734"/>
      <c r="B2231" s="747" t="s">
        <v>469</v>
      </c>
      <c r="C2231" s="735" t="s">
        <v>520</v>
      </c>
      <c r="D2231" s="735"/>
      <c r="E2231" s="737">
        <f t="shared" si="695"/>
        <v>0</v>
      </c>
      <c r="F2231" s="738" t="s">
        <v>361</v>
      </c>
      <c r="G2231" s="739">
        <v>190</v>
      </c>
      <c r="H2231" s="748">
        <f t="shared" si="693"/>
        <v>0</v>
      </c>
      <c r="I2231" s="741">
        <v>75</v>
      </c>
      <c r="J2231" s="749">
        <f t="shared" si="691"/>
        <v>0</v>
      </c>
      <c r="K2231" s="739">
        <f t="shared" si="692"/>
        <v>0</v>
      </c>
      <c r="L2231" s="1079"/>
      <c r="M2231" s="679"/>
      <c r="N2231" s="744">
        <f t="shared" si="694"/>
        <v>0</v>
      </c>
      <c r="O2231" s="745">
        <v>0</v>
      </c>
      <c r="P2231" s="737">
        <v>0</v>
      </c>
      <c r="Q2231" s="679"/>
      <c r="R2231" s="679"/>
      <c r="S2231" s="679"/>
    </row>
    <row r="2232" spans="1:19" s="682" customFormat="1" ht="24" customHeight="1">
      <c r="A2232" s="734"/>
      <c r="B2232" s="747"/>
      <c r="C2232" s="735"/>
      <c r="D2232" s="735"/>
      <c r="E2232" s="737">
        <f t="shared" si="695"/>
        <v>0</v>
      </c>
      <c r="F2232" s="738"/>
      <c r="G2232" s="739"/>
      <c r="H2232" s="748">
        <f t="shared" si="693"/>
        <v>0</v>
      </c>
      <c r="I2232" s="741"/>
      <c r="J2232" s="749">
        <f t="shared" si="691"/>
        <v>0</v>
      </c>
      <c r="K2232" s="739">
        <f t="shared" si="692"/>
        <v>0</v>
      </c>
      <c r="L2232" s="1079"/>
      <c r="M2232" s="679"/>
      <c r="N2232" s="744">
        <f t="shared" si="694"/>
        <v>0</v>
      </c>
      <c r="O2232" s="745">
        <v>0</v>
      </c>
      <c r="P2232" s="737">
        <v>0</v>
      </c>
      <c r="Q2232" s="679"/>
      <c r="R2232" s="679"/>
      <c r="S2232" s="679"/>
    </row>
    <row r="2233" spans="1:19" s="753" customFormat="1" ht="24" customHeight="1">
      <c r="A2233" s="734"/>
      <c r="B2233" s="735" t="s">
        <v>1074</v>
      </c>
      <c r="C2233" s="735"/>
      <c r="D2233" s="735"/>
      <c r="E2233" s="737">
        <f t="shared" si="695"/>
        <v>0</v>
      </c>
      <c r="F2233" s="738"/>
      <c r="G2233" s="739">
        <v>0</v>
      </c>
      <c r="H2233" s="748">
        <f t="shared" si="693"/>
        <v>0</v>
      </c>
      <c r="I2233" s="741">
        <v>0</v>
      </c>
      <c r="J2233" s="749">
        <f t="shared" si="691"/>
        <v>0</v>
      </c>
      <c r="K2233" s="739">
        <f t="shared" si="692"/>
        <v>0</v>
      </c>
      <c r="L2233" s="1079"/>
      <c r="M2233" s="752"/>
      <c r="N2233" s="744">
        <f t="shared" si="694"/>
        <v>0</v>
      </c>
      <c r="O2233" s="745">
        <v>0</v>
      </c>
      <c r="P2233" s="737">
        <v>0</v>
      </c>
      <c r="Q2233" s="752"/>
      <c r="R2233" s="752"/>
      <c r="S2233" s="752"/>
    </row>
    <row r="2234" spans="1:19" s="753" customFormat="1" ht="24" customHeight="1">
      <c r="A2234" s="734"/>
      <c r="B2234" s="747" t="s">
        <v>469</v>
      </c>
      <c r="C2234" s="735" t="s">
        <v>522</v>
      </c>
      <c r="D2234" s="735"/>
      <c r="E2234" s="737">
        <f t="shared" si="695"/>
        <v>1</v>
      </c>
      <c r="F2234" s="738" t="s">
        <v>363</v>
      </c>
      <c r="G2234" s="739">
        <v>6832</v>
      </c>
      <c r="H2234" s="748">
        <f t="shared" si="693"/>
        <v>6832</v>
      </c>
      <c r="I2234" s="741">
        <v>450</v>
      </c>
      <c r="J2234" s="749">
        <f t="shared" si="691"/>
        <v>450</v>
      </c>
      <c r="K2234" s="739">
        <f t="shared" si="692"/>
        <v>7282</v>
      </c>
      <c r="L2234" s="1079"/>
      <c r="M2234" s="752"/>
      <c r="N2234" s="744">
        <f t="shared" si="694"/>
        <v>1</v>
      </c>
      <c r="O2234" s="745">
        <v>0</v>
      </c>
      <c r="P2234" s="737">
        <v>1</v>
      </c>
      <c r="Q2234" s="752"/>
      <c r="R2234" s="752"/>
      <c r="S2234" s="752"/>
    </row>
    <row r="2235" spans="1:19" s="753" customFormat="1" ht="24" customHeight="1">
      <c r="A2235" s="734"/>
      <c r="B2235" s="747" t="s">
        <v>469</v>
      </c>
      <c r="C2235" s="735" t="s">
        <v>498</v>
      </c>
      <c r="D2235" s="735"/>
      <c r="E2235" s="737">
        <f t="shared" si="695"/>
        <v>1</v>
      </c>
      <c r="F2235" s="738" t="s">
        <v>363</v>
      </c>
      <c r="G2235" s="739">
        <v>6640</v>
      </c>
      <c r="H2235" s="748">
        <f t="shared" si="693"/>
        <v>6640</v>
      </c>
      <c r="I2235" s="741">
        <v>200</v>
      </c>
      <c r="J2235" s="749">
        <f t="shared" si="691"/>
        <v>200</v>
      </c>
      <c r="K2235" s="739">
        <f t="shared" si="692"/>
        <v>6840</v>
      </c>
      <c r="L2235" s="1079"/>
      <c r="M2235" s="752"/>
      <c r="N2235" s="744">
        <f t="shared" si="694"/>
        <v>1</v>
      </c>
      <c r="O2235" s="745">
        <v>0</v>
      </c>
      <c r="P2235" s="737">
        <v>1</v>
      </c>
      <c r="Q2235" s="752"/>
      <c r="R2235" s="752"/>
      <c r="S2235" s="752"/>
    </row>
    <row r="2236" spans="1:19" s="753" customFormat="1" ht="24" customHeight="1">
      <c r="A2236" s="734"/>
      <c r="B2236" s="747" t="s">
        <v>469</v>
      </c>
      <c r="C2236" s="735" t="s">
        <v>476</v>
      </c>
      <c r="D2236" s="735"/>
      <c r="E2236" s="737">
        <f t="shared" si="695"/>
        <v>1</v>
      </c>
      <c r="F2236" s="738" t="s">
        <v>363</v>
      </c>
      <c r="G2236" s="739">
        <v>336</v>
      </c>
      <c r="H2236" s="748">
        <f t="shared" si="693"/>
        <v>336</v>
      </c>
      <c r="I2236" s="741">
        <v>0</v>
      </c>
      <c r="J2236" s="749">
        <f t="shared" si="691"/>
        <v>0</v>
      </c>
      <c r="K2236" s="739">
        <f t="shared" si="692"/>
        <v>336</v>
      </c>
      <c r="L2236" s="1079"/>
      <c r="M2236" s="752"/>
      <c r="N2236" s="744">
        <f t="shared" si="694"/>
        <v>1</v>
      </c>
      <c r="O2236" s="745">
        <v>0</v>
      </c>
      <c r="P2236" s="737">
        <v>1</v>
      </c>
      <c r="Q2236" s="752"/>
      <c r="R2236" s="752"/>
      <c r="S2236" s="752"/>
    </row>
    <row r="2237" spans="1:19" s="753" customFormat="1" ht="24" customHeight="1">
      <c r="A2237" s="734"/>
      <c r="B2237" s="747" t="s">
        <v>469</v>
      </c>
      <c r="C2237" s="735" t="s">
        <v>477</v>
      </c>
      <c r="D2237" s="735"/>
      <c r="E2237" s="737">
        <f t="shared" si="695"/>
        <v>1</v>
      </c>
      <c r="F2237" s="738" t="s">
        <v>363</v>
      </c>
      <c r="G2237" s="739">
        <v>736</v>
      </c>
      <c r="H2237" s="748">
        <f t="shared" si="693"/>
        <v>736</v>
      </c>
      <c r="I2237" s="741">
        <v>0</v>
      </c>
      <c r="J2237" s="749">
        <f t="shared" si="691"/>
        <v>0</v>
      </c>
      <c r="K2237" s="739">
        <f t="shared" si="692"/>
        <v>736</v>
      </c>
      <c r="L2237" s="1079"/>
      <c r="M2237" s="752"/>
      <c r="N2237" s="744">
        <f t="shared" si="694"/>
        <v>1</v>
      </c>
      <c r="O2237" s="745">
        <v>0</v>
      </c>
      <c r="P2237" s="737">
        <v>1</v>
      </c>
      <c r="Q2237" s="752"/>
      <c r="R2237" s="752"/>
      <c r="S2237" s="752"/>
    </row>
    <row r="2238" spans="1:19" s="753" customFormat="1" ht="24" customHeight="1">
      <c r="A2238" s="734"/>
      <c r="B2238" s="747" t="s">
        <v>469</v>
      </c>
      <c r="C2238" s="735" t="s">
        <v>478</v>
      </c>
      <c r="D2238" s="735"/>
      <c r="E2238" s="737">
        <f t="shared" si="695"/>
        <v>1</v>
      </c>
      <c r="F2238" s="738" t="s">
        <v>363</v>
      </c>
      <c r="G2238" s="739">
        <v>176</v>
      </c>
      <c r="H2238" s="748">
        <f t="shared" si="693"/>
        <v>176</v>
      </c>
      <c r="I2238" s="741">
        <v>0</v>
      </c>
      <c r="J2238" s="749">
        <f t="shared" si="691"/>
        <v>0</v>
      </c>
      <c r="K2238" s="739">
        <f t="shared" si="692"/>
        <v>176</v>
      </c>
      <c r="L2238" s="1079"/>
      <c r="M2238" s="752"/>
      <c r="N2238" s="744">
        <f t="shared" si="694"/>
        <v>1</v>
      </c>
      <c r="O2238" s="745">
        <v>0</v>
      </c>
      <c r="P2238" s="737">
        <v>1</v>
      </c>
      <c r="Q2238" s="752"/>
      <c r="R2238" s="752"/>
      <c r="S2238" s="752"/>
    </row>
    <row r="2239" spans="1:19" s="753" customFormat="1" ht="24" customHeight="1">
      <c r="A2239" s="734"/>
      <c r="B2239" s="747" t="s">
        <v>469</v>
      </c>
      <c r="C2239" s="735" t="s">
        <v>499</v>
      </c>
      <c r="D2239" s="735"/>
      <c r="E2239" s="737">
        <f t="shared" si="695"/>
        <v>1</v>
      </c>
      <c r="F2239" s="738" t="s">
        <v>363</v>
      </c>
      <c r="G2239" s="739">
        <v>216</v>
      </c>
      <c r="H2239" s="748">
        <f t="shared" si="693"/>
        <v>216</v>
      </c>
      <c r="I2239" s="741">
        <v>35</v>
      </c>
      <c r="J2239" s="749">
        <f t="shared" si="691"/>
        <v>35</v>
      </c>
      <c r="K2239" s="739">
        <f t="shared" si="692"/>
        <v>251</v>
      </c>
      <c r="L2239" s="1079"/>
      <c r="M2239" s="752"/>
      <c r="N2239" s="744">
        <f t="shared" si="694"/>
        <v>1</v>
      </c>
      <c r="O2239" s="745">
        <v>0</v>
      </c>
      <c r="P2239" s="737">
        <v>1</v>
      </c>
      <c r="Q2239" s="752"/>
      <c r="R2239" s="752"/>
      <c r="S2239" s="752"/>
    </row>
    <row r="2240" spans="1:19" s="753" customFormat="1" ht="24" customHeight="1">
      <c r="A2240" s="734"/>
      <c r="B2240" s="750"/>
      <c r="C2240" s="757"/>
      <c r="D2240" s="907"/>
      <c r="E2240" s="737">
        <f t="shared" si="695"/>
        <v>0</v>
      </c>
      <c r="F2240" s="738"/>
      <c r="G2240" s="739">
        <v>0</v>
      </c>
      <c r="H2240" s="748">
        <f t="shared" si="693"/>
        <v>0</v>
      </c>
      <c r="I2240" s="741">
        <v>0</v>
      </c>
      <c r="J2240" s="749">
        <f t="shared" si="691"/>
        <v>0</v>
      </c>
      <c r="K2240" s="739">
        <f t="shared" si="692"/>
        <v>0</v>
      </c>
      <c r="L2240" s="1079"/>
      <c r="M2240" s="752"/>
      <c r="N2240" s="744">
        <f t="shared" si="694"/>
        <v>0</v>
      </c>
      <c r="O2240" s="745">
        <v>0</v>
      </c>
      <c r="P2240" s="737">
        <v>0</v>
      </c>
      <c r="Q2240" s="752"/>
      <c r="R2240" s="752"/>
      <c r="S2240" s="752"/>
    </row>
    <row r="2241" spans="1:19" s="753" customFormat="1" ht="24" customHeight="1">
      <c r="A2241" s="734"/>
      <c r="B2241" s="747" t="s">
        <v>469</v>
      </c>
      <c r="C2241" s="735" t="s">
        <v>523</v>
      </c>
      <c r="D2241" s="735"/>
      <c r="E2241" s="737">
        <f t="shared" si="695"/>
        <v>1</v>
      </c>
      <c r="F2241" s="738" t="s">
        <v>363</v>
      </c>
      <c r="G2241" s="739">
        <v>6580</v>
      </c>
      <c r="H2241" s="748">
        <f t="shared" si="693"/>
        <v>6580</v>
      </c>
      <c r="I2241" s="741">
        <v>450</v>
      </c>
      <c r="J2241" s="749">
        <f t="shared" si="691"/>
        <v>450</v>
      </c>
      <c r="K2241" s="739">
        <f t="shared" si="692"/>
        <v>7030</v>
      </c>
      <c r="L2241" s="1079"/>
      <c r="M2241" s="752"/>
      <c r="N2241" s="744">
        <f t="shared" si="694"/>
        <v>1</v>
      </c>
      <c r="O2241" s="745">
        <v>0</v>
      </c>
      <c r="P2241" s="737">
        <v>1</v>
      </c>
      <c r="Q2241" s="752"/>
      <c r="R2241" s="752"/>
      <c r="S2241" s="752"/>
    </row>
    <row r="2242" spans="1:19" s="753" customFormat="1" ht="24" customHeight="1">
      <c r="A2242" s="734"/>
      <c r="B2242" s="747" t="s">
        <v>469</v>
      </c>
      <c r="C2242" s="735" t="s">
        <v>478</v>
      </c>
      <c r="D2242" s="735"/>
      <c r="E2242" s="737">
        <f t="shared" si="695"/>
        <v>1</v>
      </c>
      <c r="F2242" s="738" t="s">
        <v>363</v>
      </c>
      <c r="G2242" s="739">
        <v>176</v>
      </c>
      <c r="H2242" s="748">
        <f t="shared" si="693"/>
        <v>176</v>
      </c>
      <c r="I2242" s="741">
        <v>0</v>
      </c>
      <c r="J2242" s="749">
        <f t="shared" si="691"/>
        <v>0</v>
      </c>
      <c r="K2242" s="739">
        <f t="shared" si="692"/>
        <v>176</v>
      </c>
      <c r="L2242" s="1079"/>
      <c r="M2242" s="752"/>
      <c r="N2242" s="744">
        <f t="shared" si="694"/>
        <v>1</v>
      </c>
      <c r="O2242" s="745">
        <v>0</v>
      </c>
      <c r="P2242" s="737">
        <v>1</v>
      </c>
      <c r="Q2242" s="752"/>
      <c r="R2242" s="752"/>
      <c r="S2242" s="752"/>
    </row>
    <row r="2243" spans="1:19" s="753" customFormat="1" ht="24" customHeight="1">
      <c r="A2243" s="734"/>
      <c r="B2243" s="747" t="s">
        <v>469</v>
      </c>
      <c r="C2243" s="735" t="s">
        <v>482</v>
      </c>
      <c r="D2243" s="735"/>
      <c r="E2243" s="737">
        <f t="shared" si="695"/>
        <v>1</v>
      </c>
      <c r="F2243" s="738" t="s">
        <v>363</v>
      </c>
      <c r="G2243" s="739">
        <v>560</v>
      </c>
      <c r="H2243" s="748">
        <f t="shared" si="693"/>
        <v>560</v>
      </c>
      <c r="I2243" s="741">
        <v>35</v>
      </c>
      <c r="J2243" s="749">
        <f t="shared" si="691"/>
        <v>35</v>
      </c>
      <c r="K2243" s="739">
        <f t="shared" si="692"/>
        <v>595</v>
      </c>
      <c r="L2243" s="1079"/>
      <c r="M2243" s="752"/>
      <c r="N2243" s="744">
        <f t="shared" si="694"/>
        <v>1</v>
      </c>
      <c r="O2243" s="745">
        <v>0</v>
      </c>
      <c r="P2243" s="737">
        <v>1</v>
      </c>
      <c r="Q2243" s="752"/>
      <c r="R2243" s="752"/>
      <c r="S2243" s="752"/>
    </row>
    <row r="2244" spans="1:19" s="753" customFormat="1" ht="24" customHeight="1">
      <c r="A2244" s="734"/>
      <c r="B2244" s="747" t="s">
        <v>469</v>
      </c>
      <c r="C2244" s="735" t="s">
        <v>524</v>
      </c>
      <c r="D2244" s="735"/>
      <c r="E2244" s="737">
        <f t="shared" si="695"/>
        <v>1</v>
      </c>
      <c r="F2244" s="738" t="s">
        <v>363</v>
      </c>
      <c r="G2244" s="739">
        <v>216</v>
      </c>
      <c r="H2244" s="748">
        <f t="shared" si="693"/>
        <v>216</v>
      </c>
      <c r="I2244" s="741">
        <v>35</v>
      </c>
      <c r="J2244" s="749">
        <f t="shared" si="691"/>
        <v>35</v>
      </c>
      <c r="K2244" s="739">
        <f t="shared" si="692"/>
        <v>251</v>
      </c>
      <c r="L2244" s="1079"/>
      <c r="M2244" s="752"/>
      <c r="N2244" s="744">
        <f t="shared" si="694"/>
        <v>1</v>
      </c>
      <c r="O2244" s="745">
        <v>0</v>
      </c>
      <c r="P2244" s="737">
        <v>1</v>
      </c>
      <c r="Q2244" s="752"/>
      <c r="R2244" s="752"/>
      <c r="S2244" s="752"/>
    </row>
    <row r="2245" spans="1:19" s="753" customFormat="1" ht="24" customHeight="1">
      <c r="A2245" s="734"/>
      <c r="B2245" s="747"/>
      <c r="C2245" s="735"/>
      <c r="D2245" s="735"/>
      <c r="E2245" s="737">
        <f t="shared" si="695"/>
        <v>0</v>
      </c>
      <c r="F2245" s="738"/>
      <c r="G2245" s="739">
        <v>0</v>
      </c>
      <c r="H2245" s="748">
        <f t="shared" si="693"/>
        <v>0</v>
      </c>
      <c r="I2245" s="741">
        <v>0</v>
      </c>
      <c r="J2245" s="749">
        <f t="shared" si="691"/>
        <v>0</v>
      </c>
      <c r="K2245" s="739">
        <f t="shared" si="692"/>
        <v>0</v>
      </c>
      <c r="L2245" s="1079"/>
      <c r="M2245" s="752"/>
      <c r="N2245" s="744">
        <f t="shared" si="694"/>
        <v>0</v>
      </c>
      <c r="O2245" s="745">
        <v>0</v>
      </c>
      <c r="P2245" s="737">
        <v>0</v>
      </c>
      <c r="Q2245" s="752"/>
      <c r="R2245" s="752"/>
      <c r="S2245" s="752"/>
    </row>
    <row r="2246" spans="1:19" s="753" customFormat="1" ht="24" customHeight="1">
      <c r="A2246" s="734"/>
      <c r="B2246" s="747" t="s">
        <v>469</v>
      </c>
      <c r="C2246" s="735" t="s">
        <v>486</v>
      </c>
      <c r="D2246" s="735"/>
      <c r="E2246" s="737">
        <f t="shared" si="695"/>
        <v>1</v>
      </c>
      <c r="F2246" s="738" t="s">
        <v>363</v>
      </c>
      <c r="G2246" s="739">
        <v>552</v>
      </c>
      <c r="H2246" s="748">
        <f t="shared" si="693"/>
        <v>552</v>
      </c>
      <c r="I2246" s="741">
        <v>25</v>
      </c>
      <c r="J2246" s="749">
        <f t="shared" si="691"/>
        <v>25</v>
      </c>
      <c r="K2246" s="739">
        <f t="shared" si="692"/>
        <v>577</v>
      </c>
      <c r="L2246" s="1079"/>
      <c r="M2246" s="752"/>
      <c r="N2246" s="744">
        <f t="shared" si="694"/>
        <v>1</v>
      </c>
      <c r="O2246" s="745">
        <v>0</v>
      </c>
      <c r="P2246" s="737">
        <v>1</v>
      </c>
      <c r="Q2246" s="752"/>
      <c r="R2246" s="752"/>
      <c r="S2246" s="752"/>
    </row>
    <row r="2247" spans="1:19" s="753" customFormat="1" ht="24" customHeight="1">
      <c r="A2247" s="734"/>
      <c r="B2247" s="747" t="s">
        <v>484</v>
      </c>
      <c r="C2247" s="735" t="s">
        <v>485</v>
      </c>
      <c r="D2247" s="735"/>
      <c r="E2247" s="737">
        <f t="shared" si="695"/>
        <v>1</v>
      </c>
      <c r="F2247" s="738" t="s">
        <v>363</v>
      </c>
      <c r="G2247" s="739">
        <v>285</v>
      </c>
      <c r="H2247" s="748">
        <f t="shared" si="693"/>
        <v>285</v>
      </c>
      <c r="I2247" s="741">
        <v>75</v>
      </c>
      <c r="J2247" s="749">
        <f t="shared" si="691"/>
        <v>75</v>
      </c>
      <c r="K2247" s="739">
        <f t="shared" si="692"/>
        <v>360</v>
      </c>
      <c r="L2247" s="1093"/>
      <c r="M2247" s="752"/>
      <c r="N2247" s="744">
        <f t="shared" si="694"/>
        <v>1</v>
      </c>
      <c r="O2247" s="745">
        <v>0</v>
      </c>
      <c r="P2247" s="737">
        <v>1</v>
      </c>
      <c r="Q2247" s="752"/>
      <c r="R2247" s="752"/>
      <c r="S2247" s="752"/>
    </row>
    <row r="2248" spans="1:19" s="753" customFormat="1" ht="24" customHeight="1">
      <c r="A2248" s="734"/>
      <c r="B2248" s="747"/>
      <c r="C2248" s="735"/>
      <c r="D2248" s="735"/>
      <c r="E2248" s="737">
        <f t="shared" si="695"/>
        <v>0</v>
      </c>
      <c r="F2248" s="738"/>
      <c r="G2248" s="739">
        <v>0</v>
      </c>
      <c r="H2248" s="748">
        <f t="shared" si="693"/>
        <v>0</v>
      </c>
      <c r="I2248" s="741">
        <v>0</v>
      </c>
      <c r="J2248" s="749">
        <f t="shared" si="691"/>
        <v>0</v>
      </c>
      <c r="K2248" s="739">
        <f t="shared" si="692"/>
        <v>0</v>
      </c>
      <c r="L2248" s="1079"/>
      <c r="M2248" s="752"/>
      <c r="N2248" s="744">
        <f t="shared" si="694"/>
        <v>0</v>
      </c>
      <c r="O2248" s="745">
        <v>0</v>
      </c>
      <c r="P2248" s="737">
        <v>0</v>
      </c>
      <c r="Q2248" s="752"/>
      <c r="R2248" s="752"/>
      <c r="S2248" s="752"/>
    </row>
    <row r="2249" spans="1:19" s="753" customFormat="1" ht="24" customHeight="1">
      <c r="A2249" s="734"/>
      <c r="B2249" s="747" t="s">
        <v>469</v>
      </c>
      <c r="C2249" s="735" t="s">
        <v>507</v>
      </c>
      <c r="D2249" s="735"/>
      <c r="E2249" s="737">
        <f t="shared" si="695"/>
        <v>1</v>
      </c>
      <c r="F2249" s="738" t="s">
        <v>363</v>
      </c>
      <c r="G2249" s="739">
        <v>1650</v>
      </c>
      <c r="H2249" s="748">
        <f t="shared" si="693"/>
        <v>1650</v>
      </c>
      <c r="I2249" s="741">
        <v>70</v>
      </c>
      <c r="J2249" s="749">
        <f t="shared" si="691"/>
        <v>70</v>
      </c>
      <c r="K2249" s="739">
        <f t="shared" si="692"/>
        <v>1720</v>
      </c>
      <c r="L2249" s="1079"/>
      <c r="M2249" s="752"/>
      <c r="N2249" s="744">
        <f t="shared" si="694"/>
        <v>1</v>
      </c>
      <c r="O2249" s="745">
        <v>0</v>
      </c>
      <c r="P2249" s="737">
        <v>1</v>
      </c>
      <c r="Q2249" s="752"/>
      <c r="R2249" s="752"/>
      <c r="S2249" s="752"/>
    </row>
    <row r="2250" spans="1:19" s="753" customFormat="1" ht="24" customHeight="1">
      <c r="A2250" s="734"/>
      <c r="B2250" s="747" t="s">
        <v>469</v>
      </c>
      <c r="C2250" s="735" t="s">
        <v>525</v>
      </c>
      <c r="D2250" s="735"/>
      <c r="E2250" s="737">
        <f t="shared" si="695"/>
        <v>2</v>
      </c>
      <c r="F2250" s="738" t="s">
        <v>363</v>
      </c>
      <c r="G2250" s="739">
        <v>4160</v>
      </c>
      <c r="H2250" s="748">
        <f t="shared" si="693"/>
        <v>8320</v>
      </c>
      <c r="I2250" s="741">
        <v>105</v>
      </c>
      <c r="J2250" s="749">
        <f t="shared" si="691"/>
        <v>210</v>
      </c>
      <c r="K2250" s="739">
        <f t="shared" si="692"/>
        <v>8530</v>
      </c>
      <c r="L2250" s="1079"/>
      <c r="M2250" s="752"/>
      <c r="N2250" s="744">
        <f t="shared" si="694"/>
        <v>2</v>
      </c>
      <c r="O2250" s="745">
        <v>0</v>
      </c>
      <c r="P2250" s="737">
        <v>2</v>
      </c>
      <c r="Q2250" s="752"/>
      <c r="R2250" s="752"/>
      <c r="S2250" s="752"/>
    </row>
    <row r="2251" spans="1:19" s="753" customFormat="1" ht="24" customHeight="1">
      <c r="A2251" s="734"/>
      <c r="B2251" s="747" t="s">
        <v>469</v>
      </c>
      <c r="C2251" s="735" t="s">
        <v>526</v>
      </c>
      <c r="D2251" s="735"/>
      <c r="E2251" s="737">
        <f t="shared" si="695"/>
        <v>1</v>
      </c>
      <c r="F2251" s="738" t="s">
        <v>363</v>
      </c>
      <c r="G2251" s="739">
        <v>2533.5</v>
      </c>
      <c r="H2251" s="748">
        <f t="shared" si="693"/>
        <v>2533.5</v>
      </c>
      <c r="I2251" s="741">
        <v>105</v>
      </c>
      <c r="J2251" s="749">
        <f t="shared" si="691"/>
        <v>105</v>
      </c>
      <c r="K2251" s="739">
        <f t="shared" si="692"/>
        <v>2638.5</v>
      </c>
      <c r="L2251" s="1079"/>
      <c r="M2251" s="752"/>
      <c r="N2251" s="744">
        <f t="shared" si="694"/>
        <v>1</v>
      </c>
      <c r="O2251" s="745">
        <v>0</v>
      </c>
      <c r="P2251" s="737">
        <v>1</v>
      </c>
      <c r="Q2251" s="752"/>
      <c r="R2251" s="752"/>
      <c r="S2251" s="752"/>
    </row>
    <row r="2252" spans="1:19" s="753" customFormat="1" ht="24" customHeight="1">
      <c r="A2252" s="734"/>
      <c r="B2252" s="747"/>
      <c r="C2252" s="735"/>
      <c r="D2252" s="735"/>
      <c r="E2252" s="737">
        <f t="shared" si="695"/>
        <v>0</v>
      </c>
      <c r="F2252" s="738"/>
      <c r="G2252" s="739">
        <v>0</v>
      </c>
      <c r="H2252" s="748">
        <f t="shared" si="693"/>
        <v>0</v>
      </c>
      <c r="I2252" s="741">
        <v>0</v>
      </c>
      <c r="J2252" s="749">
        <f t="shared" si="691"/>
        <v>0</v>
      </c>
      <c r="K2252" s="739">
        <f t="shared" si="692"/>
        <v>0</v>
      </c>
      <c r="L2252" s="1079"/>
      <c r="M2252" s="752"/>
      <c r="N2252" s="744">
        <f t="shared" si="694"/>
        <v>0</v>
      </c>
      <c r="O2252" s="745">
        <v>0</v>
      </c>
      <c r="P2252" s="737">
        <v>0</v>
      </c>
      <c r="Q2252" s="752"/>
      <c r="R2252" s="752"/>
      <c r="S2252" s="752"/>
    </row>
    <row r="2253" spans="1:19" s="753" customFormat="1" ht="24" customHeight="1">
      <c r="A2253" s="734"/>
      <c r="B2253" s="747" t="s">
        <v>469</v>
      </c>
      <c r="C2253" s="735" t="s">
        <v>527</v>
      </c>
      <c r="D2253" s="735"/>
      <c r="E2253" s="737">
        <f t="shared" si="695"/>
        <v>1</v>
      </c>
      <c r="F2253" s="738" t="s">
        <v>363</v>
      </c>
      <c r="G2253" s="739">
        <v>2855</v>
      </c>
      <c r="H2253" s="748">
        <f t="shared" si="693"/>
        <v>2855</v>
      </c>
      <c r="I2253" s="741">
        <v>1432</v>
      </c>
      <c r="J2253" s="749">
        <f t="shared" si="691"/>
        <v>1432</v>
      </c>
      <c r="K2253" s="739">
        <f t="shared" si="692"/>
        <v>4287</v>
      </c>
      <c r="L2253" s="1079"/>
      <c r="M2253" s="752"/>
      <c r="N2253" s="744">
        <f t="shared" si="694"/>
        <v>1</v>
      </c>
      <c r="O2253" s="745">
        <v>0</v>
      </c>
      <c r="P2253" s="737">
        <v>1</v>
      </c>
      <c r="Q2253" s="752"/>
      <c r="R2253" s="752"/>
      <c r="S2253" s="752"/>
    </row>
    <row r="2254" spans="1:19" s="682" customFormat="1" ht="24" customHeight="1">
      <c r="A2254" s="734"/>
      <c r="B2254" s="747" t="s">
        <v>469</v>
      </c>
      <c r="C2254" s="735" t="s">
        <v>528</v>
      </c>
      <c r="D2254" s="735"/>
      <c r="E2254" s="737">
        <f t="shared" si="695"/>
        <v>0</v>
      </c>
      <c r="F2254" s="738" t="s">
        <v>363</v>
      </c>
      <c r="G2254" s="739">
        <v>9750</v>
      </c>
      <c r="H2254" s="748">
        <f t="shared" si="693"/>
        <v>0</v>
      </c>
      <c r="I2254" s="741">
        <v>105</v>
      </c>
      <c r="J2254" s="749">
        <f t="shared" si="691"/>
        <v>0</v>
      </c>
      <c r="K2254" s="739">
        <f t="shared" si="692"/>
        <v>0</v>
      </c>
      <c r="L2254" s="1079"/>
      <c r="M2254" s="679"/>
      <c r="N2254" s="744">
        <f t="shared" si="694"/>
        <v>0</v>
      </c>
      <c r="O2254" s="745">
        <v>0</v>
      </c>
      <c r="P2254" s="737">
        <v>0</v>
      </c>
      <c r="Q2254" s="679"/>
      <c r="R2254" s="679"/>
      <c r="S2254" s="679"/>
    </row>
    <row r="2255" spans="1:19" s="682" customFormat="1" ht="24" customHeight="1">
      <c r="A2255" s="734"/>
      <c r="B2255" s="747" t="s">
        <v>469</v>
      </c>
      <c r="C2255" s="735" t="s">
        <v>529</v>
      </c>
      <c r="D2255" s="735"/>
      <c r="E2255" s="737">
        <f t="shared" si="695"/>
        <v>0</v>
      </c>
      <c r="F2255" s="738" t="s">
        <v>363</v>
      </c>
      <c r="G2255" s="739">
        <v>5200</v>
      </c>
      <c r="H2255" s="748">
        <f t="shared" si="693"/>
        <v>0</v>
      </c>
      <c r="I2255" s="741">
        <v>70</v>
      </c>
      <c r="J2255" s="749">
        <f t="shared" si="691"/>
        <v>0</v>
      </c>
      <c r="K2255" s="739">
        <f t="shared" si="692"/>
        <v>0</v>
      </c>
      <c r="L2255" s="1079"/>
      <c r="M2255" s="679"/>
      <c r="N2255" s="744">
        <f t="shared" si="694"/>
        <v>0</v>
      </c>
      <c r="O2255" s="745">
        <v>0</v>
      </c>
      <c r="P2255" s="737">
        <v>0</v>
      </c>
      <c r="Q2255" s="679"/>
      <c r="R2255" s="679"/>
      <c r="S2255" s="679"/>
    </row>
    <row r="2256" spans="1:19" s="682" customFormat="1" ht="24" customHeight="1">
      <c r="A2256" s="734"/>
      <c r="B2256" s="747" t="s">
        <v>469</v>
      </c>
      <c r="C2256" s="735" t="s">
        <v>519</v>
      </c>
      <c r="D2256" s="735"/>
      <c r="E2256" s="737">
        <f t="shared" si="695"/>
        <v>1</v>
      </c>
      <c r="F2256" s="738" t="s">
        <v>363</v>
      </c>
      <c r="G2256" s="739">
        <v>800</v>
      </c>
      <c r="H2256" s="748">
        <f t="shared" si="693"/>
        <v>800</v>
      </c>
      <c r="I2256" s="741">
        <v>70</v>
      </c>
      <c r="J2256" s="749">
        <f t="shared" si="691"/>
        <v>70</v>
      </c>
      <c r="K2256" s="739">
        <f t="shared" si="692"/>
        <v>870</v>
      </c>
      <c r="L2256" s="1079"/>
      <c r="M2256" s="679"/>
      <c r="N2256" s="744">
        <f t="shared" si="694"/>
        <v>1</v>
      </c>
      <c r="O2256" s="745">
        <v>0</v>
      </c>
      <c r="P2256" s="737">
        <v>1</v>
      </c>
      <c r="Q2256" s="679"/>
      <c r="R2256" s="679"/>
      <c r="S2256" s="679"/>
    </row>
    <row r="2257" spans="1:19" s="682" customFormat="1" ht="24" customHeight="1">
      <c r="A2257" s="734"/>
      <c r="B2257" s="747" t="s">
        <v>469</v>
      </c>
      <c r="C2257" s="735" t="s">
        <v>520</v>
      </c>
      <c r="D2257" s="735"/>
      <c r="E2257" s="737">
        <f t="shared" si="695"/>
        <v>0</v>
      </c>
      <c r="F2257" s="738" t="s">
        <v>361</v>
      </c>
      <c r="G2257" s="739">
        <v>190</v>
      </c>
      <c r="H2257" s="748">
        <f t="shared" si="693"/>
        <v>0</v>
      </c>
      <c r="I2257" s="741">
        <v>75</v>
      </c>
      <c r="J2257" s="749">
        <f t="shared" si="691"/>
        <v>0</v>
      </c>
      <c r="K2257" s="739">
        <f t="shared" si="692"/>
        <v>0</v>
      </c>
      <c r="L2257" s="1079"/>
      <c r="M2257" s="679"/>
      <c r="N2257" s="744">
        <f t="shared" si="694"/>
        <v>0</v>
      </c>
      <c r="O2257" s="745">
        <v>0</v>
      </c>
      <c r="P2257" s="737">
        <v>0</v>
      </c>
      <c r="Q2257" s="679"/>
      <c r="R2257" s="679"/>
      <c r="S2257" s="679"/>
    </row>
    <row r="2258" spans="1:19" s="753" customFormat="1" ht="24" customHeight="1">
      <c r="A2258" s="734"/>
      <c r="B2258" s="747"/>
      <c r="C2258" s="735"/>
      <c r="D2258" s="735"/>
      <c r="E2258" s="737"/>
      <c r="F2258" s="738"/>
      <c r="G2258" s="739"/>
      <c r="H2258" s="748"/>
      <c r="I2258" s="741"/>
      <c r="J2258" s="749"/>
      <c r="K2258" s="739"/>
      <c r="L2258" s="1093"/>
      <c r="M2258" s="752"/>
      <c r="N2258" s="744"/>
      <c r="O2258" s="745"/>
      <c r="P2258" s="737"/>
      <c r="Q2258" s="752"/>
      <c r="R2258" s="752"/>
      <c r="S2258" s="752"/>
    </row>
    <row r="2259" spans="1:19" s="753" customFormat="1" ht="24" customHeight="1">
      <c r="A2259" s="734"/>
      <c r="B2259" s="735" t="s">
        <v>1075</v>
      </c>
      <c r="C2259" s="736"/>
      <c r="D2259" s="907"/>
      <c r="E2259" s="737">
        <f t="shared" si="695"/>
        <v>0</v>
      </c>
      <c r="F2259" s="738"/>
      <c r="G2259" s="739">
        <v>0</v>
      </c>
      <c r="H2259" s="748">
        <f t="shared" ref="H2259:H2323" si="696">SUM(E2259*G2259)</f>
        <v>0</v>
      </c>
      <c r="I2259" s="741">
        <v>0</v>
      </c>
      <c r="J2259" s="749">
        <f t="shared" ref="J2259:J2323" si="697">SUM(E2259*I2259)</f>
        <v>0</v>
      </c>
      <c r="K2259" s="739">
        <f t="shared" si="692"/>
        <v>0</v>
      </c>
      <c r="L2259" s="1079"/>
      <c r="M2259" s="752"/>
      <c r="N2259" s="744">
        <f t="shared" si="694"/>
        <v>0</v>
      </c>
      <c r="O2259" s="745">
        <v>0</v>
      </c>
      <c r="P2259" s="737">
        <v>0</v>
      </c>
      <c r="Q2259" s="752"/>
      <c r="R2259" s="752"/>
      <c r="S2259" s="752"/>
    </row>
    <row r="2260" spans="1:19" s="753" customFormat="1" ht="24" customHeight="1">
      <c r="A2260" s="734"/>
      <c r="B2260" s="747" t="s">
        <v>469</v>
      </c>
      <c r="C2260" s="735" t="s">
        <v>497</v>
      </c>
      <c r="D2260" s="735"/>
      <c r="E2260" s="737">
        <f t="shared" si="695"/>
        <v>4</v>
      </c>
      <c r="F2260" s="738" t="s">
        <v>363</v>
      </c>
      <c r="G2260" s="739">
        <v>1540</v>
      </c>
      <c r="H2260" s="748">
        <f t="shared" si="696"/>
        <v>6160</v>
      </c>
      <c r="I2260" s="741">
        <v>450</v>
      </c>
      <c r="J2260" s="749">
        <f t="shared" si="697"/>
        <v>1800</v>
      </c>
      <c r="K2260" s="739">
        <f t="shared" si="692"/>
        <v>7960</v>
      </c>
      <c r="L2260" s="1079"/>
      <c r="M2260" s="752"/>
      <c r="N2260" s="744">
        <f t="shared" si="694"/>
        <v>4</v>
      </c>
      <c r="O2260" s="745">
        <v>0</v>
      </c>
      <c r="P2260" s="737">
        <v>4</v>
      </c>
      <c r="Q2260" s="752"/>
      <c r="R2260" s="752"/>
      <c r="S2260" s="752"/>
    </row>
    <row r="2261" spans="1:19" s="753" customFormat="1" ht="24" customHeight="1">
      <c r="A2261" s="734"/>
      <c r="B2261" s="747" t="s">
        <v>469</v>
      </c>
      <c r="C2261" s="735" t="s">
        <v>498</v>
      </c>
      <c r="D2261" s="735"/>
      <c r="E2261" s="737">
        <f t="shared" si="695"/>
        <v>4</v>
      </c>
      <c r="F2261" s="738" t="s">
        <v>363</v>
      </c>
      <c r="G2261" s="739">
        <v>6640</v>
      </c>
      <c r="H2261" s="748">
        <f t="shared" si="696"/>
        <v>26560</v>
      </c>
      <c r="I2261" s="741">
        <v>200</v>
      </c>
      <c r="J2261" s="749">
        <f t="shared" si="697"/>
        <v>800</v>
      </c>
      <c r="K2261" s="739">
        <f t="shared" si="692"/>
        <v>27360</v>
      </c>
      <c r="L2261" s="1079"/>
      <c r="M2261" s="752"/>
      <c r="N2261" s="744">
        <f t="shared" si="694"/>
        <v>4</v>
      </c>
      <c r="O2261" s="745">
        <v>0</v>
      </c>
      <c r="P2261" s="737">
        <v>4</v>
      </c>
      <c r="Q2261" s="752"/>
      <c r="R2261" s="752"/>
      <c r="S2261" s="752"/>
    </row>
    <row r="2262" spans="1:19" s="753" customFormat="1" ht="24" customHeight="1">
      <c r="A2262" s="734"/>
      <c r="B2262" s="747" t="s">
        <v>469</v>
      </c>
      <c r="C2262" s="735" t="s">
        <v>496</v>
      </c>
      <c r="D2262" s="735"/>
      <c r="E2262" s="737">
        <f t="shared" si="695"/>
        <v>4</v>
      </c>
      <c r="F2262" s="738" t="s">
        <v>363</v>
      </c>
      <c r="G2262" s="739">
        <v>336</v>
      </c>
      <c r="H2262" s="748">
        <f t="shared" si="696"/>
        <v>1344</v>
      </c>
      <c r="I2262" s="741">
        <v>0</v>
      </c>
      <c r="J2262" s="749">
        <f t="shared" si="697"/>
        <v>0</v>
      </c>
      <c r="K2262" s="739">
        <f t="shared" si="692"/>
        <v>1344</v>
      </c>
      <c r="L2262" s="1079"/>
      <c r="M2262" s="752"/>
      <c r="N2262" s="744">
        <f t="shared" si="694"/>
        <v>4</v>
      </c>
      <c r="O2262" s="745">
        <v>0</v>
      </c>
      <c r="P2262" s="737">
        <v>4</v>
      </c>
      <c r="Q2262" s="752"/>
      <c r="R2262" s="752"/>
      <c r="S2262" s="752"/>
    </row>
    <row r="2263" spans="1:19" s="753" customFormat="1" ht="24" customHeight="1">
      <c r="A2263" s="734"/>
      <c r="B2263" s="747" t="s">
        <v>469</v>
      </c>
      <c r="C2263" s="735" t="s">
        <v>490</v>
      </c>
      <c r="D2263" s="735"/>
      <c r="E2263" s="737">
        <f t="shared" si="695"/>
        <v>4</v>
      </c>
      <c r="F2263" s="738" t="s">
        <v>363</v>
      </c>
      <c r="G2263" s="739">
        <v>736</v>
      </c>
      <c r="H2263" s="748">
        <f t="shared" si="696"/>
        <v>2944</v>
      </c>
      <c r="I2263" s="741">
        <v>0</v>
      </c>
      <c r="J2263" s="749">
        <f t="shared" si="697"/>
        <v>0</v>
      </c>
      <c r="K2263" s="739">
        <f t="shared" si="692"/>
        <v>2944</v>
      </c>
      <c r="L2263" s="1079"/>
      <c r="M2263" s="752"/>
      <c r="N2263" s="744">
        <f t="shared" si="694"/>
        <v>4</v>
      </c>
      <c r="O2263" s="745">
        <v>0</v>
      </c>
      <c r="P2263" s="737">
        <v>4</v>
      </c>
      <c r="Q2263" s="752"/>
      <c r="R2263" s="752"/>
      <c r="S2263" s="752"/>
    </row>
    <row r="2264" spans="1:19" s="753" customFormat="1" ht="24" customHeight="1">
      <c r="A2264" s="734"/>
      <c r="B2264" s="747" t="s">
        <v>469</v>
      </c>
      <c r="C2264" s="735" t="s">
        <v>478</v>
      </c>
      <c r="D2264" s="735"/>
      <c r="E2264" s="737">
        <f t="shared" si="695"/>
        <v>4</v>
      </c>
      <c r="F2264" s="738" t="s">
        <v>363</v>
      </c>
      <c r="G2264" s="739">
        <v>176</v>
      </c>
      <c r="H2264" s="748">
        <f t="shared" si="696"/>
        <v>704</v>
      </c>
      <c r="I2264" s="741">
        <v>0</v>
      </c>
      <c r="J2264" s="749">
        <f t="shared" si="697"/>
        <v>0</v>
      </c>
      <c r="K2264" s="739">
        <f t="shared" si="692"/>
        <v>704</v>
      </c>
      <c r="L2264" s="1079"/>
      <c r="M2264" s="752"/>
      <c r="N2264" s="744">
        <f t="shared" si="694"/>
        <v>4</v>
      </c>
      <c r="O2264" s="745">
        <v>0</v>
      </c>
      <c r="P2264" s="737">
        <v>4</v>
      </c>
      <c r="Q2264" s="752"/>
      <c r="R2264" s="752"/>
      <c r="S2264" s="752"/>
    </row>
    <row r="2265" spans="1:19" s="753" customFormat="1" ht="24" customHeight="1">
      <c r="A2265" s="734"/>
      <c r="B2265" s="747" t="s">
        <v>469</v>
      </c>
      <c r="C2265" s="735" t="s">
        <v>499</v>
      </c>
      <c r="D2265" s="735"/>
      <c r="E2265" s="737">
        <f t="shared" si="695"/>
        <v>4</v>
      </c>
      <c r="F2265" s="738" t="s">
        <v>363</v>
      </c>
      <c r="G2265" s="739">
        <v>216</v>
      </c>
      <c r="H2265" s="748">
        <f t="shared" si="696"/>
        <v>864</v>
      </c>
      <c r="I2265" s="741">
        <v>35</v>
      </c>
      <c r="J2265" s="749">
        <f t="shared" si="697"/>
        <v>140</v>
      </c>
      <c r="K2265" s="739">
        <f t="shared" si="692"/>
        <v>1004</v>
      </c>
      <c r="L2265" s="1079"/>
      <c r="M2265" s="752"/>
      <c r="N2265" s="744">
        <f t="shared" si="694"/>
        <v>4</v>
      </c>
      <c r="O2265" s="745">
        <v>0</v>
      </c>
      <c r="P2265" s="737">
        <v>4</v>
      </c>
      <c r="Q2265" s="752"/>
      <c r="R2265" s="752"/>
      <c r="S2265" s="752"/>
    </row>
    <row r="2266" spans="1:19" s="753" customFormat="1" ht="24" customHeight="1">
      <c r="A2266" s="734"/>
      <c r="B2266" s="750"/>
      <c r="C2266" s="736"/>
      <c r="D2266" s="907"/>
      <c r="E2266" s="737">
        <f t="shared" si="695"/>
        <v>0</v>
      </c>
      <c r="F2266" s="738"/>
      <c r="G2266" s="739">
        <v>0</v>
      </c>
      <c r="H2266" s="748">
        <f t="shared" si="696"/>
        <v>0</v>
      </c>
      <c r="I2266" s="741">
        <v>0</v>
      </c>
      <c r="J2266" s="749">
        <f t="shared" si="697"/>
        <v>0</v>
      </c>
      <c r="K2266" s="739">
        <f t="shared" si="692"/>
        <v>0</v>
      </c>
      <c r="L2266" s="1079"/>
      <c r="M2266" s="752"/>
      <c r="N2266" s="744">
        <f t="shared" si="694"/>
        <v>0</v>
      </c>
      <c r="O2266" s="745">
        <v>0</v>
      </c>
      <c r="P2266" s="737">
        <v>0</v>
      </c>
      <c r="Q2266" s="752"/>
      <c r="R2266" s="752"/>
      <c r="S2266" s="752"/>
    </row>
    <row r="2267" spans="1:19" s="753" customFormat="1" ht="24" customHeight="1">
      <c r="A2267" s="734"/>
      <c r="B2267" s="747" t="s">
        <v>469</v>
      </c>
      <c r="C2267" s="735" t="s">
        <v>492</v>
      </c>
      <c r="D2267" s="735"/>
      <c r="E2267" s="737">
        <f t="shared" si="695"/>
        <v>5</v>
      </c>
      <c r="F2267" s="738" t="s">
        <v>363</v>
      </c>
      <c r="G2267" s="739">
        <v>9375</v>
      </c>
      <c r="H2267" s="748">
        <f t="shared" si="696"/>
        <v>46875</v>
      </c>
      <c r="I2267" s="741">
        <v>450</v>
      </c>
      <c r="J2267" s="749">
        <f t="shared" si="697"/>
        <v>2250</v>
      </c>
      <c r="K2267" s="739">
        <f t="shared" si="692"/>
        <v>49125</v>
      </c>
      <c r="L2267" s="1079"/>
      <c r="M2267" s="752"/>
      <c r="N2267" s="744">
        <f t="shared" si="694"/>
        <v>5</v>
      </c>
      <c r="O2267" s="745">
        <v>0</v>
      </c>
      <c r="P2267" s="737">
        <v>5</v>
      </c>
      <c r="Q2267" s="752"/>
      <c r="R2267" s="752"/>
      <c r="S2267" s="752"/>
    </row>
    <row r="2268" spans="1:19" s="753" customFormat="1" ht="24" customHeight="1">
      <c r="A2268" s="734"/>
      <c r="B2268" s="747" t="s">
        <v>469</v>
      </c>
      <c r="C2268" s="735" t="s">
        <v>500</v>
      </c>
      <c r="D2268" s="735"/>
      <c r="E2268" s="737">
        <f t="shared" si="695"/>
        <v>5</v>
      </c>
      <c r="F2268" s="738" t="s">
        <v>363</v>
      </c>
      <c r="G2268" s="739">
        <v>12752</v>
      </c>
      <c r="H2268" s="748">
        <f t="shared" si="696"/>
        <v>63760</v>
      </c>
      <c r="I2268" s="741">
        <v>0</v>
      </c>
      <c r="J2268" s="749">
        <f t="shared" si="697"/>
        <v>0</v>
      </c>
      <c r="K2268" s="739">
        <f t="shared" si="692"/>
        <v>63760</v>
      </c>
      <c r="L2268" s="1079"/>
      <c r="M2268" s="752"/>
      <c r="N2268" s="744">
        <f t="shared" si="694"/>
        <v>5</v>
      </c>
      <c r="O2268" s="745">
        <v>0</v>
      </c>
      <c r="P2268" s="737">
        <v>5</v>
      </c>
      <c r="Q2268" s="752"/>
      <c r="R2268" s="752"/>
      <c r="S2268" s="752"/>
    </row>
    <row r="2269" spans="1:19" s="753" customFormat="1" ht="24" customHeight="1">
      <c r="A2269" s="734"/>
      <c r="B2269" s="747" t="s">
        <v>469</v>
      </c>
      <c r="C2269" s="735" t="s">
        <v>501</v>
      </c>
      <c r="D2269" s="735"/>
      <c r="E2269" s="737">
        <v>0</v>
      </c>
      <c r="F2269" s="738" t="s">
        <v>363</v>
      </c>
      <c r="G2269" s="739">
        <v>1950</v>
      </c>
      <c r="H2269" s="748">
        <f t="shared" si="696"/>
        <v>0</v>
      </c>
      <c r="I2269" s="741">
        <v>35</v>
      </c>
      <c r="J2269" s="749">
        <f t="shared" si="697"/>
        <v>0</v>
      </c>
      <c r="K2269" s="739">
        <f t="shared" si="692"/>
        <v>0</v>
      </c>
      <c r="L2269" s="1079"/>
      <c r="M2269" s="752"/>
      <c r="N2269" s="744">
        <f t="shared" si="694"/>
        <v>5</v>
      </c>
      <c r="O2269" s="745">
        <v>0</v>
      </c>
      <c r="P2269" s="737">
        <v>5</v>
      </c>
      <c r="Q2269" s="752"/>
      <c r="R2269" s="752"/>
      <c r="S2269" s="752"/>
    </row>
    <row r="2270" spans="1:19" s="753" customFormat="1" ht="24" customHeight="1">
      <c r="A2270" s="734"/>
      <c r="B2270" s="747" t="s">
        <v>469</v>
      </c>
      <c r="C2270" s="735" t="s">
        <v>502</v>
      </c>
      <c r="D2270" s="735"/>
      <c r="E2270" s="737">
        <f t="shared" si="695"/>
        <v>5</v>
      </c>
      <c r="F2270" s="738" t="s">
        <v>363</v>
      </c>
      <c r="G2270" s="739">
        <v>216</v>
      </c>
      <c r="H2270" s="748">
        <f t="shared" si="696"/>
        <v>1080</v>
      </c>
      <c r="I2270" s="741">
        <v>35</v>
      </c>
      <c r="J2270" s="749">
        <f t="shared" si="697"/>
        <v>175</v>
      </c>
      <c r="K2270" s="739">
        <f t="shared" si="692"/>
        <v>1255</v>
      </c>
      <c r="L2270" s="1079"/>
      <c r="M2270" s="752"/>
      <c r="N2270" s="744">
        <f t="shared" si="694"/>
        <v>5</v>
      </c>
      <c r="O2270" s="745">
        <v>0</v>
      </c>
      <c r="P2270" s="737">
        <v>5</v>
      </c>
      <c r="Q2270" s="752"/>
      <c r="R2270" s="752"/>
      <c r="S2270" s="752"/>
    </row>
    <row r="2271" spans="1:19" s="753" customFormat="1" ht="24" customHeight="1">
      <c r="A2271" s="734"/>
      <c r="B2271" s="747"/>
      <c r="C2271" s="735"/>
      <c r="D2271" s="907"/>
      <c r="E2271" s="737">
        <f t="shared" si="695"/>
        <v>0</v>
      </c>
      <c r="F2271" s="738"/>
      <c r="G2271" s="739">
        <v>0</v>
      </c>
      <c r="H2271" s="748">
        <f t="shared" si="696"/>
        <v>0</v>
      </c>
      <c r="I2271" s="741">
        <v>0</v>
      </c>
      <c r="J2271" s="749">
        <f t="shared" si="697"/>
        <v>0</v>
      </c>
      <c r="K2271" s="739">
        <f t="shared" si="692"/>
        <v>0</v>
      </c>
      <c r="L2271" s="1079"/>
      <c r="M2271" s="752"/>
      <c r="N2271" s="744">
        <f t="shared" si="694"/>
        <v>0</v>
      </c>
      <c r="O2271" s="745">
        <v>0</v>
      </c>
      <c r="P2271" s="737">
        <v>0</v>
      </c>
      <c r="Q2271" s="752"/>
      <c r="R2271" s="752"/>
      <c r="S2271" s="752"/>
    </row>
    <row r="2272" spans="1:19" s="753" customFormat="1" ht="24" customHeight="1">
      <c r="A2272" s="734"/>
      <c r="B2272" s="747" t="s">
        <v>469</v>
      </c>
      <c r="C2272" s="735" t="s">
        <v>503</v>
      </c>
      <c r="D2272" s="735"/>
      <c r="E2272" s="737">
        <f t="shared" si="695"/>
        <v>8</v>
      </c>
      <c r="F2272" s="738" t="s">
        <v>363</v>
      </c>
      <c r="G2272" s="739">
        <v>3920</v>
      </c>
      <c r="H2272" s="748">
        <f t="shared" si="696"/>
        <v>31360</v>
      </c>
      <c r="I2272" s="741">
        <v>450</v>
      </c>
      <c r="J2272" s="749">
        <f t="shared" si="697"/>
        <v>3600</v>
      </c>
      <c r="K2272" s="739">
        <f t="shared" si="692"/>
        <v>34960</v>
      </c>
      <c r="L2272" s="1079"/>
      <c r="M2272" s="752"/>
      <c r="N2272" s="744">
        <f t="shared" si="694"/>
        <v>8</v>
      </c>
      <c r="O2272" s="745">
        <v>0</v>
      </c>
      <c r="P2272" s="737">
        <v>8</v>
      </c>
      <c r="Q2272" s="752"/>
      <c r="R2272" s="752"/>
      <c r="S2272" s="752"/>
    </row>
    <row r="2273" spans="1:19" s="753" customFormat="1" ht="24" customHeight="1">
      <c r="A2273" s="734"/>
      <c r="B2273" s="747" t="s">
        <v>469</v>
      </c>
      <c r="C2273" s="735" t="s">
        <v>504</v>
      </c>
      <c r="D2273" s="735"/>
      <c r="E2273" s="737">
        <f t="shared" si="695"/>
        <v>8</v>
      </c>
      <c r="F2273" s="738" t="s">
        <v>363</v>
      </c>
      <c r="G2273" s="739">
        <v>12752</v>
      </c>
      <c r="H2273" s="748">
        <f t="shared" si="696"/>
        <v>102016</v>
      </c>
      <c r="I2273" s="741">
        <v>0</v>
      </c>
      <c r="J2273" s="749">
        <f t="shared" si="697"/>
        <v>0</v>
      </c>
      <c r="K2273" s="739">
        <f t="shared" si="692"/>
        <v>102016</v>
      </c>
      <c r="L2273" s="1079"/>
      <c r="M2273" s="752"/>
      <c r="N2273" s="744">
        <f t="shared" si="694"/>
        <v>8</v>
      </c>
      <c r="O2273" s="745">
        <v>0</v>
      </c>
      <c r="P2273" s="737">
        <v>8</v>
      </c>
      <c r="Q2273" s="752"/>
      <c r="R2273" s="752"/>
      <c r="S2273" s="752"/>
    </row>
    <row r="2274" spans="1:19" s="682" customFormat="1" ht="24" customHeight="1">
      <c r="A2274" s="734"/>
      <c r="B2274" s="747" t="s">
        <v>469</v>
      </c>
      <c r="C2274" s="735" t="s">
        <v>505</v>
      </c>
      <c r="D2274" s="735"/>
      <c r="E2274" s="737">
        <f t="shared" si="695"/>
        <v>6</v>
      </c>
      <c r="F2274" s="738" t="s">
        <v>363</v>
      </c>
      <c r="G2274" s="739">
        <v>2280</v>
      </c>
      <c r="H2274" s="748">
        <f t="shared" si="696"/>
        <v>13680</v>
      </c>
      <c r="I2274" s="741">
        <v>300</v>
      </c>
      <c r="J2274" s="749">
        <f t="shared" si="697"/>
        <v>1800</v>
      </c>
      <c r="K2274" s="739">
        <f t="shared" si="692"/>
        <v>15480</v>
      </c>
      <c r="L2274" s="1079"/>
      <c r="M2274" s="679"/>
      <c r="N2274" s="744">
        <f t="shared" si="694"/>
        <v>6</v>
      </c>
      <c r="O2274" s="745">
        <v>0</v>
      </c>
      <c r="P2274" s="737">
        <v>6</v>
      </c>
      <c r="Q2274" s="679"/>
      <c r="R2274" s="679"/>
      <c r="S2274" s="679"/>
    </row>
    <row r="2275" spans="1:19" s="682" customFormat="1" ht="24" customHeight="1">
      <c r="A2275" s="734"/>
      <c r="B2275" s="747" t="s">
        <v>469</v>
      </c>
      <c r="C2275" s="735" t="s">
        <v>506</v>
      </c>
      <c r="D2275" s="735"/>
      <c r="E2275" s="737">
        <f t="shared" si="695"/>
        <v>0</v>
      </c>
      <c r="F2275" s="738" t="s">
        <v>363</v>
      </c>
      <c r="G2275" s="739">
        <v>6592</v>
      </c>
      <c r="H2275" s="748">
        <f t="shared" si="696"/>
        <v>0</v>
      </c>
      <c r="I2275" s="741">
        <v>140</v>
      </c>
      <c r="J2275" s="749">
        <f t="shared" si="697"/>
        <v>0</v>
      </c>
      <c r="K2275" s="739">
        <f t="shared" si="692"/>
        <v>0</v>
      </c>
      <c r="L2275" s="1079"/>
      <c r="M2275" s="679"/>
      <c r="N2275" s="744">
        <f t="shared" si="694"/>
        <v>0</v>
      </c>
      <c r="O2275" s="745">
        <v>0</v>
      </c>
      <c r="P2275" s="737">
        <v>0</v>
      </c>
      <c r="Q2275" s="679"/>
      <c r="R2275" s="679"/>
      <c r="S2275" s="679"/>
    </row>
    <row r="2276" spans="1:19" s="753" customFormat="1" ht="24" customHeight="1">
      <c r="A2276" s="734"/>
      <c r="B2276" s="747" t="s">
        <v>484</v>
      </c>
      <c r="C2276" s="735" t="s">
        <v>485</v>
      </c>
      <c r="D2276" s="735"/>
      <c r="E2276" s="737">
        <f t="shared" si="695"/>
        <v>7</v>
      </c>
      <c r="F2276" s="738" t="s">
        <v>363</v>
      </c>
      <c r="G2276" s="739">
        <v>285</v>
      </c>
      <c r="H2276" s="748">
        <f t="shared" si="696"/>
        <v>1995</v>
      </c>
      <c r="I2276" s="741">
        <v>75</v>
      </c>
      <c r="J2276" s="749">
        <f t="shared" si="697"/>
        <v>525</v>
      </c>
      <c r="K2276" s="739">
        <f t="shared" si="692"/>
        <v>2520</v>
      </c>
      <c r="L2276" s="1093"/>
      <c r="M2276" s="752"/>
      <c r="N2276" s="744">
        <f t="shared" si="694"/>
        <v>7</v>
      </c>
      <c r="O2276" s="745">
        <v>0</v>
      </c>
      <c r="P2276" s="737">
        <v>7</v>
      </c>
      <c r="Q2276" s="752"/>
      <c r="R2276" s="752"/>
      <c r="S2276" s="752"/>
    </row>
    <row r="2277" spans="1:19" s="753" customFormat="1" ht="24" customHeight="1">
      <c r="A2277" s="734"/>
      <c r="B2277" s="747" t="s">
        <v>469</v>
      </c>
      <c r="C2277" s="735" t="s">
        <v>486</v>
      </c>
      <c r="D2277" s="735"/>
      <c r="E2277" s="737">
        <f t="shared" si="695"/>
        <v>1</v>
      </c>
      <c r="F2277" s="738" t="s">
        <v>363</v>
      </c>
      <c r="G2277" s="739">
        <v>552</v>
      </c>
      <c r="H2277" s="748">
        <f t="shared" si="696"/>
        <v>552</v>
      </c>
      <c r="I2277" s="741">
        <v>25</v>
      </c>
      <c r="J2277" s="749">
        <f t="shared" si="697"/>
        <v>25</v>
      </c>
      <c r="K2277" s="739">
        <f t="shared" si="692"/>
        <v>577</v>
      </c>
      <c r="L2277" s="1079"/>
      <c r="M2277" s="752"/>
      <c r="N2277" s="744">
        <f t="shared" si="694"/>
        <v>1</v>
      </c>
      <c r="O2277" s="745">
        <v>0</v>
      </c>
      <c r="P2277" s="737">
        <v>1</v>
      </c>
      <c r="Q2277" s="752"/>
      <c r="R2277" s="752"/>
      <c r="S2277" s="752"/>
    </row>
    <row r="2278" spans="1:19" s="753" customFormat="1" ht="24" customHeight="1">
      <c r="A2278" s="734"/>
      <c r="B2278" s="747" t="s">
        <v>469</v>
      </c>
      <c r="C2278" s="735" t="s">
        <v>507</v>
      </c>
      <c r="D2278" s="735"/>
      <c r="E2278" s="737">
        <f t="shared" si="695"/>
        <v>1</v>
      </c>
      <c r="F2278" s="738" t="s">
        <v>363</v>
      </c>
      <c r="G2278" s="739">
        <v>1650</v>
      </c>
      <c r="H2278" s="748">
        <f t="shared" si="696"/>
        <v>1650</v>
      </c>
      <c r="I2278" s="741">
        <v>70</v>
      </c>
      <c r="J2278" s="749">
        <f t="shared" si="697"/>
        <v>70</v>
      </c>
      <c r="K2278" s="739">
        <f t="shared" si="692"/>
        <v>1720</v>
      </c>
      <c r="L2278" s="1079"/>
      <c r="M2278" s="752"/>
      <c r="N2278" s="744">
        <f t="shared" si="694"/>
        <v>1</v>
      </c>
      <c r="O2278" s="745">
        <v>0</v>
      </c>
      <c r="P2278" s="737">
        <v>1</v>
      </c>
      <c r="Q2278" s="752"/>
      <c r="R2278" s="752"/>
      <c r="S2278" s="752"/>
    </row>
    <row r="2279" spans="1:19" s="753" customFormat="1" ht="24" customHeight="1">
      <c r="A2279" s="734"/>
      <c r="B2279" s="747" t="s">
        <v>469</v>
      </c>
      <c r="C2279" s="735" t="s">
        <v>508</v>
      </c>
      <c r="D2279" s="735"/>
      <c r="E2279" s="737">
        <f t="shared" si="695"/>
        <v>5</v>
      </c>
      <c r="F2279" s="738" t="s">
        <v>363</v>
      </c>
      <c r="G2279" s="739">
        <v>13500</v>
      </c>
      <c r="H2279" s="748">
        <f t="shared" si="696"/>
        <v>67500</v>
      </c>
      <c r="I2279" s="741">
        <v>750</v>
      </c>
      <c r="J2279" s="749">
        <f t="shared" si="697"/>
        <v>3750</v>
      </c>
      <c r="K2279" s="739">
        <f t="shared" si="692"/>
        <v>71250</v>
      </c>
      <c r="L2279" s="1079"/>
      <c r="M2279" s="752"/>
      <c r="N2279" s="744">
        <f t="shared" si="694"/>
        <v>5</v>
      </c>
      <c r="O2279" s="745">
        <v>0</v>
      </c>
      <c r="P2279" s="737">
        <v>5</v>
      </c>
      <c r="Q2279" s="752"/>
      <c r="R2279" s="752"/>
      <c r="S2279" s="752"/>
    </row>
    <row r="2280" spans="1:19" s="682" customFormat="1" ht="24" customHeight="1">
      <c r="A2280" s="734"/>
      <c r="B2280" s="747" t="s">
        <v>469</v>
      </c>
      <c r="C2280" s="735" t="s">
        <v>509</v>
      </c>
      <c r="D2280" s="735"/>
      <c r="E2280" s="737">
        <f t="shared" si="695"/>
        <v>1</v>
      </c>
      <c r="F2280" s="738" t="s">
        <v>363</v>
      </c>
      <c r="G2280" s="739">
        <v>14476</v>
      </c>
      <c r="H2280" s="748">
        <f t="shared" si="696"/>
        <v>14476</v>
      </c>
      <c r="I2280" s="741">
        <v>5367</v>
      </c>
      <c r="J2280" s="749">
        <f t="shared" si="697"/>
        <v>5367</v>
      </c>
      <c r="K2280" s="739">
        <f t="shared" si="692"/>
        <v>19843</v>
      </c>
      <c r="L2280" s="1079"/>
      <c r="M2280" s="679"/>
      <c r="N2280" s="744">
        <f t="shared" si="694"/>
        <v>1</v>
      </c>
      <c r="O2280" s="745">
        <v>0</v>
      </c>
      <c r="P2280" s="737">
        <v>1</v>
      </c>
      <c r="Q2280" s="679"/>
      <c r="R2280" s="679"/>
      <c r="S2280" s="679"/>
    </row>
    <row r="2281" spans="1:19" s="753" customFormat="1" ht="24" customHeight="1">
      <c r="A2281" s="734"/>
      <c r="B2281" s="747" t="s">
        <v>469</v>
      </c>
      <c r="C2281" s="735" t="s">
        <v>510</v>
      </c>
      <c r="D2281" s="735"/>
      <c r="E2281" s="737">
        <f t="shared" si="695"/>
        <v>4.1500000000000004</v>
      </c>
      <c r="F2281" s="738" t="s">
        <v>361</v>
      </c>
      <c r="G2281" s="739">
        <v>2694</v>
      </c>
      <c r="H2281" s="748">
        <f t="shared" si="696"/>
        <v>11180.1</v>
      </c>
      <c r="I2281" s="741">
        <v>1288</v>
      </c>
      <c r="J2281" s="749">
        <f t="shared" si="697"/>
        <v>5345.2000000000007</v>
      </c>
      <c r="K2281" s="739">
        <f t="shared" si="692"/>
        <v>16525.300000000003</v>
      </c>
      <c r="L2281" s="1079"/>
      <c r="M2281" s="752"/>
      <c r="N2281" s="744">
        <f t="shared" si="694"/>
        <v>4.1500000000000004</v>
      </c>
      <c r="O2281" s="745">
        <v>0</v>
      </c>
      <c r="P2281" s="737">
        <v>4.1500000000000004</v>
      </c>
      <c r="Q2281" s="752"/>
      <c r="R2281" s="752"/>
      <c r="S2281" s="752"/>
    </row>
    <row r="2282" spans="1:19" s="753" customFormat="1" ht="24" customHeight="1">
      <c r="A2282" s="734"/>
      <c r="B2282" s="747"/>
      <c r="C2282" s="735" t="s">
        <v>511</v>
      </c>
      <c r="D2282" s="735"/>
      <c r="E2282" s="737">
        <f t="shared" si="695"/>
        <v>0</v>
      </c>
      <c r="F2282" s="738"/>
      <c r="G2282" s="739"/>
      <c r="H2282" s="748">
        <f t="shared" si="696"/>
        <v>0</v>
      </c>
      <c r="I2282" s="741"/>
      <c r="J2282" s="749">
        <f t="shared" si="697"/>
        <v>0</v>
      </c>
      <c r="K2282" s="739">
        <f t="shared" si="692"/>
        <v>0</v>
      </c>
      <c r="L2282" s="1079"/>
      <c r="M2282" s="752"/>
      <c r="N2282" s="744">
        <f t="shared" si="694"/>
        <v>0</v>
      </c>
      <c r="O2282" s="745">
        <v>0</v>
      </c>
      <c r="P2282" s="737">
        <v>0</v>
      </c>
      <c r="Q2282" s="752"/>
      <c r="R2282" s="752"/>
      <c r="S2282" s="752"/>
    </row>
    <row r="2283" spans="1:19" s="753" customFormat="1" ht="24" customHeight="1">
      <c r="A2283" s="734"/>
      <c r="B2283" s="747" t="s">
        <v>469</v>
      </c>
      <c r="C2283" s="735" t="s">
        <v>512</v>
      </c>
      <c r="D2283" s="735"/>
      <c r="E2283" s="737">
        <f t="shared" si="695"/>
        <v>4.1500000000000004</v>
      </c>
      <c r="F2283" s="738" t="s">
        <v>361</v>
      </c>
      <c r="G2283" s="739">
        <v>3886</v>
      </c>
      <c r="H2283" s="748">
        <f t="shared" si="696"/>
        <v>16126.900000000001</v>
      </c>
      <c r="I2283" s="741">
        <v>1238</v>
      </c>
      <c r="J2283" s="749">
        <f t="shared" si="697"/>
        <v>5137.7000000000007</v>
      </c>
      <c r="K2283" s="739">
        <f t="shared" si="692"/>
        <v>21264.600000000002</v>
      </c>
      <c r="L2283" s="1079"/>
      <c r="M2283" s="752"/>
      <c r="N2283" s="744">
        <f t="shared" si="694"/>
        <v>4.1500000000000004</v>
      </c>
      <c r="O2283" s="745">
        <v>0</v>
      </c>
      <c r="P2283" s="737">
        <v>4.1500000000000004</v>
      </c>
      <c r="Q2283" s="752"/>
      <c r="R2283" s="752"/>
      <c r="S2283" s="752"/>
    </row>
    <row r="2284" spans="1:19" s="753" customFormat="1" ht="24" customHeight="1">
      <c r="A2284" s="734"/>
      <c r="B2284" s="747"/>
      <c r="C2284" s="735" t="s">
        <v>513</v>
      </c>
      <c r="D2284" s="735"/>
      <c r="E2284" s="737">
        <f t="shared" si="695"/>
        <v>0</v>
      </c>
      <c r="F2284" s="738"/>
      <c r="G2284" s="739">
        <v>0</v>
      </c>
      <c r="H2284" s="748">
        <f t="shared" si="696"/>
        <v>0</v>
      </c>
      <c r="I2284" s="741">
        <v>0</v>
      </c>
      <c r="J2284" s="749">
        <f t="shared" si="697"/>
        <v>0</v>
      </c>
      <c r="K2284" s="739">
        <f t="shared" si="692"/>
        <v>0</v>
      </c>
      <c r="L2284" s="1079"/>
      <c r="M2284" s="752"/>
      <c r="N2284" s="744">
        <f t="shared" si="694"/>
        <v>0</v>
      </c>
      <c r="O2284" s="745">
        <v>0</v>
      </c>
      <c r="P2284" s="737">
        <v>0</v>
      </c>
      <c r="Q2284" s="752"/>
      <c r="R2284" s="752"/>
      <c r="S2284" s="752"/>
    </row>
    <row r="2285" spans="1:19" s="753" customFormat="1" ht="24" customHeight="1">
      <c r="A2285" s="734"/>
      <c r="B2285" s="747" t="s">
        <v>469</v>
      </c>
      <c r="C2285" s="735" t="s">
        <v>514</v>
      </c>
      <c r="D2285" s="735"/>
      <c r="E2285" s="737">
        <f t="shared" si="695"/>
        <v>4.1500000000000004</v>
      </c>
      <c r="F2285" s="738" t="s">
        <v>361</v>
      </c>
      <c r="G2285" s="739">
        <v>1522</v>
      </c>
      <c r="H2285" s="748">
        <f t="shared" si="696"/>
        <v>6316.3</v>
      </c>
      <c r="I2285" s="741">
        <v>315</v>
      </c>
      <c r="J2285" s="749">
        <f t="shared" si="697"/>
        <v>1307.25</v>
      </c>
      <c r="K2285" s="739">
        <f t="shared" si="692"/>
        <v>7623.55</v>
      </c>
      <c r="L2285" s="1079"/>
      <c r="M2285" s="752"/>
      <c r="N2285" s="744">
        <f t="shared" si="694"/>
        <v>4.1500000000000004</v>
      </c>
      <c r="O2285" s="745">
        <v>0</v>
      </c>
      <c r="P2285" s="737">
        <v>4.1500000000000004</v>
      </c>
      <c r="Q2285" s="752"/>
      <c r="R2285" s="752"/>
      <c r="S2285" s="752"/>
    </row>
    <row r="2286" spans="1:19" s="753" customFormat="1" ht="24" customHeight="1">
      <c r="A2286" s="734"/>
      <c r="B2286" s="747"/>
      <c r="C2286" s="735"/>
      <c r="D2286" s="735"/>
      <c r="E2286" s="737">
        <f t="shared" si="695"/>
        <v>0</v>
      </c>
      <c r="F2286" s="738"/>
      <c r="G2286" s="739">
        <v>0</v>
      </c>
      <c r="H2286" s="748">
        <f t="shared" si="696"/>
        <v>0</v>
      </c>
      <c r="I2286" s="741">
        <v>0</v>
      </c>
      <c r="J2286" s="749">
        <f t="shared" si="697"/>
        <v>0</v>
      </c>
      <c r="K2286" s="739">
        <f t="shared" ref="K2286:K2349" si="698">SUM(H2286+J2286)</f>
        <v>0</v>
      </c>
      <c r="L2286" s="1079"/>
      <c r="M2286" s="752"/>
      <c r="N2286" s="744">
        <f t="shared" si="694"/>
        <v>0</v>
      </c>
      <c r="O2286" s="745">
        <v>0</v>
      </c>
      <c r="P2286" s="737">
        <v>0</v>
      </c>
      <c r="Q2286" s="752"/>
      <c r="R2286" s="752"/>
      <c r="S2286" s="752"/>
    </row>
    <row r="2287" spans="1:19" s="682" customFormat="1" ht="24" customHeight="1">
      <c r="A2287" s="734"/>
      <c r="B2287" s="747" t="s">
        <v>469</v>
      </c>
      <c r="C2287" s="735" t="s">
        <v>1076</v>
      </c>
      <c r="D2287" s="735"/>
      <c r="E2287" s="737">
        <f t="shared" si="695"/>
        <v>1</v>
      </c>
      <c r="F2287" s="738" t="s">
        <v>363</v>
      </c>
      <c r="G2287" s="739">
        <v>5013</v>
      </c>
      <c r="H2287" s="748">
        <f t="shared" si="696"/>
        <v>5013</v>
      </c>
      <c r="I2287" s="741">
        <v>2403</v>
      </c>
      <c r="J2287" s="749">
        <f t="shared" si="697"/>
        <v>2403</v>
      </c>
      <c r="K2287" s="739">
        <f t="shared" si="698"/>
        <v>7416</v>
      </c>
      <c r="L2287" s="1079"/>
      <c r="M2287" s="679"/>
      <c r="N2287" s="744">
        <f t="shared" si="694"/>
        <v>1</v>
      </c>
      <c r="O2287" s="745">
        <v>0</v>
      </c>
      <c r="P2287" s="737">
        <v>1</v>
      </c>
      <c r="Q2287" s="679"/>
      <c r="R2287" s="679"/>
      <c r="S2287" s="679"/>
    </row>
    <row r="2288" spans="1:19" s="682" customFormat="1" ht="24" customHeight="1">
      <c r="A2288" s="734"/>
      <c r="B2288" s="747"/>
      <c r="C2288" s="735" t="s">
        <v>516</v>
      </c>
      <c r="D2288" s="735"/>
      <c r="E2288" s="737">
        <f t="shared" si="695"/>
        <v>0</v>
      </c>
      <c r="F2288" s="738"/>
      <c r="G2288" s="739"/>
      <c r="H2288" s="748">
        <f t="shared" si="696"/>
        <v>0</v>
      </c>
      <c r="I2288" s="741"/>
      <c r="J2288" s="749">
        <f t="shared" si="697"/>
        <v>0</v>
      </c>
      <c r="K2288" s="739">
        <f t="shared" si="698"/>
        <v>0</v>
      </c>
      <c r="L2288" s="1079"/>
      <c r="M2288" s="679"/>
      <c r="N2288" s="744">
        <f t="shared" ref="N2288:N2352" si="699">+(1+O2288)*P2288</f>
        <v>0</v>
      </c>
      <c r="O2288" s="745">
        <v>0</v>
      </c>
      <c r="P2288" s="737">
        <v>0</v>
      </c>
      <c r="Q2288" s="679"/>
      <c r="R2288" s="679"/>
      <c r="S2288" s="679"/>
    </row>
    <row r="2289" spans="1:19" s="682" customFormat="1" ht="24" customHeight="1">
      <c r="A2289" s="734"/>
      <c r="B2289" s="747"/>
      <c r="C2289" s="735"/>
      <c r="D2289" s="735"/>
      <c r="E2289" s="737">
        <f t="shared" ref="E2289:E2353" si="700">+N2289</f>
        <v>0</v>
      </c>
      <c r="F2289" s="738"/>
      <c r="G2289" s="739"/>
      <c r="H2289" s="748">
        <f t="shared" si="696"/>
        <v>0</v>
      </c>
      <c r="I2289" s="741"/>
      <c r="J2289" s="749">
        <f t="shared" si="697"/>
        <v>0</v>
      </c>
      <c r="K2289" s="739">
        <f t="shared" si="698"/>
        <v>0</v>
      </c>
      <c r="L2289" s="1079"/>
      <c r="M2289" s="679"/>
      <c r="N2289" s="744">
        <f t="shared" si="699"/>
        <v>0</v>
      </c>
      <c r="O2289" s="745">
        <v>0</v>
      </c>
      <c r="P2289" s="737">
        <v>0</v>
      </c>
      <c r="Q2289" s="679"/>
      <c r="R2289" s="679"/>
      <c r="S2289" s="679"/>
    </row>
    <row r="2290" spans="1:19" s="756" customFormat="1" ht="24" customHeight="1">
      <c r="A2290" s="734"/>
      <c r="B2290" s="747" t="s">
        <v>469</v>
      </c>
      <c r="C2290" s="735" t="s">
        <v>517</v>
      </c>
      <c r="D2290" s="907"/>
      <c r="E2290" s="737">
        <f t="shared" si="700"/>
        <v>0</v>
      </c>
      <c r="F2290" s="738" t="s">
        <v>361</v>
      </c>
      <c r="G2290" s="739">
        <v>5075.5555555555557</v>
      </c>
      <c r="H2290" s="748">
        <f t="shared" si="696"/>
        <v>0</v>
      </c>
      <c r="I2290" s="741">
        <v>2545.7777777777778</v>
      </c>
      <c r="J2290" s="749">
        <f t="shared" si="697"/>
        <v>0</v>
      </c>
      <c r="K2290" s="739">
        <f t="shared" si="698"/>
        <v>0</v>
      </c>
      <c r="L2290" s="1079"/>
      <c r="M2290" s="755"/>
      <c r="N2290" s="744">
        <f t="shared" si="699"/>
        <v>0</v>
      </c>
      <c r="O2290" s="745">
        <v>0</v>
      </c>
      <c r="P2290" s="737">
        <v>0</v>
      </c>
      <c r="Q2290" s="755"/>
      <c r="R2290" s="755"/>
      <c r="S2290" s="755"/>
    </row>
    <row r="2291" spans="1:19" s="756" customFormat="1" ht="24" customHeight="1">
      <c r="A2291" s="734"/>
      <c r="B2291" s="747"/>
      <c r="C2291" s="735" t="s">
        <v>488</v>
      </c>
      <c r="D2291" s="907"/>
      <c r="E2291" s="737">
        <f t="shared" si="700"/>
        <v>0</v>
      </c>
      <c r="F2291" s="738"/>
      <c r="G2291" s="739">
        <v>0</v>
      </c>
      <c r="H2291" s="748">
        <f t="shared" si="696"/>
        <v>0</v>
      </c>
      <c r="I2291" s="741">
        <v>0</v>
      </c>
      <c r="J2291" s="749">
        <f t="shared" si="697"/>
        <v>0</v>
      </c>
      <c r="K2291" s="739">
        <f t="shared" si="698"/>
        <v>0</v>
      </c>
      <c r="L2291" s="1079"/>
      <c r="M2291" s="755"/>
      <c r="N2291" s="744">
        <f t="shared" si="699"/>
        <v>0</v>
      </c>
      <c r="O2291" s="745">
        <v>0</v>
      </c>
      <c r="P2291" s="737">
        <v>0</v>
      </c>
      <c r="Q2291" s="755"/>
      <c r="R2291" s="755"/>
      <c r="S2291" s="755"/>
    </row>
    <row r="2292" spans="1:19" s="756" customFormat="1" ht="24" customHeight="1">
      <c r="A2292" s="734"/>
      <c r="B2292" s="747"/>
      <c r="C2292" s="735"/>
      <c r="D2292" s="907"/>
      <c r="E2292" s="737"/>
      <c r="F2292" s="738"/>
      <c r="G2292" s="739"/>
      <c r="H2292" s="748"/>
      <c r="I2292" s="741"/>
      <c r="J2292" s="749"/>
      <c r="K2292" s="739"/>
      <c r="L2292" s="1079"/>
      <c r="M2292" s="755"/>
      <c r="N2292" s="744"/>
      <c r="O2292" s="745"/>
      <c r="P2292" s="737"/>
      <c r="Q2292" s="755"/>
      <c r="R2292" s="755"/>
      <c r="S2292" s="755"/>
    </row>
    <row r="2293" spans="1:19" s="753" customFormat="1" ht="24" customHeight="1">
      <c r="A2293" s="734"/>
      <c r="B2293" s="747" t="s">
        <v>469</v>
      </c>
      <c r="C2293" s="735" t="s">
        <v>518</v>
      </c>
      <c r="D2293" s="735"/>
      <c r="E2293" s="737">
        <f t="shared" si="700"/>
        <v>0</v>
      </c>
      <c r="F2293" s="738" t="s">
        <v>361</v>
      </c>
      <c r="G2293" s="739">
        <v>3886</v>
      </c>
      <c r="H2293" s="748">
        <f t="shared" si="696"/>
        <v>0</v>
      </c>
      <c r="I2293" s="741">
        <v>1238</v>
      </c>
      <c r="J2293" s="749">
        <f t="shared" si="697"/>
        <v>0</v>
      </c>
      <c r="K2293" s="739">
        <f t="shared" si="698"/>
        <v>0</v>
      </c>
      <c r="L2293" s="1079"/>
      <c r="M2293" s="752"/>
      <c r="N2293" s="744">
        <f t="shared" si="699"/>
        <v>0</v>
      </c>
      <c r="O2293" s="745">
        <v>0</v>
      </c>
      <c r="P2293" s="737">
        <v>0</v>
      </c>
      <c r="Q2293" s="752"/>
      <c r="R2293" s="752"/>
      <c r="S2293" s="752"/>
    </row>
    <row r="2294" spans="1:19" s="753" customFormat="1" ht="24" customHeight="1">
      <c r="A2294" s="734"/>
      <c r="B2294" s="747"/>
      <c r="C2294" s="735" t="s">
        <v>513</v>
      </c>
      <c r="D2294" s="735"/>
      <c r="E2294" s="737">
        <f t="shared" si="700"/>
        <v>0</v>
      </c>
      <c r="F2294" s="738"/>
      <c r="G2294" s="739">
        <v>0</v>
      </c>
      <c r="H2294" s="748">
        <f t="shared" si="696"/>
        <v>0</v>
      </c>
      <c r="I2294" s="741">
        <v>0</v>
      </c>
      <c r="J2294" s="749">
        <f t="shared" si="697"/>
        <v>0</v>
      </c>
      <c r="K2294" s="739">
        <f t="shared" si="698"/>
        <v>0</v>
      </c>
      <c r="L2294" s="1079"/>
      <c r="M2294" s="752"/>
      <c r="N2294" s="744">
        <f t="shared" si="699"/>
        <v>0</v>
      </c>
      <c r="O2294" s="745">
        <v>0</v>
      </c>
      <c r="P2294" s="737">
        <v>0</v>
      </c>
      <c r="Q2294" s="752"/>
      <c r="R2294" s="752"/>
      <c r="S2294" s="752"/>
    </row>
    <row r="2295" spans="1:19" s="682" customFormat="1" ht="24" customHeight="1">
      <c r="A2295" s="734"/>
      <c r="B2295" s="747" t="s">
        <v>469</v>
      </c>
      <c r="C2295" s="735" t="s">
        <v>519</v>
      </c>
      <c r="D2295" s="735"/>
      <c r="E2295" s="737">
        <f t="shared" si="700"/>
        <v>1</v>
      </c>
      <c r="F2295" s="738" t="s">
        <v>363</v>
      </c>
      <c r="G2295" s="739">
        <v>800</v>
      </c>
      <c r="H2295" s="748">
        <f t="shared" si="696"/>
        <v>800</v>
      </c>
      <c r="I2295" s="741">
        <v>70</v>
      </c>
      <c r="J2295" s="749">
        <f t="shared" si="697"/>
        <v>70</v>
      </c>
      <c r="K2295" s="739">
        <f t="shared" si="698"/>
        <v>870</v>
      </c>
      <c r="L2295" s="1079"/>
      <c r="M2295" s="679"/>
      <c r="N2295" s="744">
        <f t="shared" si="699"/>
        <v>1</v>
      </c>
      <c r="O2295" s="745">
        <v>0</v>
      </c>
      <c r="P2295" s="737">
        <v>1</v>
      </c>
      <c r="Q2295" s="679"/>
      <c r="R2295" s="679"/>
      <c r="S2295" s="679"/>
    </row>
    <row r="2296" spans="1:19" s="682" customFormat="1" ht="24" customHeight="1">
      <c r="A2296" s="734"/>
      <c r="B2296" s="747" t="s">
        <v>469</v>
      </c>
      <c r="C2296" s="735" t="s">
        <v>520</v>
      </c>
      <c r="D2296" s="735"/>
      <c r="E2296" s="737">
        <f t="shared" si="700"/>
        <v>0</v>
      </c>
      <c r="F2296" s="738" t="s">
        <v>361</v>
      </c>
      <c r="G2296" s="739">
        <v>190</v>
      </c>
      <c r="H2296" s="748">
        <f t="shared" si="696"/>
        <v>0</v>
      </c>
      <c r="I2296" s="741">
        <v>75</v>
      </c>
      <c r="J2296" s="749">
        <f t="shared" si="697"/>
        <v>0</v>
      </c>
      <c r="K2296" s="739">
        <f t="shared" si="698"/>
        <v>0</v>
      </c>
      <c r="L2296" s="1079"/>
      <c r="M2296" s="679"/>
      <c r="N2296" s="744">
        <f t="shared" si="699"/>
        <v>0</v>
      </c>
      <c r="O2296" s="745">
        <v>0</v>
      </c>
      <c r="P2296" s="737">
        <v>0</v>
      </c>
      <c r="Q2296" s="679"/>
      <c r="R2296" s="679"/>
      <c r="S2296" s="679"/>
    </row>
    <row r="2297" spans="1:19" s="682" customFormat="1" ht="24" customHeight="1">
      <c r="A2297" s="734"/>
      <c r="B2297" s="747"/>
      <c r="C2297" s="735"/>
      <c r="D2297" s="735"/>
      <c r="E2297" s="737">
        <f t="shared" si="700"/>
        <v>0</v>
      </c>
      <c r="F2297" s="738"/>
      <c r="G2297" s="739"/>
      <c r="H2297" s="748">
        <f t="shared" si="696"/>
        <v>0</v>
      </c>
      <c r="I2297" s="741"/>
      <c r="J2297" s="749">
        <f t="shared" si="697"/>
        <v>0</v>
      </c>
      <c r="K2297" s="739">
        <f t="shared" si="698"/>
        <v>0</v>
      </c>
      <c r="L2297" s="1079"/>
      <c r="M2297" s="679"/>
      <c r="N2297" s="744">
        <f t="shared" si="699"/>
        <v>0</v>
      </c>
      <c r="O2297" s="745">
        <v>0</v>
      </c>
      <c r="P2297" s="737">
        <v>0</v>
      </c>
      <c r="Q2297" s="679"/>
      <c r="R2297" s="679"/>
      <c r="S2297" s="679"/>
    </row>
    <row r="2298" spans="1:19" s="753" customFormat="1" ht="24" customHeight="1">
      <c r="A2298" s="734"/>
      <c r="B2298" s="735" t="s">
        <v>1077</v>
      </c>
      <c r="C2298" s="735"/>
      <c r="D2298" s="907"/>
      <c r="E2298" s="737">
        <f t="shared" si="700"/>
        <v>0</v>
      </c>
      <c r="F2298" s="738"/>
      <c r="G2298" s="739">
        <v>0</v>
      </c>
      <c r="H2298" s="748">
        <f t="shared" si="696"/>
        <v>0</v>
      </c>
      <c r="I2298" s="741">
        <v>0</v>
      </c>
      <c r="J2298" s="749">
        <f t="shared" si="697"/>
        <v>0</v>
      </c>
      <c r="K2298" s="739">
        <f t="shared" si="698"/>
        <v>0</v>
      </c>
      <c r="L2298" s="1079"/>
      <c r="M2298" s="752"/>
      <c r="N2298" s="744">
        <f t="shared" si="699"/>
        <v>0</v>
      </c>
      <c r="O2298" s="745">
        <v>0</v>
      </c>
      <c r="P2298" s="737">
        <v>0</v>
      </c>
      <c r="Q2298" s="752"/>
      <c r="R2298" s="752"/>
      <c r="S2298" s="752"/>
    </row>
    <row r="2299" spans="1:19" s="753" customFormat="1" ht="24" customHeight="1">
      <c r="A2299" s="734"/>
      <c r="B2299" s="747" t="s">
        <v>469</v>
      </c>
      <c r="C2299" s="735" t="s">
        <v>497</v>
      </c>
      <c r="D2299" s="735"/>
      <c r="E2299" s="737">
        <f t="shared" si="700"/>
        <v>6</v>
      </c>
      <c r="F2299" s="738" t="s">
        <v>363</v>
      </c>
      <c r="G2299" s="739">
        <v>1540</v>
      </c>
      <c r="H2299" s="748">
        <f t="shared" si="696"/>
        <v>9240</v>
      </c>
      <c r="I2299" s="741">
        <v>450</v>
      </c>
      <c r="J2299" s="749">
        <f t="shared" si="697"/>
        <v>2700</v>
      </c>
      <c r="K2299" s="739">
        <f t="shared" si="698"/>
        <v>11940</v>
      </c>
      <c r="L2299" s="1079"/>
      <c r="M2299" s="752"/>
      <c r="N2299" s="744">
        <f t="shared" si="699"/>
        <v>6</v>
      </c>
      <c r="O2299" s="745">
        <v>0</v>
      </c>
      <c r="P2299" s="737">
        <v>6</v>
      </c>
      <c r="Q2299" s="752"/>
      <c r="R2299" s="752"/>
      <c r="S2299" s="752"/>
    </row>
    <row r="2300" spans="1:19" s="753" customFormat="1" ht="24" customHeight="1">
      <c r="A2300" s="734"/>
      <c r="B2300" s="747" t="s">
        <v>469</v>
      </c>
      <c r="C2300" s="735" t="s">
        <v>498</v>
      </c>
      <c r="D2300" s="735"/>
      <c r="E2300" s="737">
        <f t="shared" si="700"/>
        <v>6</v>
      </c>
      <c r="F2300" s="738" t="s">
        <v>363</v>
      </c>
      <c r="G2300" s="739">
        <v>6640</v>
      </c>
      <c r="H2300" s="748">
        <f t="shared" si="696"/>
        <v>39840</v>
      </c>
      <c r="I2300" s="741">
        <v>200</v>
      </c>
      <c r="J2300" s="749">
        <f t="shared" si="697"/>
        <v>1200</v>
      </c>
      <c r="K2300" s="739">
        <f t="shared" si="698"/>
        <v>41040</v>
      </c>
      <c r="L2300" s="1079"/>
      <c r="M2300" s="752"/>
      <c r="N2300" s="744">
        <f t="shared" si="699"/>
        <v>6</v>
      </c>
      <c r="O2300" s="745">
        <v>0</v>
      </c>
      <c r="P2300" s="737">
        <v>6</v>
      </c>
      <c r="Q2300" s="752"/>
      <c r="R2300" s="752"/>
      <c r="S2300" s="752"/>
    </row>
    <row r="2301" spans="1:19" s="753" customFormat="1" ht="24" customHeight="1">
      <c r="A2301" s="734"/>
      <c r="B2301" s="747" t="s">
        <v>469</v>
      </c>
      <c r="C2301" s="735" t="s">
        <v>476</v>
      </c>
      <c r="D2301" s="735"/>
      <c r="E2301" s="737">
        <f t="shared" si="700"/>
        <v>6</v>
      </c>
      <c r="F2301" s="738" t="s">
        <v>363</v>
      </c>
      <c r="G2301" s="739">
        <v>336</v>
      </c>
      <c r="H2301" s="748">
        <f t="shared" si="696"/>
        <v>2016</v>
      </c>
      <c r="I2301" s="741">
        <v>0</v>
      </c>
      <c r="J2301" s="749">
        <f t="shared" si="697"/>
        <v>0</v>
      </c>
      <c r="K2301" s="739">
        <f t="shared" si="698"/>
        <v>2016</v>
      </c>
      <c r="L2301" s="1079"/>
      <c r="M2301" s="752"/>
      <c r="N2301" s="744">
        <f t="shared" si="699"/>
        <v>6</v>
      </c>
      <c r="O2301" s="745">
        <v>0</v>
      </c>
      <c r="P2301" s="737">
        <v>6</v>
      </c>
      <c r="Q2301" s="752"/>
      <c r="R2301" s="752"/>
      <c r="S2301" s="752"/>
    </row>
    <row r="2302" spans="1:19" s="753" customFormat="1" ht="24" customHeight="1">
      <c r="A2302" s="734"/>
      <c r="B2302" s="747" t="s">
        <v>469</v>
      </c>
      <c r="C2302" s="735" t="s">
        <v>477</v>
      </c>
      <c r="D2302" s="735"/>
      <c r="E2302" s="737">
        <f t="shared" si="700"/>
        <v>6</v>
      </c>
      <c r="F2302" s="738" t="s">
        <v>363</v>
      </c>
      <c r="G2302" s="739">
        <v>736</v>
      </c>
      <c r="H2302" s="748">
        <f t="shared" si="696"/>
        <v>4416</v>
      </c>
      <c r="I2302" s="741">
        <v>0</v>
      </c>
      <c r="J2302" s="749">
        <f t="shared" si="697"/>
        <v>0</v>
      </c>
      <c r="K2302" s="739">
        <f t="shared" si="698"/>
        <v>4416</v>
      </c>
      <c r="L2302" s="1079"/>
      <c r="M2302" s="752"/>
      <c r="N2302" s="744">
        <f t="shared" si="699"/>
        <v>6</v>
      </c>
      <c r="O2302" s="745">
        <v>0</v>
      </c>
      <c r="P2302" s="737">
        <v>6</v>
      </c>
      <c r="Q2302" s="752"/>
      <c r="R2302" s="752"/>
      <c r="S2302" s="752"/>
    </row>
    <row r="2303" spans="1:19" s="753" customFormat="1" ht="24" customHeight="1">
      <c r="A2303" s="734"/>
      <c r="B2303" s="747" t="s">
        <v>469</v>
      </c>
      <c r="C2303" s="735" t="s">
        <v>478</v>
      </c>
      <c r="D2303" s="735"/>
      <c r="E2303" s="737">
        <f t="shared" si="700"/>
        <v>6</v>
      </c>
      <c r="F2303" s="738" t="s">
        <v>363</v>
      </c>
      <c r="G2303" s="739">
        <v>176</v>
      </c>
      <c r="H2303" s="748">
        <f t="shared" si="696"/>
        <v>1056</v>
      </c>
      <c r="I2303" s="741">
        <v>0</v>
      </c>
      <c r="J2303" s="749">
        <f t="shared" si="697"/>
        <v>0</v>
      </c>
      <c r="K2303" s="739">
        <f t="shared" si="698"/>
        <v>1056</v>
      </c>
      <c r="L2303" s="1079"/>
      <c r="M2303" s="752"/>
      <c r="N2303" s="744">
        <f t="shared" si="699"/>
        <v>6</v>
      </c>
      <c r="O2303" s="745">
        <v>0</v>
      </c>
      <c r="P2303" s="737">
        <v>6</v>
      </c>
      <c r="Q2303" s="752"/>
      <c r="R2303" s="752"/>
      <c r="S2303" s="752"/>
    </row>
    <row r="2304" spans="1:19" s="753" customFormat="1" ht="24" customHeight="1">
      <c r="A2304" s="734"/>
      <c r="B2304" s="747" t="s">
        <v>469</v>
      </c>
      <c r="C2304" s="735" t="s">
        <v>499</v>
      </c>
      <c r="D2304" s="735"/>
      <c r="E2304" s="737">
        <f t="shared" si="700"/>
        <v>6</v>
      </c>
      <c r="F2304" s="738" t="s">
        <v>363</v>
      </c>
      <c r="G2304" s="739">
        <v>216</v>
      </c>
      <c r="H2304" s="748">
        <f t="shared" si="696"/>
        <v>1296</v>
      </c>
      <c r="I2304" s="741">
        <v>35</v>
      </c>
      <c r="J2304" s="749">
        <f t="shared" si="697"/>
        <v>210</v>
      </c>
      <c r="K2304" s="739">
        <f t="shared" si="698"/>
        <v>1506</v>
      </c>
      <c r="L2304" s="1079"/>
      <c r="M2304" s="752"/>
      <c r="N2304" s="744">
        <f t="shared" si="699"/>
        <v>6</v>
      </c>
      <c r="O2304" s="745">
        <v>0</v>
      </c>
      <c r="P2304" s="737">
        <v>6</v>
      </c>
      <c r="Q2304" s="752"/>
      <c r="R2304" s="752"/>
      <c r="S2304" s="752"/>
    </row>
    <row r="2305" spans="1:19" s="753" customFormat="1" ht="24" customHeight="1">
      <c r="A2305" s="734"/>
      <c r="B2305" s="747"/>
      <c r="C2305" s="736"/>
      <c r="D2305" s="907"/>
      <c r="E2305" s="737">
        <f t="shared" si="700"/>
        <v>0</v>
      </c>
      <c r="F2305" s="738"/>
      <c r="G2305" s="739">
        <v>0</v>
      </c>
      <c r="H2305" s="748">
        <f t="shared" si="696"/>
        <v>0</v>
      </c>
      <c r="I2305" s="741">
        <v>0</v>
      </c>
      <c r="J2305" s="749">
        <f t="shared" si="697"/>
        <v>0</v>
      </c>
      <c r="K2305" s="739">
        <f t="shared" si="698"/>
        <v>0</v>
      </c>
      <c r="L2305" s="1079"/>
      <c r="M2305" s="752"/>
      <c r="N2305" s="744">
        <f t="shared" si="699"/>
        <v>0</v>
      </c>
      <c r="O2305" s="745">
        <v>0</v>
      </c>
      <c r="P2305" s="737">
        <v>0</v>
      </c>
      <c r="Q2305" s="752"/>
      <c r="R2305" s="752"/>
      <c r="S2305" s="752"/>
    </row>
    <row r="2306" spans="1:19" s="753" customFormat="1" ht="24" customHeight="1">
      <c r="A2306" s="734"/>
      <c r="B2306" s="747" t="s">
        <v>469</v>
      </c>
      <c r="C2306" s="735" t="s">
        <v>492</v>
      </c>
      <c r="D2306" s="735"/>
      <c r="E2306" s="737">
        <f t="shared" si="700"/>
        <v>10</v>
      </c>
      <c r="F2306" s="738" t="s">
        <v>363</v>
      </c>
      <c r="G2306" s="739">
        <v>9375</v>
      </c>
      <c r="H2306" s="748">
        <f t="shared" si="696"/>
        <v>93750</v>
      </c>
      <c r="I2306" s="741">
        <v>450</v>
      </c>
      <c r="J2306" s="749">
        <f t="shared" si="697"/>
        <v>4500</v>
      </c>
      <c r="K2306" s="739">
        <f t="shared" si="698"/>
        <v>98250</v>
      </c>
      <c r="L2306" s="1079"/>
      <c r="M2306" s="752"/>
      <c r="N2306" s="744">
        <f t="shared" si="699"/>
        <v>10</v>
      </c>
      <c r="O2306" s="745">
        <v>0</v>
      </c>
      <c r="P2306" s="737">
        <v>10</v>
      </c>
      <c r="Q2306" s="752"/>
      <c r="R2306" s="752"/>
      <c r="S2306" s="752"/>
    </row>
    <row r="2307" spans="1:19" s="753" customFormat="1" ht="24" customHeight="1">
      <c r="A2307" s="734"/>
      <c r="B2307" s="747" t="s">
        <v>469</v>
      </c>
      <c r="C2307" s="735" t="s">
        <v>500</v>
      </c>
      <c r="D2307" s="735"/>
      <c r="E2307" s="737">
        <f t="shared" si="700"/>
        <v>10</v>
      </c>
      <c r="F2307" s="738" t="s">
        <v>363</v>
      </c>
      <c r="G2307" s="739">
        <v>12752</v>
      </c>
      <c r="H2307" s="748">
        <f t="shared" si="696"/>
        <v>127520</v>
      </c>
      <c r="I2307" s="741">
        <v>0</v>
      </c>
      <c r="J2307" s="749">
        <f t="shared" si="697"/>
        <v>0</v>
      </c>
      <c r="K2307" s="739">
        <f t="shared" si="698"/>
        <v>127520</v>
      </c>
      <c r="L2307" s="1079"/>
      <c r="M2307" s="752"/>
      <c r="N2307" s="744">
        <f t="shared" si="699"/>
        <v>10</v>
      </c>
      <c r="O2307" s="745">
        <v>0</v>
      </c>
      <c r="P2307" s="737">
        <v>10</v>
      </c>
      <c r="Q2307" s="752"/>
      <c r="R2307" s="752"/>
      <c r="S2307" s="752"/>
    </row>
    <row r="2308" spans="1:19" s="753" customFormat="1" ht="24" customHeight="1">
      <c r="A2308" s="734"/>
      <c r="B2308" s="747" t="s">
        <v>469</v>
      </c>
      <c r="C2308" s="735" t="s">
        <v>501</v>
      </c>
      <c r="D2308" s="735"/>
      <c r="E2308" s="737">
        <v>0</v>
      </c>
      <c r="F2308" s="738" t="s">
        <v>363</v>
      </c>
      <c r="G2308" s="739">
        <v>1950</v>
      </c>
      <c r="H2308" s="748">
        <f t="shared" si="696"/>
        <v>0</v>
      </c>
      <c r="I2308" s="741">
        <v>35</v>
      </c>
      <c r="J2308" s="749">
        <f t="shared" si="697"/>
        <v>0</v>
      </c>
      <c r="K2308" s="739">
        <f t="shared" si="698"/>
        <v>0</v>
      </c>
      <c r="L2308" s="1079"/>
      <c r="M2308" s="752"/>
      <c r="N2308" s="744">
        <f t="shared" si="699"/>
        <v>10</v>
      </c>
      <c r="O2308" s="745">
        <v>0</v>
      </c>
      <c r="P2308" s="737">
        <v>10</v>
      </c>
      <c r="Q2308" s="752"/>
      <c r="R2308" s="752"/>
      <c r="S2308" s="752"/>
    </row>
    <row r="2309" spans="1:19" s="753" customFormat="1" ht="24" customHeight="1">
      <c r="A2309" s="734"/>
      <c r="B2309" s="747" t="s">
        <v>469</v>
      </c>
      <c r="C2309" s="735" t="s">
        <v>502</v>
      </c>
      <c r="D2309" s="735"/>
      <c r="E2309" s="737">
        <f t="shared" si="700"/>
        <v>10</v>
      </c>
      <c r="F2309" s="738" t="s">
        <v>363</v>
      </c>
      <c r="G2309" s="739">
        <v>216</v>
      </c>
      <c r="H2309" s="748">
        <f t="shared" si="696"/>
        <v>2160</v>
      </c>
      <c r="I2309" s="741">
        <v>35</v>
      </c>
      <c r="J2309" s="749">
        <f t="shared" si="697"/>
        <v>350</v>
      </c>
      <c r="K2309" s="739">
        <f t="shared" si="698"/>
        <v>2510</v>
      </c>
      <c r="L2309" s="1079"/>
      <c r="M2309" s="752"/>
      <c r="N2309" s="744">
        <f t="shared" si="699"/>
        <v>10</v>
      </c>
      <c r="O2309" s="745">
        <v>0</v>
      </c>
      <c r="P2309" s="737">
        <v>10</v>
      </c>
      <c r="Q2309" s="752"/>
      <c r="R2309" s="752"/>
      <c r="S2309" s="752"/>
    </row>
    <row r="2310" spans="1:19" s="753" customFormat="1" ht="24" customHeight="1">
      <c r="A2310" s="734"/>
      <c r="B2310" s="747"/>
      <c r="C2310" s="735"/>
      <c r="D2310" s="735"/>
      <c r="E2310" s="737">
        <f t="shared" si="700"/>
        <v>0</v>
      </c>
      <c r="F2310" s="738"/>
      <c r="G2310" s="739"/>
      <c r="H2310" s="748">
        <f t="shared" si="696"/>
        <v>0</v>
      </c>
      <c r="I2310" s="741"/>
      <c r="J2310" s="749">
        <f t="shared" si="697"/>
        <v>0</v>
      </c>
      <c r="K2310" s="739">
        <f t="shared" si="698"/>
        <v>0</v>
      </c>
      <c r="L2310" s="1079"/>
      <c r="M2310" s="752"/>
      <c r="N2310" s="744">
        <f t="shared" si="699"/>
        <v>0</v>
      </c>
      <c r="O2310" s="745">
        <v>0</v>
      </c>
      <c r="P2310" s="737">
        <v>0</v>
      </c>
      <c r="Q2310" s="752"/>
      <c r="R2310" s="752"/>
      <c r="S2310" s="752"/>
    </row>
    <row r="2311" spans="1:19" s="753" customFormat="1" ht="24" customHeight="1">
      <c r="A2311" s="734"/>
      <c r="B2311" s="747" t="s">
        <v>484</v>
      </c>
      <c r="C2311" s="735" t="s">
        <v>485</v>
      </c>
      <c r="D2311" s="735"/>
      <c r="E2311" s="737">
        <f t="shared" si="700"/>
        <v>11</v>
      </c>
      <c r="F2311" s="738" t="s">
        <v>363</v>
      </c>
      <c r="G2311" s="739">
        <v>285</v>
      </c>
      <c r="H2311" s="748">
        <f t="shared" si="696"/>
        <v>3135</v>
      </c>
      <c r="I2311" s="741">
        <v>75</v>
      </c>
      <c r="J2311" s="749">
        <f t="shared" si="697"/>
        <v>825</v>
      </c>
      <c r="K2311" s="739">
        <f t="shared" si="698"/>
        <v>3960</v>
      </c>
      <c r="L2311" s="1093"/>
      <c r="M2311" s="752"/>
      <c r="N2311" s="744">
        <f t="shared" si="699"/>
        <v>11</v>
      </c>
      <c r="O2311" s="745">
        <v>0</v>
      </c>
      <c r="P2311" s="737">
        <v>11</v>
      </c>
      <c r="Q2311" s="752"/>
      <c r="R2311" s="752"/>
      <c r="S2311" s="752"/>
    </row>
    <row r="2312" spans="1:19" s="753" customFormat="1" ht="24" customHeight="1">
      <c r="A2312" s="734"/>
      <c r="B2312" s="747" t="s">
        <v>469</v>
      </c>
      <c r="C2312" s="735" t="s">
        <v>486</v>
      </c>
      <c r="D2312" s="735"/>
      <c r="E2312" s="737">
        <f t="shared" si="700"/>
        <v>1</v>
      </c>
      <c r="F2312" s="738" t="s">
        <v>363</v>
      </c>
      <c r="G2312" s="739">
        <v>552</v>
      </c>
      <c r="H2312" s="748">
        <f t="shared" si="696"/>
        <v>552</v>
      </c>
      <c r="I2312" s="741">
        <v>25</v>
      </c>
      <c r="J2312" s="749">
        <f t="shared" si="697"/>
        <v>25</v>
      </c>
      <c r="K2312" s="739">
        <f t="shared" si="698"/>
        <v>577</v>
      </c>
      <c r="L2312" s="1079"/>
      <c r="M2312" s="752"/>
      <c r="N2312" s="744">
        <f t="shared" si="699"/>
        <v>1</v>
      </c>
      <c r="O2312" s="745">
        <v>0</v>
      </c>
      <c r="P2312" s="737">
        <v>1</v>
      </c>
      <c r="Q2312" s="752"/>
      <c r="R2312" s="752"/>
      <c r="S2312" s="752"/>
    </row>
    <row r="2313" spans="1:19" s="753" customFormat="1" ht="24" customHeight="1">
      <c r="A2313" s="734"/>
      <c r="B2313" s="747" t="s">
        <v>469</v>
      </c>
      <c r="C2313" s="735" t="s">
        <v>507</v>
      </c>
      <c r="D2313" s="735"/>
      <c r="E2313" s="737">
        <f t="shared" si="700"/>
        <v>2</v>
      </c>
      <c r="F2313" s="738" t="s">
        <v>363</v>
      </c>
      <c r="G2313" s="739">
        <v>1650</v>
      </c>
      <c r="H2313" s="748">
        <f t="shared" si="696"/>
        <v>3300</v>
      </c>
      <c r="I2313" s="741">
        <v>70</v>
      </c>
      <c r="J2313" s="749">
        <f t="shared" si="697"/>
        <v>140</v>
      </c>
      <c r="K2313" s="739">
        <f t="shared" si="698"/>
        <v>3440</v>
      </c>
      <c r="L2313" s="1079"/>
      <c r="M2313" s="752"/>
      <c r="N2313" s="744">
        <f t="shared" si="699"/>
        <v>2</v>
      </c>
      <c r="O2313" s="745">
        <v>0</v>
      </c>
      <c r="P2313" s="737">
        <v>2</v>
      </c>
      <c r="Q2313" s="752"/>
      <c r="R2313" s="752"/>
      <c r="S2313" s="752"/>
    </row>
    <row r="2314" spans="1:19" s="753" customFormat="1" ht="24" customHeight="1">
      <c r="A2314" s="734"/>
      <c r="B2314" s="747" t="s">
        <v>469</v>
      </c>
      <c r="C2314" s="735" t="s">
        <v>508</v>
      </c>
      <c r="D2314" s="735"/>
      <c r="E2314" s="737">
        <f t="shared" si="700"/>
        <v>10</v>
      </c>
      <c r="F2314" s="738" t="s">
        <v>363</v>
      </c>
      <c r="G2314" s="739">
        <v>13500</v>
      </c>
      <c r="H2314" s="748">
        <f t="shared" si="696"/>
        <v>135000</v>
      </c>
      <c r="I2314" s="741">
        <v>750</v>
      </c>
      <c r="J2314" s="749">
        <f t="shared" si="697"/>
        <v>7500</v>
      </c>
      <c r="K2314" s="739">
        <f t="shared" si="698"/>
        <v>142500</v>
      </c>
      <c r="L2314" s="1079"/>
      <c r="M2314" s="752"/>
      <c r="N2314" s="744">
        <f t="shared" si="699"/>
        <v>10</v>
      </c>
      <c r="O2314" s="745">
        <v>0</v>
      </c>
      <c r="P2314" s="737">
        <v>10</v>
      </c>
      <c r="Q2314" s="752"/>
      <c r="R2314" s="752"/>
      <c r="S2314" s="752"/>
    </row>
    <row r="2315" spans="1:19" s="682" customFormat="1" ht="24" customHeight="1">
      <c r="A2315" s="734"/>
      <c r="B2315" s="747" t="s">
        <v>469</v>
      </c>
      <c r="C2315" s="735" t="s">
        <v>509</v>
      </c>
      <c r="D2315" s="735"/>
      <c r="E2315" s="737">
        <f t="shared" si="700"/>
        <v>1</v>
      </c>
      <c r="F2315" s="738" t="s">
        <v>363</v>
      </c>
      <c r="G2315" s="739">
        <v>14476</v>
      </c>
      <c r="H2315" s="748">
        <f t="shared" si="696"/>
        <v>14476</v>
      </c>
      <c r="I2315" s="741">
        <v>5367</v>
      </c>
      <c r="J2315" s="749">
        <f t="shared" si="697"/>
        <v>5367</v>
      </c>
      <c r="K2315" s="739">
        <f t="shared" si="698"/>
        <v>19843</v>
      </c>
      <c r="L2315" s="1079"/>
      <c r="M2315" s="679"/>
      <c r="N2315" s="744">
        <f t="shared" si="699"/>
        <v>1</v>
      </c>
      <c r="O2315" s="745">
        <v>0</v>
      </c>
      <c r="P2315" s="737">
        <v>1</v>
      </c>
      <c r="Q2315" s="679"/>
      <c r="R2315" s="679"/>
      <c r="S2315" s="679"/>
    </row>
    <row r="2316" spans="1:19" s="753" customFormat="1" ht="24" customHeight="1">
      <c r="A2316" s="734"/>
      <c r="B2316" s="747"/>
      <c r="C2316" s="735"/>
      <c r="D2316" s="907"/>
      <c r="E2316" s="737">
        <f t="shared" si="700"/>
        <v>0</v>
      </c>
      <c r="F2316" s="738"/>
      <c r="G2316" s="739">
        <v>0</v>
      </c>
      <c r="H2316" s="748">
        <f t="shared" si="696"/>
        <v>0</v>
      </c>
      <c r="I2316" s="741">
        <v>0</v>
      </c>
      <c r="J2316" s="749">
        <f t="shared" si="697"/>
        <v>0</v>
      </c>
      <c r="K2316" s="739">
        <f t="shared" si="698"/>
        <v>0</v>
      </c>
      <c r="L2316" s="1079"/>
      <c r="M2316" s="752"/>
      <c r="N2316" s="744">
        <f t="shared" si="699"/>
        <v>0</v>
      </c>
      <c r="O2316" s="745">
        <v>0</v>
      </c>
      <c r="P2316" s="737">
        <v>0</v>
      </c>
      <c r="Q2316" s="752"/>
      <c r="R2316" s="752"/>
      <c r="S2316" s="752"/>
    </row>
    <row r="2317" spans="1:19" s="753" customFormat="1" ht="24" customHeight="1">
      <c r="A2317" s="734"/>
      <c r="B2317" s="747" t="s">
        <v>469</v>
      </c>
      <c r="C2317" s="735" t="s">
        <v>510</v>
      </c>
      <c r="D2317" s="735"/>
      <c r="E2317" s="737">
        <f t="shared" si="700"/>
        <v>5.2</v>
      </c>
      <c r="F2317" s="738" t="s">
        <v>361</v>
      </c>
      <c r="G2317" s="739">
        <v>2694</v>
      </c>
      <c r="H2317" s="748">
        <f t="shared" si="696"/>
        <v>14008.800000000001</v>
      </c>
      <c r="I2317" s="741">
        <v>1288</v>
      </c>
      <c r="J2317" s="749">
        <f t="shared" si="697"/>
        <v>6697.6</v>
      </c>
      <c r="K2317" s="739">
        <f t="shared" si="698"/>
        <v>20706.400000000001</v>
      </c>
      <c r="L2317" s="1079"/>
      <c r="M2317" s="752"/>
      <c r="N2317" s="744">
        <f t="shared" si="699"/>
        <v>5.2</v>
      </c>
      <c r="O2317" s="745">
        <v>0</v>
      </c>
      <c r="P2317" s="737">
        <v>5.2</v>
      </c>
      <c r="Q2317" s="752"/>
      <c r="R2317" s="752"/>
      <c r="S2317" s="752"/>
    </row>
    <row r="2318" spans="1:19" s="753" customFormat="1" ht="24" customHeight="1">
      <c r="A2318" s="734"/>
      <c r="B2318" s="747"/>
      <c r="C2318" s="735" t="s">
        <v>511</v>
      </c>
      <c r="D2318" s="735"/>
      <c r="E2318" s="737">
        <f t="shared" si="700"/>
        <v>0</v>
      </c>
      <c r="F2318" s="738"/>
      <c r="G2318" s="739"/>
      <c r="H2318" s="748">
        <f t="shared" si="696"/>
        <v>0</v>
      </c>
      <c r="I2318" s="741"/>
      <c r="J2318" s="749">
        <f t="shared" si="697"/>
        <v>0</v>
      </c>
      <c r="K2318" s="739">
        <f t="shared" si="698"/>
        <v>0</v>
      </c>
      <c r="L2318" s="1079"/>
      <c r="M2318" s="752"/>
      <c r="N2318" s="744">
        <f t="shared" si="699"/>
        <v>0</v>
      </c>
      <c r="O2318" s="745">
        <v>0</v>
      </c>
      <c r="P2318" s="737">
        <v>0</v>
      </c>
      <c r="Q2318" s="752"/>
      <c r="R2318" s="752"/>
      <c r="S2318" s="752"/>
    </row>
    <row r="2319" spans="1:19" s="753" customFormat="1" ht="24" customHeight="1">
      <c r="A2319" s="734"/>
      <c r="B2319" s="747" t="s">
        <v>469</v>
      </c>
      <c r="C2319" s="735" t="s">
        <v>512</v>
      </c>
      <c r="D2319" s="735"/>
      <c r="E2319" s="737">
        <f t="shared" si="700"/>
        <v>5.2</v>
      </c>
      <c r="F2319" s="738" t="s">
        <v>361</v>
      </c>
      <c r="G2319" s="739">
        <v>3886</v>
      </c>
      <c r="H2319" s="748">
        <f t="shared" si="696"/>
        <v>20207.2</v>
      </c>
      <c r="I2319" s="741">
        <v>1238</v>
      </c>
      <c r="J2319" s="749">
        <f t="shared" si="697"/>
        <v>6437.6</v>
      </c>
      <c r="K2319" s="739">
        <f t="shared" si="698"/>
        <v>26644.800000000003</v>
      </c>
      <c r="L2319" s="1079"/>
      <c r="M2319" s="752"/>
      <c r="N2319" s="744">
        <f t="shared" si="699"/>
        <v>5.2</v>
      </c>
      <c r="O2319" s="745">
        <v>0</v>
      </c>
      <c r="P2319" s="737">
        <v>5.2</v>
      </c>
      <c r="Q2319" s="752"/>
      <c r="R2319" s="752"/>
      <c r="S2319" s="752"/>
    </row>
    <row r="2320" spans="1:19" s="753" customFormat="1" ht="24" customHeight="1">
      <c r="A2320" s="734"/>
      <c r="B2320" s="747"/>
      <c r="C2320" s="735" t="s">
        <v>513</v>
      </c>
      <c r="D2320" s="735"/>
      <c r="E2320" s="737">
        <f t="shared" si="700"/>
        <v>0</v>
      </c>
      <c r="F2320" s="738"/>
      <c r="G2320" s="739">
        <v>0</v>
      </c>
      <c r="H2320" s="748">
        <f t="shared" si="696"/>
        <v>0</v>
      </c>
      <c r="I2320" s="741">
        <v>0</v>
      </c>
      <c r="J2320" s="749">
        <f t="shared" si="697"/>
        <v>0</v>
      </c>
      <c r="K2320" s="739">
        <f t="shared" si="698"/>
        <v>0</v>
      </c>
      <c r="L2320" s="1079"/>
      <c r="M2320" s="752"/>
      <c r="N2320" s="744">
        <f t="shared" si="699"/>
        <v>0</v>
      </c>
      <c r="O2320" s="745">
        <v>0</v>
      </c>
      <c r="P2320" s="737">
        <v>0</v>
      </c>
      <c r="Q2320" s="752"/>
      <c r="R2320" s="752"/>
      <c r="S2320" s="752"/>
    </row>
    <row r="2321" spans="1:19" s="753" customFormat="1" ht="24" customHeight="1">
      <c r="A2321" s="734"/>
      <c r="B2321" s="747" t="s">
        <v>469</v>
      </c>
      <c r="C2321" s="735" t="s">
        <v>521</v>
      </c>
      <c r="D2321" s="735"/>
      <c r="E2321" s="737">
        <f t="shared" si="700"/>
        <v>5.2</v>
      </c>
      <c r="F2321" s="738" t="s">
        <v>361</v>
      </c>
      <c r="G2321" s="739">
        <v>1522</v>
      </c>
      <c r="H2321" s="748">
        <f t="shared" si="696"/>
        <v>7914.4000000000005</v>
      </c>
      <c r="I2321" s="741">
        <v>315</v>
      </c>
      <c r="J2321" s="749">
        <f t="shared" si="697"/>
        <v>1638</v>
      </c>
      <c r="K2321" s="739">
        <f t="shared" si="698"/>
        <v>9552.4000000000015</v>
      </c>
      <c r="L2321" s="1079"/>
      <c r="M2321" s="752"/>
      <c r="N2321" s="744">
        <f t="shared" si="699"/>
        <v>5.2</v>
      </c>
      <c r="O2321" s="745">
        <v>0</v>
      </c>
      <c r="P2321" s="737">
        <v>5.2</v>
      </c>
      <c r="Q2321" s="752"/>
      <c r="R2321" s="752"/>
      <c r="S2321" s="752"/>
    </row>
    <row r="2322" spans="1:19" s="753" customFormat="1" ht="24" customHeight="1">
      <c r="A2322" s="734"/>
      <c r="B2322" s="747"/>
      <c r="C2322" s="735"/>
      <c r="D2322" s="735"/>
      <c r="E2322" s="737">
        <f t="shared" si="700"/>
        <v>0</v>
      </c>
      <c r="F2322" s="738"/>
      <c r="G2322" s="739">
        <v>0</v>
      </c>
      <c r="H2322" s="748">
        <f t="shared" si="696"/>
        <v>0</v>
      </c>
      <c r="I2322" s="741">
        <v>0</v>
      </c>
      <c r="J2322" s="749">
        <f t="shared" si="697"/>
        <v>0</v>
      </c>
      <c r="K2322" s="739">
        <f t="shared" si="698"/>
        <v>0</v>
      </c>
      <c r="L2322" s="1079"/>
      <c r="M2322" s="752"/>
      <c r="N2322" s="744">
        <f t="shared" si="699"/>
        <v>0</v>
      </c>
      <c r="O2322" s="745">
        <v>0</v>
      </c>
      <c r="P2322" s="737">
        <v>0</v>
      </c>
      <c r="Q2322" s="752"/>
      <c r="R2322" s="752"/>
      <c r="S2322" s="752"/>
    </row>
    <row r="2323" spans="1:19" s="682" customFormat="1" ht="24" customHeight="1">
      <c r="A2323" s="734"/>
      <c r="B2323" s="747" t="s">
        <v>469</v>
      </c>
      <c r="C2323" s="735" t="s">
        <v>515</v>
      </c>
      <c r="D2323" s="735"/>
      <c r="E2323" s="737">
        <f t="shared" si="700"/>
        <v>0</v>
      </c>
      <c r="F2323" s="738" t="s">
        <v>363</v>
      </c>
      <c r="G2323" s="739">
        <v>5013</v>
      </c>
      <c r="H2323" s="748">
        <f t="shared" si="696"/>
        <v>0</v>
      </c>
      <c r="I2323" s="741">
        <v>2403</v>
      </c>
      <c r="J2323" s="749">
        <f t="shared" si="697"/>
        <v>0</v>
      </c>
      <c r="K2323" s="739">
        <f t="shared" si="698"/>
        <v>0</v>
      </c>
      <c r="L2323" s="1079"/>
      <c r="M2323" s="679"/>
      <c r="N2323" s="744">
        <f t="shared" si="699"/>
        <v>0</v>
      </c>
      <c r="O2323" s="745">
        <v>0</v>
      </c>
      <c r="P2323" s="737">
        <v>0</v>
      </c>
      <c r="Q2323" s="679"/>
      <c r="R2323" s="679"/>
      <c r="S2323" s="679"/>
    </row>
    <row r="2324" spans="1:19" s="682" customFormat="1" ht="24" customHeight="1">
      <c r="A2324" s="734"/>
      <c r="B2324" s="747"/>
      <c r="C2324" s="735" t="s">
        <v>516</v>
      </c>
      <c r="D2324" s="735"/>
      <c r="E2324" s="737">
        <f t="shared" si="700"/>
        <v>0</v>
      </c>
      <c r="F2324" s="738"/>
      <c r="G2324" s="739"/>
      <c r="H2324" s="748">
        <f t="shared" ref="H2324:H2363" si="701">SUM(E2324*G2324)</f>
        <v>0</v>
      </c>
      <c r="I2324" s="741"/>
      <c r="J2324" s="749">
        <f t="shared" ref="J2324:J2363" si="702">SUM(E2324*I2324)</f>
        <v>0</v>
      </c>
      <c r="K2324" s="739">
        <f t="shared" si="698"/>
        <v>0</v>
      </c>
      <c r="L2324" s="1079"/>
      <c r="M2324" s="679"/>
      <c r="N2324" s="744">
        <f t="shared" si="699"/>
        <v>0</v>
      </c>
      <c r="O2324" s="745">
        <v>0</v>
      </c>
      <c r="P2324" s="737">
        <v>0</v>
      </c>
      <c r="Q2324" s="679"/>
      <c r="R2324" s="679"/>
      <c r="S2324" s="679"/>
    </row>
    <row r="2325" spans="1:19" s="682" customFormat="1" ht="24" customHeight="1">
      <c r="A2325" s="734"/>
      <c r="B2325" s="747"/>
      <c r="C2325" s="735"/>
      <c r="D2325" s="735"/>
      <c r="E2325" s="737">
        <f t="shared" si="700"/>
        <v>0</v>
      </c>
      <c r="F2325" s="738"/>
      <c r="G2325" s="739"/>
      <c r="H2325" s="748">
        <f t="shared" si="701"/>
        <v>0</v>
      </c>
      <c r="I2325" s="741"/>
      <c r="J2325" s="749">
        <f t="shared" si="702"/>
        <v>0</v>
      </c>
      <c r="K2325" s="739">
        <f t="shared" si="698"/>
        <v>0</v>
      </c>
      <c r="L2325" s="1079"/>
      <c r="M2325" s="679"/>
      <c r="N2325" s="744">
        <f t="shared" si="699"/>
        <v>0</v>
      </c>
      <c r="O2325" s="745">
        <v>0</v>
      </c>
      <c r="P2325" s="737">
        <v>0</v>
      </c>
      <c r="Q2325" s="679"/>
      <c r="R2325" s="679"/>
      <c r="S2325" s="679"/>
    </row>
    <row r="2326" spans="1:19" s="756" customFormat="1" ht="24" customHeight="1">
      <c r="A2326" s="734"/>
      <c r="B2326" s="747" t="s">
        <v>469</v>
      </c>
      <c r="C2326" s="735" t="s">
        <v>517</v>
      </c>
      <c r="D2326" s="907"/>
      <c r="E2326" s="737">
        <f t="shared" si="700"/>
        <v>0</v>
      </c>
      <c r="F2326" s="738" t="s">
        <v>361</v>
      </c>
      <c r="G2326" s="739">
        <v>5075.5555555555557</v>
      </c>
      <c r="H2326" s="748">
        <f t="shared" si="701"/>
        <v>0</v>
      </c>
      <c r="I2326" s="741">
        <v>2545.7777777777778</v>
      </c>
      <c r="J2326" s="749">
        <f t="shared" si="702"/>
        <v>0</v>
      </c>
      <c r="K2326" s="739">
        <f t="shared" si="698"/>
        <v>0</v>
      </c>
      <c r="L2326" s="1079"/>
      <c r="M2326" s="755"/>
      <c r="N2326" s="744">
        <f t="shared" si="699"/>
        <v>0</v>
      </c>
      <c r="O2326" s="745">
        <v>0</v>
      </c>
      <c r="P2326" s="737">
        <v>0</v>
      </c>
      <c r="Q2326" s="755"/>
      <c r="R2326" s="755"/>
      <c r="S2326" s="755"/>
    </row>
    <row r="2327" spans="1:19" s="756" customFormat="1" ht="24" customHeight="1">
      <c r="A2327" s="734"/>
      <c r="B2327" s="747"/>
      <c r="C2327" s="735" t="s">
        <v>488</v>
      </c>
      <c r="D2327" s="907"/>
      <c r="E2327" s="737">
        <f t="shared" si="700"/>
        <v>0</v>
      </c>
      <c r="F2327" s="738"/>
      <c r="G2327" s="739">
        <v>0</v>
      </c>
      <c r="H2327" s="748">
        <f t="shared" si="701"/>
        <v>0</v>
      </c>
      <c r="I2327" s="741">
        <v>0</v>
      </c>
      <c r="J2327" s="749">
        <f t="shared" si="702"/>
        <v>0</v>
      </c>
      <c r="K2327" s="739">
        <f t="shared" si="698"/>
        <v>0</v>
      </c>
      <c r="L2327" s="1079"/>
      <c r="M2327" s="755"/>
      <c r="N2327" s="744">
        <f t="shared" si="699"/>
        <v>0</v>
      </c>
      <c r="O2327" s="745">
        <v>0</v>
      </c>
      <c r="P2327" s="737">
        <v>0</v>
      </c>
      <c r="Q2327" s="755"/>
      <c r="R2327" s="755"/>
      <c r="S2327" s="755"/>
    </row>
    <row r="2328" spans="1:19" s="753" customFormat="1" ht="24" customHeight="1">
      <c r="A2328" s="734"/>
      <c r="B2328" s="747" t="s">
        <v>469</v>
      </c>
      <c r="C2328" s="735" t="s">
        <v>518</v>
      </c>
      <c r="D2328" s="735"/>
      <c r="E2328" s="737">
        <f t="shared" si="700"/>
        <v>0</v>
      </c>
      <c r="F2328" s="738" t="s">
        <v>361</v>
      </c>
      <c r="G2328" s="739">
        <v>3886</v>
      </c>
      <c r="H2328" s="748">
        <f t="shared" si="701"/>
        <v>0</v>
      </c>
      <c r="I2328" s="741">
        <v>1238</v>
      </c>
      <c r="J2328" s="749">
        <f t="shared" si="702"/>
        <v>0</v>
      </c>
      <c r="K2328" s="739">
        <f t="shared" si="698"/>
        <v>0</v>
      </c>
      <c r="L2328" s="1079"/>
      <c r="M2328" s="752"/>
      <c r="N2328" s="744">
        <f t="shared" si="699"/>
        <v>0</v>
      </c>
      <c r="O2328" s="745">
        <v>0</v>
      </c>
      <c r="P2328" s="737">
        <v>0</v>
      </c>
      <c r="Q2328" s="752"/>
      <c r="R2328" s="752"/>
      <c r="S2328" s="752"/>
    </row>
    <row r="2329" spans="1:19" s="753" customFormat="1" ht="24" customHeight="1">
      <c r="A2329" s="734"/>
      <c r="B2329" s="747"/>
      <c r="C2329" s="735" t="s">
        <v>513</v>
      </c>
      <c r="D2329" s="735"/>
      <c r="E2329" s="737">
        <f t="shared" si="700"/>
        <v>0</v>
      </c>
      <c r="F2329" s="738"/>
      <c r="G2329" s="739">
        <v>0</v>
      </c>
      <c r="H2329" s="748">
        <f t="shared" si="701"/>
        <v>0</v>
      </c>
      <c r="I2329" s="741">
        <v>0</v>
      </c>
      <c r="J2329" s="749">
        <f t="shared" si="702"/>
        <v>0</v>
      </c>
      <c r="K2329" s="739">
        <f t="shared" si="698"/>
        <v>0</v>
      </c>
      <c r="L2329" s="1079"/>
      <c r="M2329" s="752"/>
      <c r="N2329" s="744">
        <f t="shared" si="699"/>
        <v>0</v>
      </c>
      <c r="O2329" s="745">
        <v>0</v>
      </c>
      <c r="P2329" s="737">
        <v>0</v>
      </c>
      <c r="Q2329" s="752"/>
      <c r="R2329" s="752"/>
      <c r="S2329" s="752"/>
    </row>
    <row r="2330" spans="1:19" s="682" customFormat="1" ht="24" customHeight="1">
      <c r="A2330" s="734"/>
      <c r="B2330" s="747"/>
      <c r="C2330" s="735"/>
      <c r="D2330" s="735"/>
      <c r="E2330" s="737">
        <f t="shared" si="700"/>
        <v>0</v>
      </c>
      <c r="F2330" s="738"/>
      <c r="G2330" s="739"/>
      <c r="H2330" s="748">
        <f t="shared" si="701"/>
        <v>0</v>
      </c>
      <c r="I2330" s="741"/>
      <c r="J2330" s="749">
        <f t="shared" si="702"/>
        <v>0</v>
      </c>
      <c r="K2330" s="739">
        <f t="shared" si="698"/>
        <v>0</v>
      </c>
      <c r="L2330" s="1079"/>
      <c r="M2330" s="679"/>
      <c r="N2330" s="744">
        <f t="shared" si="699"/>
        <v>0</v>
      </c>
      <c r="O2330" s="745">
        <v>0</v>
      </c>
      <c r="P2330" s="737">
        <v>0</v>
      </c>
      <c r="Q2330" s="679"/>
      <c r="R2330" s="679"/>
      <c r="S2330" s="679"/>
    </row>
    <row r="2331" spans="1:19" s="682" customFormat="1" ht="24" customHeight="1">
      <c r="A2331" s="734"/>
      <c r="B2331" s="747" t="s">
        <v>469</v>
      </c>
      <c r="C2331" s="735" t="s">
        <v>519</v>
      </c>
      <c r="D2331" s="735"/>
      <c r="E2331" s="737">
        <f t="shared" si="700"/>
        <v>1</v>
      </c>
      <c r="F2331" s="738" t="s">
        <v>363</v>
      </c>
      <c r="G2331" s="739">
        <v>800</v>
      </c>
      <c r="H2331" s="748">
        <f t="shared" si="701"/>
        <v>800</v>
      </c>
      <c r="I2331" s="741">
        <v>70</v>
      </c>
      <c r="J2331" s="749">
        <f t="shared" si="702"/>
        <v>70</v>
      </c>
      <c r="K2331" s="739">
        <f t="shared" si="698"/>
        <v>870</v>
      </c>
      <c r="L2331" s="1079"/>
      <c r="M2331" s="679"/>
      <c r="N2331" s="744">
        <f t="shared" si="699"/>
        <v>1</v>
      </c>
      <c r="O2331" s="745">
        <v>0</v>
      </c>
      <c r="P2331" s="737">
        <v>1</v>
      </c>
      <c r="Q2331" s="679"/>
      <c r="R2331" s="679"/>
      <c r="S2331" s="679"/>
    </row>
    <row r="2332" spans="1:19" s="682" customFormat="1" ht="24" customHeight="1">
      <c r="A2332" s="734"/>
      <c r="B2332" s="747" t="s">
        <v>469</v>
      </c>
      <c r="C2332" s="735" t="s">
        <v>520</v>
      </c>
      <c r="D2332" s="735"/>
      <c r="E2332" s="737">
        <f t="shared" si="700"/>
        <v>0</v>
      </c>
      <c r="F2332" s="738" t="s">
        <v>361</v>
      </c>
      <c r="G2332" s="739">
        <v>190</v>
      </c>
      <c r="H2332" s="748">
        <f t="shared" si="701"/>
        <v>0</v>
      </c>
      <c r="I2332" s="741">
        <v>75</v>
      </c>
      <c r="J2332" s="749">
        <f t="shared" si="702"/>
        <v>0</v>
      </c>
      <c r="K2332" s="739">
        <f t="shared" si="698"/>
        <v>0</v>
      </c>
      <c r="L2332" s="1079"/>
      <c r="M2332" s="679"/>
      <c r="N2332" s="744">
        <f t="shared" si="699"/>
        <v>0</v>
      </c>
      <c r="O2332" s="745">
        <v>0</v>
      </c>
      <c r="P2332" s="737">
        <v>0</v>
      </c>
      <c r="Q2332" s="679"/>
      <c r="R2332" s="679"/>
      <c r="S2332" s="679"/>
    </row>
    <row r="2333" spans="1:19" s="682" customFormat="1" ht="24" customHeight="1">
      <c r="A2333" s="734"/>
      <c r="B2333" s="747"/>
      <c r="C2333" s="735"/>
      <c r="D2333" s="735"/>
      <c r="E2333" s="737">
        <f t="shared" si="700"/>
        <v>0</v>
      </c>
      <c r="F2333" s="738"/>
      <c r="G2333" s="739"/>
      <c r="H2333" s="748">
        <f t="shared" si="701"/>
        <v>0</v>
      </c>
      <c r="I2333" s="741"/>
      <c r="J2333" s="749">
        <f t="shared" si="702"/>
        <v>0</v>
      </c>
      <c r="K2333" s="739">
        <f t="shared" si="698"/>
        <v>0</v>
      </c>
      <c r="L2333" s="1079"/>
      <c r="M2333" s="679"/>
      <c r="N2333" s="744">
        <f t="shared" si="699"/>
        <v>0</v>
      </c>
      <c r="O2333" s="745">
        <v>0</v>
      </c>
      <c r="P2333" s="737">
        <v>0</v>
      </c>
      <c r="Q2333" s="679"/>
      <c r="R2333" s="679"/>
      <c r="S2333" s="679"/>
    </row>
    <row r="2334" spans="1:19" s="753" customFormat="1" ht="24" customHeight="1">
      <c r="A2334" s="734"/>
      <c r="B2334" s="735" t="s">
        <v>1078</v>
      </c>
      <c r="C2334" s="735"/>
      <c r="D2334" s="735"/>
      <c r="E2334" s="737">
        <f t="shared" si="700"/>
        <v>0</v>
      </c>
      <c r="F2334" s="738"/>
      <c r="G2334" s="739">
        <v>0</v>
      </c>
      <c r="H2334" s="748">
        <f t="shared" si="701"/>
        <v>0</v>
      </c>
      <c r="I2334" s="741">
        <v>0</v>
      </c>
      <c r="J2334" s="749">
        <f t="shared" si="702"/>
        <v>0</v>
      </c>
      <c r="K2334" s="739">
        <f t="shared" si="698"/>
        <v>0</v>
      </c>
      <c r="L2334" s="1079"/>
      <c r="M2334" s="752"/>
      <c r="N2334" s="744">
        <f t="shared" si="699"/>
        <v>0</v>
      </c>
      <c r="O2334" s="745">
        <v>0</v>
      </c>
      <c r="P2334" s="737">
        <v>0</v>
      </c>
      <c r="Q2334" s="752"/>
      <c r="R2334" s="752"/>
      <c r="S2334" s="752"/>
    </row>
    <row r="2335" spans="1:19" s="753" customFormat="1" ht="24" customHeight="1">
      <c r="A2335" s="734"/>
      <c r="B2335" s="747" t="s">
        <v>469</v>
      </c>
      <c r="C2335" s="735" t="s">
        <v>522</v>
      </c>
      <c r="D2335" s="735"/>
      <c r="E2335" s="737">
        <f t="shared" si="700"/>
        <v>1</v>
      </c>
      <c r="F2335" s="738" t="s">
        <v>363</v>
      </c>
      <c r="G2335" s="739">
        <v>6832</v>
      </c>
      <c r="H2335" s="748">
        <f t="shared" si="701"/>
        <v>6832</v>
      </c>
      <c r="I2335" s="741">
        <v>450</v>
      </c>
      <c r="J2335" s="749">
        <f t="shared" si="702"/>
        <v>450</v>
      </c>
      <c r="K2335" s="739">
        <f t="shared" si="698"/>
        <v>7282</v>
      </c>
      <c r="L2335" s="1079"/>
      <c r="M2335" s="752"/>
      <c r="N2335" s="744">
        <f t="shared" si="699"/>
        <v>1</v>
      </c>
      <c r="O2335" s="745">
        <v>0</v>
      </c>
      <c r="P2335" s="737">
        <v>1</v>
      </c>
      <c r="Q2335" s="752"/>
      <c r="R2335" s="752"/>
      <c r="S2335" s="752"/>
    </row>
    <row r="2336" spans="1:19" s="753" customFormat="1" ht="24" customHeight="1">
      <c r="A2336" s="734"/>
      <c r="B2336" s="747" t="s">
        <v>469</v>
      </c>
      <c r="C2336" s="735" t="s">
        <v>498</v>
      </c>
      <c r="D2336" s="735"/>
      <c r="E2336" s="737">
        <f t="shared" si="700"/>
        <v>1</v>
      </c>
      <c r="F2336" s="738" t="s">
        <v>363</v>
      </c>
      <c r="G2336" s="739">
        <v>6640</v>
      </c>
      <c r="H2336" s="748">
        <f t="shared" si="701"/>
        <v>6640</v>
      </c>
      <c r="I2336" s="741">
        <v>200</v>
      </c>
      <c r="J2336" s="749">
        <f t="shared" si="702"/>
        <v>200</v>
      </c>
      <c r="K2336" s="739">
        <f t="shared" si="698"/>
        <v>6840</v>
      </c>
      <c r="L2336" s="1079"/>
      <c r="M2336" s="752"/>
      <c r="N2336" s="744">
        <f t="shared" si="699"/>
        <v>1</v>
      </c>
      <c r="O2336" s="745">
        <v>0</v>
      </c>
      <c r="P2336" s="737">
        <v>1</v>
      </c>
      <c r="Q2336" s="752"/>
      <c r="R2336" s="752"/>
      <c r="S2336" s="752"/>
    </row>
    <row r="2337" spans="1:19" s="753" customFormat="1" ht="24" customHeight="1">
      <c r="A2337" s="734"/>
      <c r="B2337" s="747" t="s">
        <v>469</v>
      </c>
      <c r="C2337" s="735" t="s">
        <v>476</v>
      </c>
      <c r="D2337" s="735"/>
      <c r="E2337" s="737">
        <f t="shared" si="700"/>
        <v>1</v>
      </c>
      <c r="F2337" s="738" t="s">
        <v>363</v>
      </c>
      <c r="G2337" s="739">
        <v>336</v>
      </c>
      <c r="H2337" s="748">
        <f t="shared" si="701"/>
        <v>336</v>
      </c>
      <c r="I2337" s="741">
        <v>0</v>
      </c>
      <c r="J2337" s="749">
        <f t="shared" si="702"/>
        <v>0</v>
      </c>
      <c r="K2337" s="739">
        <f t="shared" si="698"/>
        <v>336</v>
      </c>
      <c r="L2337" s="1079"/>
      <c r="M2337" s="752"/>
      <c r="N2337" s="744">
        <f t="shared" si="699"/>
        <v>1</v>
      </c>
      <c r="O2337" s="745">
        <v>0</v>
      </c>
      <c r="P2337" s="737">
        <v>1</v>
      </c>
      <c r="Q2337" s="752"/>
      <c r="R2337" s="752"/>
      <c r="S2337" s="752"/>
    </row>
    <row r="2338" spans="1:19" s="753" customFormat="1" ht="24" customHeight="1">
      <c r="A2338" s="734"/>
      <c r="B2338" s="747" t="s">
        <v>469</v>
      </c>
      <c r="C2338" s="735" t="s">
        <v>477</v>
      </c>
      <c r="D2338" s="735"/>
      <c r="E2338" s="737">
        <f t="shared" si="700"/>
        <v>1</v>
      </c>
      <c r="F2338" s="738" t="s">
        <v>363</v>
      </c>
      <c r="G2338" s="739">
        <v>736</v>
      </c>
      <c r="H2338" s="748">
        <f t="shared" si="701"/>
        <v>736</v>
      </c>
      <c r="I2338" s="741">
        <v>0</v>
      </c>
      <c r="J2338" s="749">
        <f t="shared" si="702"/>
        <v>0</v>
      </c>
      <c r="K2338" s="739">
        <f t="shared" si="698"/>
        <v>736</v>
      </c>
      <c r="L2338" s="1079"/>
      <c r="M2338" s="752"/>
      <c r="N2338" s="744">
        <f t="shared" si="699"/>
        <v>1</v>
      </c>
      <c r="O2338" s="745">
        <v>0</v>
      </c>
      <c r="P2338" s="737">
        <v>1</v>
      </c>
      <c r="Q2338" s="752"/>
      <c r="R2338" s="752"/>
      <c r="S2338" s="752"/>
    </row>
    <row r="2339" spans="1:19" s="753" customFormat="1" ht="24" customHeight="1">
      <c r="A2339" s="734"/>
      <c r="B2339" s="747" t="s">
        <v>469</v>
      </c>
      <c r="C2339" s="735" t="s">
        <v>478</v>
      </c>
      <c r="D2339" s="735"/>
      <c r="E2339" s="737">
        <f t="shared" si="700"/>
        <v>1</v>
      </c>
      <c r="F2339" s="738" t="s">
        <v>363</v>
      </c>
      <c r="G2339" s="739">
        <v>176</v>
      </c>
      <c r="H2339" s="748">
        <f t="shared" si="701"/>
        <v>176</v>
      </c>
      <c r="I2339" s="741">
        <v>0</v>
      </c>
      <c r="J2339" s="749">
        <f t="shared" si="702"/>
        <v>0</v>
      </c>
      <c r="K2339" s="739">
        <f t="shared" si="698"/>
        <v>176</v>
      </c>
      <c r="L2339" s="1079"/>
      <c r="M2339" s="752"/>
      <c r="N2339" s="744">
        <f t="shared" si="699"/>
        <v>1</v>
      </c>
      <c r="O2339" s="745">
        <v>0</v>
      </c>
      <c r="P2339" s="737">
        <v>1</v>
      </c>
      <c r="Q2339" s="752"/>
      <c r="R2339" s="752"/>
      <c r="S2339" s="752"/>
    </row>
    <row r="2340" spans="1:19" s="753" customFormat="1" ht="24" customHeight="1">
      <c r="A2340" s="734"/>
      <c r="B2340" s="747" t="s">
        <v>469</v>
      </c>
      <c r="C2340" s="735" t="s">
        <v>499</v>
      </c>
      <c r="D2340" s="735"/>
      <c r="E2340" s="737">
        <f t="shared" si="700"/>
        <v>1</v>
      </c>
      <c r="F2340" s="738" t="s">
        <v>363</v>
      </c>
      <c r="G2340" s="739">
        <v>216</v>
      </c>
      <c r="H2340" s="748">
        <f t="shared" si="701"/>
        <v>216</v>
      </c>
      <c r="I2340" s="741">
        <v>35</v>
      </c>
      <c r="J2340" s="749">
        <f t="shared" si="702"/>
        <v>35</v>
      </c>
      <c r="K2340" s="739">
        <f t="shared" si="698"/>
        <v>251</v>
      </c>
      <c r="L2340" s="1079"/>
      <c r="M2340" s="752"/>
      <c r="N2340" s="744">
        <f t="shared" si="699"/>
        <v>1</v>
      </c>
      <c r="O2340" s="745">
        <v>0</v>
      </c>
      <c r="P2340" s="737">
        <v>1</v>
      </c>
      <c r="Q2340" s="752"/>
      <c r="R2340" s="752"/>
      <c r="S2340" s="752"/>
    </row>
    <row r="2341" spans="1:19" s="753" customFormat="1" ht="24" customHeight="1">
      <c r="A2341" s="734"/>
      <c r="B2341" s="750"/>
      <c r="C2341" s="757"/>
      <c r="D2341" s="907"/>
      <c r="E2341" s="737">
        <f t="shared" si="700"/>
        <v>0</v>
      </c>
      <c r="F2341" s="738"/>
      <c r="G2341" s="739">
        <v>0</v>
      </c>
      <c r="H2341" s="748">
        <f t="shared" si="701"/>
        <v>0</v>
      </c>
      <c r="I2341" s="741">
        <v>0</v>
      </c>
      <c r="J2341" s="749">
        <f t="shared" si="702"/>
        <v>0</v>
      </c>
      <c r="K2341" s="739">
        <f t="shared" si="698"/>
        <v>0</v>
      </c>
      <c r="L2341" s="1079"/>
      <c r="M2341" s="752"/>
      <c r="N2341" s="744">
        <f t="shared" si="699"/>
        <v>0</v>
      </c>
      <c r="O2341" s="745">
        <v>0</v>
      </c>
      <c r="P2341" s="737">
        <v>0</v>
      </c>
      <c r="Q2341" s="752"/>
      <c r="R2341" s="752"/>
      <c r="S2341" s="752"/>
    </row>
    <row r="2342" spans="1:19" s="753" customFormat="1" ht="24" customHeight="1">
      <c r="A2342" s="734"/>
      <c r="B2342" s="747" t="s">
        <v>469</v>
      </c>
      <c r="C2342" s="735" t="s">
        <v>523</v>
      </c>
      <c r="D2342" s="735"/>
      <c r="E2342" s="737">
        <f t="shared" si="700"/>
        <v>1</v>
      </c>
      <c r="F2342" s="738" t="s">
        <v>363</v>
      </c>
      <c r="G2342" s="739">
        <v>6580</v>
      </c>
      <c r="H2342" s="748">
        <f t="shared" si="701"/>
        <v>6580</v>
      </c>
      <c r="I2342" s="741">
        <v>450</v>
      </c>
      <c r="J2342" s="749">
        <f t="shared" si="702"/>
        <v>450</v>
      </c>
      <c r="K2342" s="739">
        <f t="shared" si="698"/>
        <v>7030</v>
      </c>
      <c r="L2342" s="1079"/>
      <c r="M2342" s="752"/>
      <c r="N2342" s="744">
        <f t="shared" si="699"/>
        <v>1</v>
      </c>
      <c r="O2342" s="745">
        <v>0</v>
      </c>
      <c r="P2342" s="737">
        <v>1</v>
      </c>
      <c r="Q2342" s="752"/>
      <c r="R2342" s="752"/>
      <c r="S2342" s="752"/>
    </row>
    <row r="2343" spans="1:19" s="753" customFormat="1" ht="24" customHeight="1">
      <c r="A2343" s="734"/>
      <c r="B2343" s="747" t="s">
        <v>469</v>
      </c>
      <c r="C2343" s="735" t="s">
        <v>478</v>
      </c>
      <c r="D2343" s="735"/>
      <c r="E2343" s="737">
        <f t="shared" si="700"/>
        <v>1</v>
      </c>
      <c r="F2343" s="738" t="s">
        <v>363</v>
      </c>
      <c r="G2343" s="739">
        <v>176</v>
      </c>
      <c r="H2343" s="748">
        <f t="shared" si="701"/>
        <v>176</v>
      </c>
      <c r="I2343" s="741">
        <v>0</v>
      </c>
      <c r="J2343" s="749">
        <f t="shared" si="702"/>
        <v>0</v>
      </c>
      <c r="K2343" s="739">
        <f t="shared" si="698"/>
        <v>176</v>
      </c>
      <c r="L2343" s="1079"/>
      <c r="M2343" s="752"/>
      <c r="N2343" s="744">
        <f t="shared" si="699"/>
        <v>1</v>
      </c>
      <c r="O2343" s="745">
        <v>0</v>
      </c>
      <c r="P2343" s="737">
        <v>1</v>
      </c>
      <c r="Q2343" s="752"/>
      <c r="R2343" s="752"/>
      <c r="S2343" s="752"/>
    </row>
    <row r="2344" spans="1:19" s="753" customFormat="1" ht="24" customHeight="1">
      <c r="A2344" s="734"/>
      <c r="B2344" s="747" t="s">
        <v>469</v>
      </c>
      <c r="C2344" s="735" t="s">
        <v>482</v>
      </c>
      <c r="D2344" s="735"/>
      <c r="E2344" s="737">
        <f t="shared" si="700"/>
        <v>1</v>
      </c>
      <c r="F2344" s="738" t="s">
        <v>363</v>
      </c>
      <c r="G2344" s="739">
        <v>560</v>
      </c>
      <c r="H2344" s="748">
        <f t="shared" si="701"/>
        <v>560</v>
      </c>
      <c r="I2344" s="741">
        <v>35</v>
      </c>
      <c r="J2344" s="749">
        <f t="shared" si="702"/>
        <v>35</v>
      </c>
      <c r="K2344" s="739">
        <f t="shared" si="698"/>
        <v>595</v>
      </c>
      <c r="L2344" s="1079"/>
      <c r="M2344" s="752"/>
      <c r="N2344" s="744">
        <f t="shared" si="699"/>
        <v>1</v>
      </c>
      <c r="O2344" s="745">
        <v>0</v>
      </c>
      <c r="P2344" s="737">
        <v>1</v>
      </c>
      <c r="Q2344" s="752"/>
      <c r="R2344" s="752"/>
      <c r="S2344" s="752"/>
    </row>
    <row r="2345" spans="1:19" s="753" customFormat="1" ht="24" customHeight="1">
      <c r="A2345" s="734"/>
      <c r="B2345" s="747" t="s">
        <v>469</v>
      </c>
      <c r="C2345" s="735" t="s">
        <v>524</v>
      </c>
      <c r="D2345" s="735"/>
      <c r="E2345" s="737">
        <f t="shared" si="700"/>
        <v>1</v>
      </c>
      <c r="F2345" s="738" t="s">
        <v>363</v>
      </c>
      <c r="G2345" s="739">
        <v>216</v>
      </c>
      <c r="H2345" s="748">
        <f t="shared" si="701"/>
        <v>216</v>
      </c>
      <c r="I2345" s="741">
        <v>35</v>
      </c>
      <c r="J2345" s="749">
        <f t="shared" si="702"/>
        <v>35</v>
      </c>
      <c r="K2345" s="739">
        <f t="shared" si="698"/>
        <v>251</v>
      </c>
      <c r="L2345" s="1079"/>
      <c r="M2345" s="752"/>
      <c r="N2345" s="744">
        <f t="shared" si="699"/>
        <v>1</v>
      </c>
      <c r="O2345" s="745">
        <v>0</v>
      </c>
      <c r="P2345" s="737">
        <v>1</v>
      </c>
      <c r="Q2345" s="752"/>
      <c r="R2345" s="752"/>
      <c r="S2345" s="752"/>
    </row>
    <row r="2346" spans="1:19" s="753" customFormat="1" ht="24" customHeight="1">
      <c r="A2346" s="734"/>
      <c r="B2346" s="747"/>
      <c r="C2346" s="735"/>
      <c r="D2346" s="735"/>
      <c r="E2346" s="737">
        <f t="shared" si="700"/>
        <v>0</v>
      </c>
      <c r="F2346" s="738"/>
      <c r="G2346" s="739">
        <v>0</v>
      </c>
      <c r="H2346" s="748">
        <f t="shared" si="701"/>
        <v>0</v>
      </c>
      <c r="I2346" s="741">
        <v>0</v>
      </c>
      <c r="J2346" s="749">
        <f t="shared" si="702"/>
        <v>0</v>
      </c>
      <c r="K2346" s="739">
        <f t="shared" si="698"/>
        <v>0</v>
      </c>
      <c r="L2346" s="1079"/>
      <c r="M2346" s="752"/>
      <c r="N2346" s="744">
        <f t="shared" si="699"/>
        <v>0</v>
      </c>
      <c r="O2346" s="745">
        <v>0</v>
      </c>
      <c r="P2346" s="737">
        <v>0</v>
      </c>
      <c r="Q2346" s="752"/>
      <c r="R2346" s="752"/>
      <c r="S2346" s="752"/>
    </row>
    <row r="2347" spans="1:19" s="753" customFormat="1" ht="24" customHeight="1">
      <c r="A2347" s="734"/>
      <c r="B2347" s="747" t="s">
        <v>469</v>
      </c>
      <c r="C2347" s="735" t="s">
        <v>486</v>
      </c>
      <c r="D2347" s="735"/>
      <c r="E2347" s="737">
        <f t="shared" si="700"/>
        <v>1</v>
      </c>
      <c r="F2347" s="738" t="s">
        <v>363</v>
      </c>
      <c r="G2347" s="739">
        <v>552</v>
      </c>
      <c r="H2347" s="748">
        <f t="shared" si="701"/>
        <v>552</v>
      </c>
      <c r="I2347" s="741">
        <v>25</v>
      </c>
      <c r="J2347" s="749">
        <f t="shared" si="702"/>
        <v>25</v>
      </c>
      <c r="K2347" s="739">
        <f t="shared" si="698"/>
        <v>577</v>
      </c>
      <c r="L2347" s="1079"/>
      <c r="M2347" s="752"/>
      <c r="N2347" s="744">
        <f t="shared" si="699"/>
        <v>1</v>
      </c>
      <c r="O2347" s="745">
        <v>0</v>
      </c>
      <c r="P2347" s="737">
        <v>1</v>
      </c>
      <c r="Q2347" s="752"/>
      <c r="R2347" s="752"/>
      <c r="S2347" s="752"/>
    </row>
    <row r="2348" spans="1:19" s="753" customFormat="1" ht="24" customHeight="1">
      <c r="A2348" s="734"/>
      <c r="B2348" s="747" t="s">
        <v>484</v>
      </c>
      <c r="C2348" s="735" t="s">
        <v>485</v>
      </c>
      <c r="D2348" s="735"/>
      <c r="E2348" s="737">
        <f t="shared" si="700"/>
        <v>1</v>
      </c>
      <c r="F2348" s="738" t="s">
        <v>363</v>
      </c>
      <c r="G2348" s="739">
        <v>285</v>
      </c>
      <c r="H2348" s="748">
        <f t="shared" si="701"/>
        <v>285</v>
      </c>
      <c r="I2348" s="741">
        <v>75</v>
      </c>
      <c r="J2348" s="749">
        <f t="shared" si="702"/>
        <v>75</v>
      </c>
      <c r="K2348" s="739">
        <f t="shared" si="698"/>
        <v>360</v>
      </c>
      <c r="L2348" s="1093"/>
      <c r="M2348" s="752"/>
      <c r="N2348" s="744">
        <f t="shared" si="699"/>
        <v>1</v>
      </c>
      <c r="O2348" s="745">
        <v>0</v>
      </c>
      <c r="P2348" s="737">
        <v>1</v>
      </c>
      <c r="Q2348" s="752"/>
      <c r="R2348" s="752"/>
      <c r="S2348" s="752"/>
    </row>
    <row r="2349" spans="1:19" s="753" customFormat="1" ht="24" customHeight="1">
      <c r="A2349" s="734"/>
      <c r="B2349" s="747"/>
      <c r="C2349" s="735"/>
      <c r="D2349" s="735"/>
      <c r="E2349" s="737">
        <f t="shared" si="700"/>
        <v>0</v>
      </c>
      <c r="F2349" s="738"/>
      <c r="G2349" s="739">
        <v>0</v>
      </c>
      <c r="H2349" s="748">
        <f t="shared" si="701"/>
        <v>0</v>
      </c>
      <c r="I2349" s="741">
        <v>0</v>
      </c>
      <c r="J2349" s="749">
        <f t="shared" si="702"/>
        <v>0</v>
      </c>
      <c r="K2349" s="739">
        <f t="shared" si="698"/>
        <v>0</v>
      </c>
      <c r="L2349" s="1079"/>
      <c r="M2349" s="752"/>
      <c r="N2349" s="744">
        <f t="shared" si="699"/>
        <v>0</v>
      </c>
      <c r="O2349" s="745">
        <v>0</v>
      </c>
      <c r="P2349" s="737">
        <v>0</v>
      </c>
      <c r="Q2349" s="752"/>
      <c r="R2349" s="752"/>
      <c r="S2349" s="752"/>
    </row>
    <row r="2350" spans="1:19" s="753" customFormat="1" ht="24" customHeight="1">
      <c r="A2350" s="734"/>
      <c r="B2350" s="747" t="s">
        <v>469</v>
      </c>
      <c r="C2350" s="735" t="s">
        <v>507</v>
      </c>
      <c r="D2350" s="735"/>
      <c r="E2350" s="737">
        <f t="shared" si="700"/>
        <v>1</v>
      </c>
      <c r="F2350" s="738" t="s">
        <v>363</v>
      </c>
      <c r="G2350" s="739">
        <v>1650</v>
      </c>
      <c r="H2350" s="748">
        <f t="shared" si="701"/>
        <v>1650</v>
      </c>
      <c r="I2350" s="741">
        <v>70</v>
      </c>
      <c r="J2350" s="749">
        <f t="shared" si="702"/>
        <v>70</v>
      </c>
      <c r="K2350" s="739">
        <f t="shared" ref="K2350:K2363" si="703">SUM(H2350+J2350)</f>
        <v>1720</v>
      </c>
      <c r="L2350" s="1079"/>
      <c r="M2350" s="752"/>
      <c r="N2350" s="744">
        <f t="shared" si="699"/>
        <v>1</v>
      </c>
      <c r="O2350" s="745">
        <v>0</v>
      </c>
      <c r="P2350" s="737">
        <v>1</v>
      </c>
      <c r="Q2350" s="752"/>
      <c r="R2350" s="752"/>
      <c r="S2350" s="752"/>
    </row>
    <row r="2351" spans="1:19" s="753" customFormat="1" ht="24" customHeight="1">
      <c r="A2351" s="734"/>
      <c r="B2351" s="747" t="s">
        <v>469</v>
      </c>
      <c r="C2351" s="735" t="s">
        <v>525</v>
      </c>
      <c r="D2351" s="735"/>
      <c r="E2351" s="737">
        <f t="shared" si="700"/>
        <v>2</v>
      </c>
      <c r="F2351" s="738" t="s">
        <v>363</v>
      </c>
      <c r="G2351" s="739">
        <v>4160</v>
      </c>
      <c r="H2351" s="748">
        <f t="shared" si="701"/>
        <v>8320</v>
      </c>
      <c r="I2351" s="741">
        <v>105</v>
      </c>
      <c r="J2351" s="749">
        <f t="shared" si="702"/>
        <v>210</v>
      </c>
      <c r="K2351" s="739">
        <f t="shared" si="703"/>
        <v>8530</v>
      </c>
      <c r="L2351" s="1079"/>
      <c r="M2351" s="752"/>
      <c r="N2351" s="744">
        <f t="shared" si="699"/>
        <v>2</v>
      </c>
      <c r="O2351" s="745">
        <v>0</v>
      </c>
      <c r="P2351" s="737">
        <v>2</v>
      </c>
      <c r="Q2351" s="752"/>
      <c r="R2351" s="752"/>
      <c r="S2351" s="752"/>
    </row>
    <row r="2352" spans="1:19" s="753" customFormat="1" ht="24" customHeight="1">
      <c r="A2352" s="734"/>
      <c r="B2352" s="747" t="s">
        <v>469</v>
      </c>
      <c r="C2352" s="735" t="s">
        <v>526</v>
      </c>
      <c r="D2352" s="735"/>
      <c r="E2352" s="737">
        <f t="shared" si="700"/>
        <v>1</v>
      </c>
      <c r="F2352" s="738" t="s">
        <v>363</v>
      </c>
      <c r="G2352" s="739">
        <v>2533.5</v>
      </c>
      <c r="H2352" s="748">
        <f t="shared" si="701"/>
        <v>2533.5</v>
      </c>
      <c r="I2352" s="741">
        <v>105</v>
      </c>
      <c r="J2352" s="749">
        <f t="shared" si="702"/>
        <v>105</v>
      </c>
      <c r="K2352" s="739">
        <f t="shared" si="703"/>
        <v>2638.5</v>
      </c>
      <c r="L2352" s="1079"/>
      <c r="M2352" s="752"/>
      <c r="N2352" s="744">
        <f t="shared" si="699"/>
        <v>1</v>
      </c>
      <c r="O2352" s="745">
        <v>0</v>
      </c>
      <c r="P2352" s="737">
        <v>1</v>
      </c>
      <c r="Q2352" s="752"/>
      <c r="R2352" s="752"/>
      <c r="S2352" s="752"/>
    </row>
    <row r="2353" spans="1:19" s="753" customFormat="1" ht="24" customHeight="1">
      <c r="A2353" s="734"/>
      <c r="B2353" s="747"/>
      <c r="C2353" s="735"/>
      <c r="D2353" s="735"/>
      <c r="E2353" s="737">
        <f t="shared" si="700"/>
        <v>0</v>
      </c>
      <c r="F2353" s="738"/>
      <c r="G2353" s="739">
        <v>0</v>
      </c>
      <c r="H2353" s="748">
        <f t="shared" si="701"/>
        <v>0</v>
      </c>
      <c r="I2353" s="741">
        <v>0</v>
      </c>
      <c r="J2353" s="749">
        <f t="shared" si="702"/>
        <v>0</v>
      </c>
      <c r="K2353" s="739">
        <f t="shared" si="703"/>
        <v>0</v>
      </c>
      <c r="L2353" s="1079"/>
      <c r="M2353" s="752"/>
      <c r="N2353" s="744">
        <f t="shared" ref="N2353:N2365" si="704">+(1+O2353)*P2353</f>
        <v>0</v>
      </c>
      <c r="O2353" s="745">
        <v>0</v>
      </c>
      <c r="P2353" s="737">
        <v>0</v>
      </c>
      <c r="Q2353" s="752"/>
      <c r="R2353" s="752"/>
      <c r="S2353" s="752"/>
    </row>
    <row r="2354" spans="1:19" s="753" customFormat="1" ht="24" customHeight="1">
      <c r="A2354" s="734"/>
      <c r="B2354" s="747" t="s">
        <v>469</v>
      </c>
      <c r="C2354" s="735" t="s">
        <v>527</v>
      </c>
      <c r="D2354" s="735"/>
      <c r="E2354" s="737">
        <f t="shared" ref="E2354:E2364" si="705">+N2354</f>
        <v>1</v>
      </c>
      <c r="F2354" s="738" t="s">
        <v>363</v>
      </c>
      <c r="G2354" s="739">
        <v>2855</v>
      </c>
      <c r="H2354" s="748">
        <f t="shared" si="701"/>
        <v>2855</v>
      </c>
      <c r="I2354" s="741">
        <v>1432</v>
      </c>
      <c r="J2354" s="749">
        <f t="shared" si="702"/>
        <v>1432</v>
      </c>
      <c r="K2354" s="739">
        <f t="shared" si="703"/>
        <v>4287</v>
      </c>
      <c r="L2354" s="1079"/>
      <c r="M2354" s="752"/>
      <c r="N2354" s="744">
        <f t="shared" si="704"/>
        <v>1</v>
      </c>
      <c r="O2354" s="745">
        <v>0</v>
      </c>
      <c r="P2354" s="737">
        <v>1</v>
      </c>
      <c r="Q2354" s="752"/>
      <c r="R2354" s="752"/>
      <c r="S2354" s="752"/>
    </row>
    <row r="2355" spans="1:19" s="682" customFormat="1" ht="24" customHeight="1">
      <c r="A2355" s="734"/>
      <c r="B2355" s="747" t="s">
        <v>469</v>
      </c>
      <c r="C2355" s="735" t="s">
        <v>528</v>
      </c>
      <c r="D2355" s="735"/>
      <c r="E2355" s="737">
        <f t="shared" si="705"/>
        <v>0</v>
      </c>
      <c r="F2355" s="738" t="s">
        <v>363</v>
      </c>
      <c r="G2355" s="739">
        <v>9750</v>
      </c>
      <c r="H2355" s="748">
        <f t="shared" si="701"/>
        <v>0</v>
      </c>
      <c r="I2355" s="741">
        <v>105</v>
      </c>
      <c r="J2355" s="749">
        <f t="shared" si="702"/>
        <v>0</v>
      </c>
      <c r="K2355" s="739">
        <f t="shared" si="703"/>
        <v>0</v>
      </c>
      <c r="L2355" s="1079"/>
      <c r="M2355" s="679"/>
      <c r="N2355" s="744">
        <f t="shared" si="704"/>
        <v>0</v>
      </c>
      <c r="O2355" s="745">
        <v>0</v>
      </c>
      <c r="P2355" s="737">
        <v>0</v>
      </c>
      <c r="Q2355" s="679"/>
      <c r="R2355" s="679"/>
      <c r="S2355" s="679"/>
    </row>
    <row r="2356" spans="1:19" s="682" customFormat="1" ht="24" customHeight="1">
      <c r="A2356" s="734"/>
      <c r="B2356" s="747" t="s">
        <v>469</v>
      </c>
      <c r="C2356" s="735" t="s">
        <v>529</v>
      </c>
      <c r="D2356" s="735"/>
      <c r="E2356" s="737">
        <f t="shared" si="705"/>
        <v>0</v>
      </c>
      <c r="F2356" s="738" t="s">
        <v>363</v>
      </c>
      <c r="G2356" s="739">
        <v>5200</v>
      </c>
      <c r="H2356" s="748">
        <f t="shared" si="701"/>
        <v>0</v>
      </c>
      <c r="I2356" s="741">
        <v>70</v>
      </c>
      <c r="J2356" s="749">
        <f t="shared" si="702"/>
        <v>0</v>
      </c>
      <c r="K2356" s="739">
        <f t="shared" si="703"/>
        <v>0</v>
      </c>
      <c r="L2356" s="1079"/>
      <c r="M2356" s="679"/>
      <c r="N2356" s="744">
        <f t="shared" si="704"/>
        <v>0</v>
      </c>
      <c r="O2356" s="745">
        <v>0</v>
      </c>
      <c r="P2356" s="737">
        <v>0</v>
      </c>
      <c r="Q2356" s="679"/>
      <c r="R2356" s="679"/>
      <c r="S2356" s="679"/>
    </row>
    <row r="2357" spans="1:19" s="682" customFormat="1" ht="24" customHeight="1">
      <c r="A2357" s="734"/>
      <c r="B2357" s="747" t="s">
        <v>469</v>
      </c>
      <c r="C2357" s="735" t="s">
        <v>519</v>
      </c>
      <c r="D2357" s="735"/>
      <c r="E2357" s="737">
        <f t="shared" si="705"/>
        <v>1</v>
      </c>
      <c r="F2357" s="738" t="s">
        <v>363</v>
      </c>
      <c r="G2357" s="739">
        <v>800</v>
      </c>
      <c r="H2357" s="748">
        <f t="shared" si="701"/>
        <v>800</v>
      </c>
      <c r="I2357" s="741">
        <v>70</v>
      </c>
      <c r="J2357" s="749">
        <f t="shared" si="702"/>
        <v>70</v>
      </c>
      <c r="K2357" s="739">
        <f t="shared" si="703"/>
        <v>870</v>
      </c>
      <c r="L2357" s="1079"/>
      <c r="M2357" s="679"/>
      <c r="N2357" s="744">
        <f t="shared" si="704"/>
        <v>1</v>
      </c>
      <c r="O2357" s="745">
        <v>0</v>
      </c>
      <c r="P2357" s="737">
        <v>1</v>
      </c>
      <c r="Q2357" s="679"/>
      <c r="R2357" s="679"/>
      <c r="S2357" s="679"/>
    </row>
    <row r="2358" spans="1:19" s="682" customFormat="1" ht="24" customHeight="1">
      <c r="A2358" s="734"/>
      <c r="B2358" s="747" t="s">
        <v>469</v>
      </c>
      <c r="C2358" s="735" t="s">
        <v>520</v>
      </c>
      <c r="D2358" s="735"/>
      <c r="E2358" s="737">
        <f t="shared" si="705"/>
        <v>0</v>
      </c>
      <c r="F2358" s="738" t="s">
        <v>361</v>
      </c>
      <c r="G2358" s="739">
        <v>190</v>
      </c>
      <c r="H2358" s="748">
        <f t="shared" si="701"/>
        <v>0</v>
      </c>
      <c r="I2358" s="741">
        <v>75</v>
      </c>
      <c r="J2358" s="749">
        <f t="shared" si="702"/>
        <v>0</v>
      </c>
      <c r="K2358" s="739">
        <f t="shared" si="703"/>
        <v>0</v>
      </c>
      <c r="L2358" s="1079"/>
      <c r="M2358" s="679"/>
      <c r="N2358" s="744">
        <f t="shared" si="704"/>
        <v>0</v>
      </c>
      <c r="O2358" s="745">
        <v>0</v>
      </c>
      <c r="P2358" s="737">
        <v>0</v>
      </c>
      <c r="Q2358" s="679"/>
      <c r="R2358" s="679"/>
      <c r="S2358" s="679"/>
    </row>
    <row r="2359" spans="1:19" s="753" customFormat="1" ht="24" customHeight="1">
      <c r="A2359" s="734"/>
      <c r="B2359" s="747"/>
      <c r="C2359" s="735"/>
      <c r="D2359" s="735"/>
      <c r="E2359" s="737">
        <f t="shared" si="705"/>
        <v>0</v>
      </c>
      <c r="F2359" s="738"/>
      <c r="G2359" s="739">
        <v>0</v>
      </c>
      <c r="H2359" s="748">
        <f t="shared" si="701"/>
        <v>0</v>
      </c>
      <c r="I2359" s="741">
        <v>0</v>
      </c>
      <c r="J2359" s="749">
        <f t="shared" si="702"/>
        <v>0</v>
      </c>
      <c r="K2359" s="739">
        <f t="shared" si="703"/>
        <v>0</v>
      </c>
      <c r="L2359" s="1079"/>
      <c r="M2359" s="752"/>
      <c r="N2359" s="758">
        <f t="shared" si="704"/>
        <v>0</v>
      </c>
      <c r="O2359" s="745">
        <v>0</v>
      </c>
      <c r="P2359" s="759">
        <v>0</v>
      </c>
      <c r="Q2359" s="752"/>
      <c r="R2359" s="752"/>
      <c r="S2359" s="752"/>
    </row>
    <row r="2360" spans="1:19" s="753" customFormat="1" ht="24" customHeight="1">
      <c r="A2360" s="734"/>
      <c r="B2360" s="751" t="s">
        <v>1092</v>
      </c>
      <c r="C2360" s="735"/>
      <c r="D2360" s="735"/>
      <c r="E2360" s="737">
        <f t="shared" si="705"/>
        <v>0</v>
      </c>
      <c r="F2360" s="738"/>
      <c r="G2360" s="739">
        <v>0</v>
      </c>
      <c r="H2360" s="748">
        <f t="shared" si="701"/>
        <v>0</v>
      </c>
      <c r="I2360" s="741">
        <v>0</v>
      </c>
      <c r="J2360" s="749">
        <f t="shared" si="702"/>
        <v>0</v>
      </c>
      <c r="K2360" s="739">
        <f t="shared" si="703"/>
        <v>0</v>
      </c>
      <c r="L2360" s="1079"/>
      <c r="M2360" s="752"/>
      <c r="N2360" s="744">
        <f t="shared" si="704"/>
        <v>0</v>
      </c>
      <c r="O2360" s="745">
        <v>0</v>
      </c>
      <c r="P2360" s="737">
        <v>0</v>
      </c>
      <c r="Q2360" s="752"/>
      <c r="R2360" s="752"/>
      <c r="S2360" s="752"/>
    </row>
    <row r="2361" spans="1:19" s="753" customFormat="1" ht="24" customHeight="1">
      <c r="A2361" s="734"/>
      <c r="B2361" s="747" t="s">
        <v>469</v>
      </c>
      <c r="C2361" s="735" t="s">
        <v>486</v>
      </c>
      <c r="D2361" s="735"/>
      <c r="E2361" s="737">
        <f t="shared" si="705"/>
        <v>1</v>
      </c>
      <c r="F2361" s="738" t="s">
        <v>363</v>
      </c>
      <c r="G2361" s="739">
        <v>552</v>
      </c>
      <c r="H2361" s="748">
        <f t="shared" si="701"/>
        <v>552</v>
      </c>
      <c r="I2361" s="741">
        <v>25</v>
      </c>
      <c r="J2361" s="749">
        <f t="shared" si="702"/>
        <v>25</v>
      </c>
      <c r="K2361" s="739">
        <f t="shared" si="703"/>
        <v>577</v>
      </c>
      <c r="L2361" s="1079"/>
      <c r="M2361" s="752"/>
      <c r="N2361" s="744">
        <f t="shared" si="704"/>
        <v>1</v>
      </c>
      <c r="O2361" s="745">
        <v>0</v>
      </c>
      <c r="P2361" s="737">
        <v>1</v>
      </c>
      <c r="Q2361" s="752"/>
      <c r="R2361" s="752"/>
      <c r="S2361" s="752"/>
    </row>
    <row r="2362" spans="1:19" s="753" customFormat="1" ht="24" customHeight="1">
      <c r="A2362" s="734"/>
      <c r="B2362" s="747" t="s">
        <v>484</v>
      </c>
      <c r="C2362" s="735" t="s">
        <v>485</v>
      </c>
      <c r="D2362" s="735"/>
      <c r="E2362" s="737">
        <f t="shared" si="705"/>
        <v>1</v>
      </c>
      <c r="F2362" s="738" t="s">
        <v>363</v>
      </c>
      <c r="G2362" s="739">
        <v>285</v>
      </c>
      <c r="H2362" s="748">
        <f t="shared" si="701"/>
        <v>285</v>
      </c>
      <c r="I2362" s="741">
        <v>75</v>
      </c>
      <c r="J2362" s="749">
        <f t="shared" si="702"/>
        <v>75</v>
      </c>
      <c r="K2362" s="739">
        <f t="shared" si="703"/>
        <v>360</v>
      </c>
      <c r="L2362" s="1093"/>
      <c r="M2362" s="752"/>
      <c r="N2362" s="744">
        <f t="shared" si="704"/>
        <v>1</v>
      </c>
      <c r="O2362" s="745">
        <v>0</v>
      </c>
      <c r="P2362" s="737">
        <v>1</v>
      </c>
      <c r="Q2362" s="752"/>
      <c r="R2362" s="752"/>
      <c r="S2362" s="752"/>
    </row>
    <row r="2363" spans="1:19" s="684" customFormat="1" ht="24" customHeight="1">
      <c r="A2363" s="734"/>
      <c r="B2363" s="735"/>
      <c r="C2363" s="735"/>
      <c r="D2363" s="907"/>
      <c r="E2363" s="737">
        <f t="shared" si="705"/>
        <v>0</v>
      </c>
      <c r="F2363" s="738"/>
      <c r="G2363" s="739">
        <v>0</v>
      </c>
      <c r="H2363" s="748">
        <f t="shared" si="701"/>
        <v>0</v>
      </c>
      <c r="I2363" s="741">
        <v>0</v>
      </c>
      <c r="J2363" s="749">
        <f t="shared" si="702"/>
        <v>0</v>
      </c>
      <c r="K2363" s="739">
        <f t="shared" si="703"/>
        <v>0</v>
      </c>
      <c r="L2363" s="1079"/>
      <c r="M2363" s="683"/>
      <c r="N2363" s="744">
        <f t="shared" si="704"/>
        <v>0</v>
      </c>
      <c r="O2363" s="745">
        <v>0</v>
      </c>
      <c r="P2363" s="737">
        <v>0</v>
      </c>
      <c r="Q2363" s="683"/>
      <c r="R2363" s="683"/>
      <c r="S2363" s="683"/>
    </row>
    <row r="2364" spans="1:19" s="746" customFormat="1" ht="24" customHeight="1">
      <c r="A2364" s="729"/>
      <c r="B2364" s="747"/>
      <c r="C2364" s="735"/>
      <c r="D2364" s="907"/>
      <c r="E2364" s="737">
        <f t="shared" si="705"/>
        <v>0</v>
      </c>
      <c r="F2364" s="738"/>
      <c r="G2364" s="739"/>
      <c r="H2364" s="748"/>
      <c r="I2364" s="741"/>
      <c r="J2364" s="749"/>
      <c r="K2364" s="739"/>
      <c r="L2364" s="1093"/>
      <c r="M2364" s="743"/>
      <c r="N2364" s="744">
        <f t="shared" si="704"/>
        <v>0</v>
      </c>
      <c r="O2364" s="745">
        <v>0</v>
      </c>
      <c r="P2364" s="737">
        <v>0</v>
      </c>
      <c r="Q2364" s="743"/>
      <c r="R2364" s="743"/>
      <c r="S2364" s="743"/>
    </row>
    <row r="2365" spans="1:19" s="684" customFormat="1" ht="24" customHeight="1">
      <c r="A2365" s="734" t="s">
        <v>757</v>
      </c>
      <c r="B2365" s="750" t="s">
        <v>531</v>
      </c>
      <c r="C2365" s="736"/>
      <c r="D2365" s="907"/>
      <c r="E2365" s="737"/>
      <c r="F2365" s="738"/>
      <c r="G2365" s="739">
        <v>0</v>
      </c>
      <c r="H2365" s="748">
        <f t="shared" ref="H2365:H2429" si="706">SUM(E2365*G2365)</f>
        <v>0</v>
      </c>
      <c r="I2365" s="741">
        <v>0</v>
      </c>
      <c r="J2365" s="749">
        <f t="shared" ref="J2365:J2429" si="707">SUM(E2365*I2365)</f>
        <v>0</v>
      </c>
      <c r="K2365" s="739">
        <f t="shared" ref="K2365:K2429" si="708">SUM(H2365+J2365)</f>
        <v>0</v>
      </c>
      <c r="L2365" s="1079"/>
      <c r="M2365" s="683"/>
      <c r="N2365" s="744">
        <f t="shared" si="704"/>
        <v>0</v>
      </c>
      <c r="O2365" s="745">
        <v>0</v>
      </c>
      <c r="P2365" s="737">
        <v>0</v>
      </c>
      <c r="Q2365" s="683"/>
      <c r="R2365" s="683"/>
      <c r="S2365" s="683"/>
    </row>
    <row r="2366" spans="1:19" s="753" customFormat="1" ht="24" customHeight="1">
      <c r="A2366" s="734"/>
      <c r="B2366" s="735" t="s">
        <v>1072</v>
      </c>
      <c r="C2366" s="736"/>
      <c r="D2366" s="907"/>
      <c r="E2366" s="737"/>
      <c r="F2366" s="738"/>
      <c r="G2366" s="739">
        <v>0</v>
      </c>
      <c r="H2366" s="748">
        <f t="shared" si="706"/>
        <v>0</v>
      </c>
      <c r="I2366" s="741">
        <v>0</v>
      </c>
      <c r="J2366" s="749">
        <f t="shared" si="707"/>
        <v>0</v>
      </c>
      <c r="K2366" s="739">
        <f t="shared" si="708"/>
        <v>0</v>
      </c>
      <c r="L2366" s="1079"/>
      <c r="M2366" s="752"/>
      <c r="N2366" s="744"/>
      <c r="O2366" s="745"/>
      <c r="P2366" s="737"/>
      <c r="Q2366" s="752"/>
      <c r="R2366" s="752"/>
      <c r="S2366" s="752"/>
    </row>
    <row r="2367" spans="1:19" s="753" customFormat="1" ht="24" customHeight="1">
      <c r="A2367" s="734"/>
      <c r="B2367" s="747" t="s">
        <v>469</v>
      </c>
      <c r="C2367" s="735" t="s">
        <v>497</v>
      </c>
      <c r="D2367" s="735"/>
      <c r="E2367" s="737">
        <f>+N2367</f>
        <v>4</v>
      </c>
      <c r="F2367" s="738" t="s">
        <v>363</v>
      </c>
      <c r="G2367" s="739">
        <v>1540</v>
      </c>
      <c r="H2367" s="748">
        <f t="shared" si="706"/>
        <v>6160</v>
      </c>
      <c r="I2367" s="741">
        <v>450</v>
      </c>
      <c r="J2367" s="749">
        <f t="shared" si="707"/>
        <v>1800</v>
      </c>
      <c r="K2367" s="739">
        <f t="shared" si="708"/>
        <v>7960</v>
      </c>
      <c r="L2367" s="1079"/>
      <c r="M2367" s="752"/>
      <c r="N2367" s="744">
        <f t="shared" ref="N2367:N2373" si="709">+(1+O2367)*P2367</f>
        <v>4</v>
      </c>
      <c r="O2367" s="745">
        <v>0</v>
      </c>
      <c r="P2367" s="737">
        <v>4</v>
      </c>
      <c r="Q2367" s="752"/>
      <c r="R2367" s="752"/>
      <c r="S2367" s="752"/>
    </row>
    <row r="2368" spans="1:19" s="753" customFormat="1" ht="24" customHeight="1">
      <c r="A2368" s="734"/>
      <c r="B2368" s="747" t="s">
        <v>469</v>
      </c>
      <c r="C2368" s="735" t="s">
        <v>498</v>
      </c>
      <c r="D2368" s="735"/>
      <c r="E2368" s="737">
        <f t="shared" ref="E2368:E2432" si="710">+N2368</f>
        <v>4</v>
      </c>
      <c r="F2368" s="738" t="s">
        <v>363</v>
      </c>
      <c r="G2368" s="739">
        <v>6640</v>
      </c>
      <c r="H2368" s="748">
        <f t="shared" si="706"/>
        <v>26560</v>
      </c>
      <c r="I2368" s="741">
        <v>200</v>
      </c>
      <c r="J2368" s="749">
        <f t="shared" si="707"/>
        <v>800</v>
      </c>
      <c r="K2368" s="739">
        <f t="shared" si="708"/>
        <v>27360</v>
      </c>
      <c r="L2368" s="1079"/>
      <c r="M2368" s="752"/>
      <c r="N2368" s="744">
        <f t="shared" si="709"/>
        <v>4</v>
      </c>
      <c r="O2368" s="745">
        <v>0</v>
      </c>
      <c r="P2368" s="737">
        <v>4</v>
      </c>
      <c r="Q2368" s="752"/>
      <c r="R2368" s="752"/>
      <c r="S2368" s="752"/>
    </row>
    <row r="2369" spans="1:19" s="753" customFormat="1" ht="24" customHeight="1">
      <c r="A2369" s="734"/>
      <c r="B2369" s="747" t="s">
        <v>469</v>
      </c>
      <c r="C2369" s="735" t="s">
        <v>496</v>
      </c>
      <c r="D2369" s="735"/>
      <c r="E2369" s="737">
        <f t="shared" si="710"/>
        <v>4</v>
      </c>
      <c r="F2369" s="738" t="s">
        <v>363</v>
      </c>
      <c r="G2369" s="739">
        <v>336</v>
      </c>
      <c r="H2369" s="748">
        <f t="shared" si="706"/>
        <v>1344</v>
      </c>
      <c r="I2369" s="741">
        <v>0</v>
      </c>
      <c r="J2369" s="749">
        <f t="shared" si="707"/>
        <v>0</v>
      </c>
      <c r="K2369" s="739">
        <f t="shared" si="708"/>
        <v>1344</v>
      </c>
      <c r="L2369" s="1079"/>
      <c r="M2369" s="752"/>
      <c r="N2369" s="744">
        <f t="shared" si="709"/>
        <v>4</v>
      </c>
      <c r="O2369" s="745">
        <v>0</v>
      </c>
      <c r="P2369" s="737">
        <v>4</v>
      </c>
      <c r="Q2369" s="752"/>
      <c r="R2369" s="752"/>
      <c r="S2369" s="752"/>
    </row>
    <row r="2370" spans="1:19" s="753" customFormat="1" ht="24" customHeight="1">
      <c r="A2370" s="734"/>
      <c r="B2370" s="747" t="s">
        <v>469</v>
      </c>
      <c r="C2370" s="735" t="s">
        <v>490</v>
      </c>
      <c r="D2370" s="735"/>
      <c r="E2370" s="737">
        <f t="shared" si="710"/>
        <v>4</v>
      </c>
      <c r="F2370" s="738" t="s">
        <v>363</v>
      </c>
      <c r="G2370" s="739">
        <v>736</v>
      </c>
      <c r="H2370" s="748">
        <f t="shared" si="706"/>
        <v>2944</v>
      </c>
      <c r="I2370" s="741">
        <v>0</v>
      </c>
      <c r="J2370" s="749">
        <f t="shared" si="707"/>
        <v>0</v>
      </c>
      <c r="K2370" s="739">
        <f t="shared" si="708"/>
        <v>2944</v>
      </c>
      <c r="L2370" s="1079"/>
      <c r="M2370" s="752"/>
      <c r="N2370" s="744">
        <f t="shared" si="709"/>
        <v>4</v>
      </c>
      <c r="O2370" s="745">
        <v>0</v>
      </c>
      <c r="P2370" s="737">
        <v>4</v>
      </c>
      <c r="Q2370" s="752"/>
      <c r="R2370" s="752"/>
      <c r="S2370" s="752"/>
    </row>
    <row r="2371" spans="1:19" s="753" customFormat="1" ht="24" customHeight="1">
      <c r="A2371" s="734"/>
      <c r="B2371" s="747" t="s">
        <v>469</v>
      </c>
      <c r="C2371" s="735" t="s">
        <v>478</v>
      </c>
      <c r="D2371" s="735"/>
      <c r="E2371" s="737">
        <f t="shared" si="710"/>
        <v>4</v>
      </c>
      <c r="F2371" s="738" t="s">
        <v>363</v>
      </c>
      <c r="G2371" s="739">
        <v>176</v>
      </c>
      <c r="H2371" s="748">
        <f t="shared" si="706"/>
        <v>704</v>
      </c>
      <c r="I2371" s="741">
        <v>0</v>
      </c>
      <c r="J2371" s="749">
        <f t="shared" si="707"/>
        <v>0</v>
      </c>
      <c r="K2371" s="739">
        <f t="shared" si="708"/>
        <v>704</v>
      </c>
      <c r="L2371" s="1079"/>
      <c r="M2371" s="752"/>
      <c r="N2371" s="744">
        <f t="shared" si="709"/>
        <v>4</v>
      </c>
      <c r="O2371" s="745">
        <v>0</v>
      </c>
      <c r="P2371" s="737">
        <v>4</v>
      </c>
      <c r="Q2371" s="752"/>
      <c r="R2371" s="752"/>
      <c r="S2371" s="752"/>
    </row>
    <row r="2372" spans="1:19" s="753" customFormat="1" ht="24" customHeight="1">
      <c r="A2372" s="734"/>
      <c r="B2372" s="747" t="s">
        <v>469</v>
      </c>
      <c r="C2372" s="735" t="s">
        <v>499</v>
      </c>
      <c r="D2372" s="735"/>
      <c r="E2372" s="737">
        <f t="shared" si="710"/>
        <v>4</v>
      </c>
      <c r="F2372" s="738" t="s">
        <v>363</v>
      </c>
      <c r="G2372" s="739">
        <v>216</v>
      </c>
      <c r="H2372" s="748">
        <f t="shared" si="706"/>
        <v>864</v>
      </c>
      <c r="I2372" s="741">
        <v>35</v>
      </c>
      <c r="J2372" s="749">
        <f t="shared" si="707"/>
        <v>140</v>
      </c>
      <c r="K2372" s="739">
        <f t="shared" si="708"/>
        <v>1004</v>
      </c>
      <c r="L2372" s="1079"/>
      <c r="M2372" s="752"/>
      <c r="N2372" s="744">
        <f t="shared" si="709"/>
        <v>4</v>
      </c>
      <c r="O2372" s="745">
        <v>0</v>
      </c>
      <c r="P2372" s="737">
        <v>4</v>
      </c>
      <c r="Q2372" s="752"/>
      <c r="R2372" s="752"/>
      <c r="S2372" s="752"/>
    </row>
    <row r="2373" spans="1:19" s="753" customFormat="1" ht="24" customHeight="1">
      <c r="A2373" s="734"/>
      <c r="B2373" s="750"/>
      <c r="C2373" s="736"/>
      <c r="D2373" s="907"/>
      <c r="E2373" s="737">
        <f t="shared" si="710"/>
        <v>0</v>
      </c>
      <c r="F2373" s="738"/>
      <c r="G2373" s="739">
        <v>0</v>
      </c>
      <c r="H2373" s="748">
        <f t="shared" si="706"/>
        <v>0</v>
      </c>
      <c r="I2373" s="741">
        <v>0</v>
      </c>
      <c r="J2373" s="749">
        <f t="shared" si="707"/>
        <v>0</v>
      </c>
      <c r="K2373" s="739">
        <f t="shared" si="708"/>
        <v>0</v>
      </c>
      <c r="L2373" s="1079"/>
      <c r="M2373" s="752"/>
      <c r="N2373" s="744">
        <f t="shared" si="709"/>
        <v>0</v>
      </c>
      <c r="O2373" s="745">
        <v>0</v>
      </c>
      <c r="P2373" s="737">
        <v>0</v>
      </c>
      <c r="Q2373" s="752"/>
      <c r="R2373" s="752"/>
      <c r="S2373" s="752"/>
    </row>
    <row r="2374" spans="1:19" s="753" customFormat="1" ht="24" customHeight="1">
      <c r="A2374" s="734"/>
      <c r="B2374" s="747" t="s">
        <v>469</v>
      </c>
      <c r="C2374" s="735" t="s">
        <v>492</v>
      </c>
      <c r="D2374" s="735"/>
      <c r="E2374" s="737">
        <f t="shared" si="710"/>
        <v>5</v>
      </c>
      <c r="F2374" s="738" t="s">
        <v>363</v>
      </c>
      <c r="G2374" s="739">
        <v>9375</v>
      </c>
      <c r="H2374" s="748">
        <f t="shared" si="706"/>
        <v>46875</v>
      </c>
      <c r="I2374" s="741">
        <v>450</v>
      </c>
      <c r="J2374" s="749">
        <f t="shared" si="707"/>
        <v>2250</v>
      </c>
      <c r="K2374" s="739">
        <f t="shared" si="708"/>
        <v>49125</v>
      </c>
      <c r="L2374" s="1079"/>
      <c r="M2374" s="752"/>
      <c r="N2374" s="744">
        <f>+(1+O2374)*P2374</f>
        <v>5</v>
      </c>
      <c r="O2374" s="745">
        <v>0</v>
      </c>
      <c r="P2374" s="737">
        <v>5</v>
      </c>
      <c r="Q2374" s="752"/>
      <c r="R2374" s="752"/>
      <c r="S2374" s="752"/>
    </row>
    <row r="2375" spans="1:19" s="753" customFormat="1" ht="24" customHeight="1">
      <c r="A2375" s="734"/>
      <c r="B2375" s="747" t="s">
        <v>469</v>
      </c>
      <c r="C2375" s="735" t="s">
        <v>500</v>
      </c>
      <c r="D2375" s="735"/>
      <c r="E2375" s="737">
        <f t="shared" si="710"/>
        <v>5</v>
      </c>
      <c r="F2375" s="738" t="s">
        <v>363</v>
      </c>
      <c r="G2375" s="739">
        <v>12752</v>
      </c>
      <c r="H2375" s="748">
        <f t="shared" si="706"/>
        <v>63760</v>
      </c>
      <c r="I2375" s="741">
        <v>0</v>
      </c>
      <c r="J2375" s="749">
        <f t="shared" si="707"/>
        <v>0</v>
      </c>
      <c r="K2375" s="739">
        <f t="shared" si="708"/>
        <v>63760</v>
      </c>
      <c r="L2375" s="1079"/>
      <c r="M2375" s="752"/>
      <c r="N2375" s="744">
        <f t="shared" ref="N2375:N2439" si="711">+(1+O2375)*P2375</f>
        <v>5</v>
      </c>
      <c r="O2375" s="745">
        <v>0</v>
      </c>
      <c r="P2375" s="737">
        <v>5</v>
      </c>
      <c r="Q2375" s="752"/>
      <c r="R2375" s="752"/>
      <c r="S2375" s="752"/>
    </row>
    <row r="2376" spans="1:19" s="753" customFormat="1" ht="24" customHeight="1">
      <c r="A2376" s="734"/>
      <c r="B2376" s="747" t="s">
        <v>469</v>
      </c>
      <c r="C2376" s="735" t="s">
        <v>501</v>
      </c>
      <c r="D2376" s="735"/>
      <c r="E2376" s="737">
        <v>0</v>
      </c>
      <c r="F2376" s="738" t="s">
        <v>363</v>
      </c>
      <c r="G2376" s="739">
        <v>1950</v>
      </c>
      <c r="H2376" s="748">
        <f t="shared" si="706"/>
        <v>0</v>
      </c>
      <c r="I2376" s="741">
        <v>35</v>
      </c>
      <c r="J2376" s="749">
        <f t="shared" si="707"/>
        <v>0</v>
      </c>
      <c r="K2376" s="739">
        <f t="shared" si="708"/>
        <v>0</v>
      </c>
      <c r="L2376" s="1079"/>
      <c r="M2376" s="752"/>
      <c r="N2376" s="744">
        <f t="shared" si="711"/>
        <v>5</v>
      </c>
      <c r="O2376" s="745">
        <v>0</v>
      </c>
      <c r="P2376" s="737">
        <v>5</v>
      </c>
      <c r="Q2376" s="752"/>
      <c r="R2376" s="752"/>
      <c r="S2376" s="752"/>
    </row>
    <row r="2377" spans="1:19" s="753" customFormat="1" ht="24" customHeight="1">
      <c r="A2377" s="734"/>
      <c r="B2377" s="747" t="s">
        <v>469</v>
      </c>
      <c r="C2377" s="735" t="s">
        <v>502</v>
      </c>
      <c r="D2377" s="735"/>
      <c r="E2377" s="737">
        <f t="shared" si="710"/>
        <v>5</v>
      </c>
      <c r="F2377" s="738" t="s">
        <v>363</v>
      </c>
      <c r="G2377" s="739">
        <v>216</v>
      </c>
      <c r="H2377" s="748">
        <f t="shared" si="706"/>
        <v>1080</v>
      </c>
      <c r="I2377" s="741">
        <v>35</v>
      </c>
      <c r="J2377" s="749">
        <f t="shared" si="707"/>
        <v>175</v>
      </c>
      <c r="K2377" s="739">
        <f t="shared" si="708"/>
        <v>1255</v>
      </c>
      <c r="L2377" s="1079"/>
      <c r="M2377" s="752"/>
      <c r="N2377" s="744">
        <f t="shared" si="711"/>
        <v>5</v>
      </c>
      <c r="O2377" s="745">
        <v>0</v>
      </c>
      <c r="P2377" s="737">
        <v>5</v>
      </c>
      <c r="Q2377" s="754"/>
      <c r="R2377" s="752"/>
      <c r="S2377" s="752"/>
    </row>
    <row r="2378" spans="1:19" s="753" customFormat="1" ht="24" customHeight="1">
      <c r="A2378" s="734"/>
      <c r="B2378" s="747"/>
      <c r="C2378" s="735"/>
      <c r="D2378" s="907"/>
      <c r="E2378" s="737">
        <f t="shared" si="710"/>
        <v>0</v>
      </c>
      <c r="F2378" s="738"/>
      <c r="G2378" s="739">
        <v>0</v>
      </c>
      <c r="H2378" s="748">
        <f t="shared" si="706"/>
        <v>0</v>
      </c>
      <c r="I2378" s="741">
        <v>0</v>
      </c>
      <c r="J2378" s="749">
        <f t="shared" si="707"/>
        <v>0</v>
      </c>
      <c r="K2378" s="739">
        <f t="shared" si="708"/>
        <v>0</v>
      </c>
      <c r="L2378" s="1079"/>
      <c r="M2378" s="752"/>
      <c r="N2378" s="744">
        <f t="shared" si="711"/>
        <v>0</v>
      </c>
      <c r="O2378" s="745">
        <v>0</v>
      </c>
      <c r="P2378" s="737">
        <v>0</v>
      </c>
      <c r="Q2378" s="752"/>
      <c r="R2378" s="752"/>
      <c r="S2378" s="752"/>
    </row>
    <row r="2379" spans="1:19" s="753" customFormat="1" ht="24" customHeight="1">
      <c r="A2379" s="734"/>
      <c r="B2379" s="747" t="s">
        <v>469</v>
      </c>
      <c r="C2379" s="735" t="s">
        <v>503</v>
      </c>
      <c r="D2379" s="735"/>
      <c r="E2379" s="737">
        <f t="shared" si="710"/>
        <v>8</v>
      </c>
      <c r="F2379" s="738" t="s">
        <v>363</v>
      </c>
      <c r="G2379" s="739">
        <v>3920</v>
      </c>
      <c r="H2379" s="748">
        <f t="shared" si="706"/>
        <v>31360</v>
      </c>
      <c r="I2379" s="741">
        <v>450</v>
      </c>
      <c r="J2379" s="749">
        <f t="shared" si="707"/>
        <v>3600</v>
      </c>
      <c r="K2379" s="739">
        <f t="shared" si="708"/>
        <v>34960</v>
      </c>
      <c r="L2379" s="1079"/>
      <c r="M2379" s="752"/>
      <c r="N2379" s="744">
        <f t="shared" si="711"/>
        <v>8</v>
      </c>
      <c r="O2379" s="745">
        <v>0</v>
      </c>
      <c r="P2379" s="737">
        <v>8</v>
      </c>
      <c r="Q2379" s="752"/>
      <c r="R2379" s="752"/>
      <c r="S2379" s="752"/>
    </row>
    <row r="2380" spans="1:19" s="753" customFormat="1" ht="24" customHeight="1">
      <c r="A2380" s="734"/>
      <c r="B2380" s="747" t="s">
        <v>469</v>
      </c>
      <c r="C2380" s="735" t="s">
        <v>504</v>
      </c>
      <c r="D2380" s="735"/>
      <c r="E2380" s="737">
        <f t="shared" si="710"/>
        <v>8</v>
      </c>
      <c r="F2380" s="738" t="s">
        <v>363</v>
      </c>
      <c r="G2380" s="739">
        <v>12752</v>
      </c>
      <c r="H2380" s="748">
        <f t="shared" si="706"/>
        <v>102016</v>
      </c>
      <c r="I2380" s="741">
        <v>0</v>
      </c>
      <c r="J2380" s="749">
        <f t="shared" si="707"/>
        <v>0</v>
      </c>
      <c r="K2380" s="739">
        <f t="shared" si="708"/>
        <v>102016</v>
      </c>
      <c r="L2380" s="1079"/>
      <c r="M2380" s="752"/>
      <c r="N2380" s="744">
        <f t="shared" si="711"/>
        <v>8</v>
      </c>
      <c r="O2380" s="745">
        <v>0</v>
      </c>
      <c r="P2380" s="737">
        <v>8</v>
      </c>
      <c r="Q2380" s="752"/>
      <c r="R2380" s="752"/>
      <c r="S2380" s="752"/>
    </row>
    <row r="2381" spans="1:19" s="682" customFormat="1" ht="24" customHeight="1">
      <c r="A2381" s="734"/>
      <c r="B2381" s="747" t="s">
        <v>469</v>
      </c>
      <c r="C2381" s="735" t="s">
        <v>505</v>
      </c>
      <c r="D2381" s="735"/>
      <c r="E2381" s="737">
        <f t="shared" si="710"/>
        <v>6</v>
      </c>
      <c r="F2381" s="738" t="s">
        <v>363</v>
      </c>
      <c r="G2381" s="739">
        <v>2280</v>
      </c>
      <c r="H2381" s="748">
        <f t="shared" si="706"/>
        <v>13680</v>
      </c>
      <c r="I2381" s="741">
        <v>300</v>
      </c>
      <c r="J2381" s="749">
        <f t="shared" si="707"/>
        <v>1800</v>
      </c>
      <c r="K2381" s="739">
        <f t="shared" si="708"/>
        <v>15480</v>
      </c>
      <c r="L2381" s="1079"/>
      <c r="M2381" s="679"/>
      <c r="N2381" s="744">
        <f t="shared" si="711"/>
        <v>6</v>
      </c>
      <c r="O2381" s="745">
        <v>0</v>
      </c>
      <c r="P2381" s="737">
        <v>6</v>
      </c>
      <c r="Q2381" s="679"/>
      <c r="R2381" s="679"/>
      <c r="S2381" s="679"/>
    </row>
    <row r="2382" spans="1:19" s="682" customFormat="1" ht="24" customHeight="1">
      <c r="A2382" s="734"/>
      <c r="B2382" s="747" t="s">
        <v>469</v>
      </c>
      <c r="C2382" s="735" t="s">
        <v>506</v>
      </c>
      <c r="D2382" s="735"/>
      <c r="E2382" s="737">
        <f t="shared" si="710"/>
        <v>0</v>
      </c>
      <c r="F2382" s="738" t="s">
        <v>363</v>
      </c>
      <c r="G2382" s="739">
        <v>6592</v>
      </c>
      <c r="H2382" s="748">
        <f t="shared" si="706"/>
        <v>0</v>
      </c>
      <c r="I2382" s="741">
        <v>140</v>
      </c>
      <c r="J2382" s="749">
        <f t="shared" si="707"/>
        <v>0</v>
      </c>
      <c r="K2382" s="739">
        <f t="shared" si="708"/>
        <v>0</v>
      </c>
      <c r="L2382" s="1079"/>
      <c r="M2382" s="679"/>
      <c r="N2382" s="744">
        <f t="shared" si="711"/>
        <v>0</v>
      </c>
      <c r="O2382" s="745">
        <v>0</v>
      </c>
      <c r="P2382" s="737">
        <v>0</v>
      </c>
      <c r="Q2382" s="679"/>
      <c r="R2382" s="679"/>
      <c r="S2382" s="679"/>
    </row>
    <row r="2383" spans="1:19" s="753" customFormat="1" ht="24" customHeight="1">
      <c r="A2383" s="734"/>
      <c r="B2383" s="747" t="s">
        <v>484</v>
      </c>
      <c r="C2383" s="735" t="s">
        <v>485</v>
      </c>
      <c r="D2383" s="735"/>
      <c r="E2383" s="737">
        <f t="shared" si="710"/>
        <v>7</v>
      </c>
      <c r="F2383" s="738" t="s">
        <v>363</v>
      </c>
      <c r="G2383" s="739">
        <v>285</v>
      </c>
      <c r="H2383" s="748">
        <f t="shared" si="706"/>
        <v>1995</v>
      </c>
      <c r="I2383" s="741">
        <v>75</v>
      </c>
      <c r="J2383" s="749">
        <f t="shared" si="707"/>
        <v>525</v>
      </c>
      <c r="K2383" s="739">
        <f t="shared" si="708"/>
        <v>2520</v>
      </c>
      <c r="L2383" s="1093"/>
      <c r="M2383" s="752"/>
      <c r="N2383" s="744">
        <f t="shared" si="711"/>
        <v>7</v>
      </c>
      <c r="O2383" s="745">
        <v>0</v>
      </c>
      <c r="P2383" s="737">
        <v>7</v>
      </c>
      <c r="Q2383" s="752"/>
      <c r="R2383" s="752"/>
      <c r="S2383" s="752"/>
    </row>
    <row r="2384" spans="1:19" s="753" customFormat="1" ht="24" customHeight="1">
      <c r="A2384" s="734"/>
      <c r="B2384" s="747" t="s">
        <v>469</v>
      </c>
      <c r="C2384" s="735" t="s">
        <v>486</v>
      </c>
      <c r="D2384" s="735"/>
      <c r="E2384" s="737">
        <f t="shared" si="710"/>
        <v>1</v>
      </c>
      <c r="F2384" s="738" t="s">
        <v>363</v>
      </c>
      <c r="G2384" s="739">
        <v>552</v>
      </c>
      <c r="H2384" s="748">
        <f t="shared" si="706"/>
        <v>552</v>
      </c>
      <c r="I2384" s="741">
        <v>25</v>
      </c>
      <c r="J2384" s="749">
        <f t="shared" si="707"/>
        <v>25</v>
      </c>
      <c r="K2384" s="739">
        <f t="shared" si="708"/>
        <v>577</v>
      </c>
      <c r="L2384" s="1079"/>
      <c r="M2384" s="752"/>
      <c r="N2384" s="744">
        <f t="shared" si="711"/>
        <v>1</v>
      </c>
      <c r="O2384" s="745">
        <v>0</v>
      </c>
      <c r="P2384" s="737">
        <v>1</v>
      </c>
      <c r="Q2384" s="752"/>
      <c r="R2384" s="752"/>
      <c r="S2384" s="752"/>
    </row>
    <row r="2385" spans="1:19" s="753" customFormat="1" ht="24" customHeight="1">
      <c r="A2385" s="734"/>
      <c r="B2385" s="747" t="s">
        <v>469</v>
      </c>
      <c r="C2385" s="735" t="s">
        <v>507</v>
      </c>
      <c r="D2385" s="735"/>
      <c r="E2385" s="737">
        <f t="shared" si="710"/>
        <v>1</v>
      </c>
      <c r="F2385" s="738" t="s">
        <v>363</v>
      </c>
      <c r="G2385" s="739">
        <v>1650</v>
      </c>
      <c r="H2385" s="748">
        <f t="shared" si="706"/>
        <v>1650</v>
      </c>
      <c r="I2385" s="741">
        <v>70</v>
      </c>
      <c r="J2385" s="749">
        <f t="shared" si="707"/>
        <v>70</v>
      </c>
      <c r="K2385" s="739">
        <f t="shared" si="708"/>
        <v>1720</v>
      </c>
      <c r="L2385" s="1079"/>
      <c r="M2385" s="752"/>
      <c r="N2385" s="744">
        <f t="shared" si="711"/>
        <v>1</v>
      </c>
      <c r="O2385" s="745">
        <v>0</v>
      </c>
      <c r="P2385" s="737">
        <v>1</v>
      </c>
      <c r="Q2385" s="752"/>
      <c r="R2385" s="752"/>
      <c r="S2385" s="752"/>
    </row>
    <row r="2386" spans="1:19" s="753" customFormat="1" ht="24" customHeight="1">
      <c r="A2386" s="734"/>
      <c r="B2386" s="747" t="s">
        <v>469</v>
      </c>
      <c r="C2386" s="735" t="s">
        <v>508</v>
      </c>
      <c r="D2386" s="735"/>
      <c r="E2386" s="737">
        <f t="shared" si="710"/>
        <v>5</v>
      </c>
      <c r="F2386" s="738" t="s">
        <v>363</v>
      </c>
      <c r="G2386" s="739">
        <v>13500</v>
      </c>
      <c r="H2386" s="748">
        <f t="shared" si="706"/>
        <v>67500</v>
      </c>
      <c r="I2386" s="741">
        <v>750</v>
      </c>
      <c r="J2386" s="749">
        <f t="shared" si="707"/>
        <v>3750</v>
      </c>
      <c r="K2386" s="739">
        <f t="shared" si="708"/>
        <v>71250</v>
      </c>
      <c r="L2386" s="1079"/>
      <c r="M2386" s="752"/>
      <c r="N2386" s="744">
        <f t="shared" si="711"/>
        <v>5</v>
      </c>
      <c r="O2386" s="745">
        <v>0</v>
      </c>
      <c r="P2386" s="737">
        <v>5</v>
      </c>
      <c r="Q2386" s="752"/>
      <c r="R2386" s="752"/>
      <c r="S2386" s="752"/>
    </row>
    <row r="2387" spans="1:19" s="682" customFormat="1" ht="24" customHeight="1">
      <c r="A2387" s="734"/>
      <c r="B2387" s="747" t="s">
        <v>469</v>
      </c>
      <c r="C2387" s="735" t="s">
        <v>509</v>
      </c>
      <c r="D2387" s="735"/>
      <c r="E2387" s="737">
        <f t="shared" si="710"/>
        <v>1</v>
      </c>
      <c r="F2387" s="738" t="s">
        <v>363</v>
      </c>
      <c r="G2387" s="739">
        <v>14476</v>
      </c>
      <c r="H2387" s="748">
        <f t="shared" si="706"/>
        <v>14476</v>
      </c>
      <c r="I2387" s="741">
        <v>5367</v>
      </c>
      <c r="J2387" s="749">
        <f t="shared" si="707"/>
        <v>5367</v>
      </c>
      <c r="K2387" s="739">
        <f t="shared" si="708"/>
        <v>19843</v>
      </c>
      <c r="L2387" s="1079"/>
      <c r="M2387" s="679"/>
      <c r="N2387" s="744">
        <f t="shared" si="711"/>
        <v>1</v>
      </c>
      <c r="O2387" s="745">
        <v>0</v>
      </c>
      <c r="P2387" s="737">
        <v>1</v>
      </c>
      <c r="Q2387" s="679"/>
      <c r="R2387" s="679"/>
      <c r="S2387" s="679"/>
    </row>
    <row r="2388" spans="1:19" s="682" customFormat="1" ht="24" customHeight="1">
      <c r="A2388" s="734"/>
      <c r="B2388" s="747"/>
      <c r="C2388" s="735"/>
      <c r="D2388" s="735"/>
      <c r="E2388" s="737"/>
      <c r="F2388" s="738"/>
      <c r="G2388" s="739"/>
      <c r="H2388" s="748"/>
      <c r="I2388" s="741"/>
      <c r="J2388" s="749"/>
      <c r="K2388" s="739"/>
      <c r="L2388" s="1079"/>
      <c r="M2388" s="679"/>
      <c r="N2388" s="744"/>
      <c r="O2388" s="745"/>
      <c r="P2388" s="737"/>
      <c r="Q2388" s="679"/>
      <c r="R2388" s="679"/>
      <c r="S2388" s="679"/>
    </row>
    <row r="2389" spans="1:19" s="753" customFormat="1" ht="24" customHeight="1">
      <c r="A2389" s="734"/>
      <c r="B2389" s="747" t="s">
        <v>469</v>
      </c>
      <c r="C2389" s="735" t="s">
        <v>510</v>
      </c>
      <c r="D2389" s="735"/>
      <c r="E2389" s="737">
        <f t="shared" si="710"/>
        <v>4.1500000000000004</v>
      </c>
      <c r="F2389" s="738" t="s">
        <v>361</v>
      </c>
      <c r="G2389" s="739">
        <v>2694</v>
      </c>
      <c r="H2389" s="748">
        <f t="shared" si="706"/>
        <v>11180.1</v>
      </c>
      <c r="I2389" s="741">
        <v>1288</v>
      </c>
      <c r="J2389" s="749">
        <f t="shared" si="707"/>
        <v>5345.2000000000007</v>
      </c>
      <c r="K2389" s="739">
        <f t="shared" si="708"/>
        <v>16525.300000000003</v>
      </c>
      <c r="L2389" s="1079"/>
      <c r="M2389" s="752"/>
      <c r="N2389" s="744">
        <f t="shared" si="711"/>
        <v>4.1500000000000004</v>
      </c>
      <c r="O2389" s="745">
        <v>0</v>
      </c>
      <c r="P2389" s="737">
        <v>4.1500000000000004</v>
      </c>
      <c r="Q2389" s="752"/>
      <c r="R2389" s="752"/>
      <c r="S2389" s="752"/>
    </row>
    <row r="2390" spans="1:19" s="753" customFormat="1" ht="24" customHeight="1">
      <c r="A2390" s="734"/>
      <c r="B2390" s="747"/>
      <c r="C2390" s="735" t="s">
        <v>511</v>
      </c>
      <c r="D2390" s="735"/>
      <c r="E2390" s="737">
        <f t="shared" si="710"/>
        <v>0</v>
      </c>
      <c r="F2390" s="738"/>
      <c r="G2390" s="739"/>
      <c r="H2390" s="748">
        <f t="shared" si="706"/>
        <v>0</v>
      </c>
      <c r="I2390" s="741"/>
      <c r="J2390" s="749">
        <f t="shared" si="707"/>
        <v>0</v>
      </c>
      <c r="K2390" s="739">
        <f t="shared" si="708"/>
        <v>0</v>
      </c>
      <c r="L2390" s="1079"/>
      <c r="M2390" s="752"/>
      <c r="N2390" s="744">
        <f t="shared" si="711"/>
        <v>0</v>
      </c>
      <c r="O2390" s="745">
        <v>0</v>
      </c>
      <c r="P2390" s="737">
        <v>0</v>
      </c>
      <c r="Q2390" s="752"/>
      <c r="R2390" s="752"/>
      <c r="S2390" s="752"/>
    </row>
    <row r="2391" spans="1:19" s="753" customFormat="1" ht="24" customHeight="1">
      <c r="A2391" s="734"/>
      <c r="B2391" s="747" t="s">
        <v>469</v>
      </c>
      <c r="C2391" s="735" t="s">
        <v>512</v>
      </c>
      <c r="D2391" s="735"/>
      <c r="E2391" s="737">
        <f t="shared" si="710"/>
        <v>4.1500000000000004</v>
      </c>
      <c r="F2391" s="738" t="s">
        <v>361</v>
      </c>
      <c r="G2391" s="739">
        <v>3886</v>
      </c>
      <c r="H2391" s="748">
        <f t="shared" si="706"/>
        <v>16126.900000000001</v>
      </c>
      <c r="I2391" s="741">
        <v>1238</v>
      </c>
      <c r="J2391" s="749">
        <f t="shared" si="707"/>
        <v>5137.7000000000007</v>
      </c>
      <c r="K2391" s="739">
        <f t="shared" si="708"/>
        <v>21264.600000000002</v>
      </c>
      <c r="L2391" s="1079"/>
      <c r="M2391" s="752"/>
      <c r="N2391" s="744">
        <f t="shared" si="711"/>
        <v>4.1500000000000004</v>
      </c>
      <c r="O2391" s="745">
        <v>0</v>
      </c>
      <c r="P2391" s="737">
        <v>4.1500000000000004</v>
      </c>
      <c r="Q2391" s="752"/>
      <c r="R2391" s="752"/>
      <c r="S2391" s="752"/>
    </row>
    <row r="2392" spans="1:19" s="753" customFormat="1" ht="24" customHeight="1">
      <c r="A2392" s="734"/>
      <c r="B2392" s="747"/>
      <c r="C2392" s="735" t="s">
        <v>513</v>
      </c>
      <c r="D2392" s="735"/>
      <c r="E2392" s="737">
        <f t="shared" si="710"/>
        <v>0</v>
      </c>
      <c r="F2392" s="738"/>
      <c r="G2392" s="739">
        <v>0</v>
      </c>
      <c r="H2392" s="748">
        <f t="shared" si="706"/>
        <v>0</v>
      </c>
      <c r="I2392" s="741">
        <v>0</v>
      </c>
      <c r="J2392" s="749">
        <f t="shared" si="707"/>
        <v>0</v>
      </c>
      <c r="K2392" s="739">
        <f t="shared" si="708"/>
        <v>0</v>
      </c>
      <c r="L2392" s="1079"/>
      <c r="M2392" s="752"/>
      <c r="N2392" s="744">
        <f t="shared" si="711"/>
        <v>0</v>
      </c>
      <c r="O2392" s="745">
        <v>0</v>
      </c>
      <c r="P2392" s="737">
        <v>0</v>
      </c>
      <c r="Q2392" s="752"/>
      <c r="R2392" s="752"/>
      <c r="S2392" s="752"/>
    </row>
    <row r="2393" spans="1:19" s="753" customFormat="1" ht="24" customHeight="1">
      <c r="A2393" s="734"/>
      <c r="B2393" s="747" t="s">
        <v>469</v>
      </c>
      <c r="C2393" s="735" t="s">
        <v>514</v>
      </c>
      <c r="D2393" s="735"/>
      <c r="E2393" s="737">
        <f t="shared" si="710"/>
        <v>7.1</v>
      </c>
      <c r="F2393" s="738" t="s">
        <v>361</v>
      </c>
      <c r="G2393" s="739">
        <v>1522</v>
      </c>
      <c r="H2393" s="748">
        <f t="shared" si="706"/>
        <v>10806.199999999999</v>
      </c>
      <c r="I2393" s="741">
        <v>315</v>
      </c>
      <c r="J2393" s="749">
        <f t="shared" si="707"/>
        <v>2236.5</v>
      </c>
      <c r="K2393" s="739">
        <f t="shared" si="708"/>
        <v>13042.699999999999</v>
      </c>
      <c r="L2393" s="1079"/>
      <c r="M2393" s="752"/>
      <c r="N2393" s="744">
        <f t="shared" si="711"/>
        <v>7.1</v>
      </c>
      <c r="O2393" s="745">
        <v>0</v>
      </c>
      <c r="P2393" s="737">
        <v>7.1</v>
      </c>
      <c r="Q2393" s="752"/>
      <c r="R2393" s="752"/>
      <c r="S2393" s="752"/>
    </row>
    <row r="2394" spans="1:19" s="753" customFormat="1" ht="24" customHeight="1">
      <c r="A2394" s="734"/>
      <c r="B2394" s="747"/>
      <c r="C2394" s="735"/>
      <c r="D2394" s="735"/>
      <c r="E2394" s="737">
        <f t="shared" si="710"/>
        <v>0</v>
      </c>
      <c r="F2394" s="738"/>
      <c r="G2394" s="739">
        <v>0</v>
      </c>
      <c r="H2394" s="748">
        <f t="shared" si="706"/>
        <v>0</v>
      </c>
      <c r="I2394" s="741">
        <v>0</v>
      </c>
      <c r="J2394" s="749">
        <f t="shared" si="707"/>
        <v>0</v>
      </c>
      <c r="K2394" s="739">
        <f t="shared" si="708"/>
        <v>0</v>
      </c>
      <c r="L2394" s="1079"/>
      <c r="M2394" s="752"/>
      <c r="N2394" s="744">
        <f t="shared" si="711"/>
        <v>0</v>
      </c>
      <c r="O2394" s="745">
        <v>0</v>
      </c>
      <c r="P2394" s="737">
        <v>0</v>
      </c>
      <c r="Q2394" s="752"/>
      <c r="R2394" s="752"/>
      <c r="S2394" s="752"/>
    </row>
    <row r="2395" spans="1:19" s="682" customFormat="1" ht="24" customHeight="1">
      <c r="A2395" s="734"/>
      <c r="B2395" s="747" t="s">
        <v>469</v>
      </c>
      <c r="C2395" s="735" t="s">
        <v>515</v>
      </c>
      <c r="D2395" s="735"/>
      <c r="E2395" s="737">
        <f t="shared" si="710"/>
        <v>1</v>
      </c>
      <c r="F2395" s="738" t="s">
        <v>363</v>
      </c>
      <c r="G2395" s="739">
        <v>5013</v>
      </c>
      <c r="H2395" s="748">
        <f t="shared" si="706"/>
        <v>5013</v>
      </c>
      <c r="I2395" s="741">
        <v>2403</v>
      </c>
      <c r="J2395" s="749">
        <f t="shared" si="707"/>
        <v>2403</v>
      </c>
      <c r="K2395" s="739">
        <f t="shared" si="708"/>
        <v>7416</v>
      </c>
      <c r="L2395" s="1079"/>
      <c r="M2395" s="679"/>
      <c r="N2395" s="744">
        <f t="shared" si="711"/>
        <v>1</v>
      </c>
      <c r="O2395" s="745">
        <v>0</v>
      </c>
      <c r="P2395" s="737">
        <v>1</v>
      </c>
      <c r="Q2395" s="679"/>
      <c r="R2395" s="679"/>
      <c r="S2395" s="679"/>
    </row>
    <row r="2396" spans="1:19" s="682" customFormat="1" ht="24" customHeight="1">
      <c r="A2396" s="734"/>
      <c r="B2396" s="747"/>
      <c r="C2396" s="735" t="s">
        <v>516</v>
      </c>
      <c r="D2396" s="735"/>
      <c r="E2396" s="737">
        <f t="shared" si="710"/>
        <v>0</v>
      </c>
      <c r="F2396" s="738"/>
      <c r="G2396" s="739"/>
      <c r="H2396" s="748">
        <f t="shared" si="706"/>
        <v>0</v>
      </c>
      <c r="I2396" s="741"/>
      <c r="J2396" s="749">
        <f t="shared" si="707"/>
        <v>0</v>
      </c>
      <c r="K2396" s="739">
        <f t="shared" si="708"/>
        <v>0</v>
      </c>
      <c r="L2396" s="1079"/>
      <c r="M2396" s="679"/>
      <c r="N2396" s="744">
        <f t="shared" si="711"/>
        <v>0</v>
      </c>
      <c r="O2396" s="745">
        <v>0</v>
      </c>
      <c r="P2396" s="737">
        <v>0</v>
      </c>
      <c r="Q2396" s="679"/>
      <c r="R2396" s="679"/>
      <c r="S2396" s="679"/>
    </row>
    <row r="2397" spans="1:19" s="682" customFormat="1" ht="24" customHeight="1">
      <c r="A2397" s="734"/>
      <c r="B2397" s="747"/>
      <c r="C2397" s="735"/>
      <c r="D2397" s="735"/>
      <c r="E2397" s="737">
        <f t="shared" si="710"/>
        <v>0</v>
      </c>
      <c r="F2397" s="738"/>
      <c r="G2397" s="739"/>
      <c r="H2397" s="748">
        <f t="shared" si="706"/>
        <v>0</v>
      </c>
      <c r="I2397" s="741"/>
      <c r="J2397" s="749">
        <f t="shared" si="707"/>
        <v>0</v>
      </c>
      <c r="K2397" s="739">
        <f t="shared" si="708"/>
        <v>0</v>
      </c>
      <c r="L2397" s="1079"/>
      <c r="M2397" s="679"/>
      <c r="N2397" s="744">
        <f t="shared" si="711"/>
        <v>0</v>
      </c>
      <c r="O2397" s="745">
        <v>0</v>
      </c>
      <c r="P2397" s="737">
        <v>0</v>
      </c>
      <c r="Q2397" s="679"/>
      <c r="R2397" s="679"/>
      <c r="S2397" s="679"/>
    </row>
    <row r="2398" spans="1:19" s="756" customFormat="1" ht="24" customHeight="1">
      <c r="A2398" s="734"/>
      <c r="B2398" s="747" t="s">
        <v>469</v>
      </c>
      <c r="C2398" s="735" t="s">
        <v>517</v>
      </c>
      <c r="D2398" s="907"/>
      <c r="E2398" s="737">
        <f t="shared" si="710"/>
        <v>0</v>
      </c>
      <c r="F2398" s="738" t="s">
        <v>361</v>
      </c>
      <c r="G2398" s="739">
        <v>5075.5555555555557</v>
      </c>
      <c r="H2398" s="748">
        <f t="shared" si="706"/>
        <v>0</v>
      </c>
      <c r="I2398" s="741">
        <v>2545.7777777777778</v>
      </c>
      <c r="J2398" s="749">
        <f t="shared" si="707"/>
        <v>0</v>
      </c>
      <c r="K2398" s="739">
        <f t="shared" si="708"/>
        <v>0</v>
      </c>
      <c r="L2398" s="1079"/>
      <c r="M2398" s="755"/>
      <c r="N2398" s="744">
        <f t="shared" si="711"/>
        <v>0</v>
      </c>
      <c r="O2398" s="745">
        <v>0</v>
      </c>
      <c r="P2398" s="737">
        <v>0</v>
      </c>
      <c r="Q2398" s="755"/>
      <c r="R2398" s="755"/>
      <c r="S2398" s="755"/>
    </row>
    <row r="2399" spans="1:19" s="756" customFormat="1" ht="24" customHeight="1">
      <c r="A2399" s="734"/>
      <c r="B2399" s="747"/>
      <c r="C2399" s="735" t="s">
        <v>488</v>
      </c>
      <c r="D2399" s="907"/>
      <c r="E2399" s="737">
        <f t="shared" si="710"/>
        <v>0</v>
      </c>
      <c r="F2399" s="738"/>
      <c r="G2399" s="739">
        <v>0</v>
      </c>
      <c r="H2399" s="748">
        <f t="shared" si="706"/>
        <v>0</v>
      </c>
      <c r="I2399" s="741">
        <v>0</v>
      </c>
      <c r="J2399" s="749">
        <f t="shared" si="707"/>
        <v>0</v>
      </c>
      <c r="K2399" s="739">
        <f t="shared" si="708"/>
        <v>0</v>
      </c>
      <c r="L2399" s="1079"/>
      <c r="M2399" s="755"/>
      <c r="N2399" s="744">
        <f t="shared" si="711"/>
        <v>0</v>
      </c>
      <c r="O2399" s="745">
        <v>0</v>
      </c>
      <c r="P2399" s="737">
        <v>0</v>
      </c>
      <c r="Q2399" s="755"/>
      <c r="R2399" s="755"/>
      <c r="S2399" s="755"/>
    </row>
    <row r="2400" spans="1:19" s="753" customFormat="1" ht="24" customHeight="1">
      <c r="A2400" s="734"/>
      <c r="B2400" s="747" t="s">
        <v>469</v>
      </c>
      <c r="C2400" s="735" t="s">
        <v>518</v>
      </c>
      <c r="D2400" s="735"/>
      <c r="E2400" s="737">
        <f t="shared" si="710"/>
        <v>0</v>
      </c>
      <c r="F2400" s="738" t="s">
        <v>361</v>
      </c>
      <c r="G2400" s="739">
        <v>3886</v>
      </c>
      <c r="H2400" s="748">
        <f t="shared" si="706"/>
        <v>0</v>
      </c>
      <c r="I2400" s="741">
        <v>1238</v>
      </c>
      <c r="J2400" s="749">
        <f t="shared" si="707"/>
        <v>0</v>
      </c>
      <c r="K2400" s="739">
        <f t="shared" si="708"/>
        <v>0</v>
      </c>
      <c r="L2400" s="1079"/>
      <c r="M2400" s="752"/>
      <c r="N2400" s="744">
        <f t="shared" si="711"/>
        <v>0</v>
      </c>
      <c r="O2400" s="745">
        <v>0</v>
      </c>
      <c r="P2400" s="737">
        <v>0</v>
      </c>
      <c r="Q2400" s="752"/>
      <c r="R2400" s="752"/>
      <c r="S2400" s="752"/>
    </row>
    <row r="2401" spans="1:19" s="753" customFormat="1" ht="24" customHeight="1">
      <c r="A2401" s="734"/>
      <c r="B2401" s="747"/>
      <c r="C2401" s="735" t="s">
        <v>513</v>
      </c>
      <c r="D2401" s="735"/>
      <c r="E2401" s="737">
        <f t="shared" si="710"/>
        <v>0</v>
      </c>
      <c r="F2401" s="738"/>
      <c r="G2401" s="739">
        <v>0</v>
      </c>
      <c r="H2401" s="748">
        <f t="shared" si="706"/>
        <v>0</v>
      </c>
      <c r="I2401" s="741">
        <v>0</v>
      </c>
      <c r="J2401" s="749">
        <f t="shared" si="707"/>
        <v>0</v>
      </c>
      <c r="K2401" s="739">
        <f t="shared" si="708"/>
        <v>0</v>
      </c>
      <c r="L2401" s="1079"/>
      <c r="M2401" s="752"/>
      <c r="N2401" s="744">
        <f t="shared" si="711"/>
        <v>0</v>
      </c>
      <c r="O2401" s="745">
        <v>0</v>
      </c>
      <c r="P2401" s="737">
        <v>0</v>
      </c>
      <c r="Q2401" s="752"/>
      <c r="R2401" s="752"/>
      <c r="S2401" s="752"/>
    </row>
    <row r="2402" spans="1:19" s="682" customFormat="1" ht="24" customHeight="1">
      <c r="A2402" s="734"/>
      <c r="B2402" s="747" t="s">
        <v>469</v>
      </c>
      <c r="C2402" s="735" t="s">
        <v>519</v>
      </c>
      <c r="D2402" s="735"/>
      <c r="E2402" s="737">
        <f t="shared" si="710"/>
        <v>1</v>
      </c>
      <c r="F2402" s="738" t="s">
        <v>363</v>
      </c>
      <c r="G2402" s="739">
        <v>800</v>
      </c>
      <c r="H2402" s="748">
        <f t="shared" si="706"/>
        <v>800</v>
      </c>
      <c r="I2402" s="741">
        <v>70</v>
      </c>
      <c r="J2402" s="749">
        <f t="shared" si="707"/>
        <v>70</v>
      </c>
      <c r="K2402" s="739">
        <f t="shared" si="708"/>
        <v>870</v>
      </c>
      <c r="L2402" s="1079"/>
      <c r="M2402" s="679"/>
      <c r="N2402" s="744">
        <f t="shared" si="711"/>
        <v>1</v>
      </c>
      <c r="O2402" s="745">
        <v>0</v>
      </c>
      <c r="P2402" s="737">
        <v>1</v>
      </c>
      <c r="Q2402" s="679"/>
      <c r="R2402" s="679"/>
      <c r="S2402" s="679"/>
    </row>
    <row r="2403" spans="1:19" s="682" customFormat="1" ht="24" customHeight="1">
      <c r="A2403" s="734"/>
      <c r="B2403" s="747" t="s">
        <v>469</v>
      </c>
      <c r="C2403" s="735" t="s">
        <v>520</v>
      </c>
      <c r="D2403" s="735"/>
      <c r="E2403" s="737">
        <f t="shared" si="710"/>
        <v>0</v>
      </c>
      <c r="F2403" s="738" t="s">
        <v>361</v>
      </c>
      <c r="G2403" s="739">
        <v>190</v>
      </c>
      <c r="H2403" s="748">
        <f t="shared" si="706"/>
        <v>0</v>
      </c>
      <c r="I2403" s="741">
        <v>75</v>
      </c>
      <c r="J2403" s="749">
        <f t="shared" si="707"/>
        <v>0</v>
      </c>
      <c r="K2403" s="739">
        <f t="shared" si="708"/>
        <v>0</v>
      </c>
      <c r="L2403" s="1079"/>
      <c r="M2403" s="679"/>
      <c r="N2403" s="744">
        <f t="shared" si="711"/>
        <v>0</v>
      </c>
      <c r="O2403" s="745">
        <v>0</v>
      </c>
      <c r="P2403" s="737">
        <v>0</v>
      </c>
      <c r="Q2403" s="679"/>
      <c r="R2403" s="679"/>
      <c r="S2403" s="679"/>
    </row>
    <row r="2404" spans="1:19" s="682" customFormat="1" ht="24" customHeight="1">
      <c r="A2404" s="734"/>
      <c r="B2404" s="747"/>
      <c r="C2404" s="735"/>
      <c r="D2404" s="735"/>
      <c r="E2404" s="737">
        <f t="shared" si="710"/>
        <v>0</v>
      </c>
      <c r="F2404" s="738"/>
      <c r="G2404" s="739"/>
      <c r="H2404" s="748">
        <f t="shared" si="706"/>
        <v>0</v>
      </c>
      <c r="I2404" s="741"/>
      <c r="J2404" s="749">
        <f t="shared" si="707"/>
        <v>0</v>
      </c>
      <c r="K2404" s="739">
        <f t="shared" si="708"/>
        <v>0</v>
      </c>
      <c r="L2404" s="1079"/>
      <c r="M2404" s="679"/>
      <c r="N2404" s="744">
        <f t="shared" si="711"/>
        <v>0</v>
      </c>
      <c r="O2404" s="745">
        <v>0</v>
      </c>
      <c r="P2404" s="737">
        <v>0</v>
      </c>
      <c r="Q2404" s="679"/>
      <c r="R2404" s="679"/>
      <c r="S2404" s="679"/>
    </row>
    <row r="2405" spans="1:19" s="753" customFormat="1" ht="24" customHeight="1">
      <c r="A2405" s="734"/>
      <c r="B2405" s="735" t="s">
        <v>1073</v>
      </c>
      <c r="C2405" s="735"/>
      <c r="D2405" s="907"/>
      <c r="E2405" s="737">
        <f t="shared" si="710"/>
        <v>0</v>
      </c>
      <c r="F2405" s="738"/>
      <c r="G2405" s="739">
        <v>0</v>
      </c>
      <c r="H2405" s="748">
        <f t="shared" si="706"/>
        <v>0</v>
      </c>
      <c r="I2405" s="741">
        <v>0</v>
      </c>
      <c r="J2405" s="749">
        <f t="shared" si="707"/>
        <v>0</v>
      </c>
      <c r="K2405" s="739">
        <f t="shared" si="708"/>
        <v>0</v>
      </c>
      <c r="L2405" s="1079"/>
      <c r="M2405" s="752"/>
      <c r="N2405" s="744">
        <f t="shared" si="711"/>
        <v>0</v>
      </c>
      <c r="O2405" s="745">
        <v>0</v>
      </c>
      <c r="P2405" s="737">
        <v>0</v>
      </c>
      <c r="Q2405" s="752"/>
      <c r="R2405" s="752"/>
      <c r="S2405" s="752"/>
    </row>
    <row r="2406" spans="1:19" s="753" customFormat="1" ht="24" customHeight="1">
      <c r="A2406" s="734"/>
      <c r="B2406" s="747" t="s">
        <v>469</v>
      </c>
      <c r="C2406" s="735" t="s">
        <v>497</v>
      </c>
      <c r="D2406" s="735"/>
      <c r="E2406" s="737">
        <f t="shared" si="710"/>
        <v>6</v>
      </c>
      <c r="F2406" s="738" t="s">
        <v>363</v>
      </c>
      <c r="G2406" s="739">
        <v>1540</v>
      </c>
      <c r="H2406" s="748">
        <f t="shared" si="706"/>
        <v>9240</v>
      </c>
      <c r="I2406" s="741">
        <v>450</v>
      </c>
      <c r="J2406" s="749">
        <f t="shared" si="707"/>
        <v>2700</v>
      </c>
      <c r="K2406" s="739">
        <f t="shared" si="708"/>
        <v>11940</v>
      </c>
      <c r="L2406" s="1079"/>
      <c r="M2406" s="752"/>
      <c r="N2406" s="744">
        <f t="shared" si="711"/>
        <v>6</v>
      </c>
      <c r="O2406" s="745">
        <v>0</v>
      </c>
      <c r="P2406" s="737">
        <v>6</v>
      </c>
      <c r="Q2406" s="752"/>
      <c r="R2406" s="752"/>
      <c r="S2406" s="752"/>
    </row>
    <row r="2407" spans="1:19" s="753" customFormat="1" ht="24" customHeight="1">
      <c r="A2407" s="734"/>
      <c r="B2407" s="747" t="s">
        <v>469</v>
      </c>
      <c r="C2407" s="735" t="s">
        <v>498</v>
      </c>
      <c r="D2407" s="735"/>
      <c r="E2407" s="737">
        <f t="shared" si="710"/>
        <v>6</v>
      </c>
      <c r="F2407" s="738" t="s">
        <v>363</v>
      </c>
      <c r="G2407" s="739">
        <v>6640</v>
      </c>
      <c r="H2407" s="748">
        <f t="shared" si="706"/>
        <v>39840</v>
      </c>
      <c r="I2407" s="741">
        <v>200</v>
      </c>
      <c r="J2407" s="749">
        <f t="shared" si="707"/>
        <v>1200</v>
      </c>
      <c r="K2407" s="739">
        <f t="shared" si="708"/>
        <v>41040</v>
      </c>
      <c r="L2407" s="1079"/>
      <c r="M2407" s="752"/>
      <c r="N2407" s="744">
        <f t="shared" si="711"/>
        <v>6</v>
      </c>
      <c r="O2407" s="745">
        <v>0</v>
      </c>
      <c r="P2407" s="737">
        <v>6</v>
      </c>
      <c r="Q2407" s="752"/>
      <c r="R2407" s="752"/>
      <c r="S2407" s="752"/>
    </row>
    <row r="2408" spans="1:19" s="753" customFormat="1" ht="24" customHeight="1">
      <c r="A2408" s="734"/>
      <c r="B2408" s="747" t="s">
        <v>469</v>
      </c>
      <c r="C2408" s="735" t="s">
        <v>476</v>
      </c>
      <c r="D2408" s="735"/>
      <c r="E2408" s="737">
        <f t="shared" si="710"/>
        <v>6</v>
      </c>
      <c r="F2408" s="738" t="s">
        <v>363</v>
      </c>
      <c r="G2408" s="739">
        <v>336</v>
      </c>
      <c r="H2408" s="748">
        <f t="shared" si="706"/>
        <v>2016</v>
      </c>
      <c r="I2408" s="741">
        <v>0</v>
      </c>
      <c r="J2408" s="749">
        <f t="shared" si="707"/>
        <v>0</v>
      </c>
      <c r="K2408" s="739">
        <f t="shared" si="708"/>
        <v>2016</v>
      </c>
      <c r="L2408" s="1079"/>
      <c r="M2408" s="752"/>
      <c r="N2408" s="744">
        <f t="shared" si="711"/>
        <v>6</v>
      </c>
      <c r="O2408" s="745">
        <v>0</v>
      </c>
      <c r="P2408" s="737">
        <v>6</v>
      </c>
      <c r="Q2408" s="752"/>
      <c r="R2408" s="752"/>
      <c r="S2408" s="752"/>
    </row>
    <row r="2409" spans="1:19" s="753" customFormat="1" ht="24" customHeight="1">
      <c r="A2409" s="734"/>
      <c r="B2409" s="747" t="s">
        <v>469</v>
      </c>
      <c r="C2409" s="735" t="s">
        <v>477</v>
      </c>
      <c r="D2409" s="735"/>
      <c r="E2409" s="737">
        <f t="shared" si="710"/>
        <v>6</v>
      </c>
      <c r="F2409" s="738" t="s">
        <v>363</v>
      </c>
      <c r="G2409" s="739">
        <v>736</v>
      </c>
      <c r="H2409" s="748">
        <f t="shared" si="706"/>
        <v>4416</v>
      </c>
      <c r="I2409" s="741">
        <v>0</v>
      </c>
      <c r="J2409" s="749">
        <f t="shared" si="707"/>
        <v>0</v>
      </c>
      <c r="K2409" s="739">
        <f t="shared" si="708"/>
        <v>4416</v>
      </c>
      <c r="L2409" s="1079"/>
      <c r="M2409" s="752"/>
      <c r="N2409" s="744">
        <f t="shared" si="711"/>
        <v>6</v>
      </c>
      <c r="O2409" s="745">
        <v>0</v>
      </c>
      <c r="P2409" s="737">
        <v>6</v>
      </c>
      <c r="Q2409" s="752"/>
      <c r="R2409" s="752"/>
      <c r="S2409" s="752"/>
    </row>
    <row r="2410" spans="1:19" s="753" customFormat="1" ht="24" customHeight="1">
      <c r="A2410" s="734"/>
      <c r="B2410" s="747" t="s">
        <v>469</v>
      </c>
      <c r="C2410" s="735" t="s">
        <v>478</v>
      </c>
      <c r="D2410" s="735"/>
      <c r="E2410" s="737">
        <f t="shared" si="710"/>
        <v>6</v>
      </c>
      <c r="F2410" s="738" t="s">
        <v>363</v>
      </c>
      <c r="G2410" s="739">
        <v>176</v>
      </c>
      <c r="H2410" s="748">
        <f t="shared" si="706"/>
        <v>1056</v>
      </c>
      <c r="I2410" s="741">
        <v>0</v>
      </c>
      <c r="J2410" s="749">
        <f t="shared" si="707"/>
        <v>0</v>
      </c>
      <c r="K2410" s="739">
        <f t="shared" si="708"/>
        <v>1056</v>
      </c>
      <c r="L2410" s="1079"/>
      <c r="M2410" s="752"/>
      <c r="N2410" s="744">
        <f t="shared" si="711"/>
        <v>6</v>
      </c>
      <c r="O2410" s="745">
        <v>0</v>
      </c>
      <c r="P2410" s="737">
        <v>6</v>
      </c>
      <c r="Q2410" s="752"/>
      <c r="R2410" s="752"/>
      <c r="S2410" s="752"/>
    </row>
    <row r="2411" spans="1:19" s="753" customFormat="1" ht="24" customHeight="1">
      <c r="A2411" s="734"/>
      <c r="B2411" s="747" t="s">
        <v>469</v>
      </c>
      <c r="C2411" s="735" t="s">
        <v>499</v>
      </c>
      <c r="D2411" s="735"/>
      <c r="E2411" s="737">
        <f t="shared" si="710"/>
        <v>6</v>
      </c>
      <c r="F2411" s="738" t="s">
        <v>363</v>
      </c>
      <c r="G2411" s="739">
        <v>216</v>
      </c>
      <c r="H2411" s="748">
        <f t="shared" si="706"/>
        <v>1296</v>
      </c>
      <c r="I2411" s="741">
        <v>35</v>
      </c>
      <c r="J2411" s="749">
        <f t="shared" si="707"/>
        <v>210</v>
      </c>
      <c r="K2411" s="739">
        <f t="shared" si="708"/>
        <v>1506</v>
      </c>
      <c r="L2411" s="1079"/>
      <c r="M2411" s="752"/>
      <c r="N2411" s="744">
        <f t="shared" si="711"/>
        <v>6</v>
      </c>
      <c r="O2411" s="745">
        <v>0</v>
      </c>
      <c r="P2411" s="737">
        <v>6</v>
      </c>
      <c r="Q2411" s="752"/>
      <c r="R2411" s="752"/>
      <c r="S2411" s="752"/>
    </row>
    <row r="2412" spans="1:19" s="753" customFormat="1" ht="24" customHeight="1">
      <c r="A2412" s="734"/>
      <c r="B2412" s="747"/>
      <c r="C2412" s="736"/>
      <c r="D2412" s="907"/>
      <c r="E2412" s="737">
        <f t="shared" si="710"/>
        <v>0</v>
      </c>
      <c r="F2412" s="738"/>
      <c r="G2412" s="739">
        <v>0</v>
      </c>
      <c r="H2412" s="748">
        <f t="shared" si="706"/>
        <v>0</v>
      </c>
      <c r="I2412" s="741">
        <v>0</v>
      </c>
      <c r="J2412" s="749">
        <f t="shared" si="707"/>
        <v>0</v>
      </c>
      <c r="K2412" s="739">
        <f t="shared" si="708"/>
        <v>0</v>
      </c>
      <c r="L2412" s="1079"/>
      <c r="M2412" s="752"/>
      <c r="N2412" s="744">
        <f t="shared" si="711"/>
        <v>0</v>
      </c>
      <c r="O2412" s="745">
        <v>0</v>
      </c>
      <c r="P2412" s="737">
        <v>0</v>
      </c>
      <c r="Q2412" s="752"/>
      <c r="R2412" s="752"/>
      <c r="S2412" s="752"/>
    </row>
    <row r="2413" spans="1:19" s="753" customFormat="1" ht="24" customHeight="1">
      <c r="A2413" s="734"/>
      <c r="B2413" s="747" t="s">
        <v>469</v>
      </c>
      <c r="C2413" s="735" t="s">
        <v>492</v>
      </c>
      <c r="D2413" s="735"/>
      <c r="E2413" s="737">
        <f t="shared" si="710"/>
        <v>10</v>
      </c>
      <c r="F2413" s="738" t="s">
        <v>363</v>
      </c>
      <c r="G2413" s="739">
        <v>9375</v>
      </c>
      <c r="H2413" s="748">
        <f t="shared" si="706"/>
        <v>93750</v>
      </c>
      <c r="I2413" s="741">
        <v>450</v>
      </c>
      <c r="J2413" s="749">
        <f t="shared" si="707"/>
        <v>4500</v>
      </c>
      <c r="K2413" s="739">
        <f t="shared" si="708"/>
        <v>98250</v>
      </c>
      <c r="L2413" s="1079"/>
      <c r="M2413" s="752"/>
      <c r="N2413" s="744">
        <f t="shared" si="711"/>
        <v>10</v>
      </c>
      <c r="O2413" s="745">
        <v>0</v>
      </c>
      <c r="P2413" s="737">
        <v>10</v>
      </c>
      <c r="Q2413" s="752"/>
      <c r="R2413" s="752"/>
      <c r="S2413" s="752"/>
    </row>
    <row r="2414" spans="1:19" s="753" customFormat="1" ht="24" customHeight="1">
      <c r="A2414" s="734"/>
      <c r="B2414" s="747" t="s">
        <v>469</v>
      </c>
      <c r="C2414" s="735" t="s">
        <v>500</v>
      </c>
      <c r="D2414" s="735"/>
      <c r="E2414" s="737">
        <f t="shared" si="710"/>
        <v>10</v>
      </c>
      <c r="F2414" s="738" t="s">
        <v>363</v>
      </c>
      <c r="G2414" s="739">
        <v>12752</v>
      </c>
      <c r="H2414" s="748">
        <f t="shared" si="706"/>
        <v>127520</v>
      </c>
      <c r="I2414" s="741">
        <v>0</v>
      </c>
      <c r="J2414" s="749">
        <f t="shared" si="707"/>
        <v>0</v>
      </c>
      <c r="K2414" s="739">
        <f t="shared" si="708"/>
        <v>127520</v>
      </c>
      <c r="L2414" s="1079"/>
      <c r="M2414" s="752"/>
      <c r="N2414" s="744">
        <f t="shared" si="711"/>
        <v>10</v>
      </c>
      <c r="O2414" s="745">
        <v>0</v>
      </c>
      <c r="P2414" s="737">
        <v>10</v>
      </c>
      <c r="Q2414" s="752"/>
      <c r="R2414" s="752"/>
      <c r="S2414" s="752"/>
    </row>
    <row r="2415" spans="1:19" s="753" customFormat="1" ht="24" customHeight="1">
      <c r="A2415" s="734"/>
      <c r="B2415" s="747" t="s">
        <v>469</v>
      </c>
      <c r="C2415" s="735" t="s">
        <v>501</v>
      </c>
      <c r="D2415" s="735"/>
      <c r="E2415" s="737">
        <v>0</v>
      </c>
      <c r="F2415" s="738" t="s">
        <v>363</v>
      </c>
      <c r="G2415" s="739">
        <v>1950</v>
      </c>
      <c r="H2415" s="748">
        <f t="shared" si="706"/>
        <v>0</v>
      </c>
      <c r="I2415" s="741">
        <v>35</v>
      </c>
      <c r="J2415" s="749">
        <f t="shared" si="707"/>
        <v>0</v>
      </c>
      <c r="K2415" s="739">
        <f t="shared" si="708"/>
        <v>0</v>
      </c>
      <c r="L2415" s="1079"/>
      <c r="M2415" s="752"/>
      <c r="N2415" s="744">
        <f t="shared" si="711"/>
        <v>10</v>
      </c>
      <c r="O2415" s="745">
        <v>0</v>
      </c>
      <c r="P2415" s="737">
        <v>10</v>
      </c>
      <c r="Q2415" s="752"/>
      <c r="R2415" s="752"/>
      <c r="S2415" s="752"/>
    </row>
    <row r="2416" spans="1:19" s="753" customFormat="1" ht="24" customHeight="1">
      <c r="A2416" s="734"/>
      <c r="B2416" s="747" t="s">
        <v>469</v>
      </c>
      <c r="C2416" s="735" t="s">
        <v>502</v>
      </c>
      <c r="D2416" s="735"/>
      <c r="E2416" s="737">
        <f t="shared" si="710"/>
        <v>10</v>
      </c>
      <c r="F2416" s="738" t="s">
        <v>363</v>
      </c>
      <c r="G2416" s="739">
        <v>216</v>
      </c>
      <c r="H2416" s="748">
        <f t="shared" si="706"/>
        <v>2160</v>
      </c>
      <c r="I2416" s="741">
        <v>35</v>
      </c>
      <c r="J2416" s="749">
        <f t="shared" si="707"/>
        <v>350</v>
      </c>
      <c r="K2416" s="739">
        <f t="shared" si="708"/>
        <v>2510</v>
      </c>
      <c r="L2416" s="1079"/>
      <c r="M2416" s="752"/>
      <c r="N2416" s="744">
        <f t="shared" si="711"/>
        <v>10</v>
      </c>
      <c r="O2416" s="745">
        <v>0</v>
      </c>
      <c r="P2416" s="737">
        <v>10</v>
      </c>
      <c r="Q2416" s="752"/>
      <c r="R2416" s="752"/>
      <c r="S2416" s="752"/>
    </row>
    <row r="2417" spans="1:19" s="753" customFormat="1" ht="24" customHeight="1">
      <c r="A2417" s="734"/>
      <c r="B2417" s="747"/>
      <c r="C2417" s="735"/>
      <c r="D2417" s="735"/>
      <c r="E2417" s="737">
        <f t="shared" si="710"/>
        <v>0</v>
      </c>
      <c r="F2417" s="738"/>
      <c r="G2417" s="739"/>
      <c r="H2417" s="748">
        <f t="shared" si="706"/>
        <v>0</v>
      </c>
      <c r="I2417" s="741"/>
      <c r="J2417" s="749">
        <f t="shared" si="707"/>
        <v>0</v>
      </c>
      <c r="K2417" s="739">
        <f t="shared" si="708"/>
        <v>0</v>
      </c>
      <c r="L2417" s="1079"/>
      <c r="M2417" s="752"/>
      <c r="N2417" s="744">
        <f t="shared" si="711"/>
        <v>0</v>
      </c>
      <c r="O2417" s="745">
        <v>0</v>
      </c>
      <c r="P2417" s="737">
        <v>0</v>
      </c>
      <c r="Q2417" s="752"/>
      <c r="R2417" s="752"/>
      <c r="S2417" s="752"/>
    </row>
    <row r="2418" spans="1:19" s="753" customFormat="1" ht="24" customHeight="1">
      <c r="A2418" s="734"/>
      <c r="B2418" s="747" t="s">
        <v>484</v>
      </c>
      <c r="C2418" s="735" t="s">
        <v>485</v>
      </c>
      <c r="D2418" s="735"/>
      <c r="E2418" s="737">
        <f t="shared" si="710"/>
        <v>7</v>
      </c>
      <c r="F2418" s="738" t="s">
        <v>363</v>
      </c>
      <c r="G2418" s="739">
        <v>285</v>
      </c>
      <c r="H2418" s="748">
        <f t="shared" si="706"/>
        <v>1995</v>
      </c>
      <c r="I2418" s="741">
        <v>75</v>
      </c>
      <c r="J2418" s="749">
        <f t="shared" si="707"/>
        <v>525</v>
      </c>
      <c r="K2418" s="739">
        <f t="shared" si="708"/>
        <v>2520</v>
      </c>
      <c r="L2418" s="1093"/>
      <c r="M2418" s="752"/>
      <c r="N2418" s="744">
        <f t="shared" si="711"/>
        <v>7</v>
      </c>
      <c r="O2418" s="745">
        <v>0</v>
      </c>
      <c r="P2418" s="737">
        <v>7</v>
      </c>
      <c r="Q2418" s="752"/>
      <c r="R2418" s="752"/>
      <c r="S2418" s="752"/>
    </row>
    <row r="2419" spans="1:19" s="753" customFormat="1" ht="24" customHeight="1">
      <c r="A2419" s="734"/>
      <c r="B2419" s="747" t="s">
        <v>469</v>
      </c>
      <c r="C2419" s="735" t="s">
        <v>486</v>
      </c>
      <c r="D2419" s="735"/>
      <c r="E2419" s="737">
        <f t="shared" si="710"/>
        <v>1</v>
      </c>
      <c r="F2419" s="738" t="s">
        <v>363</v>
      </c>
      <c r="G2419" s="739">
        <v>552</v>
      </c>
      <c r="H2419" s="748">
        <f t="shared" si="706"/>
        <v>552</v>
      </c>
      <c r="I2419" s="741">
        <v>25</v>
      </c>
      <c r="J2419" s="749">
        <f t="shared" si="707"/>
        <v>25</v>
      </c>
      <c r="K2419" s="739">
        <f t="shared" si="708"/>
        <v>577</v>
      </c>
      <c r="L2419" s="1079"/>
      <c r="M2419" s="752"/>
      <c r="N2419" s="744">
        <f t="shared" si="711"/>
        <v>1</v>
      </c>
      <c r="O2419" s="745">
        <v>0</v>
      </c>
      <c r="P2419" s="737">
        <v>1</v>
      </c>
      <c r="Q2419" s="752"/>
      <c r="R2419" s="752"/>
      <c r="S2419" s="752"/>
    </row>
    <row r="2420" spans="1:19" s="753" customFormat="1" ht="24" customHeight="1">
      <c r="A2420" s="734"/>
      <c r="B2420" s="747" t="s">
        <v>469</v>
      </c>
      <c r="C2420" s="735" t="s">
        <v>507</v>
      </c>
      <c r="D2420" s="735"/>
      <c r="E2420" s="737">
        <f t="shared" si="710"/>
        <v>1</v>
      </c>
      <c r="F2420" s="738" t="s">
        <v>363</v>
      </c>
      <c r="G2420" s="739">
        <v>1650</v>
      </c>
      <c r="H2420" s="748">
        <f t="shared" si="706"/>
        <v>1650</v>
      </c>
      <c r="I2420" s="741">
        <v>70</v>
      </c>
      <c r="J2420" s="749">
        <f t="shared" si="707"/>
        <v>70</v>
      </c>
      <c r="K2420" s="739">
        <f t="shared" si="708"/>
        <v>1720</v>
      </c>
      <c r="L2420" s="1079"/>
      <c r="M2420" s="752"/>
      <c r="N2420" s="744">
        <f t="shared" si="711"/>
        <v>1</v>
      </c>
      <c r="O2420" s="745">
        <v>0</v>
      </c>
      <c r="P2420" s="737">
        <v>1</v>
      </c>
      <c r="Q2420" s="752"/>
      <c r="R2420" s="752"/>
      <c r="S2420" s="752"/>
    </row>
    <row r="2421" spans="1:19" s="753" customFormat="1" ht="24" customHeight="1">
      <c r="A2421" s="734"/>
      <c r="B2421" s="747" t="s">
        <v>469</v>
      </c>
      <c r="C2421" s="735" t="s">
        <v>508</v>
      </c>
      <c r="D2421" s="735"/>
      <c r="E2421" s="737">
        <f t="shared" si="710"/>
        <v>10</v>
      </c>
      <c r="F2421" s="738" t="s">
        <v>363</v>
      </c>
      <c r="G2421" s="739">
        <v>13500</v>
      </c>
      <c r="H2421" s="748">
        <f t="shared" si="706"/>
        <v>135000</v>
      </c>
      <c r="I2421" s="741">
        <v>750</v>
      </c>
      <c r="J2421" s="749">
        <f t="shared" si="707"/>
        <v>7500</v>
      </c>
      <c r="K2421" s="739">
        <f t="shared" si="708"/>
        <v>142500</v>
      </c>
      <c r="L2421" s="1079"/>
      <c r="M2421" s="752"/>
      <c r="N2421" s="744">
        <f t="shared" si="711"/>
        <v>10</v>
      </c>
      <c r="O2421" s="745">
        <v>0</v>
      </c>
      <c r="P2421" s="737">
        <v>10</v>
      </c>
      <c r="Q2421" s="752"/>
      <c r="R2421" s="752"/>
      <c r="S2421" s="752"/>
    </row>
    <row r="2422" spans="1:19" s="682" customFormat="1" ht="24" customHeight="1">
      <c r="A2422" s="734"/>
      <c r="B2422" s="747" t="s">
        <v>469</v>
      </c>
      <c r="C2422" s="735" t="s">
        <v>509</v>
      </c>
      <c r="D2422" s="735"/>
      <c r="E2422" s="737">
        <f t="shared" si="710"/>
        <v>1</v>
      </c>
      <c r="F2422" s="738" t="s">
        <v>363</v>
      </c>
      <c r="G2422" s="739">
        <v>14476</v>
      </c>
      <c r="H2422" s="748">
        <f t="shared" si="706"/>
        <v>14476</v>
      </c>
      <c r="I2422" s="741">
        <v>5367</v>
      </c>
      <c r="J2422" s="749">
        <f t="shared" si="707"/>
        <v>5367</v>
      </c>
      <c r="K2422" s="739">
        <f t="shared" si="708"/>
        <v>19843</v>
      </c>
      <c r="L2422" s="1079"/>
      <c r="M2422" s="679"/>
      <c r="N2422" s="744">
        <f t="shared" si="711"/>
        <v>1</v>
      </c>
      <c r="O2422" s="745">
        <v>0</v>
      </c>
      <c r="P2422" s="737">
        <v>1</v>
      </c>
      <c r="Q2422" s="679"/>
      <c r="R2422" s="679"/>
      <c r="S2422" s="679"/>
    </row>
    <row r="2423" spans="1:19" s="753" customFormat="1" ht="24" customHeight="1">
      <c r="A2423" s="734"/>
      <c r="B2423" s="747"/>
      <c r="C2423" s="735"/>
      <c r="D2423" s="907"/>
      <c r="E2423" s="737">
        <f t="shared" si="710"/>
        <v>0</v>
      </c>
      <c r="F2423" s="738"/>
      <c r="G2423" s="739">
        <v>0</v>
      </c>
      <c r="H2423" s="748">
        <f t="shared" si="706"/>
        <v>0</v>
      </c>
      <c r="I2423" s="741">
        <v>0</v>
      </c>
      <c r="J2423" s="749">
        <f t="shared" si="707"/>
        <v>0</v>
      </c>
      <c r="K2423" s="739">
        <f t="shared" si="708"/>
        <v>0</v>
      </c>
      <c r="L2423" s="1079"/>
      <c r="M2423" s="752"/>
      <c r="N2423" s="744">
        <f t="shared" si="711"/>
        <v>0</v>
      </c>
      <c r="O2423" s="745">
        <v>0</v>
      </c>
      <c r="P2423" s="737">
        <v>0</v>
      </c>
      <c r="Q2423" s="752"/>
      <c r="R2423" s="752"/>
      <c r="S2423" s="752"/>
    </row>
    <row r="2424" spans="1:19" s="753" customFormat="1" ht="24" customHeight="1">
      <c r="A2424" s="734"/>
      <c r="B2424" s="747" t="s">
        <v>469</v>
      </c>
      <c r="C2424" s="735" t="s">
        <v>510</v>
      </c>
      <c r="D2424" s="735"/>
      <c r="E2424" s="737">
        <f t="shared" si="710"/>
        <v>5.8</v>
      </c>
      <c r="F2424" s="738" t="s">
        <v>361</v>
      </c>
      <c r="G2424" s="739">
        <v>2694</v>
      </c>
      <c r="H2424" s="748">
        <f t="shared" si="706"/>
        <v>15625.199999999999</v>
      </c>
      <c r="I2424" s="741">
        <v>1288</v>
      </c>
      <c r="J2424" s="749">
        <f t="shared" si="707"/>
        <v>7470.4</v>
      </c>
      <c r="K2424" s="739">
        <f t="shared" si="708"/>
        <v>23095.599999999999</v>
      </c>
      <c r="L2424" s="1079"/>
      <c r="M2424" s="752"/>
      <c r="N2424" s="744">
        <f t="shared" si="711"/>
        <v>5.8</v>
      </c>
      <c r="O2424" s="745">
        <v>0</v>
      </c>
      <c r="P2424" s="737">
        <v>5.8</v>
      </c>
      <c r="Q2424" s="752"/>
      <c r="R2424" s="752"/>
      <c r="S2424" s="752"/>
    </row>
    <row r="2425" spans="1:19" s="753" customFormat="1" ht="24" customHeight="1">
      <c r="A2425" s="734"/>
      <c r="B2425" s="747"/>
      <c r="C2425" s="735" t="s">
        <v>511</v>
      </c>
      <c r="D2425" s="735"/>
      <c r="E2425" s="737">
        <f t="shared" si="710"/>
        <v>0</v>
      </c>
      <c r="F2425" s="738"/>
      <c r="G2425" s="739"/>
      <c r="H2425" s="748">
        <f t="shared" si="706"/>
        <v>0</v>
      </c>
      <c r="I2425" s="741"/>
      <c r="J2425" s="749">
        <f t="shared" si="707"/>
        <v>0</v>
      </c>
      <c r="K2425" s="739">
        <f t="shared" si="708"/>
        <v>0</v>
      </c>
      <c r="L2425" s="1079"/>
      <c r="M2425" s="752"/>
      <c r="N2425" s="744">
        <f t="shared" si="711"/>
        <v>0</v>
      </c>
      <c r="O2425" s="745">
        <v>0</v>
      </c>
      <c r="P2425" s="737">
        <v>0</v>
      </c>
      <c r="Q2425" s="752"/>
      <c r="R2425" s="752"/>
      <c r="S2425" s="752"/>
    </row>
    <row r="2426" spans="1:19" s="753" customFormat="1" ht="24" customHeight="1">
      <c r="A2426" s="734"/>
      <c r="B2426" s="747" t="s">
        <v>469</v>
      </c>
      <c r="C2426" s="735" t="s">
        <v>512</v>
      </c>
      <c r="D2426" s="735"/>
      <c r="E2426" s="737">
        <f t="shared" si="710"/>
        <v>5.8</v>
      </c>
      <c r="F2426" s="738" t="s">
        <v>361</v>
      </c>
      <c r="G2426" s="739">
        <v>3886</v>
      </c>
      <c r="H2426" s="748">
        <f t="shared" si="706"/>
        <v>22538.799999999999</v>
      </c>
      <c r="I2426" s="741">
        <v>1238</v>
      </c>
      <c r="J2426" s="749">
        <f t="shared" si="707"/>
        <v>7180.4</v>
      </c>
      <c r="K2426" s="739">
        <f t="shared" si="708"/>
        <v>29719.199999999997</v>
      </c>
      <c r="L2426" s="1079"/>
      <c r="M2426" s="752"/>
      <c r="N2426" s="744">
        <f t="shared" si="711"/>
        <v>5.8</v>
      </c>
      <c r="O2426" s="745">
        <v>0</v>
      </c>
      <c r="P2426" s="737">
        <v>5.8</v>
      </c>
      <c r="Q2426" s="752"/>
      <c r="R2426" s="752"/>
      <c r="S2426" s="752"/>
    </row>
    <row r="2427" spans="1:19" s="753" customFormat="1" ht="24" customHeight="1">
      <c r="A2427" s="734"/>
      <c r="B2427" s="747"/>
      <c r="C2427" s="735" t="s">
        <v>513</v>
      </c>
      <c r="D2427" s="735"/>
      <c r="E2427" s="737">
        <f t="shared" si="710"/>
        <v>0</v>
      </c>
      <c r="F2427" s="738"/>
      <c r="G2427" s="739">
        <v>0</v>
      </c>
      <c r="H2427" s="748">
        <f t="shared" si="706"/>
        <v>0</v>
      </c>
      <c r="I2427" s="741">
        <v>0</v>
      </c>
      <c r="J2427" s="749">
        <f t="shared" si="707"/>
        <v>0</v>
      </c>
      <c r="K2427" s="739">
        <f t="shared" si="708"/>
        <v>0</v>
      </c>
      <c r="L2427" s="1079"/>
      <c r="M2427" s="752"/>
      <c r="N2427" s="744">
        <f t="shared" si="711"/>
        <v>0</v>
      </c>
      <c r="O2427" s="745">
        <v>0</v>
      </c>
      <c r="P2427" s="737">
        <v>0</v>
      </c>
      <c r="Q2427" s="752"/>
      <c r="R2427" s="752"/>
      <c r="S2427" s="752"/>
    </row>
    <row r="2428" spans="1:19" s="753" customFormat="1" ht="24" customHeight="1">
      <c r="A2428" s="734"/>
      <c r="B2428" s="747" t="s">
        <v>469</v>
      </c>
      <c r="C2428" s="735" t="s">
        <v>521</v>
      </c>
      <c r="D2428" s="735"/>
      <c r="E2428" s="737">
        <f t="shared" si="710"/>
        <v>9</v>
      </c>
      <c r="F2428" s="738" t="s">
        <v>361</v>
      </c>
      <c r="G2428" s="739">
        <v>1522</v>
      </c>
      <c r="H2428" s="748">
        <f t="shared" si="706"/>
        <v>13698</v>
      </c>
      <c r="I2428" s="741">
        <v>315</v>
      </c>
      <c r="J2428" s="749">
        <f t="shared" si="707"/>
        <v>2835</v>
      </c>
      <c r="K2428" s="739">
        <f t="shared" si="708"/>
        <v>16533</v>
      </c>
      <c r="L2428" s="1079"/>
      <c r="M2428" s="752"/>
      <c r="N2428" s="744">
        <f t="shared" si="711"/>
        <v>9</v>
      </c>
      <c r="O2428" s="745">
        <v>0</v>
      </c>
      <c r="P2428" s="737">
        <v>9</v>
      </c>
      <c r="Q2428" s="752"/>
      <c r="R2428" s="752"/>
      <c r="S2428" s="752"/>
    </row>
    <row r="2429" spans="1:19" s="753" customFormat="1" ht="24" customHeight="1">
      <c r="A2429" s="734"/>
      <c r="B2429" s="747"/>
      <c r="C2429" s="735"/>
      <c r="D2429" s="735"/>
      <c r="E2429" s="737">
        <f t="shared" si="710"/>
        <v>0</v>
      </c>
      <c r="F2429" s="738"/>
      <c r="G2429" s="739">
        <v>0</v>
      </c>
      <c r="H2429" s="748">
        <f t="shared" si="706"/>
        <v>0</v>
      </c>
      <c r="I2429" s="741">
        <v>0</v>
      </c>
      <c r="J2429" s="749">
        <f t="shared" si="707"/>
        <v>0</v>
      </c>
      <c r="K2429" s="739">
        <f t="shared" si="708"/>
        <v>0</v>
      </c>
      <c r="L2429" s="1079"/>
      <c r="M2429" s="752"/>
      <c r="N2429" s="744">
        <f t="shared" si="711"/>
        <v>0</v>
      </c>
      <c r="O2429" s="745">
        <v>0</v>
      </c>
      <c r="P2429" s="737">
        <v>0</v>
      </c>
      <c r="Q2429" s="752"/>
      <c r="R2429" s="752"/>
      <c r="S2429" s="752"/>
    </row>
    <row r="2430" spans="1:19" s="682" customFormat="1" ht="24" customHeight="1">
      <c r="A2430" s="734"/>
      <c r="B2430" s="747" t="s">
        <v>469</v>
      </c>
      <c r="C2430" s="735" t="s">
        <v>515</v>
      </c>
      <c r="D2430" s="735"/>
      <c r="E2430" s="737">
        <f t="shared" si="710"/>
        <v>1</v>
      </c>
      <c r="F2430" s="738" t="s">
        <v>363</v>
      </c>
      <c r="G2430" s="739">
        <v>5013</v>
      </c>
      <c r="H2430" s="748">
        <f t="shared" ref="H2430:H2493" si="712">SUM(E2430*G2430)</f>
        <v>5013</v>
      </c>
      <c r="I2430" s="741">
        <v>2403</v>
      </c>
      <c r="J2430" s="749">
        <f t="shared" ref="J2430:J2493" si="713">SUM(E2430*I2430)</f>
        <v>2403</v>
      </c>
      <c r="K2430" s="739">
        <f t="shared" ref="K2430:K2493" si="714">SUM(H2430+J2430)</f>
        <v>7416</v>
      </c>
      <c r="L2430" s="1079"/>
      <c r="M2430" s="679"/>
      <c r="N2430" s="744">
        <f t="shared" si="711"/>
        <v>1</v>
      </c>
      <c r="O2430" s="745">
        <v>0</v>
      </c>
      <c r="P2430" s="737">
        <v>1</v>
      </c>
      <c r="Q2430" s="679"/>
      <c r="R2430" s="679"/>
      <c r="S2430" s="679"/>
    </row>
    <row r="2431" spans="1:19" s="682" customFormat="1" ht="24" customHeight="1">
      <c r="A2431" s="734"/>
      <c r="B2431" s="747"/>
      <c r="C2431" s="735" t="s">
        <v>516</v>
      </c>
      <c r="D2431" s="735"/>
      <c r="E2431" s="737">
        <f t="shared" si="710"/>
        <v>0</v>
      </c>
      <c r="F2431" s="738"/>
      <c r="G2431" s="739"/>
      <c r="H2431" s="748">
        <f t="shared" si="712"/>
        <v>0</v>
      </c>
      <c r="I2431" s="741"/>
      <c r="J2431" s="749">
        <f t="shared" si="713"/>
        <v>0</v>
      </c>
      <c r="K2431" s="739">
        <f t="shared" si="714"/>
        <v>0</v>
      </c>
      <c r="L2431" s="1079"/>
      <c r="M2431" s="679"/>
      <c r="N2431" s="744">
        <f t="shared" si="711"/>
        <v>0</v>
      </c>
      <c r="O2431" s="745">
        <v>0</v>
      </c>
      <c r="P2431" s="737">
        <v>0</v>
      </c>
      <c r="Q2431" s="679"/>
      <c r="R2431" s="679"/>
      <c r="S2431" s="679"/>
    </row>
    <row r="2432" spans="1:19" s="682" customFormat="1" ht="24" customHeight="1">
      <c r="A2432" s="734"/>
      <c r="B2432" s="747"/>
      <c r="C2432" s="735"/>
      <c r="D2432" s="735"/>
      <c r="E2432" s="737">
        <f t="shared" si="710"/>
        <v>0</v>
      </c>
      <c r="F2432" s="738"/>
      <c r="G2432" s="739"/>
      <c r="H2432" s="748">
        <f t="shared" si="712"/>
        <v>0</v>
      </c>
      <c r="I2432" s="741"/>
      <c r="J2432" s="749">
        <f t="shared" si="713"/>
        <v>0</v>
      </c>
      <c r="K2432" s="739">
        <f t="shared" si="714"/>
        <v>0</v>
      </c>
      <c r="L2432" s="1079"/>
      <c r="M2432" s="679"/>
      <c r="N2432" s="744">
        <f t="shared" si="711"/>
        <v>0</v>
      </c>
      <c r="O2432" s="745">
        <v>0</v>
      </c>
      <c r="P2432" s="737">
        <v>0</v>
      </c>
      <c r="Q2432" s="679"/>
      <c r="R2432" s="679"/>
      <c r="S2432" s="679"/>
    </row>
    <row r="2433" spans="1:19" s="756" customFormat="1" ht="24" customHeight="1">
      <c r="A2433" s="734"/>
      <c r="B2433" s="747" t="s">
        <v>469</v>
      </c>
      <c r="C2433" s="735" t="s">
        <v>517</v>
      </c>
      <c r="D2433" s="907"/>
      <c r="E2433" s="737">
        <f t="shared" ref="E2433:E2496" si="715">+N2433</f>
        <v>0</v>
      </c>
      <c r="F2433" s="738" t="s">
        <v>361</v>
      </c>
      <c r="G2433" s="739">
        <v>5075.5555555555557</v>
      </c>
      <c r="H2433" s="748">
        <f t="shared" si="712"/>
        <v>0</v>
      </c>
      <c r="I2433" s="741">
        <v>2545.7777777777778</v>
      </c>
      <c r="J2433" s="749">
        <f t="shared" si="713"/>
        <v>0</v>
      </c>
      <c r="K2433" s="739">
        <f t="shared" si="714"/>
        <v>0</v>
      </c>
      <c r="L2433" s="1079"/>
      <c r="M2433" s="755"/>
      <c r="N2433" s="744">
        <f t="shared" si="711"/>
        <v>0</v>
      </c>
      <c r="O2433" s="745">
        <v>0</v>
      </c>
      <c r="P2433" s="737">
        <v>0</v>
      </c>
      <c r="Q2433" s="755"/>
      <c r="R2433" s="755"/>
      <c r="S2433" s="755"/>
    </row>
    <row r="2434" spans="1:19" s="756" customFormat="1" ht="24" customHeight="1">
      <c r="A2434" s="734"/>
      <c r="B2434" s="747"/>
      <c r="C2434" s="735" t="s">
        <v>488</v>
      </c>
      <c r="D2434" s="907"/>
      <c r="E2434" s="737">
        <f t="shared" si="715"/>
        <v>0</v>
      </c>
      <c r="F2434" s="738"/>
      <c r="G2434" s="739">
        <v>0</v>
      </c>
      <c r="H2434" s="748">
        <f t="shared" si="712"/>
        <v>0</v>
      </c>
      <c r="I2434" s="741">
        <v>0</v>
      </c>
      <c r="J2434" s="749">
        <f t="shared" si="713"/>
        <v>0</v>
      </c>
      <c r="K2434" s="739">
        <f t="shared" si="714"/>
        <v>0</v>
      </c>
      <c r="L2434" s="1079"/>
      <c r="M2434" s="755"/>
      <c r="N2434" s="744">
        <f t="shared" si="711"/>
        <v>0</v>
      </c>
      <c r="O2434" s="745">
        <v>0</v>
      </c>
      <c r="P2434" s="737">
        <v>0</v>
      </c>
      <c r="Q2434" s="755"/>
      <c r="R2434" s="755"/>
      <c r="S2434" s="755"/>
    </row>
    <row r="2435" spans="1:19" s="753" customFormat="1" ht="24" customHeight="1">
      <c r="A2435" s="734"/>
      <c r="B2435" s="747" t="s">
        <v>469</v>
      </c>
      <c r="C2435" s="735" t="s">
        <v>518</v>
      </c>
      <c r="D2435" s="735"/>
      <c r="E2435" s="737">
        <f t="shared" si="715"/>
        <v>0</v>
      </c>
      <c r="F2435" s="738" t="s">
        <v>361</v>
      </c>
      <c r="G2435" s="739">
        <v>3886</v>
      </c>
      <c r="H2435" s="748">
        <f t="shared" si="712"/>
        <v>0</v>
      </c>
      <c r="I2435" s="741">
        <v>1238</v>
      </c>
      <c r="J2435" s="749">
        <f t="shared" si="713"/>
        <v>0</v>
      </c>
      <c r="K2435" s="739">
        <f t="shared" si="714"/>
        <v>0</v>
      </c>
      <c r="L2435" s="1079"/>
      <c r="M2435" s="752"/>
      <c r="N2435" s="744">
        <f t="shared" si="711"/>
        <v>0</v>
      </c>
      <c r="O2435" s="745">
        <v>0</v>
      </c>
      <c r="P2435" s="737">
        <v>0</v>
      </c>
      <c r="Q2435" s="752"/>
      <c r="R2435" s="752"/>
      <c r="S2435" s="752"/>
    </row>
    <row r="2436" spans="1:19" s="753" customFormat="1" ht="24" customHeight="1">
      <c r="A2436" s="734"/>
      <c r="B2436" s="747"/>
      <c r="C2436" s="735" t="s">
        <v>513</v>
      </c>
      <c r="D2436" s="735"/>
      <c r="E2436" s="737">
        <f t="shared" si="715"/>
        <v>0</v>
      </c>
      <c r="F2436" s="738"/>
      <c r="G2436" s="739">
        <v>0</v>
      </c>
      <c r="H2436" s="748">
        <f t="shared" si="712"/>
        <v>0</v>
      </c>
      <c r="I2436" s="741">
        <v>0</v>
      </c>
      <c r="J2436" s="749">
        <f t="shared" si="713"/>
        <v>0</v>
      </c>
      <c r="K2436" s="739">
        <f t="shared" si="714"/>
        <v>0</v>
      </c>
      <c r="L2436" s="1079"/>
      <c r="M2436" s="752"/>
      <c r="N2436" s="744">
        <f t="shared" si="711"/>
        <v>0</v>
      </c>
      <c r="O2436" s="745">
        <v>0</v>
      </c>
      <c r="P2436" s="737">
        <v>0</v>
      </c>
      <c r="Q2436" s="752"/>
      <c r="R2436" s="752"/>
      <c r="S2436" s="752"/>
    </row>
    <row r="2437" spans="1:19" s="682" customFormat="1" ht="24" customHeight="1">
      <c r="A2437" s="734"/>
      <c r="B2437" s="747"/>
      <c r="C2437" s="735"/>
      <c r="D2437" s="735"/>
      <c r="E2437" s="737">
        <f t="shared" si="715"/>
        <v>0</v>
      </c>
      <c r="F2437" s="738"/>
      <c r="G2437" s="739"/>
      <c r="H2437" s="748">
        <f t="shared" si="712"/>
        <v>0</v>
      </c>
      <c r="I2437" s="741"/>
      <c r="J2437" s="749">
        <f t="shared" si="713"/>
        <v>0</v>
      </c>
      <c r="K2437" s="739">
        <f t="shared" si="714"/>
        <v>0</v>
      </c>
      <c r="L2437" s="1079"/>
      <c r="M2437" s="679"/>
      <c r="N2437" s="744">
        <f t="shared" si="711"/>
        <v>0</v>
      </c>
      <c r="O2437" s="745">
        <v>0</v>
      </c>
      <c r="P2437" s="737">
        <v>0</v>
      </c>
      <c r="Q2437" s="679"/>
      <c r="R2437" s="679"/>
      <c r="S2437" s="679"/>
    </row>
    <row r="2438" spans="1:19" s="682" customFormat="1" ht="24" customHeight="1">
      <c r="A2438" s="734"/>
      <c r="B2438" s="747" t="s">
        <v>469</v>
      </c>
      <c r="C2438" s="735" t="s">
        <v>519</v>
      </c>
      <c r="D2438" s="735"/>
      <c r="E2438" s="737">
        <f t="shared" si="715"/>
        <v>1</v>
      </c>
      <c r="F2438" s="738" t="s">
        <v>363</v>
      </c>
      <c r="G2438" s="739">
        <v>800</v>
      </c>
      <c r="H2438" s="748">
        <f t="shared" si="712"/>
        <v>800</v>
      </c>
      <c r="I2438" s="741">
        <v>70</v>
      </c>
      <c r="J2438" s="749">
        <f t="shared" si="713"/>
        <v>70</v>
      </c>
      <c r="K2438" s="739">
        <f t="shared" si="714"/>
        <v>870</v>
      </c>
      <c r="L2438" s="1079"/>
      <c r="M2438" s="679"/>
      <c r="N2438" s="744">
        <f t="shared" si="711"/>
        <v>1</v>
      </c>
      <c r="O2438" s="745">
        <v>0</v>
      </c>
      <c r="P2438" s="737">
        <v>1</v>
      </c>
      <c r="Q2438" s="679"/>
      <c r="R2438" s="679"/>
      <c r="S2438" s="679"/>
    </row>
    <row r="2439" spans="1:19" s="682" customFormat="1" ht="24" customHeight="1">
      <c r="A2439" s="734"/>
      <c r="B2439" s="747" t="s">
        <v>469</v>
      </c>
      <c r="C2439" s="735" t="s">
        <v>520</v>
      </c>
      <c r="D2439" s="735"/>
      <c r="E2439" s="737">
        <f t="shared" si="715"/>
        <v>0</v>
      </c>
      <c r="F2439" s="738" t="s">
        <v>361</v>
      </c>
      <c r="G2439" s="739">
        <v>190</v>
      </c>
      <c r="H2439" s="748">
        <f t="shared" si="712"/>
        <v>0</v>
      </c>
      <c r="I2439" s="741">
        <v>75</v>
      </c>
      <c r="J2439" s="749">
        <f t="shared" si="713"/>
        <v>0</v>
      </c>
      <c r="K2439" s="739">
        <f t="shared" si="714"/>
        <v>0</v>
      </c>
      <c r="L2439" s="1079"/>
      <c r="M2439" s="679"/>
      <c r="N2439" s="744">
        <f t="shared" si="711"/>
        <v>0</v>
      </c>
      <c r="O2439" s="745">
        <v>0</v>
      </c>
      <c r="P2439" s="737">
        <v>0</v>
      </c>
      <c r="Q2439" s="679"/>
      <c r="R2439" s="679"/>
      <c r="S2439" s="679"/>
    </row>
    <row r="2440" spans="1:19" s="682" customFormat="1" ht="24" customHeight="1">
      <c r="A2440" s="734"/>
      <c r="B2440" s="747"/>
      <c r="C2440" s="735"/>
      <c r="D2440" s="735"/>
      <c r="E2440" s="737">
        <f t="shared" si="715"/>
        <v>0</v>
      </c>
      <c r="F2440" s="738"/>
      <c r="G2440" s="739"/>
      <c r="H2440" s="748">
        <f t="shared" si="712"/>
        <v>0</v>
      </c>
      <c r="I2440" s="741"/>
      <c r="J2440" s="749">
        <f t="shared" si="713"/>
        <v>0</v>
      </c>
      <c r="K2440" s="739">
        <f t="shared" si="714"/>
        <v>0</v>
      </c>
      <c r="L2440" s="1079"/>
      <c r="M2440" s="679"/>
      <c r="N2440" s="744">
        <f t="shared" ref="N2440:N2503" si="716">+(1+O2440)*P2440</f>
        <v>0</v>
      </c>
      <c r="O2440" s="745">
        <v>0</v>
      </c>
      <c r="P2440" s="737">
        <v>0</v>
      </c>
      <c r="Q2440" s="679"/>
      <c r="R2440" s="679"/>
      <c r="S2440" s="679"/>
    </row>
    <row r="2441" spans="1:19" s="753" customFormat="1" ht="24" customHeight="1">
      <c r="A2441" s="734"/>
      <c r="B2441" s="735" t="s">
        <v>1074</v>
      </c>
      <c r="C2441" s="735"/>
      <c r="D2441" s="735"/>
      <c r="E2441" s="737">
        <f t="shared" si="715"/>
        <v>0</v>
      </c>
      <c r="F2441" s="738"/>
      <c r="G2441" s="739">
        <v>0</v>
      </c>
      <c r="H2441" s="748">
        <f t="shared" si="712"/>
        <v>0</v>
      </c>
      <c r="I2441" s="741">
        <v>0</v>
      </c>
      <c r="J2441" s="749">
        <f t="shared" si="713"/>
        <v>0</v>
      </c>
      <c r="K2441" s="739">
        <f t="shared" si="714"/>
        <v>0</v>
      </c>
      <c r="L2441" s="1079"/>
      <c r="M2441" s="752"/>
      <c r="N2441" s="744">
        <f t="shared" si="716"/>
        <v>0</v>
      </c>
      <c r="O2441" s="745">
        <v>0</v>
      </c>
      <c r="P2441" s="737">
        <v>0</v>
      </c>
      <c r="Q2441" s="752"/>
      <c r="R2441" s="752"/>
      <c r="S2441" s="752"/>
    </row>
    <row r="2442" spans="1:19" s="753" customFormat="1" ht="24" customHeight="1">
      <c r="A2442" s="734"/>
      <c r="B2442" s="747" t="s">
        <v>469</v>
      </c>
      <c r="C2442" s="735" t="s">
        <v>522</v>
      </c>
      <c r="D2442" s="735"/>
      <c r="E2442" s="737">
        <f t="shared" si="715"/>
        <v>1</v>
      </c>
      <c r="F2442" s="738" t="s">
        <v>363</v>
      </c>
      <c r="G2442" s="739">
        <v>6832</v>
      </c>
      <c r="H2442" s="748">
        <f t="shared" si="712"/>
        <v>6832</v>
      </c>
      <c r="I2442" s="741">
        <v>450</v>
      </c>
      <c r="J2442" s="749">
        <f t="shared" si="713"/>
        <v>450</v>
      </c>
      <c r="K2442" s="739">
        <f t="shared" si="714"/>
        <v>7282</v>
      </c>
      <c r="L2442" s="1079"/>
      <c r="M2442" s="752"/>
      <c r="N2442" s="744">
        <f t="shared" si="716"/>
        <v>1</v>
      </c>
      <c r="O2442" s="745">
        <v>0</v>
      </c>
      <c r="P2442" s="737">
        <v>1</v>
      </c>
      <c r="Q2442" s="752"/>
      <c r="R2442" s="752"/>
      <c r="S2442" s="752"/>
    </row>
    <row r="2443" spans="1:19" s="753" customFormat="1" ht="24" customHeight="1">
      <c r="A2443" s="734"/>
      <c r="B2443" s="747" t="s">
        <v>469</v>
      </c>
      <c r="C2443" s="735" t="s">
        <v>498</v>
      </c>
      <c r="D2443" s="735"/>
      <c r="E2443" s="737">
        <f t="shared" si="715"/>
        <v>1</v>
      </c>
      <c r="F2443" s="738" t="s">
        <v>363</v>
      </c>
      <c r="G2443" s="739">
        <v>6640</v>
      </c>
      <c r="H2443" s="748">
        <f t="shared" si="712"/>
        <v>6640</v>
      </c>
      <c r="I2443" s="741">
        <v>200</v>
      </c>
      <c r="J2443" s="749">
        <f t="shared" si="713"/>
        <v>200</v>
      </c>
      <c r="K2443" s="739">
        <f t="shared" si="714"/>
        <v>6840</v>
      </c>
      <c r="L2443" s="1079"/>
      <c r="M2443" s="752"/>
      <c r="N2443" s="744">
        <f t="shared" si="716"/>
        <v>1</v>
      </c>
      <c r="O2443" s="745">
        <v>0</v>
      </c>
      <c r="P2443" s="737">
        <v>1</v>
      </c>
      <c r="Q2443" s="752"/>
      <c r="R2443" s="752"/>
      <c r="S2443" s="752"/>
    </row>
    <row r="2444" spans="1:19" s="753" customFormat="1" ht="24" customHeight="1">
      <c r="A2444" s="734"/>
      <c r="B2444" s="747" t="s">
        <v>469</v>
      </c>
      <c r="C2444" s="735" t="s">
        <v>476</v>
      </c>
      <c r="D2444" s="735"/>
      <c r="E2444" s="737">
        <f t="shared" si="715"/>
        <v>1</v>
      </c>
      <c r="F2444" s="738" t="s">
        <v>363</v>
      </c>
      <c r="G2444" s="739">
        <v>336</v>
      </c>
      <c r="H2444" s="748">
        <f t="shared" si="712"/>
        <v>336</v>
      </c>
      <c r="I2444" s="741">
        <v>0</v>
      </c>
      <c r="J2444" s="749">
        <f t="shared" si="713"/>
        <v>0</v>
      </c>
      <c r="K2444" s="739">
        <f t="shared" si="714"/>
        <v>336</v>
      </c>
      <c r="L2444" s="1079"/>
      <c r="M2444" s="752"/>
      <c r="N2444" s="744">
        <f t="shared" si="716"/>
        <v>1</v>
      </c>
      <c r="O2444" s="745">
        <v>0</v>
      </c>
      <c r="P2444" s="737">
        <v>1</v>
      </c>
      <c r="Q2444" s="752"/>
      <c r="R2444" s="752"/>
      <c r="S2444" s="752"/>
    </row>
    <row r="2445" spans="1:19" s="753" customFormat="1" ht="24" customHeight="1">
      <c r="A2445" s="734"/>
      <c r="B2445" s="747" t="s">
        <v>469</v>
      </c>
      <c r="C2445" s="735" t="s">
        <v>477</v>
      </c>
      <c r="D2445" s="735"/>
      <c r="E2445" s="737">
        <f t="shared" si="715"/>
        <v>1</v>
      </c>
      <c r="F2445" s="738" t="s">
        <v>363</v>
      </c>
      <c r="G2445" s="739">
        <v>736</v>
      </c>
      <c r="H2445" s="748">
        <f t="shared" si="712"/>
        <v>736</v>
      </c>
      <c r="I2445" s="741">
        <v>0</v>
      </c>
      <c r="J2445" s="749">
        <f t="shared" si="713"/>
        <v>0</v>
      </c>
      <c r="K2445" s="739">
        <f t="shared" si="714"/>
        <v>736</v>
      </c>
      <c r="L2445" s="1079"/>
      <c r="M2445" s="752"/>
      <c r="N2445" s="744">
        <f t="shared" si="716"/>
        <v>1</v>
      </c>
      <c r="O2445" s="745">
        <v>0</v>
      </c>
      <c r="P2445" s="737">
        <v>1</v>
      </c>
      <c r="Q2445" s="752"/>
      <c r="R2445" s="752"/>
      <c r="S2445" s="752"/>
    </row>
    <row r="2446" spans="1:19" s="753" customFormat="1" ht="24" customHeight="1">
      <c r="A2446" s="734"/>
      <c r="B2446" s="747" t="s">
        <v>469</v>
      </c>
      <c r="C2446" s="735" t="s">
        <v>478</v>
      </c>
      <c r="D2446" s="735"/>
      <c r="E2446" s="737">
        <f t="shared" si="715"/>
        <v>1</v>
      </c>
      <c r="F2446" s="738" t="s">
        <v>363</v>
      </c>
      <c r="G2446" s="739">
        <v>176</v>
      </c>
      <c r="H2446" s="748">
        <f t="shared" si="712"/>
        <v>176</v>
      </c>
      <c r="I2446" s="741">
        <v>0</v>
      </c>
      <c r="J2446" s="749">
        <f t="shared" si="713"/>
        <v>0</v>
      </c>
      <c r="K2446" s="739">
        <f t="shared" si="714"/>
        <v>176</v>
      </c>
      <c r="L2446" s="1079"/>
      <c r="M2446" s="752"/>
      <c r="N2446" s="744">
        <f t="shared" si="716"/>
        <v>1</v>
      </c>
      <c r="O2446" s="745">
        <v>0</v>
      </c>
      <c r="P2446" s="737">
        <v>1</v>
      </c>
      <c r="Q2446" s="752"/>
      <c r="R2446" s="752"/>
      <c r="S2446" s="752"/>
    </row>
    <row r="2447" spans="1:19" s="753" customFormat="1" ht="24" customHeight="1">
      <c r="A2447" s="734"/>
      <c r="B2447" s="747" t="s">
        <v>469</v>
      </c>
      <c r="C2447" s="735" t="s">
        <v>499</v>
      </c>
      <c r="D2447" s="735"/>
      <c r="E2447" s="737">
        <f t="shared" si="715"/>
        <v>1</v>
      </c>
      <c r="F2447" s="738" t="s">
        <v>363</v>
      </c>
      <c r="G2447" s="739">
        <v>216</v>
      </c>
      <c r="H2447" s="748">
        <f t="shared" si="712"/>
        <v>216</v>
      </c>
      <c r="I2447" s="741">
        <v>35</v>
      </c>
      <c r="J2447" s="749">
        <f t="shared" si="713"/>
        <v>35</v>
      </c>
      <c r="K2447" s="739">
        <f t="shared" si="714"/>
        <v>251</v>
      </c>
      <c r="L2447" s="1079"/>
      <c r="M2447" s="752"/>
      <c r="N2447" s="744">
        <f t="shared" si="716"/>
        <v>1</v>
      </c>
      <c r="O2447" s="745">
        <v>0</v>
      </c>
      <c r="P2447" s="737">
        <v>1</v>
      </c>
      <c r="Q2447" s="752"/>
      <c r="R2447" s="752"/>
      <c r="S2447" s="752"/>
    </row>
    <row r="2448" spans="1:19" s="753" customFormat="1" ht="24" customHeight="1">
      <c r="A2448" s="734"/>
      <c r="B2448" s="750"/>
      <c r="C2448" s="757"/>
      <c r="D2448" s="907"/>
      <c r="E2448" s="737">
        <f t="shared" si="715"/>
        <v>0</v>
      </c>
      <c r="F2448" s="738"/>
      <c r="G2448" s="739">
        <v>0</v>
      </c>
      <c r="H2448" s="748">
        <f t="shared" si="712"/>
        <v>0</v>
      </c>
      <c r="I2448" s="741">
        <v>0</v>
      </c>
      <c r="J2448" s="749">
        <f t="shared" si="713"/>
        <v>0</v>
      </c>
      <c r="K2448" s="739">
        <f t="shared" si="714"/>
        <v>0</v>
      </c>
      <c r="L2448" s="1079"/>
      <c r="M2448" s="752"/>
      <c r="N2448" s="744">
        <f t="shared" si="716"/>
        <v>0</v>
      </c>
      <c r="O2448" s="745">
        <v>0</v>
      </c>
      <c r="P2448" s="737">
        <v>0</v>
      </c>
      <c r="Q2448" s="752"/>
      <c r="R2448" s="752"/>
      <c r="S2448" s="752"/>
    </row>
    <row r="2449" spans="1:19" s="753" customFormat="1" ht="24" customHeight="1">
      <c r="A2449" s="734"/>
      <c r="B2449" s="747" t="s">
        <v>469</v>
      </c>
      <c r="C2449" s="735" t="s">
        <v>523</v>
      </c>
      <c r="D2449" s="735"/>
      <c r="E2449" s="737">
        <f t="shared" si="715"/>
        <v>1</v>
      </c>
      <c r="F2449" s="738" t="s">
        <v>363</v>
      </c>
      <c r="G2449" s="739">
        <v>6580</v>
      </c>
      <c r="H2449" s="748">
        <f t="shared" si="712"/>
        <v>6580</v>
      </c>
      <c r="I2449" s="741">
        <v>450</v>
      </c>
      <c r="J2449" s="749">
        <f t="shared" si="713"/>
        <v>450</v>
      </c>
      <c r="K2449" s="739">
        <f t="shared" si="714"/>
        <v>7030</v>
      </c>
      <c r="L2449" s="1079"/>
      <c r="M2449" s="752"/>
      <c r="N2449" s="744">
        <f t="shared" si="716"/>
        <v>1</v>
      </c>
      <c r="O2449" s="745">
        <v>0</v>
      </c>
      <c r="P2449" s="737">
        <v>1</v>
      </c>
      <c r="Q2449" s="752"/>
      <c r="R2449" s="752"/>
      <c r="S2449" s="752"/>
    </row>
    <row r="2450" spans="1:19" s="753" customFormat="1" ht="24" customHeight="1">
      <c r="A2450" s="734"/>
      <c r="B2450" s="747" t="s">
        <v>469</v>
      </c>
      <c r="C2450" s="735" t="s">
        <v>478</v>
      </c>
      <c r="D2450" s="735"/>
      <c r="E2450" s="737">
        <f t="shared" si="715"/>
        <v>1</v>
      </c>
      <c r="F2450" s="738" t="s">
        <v>363</v>
      </c>
      <c r="G2450" s="739">
        <v>176</v>
      </c>
      <c r="H2450" s="748">
        <f t="shared" si="712"/>
        <v>176</v>
      </c>
      <c r="I2450" s="741">
        <v>0</v>
      </c>
      <c r="J2450" s="749">
        <f t="shared" si="713"/>
        <v>0</v>
      </c>
      <c r="K2450" s="739">
        <f t="shared" si="714"/>
        <v>176</v>
      </c>
      <c r="L2450" s="1079"/>
      <c r="M2450" s="752"/>
      <c r="N2450" s="744">
        <f t="shared" si="716"/>
        <v>1</v>
      </c>
      <c r="O2450" s="745">
        <v>0</v>
      </c>
      <c r="P2450" s="737">
        <v>1</v>
      </c>
      <c r="Q2450" s="752"/>
      <c r="R2450" s="752"/>
      <c r="S2450" s="752"/>
    </row>
    <row r="2451" spans="1:19" s="753" customFormat="1" ht="24" customHeight="1">
      <c r="A2451" s="734"/>
      <c r="B2451" s="747" t="s">
        <v>469</v>
      </c>
      <c r="C2451" s="735" t="s">
        <v>482</v>
      </c>
      <c r="D2451" s="735"/>
      <c r="E2451" s="737">
        <f t="shared" si="715"/>
        <v>1</v>
      </c>
      <c r="F2451" s="738" t="s">
        <v>363</v>
      </c>
      <c r="G2451" s="739">
        <v>560</v>
      </c>
      <c r="H2451" s="748">
        <f t="shared" si="712"/>
        <v>560</v>
      </c>
      <c r="I2451" s="741">
        <v>35</v>
      </c>
      <c r="J2451" s="749">
        <f t="shared" si="713"/>
        <v>35</v>
      </c>
      <c r="K2451" s="739">
        <f t="shared" si="714"/>
        <v>595</v>
      </c>
      <c r="L2451" s="1079"/>
      <c r="M2451" s="752"/>
      <c r="N2451" s="744">
        <f t="shared" si="716"/>
        <v>1</v>
      </c>
      <c r="O2451" s="745">
        <v>0</v>
      </c>
      <c r="P2451" s="737">
        <v>1</v>
      </c>
      <c r="Q2451" s="752"/>
      <c r="R2451" s="752"/>
      <c r="S2451" s="752"/>
    </row>
    <row r="2452" spans="1:19" s="753" customFormat="1" ht="24" customHeight="1">
      <c r="A2452" s="734"/>
      <c r="B2452" s="747" t="s">
        <v>469</v>
      </c>
      <c r="C2452" s="735" t="s">
        <v>524</v>
      </c>
      <c r="D2452" s="735"/>
      <c r="E2452" s="737">
        <f t="shared" si="715"/>
        <v>1</v>
      </c>
      <c r="F2452" s="738" t="s">
        <v>363</v>
      </c>
      <c r="G2452" s="739">
        <v>216</v>
      </c>
      <c r="H2452" s="748">
        <f t="shared" si="712"/>
        <v>216</v>
      </c>
      <c r="I2452" s="741">
        <v>35</v>
      </c>
      <c r="J2452" s="749">
        <f t="shared" si="713"/>
        <v>35</v>
      </c>
      <c r="K2452" s="739">
        <f t="shared" si="714"/>
        <v>251</v>
      </c>
      <c r="L2452" s="1079"/>
      <c r="M2452" s="752"/>
      <c r="N2452" s="744">
        <f t="shared" si="716"/>
        <v>1</v>
      </c>
      <c r="O2452" s="745">
        <v>0</v>
      </c>
      <c r="P2452" s="737">
        <v>1</v>
      </c>
      <c r="Q2452" s="752"/>
      <c r="R2452" s="752"/>
      <c r="S2452" s="752"/>
    </row>
    <row r="2453" spans="1:19" s="753" customFormat="1" ht="24" customHeight="1">
      <c r="A2453" s="734"/>
      <c r="B2453" s="747"/>
      <c r="C2453" s="735"/>
      <c r="D2453" s="735"/>
      <c r="E2453" s="737">
        <f t="shared" si="715"/>
        <v>0</v>
      </c>
      <c r="F2453" s="738"/>
      <c r="G2453" s="739">
        <v>0</v>
      </c>
      <c r="H2453" s="748">
        <f t="shared" si="712"/>
        <v>0</v>
      </c>
      <c r="I2453" s="741">
        <v>0</v>
      </c>
      <c r="J2453" s="749">
        <f t="shared" si="713"/>
        <v>0</v>
      </c>
      <c r="K2453" s="739">
        <f t="shared" si="714"/>
        <v>0</v>
      </c>
      <c r="L2453" s="1079"/>
      <c r="M2453" s="752"/>
      <c r="N2453" s="744">
        <f t="shared" si="716"/>
        <v>0</v>
      </c>
      <c r="O2453" s="745">
        <v>0</v>
      </c>
      <c r="P2453" s="737">
        <v>0</v>
      </c>
      <c r="Q2453" s="752"/>
      <c r="R2453" s="752"/>
      <c r="S2453" s="752"/>
    </row>
    <row r="2454" spans="1:19" s="753" customFormat="1" ht="24" customHeight="1">
      <c r="A2454" s="734"/>
      <c r="B2454" s="747" t="s">
        <v>469</v>
      </c>
      <c r="C2454" s="735" t="s">
        <v>486</v>
      </c>
      <c r="D2454" s="735"/>
      <c r="E2454" s="737">
        <f t="shared" si="715"/>
        <v>1</v>
      </c>
      <c r="F2454" s="738" t="s">
        <v>363</v>
      </c>
      <c r="G2454" s="739">
        <v>552</v>
      </c>
      <c r="H2454" s="748">
        <f t="shared" si="712"/>
        <v>552</v>
      </c>
      <c r="I2454" s="741">
        <v>25</v>
      </c>
      <c r="J2454" s="749">
        <f t="shared" si="713"/>
        <v>25</v>
      </c>
      <c r="K2454" s="739">
        <f t="shared" si="714"/>
        <v>577</v>
      </c>
      <c r="L2454" s="1079"/>
      <c r="M2454" s="752"/>
      <c r="N2454" s="744">
        <f t="shared" si="716"/>
        <v>1</v>
      </c>
      <c r="O2454" s="745">
        <v>0</v>
      </c>
      <c r="P2454" s="737">
        <v>1</v>
      </c>
      <c r="Q2454" s="752"/>
      <c r="R2454" s="752"/>
      <c r="S2454" s="752"/>
    </row>
    <row r="2455" spans="1:19" s="753" customFormat="1" ht="24" customHeight="1">
      <c r="A2455" s="734"/>
      <c r="B2455" s="747" t="s">
        <v>484</v>
      </c>
      <c r="C2455" s="735" t="s">
        <v>485</v>
      </c>
      <c r="D2455" s="735"/>
      <c r="E2455" s="737">
        <f t="shared" si="715"/>
        <v>1</v>
      </c>
      <c r="F2455" s="738" t="s">
        <v>363</v>
      </c>
      <c r="G2455" s="739">
        <v>285</v>
      </c>
      <c r="H2455" s="748">
        <f t="shared" si="712"/>
        <v>285</v>
      </c>
      <c r="I2455" s="741">
        <v>75</v>
      </c>
      <c r="J2455" s="749">
        <f t="shared" si="713"/>
        <v>75</v>
      </c>
      <c r="K2455" s="739">
        <f t="shared" si="714"/>
        <v>360</v>
      </c>
      <c r="L2455" s="1093"/>
      <c r="M2455" s="752"/>
      <c r="N2455" s="744">
        <f t="shared" si="716"/>
        <v>1</v>
      </c>
      <c r="O2455" s="745">
        <v>0</v>
      </c>
      <c r="P2455" s="737">
        <v>1</v>
      </c>
      <c r="Q2455" s="752"/>
      <c r="R2455" s="752"/>
      <c r="S2455" s="752"/>
    </row>
    <row r="2456" spans="1:19" s="753" customFormat="1" ht="24" customHeight="1">
      <c r="A2456" s="734"/>
      <c r="B2456" s="747"/>
      <c r="C2456" s="735"/>
      <c r="D2456" s="735"/>
      <c r="E2456" s="737">
        <f t="shared" si="715"/>
        <v>0</v>
      </c>
      <c r="F2456" s="738"/>
      <c r="G2456" s="739">
        <v>0</v>
      </c>
      <c r="H2456" s="748">
        <f t="shared" si="712"/>
        <v>0</v>
      </c>
      <c r="I2456" s="741">
        <v>0</v>
      </c>
      <c r="J2456" s="749">
        <f t="shared" si="713"/>
        <v>0</v>
      </c>
      <c r="K2456" s="739">
        <f t="shared" si="714"/>
        <v>0</v>
      </c>
      <c r="L2456" s="1079"/>
      <c r="M2456" s="752"/>
      <c r="N2456" s="744">
        <f t="shared" si="716"/>
        <v>0</v>
      </c>
      <c r="O2456" s="745">
        <v>0</v>
      </c>
      <c r="P2456" s="737">
        <v>0</v>
      </c>
      <c r="Q2456" s="752"/>
      <c r="R2456" s="752"/>
      <c r="S2456" s="752"/>
    </row>
    <row r="2457" spans="1:19" s="753" customFormat="1" ht="24" customHeight="1">
      <c r="A2457" s="734"/>
      <c r="B2457" s="747" t="s">
        <v>469</v>
      </c>
      <c r="C2457" s="735" t="s">
        <v>507</v>
      </c>
      <c r="D2457" s="735"/>
      <c r="E2457" s="737">
        <f t="shared" si="715"/>
        <v>1</v>
      </c>
      <c r="F2457" s="738" t="s">
        <v>363</v>
      </c>
      <c r="G2457" s="739">
        <v>1650</v>
      </c>
      <c r="H2457" s="748">
        <f t="shared" si="712"/>
        <v>1650</v>
      </c>
      <c r="I2457" s="741">
        <v>70</v>
      </c>
      <c r="J2457" s="749">
        <f t="shared" si="713"/>
        <v>70</v>
      </c>
      <c r="K2457" s="739">
        <f t="shared" si="714"/>
        <v>1720</v>
      </c>
      <c r="L2457" s="1079"/>
      <c r="M2457" s="752"/>
      <c r="N2457" s="744">
        <f t="shared" si="716"/>
        <v>1</v>
      </c>
      <c r="O2457" s="745">
        <v>0</v>
      </c>
      <c r="P2457" s="737">
        <v>1</v>
      </c>
      <c r="Q2457" s="752"/>
      <c r="R2457" s="752"/>
      <c r="S2457" s="752"/>
    </row>
    <row r="2458" spans="1:19" s="753" customFormat="1" ht="24" customHeight="1">
      <c r="A2458" s="734"/>
      <c r="B2458" s="747" t="s">
        <v>469</v>
      </c>
      <c r="C2458" s="735" t="s">
        <v>525</v>
      </c>
      <c r="D2458" s="735"/>
      <c r="E2458" s="737">
        <f t="shared" si="715"/>
        <v>2</v>
      </c>
      <c r="F2458" s="738" t="s">
        <v>363</v>
      </c>
      <c r="G2458" s="739">
        <v>4160</v>
      </c>
      <c r="H2458" s="748">
        <f t="shared" si="712"/>
        <v>8320</v>
      </c>
      <c r="I2458" s="741">
        <v>105</v>
      </c>
      <c r="J2458" s="749">
        <f t="shared" si="713"/>
        <v>210</v>
      </c>
      <c r="K2458" s="739">
        <f t="shared" si="714"/>
        <v>8530</v>
      </c>
      <c r="L2458" s="1079"/>
      <c r="M2458" s="752"/>
      <c r="N2458" s="744">
        <f t="shared" si="716"/>
        <v>2</v>
      </c>
      <c r="O2458" s="745">
        <v>0</v>
      </c>
      <c r="P2458" s="737">
        <v>2</v>
      </c>
      <c r="Q2458" s="752"/>
      <c r="R2458" s="752"/>
      <c r="S2458" s="752"/>
    </row>
    <row r="2459" spans="1:19" s="753" customFormat="1" ht="24" customHeight="1">
      <c r="A2459" s="734"/>
      <c r="B2459" s="747" t="s">
        <v>469</v>
      </c>
      <c r="C2459" s="735" t="s">
        <v>526</v>
      </c>
      <c r="D2459" s="735"/>
      <c r="E2459" s="737">
        <f t="shared" si="715"/>
        <v>1</v>
      </c>
      <c r="F2459" s="738" t="s">
        <v>363</v>
      </c>
      <c r="G2459" s="739">
        <v>2533.5</v>
      </c>
      <c r="H2459" s="748">
        <f t="shared" si="712"/>
        <v>2533.5</v>
      </c>
      <c r="I2459" s="741">
        <v>105</v>
      </c>
      <c r="J2459" s="749">
        <f t="shared" si="713"/>
        <v>105</v>
      </c>
      <c r="K2459" s="739">
        <f t="shared" si="714"/>
        <v>2638.5</v>
      </c>
      <c r="L2459" s="1079"/>
      <c r="M2459" s="752"/>
      <c r="N2459" s="744">
        <f t="shared" si="716"/>
        <v>1</v>
      </c>
      <c r="O2459" s="745">
        <v>0</v>
      </c>
      <c r="P2459" s="737">
        <v>1</v>
      </c>
      <c r="Q2459" s="752"/>
      <c r="R2459" s="752"/>
      <c r="S2459" s="752"/>
    </row>
    <row r="2460" spans="1:19" s="753" customFormat="1" ht="24" customHeight="1">
      <c r="A2460" s="734"/>
      <c r="B2460" s="747"/>
      <c r="C2460" s="735"/>
      <c r="D2460" s="735"/>
      <c r="E2460" s="737">
        <f t="shared" si="715"/>
        <v>0</v>
      </c>
      <c r="F2460" s="738"/>
      <c r="G2460" s="739">
        <v>0</v>
      </c>
      <c r="H2460" s="748">
        <f t="shared" si="712"/>
        <v>0</v>
      </c>
      <c r="I2460" s="741">
        <v>0</v>
      </c>
      <c r="J2460" s="749">
        <f t="shared" si="713"/>
        <v>0</v>
      </c>
      <c r="K2460" s="739">
        <f t="shared" si="714"/>
        <v>0</v>
      </c>
      <c r="L2460" s="1079"/>
      <c r="M2460" s="752"/>
      <c r="N2460" s="744">
        <f t="shared" si="716"/>
        <v>0</v>
      </c>
      <c r="O2460" s="745">
        <v>0</v>
      </c>
      <c r="P2460" s="737">
        <v>0</v>
      </c>
      <c r="Q2460" s="752"/>
      <c r="R2460" s="752"/>
      <c r="S2460" s="752"/>
    </row>
    <row r="2461" spans="1:19" s="753" customFormat="1" ht="24" customHeight="1">
      <c r="A2461" s="734"/>
      <c r="B2461" s="747" t="s">
        <v>469</v>
      </c>
      <c r="C2461" s="735" t="s">
        <v>527</v>
      </c>
      <c r="D2461" s="735"/>
      <c r="E2461" s="737">
        <f t="shared" si="715"/>
        <v>1</v>
      </c>
      <c r="F2461" s="738" t="s">
        <v>363</v>
      </c>
      <c r="G2461" s="739">
        <v>2855</v>
      </c>
      <c r="H2461" s="748">
        <f t="shared" si="712"/>
        <v>2855</v>
      </c>
      <c r="I2461" s="741">
        <v>1432</v>
      </c>
      <c r="J2461" s="749">
        <f t="shared" si="713"/>
        <v>1432</v>
      </c>
      <c r="K2461" s="739">
        <f t="shared" si="714"/>
        <v>4287</v>
      </c>
      <c r="L2461" s="1079"/>
      <c r="M2461" s="752"/>
      <c r="N2461" s="744">
        <f t="shared" si="716"/>
        <v>1</v>
      </c>
      <c r="O2461" s="745">
        <v>0</v>
      </c>
      <c r="P2461" s="737">
        <v>1</v>
      </c>
      <c r="Q2461" s="752"/>
      <c r="R2461" s="752"/>
      <c r="S2461" s="752"/>
    </row>
    <row r="2462" spans="1:19" s="682" customFormat="1" ht="24" customHeight="1">
      <c r="A2462" s="734"/>
      <c r="B2462" s="747" t="s">
        <v>469</v>
      </c>
      <c r="C2462" s="735" t="s">
        <v>528</v>
      </c>
      <c r="D2462" s="735"/>
      <c r="E2462" s="737">
        <f t="shared" si="715"/>
        <v>0</v>
      </c>
      <c r="F2462" s="738" t="s">
        <v>363</v>
      </c>
      <c r="G2462" s="739">
        <v>9750</v>
      </c>
      <c r="H2462" s="748">
        <f t="shared" si="712"/>
        <v>0</v>
      </c>
      <c r="I2462" s="741">
        <v>105</v>
      </c>
      <c r="J2462" s="749">
        <f t="shared" si="713"/>
        <v>0</v>
      </c>
      <c r="K2462" s="739">
        <f t="shared" si="714"/>
        <v>0</v>
      </c>
      <c r="L2462" s="1079"/>
      <c r="M2462" s="679"/>
      <c r="N2462" s="744">
        <f t="shared" si="716"/>
        <v>0</v>
      </c>
      <c r="O2462" s="745">
        <v>0</v>
      </c>
      <c r="P2462" s="737">
        <v>0</v>
      </c>
      <c r="Q2462" s="679"/>
      <c r="R2462" s="679"/>
      <c r="S2462" s="679"/>
    </row>
    <row r="2463" spans="1:19" s="682" customFormat="1" ht="24" customHeight="1">
      <c r="A2463" s="734"/>
      <c r="B2463" s="747" t="s">
        <v>469</v>
      </c>
      <c r="C2463" s="735" t="s">
        <v>529</v>
      </c>
      <c r="D2463" s="735"/>
      <c r="E2463" s="737">
        <f t="shared" si="715"/>
        <v>0</v>
      </c>
      <c r="F2463" s="738" t="s">
        <v>363</v>
      </c>
      <c r="G2463" s="739">
        <v>5200</v>
      </c>
      <c r="H2463" s="748">
        <f t="shared" si="712"/>
        <v>0</v>
      </c>
      <c r="I2463" s="741">
        <v>70</v>
      </c>
      <c r="J2463" s="749">
        <f t="shared" si="713"/>
        <v>0</v>
      </c>
      <c r="K2463" s="739">
        <f t="shared" si="714"/>
        <v>0</v>
      </c>
      <c r="L2463" s="1079"/>
      <c r="M2463" s="679"/>
      <c r="N2463" s="744">
        <f t="shared" si="716"/>
        <v>0</v>
      </c>
      <c r="O2463" s="745">
        <v>0</v>
      </c>
      <c r="P2463" s="737">
        <v>0</v>
      </c>
      <c r="Q2463" s="679"/>
      <c r="R2463" s="679"/>
      <c r="S2463" s="679"/>
    </row>
    <row r="2464" spans="1:19" s="682" customFormat="1" ht="24" customHeight="1">
      <c r="A2464" s="734"/>
      <c r="B2464" s="747" t="s">
        <v>469</v>
      </c>
      <c r="C2464" s="735" t="s">
        <v>519</v>
      </c>
      <c r="D2464" s="735"/>
      <c r="E2464" s="737">
        <f t="shared" si="715"/>
        <v>1</v>
      </c>
      <c r="F2464" s="738" t="s">
        <v>363</v>
      </c>
      <c r="G2464" s="739">
        <v>800</v>
      </c>
      <c r="H2464" s="748">
        <f t="shared" si="712"/>
        <v>800</v>
      </c>
      <c r="I2464" s="741">
        <v>70</v>
      </c>
      <c r="J2464" s="749">
        <f t="shared" si="713"/>
        <v>70</v>
      </c>
      <c r="K2464" s="739">
        <f t="shared" si="714"/>
        <v>870</v>
      </c>
      <c r="L2464" s="1079"/>
      <c r="M2464" s="679"/>
      <c r="N2464" s="744">
        <f t="shared" si="716"/>
        <v>1</v>
      </c>
      <c r="O2464" s="745">
        <v>0</v>
      </c>
      <c r="P2464" s="737">
        <v>1</v>
      </c>
      <c r="Q2464" s="679"/>
      <c r="R2464" s="679"/>
      <c r="S2464" s="679"/>
    </row>
    <row r="2465" spans="1:19" s="682" customFormat="1" ht="24" customHeight="1">
      <c r="A2465" s="734"/>
      <c r="B2465" s="747" t="s">
        <v>469</v>
      </c>
      <c r="C2465" s="735" t="s">
        <v>520</v>
      </c>
      <c r="D2465" s="735"/>
      <c r="E2465" s="737">
        <f t="shared" si="715"/>
        <v>0</v>
      </c>
      <c r="F2465" s="738" t="s">
        <v>361</v>
      </c>
      <c r="G2465" s="739">
        <v>190</v>
      </c>
      <c r="H2465" s="748">
        <f t="shared" si="712"/>
        <v>0</v>
      </c>
      <c r="I2465" s="741">
        <v>75</v>
      </c>
      <c r="J2465" s="749">
        <f t="shared" si="713"/>
        <v>0</v>
      </c>
      <c r="K2465" s="739">
        <f t="shared" si="714"/>
        <v>0</v>
      </c>
      <c r="L2465" s="1079"/>
      <c r="M2465" s="679"/>
      <c r="N2465" s="744">
        <f t="shared" si="716"/>
        <v>0</v>
      </c>
      <c r="O2465" s="745">
        <v>0</v>
      </c>
      <c r="P2465" s="737">
        <v>0</v>
      </c>
      <c r="Q2465" s="679"/>
      <c r="R2465" s="679"/>
      <c r="S2465" s="679"/>
    </row>
    <row r="2466" spans="1:19" s="753" customFormat="1" ht="24" customHeight="1">
      <c r="A2466" s="734"/>
      <c r="B2466" s="747"/>
      <c r="C2466" s="735"/>
      <c r="D2466" s="735"/>
      <c r="E2466" s="737">
        <f t="shared" si="715"/>
        <v>0</v>
      </c>
      <c r="F2466" s="738"/>
      <c r="G2466" s="739">
        <v>0</v>
      </c>
      <c r="H2466" s="748">
        <f t="shared" si="712"/>
        <v>0</v>
      </c>
      <c r="I2466" s="741">
        <v>0</v>
      </c>
      <c r="J2466" s="749">
        <f t="shared" si="713"/>
        <v>0</v>
      </c>
      <c r="K2466" s="739">
        <f t="shared" si="714"/>
        <v>0</v>
      </c>
      <c r="L2466" s="1079"/>
      <c r="M2466" s="752"/>
      <c r="N2466" s="758">
        <f t="shared" si="716"/>
        <v>0</v>
      </c>
      <c r="O2466" s="745">
        <v>0</v>
      </c>
      <c r="P2466" s="759"/>
      <c r="Q2466" s="752"/>
      <c r="R2466" s="752"/>
      <c r="S2466" s="752"/>
    </row>
    <row r="2467" spans="1:19" s="753" customFormat="1" ht="24" customHeight="1">
      <c r="A2467" s="734"/>
      <c r="B2467" s="735" t="s">
        <v>1075</v>
      </c>
      <c r="C2467" s="736"/>
      <c r="D2467" s="907"/>
      <c r="E2467" s="737">
        <f t="shared" si="715"/>
        <v>0</v>
      </c>
      <c r="F2467" s="738"/>
      <c r="G2467" s="739">
        <v>0</v>
      </c>
      <c r="H2467" s="748">
        <f t="shared" si="712"/>
        <v>0</v>
      </c>
      <c r="I2467" s="741">
        <v>0</v>
      </c>
      <c r="J2467" s="749">
        <f t="shared" si="713"/>
        <v>0</v>
      </c>
      <c r="K2467" s="739">
        <f t="shared" si="714"/>
        <v>0</v>
      </c>
      <c r="L2467" s="1079"/>
      <c r="M2467" s="752"/>
      <c r="N2467" s="744">
        <f t="shared" si="716"/>
        <v>0</v>
      </c>
      <c r="O2467" s="745">
        <v>0</v>
      </c>
      <c r="P2467" s="737">
        <v>0</v>
      </c>
      <c r="Q2467" s="752"/>
      <c r="R2467" s="752"/>
      <c r="S2467" s="752"/>
    </row>
    <row r="2468" spans="1:19" s="753" customFormat="1" ht="24" customHeight="1">
      <c r="A2468" s="734"/>
      <c r="B2468" s="747" t="s">
        <v>469</v>
      </c>
      <c r="C2468" s="735" t="s">
        <v>497</v>
      </c>
      <c r="D2468" s="735"/>
      <c r="E2468" s="737">
        <f t="shared" si="715"/>
        <v>4</v>
      </c>
      <c r="F2468" s="738" t="s">
        <v>363</v>
      </c>
      <c r="G2468" s="739">
        <v>1540</v>
      </c>
      <c r="H2468" s="748">
        <f t="shared" si="712"/>
        <v>6160</v>
      </c>
      <c r="I2468" s="741">
        <v>450</v>
      </c>
      <c r="J2468" s="749">
        <f t="shared" si="713"/>
        <v>1800</v>
      </c>
      <c r="K2468" s="739">
        <f t="shared" si="714"/>
        <v>7960</v>
      </c>
      <c r="L2468" s="1079"/>
      <c r="M2468" s="752"/>
      <c r="N2468" s="744">
        <f t="shared" si="716"/>
        <v>4</v>
      </c>
      <c r="O2468" s="745">
        <v>0</v>
      </c>
      <c r="P2468" s="737">
        <v>4</v>
      </c>
      <c r="Q2468" s="752"/>
      <c r="R2468" s="752"/>
      <c r="S2468" s="752"/>
    </row>
    <row r="2469" spans="1:19" s="753" customFormat="1" ht="24" customHeight="1">
      <c r="A2469" s="734"/>
      <c r="B2469" s="747" t="s">
        <v>469</v>
      </c>
      <c r="C2469" s="735" t="s">
        <v>498</v>
      </c>
      <c r="D2469" s="735"/>
      <c r="E2469" s="737">
        <f t="shared" si="715"/>
        <v>4</v>
      </c>
      <c r="F2469" s="738" t="s">
        <v>363</v>
      </c>
      <c r="G2469" s="739">
        <v>6640</v>
      </c>
      <c r="H2469" s="748">
        <f t="shared" si="712"/>
        <v>26560</v>
      </c>
      <c r="I2469" s="741">
        <v>200</v>
      </c>
      <c r="J2469" s="749">
        <f t="shared" si="713"/>
        <v>800</v>
      </c>
      <c r="K2469" s="739">
        <f t="shared" si="714"/>
        <v>27360</v>
      </c>
      <c r="L2469" s="1079"/>
      <c r="M2469" s="752"/>
      <c r="N2469" s="744">
        <f t="shared" si="716"/>
        <v>4</v>
      </c>
      <c r="O2469" s="745">
        <v>0</v>
      </c>
      <c r="P2469" s="737">
        <v>4</v>
      </c>
      <c r="Q2469" s="752"/>
      <c r="R2469" s="752"/>
      <c r="S2469" s="752"/>
    </row>
    <row r="2470" spans="1:19" s="753" customFormat="1" ht="24" customHeight="1">
      <c r="A2470" s="734"/>
      <c r="B2470" s="747" t="s">
        <v>469</v>
      </c>
      <c r="C2470" s="735" t="s">
        <v>496</v>
      </c>
      <c r="D2470" s="735"/>
      <c r="E2470" s="737">
        <f t="shared" si="715"/>
        <v>4</v>
      </c>
      <c r="F2470" s="738" t="s">
        <v>363</v>
      </c>
      <c r="G2470" s="739">
        <v>336</v>
      </c>
      <c r="H2470" s="748">
        <f t="shared" si="712"/>
        <v>1344</v>
      </c>
      <c r="I2470" s="741">
        <v>0</v>
      </c>
      <c r="J2470" s="749">
        <f t="shared" si="713"/>
        <v>0</v>
      </c>
      <c r="K2470" s="739">
        <f t="shared" si="714"/>
        <v>1344</v>
      </c>
      <c r="L2470" s="1079"/>
      <c r="M2470" s="752"/>
      <c r="N2470" s="744">
        <f t="shared" si="716"/>
        <v>4</v>
      </c>
      <c r="O2470" s="745">
        <v>0</v>
      </c>
      <c r="P2470" s="737">
        <v>4</v>
      </c>
      <c r="Q2470" s="752"/>
      <c r="R2470" s="752"/>
      <c r="S2470" s="752"/>
    </row>
    <row r="2471" spans="1:19" s="753" customFormat="1" ht="24" customHeight="1">
      <c r="A2471" s="734"/>
      <c r="B2471" s="747" t="s">
        <v>469</v>
      </c>
      <c r="C2471" s="735" t="s">
        <v>490</v>
      </c>
      <c r="D2471" s="735"/>
      <c r="E2471" s="737">
        <f t="shared" si="715"/>
        <v>4</v>
      </c>
      <c r="F2471" s="738" t="s">
        <v>363</v>
      </c>
      <c r="G2471" s="739">
        <v>736</v>
      </c>
      <c r="H2471" s="748">
        <f t="shared" si="712"/>
        <v>2944</v>
      </c>
      <c r="I2471" s="741">
        <v>0</v>
      </c>
      <c r="J2471" s="749">
        <f t="shared" si="713"/>
        <v>0</v>
      </c>
      <c r="K2471" s="739">
        <f t="shared" si="714"/>
        <v>2944</v>
      </c>
      <c r="L2471" s="1079"/>
      <c r="M2471" s="752"/>
      <c r="N2471" s="744">
        <f t="shared" si="716"/>
        <v>4</v>
      </c>
      <c r="O2471" s="745">
        <v>0</v>
      </c>
      <c r="P2471" s="737">
        <v>4</v>
      </c>
      <c r="Q2471" s="752"/>
      <c r="R2471" s="752"/>
      <c r="S2471" s="752"/>
    </row>
    <row r="2472" spans="1:19" s="753" customFormat="1" ht="24" customHeight="1">
      <c r="A2472" s="734"/>
      <c r="B2472" s="747" t="s">
        <v>469</v>
      </c>
      <c r="C2472" s="735" t="s">
        <v>478</v>
      </c>
      <c r="D2472" s="735"/>
      <c r="E2472" s="737">
        <f t="shared" si="715"/>
        <v>4</v>
      </c>
      <c r="F2472" s="738" t="s">
        <v>363</v>
      </c>
      <c r="G2472" s="739">
        <v>176</v>
      </c>
      <c r="H2472" s="748">
        <f t="shared" si="712"/>
        <v>704</v>
      </c>
      <c r="I2472" s="741">
        <v>0</v>
      </c>
      <c r="J2472" s="749">
        <f t="shared" si="713"/>
        <v>0</v>
      </c>
      <c r="K2472" s="739">
        <f t="shared" si="714"/>
        <v>704</v>
      </c>
      <c r="L2472" s="1079"/>
      <c r="M2472" s="752"/>
      <c r="N2472" s="744">
        <f t="shared" si="716"/>
        <v>4</v>
      </c>
      <c r="O2472" s="745">
        <v>0</v>
      </c>
      <c r="P2472" s="737">
        <v>4</v>
      </c>
      <c r="Q2472" s="752"/>
      <c r="R2472" s="752"/>
      <c r="S2472" s="752"/>
    </row>
    <row r="2473" spans="1:19" s="753" customFormat="1" ht="24" customHeight="1">
      <c r="A2473" s="734"/>
      <c r="B2473" s="747" t="s">
        <v>469</v>
      </c>
      <c r="C2473" s="735" t="s">
        <v>499</v>
      </c>
      <c r="D2473" s="735"/>
      <c r="E2473" s="737">
        <f t="shared" si="715"/>
        <v>4</v>
      </c>
      <c r="F2473" s="738" t="s">
        <v>363</v>
      </c>
      <c r="G2473" s="739">
        <v>216</v>
      </c>
      <c r="H2473" s="748">
        <f t="shared" si="712"/>
        <v>864</v>
      </c>
      <c r="I2473" s="741">
        <v>35</v>
      </c>
      <c r="J2473" s="749">
        <f t="shared" si="713"/>
        <v>140</v>
      </c>
      <c r="K2473" s="739">
        <f t="shared" si="714"/>
        <v>1004</v>
      </c>
      <c r="L2473" s="1079"/>
      <c r="M2473" s="752"/>
      <c r="N2473" s="744">
        <f t="shared" si="716"/>
        <v>4</v>
      </c>
      <c r="O2473" s="745">
        <v>0</v>
      </c>
      <c r="P2473" s="737">
        <v>4</v>
      </c>
      <c r="Q2473" s="752"/>
      <c r="R2473" s="752"/>
      <c r="S2473" s="752"/>
    </row>
    <row r="2474" spans="1:19" s="753" customFormat="1" ht="24" customHeight="1">
      <c r="A2474" s="734"/>
      <c r="B2474" s="750"/>
      <c r="C2474" s="736"/>
      <c r="D2474" s="907"/>
      <c r="E2474" s="737">
        <f t="shared" si="715"/>
        <v>0</v>
      </c>
      <c r="F2474" s="738"/>
      <c r="G2474" s="739">
        <v>0</v>
      </c>
      <c r="H2474" s="748">
        <f t="shared" si="712"/>
        <v>0</v>
      </c>
      <c r="I2474" s="741">
        <v>0</v>
      </c>
      <c r="J2474" s="749">
        <f t="shared" si="713"/>
        <v>0</v>
      </c>
      <c r="K2474" s="739">
        <f t="shared" si="714"/>
        <v>0</v>
      </c>
      <c r="L2474" s="1079"/>
      <c r="M2474" s="752"/>
      <c r="N2474" s="744">
        <f t="shared" si="716"/>
        <v>0</v>
      </c>
      <c r="O2474" s="745">
        <v>0</v>
      </c>
      <c r="P2474" s="737">
        <v>0</v>
      </c>
      <c r="Q2474" s="752"/>
      <c r="R2474" s="752"/>
      <c r="S2474" s="752"/>
    </row>
    <row r="2475" spans="1:19" s="753" customFormat="1" ht="24" customHeight="1">
      <c r="A2475" s="734"/>
      <c r="B2475" s="747" t="s">
        <v>469</v>
      </c>
      <c r="C2475" s="735" t="s">
        <v>492</v>
      </c>
      <c r="D2475" s="735"/>
      <c r="E2475" s="737">
        <f t="shared" si="715"/>
        <v>5</v>
      </c>
      <c r="F2475" s="738" t="s">
        <v>363</v>
      </c>
      <c r="G2475" s="739">
        <v>9375</v>
      </c>
      <c r="H2475" s="748">
        <f t="shared" si="712"/>
        <v>46875</v>
      </c>
      <c r="I2475" s="741">
        <v>450</v>
      </c>
      <c r="J2475" s="749">
        <f t="shared" si="713"/>
        <v>2250</v>
      </c>
      <c r="K2475" s="739">
        <f t="shared" si="714"/>
        <v>49125</v>
      </c>
      <c r="L2475" s="1079"/>
      <c r="M2475" s="752"/>
      <c r="N2475" s="744">
        <f t="shared" si="716"/>
        <v>5</v>
      </c>
      <c r="O2475" s="745">
        <v>0</v>
      </c>
      <c r="P2475" s="737">
        <v>5</v>
      </c>
      <c r="Q2475" s="752"/>
      <c r="R2475" s="752"/>
      <c r="S2475" s="752"/>
    </row>
    <row r="2476" spans="1:19" s="753" customFormat="1" ht="24" customHeight="1">
      <c r="A2476" s="734"/>
      <c r="B2476" s="747" t="s">
        <v>469</v>
      </c>
      <c r="C2476" s="735" t="s">
        <v>500</v>
      </c>
      <c r="D2476" s="735"/>
      <c r="E2476" s="737">
        <f t="shared" si="715"/>
        <v>5</v>
      </c>
      <c r="F2476" s="738" t="s">
        <v>363</v>
      </c>
      <c r="G2476" s="739">
        <v>12752</v>
      </c>
      <c r="H2476" s="748">
        <f t="shared" si="712"/>
        <v>63760</v>
      </c>
      <c r="I2476" s="741">
        <v>0</v>
      </c>
      <c r="J2476" s="749">
        <f t="shared" si="713"/>
        <v>0</v>
      </c>
      <c r="K2476" s="739">
        <f t="shared" si="714"/>
        <v>63760</v>
      </c>
      <c r="L2476" s="1079"/>
      <c r="M2476" s="752"/>
      <c r="N2476" s="744">
        <f t="shared" si="716"/>
        <v>5</v>
      </c>
      <c r="O2476" s="745">
        <v>0</v>
      </c>
      <c r="P2476" s="737">
        <v>5</v>
      </c>
      <c r="Q2476" s="752"/>
      <c r="R2476" s="752"/>
      <c r="S2476" s="752"/>
    </row>
    <row r="2477" spans="1:19" s="753" customFormat="1" ht="24" customHeight="1">
      <c r="A2477" s="734"/>
      <c r="B2477" s="747" t="s">
        <v>469</v>
      </c>
      <c r="C2477" s="735" t="s">
        <v>501</v>
      </c>
      <c r="D2477" s="735"/>
      <c r="E2477" s="737">
        <v>0</v>
      </c>
      <c r="F2477" s="738" t="s">
        <v>363</v>
      </c>
      <c r="G2477" s="739">
        <v>1950</v>
      </c>
      <c r="H2477" s="748">
        <f t="shared" si="712"/>
        <v>0</v>
      </c>
      <c r="I2477" s="741">
        <v>35</v>
      </c>
      <c r="J2477" s="749">
        <f t="shared" si="713"/>
        <v>0</v>
      </c>
      <c r="K2477" s="739">
        <f t="shared" si="714"/>
        <v>0</v>
      </c>
      <c r="L2477" s="1079"/>
      <c r="M2477" s="752"/>
      <c r="N2477" s="744">
        <f t="shared" si="716"/>
        <v>5</v>
      </c>
      <c r="O2477" s="745">
        <v>0</v>
      </c>
      <c r="P2477" s="737">
        <v>5</v>
      </c>
      <c r="Q2477" s="752"/>
      <c r="R2477" s="752"/>
      <c r="S2477" s="752"/>
    </row>
    <row r="2478" spans="1:19" s="753" customFormat="1" ht="24" customHeight="1">
      <c r="A2478" s="734"/>
      <c r="B2478" s="747" t="s">
        <v>469</v>
      </c>
      <c r="C2478" s="735" t="s">
        <v>502</v>
      </c>
      <c r="D2478" s="735"/>
      <c r="E2478" s="737">
        <f t="shared" si="715"/>
        <v>5</v>
      </c>
      <c r="F2478" s="738" t="s">
        <v>363</v>
      </c>
      <c r="G2478" s="739">
        <v>216</v>
      </c>
      <c r="H2478" s="748">
        <f t="shared" si="712"/>
        <v>1080</v>
      </c>
      <c r="I2478" s="741">
        <v>35</v>
      </c>
      <c r="J2478" s="749">
        <f t="shared" si="713"/>
        <v>175</v>
      </c>
      <c r="K2478" s="739">
        <f t="shared" si="714"/>
        <v>1255</v>
      </c>
      <c r="L2478" s="1079"/>
      <c r="M2478" s="752"/>
      <c r="N2478" s="744">
        <f t="shared" si="716"/>
        <v>5</v>
      </c>
      <c r="O2478" s="745">
        <v>0</v>
      </c>
      <c r="P2478" s="737">
        <v>5</v>
      </c>
      <c r="Q2478" s="752"/>
      <c r="R2478" s="752"/>
      <c r="S2478" s="752"/>
    </row>
    <row r="2479" spans="1:19" s="753" customFormat="1" ht="24" customHeight="1">
      <c r="A2479" s="734"/>
      <c r="B2479" s="747"/>
      <c r="C2479" s="735"/>
      <c r="D2479" s="907"/>
      <c r="E2479" s="737">
        <f t="shared" si="715"/>
        <v>0</v>
      </c>
      <c r="F2479" s="738"/>
      <c r="G2479" s="739">
        <v>0</v>
      </c>
      <c r="H2479" s="748">
        <f t="shared" si="712"/>
        <v>0</v>
      </c>
      <c r="I2479" s="741">
        <v>0</v>
      </c>
      <c r="J2479" s="749">
        <f t="shared" si="713"/>
        <v>0</v>
      </c>
      <c r="K2479" s="739">
        <f t="shared" si="714"/>
        <v>0</v>
      </c>
      <c r="L2479" s="1079"/>
      <c r="M2479" s="752"/>
      <c r="N2479" s="744">
        <f t="shared" si="716"/>
        <v>0</v>
      </c>
      <c r="O2479" s="745">
        <v>0</v>
      </c>
      <c r="P2479" s="737">
        <v>0</v>
      </c>
      <c r="Q2479" s="752"/>
      <c r="R2479" s="752"/>
      <c r="S2479" s="752"/>
    </row>
    <row r="2480" spans="1:19" s="753" customFormat="1" ht="24" customHeight="1">
      <c r="A2480" s="734"/>
      <c r="B2480" s="747" t="s">
        <v>469</v>
      </c>
      <c r="C2480" s="735" t="s">
        <v>503</v>
      </c>
      <c r="D2480" s="735"/>
      <c r="E2480" s="737">
        <f t="shared" si="715"/>
        <v>8</v>
      </c>
      <c r="F2480" s="738" t="s">
        <v>363</v>
      </c>
      <c r="G2480" s="739">
        <v>3920</v>
      </c>
      <c r="H2480" s="748">
        <f t="shared" si="712"/>
        <v>31360</v>
      </c>
      <c r="I2480" s="741">
        <v>450</v>
      </c>
      <c r="J2480" s="749">
        <f t="shared" si="713"/>
        <v>3600</v>
      </c>
      <c r="K2480" s="739">
        <f t="shared" si="714"/>
        <v>34960</v>
      </c>
      <c r="L2480" s="1079"/>
      <c r="M2480" s="752"/>
      <c r="N2480" s="744">
        <f t="shared" si="716"/>
        <v>8</v>
      </c>
      <c r="O2480" s="745">
        <v>0</v>
      </c>
      <c r="P2480" s="737">
        <v>8</v>
      </c>
      <c r="Q2480" s="752"/>
      <c r="R2480" s="752"/>
      <c r="S2480" s="752"/>
    </row>
    <row r="2481" spans="1:19" s="753" customFormat="1" ht="24" customHeight="1">
      <c r="A2481" s="734"/>
      <c r="B2481" s="747" t="s">
        <v>469</v>
      </c>
      <c r="C2481" s="735" t="s">
        <v>504</v>
      </c>
      <c r="D2481" s="735"/>
      <c r="E2481" s="737">
        <f t="shared" si="715"/>
        <v>8</v>
      </c>
      <c r="F2481" s="738" t="s">
        <v>363</v>
      </c>
      <c r="G2481" s="739">
        <v>12752</v>
      </c>
      <c r="H2481" s="748">
        <f t="shared" si="712"/>
        <v>102016</v>
      </c>
      <c r="I2481" s="741">
        <v>0</v>
      </c>
      <c r="J2481" s="749">
        <f t="shared" si="713"/>
        <v>0</v>
      </c>
      <c r="K2481" s="739">
        <f t="shared" si="714"/>
        <v>102016</v>
      </c>
      <c r="L2481" s="1079"/>
      <c r="M2481" s="752"/>
      <c r="N2481" s="744">
        <f t="shared" si="716"/>
        <v>8</v>
      </c>
      <c r="O2481" s="745">
        <v>0</v>
      </c>
      <c r="P2481" s="737">
        <v>8</v>
      </c>
      <c r="Q2481" s="752"/>
      <c r="R2481" s="752"/>
      <c r="S2481" s="752"/>
    </row>
    <row r="2482" spans="1:19" s="682" customFormat="1" ht="24" customHeight="1">
      <c r="A2482" s="734"/>
      <c r="B2482" s="747" t="s">
        <v>469</v>
      </c>
      <c r="C2482" s="735" t="s">
        <v>505</v>
      </c>
      <c r="D2482" s="735"/>
      <c r="E2482" s="737">
        <f t="shared" si="715"/>
        <v>6</v>
      </c>
      <c r="F2482" s="738" t="s">
        <v>363</v>
      </c>
      <c r="G2482" s="739">
        <v>2280</v>
      </c>
      <c r="H2482" s="748">
        <f t="shared" si="712"/>
        <v>13680</v>
      </c>
      <c r="I2482" s="741">
        <v>300</v>
      </c>
      <c r="J2482" s="749">
        <f t="shared" si="713"/>
        <v>1800</v>
      </c>
      <c r="K2482" s="739">
        <f t="shared" si="714"/>
        <v>15480</v>
      </c>
      <c r="L2482" s="1079"/>
      <c r="M2482" s="679"/>
      <c r="N2482" s="744">
        <f t="shared" si="716"/>
        <v>6</v>
      </c>
      <c r="O2482" s="745">
        <v>0</v>
      </c>
      <c r="P2482" s="737">
        <v>6</v>
      </c>
      <c r="Q2482" s="679"/>
      <c r="R2482" s="679"/>
      <c r="S2482" s="679"/>
    </row>
    <row r="2483" spans="1:19" s="682" customFormat="1" ht="24" customHeight="1">
      <c r="A2483" s="734"/>
      <c r="B2483" s="747" t="s">
        <v>469</v>
      </c>
      <c r="C2483" s="735" t="s">
        <v>506</v>
      </c>
      <c r="D2483" s="735"/>
      <c r="E2483" s="737">
        <f t="shared" si="715"/>
        <v>0</v>
      </c>
      <c r="F2483" s="738" t="s">
        <v>363</v>
      </c>
      <c r="G2483" s="739">
        <v>6592</v>
      </c>
      <c r="H2483" s="748">
        <f t="shared" si="712"/>
        <v>0</v>
      </c>
      <c r="I2483" s="741">
        <v>140</v>
      </c>
      <c r="J2483" s="749">
        <f t="shared" si="713"/>
        <v>0</v>
      </c>
      <c r="K2483" s="739">
        <f t="shared" si="714"/>
        <v>0</v>
      </c>
      <c r="L2483" s="1079"/>
      <c r="M2483" s="679"/>
      <c r="N2483" s="744">
        <f t="shared" si="716"/>
        <v>0</v>
      </c>
      <c r="O2483" s="745">
        <v>0</v>
      </c>
      <c r="P2483" s="737">
        <v>0</v>
      </c>
      <c r="Q2483" s="679"/>
      <c r="R2483" s="679"/>
      <c r="S2483" s="679"/>
    </row>
    <row r="2484" spans="1:19" s="753" customFormat="1" ht="24" customHeight="1">
      <c r="A2484" s="734"/>
      <c r="B2484" s="747" t="s">
        <v>484</v>
      </c>
      <c r="C2484" s="735" t="s">
        <v>485</v>
      </c>
      <c r="D2484" s="735"/>
      <c r="E2484" s="737">
        <f t="shared" si="715"/>
        <v>7</v>
      </c>
      <c r="F2484" s="738" t="s">
        <v>363</v>
      </c>
      <c r="G2484" s="739">
        <v>285</v>
      </c>
      <c r="H2484" s="748">
        <f t="shared" si="712"/>
        <v>1995</v>
      </c>
      <c r="I2484" s="741">
        <v>75</v>
      </c>
      <c r="J2484" s="749">
        <f t="shared" si="713"/>
        <v>525</v>
      </c>
      <c r="K2484" s="739">
        <f t="shared" si="714"/>
        <v>2520</v>
      </c>
      <c r="L2484" s="1093"/>
      <c r="M2484" s="752"/>
      <c r="N2484" s="744">
        <f t="shared" si="716"/>
        <v>7</v>
      </c>
      <c r="O2484" s="745">
        <v>0</v>
      </c>
      <c r="P2484" s="737">
        <v>7</v>
      </c>
      <c r="Q2484" s="752"/>
      <c r="R2484" s="752"/>
      <c r="S2484" s="752"/>
    </row>
    <row r="2485" spans="1:19" s="753" customFormat="1" ht="24" customHeight="1">
      <c r="A2485" s="734"/>
      <c r="B2485" s="747" t="s">
        <v>469</v>
      </c>
      <c r="C2485" s="735" t="s">
        <v>486</v>
      </c>
      <c r="D2485" s="735"/>
      <c r="E2485" s="737">
        <f t="shared" si="715"/>
        <v>1</v>
      </c>
      <c r="F2485" s="738" t="s">
        <v>363</v>
      </c>
      <c r="G2485" s="739">
        <v>552</v>
      </c>
      <c r="H2485" s="748">
        <f t="shared" si="712"/>
        <v>552</v>
      </c>
      <c r="I2485" s="741">
        <v>25</v>
      </c>
      <c r="J2485" s="749">
        <f t="shared" si="713"/>
        <v>25</v>
      </c>
      <c r="K2485" s="739">
        <f t="shared" si="714"/>
        <v>577</v>
      </c>
      <c r="L2485" s="1079"/>
      <c r="M2485" s="752"/>
      <c r="N2485" s="744">
        <f t="shared" si="716"/>
        <v>1</v>
      </c>
      <c r="O2485" s="745">
        <v>0</v>
      </c>
      <c r="P2485" s="737">
        <v>1</v>
      </c>
      <c r="Q2485" s="752"/>
      <c r="R2485" s="752"/>
      <c r="S2485" s="752"/>
    </row>
    <row r="2486" spans="1:19" s="753" customFormat="1" ht="24" customHeight="1">
      <c r="A2486" s="734"/>
      <c r="B2486" s="747" t="s">
        <v>469</v>
      </c>
      <c r="C2486" s="735" t="s">
        <v>507</v>
      </c>
      <c r="D2486" s="735"/>
      <c r="E2486" s="737">
        <f t="shared" si="715"/>
        <v>1</v>
      </c>
      <c r="F2486" s="738" t="s">
        <v>363</v>
      </c>
      <c r="G2486" s="739">
        <v>1650</v>
      </c>
      <c r="H2486" s="748">
        <f t="shared" si="712"/>
        <v>1650</v>
      </c>
      <c r="I2486" s="741">
        <v>70</v>
      </c>
      <c r="J2486" s="749">
        <f t="shared" si="713"/>
        <v>70</v>
      </c>
      <c r="K2486" s="739">
        <f t="shared" si="714"/>
        <v>1720</v>
      </c>
      <c r="L2486" s="1079"/>
      <c r="M2486" s="752"/>
      <c r="N2486" s="744">
        <f t="shared" si="716"/>
        <v>1</v>
      </c>
      <c r="O2486" s="745">
        <v>0</v>
      </c>
      <c r="P2486" s="737">
        <v>1</v>
      </c>
      <c r="Q2486" s="752"/>
      <c r="R2486" s="752"/>
      <c r="S2486" s="752"/>
    </row>
    <row r="2487" spans="1:19" s="753" customFormat="1" ht="24" customHeight="1">
      <c r="A2487" s="734"/>
      <c r="B2487" s="747" t="s">
        <v>469</v>
      </c>
      <c r="C2487" s="735" t="s">
        <v>508</v>
      </c>
      <c r="D2487" s="735"/>
      <c r="E2487" s="737">
        <f t="shared" si="715"/>
        <v>5</v>
      </c>
      <c r="F2487" s="738" t="s">
        <v>363</v>
      </c>
      <c r="G2487" s="739">
        <v>13500</v>
      </c>
      <c r="H2487" s="748">
        <f t="shared" si="712"/>
        <v>67500</v>
      </c>
      <c r="I2487" s="741">
        <v>750</v>
      </c>
      <c r="J2487" s="749">
        <f t="shared" si="713"/>
        <v>3750</v>
      </c>
      <c r="K2487" s="739">
        <f t="shared" si="714"/>
        <v>71250</v>
      </c>
      <c r="L2487" s="1079"/>
      <c r="M2487" s="752"/>
      <c r="N2487" s="744">
        <f t="shared" si="716"/>
        <v>5</v>
      </c>
      <c r="O2487" s="745">
        <v>0</v>
      </c>
      <c r="P2487" s="737">
        <v>5</v>
      </c>
      <c r="Q2487" s="752"/>
      <c r="R2487" s="752"/>
      <c r="S2487" s="752"/>
    </row>
    <row r="2488" spans="1:19" s="682" customFormat="1" ht="24" customHeight="1">
      <c r="A2488" s="734"/>
      <c r="B2488" s="747" t="s">
        <v>469</v>
      </c>
      <c r="C2488" s="735" t="s">
        <v>509</v>
      </c>
      <c r="D2488" s="735"/>
      <c r="E2488" s="737">
        <f t="shared" si="715"/>
        <v>1</v>
      </c>
      <c r="F2488" s="738" t="s">
        <v>363</v>
      </c>
      <c r="G2488" s="739">
        <v>14476</v>
      </c>
      <c r="H2488" s="748">
        <f t="shared" si="712"/>
        <v>14476</v>
      </c>
      <c r="I2488" s="741">
        <v>5367</v>
      </c>
      <c r="J2488" s="749">
        <f t="shared" si="713"/>
        <v>5367</v>
      </c>
      <c r="K2488" s="739">
        <f t="shared" si="714"/>
        <v>19843</v>
      </c>
      <c r="L2488" s="1079"/>
      <c r="M2488" s="679"/>
      <c r="N2488" s="744">
        <f t="shared" si="716"/>
        <v>1</v>
      </c>
      <c r="O2488" s="745">
        <v>0</v>
      </c>
      <c r="P2488" s="737">
        <v>1</v>
      </c>
      <c r="Q2488" s="679"/>
      <c r="R2488" s="679"/>
      <c r="S2488" s="679"/>
    </row>
    <row r="2489" spans="1:19" s="753" customFormat="1" ht="24" customHeight="1">
      <c r="A2489" s="734"/>
      <c r="B2489" s="747" t="s">
        <v>469</v>
      </c>
      <c r="C2489" s="735" t="s">
        <v>510</v>
      </c>
      <c r="D2489" s="735"/>
      <c r="E2489" s="737">
        <f t="shared" si="715"/>
        <v>4.1500000000000004</v>
      </c>
      <c r="F2489" s="738" t="s">
        <v>361</v>
      </c>
      <c r="G2489" s="739">
        <v>2694</v>
      </c>
      <c r="H2489" s="748">
        <f t="shared" si="712"/>
        <v>11180.1</v>
      </c>
      <c r="I2489" s="741">
        <v>1288</v>
      </c>
      <c r="J2489" s="749">
        <f t="shared" si="713"/>
        <v>5345.2000000000007</v>
      </c>
      <c r="K2489" s="739">
        <f t="shared" si="714"/>
        <v>16525.300000000003</v>
      </c>
      <c r="L2489" s="1079"/>
      <c r="M2489" s="752"/>
      <c r="N2489" s="744">
        <f t="shared" si="716"/>
        <v>4.1500000000000004</v>
      </c>
      <c r="O2489" s="745">
        <v>0</v>
      </c>
      <c r="P2489" s="737">
        <v>4.1500000000000004</v>
      </c>
      <c r="Q2489" s="752"/>
      <c r="R2489" s="752"/>
      <c r="S2489" s="752"/>
    </row>
    <row r="2490" spans="1:19" s="753" customFormat="1" ht="24" customHeight="1">
      <c r="A2490" s="734"/>
      <c r="B2490" s="747"/>
      <c r="C2490" s="735" t="s">
        <v>511</v>
      </c>
      <c r="D2490" s="735"/>
      <c r="E2490" s="737">
        <f t="shared" si="715"/>
        <v>0</v>
      </c>
      <c r="F2490" s="738"/>
      <c r="G2490" s="739"/>
      <c r="H2490" s="748">
        <f t="shared" si="712"/>
        <v>0</v>
      </c>
      <c r="I2490" s="741"/>
      <c r="J2490" s="749">
        <f t="shared" si="713"/>
        <v>0</v>
      </c>
      <c r="K2490" s="739">
        <f t="shared" si="714"/>
        <v>0</v>
      </c>
      <c r="L2490" s="1079"/>
      <c r="M2490" s="752"/>
      <c r="N2490" s="744">
        <f t="shared" si="716"/>
        <v>0</v>
      </c>
      <c r="O2490" s="745">
        <v>0</v>
      </c>
      <c r="P2490" s="737">
        <v>0</v>
      </c>
      <c r="Q2490" s="752"/>
      <c r="R2490" s="752"/>
      <c r="S2490" s="752"/>
    </row>
    <row r="2491" spans="1:19" s="753" customFormat="1" ht="24" customHeight="1">
      <c r="A2491" s="734"/>
      <c r="B2491" s="747" t="s">
        <v>469</v>
      </c>
      <c r="C2491" s="735" t="s">
        <v>512</v>
      </c>
      <c r="D2491" s="735"/>
      <c r="E2491" s="737">
        <f t="shared" si="715"/>
        <v>4.1500000000000004</v>
      </c>
      <c r="F2491" s="738" t="s">
        <v>361</v>
      </c>
      <c r="G2491" s="739">
        <v>3886</v>
      </c>
      <c r="H2491" s="748">
        <f t="shared" si="712"/>
        <v>16126.900000000001</v>
      </c>
      <c r="I2491" s="741">
        <v>1238</v>
      </c>
      <c r="J2491" s="749">
        <f t="shared" si="713"/>
        <v>5137.7000000000007</v>
      </c>
      <c r="K2491" s="739">
        <f t="shared" si="714"/>
        <v>21264.600000000002</v>
      </c>
      <c r="L2491" s="1079"/>
      <c r="M2491" s="752"/>
      <c r="N2491" s="744">
        <f t="shared" si="716"/>
        <v>4.1500000000000004</v>
      </c>
      <c r="O2491" s="745">
        <v>0</v>
      </c>
      <c r="P2491" s="737">
        <v>4.1500000000000004</v>
      </c>
      <c r="Q2491" s="752"/>
      <c r="R2491" s="752"/>
      <c r="S2491" s="752"/>
    </row>
    <row r="2492" spans="1:19" s="753" customFormat="1" ht="24" customHeight="1">
      <c r="A2492" s="734"/>
      <c r="B2492" s="747"/>
      <c r="C2492" s="735" t="s">
        <v>513</v>
      </c>
      <c r="D2492" s="735"/>
      <c r="E2492" s="737">
        <f t="shared" si="715"/>
        <v>0</v>
      </c>
      <c r="F2492" s="738"/>
      <c r="G2492" s="739">
        <v>0</v>
      </c>
      <c r="H2492" s="748">
        <f t="shared" si="712"/>
        <v>0</v>
      </c>
      <c r="I2492" s="741">
        <v>0</v>
      </c>
      <c r="J2492" s="749">
        <f t="shared" si="713"/>
        <v>0</v>
      </c>
      <c r="K2492" s="739">
        <f t="shared" si="714"/>
        <v>0</v>
      </c>
      <c r="L2492" s="1079"/>
      <c r="M2492" s="752"/>
      <c r="N2492" s="744">
        <f t="shared" si="716"/>
        <v>0</v>
      </c>
      <c r="O2492" s="745">
        <v>0</v>
      </c>
      <c r="P2492" s="737">
        <v>0</v>
      </c>
      <c r="Q2492" s="752"/>
      <c r="R2492" s="752"/>
      <c r="S2492" s="752"/>
    </row>
    <row r="2493" spans="1:19" s="753" customFormat="1" ht="24" customHeight="1">
      <c r="A2493" s="734"/>
      <c r="B2493" s="747" t="s">
        <v>469</v>
      </c>
      <c r="C2493" s="735" t="s">
        <v>514</v>
      </c>
      <c r="D2493" s="735"/>
      <c r="E2493" s="737">
        <f t="shared" si="715"/>
        <v>4.1500000000000004</v>
      </c>
      <c r="F2493" s="738" t="s">
        <v>361</v>
      </c>
      <c r="G2493" s="739">
        <v>1522</v>
      </c>
      <c r="H2493" s="748">
        <f t="shared" si="712"/>
        <v>6316.3</v>
      </c>
      <c r="I2493" s="741">
        <v>315</v>
      </c>
      <c r="J2493" s="749">
        <f t="shared" si="713"/>
        <v>1307.25</v>
      </c>
      <c r="K2493" s="739">
        <f t="shared" si="714"/>
        <v>7623.55</v>
      </c>
      <c r="L2493" s="1079"/>
      <c r="M2493" s="752"/>
      <c r="N2493" s="744">
        <f t="shared" si="716"/>
        <v>4.1500000000000004</v>
      </c>
      <c r="O2493" s="745">
        <v>0</v>
      </c>
      <c r="P2493" s="737">
        <v>4.1500000000000004</v>
      </c>
      <c r="Q2493" s="752"/>
      <c r="R2493" s="752"/>
      <c r="S2493" s="752"/>
    </row>
    <row r="2494" spans="1:19" s="753" customFormat="1" ht="24" customHeight="1">
      <c r="A2494" s="734"/>
      <c r="B2494" s="747"/>
      <c r="C2494" s="735"/>
      <c r="D2494" s="735"/>
      <c r="E2494" s="737">
        <f t="shared" si="715"/>
        <v>0</v>
      </c>
      <c r="F2494" s="738"/>
      <c r="G2494" s="739">
        <v>0</v>
      </c>
      <c r="H2494" s="748">
        <f t="shared" ref="H2494:H2561" si="717">SUM(E2494*G2494)</f>
        <v>0</v>
      </c>
      <c r="I2494" s="741">
        <v>0</v>
      </c>
      <c r="J2494" s="749">
        <f t="shared" ref="J2494:J2561" si="718">SUM(E2494*I2494)</f>
        <v>0</v>
      </c>
      <c r="K2494" s="739">
        <f t="shared" ref="K2494:K2561" si="719">SUM(H2494+J2494)</f>
        <v>0</v>
      </c>
      <c r="L2494" s="1079"/>
      <c r="M2494" s="752"/>
      <c r="N2494" s="744">
        <f t="shared" si="716"/>
        <v>0</v>
      </c>
      <c r="O2494" s="745">
        <v>0</v>
      </c>
      <c r="P2494" s="737">
        <v>0</v>
      </c>
      <c r="Q2494" s="752"/>
      <c r="R2494" s="752"/>
      <c r="S2494" s="752"/>
    </row>
    <row r="2495" spans="1:19" s="682" customFormat="1" ht="24" customHeight="1">
      <c r="A2495" s="734"/>
      <c r="B2495" s="747" t="s">
        <v>469</v>
      </c>
      <c r="C2495" s="735" t="s">
        <v>515</v>
      </c>
      <c r="D2495" s="735"/>
      <c r="E2495" s="737">
        <f t="shared" si="715"/>
        <v>1</v>
      </c>
      <c r="F2495" s="738" t="s">
        <v>363</v>
      </c>
      <c r="G2495" s="739">
        <v>5013</v>
      </c>
      <c r="H2495" s="748">
        <f t="shared" si="717"/>
        <v>5013</v>
      </c>
      <c r="I2495" s="741">
        <v>2403</v>
      </c>
      <c r="J2495" s="749">
        <f t="shared" si="718"/>
        <v>2403</v>
      </c>
      <c r="K2495" s="739">
        <f t="shared" si="719"/>
        <v>7416</v>
      </c>
      <c r="L2495" s="1079"/>
      <c r="M2495" s="679"/>
      <c r="N2495" s="744">
        <f t="shared" si="716"/>
        <v>1</v>
      </c>
      <c r="O2495" s="745">
        <v>0</v>
      </c>
      <c r="P2495" s="737">
        <v>1</v>
      </c>
      <c r="Q2495" s="679"/>
      <c r="R2495" s="679"/>
      <c r="S2495" s="679"/>
    </row>
    <row r="2496" spans="1:19" s="682" customFormat="1" ht="24" customHeight="1">
      <c r="A2496" s="734"/>
      <c r="B2496" s="747"/>
      <c r="C2496" s="735" t="s">
        <v>516</v>
      </c>
      <c r="D2496" s="735"/>
      <c r="E2496" s="737">
        <f t="shared" si="715"/>
        <v>0</v>
      </c>
      <c r="F2496" s="738"/>
      <c r="G2496" s="739"/>
      <c r="H2496" s="748">
        <f t="shared" si="717"/>
        <v>0</v>
      </c>
      <c r="I2496" s="741"/>
      <c r="J2496" s="749">
        <f t="shared" si="718"/>
        <v>0</v>
      </c>
      <c r="K2496" s="739">
        <f t="shared" si="719"/>
        <v>0</v>
      </c>
      <c r="L2496" s="1079"/>
      <c r="M2496" s="679"/>
      <c r="N2496" s="744">
        <f t="shared" si="716"/>
        <v>0</v>
      </c>
      <c r="O2496" s="745">
        <v>0</v>
      </c>
      <c r="P2496" s="737">
        <v>0</v>
      </c>
      <c r="Q2496" s="679"/>
      <c r="R2496" s="679"/>
      <c r="S2496" s="679"/>
    </row>
    <row r="2497" spans="1:19" s="682" customFormat="1" ht="24" customHeight="1">
      <c r="A2497" s="734"/>
      <c r="B2497" s="747"/>
      <c r="C2497" s="735"/>
      <c r="D2497" s="735"/>
      <c r="E2497" s="737">
        <f t="shared" ref="E2497:E2564" si="720">+N2497</f>
        <v>0</v>
      </c>
      <c r="F2497" s="738"/>
      <c r="G2497" s="739"/>
      <c r="H2497" s="748">
        <f t="shared" si="717"/>
        <v>0</v>
      </c>
      <c r="I2497" s="741"/>
      <c r="J2497" s="749">
        <f t="shared" si="718"/>
        <v>0</v>
      </c>
      <c r="K2497" s="739">
        <f t="shared" si="719"/>
        <v>0</v>
      </c>
      <c r="L2497" s="1079"/>
      <c r="M2497" s="679"/>
      <c r="N2497" s="744">
        <f t="shared" si="716"/>
        <v>0</v>
      </c>
      <c r="O2497" s="745">
        <v>0</v>
      </c>
      <c r="P2497" s="737">
        <v>0</v>
      </c>
      <c r="Q2497" s="679"/>
      <c r="R2497" s="679"/>
      <c r="S2497" s="679"/>
    </row>
    <row r="2498" spans="1:19" s="756" customFormat="1" ht="24" customHeight="1">
      <c r="A2498" s="734"/>
      <c r="B2498" s="747" t="s">
        <v>469</v>
      </c>
      <c r="C2498" s="735" t="s">
        <v>517</v>
      </c>
      <c r="D2498" s="907"/>
      <c r="E2498" s="737">
        <f t="shared" si="720"/>
        <v>0</v>
      </c>
      <c r="F2498" s="738" t="s">
        <v>361</v>
      </c>
      <c r="G2498" s="739">
        <v>5075.5555555555557</v>
      </c>
      <c r="H2498" s="748">
        <f t="shared" si="717"/>
        <v>0</v>
      </c>
      <c r="I2498" s="741">
        <v>2545.7777777777778</v>
      </c>
      <c r="J2498" s="749">
        <f t="shared" si="718"/>
        <v>0</v>
      </c>
      <c r="K2498" s="739">
        <f t="shared" si="719"/>
        <v>0</v>
      </c>
      <c r="L2498" s="1079"/>
      <c r="M2498" s="755"/>
      <c r="N2498" s="744">
        <f t="shared" si="716"/>
        <v>0</v>
      </c>
      <c r="O2498" s="745">
        <v>0</v>
      </c>
      <c r="P2498" s="737">
        <v>0</v>
      </c>
      <c r="Q2498" s="755"/>
      <c r="R2498" s="755"/>
      <c r="S2498" s="755"/>
    </row>
    <row r="2499" spans="1:19" s="756" customFormat="1" ht="24" customHeight="1">
      <c r="A2499" s="734"/>
      <c r="B2499" s="747"/>
      <c r="C2499" s="735" t="s">
        <v>488</v>
      </c>
      <c r="D2499" s="907"/>
      <c r="E2499" s="737">
        <f t="shared" si="720"/>
        <v>0</v>
      </c>
      <c r="F2499" s="738"/>
      <c r="G2499" s="739">
        <v>0</v>
      </c>
      <c r="H2499" s="748">
        <f t="shared" si="717"/>
        <v>0</v>
      </c>
      <c r="I2499" s="741">
        <v>0</v>
      </c>
      <c r="J2499" s="749">
        <f t="shared" si="718"/>
        <v>0</v>
      </c>
      <c r="K2499" s="739">
        <f t="shared" si="719"/>
        <v>0</v>
      </c>
      <c r="L2499" s="1079"/>
      <c r="M2499" s="755"/>
      <c r="N2499" s="744">
        <f t="shared" si="716"/>
        <v>0</v>
      </c>
      <c r="O2499" s="745">
        <v>0</v>
      </c>
      <c r="P2499" s="737">
        <v>0</v>
      </c>
      <c r="Q2499" s="755"/>
      <c r="R2499" s="755"/>
      <c r="S2499" s="755"/>
    </row>
    <row r="2500" spans="1:19" s="753" customFormat="1" ht="24" customHeight="1">
      <c r="A2500" s="734"/>
      <c r="B2500" s="747" t="s">
        <v>469</v>
      </c>
      <c r="C2500" s="735" t="s">
        <v>518</v>
      </c>
      <c r="D2500" s="735"/>
      <c r="E2500" s="737">
        <f t="shared" si="720"/>
        <v>0</v>
      </c>
      <c r="F2500" s="738" t="s">
        <v>361</v>
      </c>
      <c r="G2500" s="739">
        <v>3886</v>
      </c>
      <c r="H2500" s="748">
        <f t="shared" si="717"/>
        <v>0</v>
      </c>
      <c r="I2500" s="741">
        <v>1238</v>
      </c>
      <c r="J2500" s="749">
        <f t="shared" si="718"/>
        <v>0</v>
      </c>
      <c r="K2500" s="739">
        <f t="shared" si="719"/>
        <v>0</v>
      </c>
      <c r="L2500" s="1079"/>
      <c r="M2500" s="752"/>
      <c r="N2500" s="744">
        <f t="shared" si="716"/>
        <v>0</v>
      </c>
      <c r="O2500" s="745">
        <v>0</v>
      </c>
      <c r="P2500" s="737">
        <v>0</v>
      </c>
      <c r="Q2500" s="752"/>
      <c r="R2500" s="752"/>
      <c r="S2500" s="752"/>
    </row>
    <row r="2501" spans="1:19" s="753" customFormat="1" ht="24" customHeight="1">
      <c r="A2501" s="734"/>
      <c r="B2501" s="747"/>
      <c r="C2501" s="735" t="s">
        <v>513</v>
      </c>
      <c r="D2501" s="735"/>
      <c r="E2501" s="737">
        <f t="shared" si="720"/>
        <v>0</v>
      </c>
      <c r="F2501" s="738"/>
      <c r="G2501" s="739">
        <v>0</v>
      </c>
      <c r="H2501" s="748">
        <f t="shared" si="717"/>
        <v>0</v>
      </c>
      <c r="I2501" s="741">
        <v>0</v>
      </c>
      <c r="J2501" s="749">
        <f t="shared" si="718"/>
        <v>0</v>
      </c>
      <c r="K2501" s="739">
        <f t="shared" si="719"/>
        <v>0</v>
      </c>
      <c r="L2501" s="1079"/>
      <c r="M2501" s="752"/>
      <c r="N2501" s="744">
        <f t="shared" si="716"/>
        <v>0</v>
      </c>
      <c r="O2501" s="745">
        <v>0</v>
      </c>
      <c r="P2501" s="737">
        <v>0</v>
      </c>
      <c r="Q2501" s="752"/>
      <c r="R2501" s="752"/>
      <c r="S2501" s="752"/>
    </row>
    <row r="2502" spans="1:19" s="682" customFormat="1" ht="24" customHeight="1">
      <c r="A2502" s="734"/>
      <c r="B2502" s="747" t="s">
        <v>469</v>
      </c>
      <c r="C2502" s="735" t="s">
        <v>519</v>
      </c>
      <c r="D2502" s="735"/>
      <c r="E2502" s="737">
        <f t="shared" si="720"/>
        <v>1</v>
      </c>
      <c r="F2502" s="738" t="s">
        <v>363</v>
      </c>
      <c r="G2502" s="739">
        <v>800</v>
      </c>
      <c r="H2502" s="748">
        <f t="shared" si="717"/>
        <v>800</v>
      </c>
      <c r="I2502" s="741">
        <v>70</v>
      </c>
      <c r="J2502" s="749">
        <f t="shared" si="718"/>
        <v>70</v>
      </c>
      <c r="K2502" s="739">
        <f t="shared" si="719"/>
        <v>870</v>
      </c>
      <c r="L2502" s="1079"/>
      <c r="M2502" s="679"/>
      <c r="N2502" s="744">
        <f t="shared" si="716"/>
        <v>1</v>
      </c>
      <c r="O2502" s="745">
        <v>0</v>
      </c>
      <c r="P2502" s="737">
        <v>1</v>
      </c>
      <c r="Q2502" s="679"/>
      <c r="R2502" s="679"/>
      <c r="S2502" s="679"/>
    </row>
    <row r="2503" spans="1:19" s="682" customFormat="1" ht="24" customHeight="1">
      <c r="A2503" s="734"/>
      <c r="B2503" s="747" t="s">
        <v>469</v>
      </c>
      <c r="C2503" s="735" t="s">
        <v>520</v>
      </c>
      <c r="D2503" s="735"/>
      <c r="E2503" s="737">
        <f t="shared" si="720"/>
        <v>0</v>
      </c>
      <c r="F2503" s="738" t="s">
        <v>361</v>
      </c>
      <c r="G2503" s="739">
        <v>190</v>
      </c>
      <c r="H2503" s="748">
        <f t="shared" si="717"/>
        <v>0</v>
      </c>
      <c r="I2503" s="741">
        <v>75</v>
      </c>
      <c r="J2503" s="749">
        <f t="shared" si="718"/>
        <v>0</v>
      </c>
      <c r="K2503" s="739">
        <f t="shared" si="719"/>
        <v>0</v>
      </c>
      <c r="L2503" s="1079"/>
      <c r="M2503" s="679"/>
      <c r="N2503" s="744">
        <f t="shared" si="716"/>
        <v>0</v>
      </c>
      <c r="O2503" s="745">
        <v>0</v>
      </c>
      <c r="P2503" s="737">
        <v>0</v>
      </c>
      <c r="Q2503" s="679"/>
      <c r="R2503" s="679"/>
      <c r="S2503" s="679"/>
    </row>
    <row r="2504" spans="1:19" s="682" customFormat="1" ht="24" customHeight="1">
      <c r="A2504" s="734"/>
      <c r="B2504" s="747"/>
      <c r="C2504" s="735"/>
      <c r="D2504" s="735"/>
      <c r="E2504" s="737">
        <f t="shared" si="720"/>
        <v>0</v>
      </c>
      <c r="F2504" s="738"/>
      <c r="G2504" s="739"/>
      <c r="H2504" s="748">
        <f t="shared" si="717"/>
        <v>0</v>
      </c>
      <c r="I2504" s="741"/>
      <c r="J2504" s="749">
        <f t="shared" si="718"/>
        <v>0</v>
      </c>
      <c r="K2504" s="739">
        <f t="shared" si="719"/>
        <v>0</v>
      </c>
      <c r="L2504" s="1079"/>
      <c r="M2504" s="679"/>
      <c r="N2504" s="744">
        <f t="shared" ref="N2504:N2571" si="721">+(1+O2504)*P2504</f>
        <v>0</v>
      </c>
      <c r="O2504" s="745">
        <v>0</v>
      </c>
      <c r="P2504" s="737">
        <v>0</v>
      </c>
      <c r="Q2504" s="679"/>
      <c r="R2504" s="679"/>
      <c r="S2504" s="679"/>
    </row>
    <row r="2505" spans="1:19" s="753" customFormat="1" ht="24" customHeight="1">
      <c r="A2505" s="734"/>
      <c r="B2505" s="735" t="s">
        <v>1077</v>
      </c>
      <c r="C2505" s="735"/>
      <c r="D2505" s="907"/>
      <c r="E2505" s="737">
        <f t="shared" si="720"/>
        <v>0</v>
      </c>
      <c r="F2505" s="738"/>
      <c r="G2505" s="739">
        <v>0</v>
      </c>
      <c r="H2505" s="748">
        <f t="shared" si="717"/>
        <v>0</v>
      </c>
      <c r="I2505" s="741">
        <v>0</v>
      </c>
      <c r="J2505" s="749">
        <f t="shared" si="718"/>
        <v>0</v>
      </c>
      <c r="K2505" s="739">
        <f t="shared" si="719"/>
        <v>0</v>
      </c>
      <c r="L2505" s="1079"/>
      <c r="M2505" s="752"/>
      <c r="N2505" s="744">
        <f t="shared" si="721"/>
        <v>0</v>
      </c>
      <c r="O2505" s="745">
        <v>0</v>
      </c>
      <c r="P2505" s="737">
        <v>0</v>
      </c>
      <c r="Q2505" s="752"/>
      <c r="R2505" s="752"/>
      <c r="S2505" s="752"/>
    </row>
    <row r="2506" spans="1:19" s="753" customFormat="1" ht="24" customHeight="1">
      <c r="A2506" s="734"/>
      <c r="B2506" s="747" t="s">
        <v>469</v>
      </c>
      <c r="C2506" s="735" t="s">
        <v>497</v>
      </c>
      <c r="D2506" s="735"/>
      <c r="E2506" s="737">
        <f t="shared" si="720"/>
        <v>6</v>
      </c>
      <c r="F2506" s="738" t="s">
        <v>363</v>
      </c>
      <c r="G2506" s="739">
        <v>1540</v>
      </c>
      <c r="H2506" s="748">
        <f t="shared" si="717"/>
        <v>9240</v>
      </c>
      <c r="I2506" s="741">
        <v>450</v>
      </c>
      <c r="J2506" s="749">
        <f t="shared" si="718"/>
        <v>2700</v>
      </c>
      <c r="K2506" s="739">
        <f t="shared" si="719"/>
        <v>11940</v>
      </c>
      <c r="L2506" s="1079"/>
      <c r="M2506" s="752"/>
      <c r="N2506" s="744">
        <f t="shared" si="721"/>
        <v>6</v>
      </c>
      <c r="O2506" s="745">
        <v>0</v>
      </c>
      <c r="P2506" s="737">
        <v>6</v>
      </c>
      <c r="Q2506" s="752"/>
      <c r="R2506" s="752"/>
      <c r="S2506" s="752"/>
    </row>
    <row r="2507" spans="1:19" s="753" customFormat="1" ht="24" customHeight="1">
      <c r="A2507" s="734"/>
      <c r="B2507" s="747" t="s">
        <v>469</v>
      </c>
      <c r="C2507" s="735" t="s">
        <v>498</v>
      </c>
      <c r="D2507" s="735"/>
      <c r="E2507" s="737">
        <f t="shared" si="720"/>
        <v>6</v>
      </c>
      <c r="F2507" s="738" t="s">
        <v>363</v>
      </c>
      <c r="G2507" s="739">
        <v>6640</v>
      </c>
      <c r="H2507" s="748">
        <f t="shared" si="717"/>
        <v>39840</v>
      </c>
      <c r="I2507" s="741">
        <v>200</v>
      </c>
      <c r="J2507" s="749">
        <f t="shared" si="718"/>
        <v>1200</v>
      </c>
      <c r="K2507" s="739">
        <f t="shared" si="719"/>
        <v>41040</v>
      </c>
      <c r="L2507" s="1079"/>
      <c r="M2507" s="752"/>
      <c r="N2507" s="744">
        <f t="shared" si="721"/>
        <v>6</v>
      </c>
      <c r="O2507" s="745">
        <v>0</v>
      </c>
      <c r="P2507" s="737">
        <v>6</v>
      </c>
      <c r="Q2507" s="752"/>
      <c r="R2507" s="752"/>
      <c r="S2507" s="752"/>
    </row>
    <row r="2508" spans="1:19" s="753" customFormat="1" ht="24" customHeight="1">
      <c r="A2508" s="734"/>
      <c r="B2508" s="747" t="s">
        <v>469</v>
      </c>
      <c r="C2508" s="735" t="s">
        <v>476</v>
      </c>
      <c r="D2508" s="735"/>
      <c r="E2508" s="737">
        <f t="shared" si="720"/>
        <v>6</v>
      </c>
      <c r="F2508" s="738" t="s">
        <v>363</v>
      </c>
      <c r="G2508" s="739">
        <v>336</v>
      </c>
      <c r="H2508" s="748">
        <f t="shared" si="717"/>
        <v>2016</v>
      </c>
      <c r="I2508" s="741">
        <v>0</v>
      </c>
      <c r="J2508" s="749">
        <f t="shared" si="718"/>
        <v>0</v>
      </c>
      <c r="K2508" s="739">
        <f t="shared" si="719"/>
        <v>2016</v>
      </c>
      <c r="L2508" s="1079"/>
      <c r="M2508" s="752"/>
      <c r="N2508" s="744">
        <f t="shared" si="721"/>
        <v>6</v>
      </c>
      <c r="O2508" s="745">
        <v>0</v>
      </c>
      <c r="P2508" s="737">
        <v>6</v>
      </c>
      <c r="Q2508" s="752"/>
      <c r="R2508" s="752"/>
      <c r="S2508" s="752"/>
    </row>
    <row r="2509" spans="1:19" s="753" customFormat="1" ht="24" customHeight="1">
      <c r="A2509" s="734"/>
      <c r="B2509" s="747" t="s">
        <v>469</v>
      </c>
      <c r="C2509" s="735" t="s">
        <v>477</v>
      </c>
      <c r="D2509" s="735"/>
      <c r="E2509" s="737">
        <f t="shared" si="720"/>
        <v>6</v>
      </c>
      <c r="F2509" s="738" t="s">
        <v>363</v>
      </c>
      <c r="G2509" s="739">
        <v>736</v>
      </c>
      <c r="H2509" s="748">
        <f t="shared" si="717"/>
        <v>4416</v>
      </c>
      <c r="I2509" s="741">
        <v>0</v>
      </c>
      <c r="J2509" s="749">
        <f t="shared" si="718"/>
        <v>0</v>
      </c>
      <c r="K2509" s="739">
        <f t="shared" si="719"/>
        <v>4416</v>
      </c>
      <c r="L2509" s="1079"/>
      <c r="M2509" s="752"/>
      <c r="N2509" s="744">
        <f t="shared" si="721"/>
        <v>6</v>
      </c>
      <c r="O2509" s="745">
        <v>0</v>
      </c>
      <c r="P2509" s="737">
        <v>6</v>
      </c>
      <c r="Q2509" s="752"/>
      <c r="R2509" s="752"/>
      <c r="S2509" s="752"/>
    </row>
    <row r="2510" spans="1:19" s="753" customFormat="1" ht="24" customHeight="1">
      <c r="A2510" s="734"/>
      <c r="B2510" s="747" t="s">
        <v>469</v>
      </c>
      <c r="C2510" s="735" t="s">
        <v>478</v>
      </c>
      <c r="D2510" s="735"/>
      <c r="E2510" s="737">
        <f t="shared" si="720"/>
        <v>6</v>
      </c>
      <c r="F2510" s="738" t="s">
        <v>363</v>
      </c>
      <c r="G2510" s="739">
        <v>176</v>
      </c>
      <c r="H2510" s="748">
        <f t="shared" si="717"/>
        <v>1056</v>
      </c>
      <c r="I2510" s="741">
        <v>0</v>
      </c>
      <c r="J2510" s="749">
        <f t="shared" si="718"/>
        <v>0</v>
      </c>
      <c r="K2510" s="739">
        <f t="shared" si="719"/>
        <v>1056</v>
      </c>
      <c r="L2510" s="1079"/>
      <c r="M2510" s="752"/>
      <c r="N2510" s="744">
        <f t="shared" si="721"/>
        <v>6</v>
      </c>
      <c r="O2510" s="745">
        <v>0</v>
      </c>
      <c r="P2510" s="737">
        <v>6</v>
      </c>
      <c r="Q2510" s="752"/>
      <c r="R2510" s="752"/>
      <c r="S2510" s="752"/>
    </row>
    <row r="2511" spans="1:19" s="753" customFormat="1" ht="24" customHeight="1">
      <c r="A2511" s="734"/>
      <c r="B2511" s="747" t="s">
        <v>469</v>
      </c>
      <c r="C2511" s="735" t="s">
        <v>499</v>
      </c>
      <c r="D2511" s="735"/>
      <c r="E2511" s="737">
        <f t="shared" si="720"/>
        <v>6</v>
      </c>
      <c r="F2511" s="738" t="s">
        <v>363</v>
      </c>
      <c r="G2511" s="739">
        <v>216</v>
      </c>
      <c r="H2511" s="748">
        <f t="shared" si="717"/>
        <v>1296</v>
      </c>
      <c r="I2511" s="741">
        <v>35</v>
      </c>
      <c r="J2511" s="749">
        <f t="shared" si="718"/>
        <v>210</v>
      </c>
      <c r="K2511" s="739">
        <f t="shared" si="719"/>
        <v>1506</v>
      </c>
      <c r="L2511" s="1079"/>
      <c r="M2511" s="752"/>
      <c r="N2511" s="744">
        <f t="shared" si="721"/>
        <v>6</v>
      </c>
      <c r="O2511" s="745">
        <v>0</v>
      </c>
      <c r="P2511" s="737">
        <v>6</v>
      </c>
      <c r="Q2511" s="752"/>
      <c r="R2511" s="752"/>
      <c r="S2511" s="752"/>
    </row>
    <row r="2512" spans="1:19" s="753" customFormat="1" ht="24" customHeight="1">
      <c r="A2512" s="734"/>
      <c r="B2512" s="747"/>
      <c r="C2512" s="736"/>
      <c r="D2512" s="907"/>
      <c r="E2512" s="737">
        <f t="shared" si="720"/>
        <v>0</v>
      </c>
      <c r="F2512" s="738"/>
      <c r="G2512" s="739">
        <v>0</v>
      </c>
      <c r="H2512" s="748">
        <f t="shared" si="717"/>
        <v>0</v>
      </c>
      <c r="I2512" s="741">
        <v>0</v>
      </c>
      <c r="J2512" s="749">
        <f t="shared" si="718"/>
        <v>0</v>
      </c>
      <c r="K2512" s="739">
        <f t="shared" si="719"/>
        <v>0</v>
      </c>
      <c r="L2512" s="1079"/>
      <c r="M2512" s="752"/>
      <c r="N2512" s="744">
        <f t="shared" si="721"/>
        <v>0</v>
      </c>
      <c r="O2512" s="745">
        <v>0</v>
      </c>
      <c r="P2512" s="737">
        <v>0</v>
      </c>
      <c r="Q2512" s="752"/>
      <c r="R2512" s="752"/>
      <c r="S2512" s="752"/>
    </row>
    <row r="2513" spans="1:19" s="753" customFormat="1" ht="24" customHeight="1">
      <c r="A2513" s="734"/>
      <c r="B2513" s="747" t="s">
        <v>469</v>
      </c>
      <c r="C2513" s="735" t="s">
        <v>480</v>
      </c>
      <c r="D2513" s="735"/>
      <c r="E2513" s="737">
        <f t="shared" si="720"/>
        <v>10</v>
      </c>
      <c r="F2513" s="738" t="s">
        <v>363</v>
      </c>
      <c r="G2513" s="739">
        <v>9375</v>
      </c>
      <c r="H2513" s="748">
        <f t="shared" si="717"/>
        <v>93750</v>
      </c>
      <c r="I2513" s="741">
        <v>450</v>
      </c>
      <c r="J2513" s="749">
        <f t="shared" si="718"/>
        <v>4500</v>
      </c>
      <c r="K2513" s="739">
        <f t="shared" si="719"/>
        <v>98250</v>
      </c>
      <c r="L2513" s="1079"/>
      <c r="M2513" s="752"/>
      <c r="N2513" s="744">
        <f t="shared" si="721"/>
        <v>10</v>
      </c>
      <c r="O2513" s="745">
        <v>0</v>
      </c>
      <c r="P2513" s="737">
        <v>10</v>
      </c>
      <c r="Q2513" s="752"/>
      <c r="R2513" s="752"/>
      <c r="S2513" s="752"/>
    </row>
    <row r="2514" spans="1:19" s="753" customFormat="1" ht="24" customHeight="1">
      <c r="A2514" s="734"/>
      <c r="B2514" s="747" t="s">
        <v>469</v>
      </c>
      <c r="C2514" s="735" t="s">
        <v>500</v>
      </c>
      <c r="D2514" s="735"/>
      <c r="E2514" s="737">
        <f t="shared" si="720"/>
        <v>10</v>
      </c>
      <c r="F2514" s="738" t="s">
        <v>363</v>
      </c>
      <c r="G2514" s="739">
        <v>12752</v>
      </c>
      <c r="H2514" s="748">
        <f t="shared" si="717"/>
        <v>127520</v>
      </c>
      <c r="I2514" s="741">
        <v>0</v>
      </c>
      <c r="J2514" s="749">
        <f t="shared" si="718"/>
        <v>0</v>
      </c>
      <c r="K2514" s="739">
        <f t="shared" si="719"/>
        <v>127520</v>
      </c>
      <c r="L2514" s="1079"/>
      <c r="M2514" s="752"/>
      <c r="N2514" s="744">
        <f t="shared" si="721"/>
        <v>10</v>
      </c>
      <c r="O2514" s="745">
        <v>0</v>
      </c>
      <c r="P2514" s="737">
        <v>10</v>
      </c>
      <c r="Q2514" s="752"/>
      <c r="R2514" s="752"/>
      <c r="S2514" s="752"/>
    </row>
    <row r="2515" spans="1:19" s="753" customFormat="1" ht="24" customHeight="1">
      <c r="A2515" s="734"/>
      <c r="B2515" s="747" t="s">
        <v>469</v>
      </c>
      <c r="C2515" s="735" t="s">
        <v>501</v>
      </c>
      <c r="D2515" s="735"/>
      <c r="E2515" s="737">
        <v>0</v>
      </c>
      <c r="F2515" s="738" t="s">
        <v>363</v>
      </c>
      <c r="G2515" s="739">
        <v>1950</v>
      </c>
      <c r="H2515" s="748">
        <f t="shared" si="717"/>
        <v>0</v>
      </c>
      <c r="I2515" s="741">
        <v>35</v>
      </c>
      <c r="J2515" s="749">
        <f t="shared" si="718"/>
        <v>0</v>
      </c>
      <c r="K2515" s="739">
        <f t="shared" si="719"/>
        <v>0</v>
      </c>
      <c r="L2515" s="1079"/>
      <c r="M2515" s="752"/>
      <c r="N2515" s="744">
        <f t="shared" si="721"/>
        <v>10</v>
      </c>
      <c r="O2515" s="745">
        <v>0</v>
      </c>
      <c r="P2515" s="737">
        <v>10</v>
      </c>
      <c r="Q2515" s="752"/>
      <c r="R2515" s="752"/>
      <c r="S2515" s="752"/>
    </row>
    <row r="2516" spans="1:19" s="753" customFormat="1" ht="24" customHeight="1">
      <c r="A2516" s="734"/>
      <c r="B2516" s="747" t="s">
        <v>469</v>
      </c>
      <c r="C2516" s="735" t="s">
        <v>502</v>
      </c>
      <c r="D2516" s="735"/>
      <c r="E2516" s="737">
        <f t="shared" si="720"/>
        <v>10</v>
      </c>
      <c r="F2516" s="738" t="s">
        <v>363</v>
      </c>
      <c r="G2516" s="739">
        <v>216</v>
      </c>
      <c r="H2516" s="748">
        <f t="shared" si="717"/>
        <v>2160</v>
      </c>
      <c r="I2516" s="741">
        <v>35</v>
      </c>
      <c r="J2516" s="749">
        <f t="shared" si="718"/>
        <v>350</v>
      </c>
      <c r="K2516" s="739">
        <f t="shared" si="719"/>
        <v>2510</v>
      </c>
      <c r="L2516" s="1079"/>
      <c r="M2516" s="752"/>
      <c r="N2516" s="744">
        <f t="shared" si="721"/>
        <v>10</v>
      </c>
      <c r="O2516" s="745">
        <v>0</v>
      </c>
      <c r="P2516" s="737">
        <v>10</v>
      </c>
      <c r="Q2516" s="752"/>
      <c r="R2516" s="752"/>
      <c r="S2516" s="752"/>
    </row>
    <row r="2517" spans="1:19" s="753" customFormat="1" ht="24" customHeight="1">
      <c r="A2517" s="734"/>
      <c r="B2517" s="747"/>
      <c r="C2517" s="735"/>
      <c r="D2517" s="735"/>
      <c r="E2517" s="737">
        <f t="shared" si="720"/>
        <v>0</v>
      </c>
      <c r="F2517" s="738"/>
      <c r="G2517" s="739"/>
      <c r="H2517" s="748">
        <f t="shared" si="717"/>
        <v>0</v>
      </c>
      <c r="I2517" s="741"/>
      <c r="J2517" s="749">
        <f t="shared" si="718"/>
        <v>0</v>
      </c>
      <c r="K2517" s="739">
        <f t="shared" si="719"/>
        <v>0</v>
      </c>
      <c r="L2517" s="1079"/>
      <c r="M2517" s="752"/>
      <c r="N2517" s="744">
        <f t="shared" si="721"/>
        <v>0</v>
      </c>
      <c r="O2517" s="745">
        <v>0</v>
      </c>
      <c r="P2517" s="737">
        <v>0</v>
      </c>
      <c r="Q2517" s="752"/>
      <c r="R2517" s="752"/>
      <c r="S2517" s="752"/>
    </row>
    <row r="2518" spans="1:19" s="753" customFormat="1" ht="24" customHeight="1">
      <c r="A2518" s="734"/>
      <c r="B2518" s="747" t="s">
        <v>484</v>
      </c>
      <c r="C2518" s="735" t="s">
        <v>485</v>
      </c>
      <c r="D2518" s="735"/>
      <c r="E2518" s="737">
        <f t="shared" si="720"/>
        <v>11</v>
      </c>
      <c r="F2518" s="738" t="s">
        <v>363</v>
      </c>
      <c r="G2518" s="739">
        <v>285</v>
      </c>
      <c r="H2518" s="748">
        <f t="shared" si="717"/>
        <v>3135</v>
      </c>
      <c r="I2518" s="741">
        <v>75</v>
      </c>
      <c r="J2518" s="749">
        <f t="shared" si="718"/>
        <v>825</v>
      </c>
      <c r="K2518" s="739">
        <f t="shared" si="719"/>
        <v>3960</v>
      </c>
      <c r="L2518" s="1093"/>
      <c r="M2518" s="752"/>
      <c r="N2518" s="744">
        <f t="shared" si="721"/>
        <v>11</v>
      </c>
      <c r="O2518" s="745">
        <v>0</v>
      </c>
      <c r="P2518" s="737">
        <v>11</v>
      </c>
      <c r="Q2518" s="752"/>
      <c r="R2518" s="752"/>
      <c r="S2518" s="752"/>
    </row>
    <row r="2519" spans="1:19" s="753" customFormat="1" ht="24" customHeight="1">
      <c r="A2519" s="734"/>
      <c r="B2519" s="747" t="s">
        <v>469</v>
      </c>
      <c r="C2519" s="735" t="s">
        <v>486</v>
      </c>
      <c r="D2519" s="735"/>
      <c r="E2519" s="737">
        <f t="shared" si="720"/>
        <v>1</v>
      </c>
      <c r="F2519" s="738" t="s">
        <v>363</v>
      </c>
      <c r="G2519" s="739">
        <v>552</v>
      </c>
      <c r="H2519" s="748">
        <f t="shared" si="717"/>
        <v>552</v>
      </c>
      <c r="I2519" s="741">
        <v>25</v>
      </c>
      <c r="J2519" s="749">
        <f t="shared" si="718"/>
        <v>25</v>
      </c>
      <c r="K2519" s="739">
        <f t="shared" si="719"/>
        <v>577</v>
      </c>
      <c r="L2519" s="1079"/>
      <c r="M2519" s="752"/>
      <c r="N2519" s="744">
        <f t="shared" si="721"/>
        <v>1</v>
      </c>
      <c r="O2519" s="745">
        <v>0</v>
      </c>
      <c r="P2519" s="737">
        <v>1</v>
      </c>
      <c r="Q2519" s="752"/>
      <c r="R2519" s="752"/>
      <c r="S2519" s="752"/>
    </row>
    <row r="2520" spans="1:19" s="753" customFormat="1" ht="24" customHeight="1">
      <c r="A2520" s="734"/>
      <c r="B2520" s="747" t="s">
        <v>469</v>
      </c>
      <c r="C2520" s="735" t="s">
        <v>507</v>
      </c>
      <c r="D2520" s="735"/>
      <c r="E2520" s="737">
        <f t="shared" si="720"/>
        <v>2</v>
      </c>
      <c r="F2520" s="738" t="s">
        <v>363</v>
      </c>
      <c r="G2520" s="739">
        <v>1650</v>
      </c>
      <c r="H2520" s="748">
        <f t="shared" si="717"/>
        <v>3300</v>
      </c>
      <c r="I2520" s="741">
        <v>70</v>
      </c>
      <c r="J2520" s="749">
        <f t="shared" si="718"/>
        <v>140</v>
      </c>
      <c r="K2520" s="739">
        <f t="shared" si="719"/>
        <v>3440</v>
      </c>
      <c r="L2520" s="1079"/>
      <c r="M2520" s="752"/>
      <c r="N2520" s="744">
        <f t="shared" si="721"/>
        <v>2</v>
      </c>
      <c r="O2520" s="745">
        <v>0</v>
      </c>
      <c r="P2520" s="737">
        <v>2</v>
      </c>
      <c r="Q2520" s="752"/>
      <c r="R2520" s="752"/>
      <c r="S2520" s="752"/>
    </row>
    <row r="2521" spans="1:19" s="753" customFormat="1" ht="24" customHeight="1">
      <c r="A2521" s="734"/>
      <c r="B2521" s="747" t="s">
        <v>469</v>
      </c>
      <c r="C2521" s="735" t="s">
        <v>508</v>
      </c>
      <c r="D2521" s="735"/>
      <c r="E2521" s="737">
        <f t="shared" si="720"/>
        <v>10</v>
      </c>
      <c r="F2521" s="738" t="s">
        <v>363</v>
      </c>
      <c r="G2521" s="739">
        <v>13500</v>
      </c>
      <c r="H2521" s="748">
        <f t="shared" si="717"/>
        <v>135000</v>
      </c>
      <c r="I2521" s="741">
        <v>750</v>
      </c>
      <c r="J2521" s="749">
        <f t="shared" si="718"/>
        <v>7500</v>
      </c>
      <c r="K2521" s="739">
        <f t="shared" si="719"/>
        <v>142500</v>
      </c>
      <c r="L2521" s="1079"/>
      <c r="M2521" s="752"/>
      <c r="N2521" s="744">
        <f t="shared" si="721"/>
        <v>10</v>
      </c>
      <c r="O2521" s="745">
        <v>0</v>
      </c>
      <c r="P2521" s="737">
        <v>10</v>
      </c>
      <c r="Q2521" s="752"/>
      <c r="R2521" s="752"/>
      <c r="S2521" s="752"/>
    </row>
    <row r="2522" spans="1:19" s="682" customFormat="1" ht="24" customHeight="1">
      <c r="A2522" s="734"/>
      <c r="B2522" s="747" t="s">
        <v>469</v>
      </c>
      <c r="C2522" s="735" t="s">
        <v>509</v>
      </c>
      <c r="D2522" s="735"/>
      <c r="E2522" s="737">
        <f t="shared" si="720"/>
        <v>1</v>
      </c>
      <c r="F2522" s="738" t="s">
        <v>363</v>
      </c>
      <c r="G2522" s="739">
        <v>14476</v>
      </c>
      <c r="H2522" s="748">
        <f t="shared" si="717"/>
        <v>14476</v>
      </c>
      <c r="I2522" s="741">
        <v>5367</v>
      </c>
      <c r="J2522" s="749">
        <f t="shared" si="718"/>
        <v>5367</v>
      </c>
      <c r="K2522" s="739">
        <f t="shared" si="719"/>
        <v>19843</v>
      </c>
      <c r="L2522" s="1079"/>
      <c r="M2522" s="679"/>
      <c r="N2522" s="744">
        <f t="shared" si="721"/>
        <v>1</v>
      </c>
      <c r="O2522" s="745">
        <v>0</v>
      </c>
      <c r="P2522" s="737">
        <v>1</v>
      </c>
      <c r="Q2522" s="679"/>
      <c r="R2522" s="679"/>
      <c r="S2522" s="679"/>
    </row>
    <row r="2523" spans="1:19" s="753" customFormat="1" ht="24" customHeight="1">
      <c r="A2523" s="734"/>
      <c r="B2523" s="747"/>
      <c r="C2523" s="735"/>
      <c r="D2523" s="907"/>
      <c r="E2523" s="737">
        <f t="shared" si="720"/>
        <v>0</v>
      </c>
      <c r="F2523" s="738"/>
      <c r="G2523" s="739">
        <v>0</v>
      </c>
      <c r="H2523" s="748">
        <f t="shared" si="717"/>
        <v>0</v>
      </c>
      <c r="I2523" s="741">
        <v>0</v>
      </c>
      <c r="J2523" s="749">
        <f t="shared" si="718"/>
        <v>0</v>
      </c>
      <c r="K2523" s="739">
        <f t="shared" si="719"/>
        <v>0</v>
      </c>
      <c r="L2523" s="1079"/>
      <c r="M2523" s="752"/>
      <c r="N2523" s="744">
        <f t="shared" si="721"/>
        <v>0</v>
      </c>
      <c r="O2523" s="745">
        <v>0</v>
      </c>
      <c r="P2523" s="737">
        <v>0</v>
      </c>
      <c r="Q2523" s="752"/>
      <c r="R2523" s="752"/>
      <c r="S2523" s="752"/>
    </row>
    <row r="2524" spans="1:19" s="753" customFormat="1" ht="24" customHeight="1">
      <c r="A2524" s="734"/>
      <c r="B2524" s="747" t="s">
        <v>469</v>
      </c>
      <c r="C2524" s="735" t="s">
        <v>510</v>
      </c>
      <c r="D2524" s="735"/>
      <c r="E2524" s="737">
        <f t="shared" si="720"/>
        <v>5.2</v>
      </c>
      <c r="F2524" s="738" t="s">
        <v>361</v>
      </c>
      <c r="G2524" s="739">
        <v>2694</v>
      </c>
      <c r="H2524" s="748">
        <f t="shared" si="717"/>
        <v>14008.800000000001</v>
      </c>
      <c r="I2524" s="741">
        <v>1288</v>
      </c>
      <c r="J2524" s="749">
        <f t="shared" si="718"/>
        <v>6697.6</v>
      </c>
      <c r="K2524" s="739">
        <f t="shared" si="719"/>
        <v>20706.400000000001</v>
      </c>
      <c r="L2524" s="1079"/>
      <c r="M2524" s="752"/>
      <c r="N2524" s="744">
        <f t="shared" si="721"/>
        <v>5.2</v>
      </c>
      <c r="O2524" s="745">
        <v>0</v>
      </c>
      <c r="P2524" s="737">
        <v>5.2</v>
      </c>
      <c r="Q2524" s="752"/>
      <c r="R2524" s="752"/>
      <c r="S2524" s="752"/>
    </row>
    <row r="2525" spans="1:19" s="753" customFormat="1" ht="24" customHeight="1">
      <c r="A2525" s="734"/>
      <c r="B2525" s="747"/>
      <c r="C2525" s="735" t="s">
        <v>511</v>
      </c>
      <c r="D2525" s="735"/>
      <c r="E2525" s="737">
        <f t="shared" si="720"/>
        <v>0</v>
      </c>
      <c r="F2525" s="738"/>
      <c r="G2525" s="739"/>
      <c r="H2525" s="748">
        <f t="shared" si="717"/>
        <v>0</v>
      </c>
      <c r="I2525" s="741"/>
      <c r="J2525" s="749">
        <f t="shared" si="718"/>
        <v>0</v>
      </c>
      <c r="K2525" s="739">
        <f t="shared" si="719"/>
        <v>0</v>
      </c>
      <c r="L2525" s="1079"/>
      <c r="M2525" s="752"/>
      <c r="N2525" s="744">
        <f t="shared" si="721"/>
        <v>0</v>
      </c>
      <c r="O2525" s="745">
        <v>0</v>
      </c>
      <c r="P2525" s="737">
        <v>0</v>
      </c>
      <c r="Q2525" s="752"/>
      <c r="R2525" s="752"/>
      <c r="S2525" s="752"/>
    </row>
    <row r="2526" spans="1:19" s="753" customFormat="1" ht="24" customHeight="1">
      <c r="A2526" s="734"/>
      <c r="B2526" s="747" t="s">
        <v>469</v>
      </c>
      <c r="C2526" s="735" t="s">
        <v>512</v>
      </c>
      <c r="D2526" s="735"/>
      <c r="E2526" s="737">
        <f t="shared" si="720"/>
        <v>5.2</v>
      </c>
      <c r="F2526" s="738" t="s">
        <v>361</v>
      </c>
      <c r="G2526" s="739">
        <v>3886</v>
      </c>
      <c r="H2526" s="748">
        <f t="shared" si="717"/>
        <v>20207.2</v>
      </c>
      <c r="I2526" s="741">
        <v>1238</v>
      </c>
      <c r="J2526" s="749">
        <f t="shared" si="718"/>
        <v>6437.6</v>
      </c>
      <c r="K2526" s="739">
        <f t="shared" si="719"/>
        <v>26644.800000000003</v>
      </c>
      <c r="L2526" s="1079"/>
      <c r="M2526" s="752"/>
      <c r="N2526" s="744">
        <f t="shared" si="721"/>
        <v>5.2</v>
      </c>
      <c r="O2526" s="745">
        <v>0</v>
      </c>
      <c r="P2526" s="737">
        <v>5.2</v>
      </c>
      <c r="Q2526" s="752"/>
      <c r="R2526" s="752"/>
      <c r="S2526" s="752"/>
    </row>
    <row r="2527" spans="1:19" s="753" customFormat="1" ht="24" customHeight="1">
      <c r="A2527" s="734"/>
      <c r="B2527" s="747"/>
      <c r="C2527" s="735" t="s">
        <v>513</v>
      </c>
      <c r="D2527" s="735"/>
      <c r="E2527" s="737">
        <f t="shared" si="720"/>
        <v>0</v>
      </c>
      <c r="F2527" s="738"/>
      <c r="G2527" s="739">
        <v>0</v>
      </c>
      <c r="H2527" s="748">
        <f t="shared" si="717"/>
        <v>0</v>
      </c>
      <c r="I2527" s="741">
        <v>0</v>
      </c>
      <c r="J2527" s="749">
        <f t="shared" si="718"/>
        <v>0</v>
      </c>
      <c r="K2527" s="739">
        <f t="shared" si="719"/>
        <v>0</v>
      </c>
      <c r="L2527" s="1079"/>
      <c r="M2527" s="752"/>
      <c r="N2527" s="744">
        <f t="shared" si="721"/>
        <v>0</v>
      </c>
      <c r="O2527" s="745">
        <v>0</v>
      </c>
      <c r="P2527" s="737">
        <v>0</v>
      </c>
      <c r="Q2527" s="752"/>
      <c r="R2527" s="752"/>
      <c r="S2527" s="752"/>
    </row>
    <row r="2528" spans="1:19" s="753" customFormat="1" ht="24" customHeight="1">
      <c r="A2528" s="734"/>
      <c r="B2528" s="747" t="s">
        <v>469</v>
      </c>
      <c r="C2528" s="735" t="s">
        <v>521</v>
      </c>
      <c r="D2528" s="735"/>
      <c r="E2528" s="737">
        <f t="shared" si="720"/>
        <v>5.2</v>
      </c>
      <c r="F2528" s="738" t="s">
        <v>361</v>
      </c>
      <c r="G2528" s="739">
        <v>1522</v>
      </c>
      <c r="H2528" s="748">
        <f t="shared" si="717"/>
        <v>7914.4000000000005</v>
      </c>
      <c r="I2528" s="741">
        <v>315</v>
      </c>
      <c r="J2528" s="749">
        <f t="shared" si="718"/>
        <v>1638</v>
      </c>
      <c r="K2528" s="739">
        <f t="shared" si="719"/>
        <v>9552.4000000000015</v>
      </c>
      <c r="L2528" s="1079"/>
      <c r="M2528" s="752"/>
      <c r="N2528" s="744">
        <f t="shared" si="721"/>
        <v>5.2</v>
      </c>
      <c r="O2528" s="745">
        <v>0</v>
      </c>
      <c r="P2528" s="737">
        <v>5.2</v>
      </c>
      <c r="Q2528" s="752"/>
      <c r="R2528" s="752"/>
      <c r="S2528" s="752"/>
    </row>
    <row r="2529" spans="1:19" s="753" customFormat="1" ht="24" customHeight="1">
      <c r="A2529" s="734"/>
      <c r="B2529" s="747"/>
      <c r="C2529" s="735"/>
      <c r="D2529" s="735"/>
      <c r="E2529" s="737">
        <f t="shared" si="720"/>
        <v>0</v>
      </c>
      <c r="F2529" s="738"/>
      <c r="G2529" s="739">
        <v>0</v>
      </c>
      <c r="H2529" s="748">
        <f t="shared" si="717"/>
        <v>0</v>
      </c>
      <c r="I2529" s="741">
        <v>0</v>
      </c>
      <c r="J2529" s="749">
        <f t="shared" si="718"/>
        <v>0</v>
      </c>
      <c r="K2529" s="739">
        <f t="shared" si="719"/>
        <v>0</v>
      </c>
      <c r="L2529" s="1079"/>
      <c r="M2529" s="752"/>
      <c r="N2529" s="744">
        <f t="shared" si="721"/>
        <v>0</v>
      </c>
      <c r="O2529" s="745">
        <v>0</v>
      </c>
      <c r="P2529" s="737">
        <v>0</v>
      </c>
      <c r="Q2529" s="752"/>
      <c r="R2529" s="752"/>
      <c r="S2529" s="752"/>
    </row>
    <row r="2530" spans="1:19" s="682" customFormat="1" ht="24" customHeight="1">
      <c r="A2530" s="734"/>
      <c r="B2530" s="747" t="s">
        <v>469</v>
      </c>
      <c r="C2530" s="735" t="s">
        <v>515</v>
      </c>
      <c r="D2530" s="735"/>
      <c r="E2530" s="737">
        <f t="shared" si="720"/>
        <v>0</v>
      </c>
      <c r="F2530" s="738" t="s">
        <v>363</v>
      </c>
      <c r="G2530" s="739">
        <v>5013</v>
      </c>
      <c r="H2530" s="748">
        <f t="shared" si="717"/>
        <v>0</v>
      </c>
      <c r="I2530" s="741">
        <v>2403</v>
      </c>
      <c r="J2530" s="749">
        <f t="shared" si="718"/>
        <v>0</v>
      </c>
      <c r="K2530" s="739">
        <f t="shared" si="719"/>
        <v>0</v>
      </c>
      <c r="L2530" s="1079"/>
      <c r="M2530" s="679"/>
      <c r="N2530" s="744">
        <f t="shared" si="721"/>
        <v>0</v>
      </c>
      <c r="O2530" s="745">
        <v>0</v>
      </c>
      <c r="P2530" s="737">
        <v>0</v>
      </c>
      <c r="Q2530" s="679"/>
      <c r="R2530" s="679"/>
      <c r="S2530" s="679"/>
    </row>
    <row r="2531" spans="1:19" s="682" customFormat="1" ht="24" customHeight="1">
      <c r="A2531" s="734"/>
      <c r="B2531" s="747"/>
      <c r="C2531" s="735" t="s">
        <v>516</v>
      </c>
      <c r="D2531" s="735"/>
      <c r="E2531" s="737">
        <f t="shared" si="720"/>
        <v>0</v>
      </c>
      <c r="F2531" s="738"/>
      <c r="G2531" s="739"/>
      <c r="H2531" s="748">
        <f t="shared" si="717"/>
        <v>0</v>
      </c>
      <c r="I2531" s="741"/>
      <c r="J2531" s="749">
        <f t="shared" si="718"/>
        <v>0</v>
      </c>
      <c r="K2531" s="739">
        <f t="shared" si="719"/>
        <v>0</v>
      </c>
      <c r="L2531" s="1079"/>
      <c r="M2531" s="679"/>
      <c r="N2531" s="744">
        <f t="shared" si="721"/>
        <v>0</v>
      </c>
      <c r="O2531" s="745">
        <v>0</v>
      </c>
      <c r="P2531" s="737">
        <v>0</v>
      </c>
      <c r="Q2531" s="679"/>
      <c r="R2531" s="679"/>
      <c r="S2531" s="679"/>
    </row>
    <row r="2532" spans="1:19" s="682" customFormat="1" ht="24" customHeight="1">
      <c r="A2532" s="734"/>
      <c r="B2532" s="747"/>
      <c r="C2532" s="735"/>
      <c r="D2532" s="735"/>
      <c r="E2532" s="737">
        <f t="shared" si="720"/>
        <v>0</v>
      </c>
      <c r="F2532" s="738"/>
      <c r="G2532" s="739"/>
      <c r="H2532" s="748">
        <f t="shared" si="717"/>
        <v>0</v>
      </c>
      <c r="I2532" s="741"/>
      <c r="J2532" s="749">
        <f t="shared" si="718"/>
        <v>0</v>
      </c>
      <c r="K2532" s="739">
        <f t="shared" si="719"/>
        <v>0</v>
      </c>
      <c r="L2532" s="1079"/>
      <c r="M2532" s="679"/>
      <c r="N2532" s="744">
        <f t="shared" si="721"/>
        <v>0</v>
      </c>
      <c r="O2532" s="745">
        <v>0</v>
      </c>
      <c r="P2532" s="737">
        <v>0</v>
      </c>
      <c r="Q2532" s="679"/>
      <c r="R2532" s="679"/>
      <c r="S2532" s="679"/>
    </row>
    <row r="2533" spans="1:19" s="756" customFormat="1" ht="24" customHeight="1">
      <c r="A2533" s="734"/>
      <c r="B2533" s="747" t="s">
        <v>469</v>
      </c>
      <c r="C2533" s="735" t="s">
        <v>517</v>
      </c>
      <c r="D2533" s="907"/>
      <c r="E2533" s="737">
        <f t="shared" si="720"/>
        <v>0</v>
      </c>
      <c r="F2533" s="738" t="s">
        <v>361</v>
      </c>
      <c r="G2533" s="739">
        <v>5075.5555555555557</v>
      </c>
      <c r="H2533" s="748">
        <f t="shared" si="717"/>
        <v>0</v>
      </c>
      <c r="I2533" s="741">
        <v>2545.7777777777778</v>
      </c>
      <c r="J2533" s="749">
        <f t="shared" si="718"/>
        <v>0</v>
      </c>
      <c r="K2533" s="739">
        <f t="shared" si="719"/>
        <v>0</v>
      </c>
      <c r="L2533" s="1079"/>
      <c r="M2533" s="755"/>
      <c r="N2533" s="744">
        <f t="shared" si="721"/>
        <v>0</v>
      </c>
      <c r="O2533" s="745">
        <v>0</v>
      </c>
      <c r="P2533" s="737">
        <v>0</v>
      </c>
      <c r="Q2533" s="755"/>
      <c r="R2533" s="755"/>
      <c r="S2533" s="755"/>
    </row>
    <row r="2534" spans="1:19" s="756" customFormat="1" ht="24" customHeight="1">
      <c r="A2534" s="734"/>
      <c r="B2534" s="747"/>
      <c r="C2534" s="735" t="s">
        <v>488</v>
      </c>
      <c r="D2534" s="907"/>
      <c r="E2534" s="737">
        <f t="shared" si="720"/>
        <v>0</v>
      </c>
      <c r="F2534" s="738"/>
      <c r="G2534" s="739">
        <v>0</v>
      </c>
      <c r="H2534" s="748">
        <f t="shared" si="717"/>
        <v>0</v>
      </c>
      <c r="I2534" s="741">
        <v>0</v>
      </c>
      <c r="J2534" s="749">
        <f t="shared" si="718"/>
        <v>0</v>
      </c>
      <c r="K2534" s="739">
        <f t="shared" si="719"/>
        <v>0</v>
      </c>
      <c r="L2534" s="1079"/>
      <c r="M2534" s="755"/>
      <c r="N2534" s="744">
        <f t="shared" si="721"/>
        <v>0</v>
      </c>
      <c r="O2534" s="745">
        <v>0</v>
      </c>
      <c r="P2534" s="737">
        <v>0</v>
      </c>
      <c r="Q2534" s="755"/>
      <c r="R2534" s="755"/>
      <c r="S2534" s="755"/>
    </row>
    <row r="2535" spans="1:19" s="753" customFormat="1" ht="24" customHeight="1">
      <c r="A2535" s="734"/>
      <c r="B2535" s="747" t="s">
        <v>469</v>
      </c>
      <c r="C2535" s="735" t="s">
        <v>518</v>
      </c>
      <c r="D2535" s="735"/>
      <c r="E2535" s="737">
        <f t="shared" si="720"/>
        <v>0</v>
      </c>
      <c r="F2535" s="738" t="s">
        <v>361</v>
      </c>
      <c r="G2535" s="739">
        <v>3886</v>
      </c>
      <c r="H2535" s="748">
        <f t="shared" si="717"/>
        <v>0</v>
      </c>
      <c r="I2535" s="741">
        <v>1238</v>
      </c>
      <c r="J2535" s="749">
        <f t="shared" si="718"/>
        <v>0</v>
      </c>
      <c r="K2535" s="739">
        <f t="shared" si="719"/>
        <v>0</v>
      </c>
      <c r="L2535" s="1079"/>
      <c r="M2535" s="752"/>
      <c r="N2535" s="744">
        <f t="shared" si="721"/>
        <v>0</v>
      </c>
      <c r="O2535" s="745">
        <v>0</v>
      </c>
      <c r="P2535" s="737">
        <v>0</v>
      </c>
      <c r="Q2535" s="752"/>
      <c r="R2535" s="752"/>
      <c r="S2535" s="752"/>
    </row>
    <row r="2536" spans="1:19" s="753" customFormat="1" ht="24" customHeight="1">
      <c r="A2536" s="734"/>
      <c r="B2536" s="747"/>
      <c r="C2536" s="735" t="s">
        <v>513</v>
      </c>
      <c r="D2536" s="735"/>
      <c r="E2536" s="737">
        <f t="shared" si="720"/>
        <v>0</v>
      </c>
      <c r="F2536" s="738"/>
      <c r="G2536" s="739">
        <v>0</v>
      </c>
      <c r="H2536" s="748">
        <f t="shared" si="717"/>
        <v>0</v>
      </c>
      <c r="I2536" s="741">
        <v>0</v>
      </c>
      <c r="J2536" s="749">
        <f t="shared" si="718"/>
        <v>0</v>
      </c>
      <c r="K2536" s="739">
        <f t="shared" si="719"/>
        <v>0</v>
      </c>
      <c r="L2536" s="1079"/>
      <c r="M2536" s="752"/>
      <c r="N2536" s="744">
        <f t="shared" si="721"/>
        <v>0</v>
      </c>
      <c r="O2536" s="745">
        <v>0</v>
      </c>
      <c r="P2536" s="737">
        <v>0</v>
      </c>
      <c r="Q2536" s="752"/>
      <c r="R2536" s="752"/>
      <c r="S2536" s="752"/>
    </row>
    <row r="2537" spans="1:19" s="682" customFormat="1" ht="24" customHeight="1">
      <c r="A2537" s="734"/>
      <c r="B2537" s="747"/>
      <c r="C2537" s="735"/>
      <c r="D2537" s="735"/>
      <c r="E2537" s="737">
        <f t="shared" si="720"/>
        <v>0</v>
      </c>
      <c r="F2537" s="738"/>
      <c r="G2537" s="739"/>
      <c r="H2537" s="748">
        <f t="shared" si="717"/>
        <v>0</v>
      </c>
      <c r="I2537" s="741"/>
      <c r="J2537" s="749">
        <f t="shared" si="718"/>
        <v>0</v>
      </c>
      <c r="K2537" s="739">
        <f t="shared" si="719"/>
        <v>0</v>
      </c>
      <c r="L2537" s="1079"/>
      <c r="M2537" s="679"/>
      <c r="N2537" s="744">
        <f t="shared" si="721"/>
        <v>0</v>
      </c>
      <c r="O2537" s="745">
        <v>0</v>
      </c>
      <c r="P2537" s="737">
        <v>0</v>
      </c>
      <c r="Q2537" s="679"/>
      <c r="R2537" s="679"/>
      <c r="S2537" s="679"/>
    </row>
    <row r="2538" spans="1:19" s="682" customFormat="1" ht="24" customHeight="1">
      <c r="A2538" s="734"/>
      <c r="B2538" s="747" t="s">
        <v>469</v>
      </c>
      <c r="C2538" s="735" t="s">
        <v>519</v>
      </c>
      <c r="D2538" s="735"/>
      <c r="E2538" s="737">
        <f t="shared" si="720"/>
        <v>1</v>
      </c>
      <c r="F2538" s="738" t="s">
        <v>363</v>
      </c>
      <c r="G2538" s="739">
        <v>800</v>
      </c>
      <c r="H2538" s="748">
        <f t="shared" si="717"/>
        <v>800</v>
      </c>
      <c r="I2538" s="741">
        <v>70</v>
      </c>
      <c r="J2538" s="749">
        <f t="shared" si="718"/>
        <v>70</v>
      </c>
      <c r="K2538" s="739">
        <f t="shared" si="719"/>
        <v>870</v>
      </c>
      <c r="L2538" s="1079"/>
      <c r="M2538" s="679"/>
      <c r="N2538" s="744">
        <f t="shared" si="721"/>
        <v>1</v>
      </c>
      <c r="O2538" s="745">
        <v>0</v>
      </c>
      <c r="P2538" s="737">
        <v>1</v>
      </c>
      <c r="Q2538" s="679"/>
      <c r="R2538" s="679"/>
      <c r="S2538" s="679"/>
    </row>
    <row r="2539" spans="1:19" s="682" customFormat="1" ht="24" customHeight="1">
      <c r="A2539" s="734"/>
      <c r="B2539" s="747" t="s">
        <v>469</v>
      </c>
      <c r="C2539" s="735" t="s">
        <v>520</v>
      </c>
      <c r="D2539" s="735"/>
      <c r="E2539" s="737">
        <f t="shared" si="720"/>
        <v>0</v>
      </c>
      <c r="F2539" s="738" t="s">
        <v>361</v>
      </c>
      <c r="G2539" s="739">
        <v>190</v>
      </c>
      <c r="H2539" s="748">
        <f t="shared" si="717"/>
        <v>0</v>
      </c>
      <c r="I2539" s="741">
        <v>75</v>
      </c>
      <c r="J2539" s="749">
        <f t="shared" si="718"/>
        <v>0</v>
      </c>
      <c r="K2539" s="739">
        <f t="shared" si="719"/>
        <v>0</v>
      </c>
      <c r="L2539" s="1079"/>
      <c r="M2539" s="679"/>
      <c r="N2539" s="744">
        <f t="shared" si="721"/>
        <v>0</v>
      </c>
      <c r="O2539" s="745">
        <v>0</v>
      </c>
      <c r="P2539" s="737">
        <v>0</v>
      </c>
      <c r="Q2539" s="679"/>
      <c r="R2539" s="679"/>
      <c r="S2539" s="679"/>
    </row>
    <row r="2540" spans="1:19" s="682" customFormat="1" ht="24" customHeight="1">
      <c r="A2540" s="734"/>
      <c r="B2540" s="747"/>
      <c r="C2540" s="735"/>
      <c r="D2540" s="735"/>
      <c r="E2540" s="737">
        <f t="shared" si="720"/>
        <v>0</v>
      </c>
      <c r="F2540" s="738"/>
      <c r="G2540" s="739"/>
      <c r="H2540" s="748">
        <f t="shared" si="717"/>
        <v>0</v>
      </c>
      <c r="I2540" s="741"/>
      <c r="J2540" s="749">
        <f t="shared" si="718"/>
        <v>0</v>
      </c>
      <c r="K2540" s="739">
        <f t="shared" si="719"/>
        <v>0</v>
      </c>
      <c r="L2540" s="1079"/>
      <c r="M2540" s="679"/>
      <c r="N2540" s="744">
        <f t="shared" si="721"/>
        <v>0</v>
      </c>
      <c r="O2540" s="745">
        <v>0</v>
      </c>
      <c r="P2540" s="737">
        <v>0</v>
      </c>
      <c r="Q2540" s="679"/>
      <c r="R2540" s="679"/>
      <c r="S2540" s="679"/>
    </row>
    <row r="2541" spans="1:19" s="753" customFormat="1" ht="24" customHeight="1">
      <c r="A2541" s="734"/>
      <c r="B2541" s="735" t="s">
        <v>1078</v>
      </c>
      <c r="C2541" s="735"/>
      <c r="D2541" s="735"/>
      <c r="E2541" s="737">
        <f t="shared" si="720"/>
        <v>0</v>
      </c>
      <c r="F2541" s="738"/>
      <c r="G2541" s="739">
        <v>0</v>
      </c>
      <c r="H2541" s="748">
        <f t="shared" si="717"/>
        <v>0</v>
      </c>
      <c r="I2541" s="741">
        <v>0</v>
      </c>
      <c r="J2541" s="749">
        <f t="shared" si="718"/>
        <v>0</v>
      </c>
      <c r="K2541" s="739">
        <f t="shared" si="719"/>
        <v>0</v>
      </c>
      <c r="L2541" s="1079"/>
      <c r="M2541" s="752"/>
      <c r="N2541" s="744">
        <f t="shared" si="721"/>
        <v>0</v>
      </c>
      <c r="O2541" s="745">
        <v>0</v>
      </c>
      <c r="P2541" s="737">
        <v>0</v>
      </c>
      <c r="Q2541" s="752"/>
      <c r="R2541" s="752"/>
      <c r="S2541" s="752"/>
    </row>
    <row r="2542" spans="1:19" s="753" customFormat="1" ht="24" customHeight="1">
      <c r="A2542" s="734"/>
      <c r="B2542" s="747" t="s">
        <v>469</v>
      </c>
      <c r="C2542" s="735" t="s">
        <v>522</v>
      </c>
      <c r="D2542" s="735"/>
      <c r="E2542" s="737">
        <f t="shared" si="720"/>
        <v>1</v>
      </c>
      <c r="F2542" s="738" t="s">
        <v>363</v>
      </c>
      <c r="G2542" s="739">
        <v>6832</v>
      </c>
      <c r="H2542" s="748">
        <f t="shared" si="717"/>
        <v>6832</v>
      </c>
      <c r="I2542" s="741">
        <v>450</v>
      </c>
      <c r="J2542" s="749">
        <f t="shared" si="718"/>
        <v>450</v>
      </c>
      <c r="K2542" s="739">
        <f t="shared" si="719"/>
        <v>7282</v>
      </c>
      <c r="L2542" s="1079"/>
      <c r="M2542" s="752"/>
      <c r="N2542" s="744">
        <f t="shared" si="721"/>
        <v>1</v>
      </c>
      <c r="O2542" s="745">
        <v>0</v>
      </c>
      <c r="P2542" s="737">
        <v>1</v>
      </c>
      <c r="Q2542" s="752"/>
      <c r="R2542" s="752"/>
      <c r="S2542" s="752"/>
    </row>
    <row r="2543" spans="1:19" s="753" customFormat="1" ht="24" customHeight="1">
      <c r="A2543" s="734"/>
      <c r="B2543" s="747" t="s">
        <v>469</v>
      </c>
      <c r="C2543" s="735" t="s">
        <v>498</v>
      </c>
      <c r="D2543" s="735"/>
      <c r="E2543" s="737">
        <f t="shared" si="720"/>
        <v>1</v>
      </c>
      <c r="F2543" s="738" t="s">
        <v>363</v>
      </c>
      <c r="G2543" s="739">
        <v>6640</v>
      </c>
      <c r="H2543" s="748">
        <f t="shared" si="717"/>
        <v>6640</v>
      </c>
      <c r="I2543" s="741">
        <v>200</v>
      </c>
      <c r="J2543" s="749">
        <f t="shared" si="718"/>
        <v>200</v>
      </c>
      <c r="K2543" s="739">
        <f t="shared" si="719"/>
        <v>6840</v>
      </c>
      <c r="L2543" s="1079"/>
      <c r="M2543" s="752"/>
      <c r="N2543" s="744">
        <f t="shared" si="721"/>
        <v>1</v>
      </c>
      <c r="O2543" s="745">
        <v>0</v>
      </c>
      <c r="P2543" s="737">
        <v>1</v>
      </c>
      <c r="Q2543" s="752"/>
      <c r="R2543" s="752"/>
      <c r="S2543" s="752"/>
    </row>
    <row r="2544" spans="1:19" s="753" customFormat="1" ht="24" customHeight="1">
      <c r="A2544" s="734"/>
      <c r="B2544" s="747" t="s">
        <v>469</v>
      </c>
      <c r="C2544" s="735" t="s">
        <v>476</v>
      </c>
      <c r="D2544" s="735"/>
      <c r="E2544" s="737">
        <f t="shared" si="720"/>
        <v>1</v>
      </c>
      <c r="F2544" s="738" t="s">
        <v>363</v>
      </c>
      <c r="G2544" s="739">
        <v>336</v>
      </c>
      <c r="H2544" s="748">
        <f t="shared" si="717"/>
        <v>336</v>
      </c>
      <c r="I2544" s="741">
        <v>0</v>
      </c>
      <c r="J2544" s="749">
        <f t="shared" si="718"/>
        <v>0</v>
      </c>
      <c r="K2544" s="739">
        <f t="shared" si="719"/>
        <v>336</v>
      </c>
      <c r="L2544" s="1079"/>
      <c r="M2544" s="752"/>
      <c r="N2544" s="744">
        <f t="shared" si="721"/>
        <v>1</v>
      </c>
      <c r="O2544" s="745">
        <v>0</v>
      </c>
      <c r="P2544" s="737">
        <v>1</v>
      </c>
      <c r="Q2544" s="752"/>
      <c r="R2544" s="752"/>
      <c r="S2544" s="752"/>
    </row>
    <row r="2545" spans="1:19" s="753" customFormat="1" ht="24" customHeight="1">
      <c r="A2545" s="734"/>
      <c r="B2545" s="747" t="s">
        <v>469</v>
      </c>
      <c r="C2545" s="735" t="s">
        <v>477</v>
      </c>
      <c r="D2545" s="735"/>
      <c r="E2545" s="737">
        <f t="shared" si="720"/>
        <v>1</v>
      </c>
      <c r="F2545" s="738" t="s">
        <v>363</v>
      </c>
      <c r="G2545" s="739">
        <v>736</v>
      </c>
      <c r="H2545" s="748">
        <f t="shared" si="717"/>
        <v>736</v>
      </c>
      <c r="I2545" s="741">
        <v>0</v>
      </c>
      <c r="J2545" s="749">
        <f t="shared" si="718"/>
        <v>0</v>
      </c>
      <c r="K2545" s="739">
        <f t="shared" si="719"/>
        <v>736</v>
      </c>
      <c r="L2545" s="1079"/>
      <c r="M2545" s="752"/>
      <c r="N2545" s="744">
        <f t="shared" si="721"/>
        <v>1</v>
      </c>
      <c r="O2545" s="745">
        <v>0</v>
      </c>
      <c r="P2545" s="737">
        <v>1</v>
      </c>
      <c r="Q2545" s="752"/>
      <c r="R2545" s="752"/>
      <c r="S2545" s="752"/>
    </row>
    <row r="2546" spans="1:19" s="753" customFormat="1" ht="24" customHeight="1">
      <c r="A2546" s="734"/>
      <c r="B2546" s="747" t="s">
        <v>469</v>
      </c>
      <c r="C2546" s="735" t="s">
        <v>478</v>
      </c>
      <c r="D2546" s="735"/>
      <c r="E2546" s="737">
        <f t="shared" si="720"/>
        <v>1</v>
      </c>
      <c r="F2546" s="738" t="s">
        <v>363</v>
      </c>
      <c r="G2546" s="739">
        <v>176</v>
      </c>
      <c r="H2546" s="748">
        <f t="shared" si="717"/>
        <v>176</v>
      </c>
      <c r="I2546" s="741">
        <v>0</v>
      </c>
      <c r="J2546" s="749">
        <f t="shared" si="718"/>
        <v>0</v>
      </c>
      <c r="K2546" s="739">
        <f t="shared" si="719"/>
        <v>176</v>
      </c>
      <c r="L2546" s="1079"/>
      <c r="M2546" s="752"/>
      <c r="N2546" s="744">
        <f t="shared" si="721"/>
        <v>1</v>
      </c>
      <c r="O2546" s="745">
        <v>0</v>
      </c>
      <c r="P2546" s="737">
        <v>1</v>
      </c>
      <c r="Q2546" s="752"/>
      <c r="R2546" s="752"/>
      <c r="S2546" s="752"/>
    </row>
    <row r="2547" spans="1:19" s="753" customFormat="1" ht="24" customHeight="1">
      <c r="A2547" s="734"/>
      <c r="B2547" s="747" t="s">
        <v>469</v>
      </c>
      <c r="C2547" s="735" t="s">
        <v>499</v>
      </c>
      <c r="D2547" s="735"/>
      <c r="E2547" s="737">
        <f t="shared" si="720"/>
        <v>1</v>
      </c>
      <c r="F2547" s="738" t="s">
        <v>363</v>
      </c>
      <c r="G2547" s="739">
        <v>216</v>
      </c>
      <c r="H2547" s="748">
        <f t="shared" si="717"/>
        <v>216</v>
      </c>
      <c r="I2547" s="741">
        <v>35</v>
      </c>
      <c r="J2547" s="749">
        <f t="shared" si="718"/>
        <v>35</v>
      </c>
      <c r="K2547" s="739">
        <f t="shared" si="719"/>
        <v>251</v>
      </c>
      <c r="L2547" s="1079"/>
      <c r="M2547" s="752"/>
      <c r="N2547" s="744">
        <f t="shared" si="721"/>
        <v>1</v>
      </c>
      <c r="O2547" s="745">
        <v>0</v>
      </c>
      <c r="P2547" s="737">
        <v>1</v>
      </c>
      <c r="Q2547" s="752"/>
      <c r="R2547" s="752"/>
      <c r="S2547" s="752"/>
    </row>
    <row r="2548" spans="1:19" s="753" customFormat="1" ht="24" customHeight="1">
      <c r="A2548" s="734"/>
      <c r="B2548" s="750"/>
      <c r="C2548" s="757"/>
      <c r="D2548" s="907"/>
      <c r="E2548" s="737">
        <f t="shared" si="720"/>
        <v>0</v>
      </c>
      <c r="F2548" s="738"/>
      <c r="G2548" s="739">
        <v>0</v>
      </c>
      <c r="H2548" s="748">
        <f t="shared" si="717"/>
        <v>0</v>
      </c>
      <c r="I2548" s="741">
        <v>0</v>
      </c>
      <c r="J2548" s="749">
        <f t="shared" si="718"/>
        <v>0</v>
      </c>
      <c r="K2548" s="739">
        <f t="shared" si="719"/>
        <v>0</v>
      </c>
      <c r="L2548" s="1079"/>
      <c r="M2548" s="752"/>
      <c r="N2548" s="744">
        <f t="shared" si="721"/>
        <v>0</v>
      </c>
      <c r="O2548" s="745">
        <v>0</v>
      </c>
      <c r="P2548" s="737">
        <v>0</v>
      </c>
      <c r="Q2548" s="752"/>
      <c r="R2548" s="752"/>
      <c r="S2548" s="752"/>
    </row>
    <row r="2549" spans="1:19" s="753" customFormat="1" ht="24" customHeight="1">
      <c r="A2549" s="734"/>
      <c r="B2549" s="747" t="s">
        <v>469</v>
      </c>
      <c r="C2549" s="735" t="s">
        <v>523</v>
      </c>
      <c r="D2549" s="735"/>
      <c r="E2549" s="737">
        <f t="shared" si="720"/>
        <v>1</v>
      </c>
      <c r="F2549" s="738" t="s">
        <v>363</v>
      </c>
      <c r="G2549" s="739">
        <v>6580</v>
      </c>
      <c r="H2549" s="748">
        <f t="shared" si="717"/>
        <v>6580</v>
      </c>
      <c r="I2549" s="741">
        <v>450</v>
      </c>
      <c r="J2549" s="749">
        <f t="shared" si="718"/>
        <v>450</v>
      </c>
      <c r="K2549" s="739">
        <f t="shared" si="719"/>
        <v>7030</v>
      </c>
      <c r="L2549" s="1079"/>
      <c r="M2549" s="752"/>
      <c r="N2549" s="744">
        <f t="shared" si="721"/>
        <v>1</v>
      </c>
      <c r="O2549" s="745">
        <v>0</v>
      </c>
      <c r="P2549" s="737">
        <v>1</v>
      </c>
      <c r="Q2549" s="752"/>
      <c r="R2549" s="752"/>
      <c r="S2549" s="752"/>
    </row>
    <row r="2550" spans="1:19" s="753" customFormat="1" ht="24" customHeight="1">
      <c r="A2550" s="734"/>
      <c r="B2550" s="747" t="s">
        <v>469</v>
      </c>
      <c r="C2550" s="735" t="s">
        <v>478</v>
      </c>
      <c r="D2550" s="735"/>
      <c r="E2550" s="737">
        <f t="shared" si="720"/>
        <v>1</v>
      </c>
      <c r="F2550" s="738" t="s">
        <v>363</v>
      </c>
      <c r="G2550" s="739">
        <v>176</v>
      </c>
      <c r="H2550" s="748">
        <f t="shared" si="717"/>
        <v>176</v>
      </c>
      <c r="I2550" s="741">
        <v>0</v>
      </c>
      <c r="J2550" s="749">
        <f t="shared" si="718"/>
        <v>0</v>
      </c>
      <c r="K2550" s="739">
        <f t="shared" si="719"/>
        <v>176</v>
      </c>
      <c r="L2550" s="1079"/>
      <c r="M2550" s="752"/>
      <c r="N2550" s="744">
        <f t="shared" si="721"/>
        <v>1</v>
      </c>
      <c r="O2550" s="745">
        <v>0</v>
      </c>
      <c r="P2550" s="737">
        <v>1</v>
      </c>
      <c r="Q2550" s="752"/>
      <c r="R2550" s="752"/>
      <c r="S2550" s="752"/>
    </row>
    <row r="2551" spans="1:19" s="753" customFormat="1" ht="24" customHeight="1">
      <c r="A2551" s="734"/>
      <c r="B2551" s="747" t="s">
        <v>469</v>
      </c>
      <c r="C2551" s="735" t="s">
        <v>482</v>
      </c>
      <c r="D2551" s="735"/>
      <c r="E2551" s="737">
        <f t="shared" si="720"/>
        <v>1</v>
      </c>
      <c r="F2551" s="738" t="s">
        <v>363</v>
      </c>
      <c r="G2551" s="739">
        <v>560</v>
      </c>
      <c r="H2551" s="748">
        <f t="shared" si="717"/>
        <v>560</v>
      </c>
      <c r="I2551" s="741">
        <v>35</v>
      </c>
      <c r="J2551" s="749">
        <f t="shared" si="718"/>
        <v>35</v>
      </c>
      <c r="K2551" s="739">
        <f t="shared" si="719"/>
        <v>595</v>
      </c>
      <c r="L2551" s="1079"/>
      <c r="M2551" s="752"/>
      <c r="N2551" s="744">
        <f t="shared" si="721"/>
        <v>1</v>
      </c>
      <c r="O2551" s="745">
        <v>0</v>
      </c>
      <c r="P2551" s="737">
        <v>1</v>
      </c>
      <c r="Q2551" s="752"/>
      <c r="R2551" s="752"/>
      <c r="S2551" s="752"/>
    </row>
    <row r="2552" spans="1:19" s="753" customFormat="1" ht="24" customHeight="1">
      <c r="A2552" s="734"/>
      <c r="B2552" s="747" t="s">
        <v>469</v>
      </c>
      <c r="C2552" s="735" t="s">
        <v>524</v>
      </c>
      <c r="D2552" s="735"/>
      <c r="E2552" s="737">
        <f t="shared" si="720"/>
        <v>1</v>
      </c>
      <c r="F2552" s="738" t="s">
        <v>363</v>
      </c>
      <c r="G2552" s="739">
        <v>216</v>
      </c>
      <c r="H2552" s="748">
        <f t="shared" si="717"/>
        <v>216</v>
      </c>
      <c r="I2552" s="741">
        <v>35</v>
      </c>
      <c r="J2552" s="749">
        <f t="shared" si="718"/>
        <v>35</v>
      </c>
      <c r="K2552" s="739">
        <f t="shared" si="719"/>
        <v>251</v>
      </c>
      <c r="L2552" s="1079"/>
      <c r="M2552" s="752"/>
      <c r="N2552" s="744">
        <f t="shared" si="721"/>
        <v>1</v>
      </c>
      <c r="O2552" s="745">
        <v>0</v>
      </c>
      <c r="P2552" s="737">
        <v>1</v>
      </c>
      <c r="Q2552" s="752"/>
      <c r="R2552" s="752"/>
      <c r="S2552" s="752"/>
    </row>
    <row r="2553" spans="1:19" s="753" customFormat="1" ht="24" customHeight="1">
      <c r="A2553" s="734"/>
      <c r="B2553" s="747"/>
      <c r="C2553" s="735"/>
      <c r="D2553" s="735"/>
      <c r="E2553" s="737">
        <f t="shared" si="720"/>
        <v>0</v>
      </c>
      <c r="F2553" s="738"/>
      <c r="G2553" s="739">
        <v>0</v>
      </c>
      <c r="H2553" s="748">
        <f t="shared" si="717"/>
        <v>0</v>
      </c>
      <c r="I2553" s="741">
        <v>0</v>
      </c>
      <c r="J2553" s="749">
        <f t="shared" si="718"/>
        <v>0</v>
      </c>
      <c r="K2553" s="739">
        <f t="shared" si="719"/>
        <v>0</v>
      </c>
      <c r="L2553" s="1079"/>
      <c r="M2553" s="752"/>
      <c r="N2553" s="744">
        <f t="shared" si="721"/>
        <v>0</v>
      </c>
      <c r="O2553" s="745">
        <v>0</v>
      </c>
      <c r="P2553" s="737">
        <v>0</v>
      </c>
      <c r="Q2553" s="752"/>
      <c r="R2553" s="752"/>
      <c r="S2553" s="752"/>
    </row>
    <row r="2554" spans="1:19" s="753" customFormat="1" ht="24" customHeight="1">
      <c r="A2554" s="734"/>
      <c r="B2554" s="747" t="s">
        <v>469</v>
      </c>
      <c r="C2554" s="735" t="s">
        <v>486</v>
      </c>
      <c r="D2554" s="735"/>
      <c r="E2554" s="737">
        <f t="shared" si="720"/>
        <v>1</v>
      </c>
      <c r="F2554" s="738" t="s">
        <v>363</v>
      </c>
      <c r="G2554" s="739">
        <v>552</v>
      </c>
      <c r="H2554" s="748">
        <f t="shared" si="717"/>
        <v>552</v>
      </c>
      <c r="I2554" s="741">
        <v>25</v>
      </c>
      <c r="J2554" s="749">
        <f t="shared" si="718"/>
        <v>25</v>
      </c>
      <c r="K2554" s="739">
        <f t="shared" si="719"/>
        <v>577</v>
      </c>
      <c r="L2554" s="1079"/>
      <c r="M2554" s="752"/>
      <c r="N2554" s="744">
        <f t="shared" si="721"/>
        <v>1</v>
      </c>
      <c r="O2554" s="745">
        <v>0</v>
      </c>
      <c r="P2554" s="737">
        <v>1</v>
      </c>
      <c r="Q2554" s="752"/>
      <c r="R2554" s="752"/>
      <c r="S2554" s="752"/>
    </row>
    <row r="2555" spans="1:19" s="753" customFormat="1" ht="24" customHeight="1">
      <c r="A2555" s="734"/>
      <c r="B2555" s="747" t="s">
        <v>484</v>
      </c>
      <c r="C2555" s="735" t="s">
        <v>485</v>
      </c>
      <c r="D2555" s="735"/>
      <c r="E2555" s="737">
        <f t="shared" si="720"/>
        <v>1</v>
      </c>
      <c r="F2555" s="738" t="s">
        <v>363</v>
      </c>
      <c r="G2555" s="739">
        <v>285</v>
      </c>
      <c r="H2555" s="748">
        <f t="shared" si="717"/>
        <v>285</v>
      </c>
      <c r="I2555" s="741">
        <v>75</v>
      </c>
      <c r="J2555" s="749">
        <f t="shared" si="718"/>
        <v>75</v>
      </c>
      <c r="K2555" s="739">
        <f t="shared" si="719"/>
        <v>360</v>
      </c>
      <c r="L2555" s="1093"/>
      <c r="M2555" s="752"/>
      <c r="N2555" s="744">
        <f t="shared" si="721"/>
        <v>1</v>
      </c>
      <c r="O2555" s="745">
        <v>0</v>
      </c>
      <c r="P2555" s="737">
        <v>1</v>
      </c>
      <c r="Q2555" s="752"/>
      <c r="R2555" s="752"/>
      <c r="S2555" s="752"/>
    </row>
    <row r="2556" spans="1:19" s="753" customFormat="1" ht="24" customHeight="1">
      <c r="A2556" s="734"/>
      <c r="B2556" s="747"/>
      <c r="C2556" s="735"/>
      <c r="D2556" s="735"/>
      <c r="E2556" s="737">
        <f t="shared" si="720"/>
        <v>0</v>
      </c>
      <c r="F2556" s="738"/>
      <c r="G2556" s="739">
        <v>0</v>
      </c>
      <c r="H2556" s="748">
        <f t="shared" si="717"/>
        <v>0</v>
      </c>
      <c r="I2556" s="741">
        <v>0</v>
      </c>
      <c r="J2556" s="749">
        <f t="shared" si="718"/>
        <v>0</v>
      </c>
      <c r="K2556" s="739">
        <f t="shared" si="719"/>
        <v>0</v>
      </c>
      <c r="L2556" s="1079"/>
      <c r="M2556" s="752"/>
      <c r="N2556" s="744">
        <f t="shared" si="721"/>
        <v>0</v>
      </c>
      <c r="O2556" s="745">
        <v>0</v>
      </c>
      <c r="P2556" s="737">
        <v>0</v>
      </c>
      <c r="Q2556" s="752"/>
      <c r="R2556" s="752"/>
      <c r="S2556" s="752"/>
    </row>
    <row r="2557" spans="1:19" s="753" customFormat="1" ht="24" customHeight="1">
      <c r="A2557" s="734"/>
      <c r="B2557" s="747" t="s">
        <v>469</v>
      </c>
      <c r="C2557" s="735" t="s">
        <v>507</v>
      </c>
      <c r="D2557" s="735"/>
      <c r="E2557" s="737">
        <f t="shared" si="720"/>
        <v>1</v>
      </c>
      <c r="F2557" s="738" t="s">
        <v>363</v>
      </c>
      <c r="G2557" s="739">
        <v>1650</v>
      </c>
      <c r="H2557" s="748">
        <f t="shared" si="717"/>
        <v>1650</v>
      </c>
      <c r="I2557" s="741">
        <v>70</v>
      </c>
      <c r="J2557" s="749">
        <f t="shared" si="718"/>
        <v>70</v>
      </c>
      <c r="K2557" s="739">
        <f t="shared" si="719"/>
        <v>1720</v>
      </c>
      <c r="L2557" s="1079"/>
      <c r="M2557" s="752"/>
      <c r="N2557" s="744">
        <f t="shared" si="721"/>
        <v>1</v>
      </c>
      <c r="O2557" s="745">
        <v>0</v>
      </c>
      <c r="P2557" s="737">
        <v>1</v>
      </c>
      <c r="Q2557" s="752"/>
      <c r="R2557" s="752"/>
      <c r="S2557" s="752"/>
    </row>
    <row r="2558" spans="1:19" s="753" customFormat="1" ht="24" customHeight="1">
      <c r="A2558" s="734"/>
      <c r="B2558" s="747" t="s">
        <v>469</v>
      </c>
      <c r="C2558" s="735" t="s">
        <v>525</v>
      </c>
      <c r="D2558" s="735"/>
      <c r="E2558" s="737">
        <f t="shared" si="720"/>
        <v>2</v>
      </c>
      <c r="F2558" s="738" t="s">
        <v>363</v>
      </c>
      <c r="G2558" s="739">
        <v>4160</v>
      </c>
      <c r="H2558" s="748">
        <f t="shared" si="717"/>
        <v>8320</v>
      </c>
      <c r="I2558" s="741">
        <v>105</v>
      </c>
      <c r="J2558" s="749">
        <f t="shared" si="718"/>
        <v>210</v>
      </c>
      <c r="K2558" s="739">
        <f t="shared" si="719"/>
        <v>8530</v>
      </c>
      <c r="L2558" s="1079"/>
      <c r="M2558" s="752"/>
      <c r="N2558" s="744">
        <f t="shared" si="721"/>
        <v>2</v>
      </c>
      <c r="O2558" s="745">
        <v>0</v>
      </c>
      <c r="P2558" s="737">
        <v>2</v>
      </c>
      <c r="Q2558" s="752"/>
      <c r="R2558" s="752"/>
      <c r="S2558" s="752"/>
    </row>
    <row r="2559" spans="1:19" s="753" customFormat="1" ht="24" customHeight="1">
      <c r="A2559" s="734"/>
      <c r="B2559" s="747" t="s">
        <v>469</v>
      </c>
      <c r="C2559" s="735" t="s">
        <v>526</v>
      </c>
      <c r="D2559" s="735"/>
      <c r="E2559" s="737">
        <f t="shared" si="720"/>
        <v>1</v>
      </c>
      <c r="F2559" s="738" t="s">
        <v>363</v>
      </c>
      <c r="G2559" s="739">
        <v>2533.5</v>
      </c>
      <c r="H2559" s="748">
        <f t="shared" si="717"/>
        <v>2533.5</v>
      </c>
      <c r="I2559" s="741">
        <v>105</v>
      </c>
      <c r="J2559" s="749">
        <f t="shared" si="718"/>
        <v>105</v>
      </c>
      <c r="K2559" s="739">
        <f t="shared" si="719"/>
        <v>2638.5</v>
      </c>
      <c r="L2559" s="1079"/>
      <c r="M2559" s="752"/>
      <c r="N2559" s="744">
        <f t="shared" si="721"/>
        <v>1</v>
      </c>
      <c r="O2559" s="745">
        <v>0</v>
      </c>
      <c r="P2559" s="737">
        <v>1</v>
      </c>
      <c r="Q2559" s="752"/>
      <c r="R2559" s="752"/>
      <c r="S2559" s="752"/>
    </row>
    <row r="2560" spans="1:19" s="753" customFormat="1" ht="24" customHeight="1">
      <c r="A2560" s="734"/>
      <c r="B2560" s="747"/>
      <c r="C2560" s="735"/>
      <c r="D2560" s="735"/>
      <c r="E2560" s="737">
        <f t="shared" si="720"/>
        <v>0</v>
      </c>
      <c r="F2560" s="738"/>
      <c r="G2560" s="739">
        <v>0</v>
      </c>
      <c r="H2560" s="748">
        <f t="shared" si="717"/>
        <v>0</v>
      </c>
      <c r="I2560" s="741">
        <v>0</v>
      </c>
      <c r="J2560" s="749">
        <f t="shared" si="718"/>
        <v>0</v>
      </c>
      <c r="K2560" s="739">
        <f t="shared" si="719"/>
        <v>0</v>
      </c>
      <c r="L2560" s="1079"/>
      <c r="M2560" s="752"/>
      <c r="N2560" s="744">
        <f t="shared" si="721"/>
        <v>0</v>
      </c>
      <c r="O2560" s="745">
        <v>0</v>
      </c>
      <c r="P2560" s="737">
        <v>0</v>
      </c>
      <c r="Q2560" s="752"/>
      <c r="R2560" s="752"/>
      <c r="S2560" s="752"/>
    </row>
    <row r="2561" spans="1:19" s="753" customFormat="1" ht="24" customHeight="1">
      <c r="A2561" s="734"/>
      <c r="B2561" s="747" t="s">
        <v>469</v>
      </c>
      <c r="C2561" s="735" t="s">
        <v>527</v>
      </c>
      <c r="D2561" s="735"/>
      <c r="E2561" s="737">
        <f t="shared" si="720"/>
        <v>1</v>
      </c>
      <c r="F2561" s="738" t="s">
        <v>363</v>
      </c>
      <c r="G2561" s="739">
        <v>2855</v>
      </c>
      <c r="H2561" s="748">
        <f t="shared" si="717"/>
        <v>2855</v>
      </c>
      <c r="I2561" s="741">
        <v>1432</v>
      </c>
      <c r="J2561" s="749">
        <f t="shared" si="718"/>
        <v>1432</v>
      </c>
      <c r="K2561" s="739">
        <f t="shared" si="719"/>
        <v>4287</v>
      </c>
      <c r="L2561" s="1079"/>
      <c r="M2561" s="752"/>
      <c r="N2561" s="744">
        <f t="shared" si="721"/>
        <v>1</v>
      </c>
      <c r="O2561" s="745">
        <v>0</v>
      </c>
      <c r="P2561" s="737">
        <v>1</v>
      </c>
      <c r="Q2561" s="752"/>
      <c r="R2561" s="752"/>
      <c r="S2561" s="752"/>
    </row>
    <row r="2562" spans="1:19" s="682" customFormat="1" ht="24" customHeight="1">
      <c r="A2562" s="734"/>
      <c r="B2562" s="747" t="s">
        <v>469</v>
      </c>
      <c r="C2562" s="735" t="s">
        <v>528</v>
      </c>
      <c r="D2562" s="735"/>
      <c r="E2562" s="737">
        <f t="shared" si="720"/>
        <v>0</v>
      </c>
      <c r="F2562" s="738" t="s">
        <v>363</v>
      </c>
      <c r="G2562" s="739">
        <v>9750</v>
      </c>
      <c r="H2562" s="748">
        <f t="shared" ref="H2562:H2569" si="722">SUM(E2562*G2562)</f>
        <v>0</v>
      </c>
      <c r="I2562" s="741">
        <v>105</v>
      </c>
      <c r="J2562" s="749">
        <f t="shared" ref="J2562:J2569" si="723">SUM(E2562*I2562)</f>
        <v>0</v>
      </c>
      <c r="K2562" s="739">
        <f t="shared" ref="K2562:K2569" si="724">SUM(H2562+J2562)</f>
        <v>0</v>
      </c>
      <c r="L2562" s="1079"/>
      <c r="M2562" s="679"/>
      <c r="N2562" s="744">
        <f t="shared" si="721"/>
        <v>0</v>
      </c>
      <c r="O2562" s="745">
        <v>0</v>
      </c>
      <c r="P2562" s="737">
        <v>0</v>
      </c>
      <c r="Q2562" s="679"/>
      <c r="R2562" s="679"/>
      <c r="S2562" s="679"/>
    </row>
    <row r="2563" spans="1:19" s="682" customFormat="1" ht="24" customHeight="1">
      <c r="A2563" s="734"/>
      <c r="B2563" s="747" t="s">
        <v>469</v>
      </c>
      <c r="C2563" s="735" t="s">
        <v>529</v>
      </c>
      <c r="D2563" s="735"/>
      <c r="E2563" s="737">
        <f t="shared" si="720"/>
        <v>0</v>
      </c>
      <c r="F2563" s="738" t="s">
        <v>363</v>
      </c>
      <c r="G2563" s="739">
        <v>5200</v>
      </c>
      <c r="H2563" s="748">
        <f t="shared" si="722"/>
        <v>0</v>
      </c>
      <c r="I2563" s="741">
        <v>70</v>
      </c>
      <c r="J2563" s="749">
        <f t="shared" si="723"/>
        <v>0</v>
      </c>
      <c r="K2563" s="739">
        <f t="shared" si="724"/>
        <v>0</v>
      </c>
      <c r="L2563" s="1079"/>
      <c r="M2563" s="679"/>
      <c r="N2563" s="744">
        <f t="shared" si="721"/>
        <v>0</v>
      </c>
      <c r="O2563" s="745">
        <v>0</v>
      </c>
      <c r="P2563" s="737">
        <v>0</v>
      </c>
      <c r="Q2563" s="679"/>
      <c r="R2563" s="679"/>
      <c r="S2563" s="679"/>
    </row>
    <row r="2564" spans="1:19" s="682" customFormat="1" ht="24" customHeight="1">
      <c r="A2564" s="734"/>
      <c r="B2564" s="747" t="s">
        <v>469</v>
      </c>
      <c r="C2564" s="735" t="s">
        <v>519</v>
      </c>
      <c r="D2564" s="735"/>
      <c r="E2564" s="737">
        <f t="shared" si="720"/>
        <v>1</v>
      </c>
      <c r="F2564" s="738" t="s">
        <v>363</v>
      </c>
      <c r="G2564" s="739">
        <v>800</v>
      </c>
      <c r="H2564" s="748">
        <f t="shared" si="722"/>
        <v>800</v>
      </c>
      <c r="I2564" s="741">
        <v>70</v>
      </c>
      <c r="J2564" s="749">
        <f t="shared" si="723"/>
        <v>70</v>
      </c>
      <c r="K2564" s="739">
        <f t="shared" si="724"/>
        <v>870</v>
      </c>
      <c r="L2564" s="1079"/>
      <c r="M2564" s="679"/>
      <c r="N2564" s="744">
        <f t="shared" si="721"/>
        <v>1</v>
      </c>
      <c r="O2564" s="745">
        <v>0</v>
      </c>
      <c r="P2564" s="737">
        <v>1</v>
      </c>
      <c r="Q2564" s="679"/>
      <c r="R2564" s="679"/>
      <c r="S2564" s="679"/>
    </row>
    <row r="2565" spans="1:19" s="682" customFormat="1" ht="24" customHeight="1">
      <c r="A2565" s="734"/>
      <c r="B2565" s="747" t="s">
        <v>469</v>
      </c>
      <c r="C2565" s="735" t="s">
        <v>520</v>
      </c>
      <c r="D2565" s="735"/>
      <c r="E2565" s="737">
        <f t="shared" ref="E2565:E2569" si="725">+N2565</f>
        <v>0</v>
      </c>
      <c r="F2565" s="738" t="s">
        <v>361</v>
      </c>
      <c r="G2565" s="739">
        <v>190</v>
      </c>
      <c r="H2565" s="748">
        <f t="shared" si="722"/>
        <v>0</v>
      </c>
      <c r="I2565" s="741">
        <v>75</v>
      </c>
      <c r="J2565" s="749">
        <f t="shared" si="723"/>
        <v>0</v>
      </c>
      <c r="K2565" s="739">
        <f t="shared" si="724"/>
        <v>0</v>
      </c>
      <c r="L2565" s="1079"/>
      <c r="M2565" s="679"/>
      <c r="N2565" s="744">
        <f t="shared" si="721"/>
        <v>0</v>
      </c>
      <c r="O2565" s="745">
        <v>0</v>
      </c>
      <c r="P2565" s="737">
        <v>0</v>
      </c>
      <c r="Q2565" s="679"/>
      <c r="R2565" s="679"/>
      <c r="S2565" s="679"/>
    </row>
    <row r="2566" spans="1:19" s="753" customFormat="1" ht="24" customHeight="1">
      <c r="A2566" s="734"/>
      <c r="B2566" s="747"/>
      <c r="C2566" s="735"/>
      <c r="D2566" s="735"/>
      <c r="E2566" s="737">
        <f t="shared" si="725"/>
        <v>0</v>
      </c>
      <c r="F2566" s="738"/>
      <c r="G2566" s="739">
        <v>0</v>
      </c>
      <c r="H2566" s="748">
        <f t="shared" si="722"/>
        <v>0</v>
      </c>
      <c r="I2566" s="741">
        <v>0</v>
      </c>
      <c r="J2566" s="749">
        <f t="shared" si="723"/>
        <v>0</v>
      </c>
      <c r="K2566" s="739">
        <f t="shared" si="724"/>
        <v>0</v>
      </c>
      <c r="L2566" s="1079"/>
      <c r="M2566" s="752"/>
      <c r="N2566" s="758">
        <f t="shared" si="721"/>
        <v>0</v>
      </c>
      <c r="O2566" s="745">
        <v>0</v>
      </c>
      <c r="P2566" s="759">
        <v>0</v>
      </c>
      <c r="Q2566" s="752"/>
      <c r="R2566" s="752"/>
      <c r="S2566" s="752"/>
    </row>
    <row r="2567" spans="1:19" s="753" customFormat="1" ht="24" customHeight="1">
      <c r="A2567" s="734"/>
      <c r="B2567" s="751" t="s">
        <v>1092</v>
      </c>
      <c r="C2567" s="735"/>
      <c r="D2567" s="735"/>
      <c r="E2567" s="737">
        <f t="shared" si="725"/>
        <v>0</v>
      </c>
      <c r="F2567" s="738"/>
      <c r="G2567" s="739">
        <v>0</v>
      </c>
      <c r="H2567" s="748">
        <f t="shared" si="722"/>
        <v>0</v>
      </c>
      <c r="I2567" s="741">
        <v>0</v>
      </c>
      <c r="J2567" s="749">
        <f t="shared" si="723"/>
        <v>0</v>
      </c>
      <c r="K2567" s="739">
        <f t="shared" si="724"/>
        <v>0</v>
      </c>
      <c r="L2567" s="1079"/>
      <c r="M2567" s="752"/>
      <c r="N2567" s="744">
        <f t="shared" si="721"/>
        <v>0</v>
      </c>
      <c r="O2567" s="745">
        <v>0</v>
      </c>
      <c r="P2567" s="737">
        <v>0</v>
      </c>
      <c r="Q2567" s="752"/>
      <c r="R2567" s="752"/>
      <c r="S2567" s="752"/>
    </row>
    <row r="2568" spans="1:19" s="753" customFormat="1" ht="24" customHeight="1">
      <c r="A2568" s="734"/>
      <c r="B2568" s="747" t="s">
        <v>469</v>
      </c>
      <c r="C2568" s="735" t="s">
        <v>486</v>
      </c>
      <c r="D2568" s="735"/>
      <c r="E2568" s="737">
        <f t="shared" si="725"/>
        <v>1</v>
      </c>
      <c r="F2568" s="738" t="s">
        <v>363</v>
      </c>
      <c r="G2568" s="739">
        <v>552</v>
      </c>
      <c r="H2568" s="748">
        <f t="shared" si="722"/>
        <v>552</v>
      </c>
      <c r="I2568" s="741">
        <v>25</v>
      </c>
      <c r="J2568" s="749">
        <f t="shared" si="723"/>
        <v>25</v>
      </c>
      <c r="K2568" s="739">
        <f t="shared" si="724"/>
        <v>577</v>
      </c>
      <c r="L2568" s="1079"/>
      <c r="M2568" s="752"/>
      <c r="N2568" s="744">
        <f t="shared" si="721"/>
        <v>1</v>
      </c>
      <c r="O2568" s="745">
        <v>0</v>
      </c>
      <c r="P2568" s="737">
        <v>1</v>
      </c>
      <c r="Q2568" s="752"/>
      <c r="R2568" s="752"/>
      <c r="S2568" s="752"/>
    </row>
    <row r="2569" spans="1:19" s="753" customFormat="1" ht="24" customHeight="1">
      <c r="A2569" s="734"/>
      <c r="B2569" s="747" t="s">
        <v>484</v>
      </c>
      <c r="C2569" s="735" t="s">
        <v>485</v>
      </c>
      <c r="D2569" s="735"/>
      <c r="E2569" s="737">
        <f t="shared" si="725"/>
        <v>1</v>
      </c>
      <c r="F2569" s="738" t="s">
        <v>363</v>
      </c>
      <c r="G2569" s="739">
        <v>285</v>
      </c>
      <c r="H2569" s="748">
        <f t="shared" si="722"/>
        <v>285</v>
      </c>
      <c r="I2569" s="741">
        <v>75</v>
      </c>
      <c r="J2569" s="749">
        <f t="shared" si="723"/>
        <v>75</v>
      </c>
      <c r="K2569" s="739">
        <f t="shared" si="724"/>
        <v>360</v>
      </c>
      <c r="L2569" s="1093"/>
      <c r="M2569" s="752"/>
      <c r="N2569" s="744">
        <f t="shared" si="721"/>
        <v>1</v>
      </c>
      <c r="O2569" s="745">
        <v>0</v>
      </c>
      <c r="P2569" s="737">
        <v>1</v>
      </c>
      <c r="Q2569" s="752"/>
      <c r="R2569" s="752"/>
      <c r="S2569" s="752"/>
    </row>
    <row r="2570" spans="1:19" s="753" customFormat="1" ht="24" customHeight="1">
      <c r="A2570" s="734"/>
      <c r="B2570" s="747"/>
      <c r="C2570" s="735"/>
      <c r="D2570" s="735"/>
      <c r="E2570" s="737"/>
      <c r="F2570" s="738"/>
      <c r="G2570" s="739"/>
      <c r="H2570" s="748"/>
      <c r="I2570" s="741"/>
      <c r="J2570" s="749"/>
      <c r="K2570" s="739"/>
      <c r="L2570" s="1093"/>
      <c r="M2570" s="752"/>
      <c r="N2570" s="744">
        <f t="shared" si="721"/>
        <v>0</v>
      </c>
      <c r="O2570" s="745">
        <v>0</v>
      </c>
      <c r="P2570" s="737">
        <v>0</v>
      </c>
      <c r="Q2570" s="752"/>
      <c r="R2570" s="752"/>
      <c r="S2570" s="752"/>
    </row>
    <row r="2571" spans="1:19" s="760" customFormat="1" ht="23.4">
      <c r="A2571" s="734" t="s">
        <v>758</v>
      </c>
      <c r="B2571" s="750" t="s">
        <v>533</v>
      </c>
      <c r="C2571" s="736"/>
      <c r="D2571" s="907"/>
      <c r="E2571" s="737"/>
      <c r="F2571" s="738"/>
      <c r="G2571" s="739">
        <v>0</v>
      </c>
      <c r="H2571" s="748">
        <f t="shared" ref="H2571:H2634" si="726">SUM(E2571*G2571)</f>
        <v>0</v>
      </c>
      <c r="I2571" s="741">
        <v>0</v>
      </c>
      <c r="J2571" s="749">
        <f t="shared" ref="J2571:J2634" si="727">SUM(E2571*I2571)</f>
        <v>0</v>
      </c>
      <c r="K2571" s="739">
        <f t="shared" ref="K2571:K2634" si="728">SUM(H2571+J2571)</f>
        <v>0</v>
      </c>
      <c r="L2571" s="1079"/>
      <c r="M2571" s="683"/>
      <c r="N2571" s="744">
        <f t="shared" si="721"/>
        <v>0</v>
      </c>
      <c r="O2571" s="745">
        <v>0</v>
      </c>
      <c r="P2571" s="737">
        <v>0</v>
      </c>
      <c r="Q2571" s="683"/>
      <c r="R2571" s="683"/>
      <c r="S2571" s="683"/>
    </row>
    <row r="2572" spans="1:19" s="753" customFormat="1" ht="24" customHeight="1">
      <c r="A2572" s="734"/>
      <c r="B2572" s="735" t="s">
        <v>1072</v>
      </c>
      <c r="C2572" s="736"/>
      <c r="D2572" s="907"/>
      <c r="E2572" s="737"/>
      <c r="F2572" s="738"/>
      <c r="G2572" s="739">
        <v>0</v>
      </c>
      <c r="H2572" s="748">
        <f t="shared" si="726"/>
        <v>0</v>
      </c>
      <c r="I2572" s="741">
        <v>0</v>
      </c>
      <c r="J2572" s="749">
        <f t="shared" si="727"/>
        <v>0</v>
      </c>
      <c r="K2572" s="739">
        <f t="shared" si="728"/>
        <v>0</v>
      </c>
      <c r="L2572" s="1079"/>
      <c r="M2572" s="752"/>
      <c r="N2572" s="744"/>
      <c r="O2572" s="745"/>
      <c r="P2572" s="737"/>
      <c r="Q2572" s="752"/>
      <c r="R2572" s="752"/>
      <c r="S2572" s="752"/>
    </row>
    <row r="2573" spans="1:19" s="753" customFormat="1" ht="24" customHeight="1">
      <c r="A2573" s="734"/>
      <c r="B2573" s="747" t="s">
        <v>469</v>
      </c>
      <c r="C2573" s="735" t="s">
        <v>497</v>
      </c>
      <c r="D2573" s="735"/>
      <c r="E2573" s="737">
        <f>+N2573</f>
        <v>4</v>
      </c>
      <c r="F2573" s="738" t="s">
        <v>363</v>
      </c>
      <c r="G2573" s="739">
        <v>1540</v>
      </c>
      <c r="H2573" s="748">
        <f t="shared" si="726"/>
        <v>6160</v>
      </c>
      <c r="I2573" s="741">
        <v>450</v>
      </c>
      <c r="J2573" s="749">
        <f t="shared" si="727"/>
        <v>1800</v>
      </c>
      <c r="K2573" s="739">
        <f t="shared" si="728"/>
        <v>7960</v>
      </c>
      <c r="L2573" s="1079"/>
      <c r="M2573" s="752"/>
      <c r="N2573" s="744">
        <f t="shared" ref="N2573:N2579" si="729">+(1+O2573)*P2573</f>
        <v>4</v>
      </c>
      <c r="O2573" s="745">
        <v>0</v>
      </c>
      <c r="P2573" s="737">
        <v>4</v>
      </c>
      <c r="Q2573" s="752"/>
      <c r="R2573" s="752"/>
      <c r="S2573" s="752"/>
    </row>
    <row r="2574" spans="1:19" s="753" customFormat="1" ht="24" customHeight="1">
      <c r="A2574" s="734"/>
      <c r="B2574" s="747" t="s">
        <v>469</v>
      </c>
      <c r="C2574" s="735" t="s">
        <v>498</v>
      </c>
      <c r="D2574" s="735"/>
      <c r="E2574" s="737">
        <f t="shared" ref="E2574:E2637" si="730">+N2574</f>
        <v>4</v>
      </c>
      <c r="F2574" s="738" t="s">
        <v>363</v>
      </c>
      <c r="G2574" s="739">
        <v>6640</v>
      </c>
      <c r="H2574" s="748">
        <f t="shared" si="726"/>
        <v>26560</v>
      </c>
      <c r="I2574" s="741">
        <v>200</v>
      </c>
      <c r="J2574" s="749">
        <f t="shared" si="727"/>
        <v>800</v>
      </c>
      <c r="K2574" s="739">
        <f t="shared" si="728"/>
        <v>27360</v>
      </c>
      <c r="L2574" s="1079"/>
      <c r="M2574" s="752"/>
      <c r="N2574" s="744">
        <f t="shared" si="729"/>
        <v>4</v>
      </c>
      <c r="O2574" s="745">
        <v>0</v>
      </c>
      <c r="P2574" s="737">
        <v>4</v>
      </c>
      <c r="Q2574" s="752"/>
      <c r="R2574" s="752"/>
      <c r="S2574" s="752"/>
    </row>
    <row r="2575" spans="1:19" s="753" customFormat="1" ht="24" customHeight="1">
      <c r="A2575" s="734"/>
      <c r="B2575" s="747" t="s">
        <v>469</v>
      </c>
      <c r="C2575" s="735" t="s">
        <v>496</v>
      </c>
      <c r="D2575" s="735"/>
      <c r="E2575" s="737">
        <f t="shared" si="730"/>
        <v>4</v>
      </c>
      <c r="F2575" s="738" t="s">
        <v>363</v>
      </c>
      <c r="G2575" s="739">
        <v>336</v>
      </c>
      <c r="H2575" s="748">
        <f t="shared" si="726"/>
        <v>1344</v>
      </c>
      <c r="I2575" s="741">
        <v>0</v>
      </c>
      <c r="J2575" s="749">
        <f t="shared" si="727"/>
        <v>0</v>
      </c>
      <c r="K2575" s="739">
        <f t="shared" si="728"/>
        <v>1344</v>
      </c>
      <c r="L2575" s="1079"/>
      <c r="M2575" s="752"/>
      <c r="N2575" s="744">
        <f t="shared" si="729"/>
        <v>4</v>
      </c>
      <c r="O2575" s="745">
        <v>0</v>
      </c>
      <c r="P2575" s="737">
        <v>4</v>
      </c>
      <c r="Q2575" s="752"/>
      <c r="R2575" s="752"/>
      <c r="S2575" s="752"/>
    </row>
    <row r="2576" spans="1:19" s="753" customFormat="1" ht="24" customHeight="1">
      <c r="A2576" s="734"/>
      <c r="B2576" s="747" t="s">
        <v>469</v>
      </c>
      <c r="C2576" s="735" t="s">
        <v>490</v>
      </c>
      <c r="D2576" s="735"/>
      <c r="E2576" s="737">
        <f t="shared" si="730"/>
        <v>4</v>
      </c>
      <c r="F2576" s="738" t="s">
        <v>363</v>
      </c>
      <c r="G2576" s="739">
        <v>736</v>
      </c>
      <c r="H2576" s="748">
        <f t="shared" si="726"/>
        <v>2944</v>
      </c>
      <c r="I2576" s="741">
        <v>0</v>
      </c>
      <c r="J2576" s="749">
        <f t="shared" si="727"/>
        <v>0</v>
      </c>
      <c r="K2576" s="739">
        <f t="shared" si="728"/>
        <v>2944</v>
      </c>
      <c r="L2576" s="1079"/>
      <c r="M2576" s="752"/>
      <c r="N2576" s="744">
        <f t="shared" si="729"/>
        <v>4</v>
      </c>
      <c r="O2576" s="745">
        <v>0</v>
      </c>
      <c r="P2576" s="737">
        <v>4</v>
      </c>
      <c r="Q2576" s="752"/>
      <c r="R2576" s="752"/>
      <c r="S2576" s="752"/>
    </row>
    <row r="2577" spans="1:19" s="753" customFormat="1" ht="24" customHeight="1">
      <c r="A2577" s="734"/>
      <c r="B2577" s="747" t="s">
        <v>469</v>
      </c>
      <c r="C2577" s="735" t="s">
        <v>478</v>
      </c>
      <c r="D2577" s="735"/>
      <c r="E2577" s="737">
        <f t="shared" si="730"/>
        <v>4</v>
      </c>
      <c r="F2577" s="738" t="s">
        <v>363</v>
      </c>
      <c r="G2577" s="739">
        <v>176</v>
      </c>
      <c r="H2577" s="748">
        <f t="shared" si="726"/>
        <v>704</v>
      </c>
      <c r="I2577" s="741">
        <v>0</v>
      </c>
      <c r="J2577" s="749">
        <f t="shared" si="727"/>
        <v>0</v>
      </c>
      <c r="K2577" s="739">
        <f t="shared" si="728"/>
        <v>704</v>
      </c>
      <c r="L2577" s="1079"/>
      <c r="M2577" s="752"/>
      <c r="N2577" s="744">
        <f t="shared" si="729"/>
        <v>4</v>
      </c>
      <c r="O2577" s="745">
        <v>0</v>
      </c>
      <c r="P2577" s="737">
        <v>4</v>
      </c>
      <c r="Q2577" s="752"/>
      <c r="R2577" s="752"/>
      <c r="S2577" s="752"/>
    </row>
    <row r="2578" spans="1:19" s="753" customFormat="1" ht="24" customHeight="1">
      <c r="A2578" s="734"/>
      <c r="B2578" s="747" t="s">
        <v>469</v>
      </c>
      <c r="C2578" s="735" t="s">
        <v>499</v>
      </c>
      <c r="D2578" s="735"/>
      <c r="E2578" s="737">
        <f t="shared" si="730"/>
        <v>4</v>
      </c>
      <c r="F2578" s="738" t="s">
        <v>363</v>
      </c>
      <c r="G2578" s="739">
        <v>216</v>
      </c>
      <c r="H2578" s="748">
        <f t="shared" si="726"/>
        <v>864</v>
      </c>
      <c r="I2578" s="741">
        <v>35</v>
      </c>
      <c r="J2578" s="749">
        <f t="shared" si="727"/>
        <v>140</v>
      </c>
      <c r="K2578" s="739">
        <f t="shared" si="728"/>
        <v>1004</v>
      </c>
      <c r="L2578" s="1079"/>
      <c r="M2578" s="752"/>
      <c r="N2578" s="744">
        <f t="shared" si="729"/>
        <v>4</v>
      </c>
      <c r="O2578" s="745">
        <v>0</v>
      </c>
      <c r="P2578" s="737">
        <v>4</v>
      </c>
      <c r="Q2578" s="752"/>
      <c r="R2578" s="752"/>
      <c r="S2578" s="752"/>
    </row>
    <row r="2579" spans="1:19" s="753" customFormat="1" ht="24" customHeight="1">
      <c r="A2579" s="734"/>
      <c r="B2579" s="750"/>
      <c r="C2579" s="736"/>
      <c r="D2579" s="907"/>
      <c r="E2579" s="737">
        <f t="shared" si="730"/>
        <v>0</v>
      </c>
      <c r="F2579" s="738"/>
      <c r="G2579" s="739">
        <v>0</v>
      </c>
      <c r="H2579" s="748">
        <f t="shared" si="726"/>
        <v>0</v>
      </c>
      <c r="I2579" s="741">
        <v>0</v>
      </c>
      <c r="J2579" s="749">
        <f t="shared" si="727"/>
        <v>0</v>
      </c>
      <c r="K2579" s="739">
        <f t="shared" si="728"/>
        <v>0</v>
      </c>
      <c r="L2579" s="1079"/>
      <c r="M2579" s="752"/>
      <c r="N2579" s="744">
        <f t="shared" si="729"/>
        <v>0</v>
      </c>
      <c r="O2579" s="745">
        <v>0</v>
      </c>
      <c r="P2579" s="737">
        <v>0</v>
      </c>
      <c r="Q2579" s="752"/>
      <c r="R2579" s="752"/>
      <c r="S2579" s="752"/>
    </row>
    <row r="2580" spans="1:19" s="753" customFormat="1" ht="24" customHeight="1">
      <c r="A2580" s="734"/>
      <c r="B2580" s="747" t="s">
        <v>469</v>
      </c>
      <c r="C2580" s="735" t="s">
        <v>492</v>
      </c>
      <c r="D2580" s="735"/>
      <c r="E2580" s="737">
        <f t="shared" si="730"/>
        <v>5</v>
      </c>
      <c r="F2580" s="738" t="s">
        <v>363</v>
      </c>
      <c r="G2580" s="739">
        <v>9375</v>
      </c>
      <c r="H2580" s="748">
        <f t="shared" si="726"/>
        <v>46875</v>
      </c>
      <c r="I2580" s="741">
        <v>450</v>
      </c>
      <c r="J2580" s="749">
        <f t="shared" si="727"/>
        <v>2250</v>
      </c>
      <c r="K2580" s="739">
        <f t="shared" si="728"/>
        <v>49125</v>
      </c>
      <c r="L2580" s="1079"/>
      <c r="M2580" s="752"/>
      <c r="N2580" s="744">
        <f>+(1+O2580)*P2580</f>
        <v>5</v>
      </c>
      <c r="O2580" s="745">
        <v>0</v>
      </c>
      <c r="P2580" s="737">
        <v>5</v>
      </c>
      <c r="Q2580" s="752"/>
      <c r="R2580" s="752"/>
      <c r="S2580" s="752"/>
    </row>
    <row r="2581" spans="1:19" s="753" customFormat="1" ht="24" customHeight="1">
      <c r="A2581" s="734"/>
      <c r="B2581" s="747" t="s">
        <v>469</v>
      </c>
      <c r="C2581" s="735" t="s">
        <v>500</v>
      </c>
      <c r="D2581" s="735"/>
      <c r="E2581" s="737">
        <f t="shared" si="730"/>
        <v>5</v>
      </c>
      <c r="F2581" s="738" t="s">
        <v>363</v>
      </c>
      <c r="G2581" s="739">
        <v>12752</v>
      </c>
      <c r="H2581" s="748">
        <f t="shared" si="726"/>
        <v>63760</v>
      </c>
      <c r="I2581" s="741">
        <v>0</v>
      </c>
      <c r="J2581" s="749">
        <f t="shared" si="727"/>
        <v>0</v>
      </c>
      <c r="K2581" s="739">
        <f t="shared" si="728"/>
        <v>63760</v>
      </c>
      <c r="L2581" s="1079"/>
      <c r="M2581" s="752"/>
      <c r="N2581" s="744">
        <f t="shared" ref="N2581:N2644" si="731">+(1+O2581)*P2581</f>
        <v>5</v>
      </c>
      <c r="O2581" s="745">
        <v>0</v>
      </c>
      <c r="P2581" s="737">
        <v>5</v>
      </c>
      <c r="Q2581" s="752"/>
      <c r="R2581" s="752"/>
      <c r="S2581" s="752"/>
    </row>
    <row r="2582" spans="1:19" s="753" customFormat="1" ht="24" customHeight="1">
      <c r="A2582" s="734"/>
      <c r="B2582" s="747" t="s">
        <v>469</v>
      </c>
      <c r="C2582" s="735" t="s">
        <v>501</v>
      </c>
      <c r="D2582" s="735"/>
      <c r="E2582" s="737">
        <v>0</v>
      </c>
      <c r="F2582" s="738" t="s">
        <v>363</v>
      </c>
      <c r="G2582" s="739">
        <v>1950</v>
      </c>
      <c r="H2582" s="748">
        <f t="shared" si="726"/>
        <v>0</v>
      </c>
      <c r="I2582" s="741">
        <v>35</v>
      </c>
      <c r="J2582" s="749">
        <f t="shared" si="727"/>
        <v>0</v>
      </c>
      <c r="K2582" s="739">
        <f t="shared" si="728"/>
        <v>0</v>
      </c>
      <c r="L2582" s="1079"/>
      <c r="M2582" s="752"/>
      <c r="N2582" s="744">
        <f t="shared" si="731"/>
        <v>5</v>
      </c>
      <c r="O2582" s="745">
        <v>0</v>
      </c>
      <c r="P2582" s="737">
        <v>5</v>
      </c>
      <c r="Q2582" s="752"/>
      <c r="R2582" s="752"/>
      <c r="S2582" s="752"/>
    </row>
    <row r="2583" spans="1:19" s="753" customFormat="1" ht="24" customHeight="1">
      <c r="A2583" s="734"/>
      <c r="B2583" s="747" t="s">
        <v>469</v>
      </c>
      <c r="C2583" s="735" t="s">
        <v>502</v>
      </c>
      <c r="D2583" s="735"/>
      <c r="E2583" s="737">
        <f t="shared" si="730"/>
        <v>5</v>
      </c>
      <c r="F2583" s="738" t="s">
        <v>363</v>
      </c>
      <c r="G2583" s="739">
        <v>216</v>
      </c>
      <c r="H2583" s="748">
        <f t="shared" si="726"/>
        <v>1080</v>
      </c>
      <c r="I2583" s="741">
        <v>35</v>
      </c>
      <c r="J2583" s="749">
        <f t="shared" si="727"/>
        <v>175</v>
      </c>
      <c r="K2583" s="739">
        <f t="shared" si="728"/>
        <v>1255</v>
      </c>
      <c r="L2583" s="1079"/>
      <c r="M2583" s="752"/>
      <c r="N2583" s="744">
        <f t="shared" si="731"/>
        <v>5</v>
      </c>
      <c r="O2583" s="745">
        <v>0</v>
      </c>
      <c r="P2583" s="737">
        <v>5</v>
      </c>
      <c r="Q2583" s="754"/>
      <c r="R2583" s="752"/>
      <c r="S2583" s="752"/>
    </row>
    <row r="2584" spans="1:19" s="753" customFormat="1" ht="24" customHeight="1">
      <c r="A2584" s="734"/>
      <c r="B2584" s="747"/>
      <c r="C2584" s="735"/>
      <c r="D2584" s="907"/>
      <c r="E2584" s="737">
        <f t="shared" si="730"/>
        <v>0</v>
      </c>
      <c r="F2584" s="738"/>
      <c r="G2584" s="739">
        <v>0</v>
      </c>
      <c r="H2584" s="748">
        <f t="shared" si="726"/>
        <v>0</v>
      </c>
      <c r="I2584" s="741">
        <v>0</v>
      </c>
      <c r="J2584" s="749">
        <f t="shared" si="727"/>
        <v>0</v>
      </c>
      <c r="K2584" s="739">
        <f t="shared" si="728"/>
        <v>0</v>
      </c>
      <c r="L2584" s="1079"/>
      <c r="M2584" s="752"/>
      <c r="N2584" s="744">
        <f t="shared" si="731"/>
        <v>0</v>
      </c>
      <c r="O2584" s="745">
        <v>0</v>
      </c>
      <c r="P2584" s="737">
        <v>0</v>
      </c>
      <c r="Q2584" s="752"/>
      <c r="R2584" s="752"/>
      <c r="S2584" s="752"/>
    </row>
    <row r="2585" spans="1:19" s="753" customFormat="1" ht="24" customHeight="1">
      <c r="A2585" s="734"/>
      <c r="B2585" s="747" t="s">
        <v>469</v>
      </c>
      <c r="C2585" s="735" t="s">
        <v>503</v>
      </c>
      <c r="D2585" s="735"/>
      <c r="E2585" s="737">
        <f t="shared" si="730"/>
        <v>8</v>
      </c>
      <c r="F2585" s="738" t="s">
        <v>363</v>
      </c>
      <c r="G2585" s="739">
        <v>3920</v>
      </c>
      <c r="H2585" s="748">
        <f t="shared" si="726"/>
        <v>31360</v>
      </c>
      <c r="I2585" s="741">
        <v>450</v>
      </c>
      <c r="J2585" s="749">
        <f t="shared" si="727"/>
        <v>3600</v>
      </c>
      <c r="K2585" s="739">
        <f t="shared" si="728"/>
        <v>34960</v>
      </c>
      <c r="L2585" s="1079"/>
      <c r="M2585" s="752"/>
      <c r="N2585" s="744">
        <f t="shared" si="731"/>
        <v>8</v>
      </c>
      <c r="O2585" s="745">
        <v>0</v>
      </c>
      <c r="P2585" s="737">
        <v>8</v>
      </c>
      <c r="Q2585" s="752"/>
      <c r="R2585" s="752"/>
      <c r="S2585" s="752"/>
    </row>
    <row r="2586" spans="1:19" s="753" customFormat="1" ht="24" customHeight="1">
      <c r="A2586" s="734"/>
      <c r="B2586" s="747" t="s">
        <v>469</v>
      </c>
      <c r="C2586" s="735" t="s">
        <v>504</v>
      </c>
      <c r="D2586" s="735"/>
      <c r="E2586" s="737">
        <f t="shared" si="730"/>
        <v>8</v>
      </c>
      <c r="F2586" s="738" t="s">
        <v>363</v>
      </c>
      <c r="G2586" s="739">
        <v>12752</v>
      </c>
      <c r="H2586" s="748">
        <f t="shared" si="726"/>
        <v>102016</v>
      </c>
      <c r="I2586" s="741">
        <v>0</v>
      </c>
      <c r="J2586" s="749">
        <f t="shared" si="727"/>
        <v>0</v>
      </c>
      <c r="K2586" s="739">
        <f t="shared" si="728"/>
        <v>102016</v>
      </c>
      <c r="L2586" s="1079"/>
      <c r="M2586" s="752"/>
      <c r="N2586" s="744">
        <f t="shared" si="731"/>
        <v>8</v>
      </c>
      <c r="O2586" s="745">
        <v>0</v>
      </c>
      <c r="P2586" s="737">
        <v>8</v>
      </c>
      <c r="Q2586" s="752"/>
      <c r="R2586" s="752"/>
      <c r="S2586" s="752"/>
    </row>
    <row r="2587" spans="1:19" s="682" customFormat="1" ht="24" customHeight="1">
      <c r="A2587" s="734"/>
      <c r="B2587" s="747" t="s">
        <v>469</v>
      </c>
      <c r="C2587" s="735" t="s">
        <v>505</v>
      </c>
      <c r="D2587" s="735"/>
      <c r="E2587" s="737">
        <f t="shared" si="730"/>
        <v>6</v>
      </c>
      <c r="F2587" s="738" t="s">
        <v>363</v>
      </c>
      <c r="G2587" s="739">
        <v>2280</v>
      </c>
      <c r="H2587" s="748">
        <f t="shared" si="726"/>
        <v>13680</v>
      </c>
      <c r="I2587" s="741">
        <v>300</v>
      </c>
      <c r="J2587" s="749">
        <f t="shared" si="727"/>
        <v>1800</v>
      </c>
      <c r="K2587" s="739">
        <f t="shared" si="728"/>
        <v>15480</v>
      </c>
      <c r="L2587" s="1079"/>
      <c r="M2587" s="679"/>
      <c r="N2587" s="744">
        <f t="shared" si="731"/>
        <v>6</v>
      </c>
      <c r="O2587" s="745">
        <v>0</v>
      </c>
      <c r="P2587" s="737">
        <v>6</v>
      </c>
      <c r="Q2587" s="679"/>
      <c r="R2587" s="679"/>
      <c r="S2587" s="679"/>
    </row>
    <row r="2588" spans="1:19" s="682" customFormat="1" ht="24" customHeight="1">
      <c r="A2588" s="734"/>
      <c r="B2588" s="747" t="s">
        <v>469</v>
      </c>
      <c r="C2588" s="735" t="s">
        <v>506</v>
      </c>
      <c r="D2588" s="735"/>
      <c r="E2588" s="737">
        <f t="shared" si="730"/>
        <v>0</v>
      </c>
      <c r="F2588" s="738" t="s">
        <v>363</v>
      </c>
      <c r="G2588" s="739">
        <v>6592</v>
      </c>
      <c r="H2588" s="748">
        <f t="shared" si="726"/>
        <v>0</v>
      </c>
      <c r="I2588" s="741">
        <v>140</v>
      </c>
      <c r="J2588" s="749">
        <f t="shared" si="727"/>
        <v>0</v>
      </c>
      <c r="K2588" s="739">
        <f t="shared" si="728"/>
        <v>0</v>
      </c>
      <c r="L2588" s="1079"/>
      <c r="M2588" s="679"/>
      <c r="N2588" s="744">
        <f t="shared" si="731"/>
        <v>0</v>
      </c>
      <c r="O2588" s="745">
        <v>0</v>
      </c>
      <c r="P2588" s="737">
        <v>0</v>
      </c>
      <c r="Q2588" s="679"/>
      <c r="R2588" s="679"/>
      <c r="S2588" s="679"/>
    </row>
    <row r="2589" spans="1:19" s="753" customFormat="1" ht="24" customHeight="1">
      <c r="A2589" s="734"/>
      <c r="B2589" s="747" t="s">
        <v>484</v>
      </c>
      <c r="C2589" s="735" t="s">
        <v>485</v>
      </c>
      <c r="D2589" s="735"/>
      <c r="E2589" s="737">
        <f t="shared" si="730"/>
        <v>7</v>
      </c>
      <c r="F2589" s="738" t="s">
        <v>363</v>
      </c>
      <c r="G2589" s="739">
        <v>285</v>
      </c>
      <c r="H2589" s="748">
        <f t="shared" si="726"/>
        <v>1995</v>
      </c>
      <c r="I2589" s="741">
        <v>75</v>
      </c>
      <c r="J2589" s="749">
        <f t="shared" si="727"/>
        <v>525</v>
      </c>
      <c r="K2589" s="739">
        <f t="shared" si="728"/>
        <v>2520</v>
      </c>
      <c r="L2589" s="1093"/>
      <c r="M2589" s="752"/>
      <c r="N2589" s="744">
        <f t="shared" si="731"/>
        <v>7</v>
      </c>
      <c r="O2589" s="745">
        <v>0</v>
      </c>
      <c r="P2589" s="737">
        <v>7</v>
      </c>
      <c r="Q2589" s="752"/>
      <c r="R2589" s="752"/>
      <c r="S2589" s="752"/>
    </row>
    <row r="2590" spans="1:19" s="753" customFormat="1" ht="24" customHeight="1">
      <c r="A2590" s="734"/>
      <c r="B2590" s="747" t="s">
        <v>469</v>
      </c>
      <c r="C2590" s="735" t="s">
        <v>486</v>
      </c>
      <c r="D2590" s="735"/>
      <c r="E2590" s="737">
        <f t="shared" si="730"/>
        <v>1</v>
      </c>
      <c r="F2590" s="738" t="s">
        <v>363</v>
      </c>
      <c r="G2590" s="739">
        <v>552</v>
      </c>
      <c r="H2590" s="748">
        <f t="shared" si="726"/>
        <v>552</v>
      </c>
      <c r="I2590" s="741">
        <v>25</v>
      </c>
      <c r="J2590" s="749">
        <f t="shared" si="727"/>
        <v>25</v>
      </c>
      <c r="K2590" s="739">
        <f t="shared" si="728"/>
        <v>577</v>
      </c>
      <c r="L2590" s="1079"/>
      <c r="M2590" s="752"/>
      <c r="N2590" s="744">
        <f t="shared" si="731"/>
        <v>1</v>
      </c>
      <c r="O2590" s="745">
        <v>0</v>
      </c>
      <c r="P2590" s="737">
        <v>1</v>
      </c>
      <c r="Q2590" s="752"/>
      <c r="R2590" s="752"/>
      <c r="S2590" s="752"/>
    </row>
    <row r="2591" spans="1:19" s="753" customFormat="1" ht="24" customHeight="1">
      <c r="A2591" s="734"/>
      <c r="B2591" s="747" t="s">
        <v>469</v>
      </c>
      <c r="C2591" s="735" t="s">
        <v>507</v>
      </c>
      <c r="D2591" s="735"/>
      <c r="E2591" s="737">
        <f t="shared" si="730"/>
        <v>1</v>
      </c>
      <c r="F2591" s="738" t="s">
        <v>363</v>
      </c>
      <c r="G2591" s="739">
        <v>1650</v>
      </c>
      <c r="H2591" s="748">
        <f t="shared" si="726"/>
        <v>1650</v>
      </c>
      <c r="I2591" s="741">
        <v>70</v>
      </c>
      <c r="J2591" s="749">
        <f t="shared" si="727"/>
        <v>70</v>
      </c>
      <c r="K2591" s="739">
        <f t="shared" si="728"/>
        <v>1720</v>
      </c>
      <c r="L2591" s="1079"/>
      <c r="M2591" s="752"/>
      <c r="N2591" s="744">
        <f t="shared" si="731"/>
        <v>1</v>
      </c>
      <c r="O2591" s="745">
        <v>0</v>
      </c>
      <c r="P2591" s="737">
        <v>1</v>
      </c>
      <c r="Q2591" s="752"/>
      <c r="R2591" s="752"/>
      <c r="S2591" s="752"/>
    </row>
    <row r="2592" spans="1:19" s="753" customFormat="1" ht="24" customHeight="1">
      <c r="A2592" s="734"/>
      <c r="B2592" s="747" t="s">
        <v>469</v>
      </c>
      <c r="C2592" s="735" t="s">
        <v>508</v>
      </c>
      <c r="D2592" s="735"/>
      <c r="E2592" s="737">
        <f t="shared" si="730"/>
        <v>5</v>
      </c>
      <c r="F2592" s="738" t="s">
        <v>363</v>
      </c>
      <c r="G2592" s="739">
        <v>13500</v>
      </c>
      <c r="H2592" s="748">
        <f t="shared" si="726"/>
        <v>67500</v>
      </c>
      <c r="I2592" s="741">
        <v>750</v>
      </c>
      <c r="J2592" s="749">
        <f t="shared" si="727"/>
        <v>3750</v>
      </c>
      <c r="K2592" s="739">
        <f t="shared" si="728"/>
        <v>71250</v>
      </c>
      <c r="L2592" s="1079"/>
      <c r="M2592" s="752"/>
      <c r="N2592" s="744">
        <f t="shared" si="731"/>
        <v>5</v>
      </c>
      <c r="O2592" s="745">
        <v>0</v>
      </c>
      <c r="P2592" s="737">
        <v>5</v>
      </c>
      <c r="Q2592" s="752"/>
      <c r="R2592" s="752"/>
      <c r="S2592" s="752"/>
    </row>
    <row r="2593" spans="1:19" s="682" customFormat="1" ht="24" customHeight="1">
      <c r="A2593" s="734"/>
      <c r="B2593" s="747" t="s">
        <v>469</v>
      </c>
      <c r="C2593" s="735" t="s">
        <v>509</v>
      </c>
      <c r="D2593" s="735"/>
      <c r="E2593" s="737">
        <f t="shared" si="730"/>
        <v>1</v>
      </c>
      <c r="F2593" s="738" t="s">
        <v>363</v>
      </c>
      <c r="G2593" s="739">
        <v>14476</v>
      </c>
      <c r="H2593" s="748">
        <f t="shared" si="726"/>
        <v>14476</v>
      </c>
      <c r="I2593" s="741">
        <v>5367</v>
      </c>
      <c r="J2593" s="749">
        <f t="shared" si="727"/>
        <v>5367</v>
      </c>
      <c r="K2593" s="739">
        <f t="shared" si="728"/>
        <v>19843</v>
      </c>
      <c r="L2593" s="1079"/>
      <c r="M2593" s="679"/>
      <c r="N2593" s="744">
        <f t="shared" si="731"/>
        <v>1</v>
      </c>
      <c r="O2593" s="745">
        <v>0</v>
      </c>
      <c r="P2593" s="737">
        <v>1</v>
      </c>
      <c r="Q2593" s="679"/>
      <c r="R2593" s="679"/>
      <c r="S2593" s="679"/>
    </row>
    <row r="2594" spans="1:19" s="753" customFormat="1" ht="24" customHeight="1">
      <c r="A2594" s="734"/>
      <c r="B2594" s="747" t="s">
        <v>469</v>
      </c>
      <c r="C2594" s="735" t="s">
        <v>510</v>
      </c>
      <c r="D2594" s="735"/>
      <c r="E2594" s="737">
        <f t="shared" si="730"/>
        <v>4.1500000000000004</v>
      </c>
      <c r="F2594" s="738" t="s">
        <v>361</v>
      </c>
      <c r="G2594" s="739">
        <v>2694</v>
      </c>
      <c r="H2594" s="748">
        <f t="shared" si="726"/>
        <v>11180.1</v>
      </c>
      <c r="I2594" s="741">
        <v>1288</v>
      </c>
      <c r="J2594" s="749">
        <f t="shared" si="727"/>
        <v>5345.2000000000007</v>
      </c>
      <c r="K2594" s="739">
        <f t="shared" si="728"/>
        <v>16525.300000000003</v>
      </c>
      <c r="L2594" s="1079"/>
      <c r="M2594" s="752"/>
      <c r="N2594" s="744">
        <f t="shared" si="731"/>
        <v>4.1500000000000004</v>
      </c>
      <c r="O2594" s="745">
        <v>0</v>
      </c>
      <c r="P2594" s="737">
        <v>4.1500000000000004</v>
      </c>
      <c r="Q2594" s="752"/>
      <c r="R2594" s="752"/>
      <c r="S2594" s="752"/>
    </row>
    <row r="2595" spans="1:19" s="753" customFormat="1" ht="24" customHeight="1">
      <c r="A2595" s="734"/>
      <c r="B2595" s="747"/>
      <c r="C2595" s="735" t="s">
        <v>511</v>
      </c>
      <c r="D2595" s="735"/>
      <c r="E2595" s="737">
        <f t="shared" si="730"/>
        <v>0</v>
      </c>
      <c r="F2595" s="738"/>
      <c r="G2595" s="739"/>
      <c r="H2595" s="748">
        <f t="shared" si="726"/>
        <v>0</v>
      </c>
      <c r="I2595" s="741"/>
      <c r="J2595" s="749">
        <f t="shared" si="727"/>
        <v>0</v>
      </c>
      <c r="K2595" s="739">
        <f t="shared" si="728"/>
        <v>0</v>
      </c>
      <c r="L2595" s="1079"/>
      <c r="M2595" s="752"/>
      <c r="N2595" s="744">
        <f t="shared" si="731"/>
        <v>0</v>
      </c>
      <c r="O2595" s="745">
        <v>0</v>
      </c>
      <c r="P2595" s="737">
        <v>0</v>
      </c>
      <c r="Q2595" s="752"/>
      <c r="R2595" s="752"/>
      <c r="S2595" s="752"/>
    </row>
    <row r="2596" spans="1:19" s="753" customFormat="1" ht="24" customHeight="1">
      <c r="A2596" s="734"/>
      <c r="B2596" s="747" t="s">
        <v>469</v>
      </c>
      <c r="C2596" s="735" t="s">
        <v>512</v>
      </c>
      <c r="D2596" s="735"/>
      <c r="E2596" s="737">
        <f t="shared" si="730"/>
        <v>4.1500000000000004</v>
      </c>
      <c r="F2596" s="738" t="s">
        <v>361</v>
      </c>
      <c r="G2596" s="739">
        <v>3886</v>
      </c>
      <c r="H2596" s="748">
        <f t="shared" si="726"/>
        <v>16126.900000000001</v>
      </c>
      <c r="I2596" s="741">
        <v>1238</v>
      </c>
      <c r="J2596" s="749">
        <f t="shared" si="727"/>
        <v>5137.7000000000007</v>
      </c>
      <c r="K2596" s="739">
        <f t="shared" si="728"/>
        <v>21264.600000000002</v>
      </c>
      <c r="L2596" s="1079"/>
      <c r="M2596" s="752"/>
      <c r="N2596" s="744">
        <f t="shared" si="731"/>
        <v>4.1500000000000004</v>
      </c>
      <c r="O2596" s="745">
        <v>0</v>
      </c>
      <c r="P2596" s="737">
        <v>4.1500000000000004</v>
      </c>
      <c r="Q2596" s="752"/>
      <c r="R2596" s="752"/>
      <c r="S2596" s="752"/>
    </row>
    <row r="2597" spans="1:19" s="753" customFormat="1" ht="24" customHeight="1">
      <c r="A2597" s="734"/>
      <c r="B2597" s="747"/>
      <c r="C2597" s="735" t="s">
        <v>513</v>
      </c>
      <c r="D2597" s="735"/>
      <c r="E2597" s="737">
        <f t="shared" si="730"/>
        <v>0</v>
      </c>
      <c r="F2597" s="738"/>
      <c r="G2597" s="739">
        <v>0</v>
      </c>
      <c r="H2597" s="748">
        <f t="shared" si="726"/>
        <v>0</v>
      </c>
      <c r="I2597" s="741">
        <v>0</v>
      </c>
      <c r="J2597" s="749">
        <f t="shared" si="727"/>
        <v>0</v>
      </c>
      <c r="K2597" s="739">
        <f t="shared" si="728"/>
        <v>0</v>
      </c>
      <c r="L2597" s="1079"/>
      <c r="M2597" s="752"/>
      <c r="N2597" s="744">
        <f t="shared" si="731"/>
        <v>0</v>
      </c>
      <c r="O2597" s="745">
        <v>0</v>
      </c>
      <c r="P2597" s="737">
        <v>0</v>
      </c>
      <c r="Q2597" s="752"/>
      <c r="R2597" s="752"/>
      <c r="S2597" s="752"/>
    </row>
    <row r="2598" spans="1:19" s="753" customFormat="1" ht="24" customHeight="1">
      <c r="A2598" s="734"/>
      <c r="B2598" s="747" t="s">
        <v>469</v>
      </c>
      <c r="C2598" s="735" t="s">
        <v>514</v>
      </c>
      <c r="D2598" s="735"/>
      <c r="E2598" s="737">
        <f t="shared" si="730"/>
        <v>7.1</v>
      </c>
      <c r="F2598" s="738" t="s">
        <v>361</v>
      </c>
      <c r="G2598" s="739">
        <v>1522</v>
      </c>
      <c r="H2598" s="748">
        <f t="shared" si="726"/>
        <v>10806.199999999999</v>
      </c>
      <c r="I2598" s="741">
        <v>315</v>
      </c>
      <c r="J2598" s="749">
        <f t="shared" si="727"/>
        <v>2236.5</v>
      </c>
      <c r="K2598" s="739">
        <f t="shared" si="728"/>
        <v>13042.699999999999</v>
      </c>
      <c r="L2598" s="1079"/>
      <c r="M2598" s="752"/>
      <c r="N2598" s="744">
        <f t="shared" si="731"/>
        <v>7.1</v>
      </c>
      <c r="O2598" s="745">
        <v>0</v>
      </c>
      <c r="P2598" s="737">
        <v>7.1</v>
      </c>
      <c r="Q2598" s="752"/>
      <c r="R2598" s="752"/>
      <c r="S2598" s="752"/>
    </row>
    <row r="2599" spans="1:19" s="753" customFormat="1" ht="24" customHeight="1">
      <c r="A2599" s="734"/>
      <c r="B2599" s="747"/>
      <c r="C2599" s="735"/>
      <c r="D2599" s="735"/>
      <c r="E2599" s="737">
        <f t="shared" si="730"/>
        <v>0</v>
      </c>
      <c r="F2599" s="738"/>
      <c r="G2599" s="739">
        <v>0</v>
      </c>
      <c r="H2599" s="748">
        <f t="shared" si="726"/>
        <v>0</v>
      </c>
      <c r="I2599" s="741">
        <v>0</v>
      </c>
      <c r="J2599" s="749">
        <f t="shared" si="727"/>
        <v>0</v>
      </c>
      <c r="K2599" s="739">
        <f t="shared" si="728"/>
        <v>0</v>
      </c>
      <c r="L2599" s="1079"/>
      <c r="M2599" s="752"/>
      <c r="N2599" s="744">
        <f t="shared" si="731"/>
        <v>0</v>
      </c>
      <c r="O2599" s="745">
        <v>0</v>
      </c>
      <c r="P2599" s="737">
        <v>0</v>
      </c>
      <c r="Q2599" s="752"/>
      <c r="R2599" s="752"/>
      <c r="S2599" s="752"/>
    </row>
    <row r="2600" spans="1:19" s="682" customFormat="1" ht="24" customHeight="1">
      <c r="A2600" s="734"/>
      <c r="B2600" s="747" t="s">
        <v>469</v>
      </c>
      <c r="C2600" s="735" t="s">
        <v>515</v>
      </c>
      <c r="D2600" s="735"/>
      <c r="E2600" s="737">
        <f t="shared" si="730"/>
        <v>1</v>
      </c>
      <c r="F2600" s="738" t="s">
        <v>363</v>
      </c>
      <c r="G2600" s="739">
        <v>5013</v>
      </c>
      <c r="H2600" s="748">
        <f t="shared" si="726"/>
        <v>5013</v>
      </c>
      <c r="I2600" s="741">
        <v>2403</v>
      </c>
      <c r="J2600" s="749">
        <f t="shared" si="727"/>
        <v>2403</v>
      </c>
      <c r="K2600" s="739">
        <f t="shared" si="728"/>
        <v>7416</v>
      </c>
      <c r="L2600" s="1079"/>
      <c r="M2600" s="679"/>
      <c r="N2600" s="744">
        <f t="shared" si="731"/>
        <v>1</v>
      </c>
      <c r="O2600" s="745">
        <v>0</v>
      </c>
      <c r="P2600" s="737">
        <v>1</v>
      </c>
      <c r="Q2600" s="679"/>
      <c r="R2600" s="679"/>
      <c r="S2600" s="679"/>
    </row>
    <row r="2601" spans="1:19" s="682" customFormat="1" ht="24" customHeight="1">
      <c r="A2601" s="734"/>
      <c r="B2601" s="747"/>
      <c r="C2601" s="735" t="s">
        <v>516</v>
      </c>
      <c r="D2601" s="735"/>
      <c r="E2601" s="737">
        <f t="shared" si="730"/>
        <v>0</v>
      </c>
      <c r="F2601" s="738"/>
      <c r="G2601" s="739"/>
      <c r="H2601" s="748">
        <f t="shared" si="726"/>
        <v>0</v>
      </c>
      <c r="I2601" s="741"/>
      <c r="J2601" s="749">
        <f t="shared" si="727"/>
        <v>0</v>
      </c>
      <c r="K2601" s="739">
        <f t="shared" si="728"/>
        <v>0</v>
      </c>
      <c r="L2601" s="1079"/>
      <c r="M2601" s="679"/>
      <c r="N2601" s="744">
        <f t="shared" si="731"/>
        <v>0</v>
      </c>
      <c r="O2601" s="745">
        <v>0</v>
      </c>
      <c r="P2601" s="737">
        <v>0</v>
      </c>
      <c r="Q2601" s="679"/>
      <c r="R2601" s="679"/>
      <c r="S2601" s="679"/>
    </row>
    <row r="2602" spans="1:19" s="682" customFormat="1" ht="24" customHeight="1">
      <c r="A2602" s="734"/>
      <c r="B2602" s="747"/>
      <c r="C2602" s="735"/>
      <c r="D2602" s="735"/>
      <c r="E2602" s="737">
        <f t="shared" si="730"/>
        <v>0</v>
      </c>
      <c r="F2602" s="738"/>
      <c r="G2602" s="739"/>
      <c r="H2602" s="748">
        <f t="shared" si="726"/>
        <v>0</v>
      </c>
      <c r="I2602" s="741"/>
      <c r="J2602" s="749">
        <f t="shared" si="727"/>
        <v>0</v>
      </c>
      <c r="K2602" s="739">
        <f t="shared" si="728"/>
        <v>0</v>
      </c>
      <c r="L2602" s="1079"/>
      <c r="M2602" s="679"/>
      <c r="N2602" s="744">
        <f t="shared" si="731"/>
        <v>0</v>
      </c>
      <c r="O2602" s="745">
        <v>0</v>
      </c>
      <c r="P2602" s="737">
        <v>0</v>
      </c>
      <c r="Q2602" s="679"/>
      <c r="R2602" s="679"/>
      <c r="S2602" s="679"/>
    </row>
    <row r="2603" spans="1:19" s="756" customFormat="1" ht="24" customHeight="1">
      <c r="A2603" s="734"/>
      <c r="B2603" s="747" t="s">
        <v>469</v>
      </c>
      <c r="C2603" s="735" t="s">
        <v>517</v>
      </c>
      <c r="D2603" s="907"/>
      <c r="E2603" s="737">
        <f t="shared" si="730"/>
        <v>0</v>
      </c>
      <c r="F2603" s="738" t="s">
        <v>361</v>
      </c>
      <c r="G2603" s="739">
        <v>5075.5555555555557</v>
      </c>
      <c r="H2603" s="748">
        <f t="shared" si="726"/>
        <v>0</v>
      </c>
      <c r="I2603" s="741">
        <v>2545.7777777777778</v>
      </c>
      <c r="J2603" s="749">
        <f t="shared" si="727"/>
        <v>0</v>
      </c>
      <c r="K2603" s="739">
        <f t="shared" si="728"/>
        <v>0</v>
      </c>
      <c r="L2603" s="1079"/>
      <c r="M2603" s="755"/>
      <c r="N2603" s="744">
        <f t="shared" si="731"/>
        <v>0</v>
      </c>
      <c r="O2603" s="745">
        <v>0</v>
      </c>
      <c r="P2603" s="737">
        <v>0</v>
      </c>
      <c r="Q2603" s="755"/>
      <c r="R2603" s="755"/>
      <c r="S2603" s="755"/>
    </row>
    <row r="2604" spans="1:19" s="756" customFormat="1" ht="24" customHeight="1">
      <c r="A2604" s="734"/>
      <c r="B2604" s="747"/>
      <c r="C2604" s="735" t="s">
        <v>488</v>
      </c>
      <c r="D2604" s="907"/>
      <c r="E2604" s="737">
        <f t="shared" si="730"/>
        <v>0</v>
      </c>
      <c r="F2604" s="738"/>
      <c r="G2604" s="739">
        <v>0</v>
      </c>
      <c r="H2604" s="748">
        <f t="shared" si="726"/>
        <v>0</v>
      </c>
      <c r="I2604" s="741">
        <v>0</v>
      </c>
      <c r="J2604" s="749">
        <f t="shared" si="727"/>
        <v>0</v>
      </c>
      <c r="K2604" s="739">
        <f t="shared" si="728"/>
        <v>0</v>
      </c>
      <c r="L2604" s="1079"/>
      <c r="M2604" s="755"/>
      <c r="N2604" s="744">
        <f t="shared" si="731"/>
        <v>0</v>
      </c>
      <c r="O2604" s="745">
        <v>0</v>
      </c>
      <c r="P2604" s="737">
        <v>0</v>
      </c>
      <c r="Q2604" s="755"/>
      <c r="R2604" s="755"/>
      <c r="S2604" s="755"/>
    </row>
    <row r="2605" spans="1:19" s="753" customFormat="1" ht="24" customHeight="1">
      <c r="A2605" s="734"/>
      <c r="B2605" s="747" t="s">
        <v>469</v>
      </c>
      <c r="C2605" s="735" t="s">
        <v>518</v>
      </c>
      <c r="D2605" s="735"/>
      <c r="E2605" s="737">
        <f t="shared" si="730"/>
        <v>0</v>
      </c>
      <c r="F2605" s="738" t="s">
        <v>361</v>
      </c>
      <c r="G2605" s="739">
        <v>3886</v>
      </c>
      <c r="H2605" s="748">
        <f t="shared" si="726"/>
        <v>0</v>
      </c>
      <c r="I2605" s="741">
        <v>1238</v>
      </c>
      <c r="J2605" s="749">
        <f t="shared" si="727"/>
        <v>0</v>
      </c>
      <c r="K2605" s="739">
        <f t="shared" si="728"/>
        <v>0</v>
      </c>
      <c r="L2605" s="1079"/>
      <c r="M2605" s="752"/>
      <c r="N2605" s="744">
        <f t="shared" si="731"/>
        <v>0</v>
      </c>
      <c r="O2605" s="745">
        <v>0</v>
      </c>
      <c r="P2605" s="737">
        <v>0</v>
      </c>
      <c r="Q2605" s="752"/>
      <c r="R2605" s="752"/>
      <c r="S2605" s="752"/>
    </row>
    <row r="2606" spans="1:19" s="753" customFormat="1" ht="24" customHeight="1">
      <c r="A2606" s="734"/>
      <c r="B2606" s="747"/>
      <c r="C2606" s="735" t="s">
        <v>513</v>
      </c>
      <c r="D2606" s="735"/>
      <c r="E2606" s="737">
        <f t="shared" si="730"/>
        <v>0</v>
      </c>
      <c r="F2606" s="738"/>
      <c r="G2606" s="739">
        <v>0</v>
      </c>
      <c r="H2606" s="748">
        <f t="shared" si="726"/>
        <v>0</v>
      </c>
      <c r="I2606" s="741">
        <v>0</v>
      </c>
      <c r="J2606" s="749">
        <f t="shared" si="727"/>
        <v>0</v>
      </c>
      <c r="K2606" s="739">
        <f t="shared" si="728"/>
        <v>0</v>
      </c>
      <c r="L2606" s="1079"/>
      <c r="M2606" s="752"/>
      <c r="N2606" s="744">
        <f t="shared" si="731"/>
        <v>0</v>
      </c>
      <c r="O2606" s="745">
        <v>0</v>
      </c>
      <c r="P2606" s="737">
        <v>0</v>
      </c>
      <c r="Q2606" s="752"/>
      <c r="R2606" s="752"/>
      <c r="S2606" s="752"/>
    </row>
    <row r="2607" spans="1:19" s="682" customFormat="1" ht="24" customHeight="1">
      <c r="A2607" s="734"/>
      <c r="B2607" s="747" t="s">
        <v>469</v>
      </c>
      <c r="C2607" s="735" t="s">
        <v>519</v>
      </c>
      <c r="D2607" s="735"/>
      <c r="E2607" s="737">
        <f t="shared" si="730"/>
        <v>1</v>
      </c>
      <c r="F2607" s="738" t="s">
        <v>363</v>
      </c>
      <c r="G2607" s="739">
        <v>800</v>
      </c>
      <c r="H2607" s="748">
        <f t="shared" si="726"/>
        <v>800</v>
      </c>
      <c r="I2607" s="741">
        <v>70</v>
      </c>
      <c r="J2607" s="749">
        <f t="shared" si="727"/>
        <v>70</v>
      </c>
      <c r="K2607" s="739">
        <f t="shared" si="728"/>
        <v>870</v>
      </c>
      <c r="L2607" s="1079"/>
      <c r="M2607" s="679"/>
      <c r="N2607" s="744">
        <f t="shared" si="731"/>
        <v>1</v>
      </c>
      <c r="O2607" s="745">
        <v>0</v>
      </c>
      <c r="P2607" s="737">
        <v>1</v>
      </c>
      <c r="Q2607" s="679"/>
      <c r="R2607" s="679"/>
      <c r="S2607" s="679"/>
    </row>
    <row r="2608" spans="1:19" s="682" customFormat="1" ht="24" customHeight="1">
      <c r="A2608" s="734"/>
      <c r="B2608" s="747" t="s">
        <v>469</v>
      </c>
      <c r="C2608" s="735" t="s">
        <v>520</v>
      </c>
      <c r="D2608" s="735"/>
      <c r="E2608" s="737">
        <f t="shared" si="730"/>
        <v>0</v>
      </c>
      <c r="F2608" s="738" t="s">
        <v>361</v>
      </c>
      <c r="G2608" s="739">
        <v>190</v>
      </c>
      <c r="H2608" s="748">
        <f t="shared" si="726"/>
        <v>0</v>
      </c>
      <c r="I2608" s="741">
        <v>75</v>
      </c>
      <c r="J2608" s="749">
        <f t="shared" si="727"/>
        <v>0</v>
      </c>
      <c r="K2608" s="739">
        <f t="shared" si="728"/>
        <v>0</v>
      </c>
      <c r="L2608" s="1079"/>
      <c r="M2608" s="679"/>
      <c r="N2608" s="744">
        <f t="shared" si="731"/>
        <v>0</v>
      </c>
      <c r="O2608" s="745">
        <v>0</v>
      </c>
      <c r="P2608" s="737">
        <v>0</v>
      </c>
      <c r="Q2608" s="679"/>
      <c r="R2608" s="679"/>
      <c r="S2608" s="679"/>
    </row>
    <row r="2609" spans="1:19" s="682" customFormat="1" ht="24" customHeight="1">
      <c r="A2609" s="734"/>
      <c r="B2609" s="747"/>
      <c r="C2609" s="735"/>
      <c r="D2609" s="735"/>
      <c r="E2609" s="737">
        <f t="shared" si="730"/>
        <v>0</v>
      </c>
      <c r="F2609" s="738"/>
      <c r="G2609" s="739"/>
      <c r="H2609" s="748">
        <f t="shared" si="726"/>
        <v>0</v>
      </c>
      <c r="I2609" s="741"/>
      <c r="J2609" s="749">
        <f t="shared" si="727"/>
        <v>0</v>
      </c>
      <c r="K2609" s="739">
        <f t="shared" si="728"/>
        <v>0</v>
      </c>
      <c r="L2609" s="1079"/>
      <c r="M2609" s="679"/>
      <c r="N2609" s="744">
        <f t="shared" si="731"/>
        <v>0</v>
      </c>
      <c r="O2609" s="745">
        <v>0</v>
      </c>
      <c r="P2609" s="737">
        <v>0</v>
      </c>
      <c r="Q2609" s="679"/>
      <c r="R2609" s="679"/>
      <c r="S2609" s="679"/>
    </row>
    <row r="2610" spans="1:19" s="753" customFormat="1" ht="24" customHeight="1">
      <c r="A2610" s="734"/>
      <c r="B2610" s="735" t="s">
        <v>1073</v>
      </c>
      <c r="C2610" s="735"/>
      <c r="D2610" s="907"/>
      <c r="E2610" s="737">
        <f t="shared" si="730"/>
        <v>0</v>
      </c>
      <c r="F2610" s="738"/>
      <c r="G2610" s="739">
        <v>0</v>
      </c>
      <c r="H2610" s="748">
        <f t="shared" si="726"/>
        <v>0</v>
      </c>
      <c r="I2610" s="741">
        <v>0</v>
      </c>
      <c r="J2610" s="749">
        <f t="shared" si="727"/>
        <v>0</v>
      </c>
      <c r="K2610" s="739">
        <f t="shared" si="728"/>
        <v>0</v>
      </c>
      <c r="L2610" s="1079"/>
      <c r="M2610" s="752"/>
      <c r="N2610" s="744">
        <f t="shared" si="731"/>
        <v>0</v>
      </c>
      <c r="O2610" s="745">
        <v>0</v>
      </c>
      <c r="P2610" s="737">
        <v>0</v>
      </c>
      <c r="Q2610" s="752"/>
      <c r="R2610" s="752"/>
      <c r="S2610" s="752"/>
    </row>
    <row r="2611" spans="1:19" s="753" customFormat="1" ht="24" customHeight="1">
      <c r="A2611" s="734"/>
      <c r="B2611" s="747" t="s">
        <v>469</v>
      </c>
      <c r="C2611" s="735" t="s">
        <v>497</v>
      </c>
      <c r="D2611" s="735"/>
      <c r="E2611" s="737">
        <f t="shared" si="730"/>
        <v>6</v>
      </c>
      <c r="F2611" s="738" t="s">
        <v>363</v>
      </c>
      <c r="G2611" s="739">
        <v>1540</v>
      </c>
      <c r="H2611" s="748">
        <f t="shared" si="726"/>
        <v>9240</v>
      </c>
      <c r="I2611" s="741">
        <v>450</v>
      </c>
      <c r="J2611" s="749">
        <f t="shared" si="727"/>
        <v>2700</v>
      </c>
      <c r="K2611" s="739">
        <f t="shared" si="728"/>
        <v>11940</v>
      </c>
      <c r="L2611" s="1079"/>
      <c r="M2611" s="752"/>
      <c r="N2611" s="744">
        <f t="shared" si="731"/>
        <v>6</v>
      </c>
      <c r="O2611" s="745">
        <v>0</v>
      </c>
      <c r="P2611" s="737">
        <v>6</v>
      </c>
      <c r="Q2611" s="752"/>
      <c r="R2611" s="752"/>
      <c r="S2611" s="752"/>
    </row>
    <row r="2612" spans="1:19" s="753" customFormat="1" ht="24" customHeight="1">
      <c r="A2612" s="734"/>
      <c r="B2612" s="747" t="s">
        <v>469</v>
      </c>
      <c r="C2612" s="735" t="s">
        <v>498</v>
      </c>
      <c r="D2612" s="735"/>
      <c r="E2612" s="737">
        <f t="shared" si="730"/>
        <v>6</v>
      </c>
      <c r="F2612" s="738" t="s">
        <v>363</v>
      </c>
      <c r="G2612" s="739">
        <v>6640</v>
      </c>
      <c r="H2612" s="748">
        <f t="shared" si="726"/>
        <v>39840</v>
      </c>
      <c r="I2612" s="741">
        <v>200</v>
      </c>
      <c r="J2612" s="749">
        <f t="shared" si="727"/>
        <v>1200</v>
      </c>
      <c r="K2612" s="739">
        <f t="shared" si="728"/>
        <v>41040</v>
      </c>
      <c r="L2612" s="1079"/>
      <c r="M2612" s="752"/>
      <c r="N2612" s="744">
        <f t="shared" si="731"/>
        <v>6</v>
      </c>
      <c r="O2612" s="745">
        <v>0</v>
      </c>
      <c r="P2612" s="737">
        <v>6</v>
      </c>
      <c r="Q2612" s="752"/>
      <c r="R2612" s="752"/>
      <c r="S2612" s="752"/>
    </row>
    <row r="2613" spans="1:19" s="753" customFormat="1" ht="24" customHeight="1">
      <c r="A2613" s="734"/>
      <c r="B2613" s="747" t="s">
        <v>469</v>
      </c>
      <c r="C2613" s="735" t="s">
        <v>476</v>
      </c>
      <c r="D2613" s="735"/>
      <c r="E2613" s="737">
        <f t="shared" si="730"/>
        <v>6</v>
      </c>
      <c r="F2613" s="738" t="s">
        <v>363</v>
      </c>
      <c r="G2613" s="739">
        <v>336</v>
      </c>
      <c r="H2613" s="748">
        <f t="shared" si="726"/>
        <v>2016</v>
      </c>
      <c r="I2613" s="741">
        <v>0</v>
      </c>
      <c r="J2613" s="749">
        <f t="shared" si="727"/>
        <v>0</v>
      </c>
      <c r="K2613" s="739">
        <f t="shared" si="728"/>
        <v>2016</v>
      </c>
      <c r="L2613" s="1079"/>
      <c r="M2613" s="752"/>
      <c r="N2613" s="744">
        <f t="shared" si="731"/>
        <v>6</v>
      </c>
      <c r="O2613" s="745">
        <v>0</v>
      </c>
      <c r="P2613" s="737">
        <v>6</v>
      </c>
      <c r="Q2613" s="752"/>
      <c r="R2613" s="752"/>
      <c r="S2613" s="752"/>
    </row>
    <row r="2614" spans="1:19" s="753" customFormat="1" ht="24" customHeight="1">
      <c r="A2614" s="734"/>
      <c r="B2614" s="747" t="s">
        <v>469</v>
      </c>
      <c r="C2614" s="735" t="s">
        <v>477</v>
      </c>
      <c r="D2614" s="735"/>
      <c r="E2614" s="737">
        <f t="shared" si="730"/>
        <v>6</v>
      </c>
      <c r="F2614" s="738" t="s">
        <v>363</v>
      </c>
      <c r="G2614" s="739">
        <v>736</v>
      </c>
      <c r="H2614" s="748">
        <f t="shared" si="726"/>
        <v>4416</v>
      </c>
      <c r="I2614" s="741">
        <v>0</v>
      </c>
      <c r="J2614" s="749">
        <f t="shared" si="727"/>
        <v>0</v>
      </c>
      <c r="K2614" s="739">
        <f t="shared" si="728"/>
        <v>4416</v>
      </c>
      <c r="L2614" s="1079"/>
      <c r="M2614" s="752"/>
      <c r="N2614" s="744">
        <f t="shared" si="731"/>
        <v>6</v>
      </c>
      <c r="O2614" s="745">
        <v>0</v>
      </c>
      <c r="P2614" s="737">
        <v>6</v>
      </c>
      <c r="Q2614" s="752"/>
      <c r="R2614" s="752"/>
      <c r="S2614" s="752"/>
    </row>
    <row r="2615" spans="1:19" s="753" customFormat="1" ht="24" customHeight="1">
      <c r="A2615" s="734"/>
      <c r="B2615" s="747" t="s">
        <v>469</v>
      </c>
      <c r="C2615" s="735" t="s">
        <v>478</v>
      </c>
      <c r="D2615" s="735"/>
      <c r="E2615" s="737">
        <f t="shared" si="730"/>
        <v>6</v>
      </c>
      <c r="F2615" s="738" t="s">
        <v>363</v>
      </c>
      <c r="G2615" s="739">
        <v>176</v>
      </c>
      <c r="H2615" s="748">
        <f t="shared" si="726"/>
        <v>1056</v>
      </c>
      <c r="I2615" s="741">
        <v>0</v>
      </c>
      <c r="J2615" s="749">
        <f t="shared" si="727"/>
        <v>0</v>
      </c>
      <c r="K2615" s="739">
        <f t="shared" si="728"/>
        <v>1056</v>
      </c>
      <c r="L2615" s="1079"/>
      <c r="M2615" s="752"/>
      <c r="N2615" s="744">
        <f t="shared" si="731"/>
        <v>6</v>
      </c>
      <c r="O2615" s="745">
        <v>0</v>
      </c>
      <c r="P2615" s="737">
        <v>6</v>
      </c>
      <c r="Q2615" s="752"/>
      <c r="R2615" s="752"/>
      <c r="S2615" s="752"/>
    </row>
    <row r="2616" spans="1:19" s="753" customFormat="1" ht="24" customHeight="1">
      <c r="A2616" s="734"/>
      <c r="B2616" s="747" t="s">
        <v>469</v>
      </c>
      <c r="C2616" s="735" t="s">
        <v>499</v>
      </c>
      <c r="D2616" s="735"/>
      <c r="E2616" s="737">
        <f t="shared" si="730"/>
        <v>6</v>
      </c>
      <c r="F2616" s="738" t="s">
        <v>363</v>
      </c>
      <c r="G2616" s="739">
        <v>216</v>
      </c>
      <c r="H2616" s="748">
        <f t="shared" si="726"/>
        <v>1296</v>
      </c>
      <c r="I2616" s="741">
        <v>35</v>
      </c>
      <c r="J2616" s="749">
        <f t="shared" si="727"/>
        <v>210</v>
      </c>
      <c r="K2616" s="739">
        <f t="shared" si="728"/>
        <v>1506</v>
      </c>
      <c r="L2616" s="1079"/>
      <c r="M2616" s="752"/>
      <c r="N2616" s="744">
        <f t="shared" si="731"/>
        <v>6</v>
      </c>
      <c r="O2616" s="745">
        <v>0</v>
      </c>
      <c r="P2616" s="737">
        <v>6</v>
      </c>
      <c r="Q2616" s="752"/>
      <c r="R2616" s="752"/>
      <c r="S2616" s="752"/>
    </row>
    <row r="2617" spans="1:19" s="753" customFormat="1" ht="24" customHeight="1">
      <c r="A2617" s="734"/>
      <c r="B2617" s="747"/>
      <c r="C2617" s="736"/>
      <c r="D2617" s="907"/>
      <c r="E2617" s="737">
        <f t="shared" si="730"/>
        <v>0</v>
      </c>
      <c r="F2617" s="738"/>
      <c r="G2617" s="739">
        <v>0</v>
      </c>
      <c r="H2617" s="748">
        <f t="shared" si="726"/>
        <v>0</v>
      </c>
      <c r="I2617" s="741">
        <v>0</v>
      </c>
      <c r="J2617" s="749">
        <f t="shared" si="727"/>
        <v>0</v>
      </c>
      <c r="K2617" s="739">
        <f t="shared" si="728"/>
        <v>0</v>
      </c>
      <c r="L2617" s="1079"/>
      <c r="M2617" s="752"/>
      <c r="N2617" s="744">
        <f t="shared" si="731"/>
        <v>0</v>
      </c>
      <c r="O2617" s="745">
        <v>0</v>
      </c>
      <c r="P2617" s="737">
        <v>0</v>
      </c>
      <c r="Q2617" s="752"/>
      <c r="R2617" s="752"/>
      <c r="S2617" s="752"/>
    </row>
    <row r="2618" spans="1:19" s="753" customFormat="1" ht="24" customHeight="1">
      <c r="A2618" s="734"/>
      <c r="B2618" s="747" t="s">
        <v>469</v>
      </c>
      <c r="C2618" s="735" t="s">
        <v>492</v>
      </c>
      <c r="D2618" s="735"/>
      <c r="E2618" s="737">
        <f t="shared" si="730"/>
        <v>10</v>
      </c>
      <c r="F2618" s="738" t="s">
        <v>363</v>
      </c>
      <c r="G2618" s="739">
        <v>9375</v>
      </c>
      <c r="H2618" s="748">
        <f t="shared" si="726"/>
        <v>93750</v>
      </c>
      <c r="I2618" s="741">
        <v>450</v>
      </c>
      <c r="J2618" s="749">
        <f t="shared" si="727"/>
        <v>4500</v>
      </c>
      <c r="K2618" s="739">
        <f t="shared" si="728"/>
        <v>98250</v>
      </c>
      <c r="L2618" s="1079"/>
      <c r="M2618" s="752"/>
      <c r="N2618" s="744">
        <f t="shared" si="731"/>
        <v>10</v>
      </c>
      <c r="O2618" s="745">
        <v>0</v>
      </c>
      <c r="P2618" s="737">
        <v>10</v>
      </c>
      <c r="Q2618" s="752"/>
      <c r="R2618" s="752"/>
      <c r="S2618" s="752"/>
    </row>
    <row r="2619" spans="1:19" s="753" customFormat="1" ht="24" customHeight="1">
      <c r="A2619" s="734"/>
      <c r="B2619" s="747" t="s">
        <v>469</v>
      </c>
      <c r="C2619" s="735" t="s">
        <v>500</v>
      </c>
      <c r="D2619" s="735"/>
      <c r="E2619" s="737">
        <f t="shared" si="730"/>
        <v>10</v>
      </c>
      <c r="F2619" s="738" t="s">
        <v>363</v>
      </c>
      <c r="G2619" s="739">
        <v>12752</v>
      </c>
      <c r="H2619" s="748">
        <f t="shared" si="726"/>
        <v>127520</v>
      </c>
      <c r="I2619" s="741">
        <v>0</v>
      </c>
      <c r="J2619" s="749">
        <f t="shared" si="727"/>
        <v>0</v>
      </c>
      <c r="K2619" s="739">
        <f t="shared" si="728"/>
        <v>127520</v>
      </c>
      <c r="L2619" s="1079"/>
      <c r="M2619" s="752"/>
      <c r="N2619" s="744">
        <f t="shared" si="731"/>
        <v>10</v>
      </c>
      <c r="O2619" s="745">
        <v>0</v>
      </c>
      <c r="P2619" s="737">
        <v>10</v>
      </c>
      <c r="Q2619" s="752"/>
      <c r="R2619" s="752"/>
      <c r="S2619" s="752"/>
    </row>
    <row r="2620" spans="1:19" s="753" customFormat="1" ht="24" customHeight="1">
      <c r="A2620" s="734"/>
      <c r="B2620" s="747" t="s">
        <v>469</v>
      </c>
      <c r="C2620" s="735" t="s">
        <v>501</v>
      </c>
      <c r="D2620" s="735"/>
      <c r="E2620" s="737">
        <v>0</v>
      </c>
      <c r="F2620" s="738" t="s">
        <v>363</v>
      </c>
      <c r="G2620" s="739">
        <v>1950</v>
      </c>
      <c r="H2620" s="748">
        <f t="shared" si="726"/>
        <v>0</v>
      </c>
      <c r="I2620" s="741">
        <v>35</v>
      </c>
      <c r="J2620" s="749">
        <f t="shared" si="727"/>
        <v>0</v>
      </c>
      <c r="K2620" s="739">
        <f t="shared" si="728"/>
        <v>0</v>
      </c>
      <c r="L2620" s="1079"/>
      <c r="M2620" s="752"/>
      <c r="N2620" s="744">
        <f t="shared" si="731"/>
        <v>10</v>
      </c>
      <c r="O2620" s="745">
        <v>0</v>
      </c>
      <c r="P2620" s="737">
        <v>10</v>
      </c>
      <c r="Q2620" s="752"/>
      <c r="R2620" s="752"/>
      <c r="S2620" s="752"/>
    </row>
    <row r="2621" spans="1:19" s="753" customFormat="1" ht="24" customHeight="1">
      <c r="A2621" s="734"/>
      <c r="B2621" s="747" t="s">
        <v>469</v>
      </c>
      <c r="C2621" s="735" t="s">
        <v>502</v>
      </c>
      <c r="D2621" s="735"/>
      <c r="E2621" s="737">
        <f t="shared" si="730"/>
        <v>10</v>
      </c>
      <c r="F2621" s="738" t="s">
        <v>363</v>
      </c>
      <c r="G2621" s="739">
        <v>216</v>
      </c>
      <c r="H2621" s="748">
        <f t="shared" si="726"/>
        <v>2160</v>
      </c>
      <c r="I2621" s="741">
        <v>35</v>
      </c>
      <c r="J2621" s="749">
        <f t="shared" si="727"/>
        <v>350</v>
      </c>
      <c r="K2621" s="739">
        <f t="shared" si="728"/>
        <v>2510</v>
      </c>
      <c r="L2621" s="1079"/>
      <c r="M2621" s="752"/>
      <c r="N2621" s="744">
        <f t="shared" si="731"/>
        <v>10</v>
      </c>
      <c r="O2621" s="745">
        <v>0</v>
      </c>
      <c r="P2621" s="737">
        <v>10</v>
      </c>
      <c r="Q2621" s="752"/>
      <c r="R2621" s="752"/>
      <c r="S2621" s="752"/>
    </row>
    <row r="2622" spans="1:19" s="753" customFormat="1" ht="24" customHeight="1">
      <c r="A2622" s="734"/>
      <c r="B2622" s="747"/>
      <c r="C2622" s="735"/>
      <c r="D2622" s="735"/>
      <c r="E2622" s="737">
        <f t="shared" si="730"/>
        <v>0</v>
      </c>
      <c r="F2622" s="738"/>
      <c r="G2622" s="739"/>
      <c r="H2622" s="748">
        <f t="shared" si="726"/>
        <v>0</v>
      </c>
      <c r="I2622" s="741"/>
      <c r="J2622" s="749">
        <f t="shared" si="727"/>
        <v>0</v>
      </c>
      <c r="K2622" s="739">
        <f t="shared" si="728"/>
        <v>0</v>
      </c>
      <c r="L2622" s="1079"/>
      <c r="M2622" s="752"/>
      <c r="N2622" s="744">
        <f t="shared" si="731"/>
        <v>0</v>
      </c>
      <c r="O2622" s="745">
        <v>0</v>
      </c>
      <c r="P2622" s="737">
        <v>0</v>
      </c>
      <c r="Q2622" s="752"/>
      <c r="R2622" s="752"/>
      <c r="S2622" s="752"/>
    </row>
    <row r="2623" spans="1:19" s="753" customFormat="1" ht="24" customHeight="1">
      <c r="A2623" s="734"/>
      <c r="B2623" s="747" t="s">
        <v>484</v>
      </c>
      <c r="C2623" s="735" t="s">
        <v>485</v>
      </c>
      <c r="D2623" s="735"/>
      <c r="E2623" s="737">
        <f t="shared" si="730"/>
        <v>7</v>
      </c>
      <c r="F2623" s="738" t="s">
        <v>363</v>
      </c>
      <c r="G2623" s="739">
        <v>285</v>
      </c>
      <c r="H2623" s="748">
        <f t="shared" si="726"/>
        <v>1995</v>
      </c>
      <c r="I2623" s="741">
        <v>75</v>
      </c>
      <c r="J2623" s="749">
        <f t="shared" si="727"/>
        <v>525</v>
      </c>
      <c r="K2623" s="739">
        <f t="shared" si="728"/>
        <v>2520</v>
      </c>
      <c r="L2623" s="1093"/>
      <c r="M2623" s="752"/>
      <c r="N2623" s="744">
        <f t="shared" si="731"/>
        <v>7</v>
      </c>
      <c r="O2623" s="745">
        <v>0</v>
      </c>
      <c r="P2623" s="737">
        <v>7</v>
      </c>
      <c r="Q2623" s="752"/>
      <c r="R2623" s="752"/>
      <c r="S2623" s="752"/>
    </row>
    <row r="2624" spans="1:19" s="753" customFormat="1" ht="24" customHeight="1">
      <c r="A2624" s="734"/>
      <c r="B2624" s="747" t="s">
        <v>469</v>
      </c>
      <c r="C2624" s="735" t="s">
        <v>486</v>
      </c>
      <c r="D2624" s="735"/>
      <c r="E2624" s="737">
        <f t="shared" si="730"/>
        <v>1</v>
      </c>
      <c r="F2624" s="738" t="s">
        <v>363</v>
      </c>
      <c r="G2624" s="739">
        <v>552</v>
      </c>
      <c r="H2624" s="748">
        <f t="shared" si="726"/>
        <v>552</v>
      </c>
      <c r="I2624" s="741">
        <v>25</v>
      </c>
      <c r="J2624" s="749">
        <f t="shared" si="727"/>
        <v>25</v>
      </c>
      <c r="K2624" s="739">
        <f t="shared" si="728"/>
        <v>577</v>
      </c>
      <c r="L2624" s="1079"/>
      <c r="M2624" s="752"/>
      <c r="N2624" s="744">
        <f t="shared" si="731"/>
        <v>1</v>
      </c>
      <c r="O2624" s="745">
        <v>0</v>
      </c>
      <c r="P2624" s="737">
        <v>1</v>
      </c>
      <c r="Q2624" s="752"/>
      <c r="R2624" s="752"/>
      <c r="S2624" s="752"/>
    </row>
    <row r="2625" spans="1:19" s="753" customFormat="1" ht="24" customHeight="1">
      <c r="A2625" s="734"/>
      <c r="B2625" s="747" t="s">
        <v>469</v>
      </c>
      <c r="C2625" s="735" t="s">
        <v>507</v>
      </c>
      <c r="D2625" s="735"/>
      <c r="E2625" s="737">
        <f t="shared" si="730"/>
        <v>1</v>
      </c>
      <c r="F2625" s="738" t="s">
        <v>363</v>
      </c>
      <c r="G2625" s="739">
        <v>1650</v>
      </c>
      <c r="H2625" s="748">
        <f t="shared" si="726"/>
        <v>1650</v>
      </c>
      <c r="I2625" s="741">
        <v>70</v>
      </c>
      <c r="J2625" s="749">
        <f t="shared" si="727"/>
        <v>70</v>
      </c>
      <c r="K2625" s="739">
        <f t="shared" si="728"/>
        <v>1720</v>
      </c>
      <c r="L2625" s="1079"/>
      <c r="M2625" s="752"/>
      <c r="N2625" s="744">
        <f t="shared" si="731"/>
        <v>1</v>
      </c>
      <c r="O2625" s="745">
        <v>0</v>
      </c>
      <c r="P2625" s="737">
        <v>1</v>
      </c>
      <c r="Q2625" s="752"/>
      <c r="R2625" s="752"/>
      <c r="S2625" s="752"/>
    </row>
    <row r="2626" spans="1:19" s="753" customFormat="1" ht="24" customHeight="1">
      <c r="A2626" s="734"/>
      <c r="B2626" s="747" t="s">
        <v>469</v>
      </c>
      <c r="C2626" s="735" t="s">
        <v>508</v>
      </c>
      <c r="D2626" s="735"/>
      <c r="E2626" s="737">
        <f t="shared" si="730"/>
        <v>10</v>
      </c>
      <c r="F2626" s="738" t="s">
        <v>363</v>
      </c>
      <c r="G2626" s="739">
        <v>13500</v>
      </c>
      <c r="H2626" s="748">
        <f t="shared" si="726"/>
        <v>135000</v>
      </c>
      <c r="I2626" s="741">
        <v>750</v>
      </c>
      <c r="J2626" s="749">
        <f t="shared" si="727"/>
        <v>7500</v>
      </c>
      <c r="K2626" s="739">
        <f t="shared" si="728"/>
        <v>142500</v>
      </c>
      <c r="L2626" s="1079"/>
      <c r="M2626" s="752"/>
      <c r="N2626" s="744">
        <f t="shared" si="731"/>
        <v>10</v>
      </c>
      <c r="O2626" s="745">
        <v>0</v>
      </c>
      <c r="P2626" s="737">
        <v>10</v>
      </c>
      <c r="Q2626" s="752"/>
      <c r="R2626" s="752"/>
      <c r="S2626" s="752"/>
    </row>
    <row r="2627" spans="1:19" s="682" customFormat="1" ht="24" customHeight="1">
      <c r="A2627" s="734"/>
      <c r="B2627" s="747" t="s">
        <v>469</v>
      </c>
      <c r="C2627" s="735" t="s">
        <v>509</v>
      </c>
      <c r="D2627" s="735"/>
      <c r="E2627" s="737">
        <f t="shared" si="730"/>
        <v>1</v>
      </c>
      <c r="F2627" s="738" t="s">
        <v>363</v>
      </c>
      <c r="G2627" s="739">
        <v>14476</v>
      </c>
      <c r="H2627" s="748">
        <f t="shared" si="726"/>
        <v>14476</v>
      </c>
      <c r="I2627" s="741">
        <v>5367</v>
      </c>
      <c r="J2627" s="749">
        <f t="shared" si="727"/>
        <v>5367</v>
      </c>
      <c r="K2627" s="739">
        <f t="shared" si="728"/>
        <v>19843</v>
      </c>
      <c r="L2627" s="1079"/>
      <c r="M2627" s="679"/>
      <c r="N2627" s="744">
        <f t="shared" si="731"/>
        <v>1</v>
      </c>
      <c r="O2627" s="745">
        <v>0</v>
      </c>
      <c r="P2627" s="737">
        <v>1</v>
      </c>
      <c r="Q2627" s="679"/>
      <c r="R2627" s="679"/>
      <c r="S2627" s="679"/>
    </row>
    <row r="2628" spans="1:19" s="753" customFormat="1" ht="24" customHeight="1">
      <c r="A2628" s="734"/>
      <c r="B2628" s="747"/>
      <c r="C2628" s="735"/>
      <c r="D2628" s="907"/>
      <c r="E2628" s="737">
        <f t="shared" si="730"/>
        <v>0</v>
      </c>
      <c r="F2628" s="738"/>
      <c r="G2628" s="739">
        <v>0</v>
      </c>
      <c r="H2628" s="748">
        <f t="shared" si="726"/>
        <v>0</v>
      </c>
      <c r="I2628" s="741">
        <v>0</v>
      </c>
      <c r="J2628" s="749">
        <f t="shared" si="727"/>
        <v>0</v>
      </c>
      <c r="K2628" s="739">
        <f t="shared" si="728"/>
        <v>0</v>
      </c>
      <c r="L2628" s="1079"/>
      <c r="M2628" s="752"/>
      <c r="N2628" s="744">
        <f t="shared" si="731"/>
        <v>0</v>
      </c>
      <c r="O2628" s="745">
        <v>0</v>
      </c>
      <c r="P2628" s="737">
        <v>0</v>
      </c>
      <c r="Q2628" s="752"/>
      <c r="R2628" s="752"/>
      <c r="S2628" s="752"/>
    </row>
    <row r="2629" spans="1:19" s="753" customFormat="1" ht="24" customHeight="1">
      <c r="A2629" s="734"/>
      <c r="B2629" s="747" t="s">
        <v>469</v>
      </c>
      <c r="C2629" s="735" t="s">
        <v>510</v>
      </c>
      <c r="D2629" s="735"/>
      <c r="E2629" s="737">
        <f t="shared" si="730"/>
        <v>5.8</v>
      </c>
      <c r="F2629" s="738" t="s">
        <v>361</v>
      </c>
      <c r="G2629" s="739">
        <v>2694</v>
      </c>
      <c r="H2629" s="748">
        <f t="shared" si="726"/>
        <v>15625.199999999999</v>
      </c>
      <c r="I2629" s="741">
        <v>1288</v>
      </c>
      <c r="J2629" s="749">
        <f t="shared" si="727"/>
        <v>7470.4</v>
      </c>
      <c r="K2629" s="739">
        <f t="shared" si="728"/>
        <v>23095.599999999999</v>
      </c>
      <c r="L2629" s="1079"/>
      <c r="M2629" s="752"/>
      <c r="N2629" s="744">
        <f t="shared" si="731"/>
        <v>5.8</v>
      </c>
      <c r="O2629" s="745">
        <v>0</v>
      </c>
      <c r="P2629" s="737">
        <v>5.8</v>
      </c>
      <c r="Q2629" s="752"/>
      <c r="R2629" s="752"/>
      <c r="S2629" s="752"/>
    </row>
    <row r="2630" spans="1:19" s="753" customFormat="1" ht="24" customHeight="1">
      <c r="A2630" s="734"/>
      <c r="B2630" s="747"/>
      <c r="C2630" s="735" t="s">
        <v>511</v>
      </c>
      <c r="D2630" s="735"/>
      <c r="E2630" s="737">
        <f t="shared" si="730"/>
        <v>0</v>
      </c>
      <c r="F2630" s="738"/>
      <c r="G2630" s="739"/>
      <c r="H2630" s="748">
        <f t="shared" si="726"/>
        <v>0</v>
      </c>
      <c r="I2630" s="741"/>
      <c r="J2630" s="749">
        <f t="shared" si="727"/>
        <v>0</v>
      </c>
      <c r="K2630" s="739">
        <f t="shared" si="728"/>
        <v>0</v>
      </c>
      <c r="L2630" s="1079"/>
      <c r="M2630" s="752"/>
      <c r="N2630" s="744">
        <f t="shared" si="731"/>
        <v>0</v>
      </c>
      <c r="O2630" s="745">
        <v>0</v>
      </c>
      <c r="P2630" s="737">
        <v>0</v>
      </c>
      <c r="Q2630" s="752"/>
      <c r="R2630" s="752"/>
      <c r="S2630" s="752"/>
    </row>
    <row r="2631" spans="1:19" s="753" customFormat="1" ht="24" customHeight="1">
      <c r="A2631" s="734"/>
      <c r="B2631" s="747" t="s">
        <v>469</v>
      </c>
      <c r="C2631" s="735" t="s">
        <v>512</v>
      </c>
      <c r="D2631" s="735"/>
      <c r="E2631" s="737">
        <f t="shared" si="730"/>
        <v>5.8</v>
      </c>
      <c r="F2631" s="738" t="s">
        <v>361</v>
      </c>
      <c r="G2631" s="739">
        <v>3886</v>
      </c>
      <c r="H2631" s="748">
        <f t="shared" si="726"/>
        <v>22538.799999999999</v>
      </c>
      <c r="I2631" s="741">
        <v>1238</v>
      </c>
      <c r="J2631" s="749">
        <f t="shared" si="727"/>
        <v>7180.4</v>
      </c>
      <c r="K2631" s="739">
        <f t="shared" si="728"/>
        <v>29719.199999999997</v>
      </c>
      <c r="L2631" s="1079"/>
      <c r="M2631" s="752"/>
      <c r="N2631" s="744">
        <f t="shared" si="731"/>
        <v>5.8</v>
      </c>
      <c r="O2631" s="745">
        <v>0</v>
      </c>
      <c r="P2631" s="737">
        <v>5.8</v>
      </c>
      <c r="Q2631" s="752"/>
      <c r="R2631" s="752"/>
      <c r="S2631" s="752"/>
    </row>
    <row r="2632" spans="1:19" s="753" customFormat="1" ht="24" customHeight="1">
      <c r="A2632" s="734"/>
      <c r="B2632" s="747"/>
      <c r="C2632" s="735" t="s">
        <v>513</v>
      </c>
      <c r="D2632" s="735"/>
      <c r="E2632" s="737">
        <f t="shared" si="730"/>
        <v>0</v>
      </c>
      <c r="F2632" s="738"/>
      <c r="G2632" s="739">
        <v>0</v>
      </c>
      <c r="H2632" s="748">
        <f t="shared" si="726"/>
        <v>0</v>
      </c>
      <c r="I2632" s="741">
        <v>0</v>
      </c>
      <c r="J2632" s="749">
        <f t="shared" si="727"/>
        <v>0</v>
      </c>
      <c r="K2632" s="739">
        <f t="shared" si="728"/>
        <v>0</v>
      </c>
      <c r="L2632" s="1079"/>
      <c r="M2632" s="752"/>
      <c r="N2632" s="744">
        <f t="shared" si="731"/>
        <v>0</v>
      </c>
      <c r="O2632" s="745">
        <v>0</v>
      </c>
      <c r="P2632" s="737">
        <v>0</v>
      </c>
      <c r="Q2632" s="752"/>
      <c r="R2632" s="752"/>
      <c r="S2632" s="752"/>
    </row>
    <row r="2633" spans="1:19" s="753" customFormat="1" ht="24" customHeight="1">
      <c r="A2633" s="734"/>
      <c r="B2633" s="747" t="s">
        <v>469</v>
      </c>
      <c r="C2633" s="735" t="s">
        <v>521</v>
      </c>
      <c r="D2633" s="735"/>
      <c r="E2633" s="737">
        <f t="shared" si="730"/>
        <v>9</v>
      </c>
      <c r="F2633" s="738" t="s">
        <v>361</v>
      </c>
      <c r="G2633" s="739">
        <v>1522</v>
      </c>
      <c r="H2633" s="748">
        <f t="shared" si="726"/>
        <v>13698</v>
      </c>
      <c r="I2633" s="741">
        <v>315</v>
      </c>
      <c r="J2633" s="749">
        <f t="shared" si="727"/>
        <v>2835</v>
      </c>
      <c r="K2633" s="739">
        <f t="shared" si="728"/>
        <v>16533</v>
      </c>
      <c r="L2633" s="1079"/>
      <c r="M2633" s="752"/>
      <c r="N2633" s="744">
        <f t="shared" si="731"/>
        <v>9</v>
      </c>
      <c r="O2633" s="745">
        <v>0</v>
      </c>
      <c r="P2633" s="737">
        <v>9</v>
      </c>
      <c r="Q2633" s="752"/>
      <c r="R2633" s="752"/>
      <c r="S2633" s="752"/>
    </row>
    <row r="2634" spans="1:19" s="753" customFormat="1" ht="24" customHeight="1">
      <c r="A2634" s="734"/>
      <c r="B2634" s="747"/>
      <c r="C2634" s="735"/>
      <c r="D2634" s="735"/>
      <c r="E2634" s="737">
        <f t="shared" si="730"/>
        <v>0</v>
      </c>
      <c r="F2634" s="738"/>
      <c r="G2634" s="739">
        <v>0</v>
      </c>
      <c r="H2634" s="748">
        <f t="shared" si="726"/>
        <v>0</v>
      </c>
      <c r="I2634" s="741">
        <v>0</v>
      </c>
      <c r="J2634" s="749">
        <f t="shared" si="727"/>
        <v>0</v>
      </c>
      <c r="K2634" s="739">
        <f t="shared" si="728"/>
        <v>0</v>
      </c>
      <c r="L2634" s="1079"/>
      <c r="M2634" s="752"/>
      <c r="N2634" s="744">
        <f t="shared" si="731"/>
        <v>0</v>
      </c>
      <c r="O2634" s="745">
        <v>0</v>
      </c>
      <c r="P2634" s="737">
        <v>0</v>
      </c>
      <c r="Q2634" s="752"/>
      <c r="R2634" s="752"/>
      <c r="S2634" s="752"/>
    </row>
    <row r="2635" spans="1:19" s="682" customFormat="1" ht="24" customHeight="1">
      <c r="A2635" s="734"/>
      <c r="B2635" s="747" t="s">
        <v>469</v>
      </c>
      <c r="C2635" s="735" t="s">
        <v>515</v>
      </c>
      <c r="D2635" s="735"/>
      <c r="E2635" s="737">
        <f t="shared" si="730"/>
        <v>1</v>
      </c>
      <c r="F2635" s="738" t="s">
        <v>363</v>
      </c>
      <c r="G2635" s="739">
        <v>5013</v>
      </c>
      <c r="H2635" s="748">
        <f t="shared" ref="H2635:H2698" si="732">SUM(E2635*G2635)</f>
        <v>5013</v>
      </c>
      <c r="I2635" s="741">
        <v>2403</v>
      </c>
      <c r="J2635" s="749">
        <f t="shared" ref="J2635:J2698" si="733">SUM(E2635*I2635)</f>
        <v>2403</v>
      </c>
      <c r="K2635" s="739">
        <f t="shared" ref="K2635:K2698" si="734">SUM(H2635+J2635)</f>
        <v>7416</v>
      </c>
      <c r="L2635" s="1079"/>
      <c r="M2635" s="679"/>
      <c r="N2635" s="744">
        <f t="shared" si="731"/>
        <v>1</v>
      </c>
      <c r="O2635" s="745">
        <v>0</v>
      </c>
      <c r="P2635" s="737">
        <v>1</v>
      </c>
      <c r="Q2635" s="679"/>
      <c r="R2635" s="679"/>
      <c r="S2635" s="679"/>
    </row>
    <row r="2636" spans="1:19" s="682" customFormat="1" ht="24" customHeight="1">
      <c r="A2636" s="734"/>
      <c r="B2636" s="747"/>
      <c r="C2636" s="735" t="s">
        <v>516</v>
      </c>
      <c r="D2636" s="735"/>
      <c r="E2636" s="737">
        <f t="shared" si="730"/>
        <v>0</v>
      </c>
      <c r="F2636" s="738"/>
      <c r="G2636" s="739"/>
      <c r="H2636" s="748">
        <f t="shared" si="732"/>
        <v>0</v>
      </c>
      <c r="I2636" s="741"/>
      <c r="J2636" s="749">
        <f t="shared" si="733"/>
        <v>0</v>
      </c>
      <c r="K2636" s="739">
        <f t="shared" si="734"/>
        <v>0</v>
      </c>
      <c r="L2636" s="1079"/>
      <c r="M2636" s="679"/>
      <c r="N2636" s="744">
        <f t="shared" si="731"/>
        <v>0</v>
      </c>
      <c r="O2636" s="745">
        <v>0</v>
      </c>
      <c r="P2636" s="737">
        <v>0</v>
      </c>
      <c r="Q2636" s="679"/>
      <c r="R2636" s="679"/>
      <c r="S2636" s="679"/>
    </row>
    <row r="2637" spans="1:19" s="682" customFormat="1" ht="24" customHeight="1">
      <c r="A2637" s="734"/>
      <c r="B2637" s="747"/>
      <c r="C2637" s="735"/>
      <c r="D2637" s="735"/>
      <c r="E2637" s="737">
        <f t="shared" si="730"/>
        <v>0</v>
      </c>
      <c r="F2637" s="738"/>
      <c r="G2637" s="739"/>
      <c r="H2637" s="748">
        <f t="shared" si="732"/>
        <v>0</v>
      </c>
      <c r="I2637" s="741"/>
      <c r="J2637" s="749">
        <f t="shared" si="733"/>
        <v>0</v>
      </c>
      <c r="K2637" s="739">
        <f t="shared" si="734"/>
        <v>0</v>
      </c>
      <c r="L2637" s="1079"/>
      <c r="M2637" s="679"/>
      <c r="N2637" s="744">
        <f t="shared" si="731"/>
        <v>0</v>
      </c>
      <c r="O2637" s="745">
        <v>0</v>
      </c>
      <c r="P2637" s="737">
        <v>0</v>
      </c>
      <c r="Q2637" s="679"/>
      <c r="R2637" s="679"/>
      <c r="S2637" s="679"/>
    </row>
    <row r="2638" spans="1:19" s="756" customFormat="1" ht="24" customHeight="1">
      <c r="A2638" s="734"/>
      <c r="B2638" s="747" t="s">
        <v>469</v>
      </c>
      <c r="C2638" s="735" t="s">
        <v>517</v>
      </c>
      <c r="D2638" s="907"/>
      <c r="E2638" s="737">
        <f t="shared" ref="E2638:E2702" si="735">+N2638</f>
        <v>0</v>
      </c>
      <c r="F2638" s="738" t="s">
        <v>361</v>
      </c>
      <c r="G2638" s="739">
        <v>5075.5555555555557</v>
      </c>
      <c r="H2638" s="748">
        <f t="shared" si="732"/>
        <v>0</v>
      </c>
      <c r="I2638" s="741">
        <v>2545.7777777777778</v>
      </c>
      <c r="J2638" s="749">
        <f t="shared" si="733"/>
        <v>0</v>
      </c>
      <c r="K2638" s="739">
        <f t="shared" si="734"/>
        <v>0</v>
      </c>
      <c r="L2638" s="1079"/>
      <c r="M2638" s="755"/>
      <c r="N2638" s="744">
        <f t="shared" si="731"/>
        <v>0</v>
      </c>
      <c r="O2638" s="745">
        <v>0</v>
      </c>
      <c r="P2638" s="737">
        <v>0</v>
      </c>
      <c r="Q2638" s="755"/>
      <c r="R2638" s="755"/>
      <c r="S2638" s="755"/>
    </row>
    <row r="2639" spans="1:19" s="756" customFormat="1" ht="24" customHeight="1">
      <c r="A2639" s="734"/>
      <c r="B2639" s="747"/>
      <c r="C2639" s="735" t="s">
        <v>488</v>
      </c>
      <c r="D2639" s="907"/>
      <c r="E2639" s="737">
        <f t="shared" si="735"/>
        <v>0</v>
      </c>
      <c r="F2639" s="738"/>
      <c r="G2639" s="739">
        <v>0</v>
      </c>
      <c r="H2639" s="748">
        <f t="shared" si="732"/>
        <v>0</v>
      </c>
      <c r="I2639" s="741">
        <v>0</v>
      </c>
      <c r="J2639" s="749">
        <f t="shared" si="733"/>
        <v>0</v>
      </c>
      <c r="K2639" s="739">
        <f t="shared" si="734"/>
        <v>0</v>
      </c>
      <c r="L2639" s="1079"/>
      <c r="M2639" s="755"/>
      <c r="N2639" s="744">
        <f t="shared" si="731"/>
        <v>0</v>
      </c>
      <c r="O2639" s="745">
        <v>0</v>
      </c>
      <c r="P2639" s="737">
        <v>0</v>
      </c>
      <c r="Q2639" s="755"/>
      <c r="R2639" s="755"/>
      <c r="S2639" s="755"/>
    </row>
    <row r="2640" spans="1:19" s="753" customFormat="1" ht="24" customHeight="1">
      <c r="A2640" s="734"/>
      <c r="B2640" s="747" t="s">
        <v>469</v>
      </c>
      <c r="C2640" s="735" t="s">
        <v>518</v>
      </c>
      <c r="D2640" s="735"/>
      <c r="E2640" s="737">
        <f t="shared" si="735"/>
        <v>0</v>
      </c>
      <c r="F2640" s="738" t="s">
        <v>361</v>
      </c>
      <c r="G2640" s="739">
        <v>3886</v>
      </c>
      <c r="H2640" s="748">
        <f t="shared" si="732"/>
        <v>0</v>
      </c>
      <c r="I2640" s="741">
        <v>1238</v>
      </c>
      <c r="J2640" s="749">
        <f t="shared" si="733"/>
        <v>0</v>
      </c>
      <c r="K2640" s="739">
        <f t="shared" si="734"/>
        <v>0</v>
      </c>
      <c r="L2640" s="1079"/>
      <c r="M2640" s="752"/>
      <c r="N2640" s="744">
        <f t="shared" si="731"/>
        <v>0</v>
      </c>
      <c r="O2640" s="745">
        <v>0</v>
      </c>
      <c r="P2640" s="737">
        <v>0</v>
      </c>
      <c r="Q2640" s="752"/>
      <c r="R2640" s="752"/>
      <c r="S2640" s="752"/>
    </row>
    <row r="2641" spans="1:19" s="753" customFormat="1" ht="24" customHeight="1">
      <c r="A2641" s="734"/>
      <c r="B2641" s="747"/>
      <c r="C2641" s="735" t="s">
        <v>513</v>
      </c>
      <c r="D2641" s="735"/>
      <c r="E2641" s="737">
        <f t="shared" si="735"/>
        <v>0</v>
      </c>
      <c r="F2641" s="738"/>
      <c r="G2641" s="739">
        <v>0</v>
      </c>
      <c r="H2641" s="748">
        <f t="shared" si="732"/>
        <v>0</v>
      </c>
      <c r="I2641" s="741">
        <v>0</v>
      </c>
      <c r="J2641" s="749">
        <f t="shared" si="733"/>
        <v>0</v>
      </c>
      <c r="K2641" s="739">
        <f t="shared" si="734"/>
        <v>0</v>
      </c>
      <c r="L2641" s="1079"/>
      <c r="M2641" s="752"/>
      <c r="N2641" s="744">
        <f t="shared" si="731"/>
        <v>0</v>
      </c>
      <c r="O2641" s="745">
        <v>0</v>
      </c>
      <c r="P2641" s="737">
        <v>0</v>
      </c>
      <c r="Q2641" s="752"/>
      <c r="R2641" s="752"/>
      <c r="S2641" s="752"/>
    </row>
    <row r="2642" spans="1:19" s="682" customFormat="1" ht="24" customHeight="1">
      <c r="A2642" s="734"/>
      <c r="B2642" s="747"/>
      <c r="C2642" s="735"/>
      <c r="D2642" s="735"/>
      <c r="E2642" s="737">
        <f t="shared" si="735"/>
        <v>0</v>
      </c>
      <c r="F2642" s="738"/>
      <c r="G2642" s="739"/>
      <c r="H2642" s="748">
        <f t="shared" si="732"/>
        <v>0</v>
      </c>
      <c r="I2642" s="741"/>
      <c r="J2642" s="749">
        <f t="shared" si="733"/>
        <v>0</v>
      </c>
      <c r="K2642" s="739">
        <f t="shared" si="734"/>
        <v>0</v>
      </c>
      <c r="L2642" s="1079"/>
      <c r="M2642" s="679"/>
      <c r="N2642" s="744">
        <f t="shared" si="731"/>
        <v>0</v>
      </c>
      <c r="O2642" s="745">
        <v>0</v>
      </c>
      <c r="P2642" s="737">
        <v>0</v>
      </c>
      <c r="Q2642" s="679"/>
      <c r="R2642" s="679"/>
      <c r="S2642" s="679"/>
    </row>
    <row r="2643" spans="1:19" s="682" customFormat="1" ht="24" customHeight="1">
      <c r="A2643" s="734"/>
      <c r="B2643" s="747" t="s">
        <v>469</v>
      </c>
      <c r="C2643" s="735" t="s">
        <v>519</v>
      </c>
      <c r="D2643" s="735"/>
      <c r="E2643" s="737">
        <f t="shared" si="735"/>
        <v>1</v>
      </c>
      <c r="F2643" s="738" t="s">
        <v>363</v>
      </c>
      <c r="G2643" s="739">
        <v>800</v>
      </c>
      <c r="H2643" s="748">
        <f t="shared" si="732"/>
        <v>800</v>
      </c>
      <c r="I2643" s="741">
        <v>70</v>
      </c>
      <c r="J2643" s="749">
        <f t="shared" si="733"/>
        <v>70</v>
      </c>
      <c r="K2643" s="739">
        <f t="shared" si="734"/>
        <v>870</v>
      </c>
      <c r="L2643" s="1079"/>
      <c r="M2643" s="679"/>
      <c r="N2643" s="744">
        <f t="shared" si="731"/>
        <v>1</v>
      </c>
      <c r="O2643" s="745">
        <v>0</v>
      </c>
      <c r="P2643" s="737">
        <v>1</v>
      </c>
      <c r="Q2643" s="679"/>
      <c r="R2643" s="679"/>
      <c r="S2643" s="679"/>
    </row>
    <row r="2644" spans="1:19" s="682" customFormat="1" ht="24" customHeight="1">
      <c r="A2644" s="734"/>
      <c r="B2644" s="747" t="s">
        <v>469</v>
      </c>
      <c r="C2644" s="735" t="s">
        <v>520</v>
      </c>
      <c r="D2644" s="735"/>
      <c r="E2644" s="737">
        <f t="shared" si="735"/>
        <v>0</v>
      </c>
      <c r="F2644" s="738" t="s">
        <v>361</v>
      </c>
      <c r="G2644" s="739">
        <v>190</v>
      </c>
      <c r="H2644" s="748">
        <f t="shared" si="732"/>
        <v>0</v>
      </c>
      <c r="I2644" s="741">
        <v>75</v>
      </c>
      <c r="J2644" s="749">
        <f t="shared" si="733"/>
        <v>0</v>
      </c>
      <c r="K2644" s="739">
        <f t="shared" si="734"/>
        <v>0</v>
      </c>
      <c r="L2644" s="1079"/>
      <c r="M2644" s="679"/>
      <c r="N2644" s="744">
        <f t="shared" si="731"/>
        <v>0</v>
      </c>
      <c r="O2644" s="745">
        <v>0</v>
      </c>
      <c r="P2644" s="737">
        <v>0</v>
      </c>
      <c r="Q2644" s="679"/>
      <c r="R2644" s="679"/>
      <c r="S2644" s="679"/>
    </row>
    <row r="2645" spans="1:19" s="682" customFormat="1" ht="24" customHeight="1">
      <c r="A2645" s="734"/>
      <c r="B2645" s="747"/>
      <c r="C2645" s="735"/>
      <c r="D2645" s="735"/>
      <c r="E2645" s="737">
        <f t="shared" si="735"/>
        <v>0</v>
      </c>
      <c r="F2645" s="738"/>
      <c r="G2645" s="739"/>
      <c r="H2645" s="748">
        <f t="shared" si="732"/>
        <v>0</v>
      </c>
      <c r="I2645" s="741"/>
      <c r="J2645" s="749">
        <f t="shared" si="733"/>
        <v>0</v>
      </c>
      <c r="K2645" s="739">
        <f t="shared" si="734"/>
        <v>0</v>
      </c>
      <c r="L2645" s="1079"/>
      <c r="M2645" s="679"/>
      <c r="N2645" s="744">
        <f t="shared" ref="N2645:N2709" si="736">+(1+O2645)*P2645</f>
        <v>0</v>
      </c>
      <c r="O2645" s="745">
        <v>0</v>
      </c>
      <c r="P2645" s="737">
        <v>0</v>
      </c>
      <c r="Q2645" s="679"/>
      <c r="R2645" s="679"/>
      <c r="S2645" s="679"/>
    </row>
    <row r="2646" spans="1:19" s="753" customFormat="1" ht="24" customHeight="1">
      <c r="A2646" s="734"/>
      <c r="B2646" s="735" t="s">
        <v>1074</v>
      </c>
      <c r="C2646" s="735"/>
      <c r="D2646" s="735"/>
      <c r="E2646" s="737">
        <f t="shared" si="735"/>
        <v>0</v>
      </c>
      <c r="F2646" s="738"/>
      <c r="G2646" s="739">
        <v>0</v>
      </c>
      <c r="H2646" s="748">
        <f t="shared" si="732"/>
        <v>0</v>
      </c>
      <c r="I2646" s="741">
        <v>0</v>
      </c>
      <c r="J2646" s="749">
        <f t="shared" si="733"/>
        <v>0</v>
      </c>
      <c r="K2646" s="739">
        <f t="shared" si="734"/>
        <v>0</v>
      </c>
      <c r="L2646" s="1079"/>
      <c r="M2646" s="752"/>
      <c r="N2646" s="744">
        <f t="shared" si="736"/>
        <v>0</v>
      </c>
      <c r="O2646" s="745">
        <v>0</v>
      </c>
      <c r="P2646" s="737">
        <v>0</v>
      </c>
      <c r="Q2646" s="752"/>
      <c r="R2646" s="752"/>
      <c r="S2646" s="752"/>
    </row>
    <row r="2647" spans="1:19" s="753" customFormat="1" ht="24" customHeight="1">
      <c r="A2647" s="734"/>
      <c r="B2647" s="747" t="s">
        <v>469</v>
      </c>
      <c r="C2647" s="735" t="s">
        <v>522</v>
      </c>
      <c r="D2647" s="735"/>
      <c r="E2647" s="737">
        <f t="shared" si="735"/>
        <v>1</v>
      </c>
      <c r="F2647" s="738" t="s">
        <v>363</v>
      </c>
      <c r="G2647" s="739">
        <v>6832</v>
      </c>
      <c r="H2647" s="748">
        <f t="shared" si="732"/>
        <v>6832</v>
      </c>
      <c r="I2647" s="741">
        <v>450</v>
      </c>
      <c r="J2647" s="749">
        <f t="shared" si="733"/>
        <v>450</v>
      </c>
      <c r="K2647" s="739">
        <f t="shared" si="734"/>
        <v>7282</v>
      </c>
      <c r="L2647" s="1079"/>
      <c r="M2647" s="752"/>
      <c r="N2647" s="744">
        <f t="shared" si="736"/>
        <v>1</v>
      </c>
      <c r="O2647" s="745">
        <v>0</v>
      </c>
      <c r="P2647" s="737">
        <v>1</v>
      </c>
      <c r="Q2647" s="752"/>
      <c r="R2647" s="752"/>
      <c r="S2647" s="752"/>
    </row>
    <row r="2648" spans="1:19" s="753" customFormat="1" ht="24" customHeight="1">
      <c r="A2648" s="734"/>
      <c r="B2648" s="747" t="s">
        <v>469</v>
      </c>
      <c r="C2648" s="735" t="s">
        <v>498</v>
      </c>
      <c r="D2648" s="735"/>
      <c r="E2648" s="737">
        <f t="shared" si="735"/>
        <v>1</v>
      </c>
      <c r="F2648" s="738" t="s">
        <v>363</v>
      </c>
      <c r="G2648" s="739">
        <v>6640</v>
      </c>
      <c r="H2648" s="748">
        <f t="shared" si="732"/>
        <v>6640</v>
      </c>
      <c r="I2648" s="741">
        <v>200</v>
      </c>
      <c r="J2648" s="749">
        <f t="shared" si="733"/>
        <v>200</v>
      </c>
      <c r="K2648" s="739">
        <f t="shared" si="734"/>
        <v>6840</v>
      </c>
      <c r="L2648" s="1079"/>
      <c r="M2648" s="752"/>
      <c r="N2648" s="744">
        <f t="shared" si="736"/>
        <v>1</v>
      </c>
      <c r="O2648" s="745">
        <v>0</v>
      </c>
      <c r="P2648" s="737">
        <v>1</v>
      </c>
      <c r="Q2648" s="752"/>
      <c r="R2648" s="752"/>
      <c r="S2648" s="752"/>
    </row>
    <row r="2649" spans="1:19" s="753" customFormat="1" ht="24" customHeight="1">
      <c r="A2649" s="734"/>
      <c r="B2649" s="747" t="s">
        <v>469</v>
      </c>
      <c r="C2649" s="735" t="s">
        <v>476</v>
      </c>
      <c r="D2649" s="735"/>
      <c r="E2649" s="737">
        <f t="shared" si="735"/>
        <v>1</v>
      </c>
      <c r="F2649" s="738" t="s">
        <v>363</v>
      </c>
      <c r="G2649" s="739">
        <v>336</v>
      </c>
      <c r="H2649" s="748">
        <f t="shared" si="732"/>
        <v>336</v>
      </c>
      <c r="I2649" s="741">
        <v>0</v>
      </c>
      <c r="J2649" s="749">
        <f t="shared" si="733"/>
        <v>0</v>
      </c>
      <c r="K2649" s="739">
        <f t="shared" si="734"/>
        <v>336</v>
      </c>
      <c r="L2649" s="1079"/>
      <c r="M2649" s="752"/>
      <c r="N2649" s="744">
        <f t="shared" si="736"/>
        <v>1</v>
      </c>
      <c r="O2649" s="745">
        <v>0</v>
      </c>
      <c r="P2649" s="737">
        <v>1</v>
      </c>
      <c r="Q2649" s="752"/>
      <c r="R2649" s="752"/>
      <c r="S2649" s="752"/>
    </row>
    <row r="2650" spans="1:19" s="753" customFormat="1" ht="24" customHeight="1">
      <c r="A2650" s="734"/>
      <c r="B2650" s="747" t="s">
        <v>469</v>
      </c>
      <c r="C2650" s="735" t="s">
        <v>477</v>
      </c>
      <c r="D2650" s="735"/>
      <c r="E2650" s="737">
        <f t="shared" si="735"/>
        <v>1</v>
      </c>
      <c r="F2650" s="738" t="s">
        <v>363</v>
      </c>
      <c r="G2650" s="739">
        <v>736</v>
      </c>
      <c r="H2650" s="748">
        <f t="shared" si="732"/>
        <v>736</v>
      </c>
      <c r="I2650" s="741">
        <v>0</v>
      </c>
      <c r="J2650" s="749">
        <f t="shared" si="733"/>
        <v>0</v>
      </c>
      <c r="K2650" s="739">
        <f t="shared" si="734"/>
        <v>736</v>
      </c>
      <c r="L2650" s="1079"/>
      <c r="M2650" s="752"/>
      <c r="N2650" s="744">
        <f t="shared" si="736"/>
        <v>1</v>
      </c>
      <c r="O2650" s="745">
        <v>0</v>
      </c>
      <c r="P2650" s="737">
        <v>1</v>
      </c>
      <c r="Q2650" s="752"/>
      <c r="R2650" s="752"/>
      <c r="S2650" s="752"/>
    </row>
    <row r="2651" spans="1:19" s="753" customFormat="1" ht="24" customHeight="1">
      <c r="A2651" s="734"/>
      <c r="B2651" s="747" t="s">
        <v>469</v>
      </c>
      <c r="C2651" s="735" t="s">
        <v>478</v>
      </c>
      <c r="D2651" s="735"/>
      <c r="E2651" s="737">
        <f t="shared" si="735"/>
        <v>1</v>
      </c>
      <c r="F2651" s="738" t="s">
        <v>363</v>
      </c>
      <c r="G2651" s="739">
        <v>176</v>
      </c>
      <c r="H2651" s="748">
        <f t="shared" si="732"/>
        <v>176</v>
      </c>
      <c r="I2651" s="741">
        <v>0</v>
      </c>
      <c r="J2651" s="749">
        <f t="shared" si="733"/>
        <v>0</v>
      </c>
      <c r="K2651" s="739">
        <f t="shared" si="734"/>
        <v>176</v>
      </c>
      <c r="L2651" s="1079"/>
      <c r="M2651" s="752"/>
      <c r="N2651" s="744">
        <f t="shared" si="736"/>
        <v>1</v>
      </c>
      <c r="O2651" s="745">
        <v>0</v>
      </c>
      <c r="P2651" s="737">
        <v>1</v>
      </c>
      <c r="Q2651" s="752"/>
      <c r="R2651" s="752"/>
      <c r="S2651" s="752"/>
    </row>
    <row r="2652" spans="1:19" s="753" customFormat="1" ht="24" customHeight="1">
      <c r="A2652" s="734"/>
      <c r="B2652" s="747" t="s">
        <v>469</v>
      </c>
      <c r="C2652" s="735" t="s">
        <v>499</v>
      </c>
      <c r="D2652" s="735"/>
      <c r="E2652" s="737">
        <f t="shared" si="735"/>
        <v>1</v>
      </c>
      <c r="F2652" s="738" t="s">
        <v>363</v>
      </c>
      <c r="G2652" s="739">
        <v>216</v>
      </c>
      <c r="H2652" s="748">
        <f t="shared" si="732"/>
        <v>216</v>
      </c>
      <c r="I2652" s="741">
        <v>35</v>
      </c>
      <c r="J2652" s="749">
        <f t="shared" si="733"/>
        <v>35</v>
      </c>
      <c r="K2652" s="739">
        <f t="shared" si="734"/>
        <v>251</v>
      </c>
      <c r="L2652" s="1079"/>
      <c r="M2652" s="752"/>
      <c r="N2652" s="744">
        <f t="shared" si="736"/>
        <v>1</v>
      </c>
      <c r="O2652" s="745">
        <v>0</v>
      </c>
      <c r="P2652" s="737">
        <v>1</v>
      </c>
      <c r="Q2652" s="752"/>
      <c r="R2652" s="752"/>
      <c r="S2652" s="752"/>
    </row>
    <row r="2653" spans="1:19" s="753" customFormat="1" ht="24" customHeight="1">
      <c r="A2653" s="734"/>
      <c r="B2653" s="750"/>
      <c r="C2653" s="757"/>
      <c r="D2653" s="907"/>
      <c r="E2653" s="737">
        <f t="shared" si="735"/>
        <v>0</v>
      </c>
      <c r="F2653" s="738"/>
      <c r="G2653" s="739">
        <v>0</v>
      </c>
      <c r="H2653" s="748">
        <f t="shared" si="732"/>
        <v>0</v>
      </c>
      <c r="I2653" s="741">
        <v>0</v>
      </c>
      <c r="J2653" s="749">
        <f t="shared" si="733"/>
        <v>0</v>
      </c>
      <c r="K2653" s="739">
        <f t="shared" si="734"/>
        <v>0</v>
      </c>
      <c r="L2653" s="1079"/>
      <c r="M2653" s="752"/>
      <c r="N2653" s="744">
        <f t="shared" si="736"/>
        <v>0</v>
      </c>
      <c r="O2653" s="745">
        <v>0</v>
      </c>
      <c r="P2653" s="737">
        <v>0</v>
      </c>
      <c r="Q2653" s="752"/>
      <c r="R2653" s="752"/>
      <c r="S2653" s="752"/>
    </row>
    <row r="2654" spans="1:19" s="753" customFormat="1" ht="24" customHeight="1">
      <c r="A2654" s="734"/>
      <c r="B2654" s="747" t="s">
        <v>469</v>
      </c>
      <c r="C2654" s="735" t="s">
        <v>523</v>
      </c>
      <c r="D2654" s="735"/>
      <c r="E2654" s="737">
        <f t="shared" si="735"/>
        <v>1</v>
      </c>
      <c r="F2654" s="738" t="s">
        <v>363</v>
      </c>
      <c r="G2654" s="739">
        <v>6580</v>
      </c>
      <c r="H2654" s="748">
        <f t="shared" si="732"/>
        <v>6580</v>
      </c>
      <c r="I2654" s="741">
        <v>450</v>
      </c>
      <c r="J2654" s="749">
        <f t="shared" si="733"/>
        <v>450</v>
      </c>
      <c r="K2654" s="739">
        <f t="shared" si="734"/>
        <v>7030</v>
      </c>
      <c r="L2654" s="1079"/>
      <c r="M2654" s="752"/>
      <c r="N2654" s="744">
        <f t="shared" si="736"/>
        <v>1</v>
      </c>
      <c r="O2654" s="745">
        <v>0</v>
      </c>
      <c r="P2654" s="737">
        <v>1</v>
      </c>
      <c r="Q2654" s="752"/>
      <c r="R2654" s="752"/>
      <c r="S2654" s="752"/>
    </row>
    <row r="2655" spans="1:19" s="753" customFormat="1" ht="24" customHeight="1">
      <c r="A2655" s="734"/>
      <c r="B2655" s="747" t="s">
        <v>469</v>
      </c>
      <c r="C2655" s="735" t="s">
        <v>478</v>
      </c>
      <c r="D2655" s="735"/>
      <c r="E2655" s="737">
        <f t="shared" si="735"/>
        <v>1</v>
      </c>
      <c r="F2655" s="738" t="s">
        <v>363</v>
      </c>
      <c r="G2655" s="739">
        <v>176</v>
      </c>
      <c r="H2655" s="748">
        <f t="shared" si="732"/>
        <v>176</v>
      </c>
      <c r="I2655" s="741">
        <v>0</v>
      </c>
      <c r="J2655" s="749">
        <f t="shared" si="733"/>
        <v>0</v>
      </c>
      <c r="K2655" s="739">
        <f t="shared" si="734"/>
        <v>176</v>
      </c>
      <c r="L2655" s="1079"/>
      <c r="M2655" s="752"/>
      <c r="N2655" s="744">
        <f t="shared" si="736"/>
        <v>1</v>
      </c>
      <c r="O2655" s="745">
        <v>0</v>
      </c>
      <c r="P2655" s="737">
        <v>1</v>
      </c>
      <c r="Q2655" s="752"/>
      <c r="R2655" s="752"/>
      <c r="S2655" s="752"/>
    </row>
    <row r="2656" spans="1:19" s="753" customFormat="1" ht="24" customHeight="1">
      <c r="A2656" s="734"/>
      <c r="B2656" s="747" t="s">
        <v>469</v>
      </c>
      <c r="C2656" s="735" t="s">
        <v>482</v>
      </c>
      <c r="D2656" s="735"/>
      <c r="E2656" s="737">
        <f t="shared" si="735"/>
        <v>1</v>
      </c>
      <c r="F2656" s="738" t="s">
        <v>363</v>
      </c>
      <c r="G2656" s="739">
        <v>560</v>
      </c>
      <c r="H2656" s="748">
        <f t="shared" si="732"/>
        <v>560</v>
      </c>
      <c r="I2656" s="741">
        <v>35</v>
      </c>
      <c r="J2656" s="749">
        <f t="shared" si="733"/>
        <v>35</v>
      </c>
      <c r="K2656" s="739">
        <f t="shared" si="734"/>
        <v>595</v>
      </c>
      <c r="L2656" s="1079"/>
      <c r="M2656" s="752"/>
      <c r="N2656" s="744">
        <f t="shared" si="736"/>
        <v>1</v>
      </c>
      <c r="O2656" s="745">
        <v>0</v>
      </c>
      <c r="P2656" s="737">
        <v>1</v>
      </c>
      <c r="Q2656" s="752"/>
      <c r="R2656" s="752"/>
      <c r="S2656" s="752"/>
    </row>
    <row r="2657" spans="1:19" s="753" customFormat="1" ht="24" customHeight="1">
      <c r="A2657" s="734"/>
      <c r="B2657" s="747" t="s">
        <v>469</v>
      </c>
      <c r="C2657" s="735" t="s">
        <v>524</v>
      </c>
      <c r="D2657" s="735"/>
      <c r="E2657" s="737">
        <f t="shared" si="735"/>
        <v>1</v>
      </c>
      <c r="F2657" s="738" t="s">
        <v>363</v>
      </c>
      <c r="G2657" s="739">
        <v>216</v>
      </c>
      <c r="H2657" s="748">
        <f t="shared" si="732"/>
        <v>216</v>
      </c>
      <c r="I2657" s="741">
        <v>35</v>
      </c>
      <c r="J2657" s="749">
        <f t="shared" si="733"/>
        <v>35</v>
      </c>
      <c r="K2657" s="739">
        <f t="shared" si="734"/>
        <v>251</v>
      </c>
      <c r="L2657" s="1079"/>
      <c r="M2657" s="752"/>
      <c r="N2657" s="744">
        <f t="shared" si="736"/>
        <v>1</v>
      </c>
      <c r="O2657" s="745">
        <v>0</v>
      </c>
      <c r="P2657" s="737">
        <v>1</v>
      </c>
      <c r="Q2657" s="752"/>
      <c r="R2657" s="752"/>
      <c r="S2657" s="752"/>
    </row>
    <row r="2658" spans="1:19" s="753" customFormat="1" ht="24" customHeight="1">
      <c r="A2658" s="734"/>
      <c r="B2658" s="747"/>
      <c r="C2658" s="735"/>
      <c r="D2658" s="735"/>
      <c r="E2658" s="737">
        <f t="shared" si="735"/>
        <v>0</v>
      </c>
      <c r="F2658" s="738"/>
      <c r="G2658" s="739">
        <v>0</v>
      </c>
      <c r="H2658" s="748">
        <f t="shared" si="732"/>
        <v>0</v>
      </c>
      <c r="I2658" s="741">
        <v>0</v>
      </c>
      <c r="J2658" s="749">
        <f t="shared" si="733"/>
        <v>0</v>
      </c>
      <c r="K2658" s="739">
        <f t="shared" si="734"/>
        <v>0</v>
      </c>
      <c r="L2658" s="1079"/>
      <c r="M2658" s="752"/>
      <c r="N2658" s="744">
        <f t="shared" si="736"/>
        <v>0</v>
      </c>
      <c r="O2658" s="745">
        <v>0</v>
      </c>
      <c r="P2658" s="737">
        <v>0</v>
      </c>
      <c r="Q2658" s="752"/>
      <c r="R2658" s="752"/>
      <c r="S2658" s="752"/>
    </row>
    <row r="2659" spans="1:19" s="753" customFormat="1" ht="24" customHeight="1">
      <c r="A2659" s="734"/>
      <c r="B2659" s="747" t="s">
        <v>469</v>
      </c>
      <c r="C2659" s="735" t="s">
        <v>486</v>
      </c>
      <c r="D2659" s="735"/>
      <c r="E2659" s="737">
        <f t="shared" si="735"/>
        <v>1</v>
      </c>
      <c r="F2659" s="738" t="s">
        <v>363</v>
      </c>
      <c r="G2659" s="739">
        <v>552</v>
      </c>
      <c r="H2659" s="748">
        <f t="shared" si="732"/>
        <v>552</v>
      </c>
      <c r="I2659" s="741">
        <v>25</v>
      </c>
      <c r="J2659" s="749">
        <f t="shared" si="733"/>
        <v>25</v>
      </c>
      <c r="K2659" s="739">
        <f t="shared" si="734"/>
        <v>577</v>
      </c>
      <c r="L2659" s="1079"/>
      <c r="M2659" s="752"/>
      <c r="N2659" s="744">
        <f t="shared" si="736"/>
        <v>1</v>
      </c>
      <c r="O2659" s="745">
        <v>0</v>
      </c>
      <c r="P2659" s="737">
        <v>1</v>
      </c>
      <c r="Q2659" s="752"/>
      <c r="R2659" s="752"/>
      <c r="S2659" s="752"/>
    </row>
    <row r="2660" spans="1:19" s="753" customFormat="1" ht="24" customHeight="1">
      <c r="A2660" s="734"/>
      <c r="B2660" s="747" t="s">
        <v>484</v>
      </c>
      <c r="C2660" s="735" t="s">
        <v>485</v>
      </c>
      <c r="D2660" s="735"/>
      <c r="E2660" s="737">
        <f t="shared" si="735"/>
        <v>1</v>
      </c>
      <c r="F2660" s="738" t="s">
        <v>363</v>
      </c>
      <c r="G2660" s="739">
        <v>285</v>
      </c>
      <c r="H2660" s="748">
        <f t="shared" si="732"/>
        <v>285</v>
      </c>
      <c r="I2660" s="741">
        <v>75</v>
      </c>
      <c r="J2660" s="749">
        <f t="shared" si="733"/>
        <v>75</v>
      </c>
      <c r="K2660" s="739">
        <f t="shared" si="734"/>
        <v>360</v>
      </c>
      <c r="L2660" s="1093"/>
      <c r="M2660" s="752"/>
      <c r="N2660" s="744">
        <f t="shared" si="736"/>
        <v>1</v>
      </c>
      <c r="O2660" s="745">
        <v>0</v>
      </c>
      <c r="P2660" s="737">
        <v>1</v>
      </c>
      <c r="Q2660" s="752"/>
      <c r="R2660" s="752"/>
      <c r="S2660" s="752"/>
    </row>
    <row r="2661" spans="1:19" s="753" customFormat="1" ht="24" customHeight="1">
      <c r="A2661" s="734"/>
      <c r="B2661" s="747"/>
      <c r="C2661" s="735"/>
      <c r="D2661" s="735"/>
      <c r="E2661" s="737">
        <f t="shared" si="735"/>
        <v>0</v>
      </c>
      <c r="F2661" s="738"/>
      <c r="G2661" s="739">
        <v>0</v>
      </c>
      <c r="H2661" s="748">
        <f t="shared" si="732"/>
        <v>0</v>
      </c>
      <c r="I2661" s="741">
        <v>0</v>
      </c>
      <c r="J2661" s="749">
        <f t="shared" si="733"/>
        <v>0</v>
      </c>
      <c r="K2661" s="739">
        <f t="shared" si="734"/>
        <v>0</v>
      </c>
      <c r="L2661" s="1079"/>
      <c r="M2661" s="752"/>
      <c r="N2661" s="744">
        <f t="shared" si="736"/>
        <v>0</v>
      </c>
      <c r="O2661" s="745">
        <v>0</v>
      </c>
      <c r="P2661" s="737">
        <v>0</v>
      </c>
      <c r="Q2661" s="752"/>
      <c r="R2661" s="752"/>
      <c r="S2661" s="752"/>
    </row>
    <row r="2662" spans="1:19" s="753" customFormat="1" ht="24" customHeight="1">
      <c r="A2662" s="734"/>
      <c r="B2662" s="747" t="s">
        <v>469</v>
      </c>
      <c r="C2662" s="735" t="s">
        <v>507</v>
      </c>
      <c r="D2662" s="735"/>
      <c r="E2662" s="737">
        <f t="shared" si="735"/>
        <v>1</v>
      </c>
      <c r="F2662" s="738" t="s">
        <v>363</v>
      </c>
      <c r="G2662" s="739">
        <v>1650</v>
      </c>
      <c r="H2662" s="748">
        <f t="shared" si="732"/>
        <v>1650</v>
      </c>
      <c r="I2662" s="741">
        <v>70</v>
      </c>
      <c r="J2662" s="749">
        <f t="shared" si="733"/>
        <v>70</v>
      </c>
      <c r="K2662" s="739">
        <f t="shared" si="734"/>
        <v>1720</v>
      </c>
      <c r="L2662" s="1079"/>
      <c r="M2662" s="752"/>
      <c r="N2662" s="744">
        <f t="shared" si="736"/>
        <v>1</v>
      </c>
      <c r="O2662" s="745">
        <v>0</v>
      </c>
      <c r="P2662" s="737">
        <v>1</v>
      </c>
      <c r="Q2662" s="752"/>
      <c r="R2662" s="752"/>
      <c r="S2662" s="752"/>
    </row>
    <row r="2663" spans="1:19" s="753" customFormat="1" ht="24" customHeight="1">
      <c r="A2663" s="734"/>
      <c r="B2663" s="747" t="s">
        <v>469</v>
      </c>
      <c r="C2663" s="735" t="s">
        <v>525</v>
      </c>
      <c r="D2663" s="735"/>
      <c r="E2663" s="737">
        <f t="shared" si="735"/>
        <v>2</v>
      </c>
      <c r="F2663" s="738" t="s">
        <v>363</v>
      </c>
      <c r="G2663" s="739">
        <v>4160</v>
      </c>
      <c r="H2663" s="748">
        <f t="shared" si="732"/>
        <v>8320</v>
      </c>
      <c r="I2663" s="741">
        <v>105</v>
      </c>
      <c r="J2663" s="749">
        <f t="shared" si="733"/>
        <v>210</v>
      </c>
      <c r="K2663" s="739">
        <f t="shared" si="734"/>
        <v>8530</v>
      </c>
      <c r="L2663" s="1079"/>
      <c r="M2663" s="752"/>
      <c r="N2663" s="744">
        <f t="shared" si="736"/>
        <v>2</v>
      </c>
      <c r="O2663" s="745">
        <v>0</v>
      </c>
      <c r="P2663" s="737">
        <v>2</v>
      </c>
      <c r="Q2663" s="752"/>
      <c r="R2663" s="752"/>
      <c r="S2663" s="752"/>
    </row>
    <row r="2664" spans="1:19" s="753" customFormat="1" ht="24" customHeight="1">
      <c r="A2664" s="734"/>
      <c r="B2664" s="747" t="s">
        <v>469</v>
      </c>
      <c r="C2664" s="735" t="s">
        <v>526</v>
      </c>
      <c r="D2664" s="735"/>
      <c r="E2664" s="737">
        <f t="shared" si="735"/>
        <v>1</v>
      </c>
      <c r="F2664" s="738" t="s">
        <v>363</v>
      </c>
      <c r="G2664" s="739">
        <v>2533.5</v>
      </c>
      <c r="H2664" s="748">
        <f t="shared" si="732"/>
        <v>2533.5</v>
      </c>
      <c r="I2664" s="741">
        <v>105</v>
      </c>
      <c r="J2664" s="749">
        <f t="shared" si="733"/>
        <v>105</v>
      </c>
      <c r="K2664" s="739">
        <f t="shared" si="734"/>
        <v>2638.5</v>
      </c>
      <c r="L2664" s="1079"/>
      <c r="M2664" s="752"/>
      <c r="N2664" s="744">
        <f t="shared" si="736"/>
        <v>1</v>
      </c>
      <c r="O2664" s="745">
        <v>0</v>
      </c>
      <c r="P2664" s="737">
        <v>1</v>
      </c>
      <c r="Q2664" s="752"/>
      <c r="R2664" s="752"/>
      <c r="S2664" s="752"/>
    </row>
    <row r="2665" spans="1:19" s="753" customFormat="1" ht="24" customHeight="1">
      <c r="A2665" s="734"/>
      <c r="B2665" s="747"/>
      <c r="C2665" s="735"/>
      <c r="D2665" s="735"/>
      <c r="E2665" s="737">
        <f t="shared" si="735"/>
        <v>0</v>
      </c>
      <c r="F2665" s="738"/>
      <c r="G2665" s="739">
        <v>0</v>
      </c>
      <c r="H2665" s="748">
        <f t="shared" si="732"/>
        <v>0</v>
      </c>
      <c r="I2665" s="741">
        <v>0</v>
      </c>
      <c r="J2665" s="749">
        <f t="shared" si="733"/>
        <v>0</v>
      </c>
      <c r="K2665" s="739">
        <f t="shared" si="734"/>
        <v>0</v>
      </c>
      <c r="L2665" s="1079"/>
      <c r="M2665" s="752"/>
      <c r="N2665" s="744">
        <f t="shared" si="736"/>
        <v>0</v>
      </c>
      <c r="O2665" s="745">
        <v>0</v>
      </c>
      <c r="P2665" s="737">
        <v>0</v>
      </c>
      <c r="Q2665" s="752"/>
      <c r="R2665" s="752"/>
      <c r="S2665" s="752"/>
    </row>
    <row r="2666" spans="1:19" s="753" customFormat="1" ht="24" customHeight="1">
      <c r="A2666" s="734"/>
      <c r="B2666" s="747" t="s">
        <v>469</v>
      </c>
      <c r="C2666" s="735" t="s">
        <v>527</v>
      </c>
      <c r="D2666" s="735"/>
      <c r="E2666" s="737">
        <f t="shared" si="735"/>
        <v>1</v>
      </c>
      <c r="F2666" s="738" t="s">
        <v>363</v>
      </c>
      <c r="G2666" s="739">
        <v>2855</v>
      </c>
      <c r="H2666" s="748">
        <f t="shared" si="732"/>
        <v>2855</v>
      </c>
      <c r="I2666" s="741">
        <v>1432</v>
      </c>
      <c r="J2666" s="749">
        <f t="shared" si="733"/>
        <v>1432</v>
      </c>
      <c r="K2666" s="739">
        <f t="shared" si="734"/>
        <v>4287</v>
      </c>
      <c r="L2666" s="1079"/>
      <c r="M2666" s="752"/>
      <c r="N2666" s="744">
        <f t="shared" si="736"/>
        <v>1</v>
      </c>
      <c r="O2666" s="745">
        <v>0</v>
      </c>
      <c r="P2666" s="737">
        <v>1</v>
      </c>
      <c r="Q2666" s="752"/>
      <c r="R2666" s="752"/>
      <c r="S2666" s="752"/>
    </row>
    <row r="2667" spans="1:19" s="682" customFormat="1" ht="24" customHeight="1">
      <c r="A2667" s="734"/>
      <c r="B2667" s="747" t="s">
        <v>469</v>
      </c>
      <c r="C2667" s="735" t="s">
        <v>528</v>
      </c>
      <c r="D2667" s="735"/>
      <c r="E2667" s="737">
        <f t="shared" si="735"/>
        <v>0</v>
      </c>
      <c r="F2667" s="738" t="s">
        <v>363</v>
      </c>
      <c r="G2667" s="739">
        <v>9750</v>
      </c>
      <c r="H2667" s="748">
        <f t="shared" si="732"/>
        <v>0</v>
      </c>
      <c r="I2667" s="741">
        <v>105</v>
      </c>
      <c r="J2667" s="749">
        <f t="shared" si="733"/>
        <v>0</v>
      </c>
      <c r="K2667" s="739">
        <f t="shared" si="734"/>
        <v>0</v>
      </c>
      <c r="L2667" s="1079"/>
      <c r="M2667" s="679"/>
      <c r="N2667" s="744">
        <f t="shared" si="736"/>
        <v>0</v>
      </c>
      <c r="O2667" s="745">
        <v>0</v>
      </c>
      <c r="P2667" s="737">
        <v>0</v>
      </c>
      <c r="Q2667" s="679"/>
      <c r="R2667" s="679"/>
      <c r="S2667" s="679"/>
    </row>
    <row r="2668" spans="1:19" s="682" customFormat="1" ht="24" customHeight="1">
      <c r="A2668" s="734"/>
      <c r="B2668" s="747" t="s">
        <v>469</v>
      </c>
      <c r="C2668" s="735" t="s">
        <v>529</v>
      </c>
      <c r="D2668" s="735"/>
      <c r="E2668" s="737">
        <f t="shared" si="735"/>
        <v>0</v>
      </c>
      <c r="F2668" s="738" t="s">
        <v>363</v>
      </c>
      <c r="G2668" s="739">
        <v>5200</v>
      </c>
      <c r="H2668" s="748">
        <f t="shared" si="732"/>
        <v>0</v>
      </c>
      <c r="I2668" s="741">
        <v>70</v>
      </c>
      <c r="J2668" s="749">
        <f t="shared" si="733"/>
        <v>0</v>
      </c>
      <c r="K2668" s="739">
        <f t="shared" si="734"/>
        <v>0</v>
      </c>
      <c r="L2668" s="1079"/>
      <c r="M2668" s="679"/>
      <c r="N2668" s="744">
        <f t="shared" si="736"/>
        <v>0</v>
      </c>
      <c r="O2668" s="745">
        <v>0</v>
      </c>
      <c r="P2668" s="737">
        <v>0</v>
      </c>
      <c r="Q2668" s="679"/>
      <c r="R2668" s="679"/>
      <c r="S2668" s="679"/>
    </row>
    <row r="2669" spans="1:19" s="682" customFormat="1" ht="24" customHeight="1">
      <c r="A2669" s="734"/>
      <c r="B2669" s="747" t="s">
        <v>469</v>
      </c>
      <c r="C2669" s="735" t="s">
        <v>519</v>
      </c>
      <c r="D2669" s="735"/>
      <c r="E2669" s="737">
        <f t="shared" si="735"/>
        <v>1</v>
      </c>
      <c r="F2669" s="738" t="s">
        <v>363</v>
      </c>
      <c r="G2669" s="739">
        <v>800</v>
      </c>
      <c r="H2669" s="748">
        <f t="shared" si="732"/>
        <v>800</v>
      </c>
      <c r="I2669" s="741">
        <v>70</v>
      </c>
      <c r="J2669" s="749">
        <f t="shared" si="733"/>
        <v>70</v>
      </c>
      <c r="K2669" s="739">
        <f t="shared" si="734"/>
        <v>870</v>
      </c>
      <c r="L2669" s="1079"/>
      <c r="M2669" s="679"/>
      <c r="N2669" s="744">
        <f t="shared" si="736"/>
        <v>1</v>
      </c>
      <c r="O2669" s="745">
        <v>0</v>
      </c>
      <c r="P2669" s="737">
        <v>1</v>
      </c>
      <c r="Q2669" s="679"/>
      <c r="R2669" s="679"/>
      <c r="S2669" s="679"/>
    </row>
    <row r="2670" spans="1:19" s="682" customFormat="1" ht="24" customHeight="1">
      <c r="A2670" s="734"/>
      <c r="B2670" s="747" t="s">
        <v>469</v>
      </c>
      <c r="C2670" s="735" t="s">
        <v>520</v>
      </c>
      <c r="D2670" s="735"/>
      <c r="E2670" s="737">
        <f t="shared" si="735"/>
        <v>0</v>
      </c>
      <c r="F2670" s="738" t="s">
        <v>361</v>
      </c>
      <c r="G2670" s="739">
        <v>190</v>
      </c>
      <c r="H2670" s="748">
        <f t="shared" si="732"/>
        <v>0</v>
      </c>
      <c r="I2670" s="741">
        <v>75</v>
      </c>
      <c r="J2670" s="749">
        <f t="shared" si="733"/>
        <v>0</v>
      </c>
      <c r="K2670" s="739">
        <f t="shared" si="734"/>
        <v>0</v>
      </c>
      <c r="L2670" s="1079"/>
      <c r="M2670" s="679"/>
      <c r="N2670" s="744">
        <f t="shared" si="736"/>
        <v>0</v>
      </c>
      <c r="O2670" s="745">
        <v>0</v>
      </c>
      <c r="P2670" s="737">
        <v>0</v>
      </c>
      <c r="Q2670" s="679"/>
      <c r="R2670" s="679"/>
      <c r="S2670" s="679"/>
    </row>
    <row r="2671" spans="1:19" s="753" customFormat="1" ht="24" customHeight="1">
      <c r="A2671" s="734"/>
      <c r="B2671" s="747"/>
      <c r="C2671" s="735"/>
      <c r="D2671" s="735"/>
      <c r="E2671" s="737">
        <f t="shared" si="735"/>
        <v>0</v>
      </c>
      <c r="F2671" s="738"/>
      <c r="G2671" s="739">
        <v>0</v>
      </c>
      <c r="H2671" s="748">
        <f t="shared" si="732"/>
        <v>0</v>
      </c>
      <c r="I2671" s="741">
        <v>0</v>
      </c>
      <c r="J2671" s="749">
        <f t="shared" si="733"/>
        <v>0</v>
      </c>
      <c r="K2671" s="739">
        <f t="shared" si="734"/>
        <v>0</v>
      </c>
      <c r="L2671" s="1079"/>
      <c r="M2671" s="752"/>
      <c r="N2671" s="758">
        <f t="shared" si="736"/>
        <v>0</v>
      </c>
      <c r="O2671" s="745">
        <v>0</v>
      </c>
      <c r="P2671" s="759"/>
      <c r="Q2671" s="752"/>
      <c r="R2671" s="752"/>
      <c r="S2671" s="752"/>
    </row>
    <row r="2672" spans="1:19" s="753" customFormat="1" ht="24" customHeight="1">
      <c r="A2672" s="734"/>
      <c r="B2672" s="735" t="s">
        <v>1075</v>
      </c>
      <c r="C2672" s="736"/>
      <c r="D2672" s="907"/>
      <c r="E2672" s="737">
        <f t="shared" si="735"/>
        <v>0</v>
      </c>
      <c r="F2672" s="738"/>
      <c r="G2672" s="739">
        <v>0</v>
      </c>
      <c r="H2672" s="748">
        <f t="shared" si="732"/>
        <v>0</v>
      </c>
      <c r="I2672" s="741">
        <v>0</v>
      </c>
      <c r="J2672" s="749">
        <f t="shared" si="733"/>
        <v>0</v>
      </c>
      <c r="K2672" s="739">
        <f t="shared" si="734"/>
        <v>0</v>
      </c>
      <c r="L2672" s="1079"/>
      <c r="M2672" s="752"/>
      <c r="N2672" s="744">
        <f t="shared" si="736"/>
        <v>0</v>
      </c>
      <c r="O2672" s="745">
        <v>0</v>
      </c>
      <c r="P2672" s="737">
        <v>0</v>
      </c>
      <c r="Q2672" s="752"/>
      <c r="R2672" s="752"/>
      <c r="S2672" s="752"/>
    </row>
    <row r="2673" spans="1:19" s="753" customFormat="1" ht="24" customHeight="1">
      <c r="A2673" s="734"/>
      <c r="B2673" s="747" t="s">
        <v>469</v>
      </c>
      <c r="C2673" s="735" t="s">
        <v>497</v>
      </c>
      <c r="D2673" s="735"/>
      <c r="E2673" s="737">
        <f t="shared" si="735"/>
        <v>4</v>
      </c>
      <c r="F2673" s="738" t="s">
        <v>363</v>
      </c>
      <c r="G2673" s="739">
        <v>1540</v>
      </c>
      <c r="H2673" s="748">
        <f t="shared" si="732"/>
        <v>6160</v>
      </c>
      <c r="I2673" s="741">
        <v>450</v>
      </c>
      <c r="J2673" s="749">
        <f t="shared" si="733"/>
        <v>1800</v>
      </c>
      <c r="K2673" s="739">
        <f t="shared" si="734"/>
        <v>7960</v>
      </c>
      <c r="L2673" s="1079"/>
      <c r="M2673" s="752"/>
      <c r="N2673" s="744">
        <f t="shared" si="736"/>
        <v>4</v>
      </c>
      <c r="O2673" s="745">
        <v>0</v>
      </c>
      <c r="P2673" s="737">
        <v>4</v>
      </c>
      <c r="Q2673" s="752"/>
      <c r="R2673" s="752"/>
      <c r="S2673" s="752"/>
    </row>
    <row r="2674" spans="1:19" s="753" customFormat="1" ht="24" customHeight="1">
      <c r="A2674" s="734"/>
      <c r="B2674" s="747" t="s">
        <v>469</v>
      </c>
      <c r="C2674" s="735" t="s">
        <v>498</v>
      </c>
      <c r="D2674" s="735"/>
      <c r="E2674" s="737">
        <f t="shared" si="735"/>
        <v>4</v>
      </c>
      <c r="F2674" s="738" t="s">
        <v>363</v>
      </c>
      <c r="G2674" s="739">
        <v>6640</v>
      </c>
      <c r="H2674" s="748">
        <f t="shared" si="732"/>
        <v>26560</v>
      </c>
      <c r="I2674" s="741">
        <v>200</v>
      </c>
      <c r="J2674" s="749">
        <f t="shared" si="733"/>
        <v>800</v>
      </c>
      <c r="K2674" s="739">
        <f t="shared" si="734"/>
        <v>27360</v>
      </c>
      <c r="L2674" s="1079"/>
      <c r="M2674" s="752"/>
      <c r="N2674" s="744">
        <f t="shared" si="736"/>
        <v>4</v>
      </c>
      <c r="O2674" s="745">
        <v>0</v>
      </c>
      <c r="P2674" s="737">
        <v>4</v>
      </c>
      <c r="Q2674" s="752"/>
      <c r="R2674" s="752"/>
      <c r="S2674" s="752"/>
    </row>
    <row r="2675" spans="1:19" s="753" customFormat="1" ht="24" customHeight="1">
      <c r="A2675" s="734"/>
      <c r="B2675" s="747" t="s">
        <v>469</v>
      </c>
      <c r="C2675" s="735" t="s">
        <v>496</v>
      </c>
      <c r="D2675" s="735"/>
      <c r="E2675" s="737">
        <f t="shared" si="735"/>
        <v>4</v>
      </c>
      <c r="F2675" s="738" t="s">
        <v>363</v>
      </c>
      <c r="G2675" s="739">
        <v>336</v>
      </c>
      <c r="H2675" s="748">
        <f t="shared" si="732"/>
        <v>1344</v>
      </c>
      <c r="I2675" s="741">
        <v>0</v>
      </c>
      <c r="J2675" s="749">
        <f t="shared" si="733"/>
        <v>0</v>
      </c>
      <c r="K2675" s="739">
        <f t="shared" si="734"/>
        <v>1344</v>
      </c>
      <c r="L2675" s="1079"/>
      <c r="M2675" s="752"/>
      <c r="N2675" s="744">
        <f t="shared" si="736"/>
        <v>4</v>
      </c>
      <c r="O2675" s="745">
        <v>0</v>
      </c>
      <c r="P2675" s="737">
        <v>4</v>
      </c>
      <c r="Q2675" s="752"/>
      <c r="R2675" s="752"/>
      <c r="S2675" s="752"/>
    </row>
    <row r="2676" spans="1:19" s="753" customFormat="1" ht="24" customHeight="1">
      <c r="A2676" s="734"/>
      <c r="B2676" s="747" t="s">
        <v>469</v>
      </c>
      <c r="C2676" s="735" t="s">
        <v>490</v>
      </c>
      <c r="D2676" s="735"/>
      <c r="E2676" s="737">
        <f t="shared" si="735"/>
        <v>4</v>
      </c>
      <c r="F2676" s="738" t="s">
        <v>363</v>
      </c>
      <c r="G2676" s="739">
        <v>736</v>
      </c>
      <c r="H2676" s="748">
        <f t="shared" si="732"/>
        <v>2944</v>
      </c>
      <c r="I2676" s="741">
        <v>0</v>
      </c>
      <c r="J2676" s="749">
        <f t="shared" si="733"/>
        <v>0</v>
      </c>
      <c r="K2676" s="739">
        <f t="shared" si="734"/>
        <v>2944</v>
      </c>
      <c r="L2676" s="1079"/>
      <c r="M2676" s="752"/>
      <c r="N2676" s="744">
        <f t="shared" si="736"/>
        <v>4</v>
      </c>
      <c r="O2676" s="745">
        <v>0</v>
      </c>
      <c r="P2676" s="737">
        <v>4</v>
      </c>
      <c r="Q2676" s="752"/>
      <c r="R2676" s="752"/>
      <c r="S2676" s="752"/>
    </row>
    <row r="2677" spans="1:19" s="753" customFormat="1" ht="24" customHeight="1">
      <c r="A2677" s="734"/>
      <c r="B2677" s="747" t="s">
        <v>469</v>
      </c>
      <c r="C2677" s="735" t="s">
        <v>478</v>
      </c>
      <c r="D2677" s="735"/>
      <c r="E2677" s="737">
        <f t="shared" si="735"/>
        <v>4</v>
      </c>
      <c r="F2677" s="738" t="s">
        <v>363</v>
      </c>
      <c r="G2677" s="739">
        <v>176</v>
      </c>
      <c r="H2677" s="748">
        <f t="shared" si="732"/>
        <v>704</v>
      </c>
      <c r="I2677" s="741">
        <v>0</v>
      </c>
      <c r="J2677" s="749">
        <f t="shared" si="733"/>
        <v>0</v>
      </c>
      <c r="K2677" s="739">
        <f t="shared" si="734"/>
        <v>704</v>
      </c>
      <c r="L2677" s="1079"/>
      <c r="M2677" s="752"/>
      <c r="N2677" s="744">
        <f t="shared" si="736"/>
        <v>4</v>
      </c>
      <c r="O2677" s="745">
        <v>0</v>
      </c>
      <c r="P2677" s="737">
        <v>4</v>
      </c>
      <c r="Q2677" s="752"/>
      <c r="R2677" s="752"/>
      <c r="S2677" s="752"/>
    </row>
    <row r="2678" spans="1:19" s="753" customFormat="1" ht="24" customHeight="1">
      <c r="A2678" s="734"/>
      <c r="B2678" s="747" t="s">
        <v>469</v>
      </c>
      <c r="C2678" s="735" t="s">
        <v>499</v>
      </c>
      <c r="D2678" s="735"/>
      <c r="E2678" s="737">
        <f t="shared" si="735"/>
        <v>4</v>
      </c>
      <c r="F2678" s="738" t="s">
        <v>363</v>
      </c>
      <c r="G2678" s="739">
        <v>216</v>
      </c>
      <c r="H2678" s="748">
        <f t="shared" si="732"/>
        <v>864</v>
      </c>
      <c r="I2678" s="741">
        <v>35</v>
      </c>
      <c r="J2678" s="749">
        <f t="shared" si="733"/>
        <v>140</v>
      </c>
      <c r="K2678" s="739">
        <f t="shared" si="734"/>
        <v>1004</v>
      </c>
      <c r="L2678" s="1079"/>
      <c r="M2678" s="752"/>
      <c r="N2678" s="744">
        <f t="shared" si="736"/>
        <v>4</v>
      </c>
      <c r="O2678" s="745">
        <v>0</v>
      </c>
      <c r="P2678" s="737">
        <v>4</v>
      </c>
      <c r="Q2678" s="752"/>
      <c r="R2678" s="752"/>
      <c r="S2678" s="752"/>
    </row>
    <row r="2679" spans="1:19" s="753" customFormat="1" ht="24" customHeight="1">
      <c r="A2679" s="734"/>
      <c r="B2679" s="750"/>
      <c r="C2679" s="736"/>
      <c r="D2679" s="907"/>
      <c r="E2679" s="737">
        <f t="shared" si="735"/>
        <v>0</v>
      </c>
      <c r="F2679" s="738"/>
      <c r="G2679" s="739">
        <v>0</v>
      </c>
      <c r="H2679" s="748">
        <f t="shared" si="732"/>
        <v>0</v>
      </c>
      <c r="I2679" s="741">
        <v>0</v>
      </c>
      <c r="J2679" s="749">
        <f t="shared" si="733"/>
        <v>0</v>
      </c>
      <c r="K2679" s="739">
        <f t="shared" si="734"/>
        <v>0</v>
      </c>
      <c r="L2679" s="1079"/>
      <c r="M2679" s="752"/>
      <c r="N2679" s="744">
        <f t="shared" si="736"/>
        <v>0</v>
      </c>
      <c r="O2679" s="745">
        <v>0</v>
      </c>
      <c r="P2679" s="737">
        <v>0</v>
      </c>
      <c r="Q2679" s="752"/>
      <c r="R2679" s="752"/>
      <c r="S2679" s="752"/>
    </row>
    <row r="2680" spans="1:19" s="753" customFormat="1" ht="24" customHeight="1">
      <c r="A2680" s="734"/>
      <c r="B2680" s="747" t="s">
        <v>469</v>
      </c>
      <c r="C2680" s="735" t="s">
        <v>492</v>
      </c>
      <c r="D2680" s="735"/>
      <c r="E2680" s="737">
        <f t="shared" si="735"/>
        <v>5</v>
      </c>
      <c r="F2680" s="738" t="s">
        <v>363</v>
      </c>
      <c r="G2680" s="739">
        <v>9375</v>
      </c>
      <c r="H2680" s="748">
        <f t="shared" si="732"/>
        <v>46875</v>
      </c>
      <c r="I2680" s="741">
        <v>450</v>
      </c>
      <c r="J2680" s="749">
        <f t="shared" si="733"/>
        <v>2250</v>
      </c>
      <c r="K2680" s="739">
        <f t="shared" si="734"/>
        <v>49125</v>
      </c>
      <c r="L2680" s="1079"/>
      <c r="M2680" s="752"/>
      <c r="N2680" s="744">
        <f t="shared" si="736"/>
        <v>5</v>
      </c>
      <c r="O2680" s="745">
        <v>0</v>
      </c>
      <c r="P2680" s="737">
        <v>5</v>
      </c>
      <c r="Q2680" s="752"/>
      <c r="R2680" s="752"/>
      <c r="S2680" s="752"/>
    </row>
    <row r="2681" spans="1:19" s="753" customFormat="1" ht="24" customHeight="1">
      <c r="A2681" s="734"/>
      <c r="B2681" s="747" t="s">
        <v>469</v>
      </c>
      <c r="C2681" s="735" t="s">
        <v>500</v>
      </c>
      <c r="D2681" s="735"/>
      <c r="E2681" s="737">
        <f t="shared" si="735"/>
        <v>5</v>
      </c>
      <c r="F2681" s="738" t="s">
        <v>363</v>
      </c>
      <c r="G2681" s="739">
        <v>12752</v>
      </c>
      <c r="H2681" s="748">
        <f t="shared" si="732"/>
        <v>63760</v>
      </c>
      <c r="I2681" s="741">
        <v>0</v>
      </c>
      <c r="J2681" s="749">
        <f t="shared" si="733"/>
        <v>0</v>
      </c>
      <c r="K2681" s="739">
        <f t="shared" si="734"/>
        <v>63760</v>
      </c>
      <c r="L2681" s="1079"/>
      <c r="M2681" s="752"/>
      <c r="N2681" s="744">
        <f t="shared" si="736"/>
        <v>5</v>
      </c>
      <c r="O2681" s="745">
        <v>0</v>
      </c>
      <c r="P2681" s="737">
        <v>5</v>
      </c>
      <c r="Q2681" s="752"/>
      <c r="R2681" s="752"/>
      <c r="S2681" s="752"/>
    </row>
    <row r="2682" spans="1:19" s="753" customFormat="1" ht="24" customHeight="1">
      <c r="A2682" s="734"/>
      <c r="B2682" s="747" t="s">
        <v>469</v>
      </c>
      <c r="C2682" s="735" t="s">
        <v>501</v>
      </c>
      <c r="D2682" s="735"/>
      <c r="E2682" s="737">
        <v>0</v>
      </c>
      <c r="F2682" s="738" t="s">
        <v>363</v>
      </c>
      <c r="G2682" s="739">
        <v>1950</v>
      </c>
      <c r="H2682" s="748">
        <f t="shared" si="732"/>
        <v>0</v>
      </c>
      <c r="I2682" s="741">
        <v>35</v>
      </c>
      <c r="J2682" s="749">
        <f t="shared" si="733"/>
        <v>0</v>
      </c>
      <c r="K2682" s="739">
        <f t="shared" si="734"/>
        <v>0</v>
      </c>
      <c r="L2682" s="1079"/>
      <c r="M2682" s="752"/>
      <c r="N2682" s="744">
        <f t="shared" si="736"/>
        <v>5</v>
      </c>
      <c r="O2682" s="745">
        <v>0</v>
      </c>
      <c r="P2682" s="737">
        <v>5</v>
      </c>
      <c r="Q2682" s="752"/>
      <c r="R2682" s="752"/>
      <c r="S2682" s="752"/>
    </row>
    <row r="2683" spans="1:19" s="753" customFormat="1" ht="24" customHeight="1">
      <c r="A2683" s="734"/>
      <c r="B2683" s="747" t="s">
        <v>469</v>
      </c>
      <c r="C2683" s="735" t="s">
        <v>502</v>
      </c>
      <c r="D2683" s="735"/>
      <c r="E2683" s="737">
        <f t="shared" si="735"/>
        <v>5</v>
      </c>
      <c r="F2683" s="738" t="s">
        <v>363</v>
      </c>
      <c r="G2683" s="739">
        <v>216</v>
      </c>
      <c r="H2683" s="748">
        <f t="shared" si="732"/>
        <v>1080</v>
      </c>
      <c r="I2683" s="741">
        <v>35</v>
      </c>
      <c r="J2683" s="749">
        <f t="shared" si="733"/>
        <v>175</v>
      </c>
      <c r="K2683" s="739">
        <f t="shared" si="734"/>
        <v>1255</v>
      </c>
      <c r="L2683" s="1079"/>
      <c r="M2683" s="752"/>
      <c r="N2683" s="744">
        <f t="shared" si="736"/>
        <v>5</v>
      </c>
      <c r="O2683" s="745">
        <v>0</v>
      </c>
      <c r="P2683" s="737">
        <v>5</v>
      </c>
      <c r="Q2683" s="752"/>
      <c r="R2683" s="752"/>
      <c r="S2683" s="752"/>
    </row>
    <row r="2684" spans="1:19" s="753" customFormat="1" ht="24" customHeight="1">
      <c r="A2684" s="734"/>
      <c r="B2684" s="747"/>
      <c r="C2684" s="735"/>
      <c r="D2684" s="907"/>
      <c r="E2684" s="737">
        <f t="shared" si="735"/>
        <v>0</v>
      </c>
      <c r="F2684" s="738"/>
      <c r="G2684" s="739">
        <v>0</v>
      </c>
      <c r="H2684" s="748">
        <f t="shared" si="732"/>
        <v>0</v>
      </c>
      <c r="I2684" s="741">
        <v>0</v>
      </c>
      <c r="J2684" s="749">
        <f t="shared" si="733"/>
        <v>0</v>
      </c>
      <c r="K2684" s="739">
        <f t="shared" si="734"/>
        <v>0</v>
      </c>
      <c r="L2684" s="1079"/>
      <c r="M2684" s="752"/>
      <c r="N2684" s="744">
        <f t="shared" si="736"/>
        <v>0</v>
      </c>
      <c r="O2684" s="745">
        <v>0</v>
      </c>
      <c r="P2684" s="737">
        <v>0</v>
      </c>
      <c r="Q2684" s="752"/>
      <c r="R2684" s="752"/>
      <c r="S2684" s="752"/>
    </row>
    <row r="2685" spans="1:19" s="753" customFormat="1" ht="24" customHeight="1">
      <c r="A2685" s="734"/>
      <c r="B2685" s="747" t="s">
        <v>469</v>
      </c>
      <c r="C2685" s="735" t="s">
        <v>503</v>
      </c>
      <c r="D2685" s="735"/>
      <c r="E2685" s="737">
        <f t="shared" si="735"/>
        <v>8</v>
      </c>
      <c r="F2685" s="738" t="s">
        <v>363</v>
      </c>
      <c r="G2685" s="739">
        <v>3920</v>
      </c>
      <c r="H2685" s="748">
        <f t="shared" si="732"/>
        <v>31360</v>
      </c>
      <c r="I2685" s="741">
        <v>450</v>
      </c>
      <c r="J2685" s="749">
        <f t="shared" si="733"/>
        <v>3600</v>
      </c>
      <c r="K2685" s="739">
        <f t="shared" si="734"/>
        <v>34960</v>
      </c>
      <c r="L2685" s="1079"/>
      <c r="M2685" s="752"/>
      <c r="N2685" s="744">
        <f t="shared" si="736"/>
        <v>8</v>
      </c>
      <c r="O2685" s="745">
        <v>0</v>
      </c>
      <c r="P2685" s="737">
        <v>8</v>
      </c>
      <c r="Q2685" s="752"/>
      <c r="R2685" s="752"/>
      <c r="S2685" s="752"/>
    </row>
    <row r="2686" spans="1:19" s="753" customFormat="1" ht="24" customHeight="1">
      <c r="A2686" s="734"/>
      <c r="B2686" s="747" t="s">
        <v>469</v>
      </c>
      <c r="C2686" s="735" t="s">
        <v>504</v>
      </c>
      <c r="D2686" s="735"/>
      <c r="E2686" s="737">
        <f t="shared" si="735"/>
        <v>8</v>
      </c>
      <c r="F2686" s="738" t="s">
        <v>363</v>
      </c>
      <c r="G2686" s="739">
        <v>12752</v>
      </c>
      <c r="H2686" s="748">
        <f t="shared" si="732"/>
        <v>102016</v>
      </c>
      <c r="I2686" s="741">
        <v>0</v>
      </c>
      <c r="J2686" s="749">
        <f t="shared" si="733"/>
        <v>0</v>
      </c>
      <c r="K2686" s="739">
        <f t="shared" si="734"/>
        <v>102016</v>
      </c>
      <c r="L2686" s="1079"/>
      <c r="M2686" s="752"/>
      <c r="N2686" s="744">
        <f t="shared" si="736"/>
        <v>8</v>
      </c>
      <c r="O2686" s="745">
        <v>0</v>
      </c>
      <c r="P2686" s="737">
        <v>8</v>
      </c>
      <c r="Q2686" s="752"/>
      <c r="R2686" s="752"/>
      <c r="S2686" s="752"/>
    </row>
    <row r="2687" spans="1:19" s="682" customFormat="1" ht="24" customHeight="1">
      <c r="A2687" s="734"/>
      <c r="B2687" s="747" t="s">
        <v>469</v>
      </c>
      <c r="C2687" s="735" t="s">
        <v>505</v>
      </c>
      <c r="D2687" s="735"/>
      <c r="E2687" s="737">
        <f t="shared" si="735"/>
        <v>6</v>
      </c>
      <c r="F2687" s="738" t="s">
        <v>363</v>
      </c>
      <c r="G2687" s="739">
        <v>2280</v>
      </c>
      <c r="H2687" s="748">
        <f t="shared" si="732"/>
        <v>13680</v>
      </c>
      <c r="I2687" s="741">
        <v>300</v>
      </c>
      <c r="J2687" s="749">
        <f t="shared" si="733"/>
        <v>1800</v>
      </c>
      <c r="K2687" s="739">
        <f t="shared" si="734"/>
        <v>15480</v>
      </c>
      <c r="L2687" s="1079"/>
      <c r="M2687" s="679"/>
      <c r="N2687" s="744">
        <f t="shared" si="736"/>
        <v>6</v>
      </c>
      <c r="O2687" s="745">
        <v>0</v>
      </c>
      <c r="P2687" s="737">
        <v>6</v>
      </c>
      <c r="Q2687" s="679"/>
      <c r="R2687" s="679"/>
      <c r="S2687" s="679"/>
    </row>
    <row r="2688" spans="1:19" s="682" customFormat="1" ht="24" customHeight="1">
      <c r="A2688" s="734"/>
      <c r="B2688" s="747" t="s">
        <v>469</v>
      </c>
      <c r="C2688" s="735" t="s">
        <v>506</v>
      </c>
      <c r="D2688" s="735"/>
      <c r="E2688" s="737">
        <f t="shared" si="735"/>
        <v>0</v>
      </c>
      <c r="F2688" s="738" t="s">
        <v>363</v>
      </c>
      <c r="G2688" s="739">
        <v>6592</v>
      </c>
      <c r="H2688" s="748">
        <f t="shared" si="732"/>
        <v>0</v>
      </c>
      <c r="I2688" s="741">
        <v>140</v>
      </c>
      <c r="J2688" s="749">
        <f t="shared" si="733"/>
        <v>0</v>
      </c>
      <c r="K2688" s="739">
        <f t="shared" si="734"/>
        <v>0</v>
      </c>
      <c r="L2688" s="1079"/>
      <c r="M2688" s="679"/>
      <c r="N2688" s="744">
        <f t="shared" si="736"/>
        <v>0</v>
      </c>
      <c r="O2688" s="745">
        <v>0</v>
      </c>
      <c r="P2688" s="737">
        <v>0</v>
      </c>
      <c r="Q2688" s="679"/>
      <c r="R2688" s="679"/>
      <c r="S2688" s="679"/>
    </row>
    <row r="2689" spans="1:19" s="753" customFormat="1" ht="24" customHeight="1">
      <c r="A2689" s="734"/>
      <c r="B2689" s="747" t="s">
        <v>484</v>
      </c>
      <c r="C2689" s="735" t="s">
        <v>485</v>
      </c>
      <c r="D2689" s="735"/>
      <c r="E2689" s="737">
        <f t="shared" si="735"/>
        <v>7</v>
      </c>
      <c r="F2689" s="738" t="s">
        <v>363</v>
      </c>
      <c r="G2689" s="739">
        <v>285</v>
      </c>
      <c r="H2689" s="748">
        <f t="shared" si="732"/>
        <v>1995</v>
      </c>
      <c r="I2689" s="741">
        <v>75</v>
      </c>
      <c r="J2689" s="749">
        <f t="shared" si="733"/>
        <v>525</v>
      </c>
      <c r="K2689" s="739">
        <f t="shared" si="734"/>
        <v>2520</v>
      </c>
      <c r="L2689" s="1093"/>
      <c r="M2689" s="752"/>
      <c r="N2689" s="744">
        <f t="shared" si="736"/>
        <v>7</v>
      </c>
      <c r="O2689" s="745">
        <v>0</v>
      </c>
      <c r="P2689" s="737">
        <v>7</v>
      </c>
      <c r="Q2689" s="752"/>
      <c r="R2689" s="752"/>
      <c r="S2689" s="752"/>
    </row>
    <row r="2690" spans="1:19" s="753" customFormat="1" ht="24" customHeight="1">
      <c r="A2690" s="734"/>
      <c r="B2690" s="747" t="s">
        <v>469</v>
      </c>
      <c r="C2690" s="735" t="s">
        <v>486</v>
      </c>
      <c r="D2690" s="735"/>
      <c r="E2690" s="737">
        <f t="shared" si="735"/>
        <v>1</v>
      </c>
      <c r="F2690" s="738" t="s">
        <v>363</v>
      </c>
      <c r="G2690" s="739">
        <v>552</v>
      </c>
      <c r="H2690" s="748">
        <f t="shared" si="732"/>
        <v>552</v>
      </c>
      <c r="I2690" s="741">
        <v>25</v>
      </c>
      <c r="J2690" s="749">
        <f t="shared" si="733"/>
        <v>25</v>
      </c>
      <c r="K2690" s="739">
        <f t="shared" si="734"/>
        <v>577</v>
      </c>
      <c r="L2690" s="1079"/>
      <c r="M2690" s="752"/>
      <c r="N2690" s="744">
        <f t="shared" si="736"/>
        <v>1</v>
      </c>
      <c r="O2690" s="745">
        <v>0</v>
      </c>
      <c r="P2690" s="737">
        <v>1</v>
      </c>
      <c r="Q2690" s="752"/>
      <c r="R2690" s="752"/>
      <c r="S2690" s="752"/>
    </row>
    <row r="2691" spans="1:19" s="753" customFormat="1" ht="24" customHeight="1">
      <c r="A2691" s="734"/>
      <c r="B2691" s="747" t="s">
        <v>469</v>
      </c>
      <c r="C2691" s="735" t="s">
        <v>507</v>
      </c>
      <c r="D2691" s="735"/>
      <c r="E2691" s="737">
        <f t="shared" si="735"/>
        <v>1</v>
      </c>
      <c r="F2691" s="738" t="s">
        <v>363</v>
      </c>
      <c r="G2691" s="739">
        <v>1650</v>
      </c>
      <c r="H2691" s="748">
        <f t="shared" si="732"/>
        <v>1650</v>
      </c>
      <c r="I2691" s="741">
        <v>70</v>
      </c>
      <c r="J2691" s="749">
        <f t="shared" si="733"/>
        <v>70</v>
      </c>
      <c r="K2691" s="739">
        <f t="shared" si="734"/>
        <v>1720</v>
      </c>
      <c r="L2691" s="1079"/>
      <c r="M2691" s="752"/>
      <c r="N2691" s="744">
        <f t="shared" si="736"/>
        <v>1</v>
      </c>
      <c r="O2691" s="745">
        <v>0</v>
      </c>
      <c r="P2691" s="737">
        <v>1</v>
      </c>
      <c r="Q2691" s="752"/>
      <c r="R2691" s="752"/>
      <c r="S2691" s="752"/>
    </row>
    <row r="2692" spans="1:19" s="753" customFormat="1" ht="24" customHeight="1">
      <c r="A2692" s="734"/>
      <c r="B2692" s="747" t="s">
        <v>469</v>
      </c>
      <c r="C2692" s="735" t="s">
        <v>508</v>
      </c>
      <c r="D2692" s="735"/>
      <c r="E2692" s="737">
        <f t="shared" si="735"/>
        <v>5</v>
      </c>
      <c r="F2692" s="738" t="s">
        <v>363</v>
      </c>
      <c r="G2692" s="739">
        <v>13500</v>
      </c>
      <c r="H2692" s="748">
        <f t="shared" si="732"/>
        <v>67500</v>
      </c>
      <c r="I2692" s="741">
        <v>750</v>
      </c>
      <c r="J2692" s="749">
        <f t="shared" si="733"/>
        <v>3750</v>
      </c>
      <c r="K2692" s="739">
        <f t="shared" si="734"/>
        <v>71250</v>
      </c>
      <c r="L2692" s="1079"/>
      <c r="M2692" s="752"/>
      <c r="N2692" s="744">
        <f t="shared" si="736"/>
        <v>5</v>
      </c>
      <c r="O2692" s="745">
        <v>0</v>
      </c>
      <c r="P2692" s="737">
        <v>5</v>
      </c>
      <c r="Q2692" s="752"/>
      <c r="R2692" s="752"/>
      <c r="S2692" s="752"/>
    </row>
    <row r="2693" spans="1:19" s="682" customFormat="1" ht="24" customHeight="1">
      <c r="A2693" s="734"/>
      <c r="B2693" s="747" t="s">
        <v>469</v>
      </c>
      <c r="C2693" s="735" t="s">
        <v>509</v>
      </c>
      <c r="D2693" s="735"/>
      <c r="E2693" s="737">
        <f t="shared" si="735"/>
        <v>1</v>
      </c>
      <c r="F2693" s="738" t="s">
        <v>363</v>
      </c>
      <c r="G2693" s="739">
        <v>14476</v>
      </c>
      <c r="H2693" s="748">
        <f t="shared" si="732"/>
        <v>14476</v>
      </c>
      <c r="I2693" s="741">
        <v>5367</v>
      </c>
      <c r="J2693" s="749">
        <f t="shared" si="733"/>
        <v>5367</v>
      </c>
      <c r="K2693" s="739">
        <f t="shared" si="734"/>
        <v>19843</v>
      </c>
      <c r="L2693" s="1079"/>
      <c r="M2693" s="679"/>
      <c r="N2693" s="744">
        <f t="shared" si="736"/>
        <v>1</v>
      </c>
      <c r="O2693" s="745">
        <v>0</v>
      </c>
      <c r="P2693" s="737">
        <v>1</v>
      </c>
      <c r="Q2693" s="679"/>
      <c r="R2693" s="679"/>
      <c r="S2693" s="679"/>
    </row>
    <row r="2694" spans="1:19" s="753" customFormat="1" ht="24" customHeight="1">
      <c r="A2694" s="734"/>
      <c r="B2694" s="747" t="s">
        <v>469</v>
      </c>
      <c r="C2694" s="735" t="s">
        <v>510</v>
      </c>
      <c r="D2694" s="735"/>
      <c r="E2694" s="737">
        <f t="shared" si="735"/>
        <v>4.1500000000000004</v>
      </c>
      <c r="F2694" s="738" t="s">
        <v>361</v>
      </c>
      <c r="G2694" s="739">
        <v>2694</v>
      </c>
      <c r="H2694" s="748">
        <f t="shared" si="732"/>
        <v>11180.1</v>
      </c>
      <c r="I2694" s="741">
        <v>1288</v>
      </c>
      <c r="J2694" s="749">
        <f t="shared" si="733"/>
        <v>5345.2000000000007</v>
      </c>
      <c r="K2694" s="739">
        <f t="shared" si="734"/>
        <v>16525.300000000003</v>
      </c>
      <c r="L2694" s="1079"/>
      <c r="M2694" s="752"/>
      <c r="N2694" s="744">
        <f t="shared" si="736"/>
        <v>4.1500000000000004</v>
      </c>
      <c r="O2694" s="745">
        <v>0</v>
      </c>
      <c r="P2694" s="737">
        <v>4.1500000000000004</v>
      </c>
      <c r="Q2694" s="752"/>
      <c r="R2694" s="752"/>
      <c r="S2694" s="752"/>
    </row>
    <row r="2695" spans="1:19" s="753" customFormat="1" ht="24" customHeight="1">
      <c r="A2695" s="734"/>
      <c r="B2695" s="747"/>
      <c r="C2695" s="735" t="s">
        <v>511</v>
      </c>
      <c r="D2695" s="735"/>
      <c r="E2695" s="737">
        <f t="shared" si="735"/>
        <v>0</v>
      </c>
      <c r="F2695" s="738"/>
      <c r="G2695" s="739"/>
      <c r="H2695" s="748">
        <f t="shared" si="732"/>
        <v>0</v>
      </c>
      <c r="I2695" s="741"/>
      <c r="J2695" s="749">
        <f t="shared" si="733"/>
        <v>0</v>
      </c>
      <c r="K2695" s="739">
        <f t="shared" si="734"/>
        <v>0</v>
      </c>
      <c r="L2695" s="1079"/>
      <c r="M2695" s="752"/>
      <c r="N2695" s="744">
        <f t="shared" si="736"/>
        <v>0</v>
      </c>
      <c r="O2695" s="745">
        <v>0</v>
      </c>
      <c r="P2695" s="737">
        <v>0</v>
      </c>
      <c r="Q2695" s="752"/>
      <c r="R2695" s="752"/>
      <c r="S2695" s="752"/>
    </row>
    <row r="2696" spans="1:19" s="753" customFormat="1" ht="24" customHeight="1">
      <c r="A2696" s="734"/>
      <c r="B2696" s="747" t="s">
        <v>469</v>
      </c>
      <c r="C2696" s="735" t="s">
        <v>512</v>
      </c>
      <c r="D2696" s="735"/>
      <c r="E2696" s="737">
        <f t="shared" si="735"/>
        <v>4.1500000000000004</v>
      </c>
      <c r="F2696" s="738" t="s">
        <v>361</v>
      </c>
      <c r="G2696" s="739">
        <v>3886</v>
      </c>
      <c r="H2696" s="748">
        <f t="shared" si="732"/>
        <v>16126.900000000001</v>
      </c>
      <c r="I2696" s="741">
        <v>1238</v>
      </c>
      <c r="J2696" s="749">
        <f t="shared" si="733"/>
        <v>5137.7000000000007</v>
      </c>
      <c r="K2696" s="739">
        <f t="shared" si="734"/>
        <v>21264.600000000002</v>
      </c>
      <c r="L2696" s="1079"/>
      <c r="M2696" s="752"/>
      <c r="N2696" s="744">
        <f t="shared" si="736"/>
        <v>4.1500000000000004</v>
      </c>
      <c r="O2696" s="745">
        <v>0</v>
      </c>
      <c r="P2696" s="737">
        <v>4.1500000000000004</v>
      </c>
      <c r="Q2696" s="752"/>
      <c r="R2696" s="752"/>
      <c r="S2696" s="752"/>
    </row>
    <row r="2697" spans="1:19" s="753" customFormat="1" ht="24" customHeight="1">
      <c r="A2697" s="734"/>
      <c r="B2697" s="747"/>
      <c r="C2697" s="735" t="s">
        <v>513</v>
      </c>
      <c r="D2697" s="735"/>
      <c r="E2697" s="737">
        <f t="shared" si="735"/>
        <v>0</v>
      </c>
      <c r="F2697" s="738"/>
      <c r="G2697" s="739">
        <v>0</v>
      </c>
      <c r="H2697" s="748">
        <f t="shared" si="732"/>
        <v>0</v>
      </c>
      <c r="I2697" s="741">
        <v>0</v>
      </c>
      <c r="J2697" s="749">
        <f t="shared" si="733"/>
        <v>0</v>
      </c>
      <c r="K2697" s="739">
        <f t="shared" si="734"/>
        <v>0</v>
      </c>
      <c r="L2697" s="1079"/>
      <c r="M2697" s="752"/>
      <c r="N2697" s="744">
        <f t="shared" si="736"/>
        <v>0</v>
      </c>
      <c r="O2697" s="745">
        <v>0</v>
      </c>
      <c r="P2697" s="737">
        <v>0</v>
      </c>
      <c r="Q2697" s="752"/>
      <c r="R2697" s="752"/>
      <c r="S2697" s="752"/>
    </row>
    <row r="2698" spans="1:19" s="753" customFormat="1" ht="24" customHeight="1">
      <c r="A2698" s="734"/>
      <c r="B2698" s="747" t="s">
        <v>469</v>
      </c>
      <c r="C2698" s="735" t="s">
        <v>514</v>
      </c>
      <c r="D2698" s="735"/>
      <c r="E2698" s="737">
        <f t="shared" si="735"/>
        <v>4.1500000000000004</v>
      </c>
      <c r="F2698" s="738" t="s">
        <v>361</v>
      </c>
      <c r="G2698" s="739">
        <v>1522</v>
      </c>
      <c r="H2698" s="748">
        <f t="shared" si="732"/>
        <v>6316.3</v>
      </c>
      <c r="I2698" s="741">
        <v>315</v>
      </c>
      <c r="J2698" s="749">
        <f t="shared" si="733"/>
        <v>1307.25</v>
      </c>
      <c r="K2698" s="739">
        <f t="shared" si="734"/>
        <v>7623.55</v>
      </c>
      <c r="L2698" s="1079"/>
      <c r="M2698" s="752"/>
      <c r="N2698" s="744">
        <f t="shared" si="736"/>
        <v>4.1500000000000004</v>
      </c>
      <c r="O2698" s="745">
        <v>0</v>
      </c>
      <c r="P2698" s="737">
        <v>4.1500000000000004</v>
      </c>
      <c r="Q2698" s="752"/>
      <c r="R2698" s="752"/>
      <c r="S2698" s="752"/>
    </row>
    <row r="2699" spans="1:19" s="753" customFormat="1" ht="24" customHeight="1">
      <c r="A2699" s="734"/>
      <c r="B2699" s="747"/>
      <c r="C2699" s="735"/>
      <c r="D2699" s="735"/>
      <c r="E2699" s="737"/>
      <c r="F2699" s="738"/>
      <c r="G2699" s="739"/>
      <c r="H2699" s="748"/>
      <c r="I2699" s="741"/>
      <c r="J2699" s="749"/>
      <c r="K2699" s="739"/>
      <c r="L2699" s="1079"/>
      <c r="M2699" s="752"/>
      <c r="N2699" s="744"/>
      <c r="O2699" s="745"/>
      <c r="P2699" s="737"/>
      <c r="Q2699" s="752"/>
      <c r="R2699" s="752"/>
      <c r="S2699" s="752"/>
    </row>
    <row r="2700" spans="1:19" s="753" customFormat="1" ht="24" customHeight="1">
      <c r="A2700" s="734"/>
      <c r="B2700" s="747"/>
      <c r="C2700" s="735"/>
      <c r="D2700" s="735"/>
      <c r="E2700" s="737">
        <f t="shared" si="735"/>
        <v>0</v>
      </c>
      <c r="F2700" s="738"/>
      <c r="G2700" s="739">
        <v>0</v>
      </c>
      <c r="H2700" s="748">
        <f t="shared" ref="H2700:H2769" si="737">SUM(E2700*G2700)</f>
        <v>0</v>
      </c>
      <c r="I2700" s="741">
        <v>0</v>
      </c>
      <c r="J2700" s="749">
        <f t="shared" ref="J2700:J2769" si="738">SUM(E2700*I2700)</f>
        <v>0</v>
      </c>
      <c r="K2700" s="739">
        <f t="shared" ref="K2700:K2769" si="739">SUM(H2700+J2700)</f>
        <v>0</v>
      </c>
      <c r="L2700" s="1079"/>
      <c r="M2700" s="752"/>
      <c r="N2700" s="744">
        <f t="shared" si="736"/>
        <v>0</v>
      </c>
      <c r="O2700" s="745">
        <v>0</v>
      </c>
      <c r="P2700" s="737">
        <v>0</v>
      </c>
      <c r="Q2700" s="752"/>
      <c r="R2700" s="752"/>
      <c r="S2700" s="752"/>
    </row>
    <row r="2701" spans="1:19" s="682" customFormat="1" ht="24" customHeight="1">
      <c r="A2701" s="734"/>
      <c r="B2701" s="747" t="s">
        <v>469</v>
      </c>
      <c r="C2701" s="735" t="s">
        <v>515</v>
      </c>
      <c r="D2701" s="735"/>
      <c r="E2701" s="737">
        <f t="shared" si="735"/>
        <v>1</v>
      </c>
      <c r="F2701" s="738" t="s">
        <v>363</v>
      </c>
      <c r="G2701" s="739">
        <v>5013</v>
      </c>
      <c r="H2701" s="748">
        <f t="shared" si="737"/>
        <v>5013</v>
      </c>
      <c r="I2701" s="741">
        <v>2403</v>
      </c>
      <c r="J2701" s="749">
        <f t="shared" si="738"/>
        <v>2403</v>
      </c>
      <c r="K2701" s="739">
        <f t="shared" si="739"/>
        <v>7416</v>
      </c>
      <c r="L2701" s="1079"/>
      <c r="M2701" s="679"/>
      <c r="N2701" s="744">
        <f t="shared" si="736"/>
        <v>1</v>
      </c>
      <c r="O2701" s="745">
        <v>0</v>
      </c>
      <c r="P2701" s="737">
        <v>1</v>
      </c>
      <c r="Q2701" s="679"/>
      <c r="R2701" s="679"/>
      <c r="S2701" s="679"/>
    </row>
    <row r="2702" spans="1:19" s="682" customFormat="1" ht="24" customHeight="1">
      <c r="A2702" s="734"/>
      <c r="B2702" s="747"/>
      <c r="C2702" s="735" t="s">
        <v>516</v>
      </c>
      <c r="D2702" s="735"/>
      <c r="E2702" s="737">
        <f t="shared" si="735"/>
        <v>0</v>
      </c>
      <c r="F2702" s="738"/>
      <c r="G2702" s="739"/>
      <c r="H2702" s="748">
        <f t="shared" si="737"/>
        <v>0</v>
      </c>
      <c r="I2702" s="741"/>
      <c r="J2702" s="749">
        <f t="shared" si="738"/>
        <v>0</v>
      </c>
      <c r="K2702" s="739">
        <f t="shared" si="739"/>
        <v>0</v>
      </c>
      <c r="L2702" s="1079"/>
      <c r="M2702" s="679"/>
      <c r="N2702" s="744">
        <f t="shared" si="736"/>
        <v>0</v>
      </c>
      <c r="O2702" s="745">
        <v>0</v>
      </c>
      <c r="P2702" s="737">
        <v>0</v>
      </c>
      <c r="Q2702" s="679"/>
      <c r="R2702" s="679"/>
      <c r="S2702" s="679"/>
    </row>
    <row r="2703" spans="1:19" s="682" customFormat="1" ht="24" customHeight="1">
      <c r="A2703" s="734"/>
      <c r="B2703" s="747"/>
      <c r="C2703" s="735"/>
      <c r="D2703" s="735"/>
      <c r="E2703" s="737">
        <f t="shared" ref="E2703:E2772" si="740">+N2703</f>
        <v>0</v>
      </c>
      <c r="F2703" s="738"/>
      <c r="G2703" s="739"/>
      <c r="H2703" s="748">
        <f t="shared" si="737"/>
        <v>0</v>
      </c>
      <c r="I2703" s="741"/>
      <c r="J2703" s="749">
        <f t="shared" si="738"/>
        <v>0</v>
      </c>
      <c r="K2703" s="739">
        <f t="shared" si="739"/>
        <v>0</v>
      </c>
      <c r="L2703" s="1079"/>
      <c r="M2703" s="679"/>
      <c r="N2703" s="744">
        <f t="shared" si="736"/>
        <v>0</v>
      </c>
      <c r="O2703" s="745">
        <v>0</v>
      </c>
      <c r="P2703" s="737">
        <v>0</v>
      </c>
      <c r="Q2703" s="679"/>
      <c r="R2703" s="679"/>
      <c r="S2703" s="679"/>
    </row>
    <row r="2704" spans="1:19" s="756" customFormat="1" ht="24" customHeight="1">
      <c r="A2704" s="734"/>
      <c r="B2704" s="747" t="s">
        <v>469</v>
      </c>
      <c r="C2704" s="735" t="s">
        <v>517</v>
      </c>
      <c r="D2704" s="907"/>
      <c r="E2704" s="737">
        <f t="shared" si="740"/>
        <v>0</v>
      </c>
      <c r="F2704" s="738" t="s">
        <v>361</v>
      </c>
      <c r="G2704" s="739">
        <v>5075.5555555555557</v>
      </c>
      <c r="H2704" s="748">
        <f t="shared" si="737"/>
        <v>0</v>
      </c>
      <c r="I2704" s="741">
        <v>2545.7777777777778</v>
      </c>
      <c r="J2704" s="749">
        <f t="shared" si="738"/>
        <v>0</v>
      </c>
      <c r="K2704" s="739">
        <f t="shared" si="739"/>
        <v>0</v>
      </c>
      <c r="L2704" s="1079"/>
      <c r="M2704" s="755"/>
      <c r="N2704" s="744">
        <f t="shared" si="736"/>
        <v>0</v>
      </c>
      <c r="O2704" s="745">
        <v>0</v>
      </c>
      <c r="P2704" s="737">
        <v>0</v>
      </c>
      <c r="Q2704" s="755"/>
      <c r="R2704" s="755"/>
      <c r="S2704" s="755"/>
    </row>
    <row r="2705" spans="1:19" s="756" customFormat="1" ht="24" customHeight="1">
      <c r="A2705" s="734"/>
      <c r="B2705" s="747"/>
      <c r="C2705" s="735" t="s">
        <v>488</v>
      </c>
      <c r="D2705" s="907"/>
      <c r="E2705" s="737">
        <f t="shared" si="740"/>
        <v>0</v>
      </c>
      <c r="F2705" s="738"/>
      <c r="G2705" s="739">
        <v>0</v>
      </c>
      <c r="H2705" s="748">
        <f t="shared" si="737"/>
        <v>0</v>
      </c>
      <c r="I2705" s="741">
        <v>0</v>
      </c>
      <c r="J2705" s="749">
        <f t="shared" si="738"/>
        <v>0</v>
      </c>
      <c r="K2705" s="739">
        <f t="shared" si="739"/>
        <v>0</v>
      </c>
      <c r="L2705" s="1079"/>
      <c r="M2705" s="755"/>
      <c r="N2705" s="744">
        <f t="shared" si="736"/>
        <v>0</v>
      </c>
      <c r="O2705" s="745">
        <v>0</v>
      </c>
      <c r="P2705" s="737">
        <v>0</v>
      </c>
      <c r="Q2705" s="755"/>
      <c r="R2705" s="755"/>
      <c r="S2705" s="755"/>
    </row>
    <row r="2706" spans="1:19" s="753" customFormat="1" ht="24" customHeight="1">
      <c r="A2706" s="734"/>
      <c r="B2706" s="747" t="s">
        <v>469</v>
      </c>
      <c r="C2706" s="735" t="s">
        <v>518</v>
      </c>
      <c r="D2706" s="735"/>
      <c r="E2706" s="737">
        <f t="shared" si="740"/>
        <v>0</v>
      </c>
      <c r="F2706" s="738" t="s">
        <v>361</v>
      </c>
      <c r="G2706" s="739">
        <v>3886</v>
      </c>
      <c r="H2706" s="748">
        <f t="shared" si="737"/>
        <v>0</v>
      </c>
      <c r="I2706" s="741">
        <v>1238</v>
      </c>
      <c r="J2706" s="749">
        <f t="shared" si="738"/>
        <v>0</v>
      </c>
      <c r="K2706" s="739">
        <f t="shared" si="739"/>
        <v>0</v>
      </c>
      <c r="L2706" s="1079"/>
      <c r="M2706" s="752"/>
      <c r="N2706" s="744">
        <f t="shared" si="736"/>
        <v>0</v>
      </c>
      <c r="O2706" s="745">
        <v>0</v>
      </c>
      <c r="P2706" s="737">
        <v>0</v>
      </c>
      <c r="Q2706" s="752"/>
      <c r="R2706" s="752"/>
      <c r="S2706" s="752"/>
    </row>
    <row r="2707" spans="1:19" s="753" customFormat="1" ht="24" customHeight="1">
      <c r="A2707" s="734"/>
      <c r="B2707" s="747"/>
      <c r="C2707" s="735" t="s">
        <v>513</v>
      </c>
      <c r="D2707" s="735"/>
      <c r="E2707" s="737">
        <f t="shared" si="740"/>
        <v>0</v>
      </c>
      <c r="F2707" s="738"/>
      <c r="G2707" s="739">
        <v>0</v>
      </c>
      <c r="H2707" s="748">
        <f t="shared" si="737"/>
        <v>0</v>
      </c>
      <c r="I2707" s="741">
        <v>0</v>
      </c>
      <c r="J2707" s="749">
        <f t="shared" si="738"/>
        <v>0</v>
      </c>
      <c r="K2707" s="739">
        <f t="shared" si="739"/>
        <v>0</v>
      </c>
      <c r="L2707" s="1079"/>
      <c r="M2707" s="752"/>
      <c r="N2707" s="744">
        <f t="shared" si="736"/>
        <v>0</v>
      </c>
      <c r="O2707" s="745">
        <v>0</v>
      </c>
      <c r="P2707" s="737">
        <v>0</v>
      </c>
      <c r="Q2707" s="752"/>
      <c r="R2707" s="752"/>
      <c r="S2707" s="752"/>
    </row>
    <row r="2708" spans="1:19" s="682" customFormat="1" ht="24" customHeight="1">
      <c r="A2708" s="734"/>
      <c r="B2708" s="747" t="s">
        <v>469</v>
      </c>
      <c r="C2708" s="735" t="s">
        <v>519</v>
      </c>
      <c r="D2708" s="735"/>
      <c r="E2708" s="737">
        <f t="shared" si="740"/>
        <v>1</v>
      </c>
      <c r="F2708" s="738" t="s">
        <v>363</v>
      </c>
      <c r="G2708" s="739">
        <v>800</v>
      </c>
      <c r="H2708" s="748">
        <f t="shared" si="737"/>
        <v>800</v>
      </c>
      <c r="I2708" s="741">
        <v>70</v>
      </c>
      <c r="J2708" s="749">
        <f t="shared" si="738"/>
        <v>70</v>
      </c>
      <c r="K2708" s="739">
        <f t="shared" si="739"/>
        <v>870</v>
      </c>
      <c r="L2708" s="1079"/>
      <c r="M2708" s="679"/>
      <c r="N2708" s="744">
        <f t="shared" si="736"/>
        <v>1</v>
      </c>
      <c r="O2708" s="745">
        <v>0</v>
      </c>
      <c r="P2708" s="737">
        <v>1</v>
      </c>
      <c r="Q2708" s="679"/>
      <c r="R2708" s="679"/>
      <c r="S2708" s="679"/>
    </row>
    <row r="2709" spans="1:19" s="682" customFormat="1" ht="24" customHeight="1">
      <c r="A2709" s="734"/>
      <c r="B2709" s="747" t="s">
        <v>469</v>
      </c>
      <c r="C2709" s="735" t="s">
        <v>520</v>
      </c>
      <c r="D2709" s="735"/>
      <c r="E2709" s="737">
        <f t="shared" si="740"/>
        <v>0</v>
      </c>
      <c r="F2709" s="738" t="s">
        <v>361</v>
      </c>
      <c r="G2709" s="739">
        <v>190</v>
      </c>
      <c r="H2709" s="748">
        <f t="shared" si="737"/>
        <v>0</v>
      </c>
      <c r="I2709" s="741">
        <v>75</v>
      </c>
      <c r="J2709" s="749">
        <f t="shared" si="738"/>
        <v>0</v>
      </c>
      <c r="K2709" s="739">
        <f t="shared" si="739"/>
        <v>0</v>
      </c>
      <c r="L2709" s="1079"/>
      <c r="M2709" s="679"/>
      <c r="N2709" s="744">
        <f t="shared" si="736"/>
        <v>0</v>
      </c>
      <c r="O2709" s="745">
        <v>0</v>
      </c>
      <c r="P2709" s="737">
        <v>0</v>
      </c>
      <c r="Q2709" s="679"/>
      <c r="R2709" s="679"/>
      <c r="S2709" s="679"/>
    </row>
    <row r="2710" spans="1:19" s="682" customFormat="1" ht="24" customHeight="1">
      <c r="A2710" s="734"/>
      <c r="B2710" s="747"/>
      <c r="C2710" s="735"/>
      <c r="D2710" s="735"/>
      <c r="E2710" s="737">
        <f t="shared" si="740"/>
        <v>0</v>
      </c>
      <c r="F2710" s="738"/>
      <c r="G2710" s="739"/>
      <c r="H2710" s="748">
        <f t="shared" si="737"/>
        <v>0</v>
      </c>
      <c r="I2710" s="741"/>
      <c r="J2710" s="749">
        <f t="shared" si="738"/>
        <v>0</v>
      </c>
      <c r="K2710" s="739">
        <f t="shared" si="739"/>
        <v>0</v>
      </c>
      <c r="L2710" s="1079"/>
      <c r="M2710" s="679"/>
      <c r="N2710" s="744">
        <f t="shared" ref="N2710:N2779" si="741">+(1+O2710)*P2710</f>
        <v>0</v>
      </c>
      <c r="O2710" s="745">
        <v>0</v>
      </c>
      <c r="P2710" s="737">
        <v>0</v>
      </c>
      <c r="Q2710" s="679"/>
      <c r="R2710" s="679"/>
      <c r="S2710" s="679"/>
    </row>
    <row r="2711" spans="1:19" s="753" customFormat="1" ht="24" customHeight="1">
      <c r="A2711" s="734"/>
      <c r="B2711" s="735" t="s">
        <v>1077</v>
      </c>
      <c r="C2711" s="735"/>
      <c r="D2711" s="907"/>
      <c r="E2711" s="737">
        <f t="shared" si="740"/>
        <v>0</v>
      </c>
      <c r="F2711" s="738"/>
      <c r="G2711" s="739">
        <v>0</v>
      </c>
      <c r="H2711" s="748">
        <f t="shared" si="737"/>
        <v>0</v>
      </c>
      <c r="I2711" s="741">
        <v>0</v>
      </c>
      <c r="J2711" s="749">
        <f t="shared" si="738"/>
        <v>0</v>
      </c>
      <c r="K2711" s="739">
        <f t="shared" si="739"/>
        <v>0</v>
      </c>
      <c r="L2711" s="1079"/>
      <c r="M2711" s="752"/>
      <c r="N2711" s="744">
        <f t="shared" si="741"/>
        <v>0</v>
      </c>
      <c r="O2711" s="745">
        <v>0</v>
      </c>
      <c r="P2711" s="737">
        <v>0</v>
      </c>
      <c r="Q2711" s="752"/>
      <c r="R2711" s="752"/>
      <c r="S2711" s="752"/>
    </row>
    <row r="2712" spans="1:19" s="753" customFormat="1" ht="24" customHeight="1">
      <c r="A2712" s="734"/>
      <c r="B2712" s="747" t="s">
        <v>469</v>
      </c>
      <c r="C2712" s="735" t="s">
        <v>497</v>
      </c>
      <c r="D2712" s="735"/>
      <c r="E2712" s="737">
        <f t="shared" si="740"/>
        <v>6</v>
      </c>
      <c r="F2712" s="738" t="s">
        <v>363</v>
      </c>
      <c r="G2712" s="739">
        <v>1540</v>
      </c>
      <c r="H2712" s="748">
        <f t="shared" si="737"/>
        <v>9240</v>
      </c>
      <c r="I2712" s="741">
        <v>450</v>
      </c>
      <c r="J2712" s="749">
        <f t="shared" si="738"/>
        <v>2700</v>
      </c>
      <c r="K2712" s="739">
        <f t="shared" si="739"/>
        <v>11940</v>
      </c>
      <c r="L2712" s="1079"/>
      <c r="M2712" s="752"/>
      <c r="N2712" s="744">
        <f t="shared" si="741"/>
        <v>6</v>
      </c>
      <c r="O2712" s="745">
        <v>0</v>
      </c>
      <c r="P2712" s="737">
        <v>6</v>
      </c>
      <c r="Q2712" s="752"/>
      <c r="R2712" s="752"/>
      <c r="S2712" s="752"/>
    </row>
    <row r="2713" spans="1:19" s="753" customFormat="1" ht="24" customHeight="1">
      <c r="A2713" s="734"/>
      <c r="B2713" s="747" t="s">
        <v>469</v>
      </c>
      <c r="C2713" s="735" t="s">
        <v>498</v>
      </c>
      <c r="D2713" s="735"/>
      <c r="E2713" s="737">
        <f t="shared" si="740"/>
        <v>6</v>
      </c>
      <c r="F2713" s="738" t="s">
        <v>363</v>
      </c>
      <c r="G2713" s="739">
        <v>6640</v>
      </c>
      <c r="H2713" s="748">
        <f t="shared" si="737"/>
        <v>39840</v>
      </c>
      <c r="I2713" s="741">
        <v>200</v>
      </c>
      <c r="J2713" s="749">
        <f t="shared" si="738"/>
        <v>1200</v>
      </c>
      <c r="K2713" s="739">
        <f t="shared" si="739"/>
        <v>41040</v>
      </c>
      <c r="L2713" s="1079"/>
      <c r="M2713" s="752"/>
      <c r="N2713" s="744">
        <f t="shared" si="741"/>
        <v>6</v>
      </c>
      <c r="O2713" s="745">
        <v>0</v>
      </c>
      <c r="P2713" s="737">
        <v>6</v>
      </c>
      <c r="Q2713" s="752"/>
      <c r="R2713" s="752"/>
      <c r="S2713" s="752"/>
    </row>
    <row r="2714" spans="1:19" s="753" customFormat="1" ht="24" customHeight="1">
      <c r="A2714" s="734"/>
      <c r="B2714" s="747" t="s">
        <v>469</v>
      </c>
      <c r="C2714" s="735" t="s">
        <v>476</v>
      </c>
      <c r="D2714" s="735"/>
      <c r="E2714" s="737">
        <f t="shared" si="740"/>
        <v>6</v>
      </c>
      <c r="F2714" s="738" t="s">
        <v>363</v>
      </c>
      <c r="G2714" s="739">
        <v>336</v>
      </c>
      <c r="H2714" s="748">
        <f t="shared" si="737"/>
        <v>2016</v>
      </c>
      <c r="I2714" s="741">
        <v>0</v>
      </c>
      <c r="J2714" s="749">
        <f t="shared" si="738"/>
        <v>0</v>
      </c>
      <c r="K2714" s="739">
        <f t="shared" si="739"/>
        <v>2016</v>
      </c>
      <c r="L2714" s="1079"/>
      <c r="M2714" s="752"/>
      <c r="N2714" s="744">
        <f t="shared" si="741"/>
        <v>6</v>
      </c>
      <c r="O2714" s="745">
        <v>0</v>
      </c>
      <c r="P2714" s="737">
        <v>6</v>
      </c>
      <c r="Q2714" s="752"/>
      <c r="R2714" s="752"/>
      <c r="S2714" s="752"/>
    </row>
    <row r="2715" spans="1:19" s="753" customFormat="1" ht="24" customHeight="1">
      <c r="A2715" s="734"/>
      <c r="B2715" s="747" t="s">
        <v>469</v>
      </c>
      <c r="C2715" s="735" t="s">
        <v>477</v>
      </c>
      <c r="D2715" s="735"/>
      <c r="E2715" s="737">
        <f t="shared" si="740"/>
        <v>6</v>
      </c>
      <c r="F2715" s="738" t="s">
        <v>363</v>
      </c>
      <c r="G2715" s="739">
        <v>736</v>
      </c>
      <c r="H2715" s="748">
        <f t="shared" si="737"/>
        <v>4416</v>
      </c>
      <c r="I2715" s="741">
        <v>0</v>
      </c>
      <c r="J2715" s="749">
        <f t="shared" si="738"/>
        <v>0</v>
      </c>
      <c r="K2715" s="739">
        <f t="shared" si="739"/>
        <v>4416</v>
      </c>
      <c r="L2715" s="1079"/>
      <c r="M2715" s="752"/>
      <c r="N2715" s="744">
        <f t="shared" si="741"/>
        <v>6</v>
      </c>
      <c r="O2715" s="745">
        <v>0</v>
      </c>
      <c r="P2715" s="737">
        <v>6</v>
      </c>
      <c r="Q2715" s="752"/>
      <c r="R2715" s="752"/>
      <c r="S2715" s="752"/>
    </row>
    <row r="2716" spans="1:19" s="753" customFormat="1" ht="24" customHeight="1">
      <c r="A2716" s="734"/>
      <c r="B2716" s="747" t="s">
        <v>469</v>
      </c>
      <c r="C2716" s="735" t="s">
        <v>478</v>
      </c>
      <c r="D2716" s="735"/>
      <c r="E2716" s="737">
        <f t="shared" si="740"/>
        <v>6</v>
      </c>
      <c r="F2716" s="738" t="s">
        <v>363</v>
      </c>
      <c r="G2716" s="739">
        <v>176</v>
      </c>
      <c r="H2716" s="748">
        <f t="shared" si="737"/>
        <v>1056</v>
      </c>
      <c r="I2716" s="741">
        <v>0</v>
      </c>
      <c r="J2716" s="749">
        <f t="shared" si="738"/>
        <v>0</v>
      </c>
      <c r="K2716" s="739">
        <f t="shared" si="739"/>
        <v>1056</v>
      </c>
      <c r="L2716" s="1079"/>
      <c r="M2716" s="752"/>
      <c r="N2716" s="744">
        <f t="shared" si="741"/>
        <v>6</v>
      </c>
      <c r="O2716" s="745">
        <v>0</v>
      </c>
      <c r="P2716" s="737">
        <v>6</v>
      </c>
      <c r="Q2716" s="752"/>
      <c r="R2716" s="752"/>
      <c r="S2716" s="752"/>
    </row>
    <row r="2717" spans="1:19" s="753" customFormat="1" ht="24" customHeight="1">
      <c r="A2717" s="734"/>
      <c r="B2717" s="747" t="s">
        <v>469</v>
      </c>
      <c r="C2717" s="735" t="s">
        <v>499</v>
      </c>
      <c r="D2717" s="735"/>
      <c r="E2717" s="737">
        <f t="shared" si="740"/>
        <v>6</v>
      </c>
      <c r="F2717" s="738" t="s">
        <v>363</v>
      </c>
      <c r="G2717" s="739">
        <v>216</v>
      </c>
      <c r="H2717" s="748">
        <f t="shared" si="737"/>
        <v>1296</v>
      </c>
      <c r="I2717" s="741">
        <v>35</v>
      </c>
      <c r="J2717" s="749">
        <f t="shared" si="738"/>
        <v>210</v>
      </c>
      <c r="K2717" s="739">
        <f t="shared" si="739"/>
        <v>1506</v>
      </c>
      <c r="L2717" s="1079"/>
      <c r="M2717" s="752"/>
      <c r="N2717" s="744">
        <f t="shared" si="741"/>
        <v>6</v>
      </c>
      <c r="O2717" s="745">
        <v>0</v>
      </c>
      <c r="P2717" s="737">
        <v>6</v>
      </c>
      <c r="Q2717" s="752"/>
      <c r="R2717" s="752"/>
      <c r="S2717" s="752"/>
    </row>
    <row r="2718" spans="1:19" s="753" customFormat="1" ht="24" customHeight="1">
      <c r="A2718" s="734"/>
      <c r="B2718" s="747"/>
      <c r="C2718" s="736"/>
      <c r="D2718" s="907"/>
      <c r="E2718" s="737">
        <f t="shared" si="740"/>
        <v>0</v>
      </c>
      <c r="F2718" s="738"/>
      <c r="G2718" s="739">
        <v>0</v>
      </c>
      <c r="H2718" s="748">
        <f t="shared" si="737"/>
        <v>0</v>
      </c>
      <c r="I2718" s="741">
        <v>0</v>
      </c>
      <c r="J2718" s="749">
        <f t="shared" si="738"/>
        <v>0</v>
      </c>
      <c r="K2718" s="739">
        <f t="shared" si="739"/>
        <v>0</v>
      </c>
      <c r="L2718" s="1079"/>
      <c r="M2718" s="752"/>
      <c r="N2718" s="744">
        <f t="shared" si="741"/>
        <v>0</v>
      </c>
      <c r="O2718" s="745">
        <v>0</v>
      </c>
      <c r="P2718" s="737">
        <v>0</v>
      </c>
      <c r="Q2718" s="752"/>
      <c r="R2718" s="752"/>
      <c r="S2718" s="752"/>
    </row>
    <row r="2719" spans="1:19" s="753" customFormat="1" ht="24" customHeight="1">
      <c r="A2719" s="734"/>
      <c r="B2719" s="747" t="s">
        <v>469</v>
      </c>
      <c r="C2719" s="735" t="s">
        <v>492</v>
      </c>
      <c r="D2719" s="735"/>
      <c r="E2719" s="737">
        <f t="shared" si="740"/>
        <v>10</v>
      </c>
      <c r="F2719" s="738" t="s">
        <v>363</v>
      </c>
      <c r="G2719" s="739">
        <v>9375</v>
      </c>
      <c r="H2719" s="748">
        <f t="shared" si="737"/>
        <v>93750</v>
      </c>
      <c r="I2719" s="741">
        <v>450</v>
      </c>
      <c r="J2719" s="749">
        <f t="shared" si="738"/>
        <v>4500</v>
      </c>
      <c r="K2719" s="739">
        <f t="shared" si="739"/>
        <v>98250</v>
      </c>
      <c r="L2719" s="1079"/>
      <c r="M2719" s="752"/>
      <c r="N2719" s="744">
        <f t="shared" si="741"/>
        <v>10</v>
      </c>
      <c r="O2719" s="745">
        <v>0</v>
      </c>
      <c r="P2719" s="737">
        <v>10</v>
      </c>
      <c r="Q2719" s="752"/>
      <c r="R2719" s="752"/>
      <c r="S2719" s="752"/>
    </row>
    <row r="2720" spans="1:19" s="753" customFormat="1" ht="24" customHeight="1">
      <c r="A2720" s="734"/>
      <c r="B2720" s="747" t="s">
        <v>469</v>
      </c>
      <c r="C2720" s="735" t="s">
        <v>500</v>
      </c>
      <c r="D2720" s="735"/>
      <c r="E2720" s="737">
        <f t="shared" si="740"/>
        <v>10</v>
      </c>
      <c r="F2720" s="738" t="s">
        <v>363</v>
      </c>
      <c r="G2720" s="739">
        <v>12752</v>
      </c>
      <c r="H2720" s="748">
        <f t="shared" si="737"/>
        <v>127520</v>
      </c>
      <c r="I2720" s="741">
        <v>0</v>
      </c>
      <c r="J2720" s="749">
        <f t="shared" si="738"/>
        <v>0</v>
      </c>
      <c r="K2720" s="739">
        <f t="shared" si="739"/>
        <v>127520</v>
      </c>
      <c r="L2720" s="1079"/>
      <c r="M2720" s="752"/>
      <c r="N2720" s="744">
        <f t="shared" si="741"/>
        <v>10</v>
      </c>
      <c r="O2720" s="745">
        <v>0</v>
      </c>
      <c r="P2720" s="737">
        <v>10</v>
      </c>
      <c r="Q2720" s="752"/>
      <c r="R2720" s="752"/>
      <c r="S2720" s="752"/>
    </row>
    <row r="2721" spans="1:19" s="753" customFormat="1" ht="24" customHeight="1">
      <c r="A2721" s="734"/>
      <c r="B2721" s="747" t="s">
        <v>469</v>
      </c>
      <c r="C2721" s="735" t="s">
        <v>501</v>
      </c>
      <c r="D2721" s="735"/>
      <c r="E2721" s="737">
        <v>0</v>
      </c>
      <c r="F2721" s="738" t="s">
        <v>363</v>
      </c>
      <c r="G2721" s="739">
        <v>1950</v>
      </c>
      <c r="H2721" s="748">
        <f t="shared" si="737"/>
        <v>0</v>
      </c>
      <c r="I2721" s="741">
        <v>35</v>
      </c>
      <c r="J2721" s="749">
        <f t="shared" si="738"/>
        <v>0</v>
      </c>
      <c r="K2721" s="739">
        <f t="shared" si="739"/>
        <v>0</v>
      </c>
      <c r="L2721" s="1079"/>
      <c r="M2721" s="752"/>
      <c r="N2721" s="744">
        <f t="shared" si="741"/>
        <v>10</v>
      </c>
      <c r="O2721" s="745">
        <v>0</v>
      </c>
      <c r="P2721" s="737">
        <v>10</v>
      </c>
      <c r="Q2721" s="752"/>
      <c r="R2721" s="752"/>
      <c r="S2721" s="752"/>
    </row>
    <row r="2722" spans="1:19" s="753" customFormat="1" ht="24" customHeight="1">
      <c r="A2722" s="734"/>
      <c r="B2722" s="747" t="s">
        <v>469</v>
      </c>
      <c r="C2722" s="735" t="s">
        <v>502</v>
      </c>
      <c r="D2722" s="735"/>
      <c r="E2722" s="737">
        <f t="shared" si="740"/>
        <v>10</v>
      </c>
      <c r="F2722" s="738" t="s">
        <v>363</v>
      </c>
      <c r="G2722" s="739">
        <v>216</v>
      </c>
      <c r="H2722" s="748">
        <f t="shared" si="737"/>
        <v>2160</v>
      </c>
      <c r="I2722" s="741">
        <v>35</v>
      </c>
      <c r="J2722" s="749">
        <f t="shared" si="738"/>
        <v>350</v>
      </c>
      <c r="K2722" s="739">
        <f t="shared" si="739"/>
        <v>2510</v>
      </c>
      <c r="L2722" s="1079"/>
      <c r="M2722" s="752"/>
      <c r="N2722" s="744">
        <f t="shared" si="741"/>
        <v>10</v>
      </c>
      <c r="O2722" s="745">
        <v>0</v>
      </c>
      <c r="P2722" s="737">
        <v>10</v>
      </c>
      <c r="Q2722" s="752"/>
      <c r="R2722" s="752"/>
      <c r="S2722" s="752"/>
    </row>
    <row r="2723" spans="1:19" s="753" customFormat="1" ht="24" customHeight="1">
      <c r="A2723" s="734"/>
      <c r="B2723" s="747"/>
      <c r="C2723" s="735"/>
      <c r="D2723" s="735"/>
      <c r="E2723" s="737">
        <f t="shared" si="740"/>
        <v>0</v>
      </c>
      <c r="F2723" s="738"/>
      <c r="G2723" s="739"/>
      <c r="H2723" s="748">
        <f t="shared" si="737"/>
        <v>0</v>
      </c>
      <c r="I2723" s="741"/>
      <c r="J2723" s="749">
        <f t="shared" si="738"/>
        <v>0</v>
      </c>
      <c r="K2723" s="739">
        <f t="shared" si="739"/>
        <v>0</v>
      </c>
      <c r="L2723" s="1079"/>
      <c r="M2723" s="752"/>
      <c r="N2723" s="744">
        <f t="shared" si="741"/>
        <v>0</v>
      </c>
      <c r="O2723" s="745">
        <v>0</v>
      </c>
      <c r="P2723" s="737">
        <v>0</v>
      </c>
      <c r="Q2723" s="752"/>
      <c r="R2723" s="752"/>
      <c r="S2723" s="752"/>
    </row>
    <row r="2724" spans="1:19" s="753" customFormat="1" ht="24" customHeight="1">
      <c r="A2724" s="734"/>
      <c r="B2724" s="747" t="s">
        <v>484</v>
      </c>
      <c r="C2724" s="735" t="s">
        <v>485</v>
      </c>
      <c r="D2724" s="735"/>
      <c r="E2724" s="737">
        <f t="shared" si="740"/>
        <v>11</v>
      </c>
      <c r="F2724" s="738" t="s">
        <v>363</v>
      </c>
      <c r="G2724" s="739">
        <v>285</v>
      </c>
      <c r="H2724" s="748">
        <f t="shared" si="737"/>
        <v>3135</v>
      </c>
      <c r="I2724" s="741">
        <v>75</v>
      </c>
      <c r="J2724" s="749">
        <f t="shared" si="738"/>
        <v>825</v>
      </c>
      <c r="K2724" s="739">
        <f t="shared" si="739"/>
        <v>3960</v>
      </c>
      <c r="L2724" s="1093"/>
      <c r="M2724" s="752"/>
      <c r="N2724" s="744">
        <f t="shared" si="741"/>
        <v>11</v>
      </c>
      <c r="O2724" s="745">
        <v>0</v>
      </c>
      <c r="P2724" s="737">
        <v>11</v>
      </c>
      <c r="Q2724" s="752"/>
      <c r="R2724" s="752"/>
      <c r="S2724" s="752"/>
    </row>
    <row r="2725" spans="1:19" s="753" customFormat="1" ht="24" customHeight="1">
      <c r="A2725" s="734"/>
      <c r="B2725" s="747" t="s">
        <v>469</v>
      </c>
      <c r="C2725" s="735" t="s">
        <v>486</v>
      </c>
      <c r="D2725" s="735"/>
      <c r="E2725" s="737">
        <f t="shared" si="740"/>
        <v>1</v>
      </c>
      <c r="F2725" s="738" t="s">
        <v>363</v>
      </c>
      <c r="G2725" s="739">
        <v>552</v>
      </c>
      <c r="H2725" s="748">
        <f t="shared" si="737"/>
        <v>552</v>
      </c>
      <c r="I2725" s="741">
        <v>25</v>
      </c>
      <c r="J2725" s="749">
        <f t="shared" si="738"/>
        <v>25</v>
      </c>
      <c r="K2725" s="739">
        <f t="shared" si="739"/>
        <v>577</v>
      </c>
      <c r="L2725" s="1079"/>
      <c r="M2725" s="752"/>
      <c r="N2725" s="744">
        <f t="shared" si="741"/>
        <v>1</v>
      </c>
      <c r="O2725" s="745">
        <v>0</v>
      </c>
      <c r="P2725" s="737">
        <v>1</v>
      </c>
      <c r="Q2725" s="752"/>
      <c r="R2725" s="752"/>
      <c r="S2725" s="752"/>
    </row>
    <row r="2726" spans="1:19" s="753" customFormat="1" ht="24" customHeight="1">
      <c r="A2726" s="734"/>
      <c r="B2726" s="747" t="s">
        <v>469</v>
      </c>
      <c r="C2726" s="735" t="s">
        <v>507</v>
      </c>
      <c r="D2726" s="735"/>
      <c r="E2726" s="737">
        <f t="shared" si="740"/>
        <v>2</v>
      </c>
      <c r="F2726" s="738" t="s">
        <v>363</v>
      </c>
      <c r="G2726" s="739">
        <v>1650</v>
      </c>
      <c r="H2726" s="748">
        <f t="shared" si="737"/>
        <v>3300</v>
      </c>
      <c r="I2726" s="741">
        <v>70</v>
      </c>
      <c r="J2726" s="749">
        <f t="shared" si="738"/>
        <v>140</v>
      </c>
      <c r="K2726" s="739">
        <f t="shared" si="739"/>
        <v>3440</v>
      </c>
      <c r="L2726" s="1079"/>
      <c r="M2726" s="752"/>
      <c r="N2726" s="744">
        <f t="shared" si="741"/>
        <v>2</v>
      </c>
      <c r="O2726" s="745">
        <v>0</v>
      </c>
      <c r="P2726" s="737">
        <v>2</v>
      </c>
      <c r="Q2726" s="752"/>
      <c r="R2726" s="752"/>
      <c r="S2726" s="752"/>
    </row>
    <row r="2727" spans="1:19" s="753" customFormat="1" ht="24" customHeight="1">
      <c r="A2727" s="734"/>
      <c r="B2727" s="747" t="s">
        <v>469</v>
      </c>
      <c r="C2727" s="735" t="s">
        <v>508</v>
      </c>
      <c r="D2727" s="735"/>
      <c r="E2727" s="737">
        <f t="shared" si="740"/>
        <v>10</v>
      </c>
      <c r="F2727" s="738" t="s">
        <v>363</v>
      </c>
      <c r="G2727" s="739">
        <v>13500</v>
      </c>
      <c r="H2727" s="748">
        <f t="shared" si="737"/>
        <v>135000</v>
      </c>
      <c r="I2727" s="741">
        <v>750</v>
      </c>
      <c r="J2727" s="749">
        <f t="shared" si="738"/>
        <v>7500</v>
      </c>
      <c r="K2727" s="739">
        <f t="shared" si="739"/>
        <v>142500</v>
      </c>
      <c r="L2727" s="1079"/>
      <c r="M2727" s="752"/>
      <c r="N2727" s="744">
        <f t="shared" si="741"/>
        <v>10</v>
      </c>
      <c r="O2727" s="745">
        <v>0</v>
      </c>
      <c r="P2727" s="737">
        <v>10</v>
      </c>
      <c r="Q2727" s="752"/>
      <c r="R2727" s="752"/>
      <c r="S2727" s="752"/>
    </row>
    <row r="2728" spans="1:19" s="682" customFormat="1" ht="24" customHeight="1">
      <c r="A2728" s="734"/>
      <c r="B2728" s="747" t="s">
        <v>469</v>
      </c>
      <c r="C2728" s="735" t="s">
        <v>509</v>
      </c>
      <c r="D2728" s="735"/>
      <c r="E2728" s="737">
        <f t="shared" si="740"/>
        <v>1</v>
      </c>
      <c r="F2728" s="738" t="s">
        <v>363</v>
      </c>
      <c r="G2728" s="739">
        <v>14476</v>
      </c>
      <c r="H2728" s="748">
        <f t="shared" si="737"/>
        <v>14476</v>
      </c>
      <c r="I2728" s="741">
        <v>5367</v>
      </c>
      <c r="J2728" s="749">
        <f t="shared" si="738"/>
        <v>5367</v>
      </c>
      <c r="K2728" s="739">
        <f t="shared" si="739"/>
        <v>19843</v>
      </c>
      <c r="L2728" s="1079"/>
      <c r="M2728" s="679"/>
      <c r="N2728" s="744">
        <f t="shared" si="741"/>
        <v>1</v>
      </c>
      <c r="O2728" s="745">
        <v>0</v>
      </c>
      <c r="P2728" s="737">
        <v>1</v>
      </c>
      <c r="Q2728" s="679"/>
      <c r="R2728" s="679"/>
      <c r="S2728" s="679"/>
    </row>
    <row r="2729" spans="1:19" s="753" customFormat="1" ht="24" customHeight="1">
      <c r="A2729" s="734"/>
      <c r="B2729" s="747"/>
      <c r="C2729" s="735"/>
      <c r="D2729" s="907"/>
      <c r="E2729" s="737">
        <f t="shared" si="740"/>
        <v>0</v>
      </c>
      <c r="F2729" s="738"/>
      <c r="G2729" s="739">
        <v>0</v>
      </c>
      <c r="H2729" s="748">
        <f t="shared" si="737"/>
        <v>0</v>
      </c>
      <c r="I2729" s="741">
        <v>0</v>
      </c>
      <c r="J2729" s="749">
        <f t="shared" si="738"/>
        <v>0</v>
      </c>
      <c r="K2729" s="739">
        <f t="shared" si="739"/>
        <v>0</v>
      </c>
      <c r="L2729" s="1079"/>
      <c r="M2729" s="752"/>
      <c r="N2729" s="744">
        <f t="shared" si="741"/>
        <v>0</v>
      </c>
      <c r="O2729" s="745">
        <v>0</v>
      </c>
      <c r="P2729" s="737">
        <v>0</v>
      </c>
      <c r="Q2729" s="752"/>
      <c r="R2729" s="752"/>
      <c r="S2729" s="752"/>
    </row>
    <row r="2730" spans="1:19" s="753" customFormat="1" ht="24" customHeight="1">
      <c r="A2730" s="734"/>
      <c r="B2730" s="747" t="s">
        <v>469</v>
      </c>
      <c r="C2730" s="735" t="s">
        <v>510</v>
      </c>
      <c r="D2730" s="735"/>
      <c r="E2730" s="737">
        <f t="shared" si="740"/>
        <v>5.2</v>
      </c>
      <c r="F2730" s="738" t="s">
        <v>361</v>
      </c>
      <c r="G2730" s="739">
        <v>2694</v>
      </c>
      <c r="H2730" s="748">
        <f t="shared" si="737"/>
        <v>14008.800000000001</v>
      </c>
      <c r="I2730" s="741">
        <v>1288</v>
      </c>
      <c r="J2730" s="749">
        <f t="shared" si="738"/>
        <v>6697.6</v>
      </c>
      <c r="K2730" s="739">
        <f t="shared" si="739"/>
        <v>20706.400000000001</v>
      </c>
      <c r="L2730" s="1079"/>
      <c r="M2730" s="752"/>
      <c r="N2730" s="744">
        <f t="shared" si="741"/>
        <v>5.2</v>
      </c>
      <c r="O2730" s="745">
        <v>0</v>
      </c>
      <c r="P2730" s="737">
        <v>5.2</v>
      </c>
      <c r="Q2730" s="752"/>
      <c r="R2730" s="752"/>
      <c r="S2730" s="752"/>
    </row>
    <row r="2731" spans="1:19" s="753" customFormat="1" ht="24" customHeight="1">
      <c r="A2731" s="734"/>
      <c r="B2731" s="747"/>
      <c r="C2731" s="735" t="s">
        <v>511</v>
      </c>
      <c r="D2731" s="735"/>
      <c r="E2731" s="737">
        <f t="shared" si="740"/>
        <v>0</v>
      </c>
      <c r="F2731" s="738"/>
      <c r="G2731" s="739"/>
      <c r="H2731" s="748">
        <f t="shared" si="737"/>
        <v>0</v>
      </c>
      <c r="I2731" s="741"/>
      <c r="J2731" s="749">
        <f t="shared" si="738"/>
        <v>0</v>
      </c>
      <c r="K2731" s="739">
        <f t="shared" si="739"/>
        <v>0</v>
      </c>
      <c r="L2731" s="1079"/>
      <c r="M2731" s="752"/>
      <c r="N2731" s="744">
        <f t="shared" si="741"/>
        <v>0</v>
      </c>
      <c r="O2731" s="745">
        <v>0</v>
      </c>
      <c r="P2731" s="737">
        <v>0</v>
      </c>
      <c r="Q2731" s="752"/>
      <c r="R2731" s="752"/>
      <c r="S2731" s="752"/>
    </row>
    <row r="2732" spans="1:19" s="753" customFormat="1" ht="24" customHeight="1">
      <c r="A2732" s="734"/>
      <c r="B2732" s="747" t="s">
        <v>469</v>
      </c>
      <c r="C2732" s="735" t="s">
        <v>512</v>
      </c>
      <c r="D2732" s="735"/>
      <c r="E2732" s="737">
        <f t="shared" si="740"/>
        <v>5.2</v>
      </c>
      <c r="F2732" s="738" t="s">
        <v>361</v>
      </c>
      <c r="G2732" s="739">
        <v>3886</v>
      </c>
      <c r="H2732" s="748">
        <f t="shared" si="737"/>
        <v>20207.2</v>
      </c>
      <c r="I2732" s="741">
        <v>1238</v>
      </c>
      <c r="J2732" s="749">
        <f t="shared" si="738"/>
        <v>6437.6</v>
      </c>
      <c r="K2732" s="739">
        <f t="shared" si="739"/>
        <v>26644.800000000003</v>
      </c>
      <c r="L2732" s="1079"/>
      <c r="M2732" s="752"/>
      <c r="N2732" s="744">
        <f t="shared" si="741"/>
        <v>5.2</v>
      </c>
      <c r="O2732" s="745">
        <v>0</v>
      </c>
      <c r="P2732" s="737">
        <v>5.2</v>
      </c>
      <c r="Q2732" s="752"/>
      <c r="R2732" s="752"/>
      <c r="S2732" s="752"/>
    </row>
    <row r="2733" spans="1:19" s="753" customFormat="1" ht="24" customHeight="1">
      <c r="A2733" s="734"/>
      <c r="B2733" s="747"/>
      <c r="C2733" s="735" t="s">
        <v>513</v>
      </c>
      <c r="D2733" s="735"/>
      <c r="E2733" s="737">
        <f t="shared" si="740"/>
        <v>0</v>
      </c>
      <c r="F2733" s="738"/>
      <c r="G2733" s="739">
        <v>0</v>
      </c>
      <c r="H2733" s="748">
        <f t="shared" si="737"/>
        <v>0</v>
      </c>
      <c r="I2733" s="741">
        <v>0</v>
      </c>
      <c r="J2733" s="749">
        <f t="shared" si="738"/>
        <v>0</v>
      </c>
      <c r="K2733" s="739">
        <f t="shared" si="739"/>
        <v>0</v>
      </c>
      <c r="L2733" s="1079"/>
      <c r="M2733" s="752"/>
      <c r="N2733" s="744">
        <f t="shared" si="741"/>
        <v>0</v>
      </c>
      <c r="O2733" s="745">
        <v>0</v>
      </c>
      <c r="P2733" s="737">
        <v>0</v>
      </c>
      <c r="Q2733" s="752"/>
      <c r="R2733" s="752"/>
      <c r="S2733" s="752"/>
    </row>
    <row r="2734" spans="1:19" s="753" customFormat="1" ht="24" customHeight="1">
      <c r="A2734" s="734"/>
      <c r="B2734" s="747" t="s">
        <v>469</v>
      </c>
      <c r="C2734" s="735" t="s">
        <v>521</v>
      </c>
      <c r="D2734" s="735"/>
      <c r="E2734" s="737">
        <f t="shared" si="740"/>
        <v>5.2</v>
      </c>
      <c r="F2734" s="738" t="s">
        <v>361</v>
      </c>
      <c r="G2734" s="739">
        <v>1522</v>
      </c>
      <c r="H2734" s="748">
        <f t="shared" si="737"/>
        <v>7914.4000000000005</v>
      </c>
      <c r="I2734" s="741">
        <v>315</v>
      </c>
      <c r="J2734" s="749">
        <f t="shared" si="738"/>
        <v>1638</v>
      </c>
      <c r="K2734" s="739">
        <f t="shared" si="739"/>
        <v>9552.4000000000015</v>
      </c>
      <c r="L2734" s="1079"/>
      <c r="M2734" s="752"/>
      <c r="N2734" s="744">
        <f t="shared" si="741"/>
        <v>5.2</v>
      </c>
      <c r="O2734" s="745">
        <v>0</v>
      </c>
      <c r="P2734" s="737">
        <v>5.2</v>
      </c>
      <c r="Q2734" s="752"/>
      <c r="R2734" s="752"/>
      <c r="S2734" s="752"/>
    </row>
    <row r="2735" spans="1:19" s="753" customFormat="1" ht="24" customHeight="1">
      <c r="A2735" s="734"/>
      <c r="B2735" s="747"/>
      <c r="C2735" s="735"/>
      <c r="D2735" s="735"/>
      <c r="E2735" s="737">
        <f t="shared" si="740"/>
        <v>0</v>
      </c>
      <c r="F2735" s="738"/>
      <c r="G2735" s="739">
        <v>0</v>
      </c>
      <c r="H2735" s="748">
        <f t="shared" si="737"/>
        <v>0</v>
      </c>
      <c r="I2735" s="741">
        <v>0</v>
      </c>
      <c r="J2735" s="749">
        <f t="shared" si="738"/>
        <v>0</v>
      </c>
      <c r="K2735" s="739">
        <f t="shared" si="739"/>
        <v>0</v>
      </c>
      <c r="L2735" s="1079"/>
      <c r="M2735" s="752"/>
      <c r="N2735" s="744">
        <f t="shared" si="741"/>
        <v>0</v>
      </c>
      <c r="O2735" s="745">
        <v>0</v>
      </c>
      <c r="P2735" s="737">
        <v>0</v>
      </c>
      <c r="Q2735" s="752"/>
      <c r="R2735" s="752"/>
      <c r="S2735" s="752"/>
    </row>
    <row r="2736" spans="1:19" s="682" customFormat="1" ht="24" customHeight="1">
      <c r="A2736" s="734"/>
      <c r="B2736" s="747" t="s">
        <v>469</v>
      </c>
      <c r="C2736" s="735" t="s">
        <v>515</v>
      </c>
      <c r="D2736" s="735"/>
      <c r="E2736" s="737">
        <f t="shared" si="740"/>
        <v>0</v>
      </c>
      <c r="F2736" s="738" t="s">
        <v>363</v>
      </c>
      <c r="G2736" s="739">
        <v>5013</v>
      </c>
      <c r="H2736" s="748">
        <f t="shared" si="737"/>
        <v>0</v>
      </c>
      <c r="I2736" s="741">
        <v>2403</v>
      </c>
      <c r="J2736" s="749">
        <f t="shared" si="738"/>
        <v>0</v>
      </c>
      <c r="K2736" s="739">
        <f t="shared" si="739"/>
        <v>0</v>
      </c>
      <c r="L2736" s="1079"/>
      <c r="M2736" s="679"/>
      <c r="N2736" s="744">
        <f t="shared" si="741"/>
        <v>0</v>
      </c>
      <c r="O2736" s="745">
        <v>0</v>
      </c>
      <c r="P2736" s="737">
        <v>0</v>
      </c>
      <c r="Q2736" s="679"/>
      <c r="R2736" s="679"/>
      <c r="S2736" s="679"/>
    </row>
    <row r="2737" spans="1:19" s="682" customFormat="1" ht="24" customHeight="1">
      <c r="A2737" s="734"/>
      <c r="B2737" s="747"/>
      <c r="C2737" s="735" t="s">
        <v>516</v>
      </c>
      <c r="D2737" s="735"/>
      <c r="E2737" s="737">
        <f t="shared" si="740"/>
        <v>0</v>
      </c>
      <c r="F2737" s="738"/>
      <c r="G2737" s="739"/>
      <c r="H2737" s="748">
        <f t="shared" si="737"/>
        <v>0</v>
      </c>
      <c r="I2737" s="741"/>
      <c r="J2737" s="749">
        <f t="shared" si="738"/>
        <v>0</v>
      </c>
      <c r="K2737" s="739">
        <f t="shared" si="739"/>
        <v>0</v>
      </c>
      <c r="L2737" s="1079"/>
      <c r="M2737" s="679"/>
      <c r="N2737" s="744">
        <f t="shared" si="741"/>
        <v>0</v>
      </c>
      <c r="O2737" s="745">
        <v>0</v>
      </c>
      <c r="P2737" s="737">
        <v>0</v>
      </c>
      <c r="Q2737" s="679"/>
      <c r="R2737" s="679"/>
      <c r="S2737" s="679"/>
    </row>
    <row r="2738" spans="1:19" s="682" customFormat="1" ht="24" customHeight="1">
      <c r="A2738" s="734"/>
      <c r="B2738" s="747"/>
      <c r="C2738" s="735"/>
      <c r="D2738" s="735"/>
      <c r="E2738" s="737">
        <f t="shared" si="740"/>
        <v>0</v>
      </c>
      <c r="F2738" s="738"/>
      <c r="G2738" s="739"/>
      <c r="H2738" s="748">
        <f t="shared" si="737"/>
        <v>0</v>
      </c>
      <c r="I2738" s="741"/>
      <c r="J2738" s="749">
        <f t="shared" si="738"/>
        <v>0</v>
      </c>
      <c r="K2738" s="739">
        <f t="shared" si="739"/>
        <v>0</v>
      </c>
      <c r="L2738" s="1079"/>
      <c r="M2738" s="679"/>
      <c r="N2738" s="744">
        <f t="shared" si="741"/>
        <v>0</v>
      </c>
      <c r="O2738" s="745">
        <v>0</v>
      </c>
      <c r="P2738" s="737">
        <v>0</v>
      </c>
      <c r="Q2738" s="679"/>
      <c r="R2738" s="679"/>
      <c r="S2738" s="679"/>
    </row>
    <row r="2739" spans="1:19" s="756" customFormat="1" ht="24" customHeight="1">
      <c r="A2739" s="734"/>
      <c r="B2739" s="747" t="s">
        <v>469</v>
      </c>
      <c r="C2739" s="735" t="s">
        <v>517</v>
      </c>
      <c r="D2739" s="907"/>
      <c r="E2739" s="737">
        <f t="shared" si="740"/>
        <v>0</v>
      </c>
      <c r="F2739" s="738" t="s">
        <v>361</v>
      </c>
      <c r="G2739" s="739">
        <v>5075.5555555555557</v>
      </c>
      <c r="H2739" s="748">
        <f t="shared" si="737"/>
        <v>0</v>
      </c>
      <c r="I2739" s="741">
        <v>2545.7777777777778</v>
      </c>
      <c r="J2739" s="749">
        <f t="shared" si="738"/>
        <v>0</v>
      </c>
      <c r="K2739" s="739">
        <f t="shared" si="739"/>
        <v>0</v>
      </c>
      <c r="L2739" s="1079"/>
      <c r="M2739" s="755"/>
      <c r="N2739" s="744">
        <f t="shared" si="741"/>
        <v>0</v>
      </c>
      <c r="O2739" s="745">
        <v>0</v>
      </c>
      <c r="P2739" s="737">
        <v>0</v>
      </c>
      <c r="Q2739" s="755"/>
      <c r="R2739" s="755"/>
      <c r="S2739" s="755"/>
    </row>
    <row r="2740" spans="1:19" s="756" customFormat="1" ht="24" customHeight="1">
      <c r="A2740" s="734"/>
      <c r="B2740" s="747"/>
      <c r="C2740" s="735" t="s">
        <v>488</v>
      </c>
      <c r="D2740" s="907"/>
      <c r="E2740" s="737">
        <f t="shared" si="740"/>
        <v>0</v>
      </c>
      <c r="F2740" s="738"/>
      <c r="G2740" s="739">
        <v>0</v>
      </c>
      <c r="H2740" s="748">
        <f t="shared" si="737"/>
        <v>0</v>
      </c>
      <c r="I2740" s="741">
        <v>0</v>
      </c>
      <c r="J2740" s="749">
        <f t="shared" si="738"/>
        <v>0</v>
      </c>
      <c r="K2740" s="739">
        <f t="shared" si="739"/>
        <v>0</v>
      </c>
      <c r="L2740" s="1079"/>
      <c r="M2740" s="755"/>
      <c r="N2740" s="744">
        <f t="shared" si="741"/>
        <v>0</v>
      </c>
      <c r="O2740" s="745">
        <v>0</v>
      </c>
      <c r="P2740" s="737">
        <v>0</v>
      </c>
      <c r="Q2740" s="755"/>
      <c r="R2740" s="755"/>
      <c r="S2740" s="755"/>
    </row>
    <row r="2741" spans="1:19" s="753" customFormat="1" ht="24" customHeight="1">
      <c r="A2741" s="734"/>
      <c r="B2741" s="747" t="s">
        <v>469</v>
      </c>
      <c r="C2741" s="735" t="s">
        <v>518</v>
      </c>
      <c r="D2741" s="735"/>
      <c r="E2741" s="737">
        <f t="shared" si="740"/>
        <v>0</v>
      </c>
      <c r="F2741" s="738" t="s">
        <v>361</v>
      </c>
      <c r="G2741" s="739">
        <v>3886</v>
      </c>
      <c r="H2741" s="748">
        <f t="shared" si="737"/>
        <v>0</v>
      </c>
      <c r="I2741" s="741">
        <v>1238</v>
      </c>
      <c r="J2741" s="749">
        <f t="shared" si="738"/>
        <v>0</v>
      </c>
      <c r="K2741" s="739">
        <f t="shared" si="739"/>
        <v>0</v>
      </c>
      <c r="L2741" s="1079"/>
      <c r="M2741" s="752"/>
      <c r="N2741" s="744">
        <f t="shared" si="741"/>
        <v>0</v>
      </c>
      <c r="O2741" s="745">
        <v>0</v>
      </c>
      <c r="P2741" s="737">
        <v>0</v>
      </c>
      <c r="Q2741" s="752"/>
      <c r="R2741" s="752"/>
      <c r="S2741" s="752"/>
    </row>
    <row r="2742" spans="1:19" s="753" customFormat="1" ht="24" customHeight="1">
      <c r="A2742" s="734"/>
      <c r="B2742" s="747"/>
      <c r="C2742" s="735" t="s">
        <v>513</v>
      </c>
      <c r="D2742" s="735"/>
      <c r="E2742" s="737">
        <f t="shared" si="740"/>
        <v>0</v>
      </c>
      <c r="F2742" s="738"/>
      <c r="G2742" s="739">
        <v>0</v>
      </c>
      <c r="H2742" s="748">
        <f t="shared" si="737"/>
        <v>0</v>
      </c>
      <c r="I2742" s="741">
        <v>0</v>
      </c>
      <c r="J2742" s="749">
        <f t="shared" si="738"/>
        <v>0</v>
      </c>
      <c r="K2742" s="739">
        <f t="shared" si="739"/>
        <v>0</v>
      </c>
      <c r="L2742" s="1079"/>
      <c r="M2742" s="752"/>
      <c r="N2742" s="744">
        <f t="shared" si="741"/>
        <v>0</v>
      </c>
      <c r="O2742" s="745">
        <v>0</v>
      </c>
      <c r="P2742" s="737">
        <v>0</v>
      </c>
      <c r="Q2742" s="752"/>
      <c r="R2742" s="752"/>
      <c r="S2742" s="752"/>
    </row>
    <row r="2743" spans="1:19" s="682" customFormat="1" ht="24" customHeight="1">
      <c r="A2743" s="734"/>
      <c r="B2743" s="747"/>
      <c r="C2743" s="735"/>
      <c r="D2743" s="735"/>
      <c r="E2743" s="737">
        <f t="shared" si="740"/>
        <v>0</v>
      </c>
      <c r="F2743" s="738"/>
      <c r="G2743" s="739"/>
      <c r="H2743" s="748">
        <f t="shared" si="737"/>
        <v>0</v>
      </c>
      <c r="I2743" s="741"/>
      <c r="J2743" s="749">
        <f t="shared" si="738"/>
        <v>0</v>
      </c>
      <c r="K2743" s="739">
        <f t="shared" si="739"/>
        <v>0</v>
      </c>
      <c r="L2743" s="1079"/>
      <c r="M2743" s="679"/>
      <c r="N2743" s="744">
        <f t="shared" si="741"/>
        <v>0</v>
      </c>
      <c r="O2743" s="745">
        <v>0</v>
      </c>
      <c r="P2743" s="737">
        <v>0</v>
      </c>
      <c r="Q2743" s="679"/>
      <c r="R2743" s="679"/>
      <c r="S2743" s="679"/>
    </row>
    <row r="2744" spans="1:19" s="682" customFormat="1" ht="24" customHeight="1">
      <c r="A2744" s="734"/>
      <c r="B2744" s="747" t="s">
        <v>469</v>
      </c>
      <c r="C2744" s="735" t="s">
        <v>519</v>
      </c>
      <c r="D2744" s="735"/>
      <c r="E2744" s="737">
        <f t="shared" si="740"/>
        <v>1</v>
      </c>
      <c r="F2744" s="738" t="s">
        <v>363</v>
      </c>
      <c r="G2744" s="739">
        <v>800</v>
      </c>
      <c r="H2744" s="748">
        <f t="shared" si="737"/>
        <v>800</v>
      </c>
      <c r="I2744" s="741">
        <v>70</v>
      </c>
      <c r="J2744" s="749">
        <f t="shared" si="738"/>
        <v>70</v>
      </c>
      <c r="K2744" s="739">
        <f t="shared" si="739"/>
        <v>870</v>
      </c>
      <c r="L2744" s="1079"/>
      <c r="M2744" s="679"/>
      <c r="N2744" s="744">
        <f t="shared" si="741"/>
        <v>1</v>
      </c>
      <c r="O2744" s="745">
        <v>0</v>
      </c>
      <c r="P2744" s="737">
        <v>1</v>
      </c>
      <c r="Q2744" s="679"/>
      <c r="R2744" s="679"/>
      <c r="S2744" s="679"/>
    </row>
    <row r="2745" spans="1:19" s="682" customFormat="1" ht="24" customHeight="1">
      <c r="A2745" s="734"/>
      <c r="B2745" s="747" t="s">
        <v>469</v>
      </c>
      <c r="C2745" s="735" t="s">
        <v>520</v>
      </c>
      <c r="D2745" s="735"/>
      <c r="E2745" s="737">
        <f t="shared" si="740"/>
        <v>0</v>
      </c>
      <c r="F2745" s="738" t="s">
        <v>361</v>
      </c>
      <c r="G2745" s="739">
        <v>190</v>
      </c>
      <c r="H2745" s="748">
        <f t="shared" si="737"/>
        <v>0</v>
      </c>
      <c r="I2745" s="741">
        <v>75</v>
      </c>
      <c r="J2745" s="749">
        <f t="shared" si="738"/>
        <v>0</v>
      </c>
      <c r="K2745" s="739">
        <f t="shared" si="739"/>
        <v>0</v>
      </c>
      <c r="L2745" s="1079"/>
      <c r="M2745" s="679"/>
      <c r="N2745" s="744">
        <f t="shared" si="741"/>
        <v>0</v>
      </c>
      <c r="O2745" s="745">
        <v>0</v>
      </c>
      <c r="P2745" s="737">
        <v>0</v>
      </c>
      <c r="Q2745" s="679"/>
      <c r="R2745" s="679"/>
      <c r="S2745" s="679"/>
    </row>
    <row r="2746" spans="1:19" s="682" customFormat="1" ht="24" customHeight="1">
      <c r="A2746" s="734"/>
      <c r="B2746" s="747"/>
      <c r="C2746" s="735"/>
      <c r="D2746" s="735"/>
      <c r="E2746" s="737">
        <f t="shared" si="740"/>
        <v>0</v>
      </c>
      <c r="F2746" s="738"/>
      <c r="G2746" s="739"/>
      <c r="H2746" s="748">
        <f t="shared" si="737"/>
        <v>0</v>
      </c>
      <c r="I2746" s="741"/>
      <c r="J2746" s="749">
        <f t="shared" si="738"/>
        <v>0</v>
      </c>
      <c r="K2746" s="739">
        <f t="shared" si="739"/>
        <v>0</v>
      </c>
      <c r="L2746" s="1079"/>
      <c r="M2746" s="679"/>
      <c r="N2746" s="744">
        <f t="shared" si="741"/>
        <v>0</v>
      </c>
      <c r="O2746" s="745">
        <v>0</v>
      </c>
      <c r="P2746" s="737">
        <v>0</v>
      </c>
      <c r="Q2746" s="679"/>
      <c r="R2746" s="679"/>
      <c r="S2746" s="679"/>
    </row>
    <row r="2747" spans="1:19" s="682" customFormat="1" ht="24" customHeight="1">
      <c r="A2747" s="734"/>
      <c r="B2747" s="747"/>
      <c r="C2747" s="735"/>
      <c r="D2747" s="735"/>
      <c r="E2747" s="737"/>
      <c r="F2747" s="738"/>
      <c r="G2747" s="739"/>
      <c r="H2747" s="748"/>
      <c r="I2747" s="741"/>
      <c r="J2747" s="749"/>
      <c r="K2747" s="739"/>
      <c r="L2747" s="1079"/>
      <c r="M2747" s="679"/>
      <c r="N2747" s="744"/>
      <c r="O2747" s="745"/>
      <c r="P2747" s="737"/>
      <c r="Q2747" s="679"/>
      <c r="R2747" s="679"/>
      <c r="S2747" s="679"/>
    </row>
    <row r="2748" spans="1:19" s="682" customFormat="1" ht="24" customHeight="1">
      <c r="A2748" s="734"/>
      <c r="B2748" s="747"/>
      <c r="C2748" s="735"/>
      <c r="D2748" s="735"/>
      <c r="E2748" s="737"/>
      <c r="F2748" s="738"/>
      <c r="G2748" s="739"/>
      <c r="H2748" s="748"/>
      <c r="I2748" s="741"/>
      <c r="J2748" s="749"/>
      <c r="K2748" s="739"/>
      <c r="L2748" s="1079"/>
      <c r="M2748" s="679"/>
      <c r="N2748" s="744"/>
      <c r="O2748" s="745"/>
      <c r="P2748" s="737"/>
      <c r="Q2748" s="679"/>
      <c r="R2748" s="679"/>
      <c r="S2748" s="679"/>
    </row>
    <row r="2749" spans="1:19" s="753" customFormat="1" ht="24" customHeight="1">
      <c r="A2749" s="734"/>
      <c r="B2749" s="735" t="s">
        <v>1078</v>
      </c>
      <c r="C2749" s="735"/>
      <c r="D2749" s="735"/>
      <c r="E2749" s="737">
        <f t="shared" si="740"/>
        <v>0</v>
      </c>
      <c r="F2749" s="738"/>
      <c r="G2749" s="739">
        <v>0</v>
      </c>
      <c r="H2749" s="748">
        <f t="shared" si="737"/>
        <v>0</v>
      </c>
      <c r="I2749" s="741">
        <v>0</v>
      </c>
      <c r="J2749" s="749">
        <f t="shared" si="738"/>
        <v>0</v>
      </c>
      <c r="K2749" s="739">
        <f t="shared" si="739"/>
        <v>0</v>
      </c>
      <c r="L2749" s="1079"/>
      <c r="M2749" s="752"/>
      <c r="N2749" s="744">
        <f t="shared" si="741"/>
        <v>0</v>
      </c>
      <c r="O2749" s="745">
        <v>0</v>
      </c>
      <c r="P2749" s="737">
        <v>0</v>
      </c>
      <c r="Q2749" s="752"/>
      <c r="R2749" s="752"/>
      <c r="S2749" s="752"/>
    </row>
    <row r="2750" spans="1:19" s="753" customFormat="1" ht="24" customHeight="1">
      <c r="A2750" s="734"/>
      <c r="B2750" s="747" t="s">
        <v>469</v>
      </c>
      <c r="C2750" s="735" t="s">
        <v>522</v>
      </c>
      <c r="D2750" s="735"/>
      <c r="E2750" s="737">
        <f t="shared" si="740"/>
        <v>1</v>
      </c>
      <c r="F2750" s="738" t="s">
        <v>363</v>
      </c>
      <c r="G2750" s="739">
        <v>6832</v>
      </c>
      <c r="H2750" s="748">
        <f t="shared" si="737"/>
        <v>6832</v>
      </c>
      <c r="I2750" s="741">
        <v>450</v>
      </c>
      <c r="J2750" s="749">
        <f t="shared" si="738"/>
        <v>450</v>
      </c>
      <c r="K2750" s="739">
        <f t="shared" si="739"/>
        <v>7282</v>
      </c>
      <c r="L2750" s="1079"/>
      <c r="M2750" s="752"/>
      <c r="N2750" s="744">
        <f t="shared" si="741"/>
        <v>1</v>
      </c>
      <c r="O2750" s="745">
        <v>0</v>
      </c>
      <c r="P2750" s="737">
        <v>1</v>
      </c>
      <c r="Q2750" s="752"/>
      <c r="R2750" s="752"/>
      <c r="S2750" s="752"/>
    </row>
    <row r="2751" spans="1:19" s="753" customFormat="1" ht="24" customHeight="1">
      <c r="A2751" s="734"/>
      <c r="B2751" s="747" t="s">
        <v>469</v>
      </c>
      <c r="C2751" s="735" t="s">
        <v>498</v>
      </c>
      <c r="D2751" s="735"/>
      <c r="E2751" s="737">
        <f t="shared" si="740"/>
        <v>1</v>
      </c>
      <c r="F2751" s="738" t="s">
        <v>363</v>
      </c>
      <c r="G2751" s="739">
        <v>6640</v>
      </c>
      <c r="H2751" s="748">
        <f t="shared" si="737"/>
        <v>6640</v>
      </c>
      <c r="I2751" s="741">
        <v>200</v>
      </c>
      <c r="J2751" s="749">
        <f t="shared" si="738"/>
        <v>200</v>
      </c>
      <c r="K2751" s="739">
        <f t="shared" si="739"/>
        <v>6840</v>
      </c>
      <c r="L2751" s="1079"/>
      <c r="M2751" s="752"/>
      <c r="N2751" s="744">
        <f t="shared" si="741"/>
        <v>1</v>
      </c>
      <c r="O2751" s="745">
        <v>0</v>
      </c>
      <c r="P2751" s="737">
        <v>1</v>
      </c>
      <c r="Q2751" s="752"/>
      <c r="R2751" s="752"/>
      <c r="S2751" s="752"/>
    </row>
    <row r="2752" spans="1:19" s="753" customFormat="1" ht="24" customHeight="1">
      <c r="A2752" s="734"/>
      <c r="B2752" s="747" t="s">
        <v>469</v>
      </c>
      <c r="C2752" s="735" t="s">
        <v>476</v>
      </c>
      <c r="D2752" s="735"/>
      <c r="E2752" s="737">
        <f t="shared" si="740"/>
        <v>1</v>
      </c>
      <c r="F2752" s="738" t="s">
        <v>363</v>
      </c>
      <c r="G2752" s="739">
        <v>336</v>
      </c>
      <c r="H2752" s="748">
        <f t="shared" si="737"/>
        <v>336</v>
      </c>
      <c r="I2752" s="741">
        <v>0</v>
      </c>
      <c r="J2752" s="749">
        <f t="shared" si="738"/>
        <v>0</v>
      </c>
      <c r="K2752" s="739">
        <f t="shared" si="739"/>
        <v>336</v>
      </c>
      <c r="L2752" s="1079"/>
      <c r="M2752" s="752"/>
      <c r="N2752" s="744">
        <f t="shared" si="741"/>
        <v>1</v>
      </c>
      <c r="O2752" s="745">
        <v>0</v>
      </c>
      <c r="P2752" s="737">
        <v>1</v>
      </c>
      <c r="Q2752" s="752"/>
      <c r="R2752" s="752"/>
      <c r="S2752" s="752"/>
    </row>
    <row r="2753" spans="1:19" s="753" customFormat="1" ht="24" customHeight="1">
      <c r="A2753" s="734"/>
      <c r="B2753" s="747" t="s">
        <v>469</v>
      </c>
      <c r="C2753" s="735" t="s">
        <v>477</v>
      </c>
      <c r="D2753" s="735"/>
      <c r="E2753" s="737">
        <f t="shared" si="740"/>
        <v>1</v>
      </c>
      <c r="F2753" s="738" t="s">
        <v>363</v>
      </c>
      <c r="G2753" s="739">
        <v>736</v>
      </c>
      <c r="H2753" s="748">
        <f t="shared" si="737"/>
        <v>736</v>
      </c>
      <c r="I2753" s="741">
        <v>0</v>
      </c>
      <c r="J2753" s="749">
        <f t="shared" si="738"/>
        <v>0</v>
      </c>
      <c r="K2753" s="739">
        <f t="shared" si="739"/>
        <v>736</v>
      </c>
      <c r="L2753" s="1079"/>
      <c r="M2753" s="752"/>
      <c r="N2753" s="744">
        <f t="shared" si="741"/>
        <v>1</v>
      </c>
      <c r="O2753" s="745">
        <v>0</v>
      </c>
      <c r="P2753" s="737">
        <v>1</v>
      </c>
      <c r="Q2753" s="752"/>
      <c r="R2753" s="752"/>
      <c r="S2753" s="752"/>
    </row>
    <row r="2754" spans="1:19" s="753" customFormat="1" ht="24" customHeight="1">
      <c r="A2754" s="734"/>
      <c r="B2754" s="747" t="s">
        <v>469</v>
      </c>
      <c r="C2754" s="735" t="s">
        <v>478</v>
      </c>
      <c r="D2754" s="735"/>
      <c r="E2754" s="737">
        <f t="shared" si="740"/>
        <v>1</v>
      </c>
      <c r="F2754" s="738" t="s">
        <v>363</v>
      </c>
      <c r="G2754" s="739">
        <v>176</v>
      </c>
      <c r="H2754" s="748">
        <f t="shared" si="737"/>
        <v>176</v>
      </c>
      <c r="I2754" s="741">
        <v>0</v>
      </c>
      <c r="J2754" s="749">
        <f t="shared" si="738"/>
        <v>0</v>
      </c>
      <c r="K2754" s="739">
        <f t="shared" si="739"/>
        <v>176</v>
      </c>
      <c r="L2754" s="1079"/>
      <c r="M2754" s="752"/>
      <c r="N2754" s="744">
        <f t="shared" si="741"/>
        <v>1</v>
      </c>
      <c r="O2754" s="745">
        <v>0</v>
      </c>
      <c r="P2754" s="737">
        <v>1</v>
      </c>
      <c r="Q2754" s="752"/>
      <c r="R2754" s="752"/>
      <c r="S2754" s="752"/>
    </row>
    <row r="2755" spans="1:19" s="753" customFormat="1" ht="24" customHeight="1">
      <c r="A2755" s="734"/>
      <c r="B2755" s="747" t="s">
        <v>469</v>
      </c>
      <c r="C2755" s="735" t="s">
        <v>499</v>
      </c>
      <c r="D2755" s="735"/>
      <c r="E2755" s="737">
        <f t="shared" si="740"/>
        <v>1</v>
      </c>
      <c r="F2755" s="738" t="s">
        <v>363</v>
      </c>
      <c r="G2755" s="739">
        <v>216</v>
      </c>
      <c r="H2755" s="748">
        <f t="shared" si="737"/>
        <v>216</v>
      </c>
      <c r="I2755" s="741">
        <v>35</v>
      </c>
      <c r="J2755" s="749">
        <f t="shared" si="738"/>
        <v>35</v>
      </c>
      <c r="K2755" s="739">
        <f t="shared" si="739"/>
        <v>251</v>
      </c>
      <c r="L2755" s="1079"/>
      <c r="M2755" s="752"/>
      <c r="N2755" s="744">
        <f t="shared" si="741"/>
        <v>1</v>
      </c>
      <c r="O2755" s="745">
        <v>0</v>
      </c>
      <c r="P2755" s="737">
        <v>1</v>
      </c>
      <c r="Q2755" s="752"/>
      <c r="R2755" s="752"/>
      <c r="S2755" s="752"/>
    </row>
    <row r="2756" spans="1:19" s="753" customFormat="1" ht="24" customHeight="1">
      <c r="A2756" s="734"/>
      <c r="B2756" s="750"/>
      <c r="C2756" s="757"/>
      <c r="D2756" s="907"/>
      <c r="E2756" s="737">
        <f t="shared" si="740"/>
        <v>0</v>
      </c>
      <c r="F2756" s="738"/>
      <c r="G2756" s="739">
        <v>0</v>
      </c>
      <c r="H2756" s="748">
        <f t="shared" si="737"/>
        <v>0</v>
      </c>
      <c r="I2756" s="741">
        <v>0</v>
      </c>
      <c r="J2756" s="749">
        <f t="shared" si="738"/>
        <v>0</v>
      </c>
      <c r="K2756" s="739">
        <f t="shared" si="739"/>
        <v>0</v>
      </c>
      <c r="L2756" s="1079"/>
      <c r="M2756" s="752"/>
      <c r="N2756" s="744">
        <f t="shared" si="741"/>
        <v>0</v>
      </c>
      <c r="O2756" s="745">
        <v>0</v>
      </c>
      <c r="P2756" s="737">
        <v>0</v>
      </c>
      <c r="Q2756" s="752"/>
      <c r="R2756" s="752"/>
      <c r="S2756" s="752"/>
    </row>
    <row r="2757" spans="1:19" s="753" customFormat="1" ht="24" customHeight="1">
      <c r="A2757" s="734"/>
      <c r="B2757" s="747" t="s">
        <v>469</v>
      </c>
      <c r="C2757" s="735" t="s">
        <v>523</v>
      </c>
      <c r="D2757" s="735"/>
      <c r="E2757" s="737">
        <f t="shared" si="740"/>
        <v>1</v>
      </c>
      <c r="F2757" s="738" t="s">
        <v>363</v>
      </c>
      <c r="G2757" s="739">
        <v>6580</v>
      </c>
      <c r="H2757" s="748">
        <f t="shared" si="737"/>
        <v>6580</v>
      </c>
      <c r="I2757" s="741">
        <v>450</v>
      </c>
      <c r="J2757" s="749">
        <f t="shared" si="738"/>
        <v>450</v>
      </c>
      <c r="K2757" s="739">
        <f t="shared" si="739"/>
        <v>7030</v>
      </c>
      <c r="L2757" s="1079"/>
      <c r="M2757" s="752"/>
      <c r="N2757" s="744">
        <f t="shared" si="741"/>
        <v>1</v>
      </c>
      <c r="O2757" s="745">
        <v>0</v>
      </c>
      <c r="P2757" s="737">
        <v>1</v>
      </c>
      <c r="Q2757" s="752"/>
      <c r="R2757" s="752"/>
      <c r="S2757" s="752"/>
    </row>
    <row r="2758" spans="1:19" s="753" customFormat="1" ht="24" customHeight="1">
      <c r="A2758" s="734"/>
      <c r="B2758" s="747" t="s">
        <v>469</v>
      </c>
      <c r="C2758" s="735" t="s">
        <v>478</v>
      </c>
      <c r="D2758" s="735"/>
      <c r="E2758" s="737">
        <f t="shared" si="740"/>
        <v>1</v>
      </c>
      <c r="F2758" s="738" t="s">
        <v>363</v>
      </c>
      <c r="G2758" s="739">
        <v>176</v>
      </c>
      <c r="H2758" s="748">
        <f t="shared" si="737"/>
        <v>176</v>
      </c>
      <c r="I2758" s="741">
        <v>0</v>
      </c>
      <c r="J2758" s="749">
        <f t="shared" si="738"/>
        <v>0</v>
      </c>
      <c r="K2758" s="739">
        <f t="shared" si="739"/>
        <v>176</v>
      </c>
      <c r="L2758" s="1079"/>
      <c r="M2758" s="752"/>
      <c r="N2758" s="744">
        <f t="shared" si="741"/>
        <v>1</v>
      </c>
      <c r="O2758" s="745">
        <v>0</v>
      </c>
      <c r="P2758" s="737">
        <v>1</v>
      </c>
      <c r="Q2758" s="752"/>
      <c r="R2758" s="752"/>
      <c r="S2758" s="752"/>
    </row>
    <row r="2759" spans="1:19" s="753" customFormat="1" ht="24" customHeight="1">
      <c r="A2759" s="734"/>
      <c r="B2759" s="747" t="s">
        <v>469</v>
      </c>
      <c r="C2759" s="735" t="s">
        <v>482</v>
      </c>
      <c r="D2759" s="735"/>
      <c r="E2759" s="737">
        <f t="shared" si="740"/>
        <v>1</v>
      </c>
      <c r="F2759" s="738" t="s">
        <v>363</v>
      </c>
      <c r="G2759" s="739">
        <v>560</v>
      </c>
      <c r="H2759" s="748">
        <f t="shared" si="737"/>
        <v>560</v>
      </c>
      <c r="I2759" s="741">
        <v>35</v>
      </c>
      <c r="J2759" s="749">
        <f t="shared" si="738"/>
        <v>35</v>
      </c>
      <c r="K2759" s="739">
        <f t="shared" si="739"/>
        <v>595</v>
      </c>
      <c r="L2759" s="1079"/>
      <c r="M2759" s="752"/>
      <c r="N2759" s="744">
        <f t="shared" si="741"/>
        <v>1</v>
      </c>
      <c r="O2759" s="745">
        <v>0</v>
      </c>
      <c r="P2759" s="737">
        <v>1</v>
      </c>
      <c r="Q2759" s="752"/>
      <c r="R2759" s="752"/>
      <c r="S2759" s="752"/>
    </row>
    <row r="2760" spans="1:19" s="753" customFormat="1" ht="24" customHeight="1">
      <c r="A2760" s="734"/>
      <c r="B2760" s="747" t="s">
        <v>469</v>
      </c>
      <c r="C2760" s="735" t="s">
        <v>524</v>
      </c>
      <c r="D2760" s="735"/>
      <c r="E2760" s="737">
        <f t="shared" si="740"/>
        <v>1</v>
      </c>
      <c r="F2760" s="738" t="s">
        <v>363</v>
      </c>
      <c r="G2760" s="739">
        <v>216</v>
      </c>
      <c r="H2760" s="748">
        <f t="shared" si="737"/>
        <v>216</v>
      </c>
      <c r="I2760" s="741">
        <v>35</v>
      </c>
      <c r="J2760" s="749">
        <f t="shared" si="738"/>
        <v>35</v>
      </c>
      <c r="K2760" s="739">
        <f t="shared" si="739"/>
        <v>251</v>
      </c>
      <c r="L2760" s="1079"/>
      <c r="M2760" s="752"/>
      <c r="N2760" s="744">
        <f t="shared" si="741"/>
        <v>1</v>
      </c>
      <c r="O2760" s="745">
        <v>0</v>
      </c>
      <c r="P2760" s="737">
        <v>1</v>
      </c>
      <c r="Q2760" s="752"/>
      <c r="R2760" s="752"/>
      <c r="S2760" s="752"/>
    </row>
    <row r="2761" spans="1:19" s="753" customFormat="1" ht="24" customHeight="1">
      <c r="A2761" s="734"/>
      <c r="B2761" s="747"/>
      <c r="C2761" s="735"/>
      <c r="D2761" s="735"/>
      <c r="E2761" s="737">
        <f t="shared" si="740"/>
        <v>0</v>
      </c>
      <c r="F2761" s="738"/>
      <c r="G2761" s="739">
        <v>0</v>
      </c>
      <c r="H2761" s="748">
        <f t="shared" si="737"/>
        <v>0</v>
      </c>
      <c r="I2761" s="741">
        <v>0</v>
      </c>
      <c r="J2761" s="749">
        <f t="shared" si="738"/>
        <v>0</v>
      </c>
      <c r="K2761" s="739">
        <f t="shared" si="739"/>
        <v>0</v>
      </c>
      <c r="L2761" s="1079"/>
      <c r="M2761" s="752"/>
      <c r="N2761" s="744">
        <f t="shared" si="741"/>
        <v>0</v>
      </c>
      <c r="O2761" s="745">
        <v>0</v>
      </c>
      <c r="P2761" s="737">
        <v>0</v>
      </c>
      <c r="Q2761" s="752"/>
      <c r="R2761" s="752"/>
      <c r="S2761" s="752"/>
    </row>
    <row r="2762" spans="1:19" s="753" customFormat="1" ht="24" customHeight="1">
      <c r="A2762" s="734"/>
      <c r="B2762" s="747" t="s">
        <v>469</v>
      </c>
      <c r="C2762" s="735" t="s">
        <v>486</v>
      </c>
      <c r="D2762" s="735"/>
      <c r="E2762" s="737">
        <f t="shared" si="740"/>
        <v>1</v>
      </c>
      <c r="F2762" s="738" t="s">
        <v>363</v>
      </c>
      <c r="G2762" s="739">
        <v>552</v>
      </c>
      <c r="H2762" s="748">
        <f t="shared" si="737"/>
        <v>552</v>
      </c>
      <c r="I2762" s="741">
        <v>25</v>
      </c>
      <c r="J2762" s="749">
        <f t="shared" si="738"/>
        <v>25</v>
      </c>
      <c r="K2762" s="739">
        <f t="shared" si="739"/>
        <v>577</v>
      </c>
      <c r="L2762" s="1079"/>
      <c r="M2762" s="752"/>
      <c r="N2762" s="744">
        <f t="shared" si="741"/>
        <v>1</v>
      </c>
      <c r="O2762" s="745">
        <v>0</v>
      </c>
      <c r="P2762" s="737">
        <v>1</v>
      </c>
      <c r="Q2762" s="752"/>
      <c r="R2762" s="752"/>
      <c r="S2762" s="752"/>
    </row>
    <row r="2763" spans="1:19" s="753" customFormat="1" ht="24" customHeight="1">
      <c r="A2763" s="734"/>
      <c r="B2763" s="747" t="s">
        <v>484</v>
      </c>
      <c r="C2763" s="735" t="s">
        <v>485</v>
      </c>
      <c r="D2763" s="735"/>
      <c r="E2763" s="737">
        <f t="shared" si="740"/>
        <v>1</v>
      </c>
      <c r="F2763" s="738" t="s">
        <v>363</v>
      </c>
      <c r="G2763" s="739">
        <v>285</v>
      </c>
      <c r="H2763" s="748">
        <f t="shared" si="737"/>
        <v>285</v>
      </c>
      <c r="I2763" s="741">
        <v>75</v>
      </c>
      <c r="J2763" s="749">
        <f t="shared" si="738"/>
        <v>75</v>
      </c>
      <c r="K2763" s="739">
        <f t="shared" si="739"/>
        <v>360</v>
      </c>
      <c r="L2763" s="1093"/>
      <c r="M2763" s="752"/>
      <c r="N2763" s="744">
        <f t="shared" si="741"/>
        <v>1</v>
      </c>
      <c r="O2763" s="745">
        <v>0</v>
      </c>
      <c r="P2763" s="737">
        <v>1</v>
      </c>
      <c r="Q2763" s="752"/>
      <c r="R2763" s="752"/>
      <c r="S2763" s="752"/>
    </row>
    <row r="2764" spans="1:19" s="753" customFormat="1" ht="24" customHeight="1">
      <c r="A2764" s="734"/>
      <c r="B2764" s="747"/>
      <c r="C2764" s="735"/>
      <c r="D2764" s="735"/>
      <c r="E2764" s="737">
        <f t="shared" si="740"/>
        <v>0</v>
      </c>
      <c r="F2764" s="738"/>
      <c r="G2764" s="739">
        <v>0</v>
      </c>
      <c r="H2764" s="748">
        <f t="shared" si="737"/>
        <v>0</v>
      </c>
      <c r="I2764" s="741">
        <v>0</v>
      </c>
      <c r="J2764" s="749">
        <f t="shared" si="738"/>
        <v>0</v>
      </c>
      <c r="K2764" s="739">
        <f t="shared" si="739"/>
        <v>0</v>
      </c>
      <c r="L2764" s="1079"/>
      <c r="M2764" s="752"/>
      <c r="N2764" s="744">
        <f t="shared" si="741"/>
        <v>0</v>
      </c>
      <c r="O2764" s="745">
        <v>0</v>
      </c>
      <c r="P2764" s="737">
        <v>0</v>
      </c>
      <c r="Q2764" s="752"/>
      <c r="R2764" s="752"/>
      <c r="S2764" s="752"/>
    </row>
    <row r="2765" spans="1:19" s="753" customFormat="1" ht="24" customHeight="1">
      <c r="A2765" s="734"/>
      <c r="B2765" s="747" t="s">
        <v>469</v>
      </c>
      <c r="C2765" s="735" t="s">
        <v>507</v>
      </c>
      <c r="D2765" s="735"/>
      <c r="E2765" s="737">
        <f t="shared" si="740"/>
        <v>1</v>
      </c>
      <c r="F2765" s="738" t="s">
        <v>363</v>
      </c>
      <c r="G2765" s="739">
        <v>1650</v>
      </c>
      <c r="H2765" s="748">
        <f t="shared" si="737"/>
        <v>1650</v>
      </c>
      <c r="I2765" s="741">
        <v>70</v>
      </c>
      <c r="J2765" s="749">
        <f t="shared" si="738"/>
        <v>70</v>
      </c>
      <c r="K2765" s="739">
        <f t="shared" si="739"/>
        <v>1720</v>
      </c>
      <c r="L2765" s="1079"/>
      <c r="M2765" s="752"/>
      <c r="N2765" s="744">
        <f t="shared" si="741"/>
        <v>1</v>
      </c>
      <c r="O2765" s="745">
        <v>0</v>
      </c>
      <c r="P2765" s="737">
        <v>1</v>
      </c>
      <c r="Q2765" s="752"/>
      <c r="R2765" s="752"/>
      <c r="S2765" s="752"/>
    </row>
    <row r="2766" spans="1:19" s="753" customFormat="1" ht="24" customHeight="1">
      <c r="A2766" s="734"/>
      <c r="B2766" s="747" t="s">
        <v>469</v>
      </c>
      <c r="C2766" s="735" t="s">
        <v>525</v>
      </c>
      <c r="D2766" s="735"/>
      <c r="E2766" s="737">
        <f t="shared" si="740"/>
        <v>2</v>
      </c>
      <c r="F2766" s="738" t="s">
        <v>363</v>
      </c>
      <c r="G2766" s="739">
        <v>4160</v>
      </c>
      <c r="H2766" s="748">
        <f t="shared" si="737"/>
        <v>8320</v>
      </c>
      <c r="I2766" s="741">
        <v>105</v>
      </c>
      <c r="J2766" s="749">
        <f t="shared" si="738"/>
        <v>210</v>
      </c>
      <c r="K2766" s="739">
        <f t="shared" si="739"/>
        <v>8530</v>
      </c>
      <c r="L2766" s="1079"/>
      <c r="M2766" s="752"/>
      <c r="N2766" s="744">
        <f t="shared" si="741"/>
        <v>2</v>
      </c>
      <c r="O2766" s="745">
        <v>0</v>
      </c>
      <c r="P2766" s="737">
        <v>2</v>
      </c>
      <c r="Q2766" s="752"/>
      <c r="R2766" s="752"/>
      <c r="S2766" s="752"/>
    </row>
    <row r="2767" spans="1:19" s="753" customFormat="1" ht="24" customHeight="1">
      <c r="A2767" s="734"/>
      <c r="B2767" s="747" t="s">
        <v>469</v>
      </c>
      <c r="C2767" s="735" t="s">
        <v>526</v>
      </c>
      <c r="D2767" s="735"/>
      <c r="E2767" s="737">
        <f t="shared" si="740"/>
        <v>1</v>
      </c>
      <c r="F2767" s="738" t="s">
        <v>363</v>
      </c>
      <c r="G2767" s="739">
        <v>2533.5</v>
      </c>
      <c r="H2767" s="748">
        <f t="shared" si="737"/>
        <v>2533.5</v>
      </c>
      <c r="I2767" s="741">
        <v>105</v>
      </c>
      <c r="J2767" s="749">
        <f t="shared" si="738"/>
        <v>105</v>
      </c>
      <c r="K2767" s="739">
        <f t="shared" si="739"/>
        <v>2638.5</v>
      </c>
      <c r="L2767" s="1079"/>
      <c r="M2767" s="752"/>
      <c r="N2767" s="744">
        <f t="shared" si="741"/>
        <v>1</v>
      </c>
      <c r="O2767" s="745">
        <v>0</v>
      </c>
      <c r="P2767" s="737">
        <v>1</v>
      </c>
      <c r="Q2767" s="752"/>
      <c r="R2767" s="752"/>
      <c r="S2767" s="752"/>
    </row>
    <row r="2768" spans="1:19" s="753" customFormat="1" ht="24" customHeight="1">
      <c r="A2768" s="734"/>
      <c r="B2768" s="747"/>
      <c r="C2768" s="735"/>
      <c r="D2768" s="735"/>
      <c r="E2768" s="737">
        <f t="shared" si="740"/>
        <v>0</v>
      </c>
      <c r="F2768" s="738"/>
      <c r="G2768" s="739">
        <v>0</v>
      </c>
      <c r="H2768" s="748">
        <f t="shared" si="737"/>
        <v>0</v>
      </c>
      <c r="I2768" s="741">
        <v>0</v>
      </c>
      <c r="J2768" s="749">
        <f t="shared" si="738"/>
        <v>0</v>
      </c>
      <c r="K2768" s="739">
        <f t="shared" si="739"/>
        <v>0</v>
      </c>
      <c r="L2768" s="1079"/>
      <c r="M2768" s="752"/>
      <c r="N2768" s="744">
        <f t="shared" si="741"/>
        <v>0</v>
      </c>
      <c r="O2768" s="745">
        <v>0</v>
      </c>
      <c r="P2768" s="737">
        <v>0</v>
      </c>
      <c r="Q2768" s="752"/>
      <c r="R2768" s="752"/>
      <c r="S2768" s="752"/>
    </row>
    <row r="2769" spans="1:19" s="753" customFormat="1" ht="24" customHeight="1">
      <c r="A2769" s="734"/>
      <c r="B2769" s="747" t="s">
        <v>469</v>
      </c>
      <c r="C2769" s="735" t="s">
        <v>527</v>
      </c>
      <c r="D2769" s="735"/>
      <c r="E2769" s="737">
        <f t="shared" si="740"/>
        <v>1</v>
      </c>
      <c r="F2769" s="738" t="s">
        <v>363</v>
      </c>
      <c r="G2769" s="739">
        <v>2855</v>
      </c>
      <c r="H2769" s="748">
        <f t="shared" si="737"/>
        <v>2855</v>
      </c>
      <c r="I2769" s="741">
        <v>1432</v>
      </c>
      <c r="J2769" s="749">
        <f t="shared" si="738"/>
        <v>1432</v>
      </c>
      <c r="K2769" s="739">
        <f t="shared" si="739"/>
        <v>4287</v>
      </c>
      <c r="L2769" s="1079"/>
      <c r="M2769" s="752"/>
      <c r="N2769" s="744">
        <f t="shared" si="741"/>
        <v>1</v>
      </c>
      <c r="O2769" s="745">
        <v>0</v>
      </c>
      <c r="P2769" s="737">
        <v>1</v>
      </c>
      <c r="Q2769" s="752"/>
      <c r="R2769" s="752"/>
      <c r="S2769" s="752"/>
    </row>
    <row r="2770" spans="1:19" s="682" customFormat="1" ht="24" customHeight="1">
      <c r="A2770" s="734"/>
      <c r="B2770" s="747" t="s">
        <v>469</v>
      </c>
      <c r="C2770" s="735" t="s">
        <v>528</v>
      </c>
      <c r="D2770" s="735"/>
      <c r="E2770" s="737">
        <f t="shared" si="740"/>
        <v>0</v>
      </c>
      <c r="F2770" s="738" t="s">
        <v>363</v>
      </c>
      <c r="G2770" s="739">
        <v>9750</v>
      </c>
      <c r="H2770" s="748">
        <f t="shared" ref="H2770:H2777" si="742">SUM(E2770*G2770)</f>
        <v>0</v>
      </c>
      <c r="I2770" s="741">
        <v>105</v>
      </c>
      <c r="J2770" s="749">
        <f t="shared" ref="J2770:J2777" si="743">SUM(E2770*I2770)</f>
        <v>0</v>
      </c>
      <c r="K2770" s="739">
        <f t="shared" ref="K2770:K2777" si="744">SUM(H2770+J2770)</f>
        <v>0</v>
      </c>
      <c r="L2770" s="1079"/>
      <c r="M2770" s="679"/>
      <c r="N2770" s="744">
        <f t="shared" si="741"/>
        <v>0</v>
      </c>
      <c r="O2770" s="745">
        <v>0</v>
      </c>
      <c r="P2770" s="737">
        <v>0</v>
      </c>
      <c r="Q2770" s="679"/>
      <c r="R2770" s="679"/>
      <c r="S2770" s="679"/>
    </row>
    <row r="2771" spans="1:19" s="682" customFormat="1" ht="24" customHeight="1">
      <c r="A2771" s="734"/>
      <c r="B2771" s="747" t="s">
        <v>469</v>
      </c>
      <c r="C2771" s="735" t="s">
        <v>529</v>
      </c>
      <c r="D2771" s="735"/>
      <c r="E2771" s="737">
        <f t="shared" si="740"/>
        <v>0</v>
      </c>
      <c r="F2771" s="738" t="s">
        <v>363</v>
      </c>
      <c r="G2771" s="739">
        <v>5200</v>
      </c>
      <c r="H2771" s="748">
        <f t="shared" si="742"/>
        <v>0</v>
      </c>
      <c r="I2771" s="741">
        <v>70</v>
      </c>
      <c r="J2771" s="749">
        <f t="shared" si="743"/>
        <v>0</v>
      </c>
      <c r="K2771" s="739">
        <f t="shared" si="744"/>
        <v>0</v>
      </c>
      <c r="L2771" s="1079"/>
      <c r="M2771" s="679"/>
      <c r="N2771" s="744">
        <f t="shared" si="741"/>
        <v>0</v>
      </c>
      <c r="O2771" s="745">
        <v>0</v>
      </c>
      <c r="P2771" s="737">
        <v>0</v>
      </c>
      <c r="Q2771" s="679"/>
      <c r="R2771" s="679"/>
      <c r="S2771" s="679"/>
    </row>
    <row r="2772" spans="1:19" s="682" customFormat="1" ht="24" customHeight="1">
      <c r="A2772" s="734"/>
      <c r="B2772" s="747" t="s">
        <v>469</v>
      </c>
      <c r="C2772" s="735" t="s">
        <v>519</v>
      </c>
      <c r="D2772" s="735"/>
      <c r="E2772" s="737">
        <f t="shared" si="740"/>
        <v>1</v>
      </c>
      <c r="F2772" s="738" t="s">
        <v>363</v>
      </c>
      <c r="G2772" s="739">
        <v>800</v>
      </c>
      <c r="H2772" s="748">
        <f t="shared" si="742"/>
        <v>800</v>
      </c>
      <c r="I2772" s="741">
        <v>70</v>
      </c>
      <c r="J2772" s="749">
        <f t="shared" si="743"/>
        <v>70</v>
      </c>
      <c r="K2772" s="739">
        <f t="shared" si="744"/>
        <v>870</v>
      </c>
      <c r="L2772" s="1079"/>
      <c r="M2772" s="679"/>
      <c r="N2772" s="744">
        <f t="shared" si="741"/>
        <v>1</v>
      </c>
      <c r="O2772" s="745">
        <v>0</v>
      </c>
      <c r="P2772" s="737">
        <v>1</v>
      </c>
      <c r="Q2772" s="679"/>
      <c r="R2772" s="679"/>
      <c r="S2772" s="679"/>
    </row>
    <row r="2773" spans="1:19" s="682" customFormat="1" ht="24" customHeight="1">
      <c r="A2773" s="734"/>
      <c r="B2773" s="747" t="s">
        <v>469</v>
      </c>
      <c r="C2773" s="735" t="s">
        <v>520</v>
      </c>
      <c r="D2773" s="735"/>
      <c r="E2773" s="737">
        <f t="shared" ref="E2773:E2777" si="745">+N2773</f>
        <v>0</v>
      </c>
      <c r="F2773" s="738" t="s">
        <v>361</v>
      </c>
      <c r="G2773" s="739">
        <v>190</v>
      </c>
      <c r="H2773" s="748">
        <f t="shared" si="742"/>
        <v>0</v>
      </c>
      <c r="I2773" s="741">
        <v>75</v>
      </c>
      <c r="J2773" s="749">
        <f t="shared" si="743"/>
        <v>0</v>
      </c>
      <c r="K2773" s="739">
        <f t="shared" si="744"/>
        <v>0</v>
      </c>
      <c r="L2773" s="1079"/>
      <c r="M2773" s="679"/>
      <c r="N2773" s="744">
        <f t="shared" si="741"/>
        <v>0</v>
      </c>
      <c r="O2773" s="745">
        <v>0</v>
      </c>
      <c r="P2773" s="737">
        <v>0</v>
      </c>
      <c r="Q2773" s="679"/>
      <c r="R2773" s="679"/>
      <c r="S2773" s="679"/>
    </row>
    <row r="2774" spans="1:19" s="753" customFormat="1" ht="24" customHeight="1">
      <c r="A2774" s="734"/>
      <c r="B2774" s="747"/>
      <c r="C2774" s="735"/>
      <c r="D2774" s="735"/>
      <c r="E2774" s="737">
        <f t="shared" si="745"/>
        <v>0</v>
      </c>
      <c r="F2774" s="738"/>
      <c r="G2774" s="739">
        <v>0</v>
      </c>
      <c r="H2774" s="748">
        <f t="shared" si="742"/>
        <v>0</v>
      </c>
      <c r="I2774" s="741">
        <v>0</v>
      </c>
      <c r="J2774" s="749">
        <f t="shared" si="743"/>
        <v>0</v>
      </c>
      <c r="K2774" s="739">
        <f t="shared" si="744"/>
        <v>0</v>
      </c>
      <c r="L2774" s="1079"/>
      <c r="M2774" s="752"/>
      <c r="N2774" s="758">
        <f t="shared" si="741"/>
        <v>0</v>
      </c>
      <c r="O2774" s="745">
        <v>0</v>
      </c>
      <c r="P2774" s="759">
        <v>0</v>
      </c>
      <c r="Q2774" s="752"/>
      <c r="R2774" s="752"/>
      <c r="S2774" s="752"/>
    </row>
    <row r="2775" spans="1:19" s="753" customFormat="1" ht="24" customHeight="1">
      <c r="A2775" s="734"/>
      <c r="B2775" s="751" t="s">
        <v>1092</v>
      </c>
      <c r="C2775" s="735"/>
      <c r="D2775" s="735"/>
      <c r="E2775" s="737">
        <f t="shared" si="745"/>
        <v>0</v>
      </c>
      <c r="F2775" s="738"/>
      <c r="G2775" s="739">
        <v>0</v>
      </c>
      <c r="H2775" s="748">
        <f t="shared" si="742"/>
        <v>0</v>
      </c>
      <c r="I2775" s="741">
        <v>0</v>
      </c>
      <c r="J2775" s="749">
        <f t="shared" si="743"/>
        <v>0</v>
      </c>
      <c r="K2775" s="739">
        <f t="shared" si="744"/>
        <v>0</v>
      </c>
      <c r="L2775" s="1079"/>
      <c r="M2775" s="752"/>
      <c r="N2775" s="744">
        <f t="shared" si="741"/>
        <v>0</v>
      </c>
      <c r="O2775" s="745">
        <v>0</v>
      </c>
      <c r="P2775" s="737">
        <v>0</v>
      </c>
      <c r="Q2775" s="752"/>
      <c r="R2775" s="752"/>
      <c r="S2775" s="752"/>
    </row>
    <row r="2776" spans="1:19" s="753" customFormat="1" ht="24" customHeight="1">
      <c r="A2776" s="734"/>
      <c r="B2776" s="747" t="s">
        <v>469</v>
      </c>
      <c r="C2776" s="735" t="s">
        <v>486</v>
      </c>
      <c r="D2776" s="735"/>
      <c r="E2776" s="737">
        <f t="shared" si="745"/>
        <v>1</v>
      </c>
      <c r="F2776" s="738" t="s">
        <v>363</v>
      </c>
      <c r="G2776" s="739">
        <v>552</v>
      </c>
      <c r="H2776" s="748">
        <f t="shared" si="742"/>
        <v>552</v>
      </c>
      <c r="I2776" s="741">
        <v>25</v>
      </c>
      <c r="J2776" s="749">
        <f t="shared" si="743"/>
        <v>25</v>
      </c>
      <c r="K2776" s="739">
        <f t="shared" si="744"/>
        <v>577</v>
      </c>
      <c r="L2776" s="1079"/>
      <c r="M2776" s="752"/>
      <c r="N2776" s="744">
        <f t="shared" si="741"/>
        <v>1</v>
      </c>
      <c r="O2776" s="745">
        <v>0</v>
      </c>
      <c r="P2776" s="737">
        <v>1</v>
      </c>
      <c r="Q2776" s="752"/>
      <c r="R2776" s="752"/>
      <c r="S2776" s="752"/>
    </row>
    <row r="2777" spans="1:19" s="753" customFormat="1" ht="24" customHeight="1">
      <c r="A2777" s="734"/>
      <c r="B2777" s="747" t="s">
        <v>484</v>
      </c>
      <c r="C2777" s="735" t="s">
        <v>485</v>
      </c>
      <c r="D2777" s="735"/>
      <c r="E2777" s="737">
        <f t="shared" si="745"/>
        <v>1</v>
      </c>
      <c r="F2777" s="738" t="s">
        <v>363</v>
      </c>
      <c r="G2777" s="739">
        <v>285</v>
      </c>
      <c r="H2777" s="748">
        <f t="shared" si="742"/>
        <v>285</v>
      </c>
      <c r="I2777" s="741">
        <v>75</v>
      </c>
      <c r="J2777" s="749">
        <f t="shared" si="743"/>
        <v>75</v>
      </c>
      <c r="K2777" s="739">
        <f t="shared" si="744"/>
        <v>360</v>
      </c>
      <c r="L2777" s="1093"/>
      <c r="M2777" s="752"/>
      <c r="N2777" s="744">
        <f t="shared" si="741"/>
        <v>1</v>
      </c>
      <c r="O2777" s="745">
        <v>0</v>
      </c>
      <c r="P2777" s="737">
        <v>1</v>
      </c>
      <c r="Q2777" s="752"/>
      <c r="R2777" s="752"/>
      <c r="S2777" s="752"/>
    </row>
    <row r="2778" spans="1:19" s="753" customFormat="1" ht="24" customHeight="1">
      <c r="A2778" s="734"/>
      <c r="B2778" s="747"/>
      <c r="C2778" s="735"/>
      <c r="D2778" s="735"/>
      <c r="E2778" s="737"/>
      <c r="F2778" s="738"/>
      <c r="G2778" s="739"/>
      <c r="H2778" s="748"/>
      <c r="I2778" s="741"/>
      <c r="J2778" s="749"/>
      <c r="K2778" s="739"/>
      <c r="L2778" s="1093"/>
      <c r="M2778" s="752"/>
      <c r="N2778" s="744">
        <f t="shared" si="741"/>
        <v>0</v>
      </c>
      <c r="O2778" s="745">
        <v>0</v>
      </c>
      <c r="P2778" s="737">
        <v>0</v>
      </c>
      <c r="Q2778" s="752"/>
      <c r="R2778" s="752"/>
      <c r="S2778" s="752"/>
    </row>
    <row r="2779" spans="1:19" s="760" customFormat="1" ht="23.4">
      <c r="A2779" s="734" t="s">
        <v>759</v>
      </c>
      <c r="B2779" s="761" t="s">
        <v>534</v>
      </c>
      <c r="C2779" s="736"/>
      <c r="D2779" s="907"/>
      <c r="E2779" s="737"/>
      <c r="F2779" s="738"/>
      <c r="G2779" s="739">
        <v>0</v>
      </c>
      <c r="H2779" s="748">
        <f t="shared" ref="H2779:H2842" si="746">SUM(E2779*G2779)</f>
        <v>0</v>
      </c>
      <c r="I2779" s="741">
        <v>0</v>
      </c>
      <c r="J2779" s="749">
        <f t="shared" ref="J2779:J2842" si="747">SUM(E2779*I2779)</f>
        <v>0</v>
      </c>
      <c r="K2779" s="739">
        <f t="shared" ref="K2779:K2842" si="748">SUM(H2779+J2779)</f>
        <v>0</v>
      </c>
      <c r="L2779" s="1079"/>
      <c r="M2779" s="683"/>
      <c r="N2779" s="744">
        <f t="shared" si="741"/>
        <v>0</v>
      </c>
      <c r="O2779" s="745">
        <v>0</v>
      </c>
      <c r="P2779" s="737">
        <v>0</v>
      </c>
      <c r="Q2779" s="683"/>
      <c r="R2779" s="683"/>
      <c r="S2779" s="683"/>
    </row>
    <row r="2780" spans="1:19" s="753" customFormat="1" ht="24" customHeight="1">
      <c r="A2780" s="734"/>
      <c r="B2780" s="735" t="s">
        <v>1072</v>
      </c>
      <c r="C2780" s="736"/>
      <c r="D2780" s="907"/>
      <c r="E2780" s="737"/>
      <c r="F2780" s="738"/>
      <c r="G2780" s="739">
        <v>0</v>
      </c>
      <c r="H2780" s="748">
        <f t="shared" si="746"/>
        <v>0</v>
      </c>
      <c r="I2780" s="741">
        <v>0</v>
      </c>
      <c r="J2780" s="749">
        <f t="shared" si="747"/>
        <v>0</v>
      </c>
      <c r="K2780" s="739">
        <f t="shared" si="748"/>
        <v>0</v>
      </c>
      <c r="L2780" s="1079"/>
      <c r="M2780" s="752"/>
      <c r="N2780" s="744"/>
      <c r="O2780" s="745"/>
      <c r="P2780" s="737"/>
      <c r="Q2780" s="752"/>
      <c r="R2780" s="752"/>
      <c r="S2780" s="752"/>
    </row>
    <row r="2781" spans="1:19" s="753" customFormat="1" ht="24" customHeight="1">
      <c r="A2781" s="734"/>
      <c r="B2781" s="747" t="s">
        <v>469</v>
      </c>
      <c r="C2781" s="735" t="s">
        <v>497</v>
      </c>
      <c r="D2781" s="735"/>
      <c r="E2781" s="737">
        <f>+N2781</f>
        <v>4</v>
      </c>
      <c r="F2781" s="738" t="s">
        <v>363</v>
      </c>
      <c r="G2781" s="739">
        <v>1540</v>
      </c>
      <c r="H2781" s="748">
        <f t="shared" si="746"/>
        <v>6160</v>
      </c>
      <c r="I2781" s="741">
        <v>450</v>
      </c>
      <c r="J2781" s="749">
        <f t="shared" si="747"/>
        <v>1800</v>
      </c>
      <c r="K2781" s="739">
        <f t="shared" si="748"/>
        <v>7960</v>
      </c>
      <c r="L2781" s="1079"/>
      <c r="M2781" s="752"/>
      <c r="N2781" s="744">
        <f t="shared" ref="N2781:N2787" si="749">+(1+O2781)*P2781</f>
        <v>4</v>
      </c>
      <c r="O2781" s="745">
        <v>0</v>
      </c>
      <c r="P2781" s="737">
        <v>4</v>
      </c>
      <c r="Q2781" s="752"/>
      <c r="R2781" s="752"/>
      <c r="S2781" s="752"/>
    </row>
    <row r="2782" spans="1:19" s="753" customFormat="1" ht="24" customHeight="1">
      <c r="A2782" s="734"/>
      <c r="B2782" s="747" t="s">
        <v>469</v>
      </c>
      <c r="C2782" s="735" t="s">
        <v>498</v>
      </c>
      <c r="D2782" s="735"/>
      <c r="E2782" s="737">
        <f t="shared" ref="E2782:E2845" si="750">+N2782</f>
        <v>4</v>
      </c>
      <c r="F2782" s="738" t="s">
        <v>363</v>
      </c>
      <c r="G2782" s="739">
        <v>6640</v>
      </c>
      <c r="H2782" s="748">
        <f t="shared" si="746"/>
        <v>26560</v>
      </c>
      <c r="I2782" s="741">
        <v>200</v>
      </c>
      <c r="J2782" s="749">
        <f t="shared" si="747"/>
        <v>800</v>
      </c>
      <c r="K2782" s="739">
        <f t="shared" si="748"/>
        <v>27360</v>
      </c>
      <c r="L2782" s="1079"/>
      <c r="M2782" s="752"/>
      <c r="N2782" s="744">
        <f t="shared" si="749"/>
        <v>4</v>
      </c>
      <c r="O2782" s="745">
        <v>0</v>
      </c>
      <c r="P2782" s="737">
        <v>4</v>
      </c>
      <c r="Q2782" s="752"/>
      <c r="R2782" s="752"/>
      <c r="S2782" s="752"/>
    </row>
    <row r="2783" spans="1:19" s="753" customFormat="1" ht="24" customHeight="1">
      <c r="A2783" s="734"/>
      <c r="B2783" s="747" t="s">
        <v>469</v>
      </c>
      <c r="C2783" s="735" t="s">
        <v>496</v>
      </c>
      <c r="D2783" s="735"/>
      <c r="E2783" s="737">
        <f t="shared" si="750"/>
        <v>4</v>
      </c>
      <c r="F2783" s="738" t="s">
        <v>363</v>
      </c>
      <c r="G2783" s="739">
        <v>336</v>
      </c>
      <c r="H2783" s="748">
        <f t="shared" si="746"/>
        <v>1344</v>
      </c>
      <c r="I2783" s="741">
        <v>0</v>
      </c>
      <c r="J2783" s="749">
        <f t="shared" si="747"/>
        <v>0</v>
      </c>
      <c r="K2783" s="739">
        <f t="shared" si="748"/>
        <v>1344</v>
      </c>
      <c r="L2783" s="1079"/>
      <c r="M2783" s="752"/>
      <c r="N2783" s="744">
        <f t="shared" si="749"/>
        <v>4</v>
      </c>
      <c r="O2783" s="745">
        <v>0</v>
      </c>
      <c r="P2783" s="737">
        <v>4</v>
      </c>
      <c r="Q2783" s="752"/>
      <c r="R2783" s="752"/>
      <c r="S2783" s="752"/>
    </row>
    <row r="2784" spans="1:19" s="753" customFormat="1" ht="24" customHeight="1">
      <c r="A2784" s="734"/>
      <c r="B2784" s="747" t="s">
        <v>469</v>
      </c>
      <c r="C2784" s="735" t="s">
        <v>490</v>
      </c>
      <c r="D2784" s="735"/>
      <c r="E2784" s="737">
        <f t="shared" si="750"/>
        <v>4</v>
      </c>
      <c r="F2784" s="738" t="s">
        <v>363</v>
      </c>
      <c r="G2784" s="739">
        <v>736</v>
      </c>
      <c r="H2784" s="748">
        <f t="shared" si="746"/>
        <v>2944</v>
      </c>
      <c r="I2784" s="741">
        <v>0</v>
      </c>
      <c r="J2784" s="749">
        <f t="shared" si="747"/>
        <v>0</v>
      </c>
      <c r="K2784" s="739">
        <f t="shared" si="748"/>
        <v>2944</v>
      </c>
      <c r="L2784" s="1079"/>
      <c r="M2784" s="752"/>
      <c r="N2784" s="744">
        <f t="shared" si="749"/>
        <v>4</v>
      </c>
      <c r="O2784" s="745">
        <v>0</v>
      </c>
      <c r="P2784" s="737">
        <v>4</v>
      </c>
      <c r="Q2784" s="752"/>
      <c r="R2784" s="752"/>
      <c r="S2784" s="752"/>
    </row>
    <row r="2785" spans="1:19" s="753" customFormat="1" ht="24" customHeight="1">
      <c r="A2785" s="734"/>
      <c r="B2785" s="747" t="s">
        <v>469</v>
      </c>
      <c r="C2785" s="735" t="s">
        <v>478</v>
      </c>
      <c r="D2785" s="735"/>
      <c r="E2785" s="737">
        <f t="shared" si="750"/>
        <v>4</v>
      </c>
      <c r="F2785" s="738" t="s">
        <v>363</v>
      </c>
      <c r="G2785" s="739">
        <v>176</v>
      </c>
      <c r="H2785" s="748">
        <f t="shared" si="746"/>
        <v>704</v>
      </c>
      <c r="I2785" s="741">
        <v>0</v>
      </c>
      <c r="J2785" s="749">
        <f t="shared" si="747"/>
        <v>0</v>
      </c>
      <c r="K2785" s="739">
        <f t="shared" si="748"/>
        <v>704</v>
      </c>
      <c r="L2785" s="1079"/>
      <c r="M2785" s="752"/>
      <c r="N2785" s="744">
        <f t="shared" si="749"/>
        <v>4</v>
      </c>
      <c r="O2785" s="745">
        <v>0</v>
      </c>
      <c r="P2785" s="737">
        <v>4</v>
      </c>
      <c r="Q2785" s="752"/>
      <c r="R2785" s="752"/>
      <c r="S2785" s="752"/>
    </row>
    <row r="2786" spans="1:19" s="753" customFormat="1" ht="24" customHeight="1">
      <c r="A2786" s="734"/>
      <c r="B2786" s="747" t="s">
        <v>469</v>
      </c>
      <c r="C2786" s="735" t="s">
        <v>499</v>
      </c>
      <c r="D2786" s="735"/>
      <c r="E2786" s="737">
        <f t="shared" si="750"/>
        <v>4</v>
      </c>
      <c r="F2786" s="738" t="s">
        <v>363</v>
      </c>
      <c r="G2786" s="739">
        <v>216</v>
      </c>
      <c r="H2786" s="748">
        <f t="shared" si="746"/>
        <v>864</v>
      </c>
      <c r="I2786" s="741">
        <v>35</v>
      </c>
      <c r="J2786" s="749">
        <f t="shared" si="747"/>
        <v>140</v>
      </c>
      <c r="K2786" s="739">
        <f t="shared" si="748"/>
        <v>1004</v>
      </c>
      <c r="L2786" s="1079"/>
      <c r="M2786" s="752"/>
      <c r="N2786" s="744">
        <f t="shared" si="749"/>
        <v>4</v>
      </c>
      <c r="O2786" s="745">
        <v>0</v>
      </c>
      <c r="P2786" s="737">
        <v>4</v>
      </c>
      <c r="Q2786" s="752"/>
      <c r="R2786" s="752"/>
      <c r="S2786" s="752"/>
    </row>
    <row r="2787" spans="1:19" s="753" customFormat="1" ht="24" customHeight="1">
      <c r="A2787" s="734"/>
      <c r="B2787" s="750"/>
      <c r="C2787" s="736"/>
      <c r="D2787" s="907"/>
      <c r="E2787" s="737">
        <f t="shared" si="750"/>
        <v>0</v>
      </c>
      <c r="F2787" s="738"/>
      <c r="G2787" s="739">
        <v>0</v>
      </c>
      <c r="H2787" s="748">
        <f t="shared" si="746"/>
        <v>0</v>
      </c>
      <c r="I2787" s="741">
        <v>0</v>
      </c>
      <c r="J2787" s="749">
        <f t="shared" si="747"/>
        <v>0</v>
      </c>
      <c r="K2787" s="739">
        <f t="shared" si="748"/>
        <v>0</v>
      </c>
      <c r="L2787" s="1079"/>
      <c r="M2787" s="752"/>
      <c r="N2787" s="744">
        <f t="shared" si="749"/>
        <v>0</v>
      </c>
      <c r="O2787" s="745">
        <v>0</v>
      </c>
      <c r="P2787" s="737">
        <v>0</v>
      </c>
      <c r="Q2787" s="752"/>
      <c r="R2787" s="752"/>
      <c r="S2787" s="752"/>
    </row>
    <row r="2788" spans="1:19" s="753" customFormat="1" ht="24" customHeight="1">
      <c r="A2788" s="734"/>
      <c r="B2788" s="747" t="s">
        <v>469</v>
      </c>
      <c r="C2788" s="735" t="s">
        <v>492</v>
      </c>
      <c r="D2788" s="735"/>
      <c r="E2788" s="737">
        <f t="shared" si="750"/>
        <v>5</v>
      </c>
      <c r="F2788" s="738" t="s">
        <v>363</v>
      </c>
      <c r="G2788" s="739">
        <v>9375</v>
      </c>
      <c r="H2788" s="748">
        <f t="shared" si="746"/>
        <v>46875</v>
      </c>
      <c r="I2788" s="741">
        <v>450</v>
      </c>
      <c r="J2788" s="749">
        <f t="shared" si="747"/>
        <v>2250</v>
      </c>
      <c r="K2788" s="739">
        <f t="shared" si="748"/>
        <v>49125</v>
      </c>
      <c r="L2788" s="1079"/>
      <c r="M2788" s="752"/>
      <c r="N2788" s="744">
        <f>+(1+O2788)*P2788</f>
        <v>5</v>
      </c>
      <c r="O2788" s="745">
        <v>0</v>
      </c>
      <c r="P2788" s="737">
        <v>5</v>
      </c>
      <c r="Q2788" s="752"/>
      <c r="R2788" s="752"/>
      <c r="S2788" s="752"/>
    </row>
    <row r="2789" spans="1:19" s="753" customFormat="1" ht="24" customHeight="1">
      <c r="A2789" s="734"/>
      <c r="B2789" s="747" t="s">
        <v>469</v>
      </c>
      <c r="C2789" s="735" t="s">
        <v>500</v>
      </c>
      <c r="D2789" s="735"/>
      <c r="E2789" s="737">
        <f t="shared" si="750"/>
        <v>5</v>
      </c>
      <c r="F2789" s="738" t="s">
        <v>363</v>
      </c>
      <c r="G2789" s="739">
        <v>12752</v>
      </c>
      <c r="H2789" s="748">
        <f t="shared" si="746"/>
        <v>63760</v>
      </c>
      <c r="I2789" s="741">
        <v>0</v>
      </c>
      <c r="J2789" s="749">
        <f t="shared" si="747"/>
        <v>0</v>
      </c>
      <c r="K2789" s="739">
        <f t="shared" si="748"/>
        <v>63760</v>
      </c>
      <c r="L2789" s="1079"/>
      <c r="M2789" s="752"/>
      <c r="N2789" s="744">
        <f t="shared" ref="N2789:N2852" si="751">+(1+O2789)*P2789</f>
        <v>5</v>
      </c>
      <c r="O2789" s="745">
        <v>0</v>
      </c>
      <c r="P2789" s="737">
        <v>5</v>
      </c>
      <c r="Q2789" s="752"/>
      <c r="R2789" s="752"/>
      <c r="S2789" s="752"/>
    </row>
    <row r="2790" spans="1:19" s="753" customFormat="1" ht="24" customHeight="1">
      <c r="A2790" s="734"/>
      <c r="B2790" s="747" t="s">
        <v>469</v>
      </c>
      <c r="C2790" s="735" t="s">
        <v>501</v>
      </c>
      <c r="D2790" s="735"/>
      <c r="E2790" s="737">
        <v>0</v>
      </c>
      <c r="F2790" s="738" t="s">
        <v>363</v>
      </c>
      <c r="G2790" s="739">
        <v>1950</v>
      </c>
      <c r="H2790" s="748">
        <f t="shared" si="746"/>
        <v>0</v>
      </c>
      <c r="I2790" s="741">
        <v>35</v>
      </c>
      <c r="J2790" s="749">
        <f t="shared" si="747"/>
        <v>0</v>
      </c>
      <c r="K2790" s="739">
        <f t="shared" si="748"/>
        <v>0</v>
      </c>
      <c r="L2790" s="1079"/>
      <c r="M2790" s="752"/>
      <c r="N2790" s="744">
        <f t="shared" si="751"/>
        <v>5</v>
      </c>
      <c r="O2790" s="745">
        <v>0</v>
      </c>
      <c r="P2790" s="737">
        <v>5</v>
      </c>
      <c r="Q2790" s="752"/>
      <c r="R2790" s="752"/>
      <c r="S2790" s="752"/>
    </row>
    <row r="2791" spans="1:19" s="753" customFormat="1" ht="24" customHeight="1">
      <c r="A2791" s="734"/>
      <c r="B2791" s="747" t="s">
        <v>469</v>
      </c>
      <c r="C2791" s="735" t="s">
        <v>502</v>
      </c>
      <c r="D2791" s="735"/>
      <c r="E2791" s="737">
        <f t="shared" si="750"/>
        <v>5</v>
      </c>
      <c r="F2791" s="738" t="s">
        <v>363</v>
      </c>
      <c r="G2791" s="739">
        <v>216</v>
      </c>
      <c r="H2791" s="748">
        <f t="shared" si="746"/>
        <v>1080</v>
      </c>
      <c r="I2791" s="741">
        <v>35</v>
      </c>
      <c r="J2791" s="749">
        <f t="shared" si="747"/>
        <v>175</v>
      </c>
      <c r="K2791" s="739">
        <f t="shared" si="748"/>
        <v>1255</v>
      </c>
      <c r="L2791" s="1079"/>
      <c r="M2791" s="752"/>
      <c r="N2791" s="744">
        <f t="shared" si="751"/>
        <v>5</v>
      </c>
      <c r="O2791" s="745">
        <v>0</v>
      </c>
      <c r="P2791" s="737">
        <v>5</v>
      </c>
      <c r="Q2791" s="754"/>
      <c r="R2791" s="752"/>
      <c r="S2791" s="752"/>
    </row>
    <row r="2792" spans="1:19" s="753" customFormat="1" ht="24" customHeight="1">
      <c r="A2792" s="734"/>
      <c r="B2792" s="747"/>
      <c r="C2792" s="735"/>
      <c r="D2792" s="907"/>
      <c r="E2792" s="737">
        <f t="shared" si="750"/>
        <v>0</v>
      </c>
      <c r="F2792" s="738"/>
      <c r="G2792" s="739">
        <v>0</v>
      </c>
      <c r="H2792" s="748">
        <f t="shared" si="746"/>
        <v>0</v>
      </c>
      <c r="I2792" s="741">
        <v>0</v>
      </c>
      <c r="J2792" s="749">
        <f t="shared" si="747"/>
        <v>0</v>
      </c>
      <c r="K2792" s="739">
        <f t="shared" si="748"/>
        <v>0</v>
      </c>
      <c r="L2792" s="1079"/>
      <c r="M2792" s="752"/>
      <c r="N2792" s="744">
        <f t="shared" si="751"/>
        <v>0</v>
      </c>
      <c r="O2792" s="745">
        <v>0</v>
      </c>
      <c r="P2792" s="737">
        <v>0</v>
      </c>
      <c r="Q2792" s="752"/>
      <c r="R2792" s="752"/>
      <c r="S2792" s="752"/>
    </row>
    <row r="2793" spans="1:19" s="753" customFormat="1" ht="24" customHeight="1">
      <c r="A2793" s="734"/>
      <c r="B2793" s="747" t="s">
        <v>469</v>
      </c>
      <c r="C2793" s="735" t="s">
        <v>503</v>
      </c>
      <c r="D2793" s="735"/>
      <c r="E2793" s="737">
        <f t="shared" si="750"/>
        <v>8</v>
      </c>
      <c r="F2793" s="738" t="s">
        <v>363</v>
      </c>
      <c r="G2793" s="739">
        <v>3920</v>
      </c>
      <c r="H2793" s="748">
        <f t="shared" si="746"/>
        <v>31360</v>
      </c>
      <c r="I2793" s="741">
        <v>450</v>
      </c>
      <c r="J2793" s="749">
        <f t="shared" si="747"/>
        <v>3600</v>
      </c>
      <c r="K2793" s="739">
        <f t="shared" si="748"/>
        <v>34960</v>
      </c>
      <c r="L2793" s="1079"/>
      <c r="M2793" s="752"/>
      <c r="N2793" s="744">
        <f t="shared" si="751"/>
        <v>8</v>
      </c>
      <c r="O2793" s="745">
        <v>0</v>
      </c>
      <c r="P2793" s="737">
        <v>8</v>
      </c>
      <c r="Q2793" s="752"/>
      <c r="R2793" s="752"/>
      <c r="S2793" s="752"/>
    </row>
    <row r="2794" spans="1:19" s="753" customFormat="1" ht="24" customHeight="1">
      <c r="A2794" s="734"/>
      <c r="B2794" s="747" t="s">
        <v>469</v>
      </c>
      <c r="C2794" s="735" t="s">
        <v>504</v>
      </c>
      <c r="D2794" s="735"/>
      <c r="E2794" s="737">
        <f t="shared" si="750"/>
        <v>8</v>
      </c>
      <c r="F2794" s="738" t="s">
        <v>363</v>
      </c>
      <c r="G2794" s="739">
        <v>12752</v>
      </c>
      <c r="H2794" s="748">
        <f t="shared" si="746"/>
        <v>102016</v>
      </c>
      <c r="I2794" s="741">
        <v>0</v>
      </c>
      <c r="J2794" s="749">
        <f t="shared" si="747"/>
        <v>0</v>
      </c>
      <c r="K2794" s="739">
        <f t="shared" si="748"/>
        <v>102016</v>
      </c>
      <c r="L2794" s="1079"/>
      <c r="M2794" s="752"/>
      <c r="N2794" s="744">
        <f t="shared" si="751"/>
        <v>8</v>
      </c>
      <c r="O2794" s="745">
        <v>0</v>
      </c>
      <c r="P2794" s="737">
        <v>8</v>
      </c>
      <c r="Q2794" s="752"/>
      <c r="R2794" s="752"/>
      <c r="S2794" s="752"/>
    </row>
    <row r="2795" spans="1:19" s="682" customFormat="1" ht="24" customHeight="1">
      <c r="A2795" s="734"/>
      <c r="B2795" s="747" t="s">
        <v>469</v>
      </c>
      <c r="C2795" s="735" t="s">
        <v>505</v>
      </c>
      <c r="D2795" s="735"/>
      <c r="E2795" s="737">
        <f t="shared" si="750"/>
        <v>6</v>
      </c>
      <c r="F2795" s="738" t="s">
        <v>363</v>
      </c>
      <c r="G2795" s="739">
        <v>2280</v>
      </c>
      <c r="H2795" s="748">
        <f t="shared" si="746"/>
        <v>13680</v>
      </c>
      <c r="I2795" s="741">
        <v>300</v>
      </c>
      <c r="J2795" s="749">
        <f t="shared" si="747"/>
        <v>1800</v>
      </c>
      <c r="K2795" s="739">
        <f t="shared" si="748"/>
        <v>15480</v>
      </c>
      <c r="L2795" s="1079"/>
      <c r="M2795" s="679"/>
      <c r="N2795" s="744">
        <f t="shared" si="751"/>
        <v>6</v>
      </c>
      <c r="O2795" s="745">
        <v>0</v>
      </c>
      <c r="P2795" s="737">
        <v>6</v>
      </c>
      <c r="Q2795" s="679"/>
      <c r="R2795" s="679"/>
      <c r="S2795" s="679"/>
    </row>
    <row r="2796" spans="1:19" s="682" customFormat="1" ht="24" customHeight="1">
      <c r="A2796" s="734"/>
      <c r="B2796" s="747" t="s">
        <v>469</v>
      </c>
      <c r="C2796" s="735" t="s">
        <v>506</v>
      </c>
      <c r="D2796" s="735"/>
      <c r="E2796" s="737">
        <f t="shared" si="750"/>
        <v>0</v>
      </c>
      <c r="F2796" s="738" t="s">
        <v>363</v>
      </c>
      <c r="G2796" s="739">
        <v>6592</v>
      </c>
      <c r="H2796" s="748">
        <f t="shared" si="746"/>
        <v>0</v>
      </c>
      <c r="I2796" s="741">
        <v>140</v>
      </c>
      <c r="J2796" s="749">
        <f t="shared" si="747"/>
        <v>0</v>
      </c>
      <c r="K2796" s="739">
        <f t="shared" si="748"/>
        <v>0</v>
      </c>
      <c r="L2796" s="1079"/>
      <c r="M2796" s="679"/>
      <c r="N2796" s="744">
        <f t="shared" si="751"/>
        <v>0</v>
      </c>
      <c r="O2796" s="745">
        <v>0</v>
      </c>
      <c r="P2796" s="737">
        <v>0</v>
      </c>
      <c r="Q2796" s="679"/>
      <c r="R2796" s="679"/>
      <c r="S2796" s="679"/>
    </row>
    <row r="2797" spans="1:19" s="753" customFormat="1" ht="24" customHeight="1">
      <c r="A2797" s="734"/>
      <c r="B2797" s="747" t="s">
        <v>484</v>
      </c>
      <c r="C2797" s="735" t="s">
        <v>485</v>
      </c>
      <c r="D2797" s="735"/>
      <c r="E2797" s="737">
        <f t="shared" si="750"/>
        <v>7</v>
      </c>
      <c r="F2797" s="738" t="s">
        <v>363</v>
      </c>
      <c r="G2797" s="739">
        <v>285</v>
      </c>
      <c r="H2797" s="748">
        <f t="shared" si="746"/>
        <v>1995</v>
      </c>
      <c r="I2797" s="741">
        <v>75</v>
      </c>
      <c r="J2797" s="749">
        <f t="shared" si="747"/>
        <v>525</v>
      </c>
      <c r="K2797" s="739">
        <f t="shared" si="748"/>
        <v>2520</v>
      </c>
      <c r="L2797" s="1093"/>
      <c r="M2797" s="752"/>
      <c r="N2797" s="744">
        <f t="shared" si="751"/>
        <v>7</v>
      </c>
      <c r="O2797" s="745">
        <v>0</v>
      </c>
      <c r="P2797" s="737">
        <v>7</v>
      </c>
      <c r="Q2797" s="752"/>
      <c r="R2797" s="752"/>
      <c r="S2797" s="752"/>
    </row>
    <row r="2798" spans="1:19" s="753" customFormat="1" ht="24" customHeight="1">
      <c r="A2798" s="734"/>
      <c r="B2798" s="747" t="s">
        <v>469</v>
      </c>
      <c r="C2798" s="735" t="s">
        <v>486</v>
      </c>
      <c r="D2798" s="735"/>
      <c r="E2798" s="737">
        <f t="shared" si="750"/>
        <v>1</v>
      </c>
      <c r="F2798" s="738" t="s">
        <v>363</v>
      </c>
      <c r="G2798" s="739">
        <v>552</v>
      </c>
      <c r="H2798" s="748">
        <f t="shared" si="746"/>
        <v>552</v>
      </c>
      <c r="I2798" s="741">
        <v>25</v>
      </c>
      <c r="J2798" s="749">
        <f t="shared" si="747"/>
        <v>25</v>
      </c>
      <c r="K2798" s="739">
        <f t="shared" si="748"/>
        <v>577</v>
      </c>
      <c r="L2798" s="1079"/>
      <c r="M2798" s="752"/>
      <c r="N2798" s="744">
        <f t="shared" si="751"/>
        <v>1</v>
      </c>
      <c r="O2798" s="745">
        <v>0</v>
      </c>
      <c r="P2798" s="737">
        <v>1</v>
      </c>
      <c r="Q2798" s="752"/>
      <c r="R2798" s="752"/>
      <c r="S2798" s="752"/>
    </row>
    <row r="2799" spans="1:19" s="753" customFormat="1" ht="24" customHeight="1">
      <c r="A2799" s="734"/>
      <c r="B2799" s="747" t="s">
        <v>469</v>
      </c>
      <c r="C2799" s="735" t="s">
        <v>507</v>
      </c>
      <c r="D2799" s="735"/>
      <c r="E2799" s="737">
        <f t="shared" si="750"/>
        <v>1</v>
      </c>
      <c r="F2799" s="738" t="s">
        <v>363</v>
      </c>
      <c r="G2799" s="739">
        <v>1650</v>
      </c>
      <c r="H2799" s="748">
        <f t="shared" si="746"/>
        <v>1650</v>
      </c>
      <c r="I2799" s="741">
        <v>70</v>
      </c>
      <c r="J2799" s="749">
        <f t="shared" si="747"/>
        <v>70</v>
      </c>
      <c r="K2799" s="739">
        <f t="shared" si="748"/>
        <v>1720</v>
      </c>
      <c r="L2799" s="1079"/>
      <c r="M2799" s="752"/>
      <c r="N2799" s="744">
        <f t="shared" si="751"/>
        <v>1</v>
      </c>
      <c r="O2799" s="745">
        <v>0</v>
      </c>
      <c r="P2799" s="737">
        <v>1</v>
      </c>
      <c r="Q2799" s="752"/>
      <c r="R2799" s="752"/>
      <c r="S2799" s="752"/>
    </row>
    <row r="2800" spans="1:19" s="753" customFormat="1" ht="24" customHeight="1">
      <c r="A2800" s="734"/>
      <c r="B2800" s="747" t="s">
        <v>469</v>
      </c>
      <c r="C2800" s="735" t="s">
        <v>508</v>
      </c>
      <c r="D2800" s="735"/>
      <c r="E2800" s="737">
        <f t="shared" si="750"/>
        <v>5</v>
      </c>
      <c r="F2800" s="738" t="s">
        <v>363</v>
      </c>
      <c r="G2800" s="739">
        <v>13500</v>
      </c>
      <c r="H2800" s="748">
        <f t="shared" si="746"/>
        <v>67500</v>
      </c>
      <c r="I2800" s="741">
        <v>750</v>
      </c>
      <c r="J2800" s="749">
        <f t="shared" si="747"/>
        <v>3750</v>
      </c>
      <c r="K2800" s="739">
        <f t="shared" si="748"/>
        <v>71250</v>
      </c>
      <c r="L2800" s="1079"/>
      <c r="M2800" s="752"/>
      <c r="N2800" s="744">
        <f t="shared" si="751"/>
        <v>5</v>
      </c>
      <c r="O2800" s="745">
        <v>0</v>
      </c>
      <c r="P2800" s="737">
        <v>5</v>
      </c>
      <c r="Q2800" s="752"/>
      <c r="R2800" s="752"/>
      <c r="S2800" s="752"/>
    </row>
    <row r="2801" spans="1:19" s="682" customFormat="1" ht="24" customHeight="1">
      <c r="A2801" s="734"/>
      <c r="B2801" s="747" t="s">
        <v>469</v>
      </c>
      <c r="C2801" s="735" t="s">
        <v>509</v>
      </c>
      <c r="D2801" s="735"/>
      <c r="E2801" s="737">
        <f t="shared" si="750"/>
        <v>1</v>
      </c>
      <c r="F2801" s="738" t="s">
        <v>363</v>
      </c>
      <c r="G2801" s="739">
        <v>14476</v>
      </c>
      <c r="H2801" s="748">
        <f t="shared" si="746"/>
        <v>14476</v>
      </c>
      <c r="I2801" s="741">
        <v>5367</v>
      </c>
      <c r="J2801" s="749">
        <f t="shared" si="747"/>
        <v>5367</v>
      </c>
      <c r="K2801" s="739">
        <f t="shared" si="748"/>
        <v>19843</v>
      </c>
      <c r="L2801" s="1079"/>
      <c r="M2801" s="679"/>
      <c r="N2801" s="744">
        <f t="shared" si="751"/>
        <v>1</v>
      </c>
      <c r="O2801" s="745">
        <v>0</v>
      </c>
      <c r="P2801" s="737">
        <v>1</v>
      </c>
      <c r="Q2801" s="679"/>
      <c r="R2801" s="679"/>
      <c r="S2801" s="679"/>
    </row>
    <row r="2802" spans="1:19" s="753" customFormat="1" ht="24" customHeight="1">
      <c r="A2802" s="734"/>
      <c r="B2802" s="747" t="s">
        <v>469</v>
      </c>
      <c r="C2802" s="735" t="s">
        <v>510</v>
      </c>
      <c r="D2802" s="735"/>
      <c r="E2802" s="737">
        <f t="shared" si="750"/>
        <v>4.1500000000000004</v>
      </c>
      <c r="F2802" s="738" t="s">
        <v>361</v>
      </c>
      <c r="G2802" s="739">
        <v>2694</v>
      </c>
      <c r="H2802" s="748">
        <f t="shared" si="746"/>
        <v>11180.1</v>
      </c>
      <c r="I2802" s="741">
        <v>1288</v>
      </c>
      <c r="J2802" s="749">
        <f t="shared" si="747"/>
        <v>5345.2000000000007</v>
      </c>
      <c r="K2802" s="739">
        <f t="shared" si="748"/>
        <v>16525.300000000003</v>
      </c>
      <c r="L2802" s="1079"/>
      <c r="M2802" s="752"/>
      <c r="N2802" s="744">
        <f t="shared" si="751"/>
        <v>4.1500000000000004</v>
      </c>
      <c r="O2802" s="745">
        <v>0</v>
      </c>
      <c r="P2802" s="737">
        <v>4.1500000000000004</v>
      </c>
      <c r="Q2802" s="752"/>
      <c r="R2802" s="752"/>
      <c r="S2802" s="752"/>
    </row>
    <row r="2803" spans="1:19" s="753" customFormat="1" ht="24" customHeight="1">
      <c r="A2803" s="734"/>
      <c r="B2803" s="747"/>
      <c r="C2803" s="735" t="s">
        <v>511</v>
      </c>
      <c r="D2803" s="735"/>
      <c r="E2803" s="737">
        <f t="shared" si="750"/>
        <v>0</v>
      </c>
      <c r="F2803" s="738"/>
      <c r="G2803" s="739"/>
      <c r="H2803" s="748">
        <f t="shared" si="746"/>
        <v>0</v>
      </c>
      <c r="I2803" s="741"/>
      <c r="J2803" s="749">
        <f t="shared" si="747"/>
        <v>0</v>
      </c>
      <c r="K2803" s="739">
        <f t="shared" si="748"/>
        <v>0</v>
      </c>
      <c r="L2803" s="1079"/>
      <c r="M2803" s="752"/>
      <c r="N2803" s="744">
        <f t="shared" si="751"/>
        <v>0</v>
      </c>
      <c r="O2803" s="745">
        <v>0</v>
      </c>
      <c r="P2803" s="737">
        <v>0</v>
      </c>
      <c r="Q2803" s="752"/>
      <c r="R2803" s="752"/>
      <c r="S2803" s="752"/>
    </row>
    <row r="2804" spans="1:19" s="753" customFormat="1" ht="24" customHeight="1">
      <c r="A2804" s="734"/>
      <c r="B2804" s="747" t="s">
        <v>469</v>
      </c>
      <c r="C2804" s="735" t="s">
        <v>512</v>
      </c>
      <c r="D2804" s="735"/>
      <c r="E2804" s="737">
        <f t="shared" si="750"/>
        <v>4.1500000000000004</v>
      </c>
      <c r="F2804" s="738" t="s">
        <v>361</v>
      </c>
      <c r="G2804" s="739">
        <v>3886</v>
      </c>
      <c r="H2804" s="748">
        <f t="shared" si="746"/>
        <v>16126.900000000001</v>
      </c>
      <c r="I2804" s="741">
        <v>1238</v>
      </c>
      <c r="J2804" s="749">
        <f t="shared" si="747"/>
        <v>5137.7000000000007</v>
      </c>
      <c r="K2804" s="739">
        <f t="shared" si="748"/>
        <v>21264.600000000002</v>
      </c>
      <c r="L2804" s="1079"/>
      <c r="M2804" s="752"/>
      <c r="N2804" s="744">
        <f t="shared" si="751"/>
        <v>4.1500000000000004</v>
      </c>
      <c r="O2804" s="745">
        <v>0</v>
      </c>
      <c r="P2804" s="737">
        <v>4.1500000000000004</v>
      </c>
      <c r="Q2804" s="752"/>
      <c r="R2804" s="752"/>
      <c r="S2804" s="752"/>
    </row>
    <row r="2805" spans="1:19" s="753" customFormat="1" ht="24" customHeight="1">
      <c r="A2805" s="734"/>
      <c r="B2805" s="747"/>
      <c r="C2805" s="735" t="s">
        <v>513</v>
      </c>
      <c r="D2805" s="735"/>
      <c r="E2805" s="737">
        <f t="shared" si="750"/>
        <v>0</v>
      </c>
      <c r="F2805" s="738"/>
      <c r="G2805" s="739">
        <v>0</v>
      </c>
      <c r="H2805" s="748">
        <f t="shared" si="746"/>
        <v>0</v>
      </c>
      <c r="I2805" s="741">
        <v>0</v>
      </c>
      <c r="J2805" s="749">
        <f t="shared" si="747"/>
        <v>0</v>
      </c>
      <c r="K2805" s="739">
        <f t="shared" si="748"/>
        <v>0</v>
      </c>
      <c r="L2805" s="1079"/>
      <c r="M2805" s="752"/>
      <c r="N2805" s="744">
        <f t="shared" si="751"/>
        <v>0</v>
      </c>
      <c r="O2805" s="745">
        <v>0</v>
      </c>
      <c r="P2805" s="737">
        <v>0</v>
      </c>
      <c r="Q2805" s="752"/>
      <c r="R2805" s="752"/>
      <c r="S2805" s="752"/>
    </row>
    <row r="2806" spans="1:19" s="753" customFormat="1" ht="24" customHeight="1">
      <c r="A2806" s="734"/>
      <c r="B2806" s="747" t="s">
        <v>469</v>
      </c>
      <c r="C2806" s="735" t="s">
        <v>514</v>
      </c>
      <c r="D2806" s="735"/>
      <c r="E2806" s="737">
        <f t="shared" si="750"/>
        <v>7.1</v>
      </c>
      <c r="F2806" s="738" t="s">
        <v>361</v>
      </c>
      <c r="G2806" s="739">
        <v>1522</v>
      </c>
      <c r="H2806" s="748">
        <f t="shared" si="746"/>
        <v>10806.199999999999</v>
      </c>
      <c r="I2806" s="741">
        <v>315</v>
      </c>
      <c r="J2806" s="749">
        <f t="shared" si="747"/>
        <v>2236.5</v>
      </c>
      <c r="K2806" s="739">
        <f t="shared" si="748"/>
        <v>13042.699999999999</v>
      </c>
      <c r="L2806" s="1079"/>
      <c r="M2806" s="752"/>
      <c r="N2806" s="744">
        <f t="shared" si="751"/>
        <v>7.1</v>
      </c>
      <c r="O2806" s="745">
        <v>0</v>
      </c>
      <c r="P2806" s="737">
        <v>7.1</v>
      </c>
      <c r="Q2806" s="752"/>
      <c r="R2806" s="752"/>
      <c r="S2806" s="752"/>
    </row>
    <row r="2807" spans="1:19" s="753" customFormat="1" ht="24" customHeight="1">
      <c r="A2807" s="734"/>
      <c r="B2807" s="747"/>
      <c r="C2807" s="735"/>
      <c r="D2807" s="735"/>
      <c r="E2807" s="737">
        <f t="shared" si="750"/>
        <v>0</v>
      </c>
      <c r="F2807" s="738"/>
      <c r="G2807" s="739">
        <v>0</v>
      </c>
      <c r="H2807" s="748">
        <f t="shared" si="746"/>
        <v>0</v>
      </c>
      <c r="I2807" s="741">
        <v>0</v>
      </c>
      <c r="J2807" s="749">
        <f t="shared" si="747"/>
        <v>0</v>
      </c>
      <c r="K2807" s="739">
        <f t="shared" si="748"/>
        <v>0</v>
      </c>
      <c r="L2807" s="1079"/>
      <c r="M2807" s="752"/>
      <c r="N2807" s="744">
        <f t="shared" si="751"/>
        <v>0</v>
      </c>
      <c r="O2807" s="745">
        <v>0</v>
      </c>
      <c r="P2807" s="737">
        <v>0</v>
      </c>
      <c r="Q2807" s="752"/>
      <c r="R2807" s="752"/>
      <c r="S2807" s="752"/>
    </row>
    <row r="2808" spans="1:19" s="682" customFormat="1" ht="24" customHeight="1">
      <c r="A2808" s="734"/>
      <c r="B2808" s="747" t="s">
        <v>469</v>
      </c>
      <c r="C2808" s="735" t="s">
        <v>515</v>
      </c>
      <c r="D2808" s="735"/>
      <c r="E2808" s="737">
        <f t="shared" si="750"/>
        <v>1</v>
      </c>
      <c r="F2808" s="738" t="s">
        <v>363</v>
      </c>
      <c r="G2808" s="739">
        <v>5013</v>
      </c>
      <c r="H2808" s="748">
        <f t="shared" si="746"/>
        <v>5013</v>
      </c>
      <c r="I2808" s="741">
        <v>2403</v>
      </c>
      <c r="J2808" s="749">
        <f t="shared" si="747"/>
        <v>2403</v>
      </c>
      <c r="K2808" s="739">
        <f t="shared" si="748"/>
        <v>7416</v>
      </c>
      <c r="L2808" s="1079"/>
      <c r="M2808" s="679"/>
      <c r="N2808" s="744">
        <f t="shared" si="751"/>
        <v>1</v>
      </c>
      <c r="O2808" s="745">
        <v>0</v>
      </c>
      <c r="P2808" s="737">
        <v>1</v>
      </c>
      <c r="Q2808" s="679"/>
      <c r="R2808" s="679"/>
      <c r="S2808" s="679"/>
    </row>
    <row r="2809" spans="1:19" s="682" customFormat="1" ht="24" customHeight="1">
      <c r="A2809" s="734"/>
      <c r="B2809" s="747"/>
      <c r="C2809" s="735" t="s">
        <v>516</v>
      </c>
      <c r="D2809" s="735"/>
      <c r="E2809" s="737">
        <f t="shared" si="750"/>
        <v>0</v>
      </c>
      <c r="F2809" s="738"/>
      <c r="G2809" s="739"/>
      <c r="H2809" s="748">
        <f t="shared" si="746"/>
        <v>0</v>
      </c>
      <c r="I2809" s="741"/>
      <c r="J2809" s="749">
        <f t="shared" si="747"/>
        <v>0</v>
      </c>
      <c r="K2809" s="739">
        <f t="shared" si="748"/>
        <v>0</v>
      </c>
      <c r="L2809" s="1079"/>
      <c r="M2809" s="679"/>
      <c r="N2809" s="744">
        <f t="shared" si="751"/>
        <v>0</v>
      </c>
      <c r="O2809" s="745">
        <v>0</v>
      </c>
      <c r="P2809" s="737">
        <v>0</v>
      </c>
      <c r="Q2809" s="679"/>
      <c r="R2809" s="679"/>
      <c r="S2809" s="679"/>
    </row>
    <row r="2810" spans="1:19" s="682" customFormat="1" ht="24" customHeight="1">
      <c r="A2810" s="734"/>
      <c r="B2810" s="747"/>
      <c r="C2810" s="735"/>
      <c r="D2810" s="735"/>
      <c r="E2810" s="737">
        <f t="shared" si="750"/>
        <v>0</v>
      </c>
      <c r="F2810" s="738"/>
      <c r="G2810" s="739"/>
      <c r="H2810" s="748">
        <f t="shared" si="746"/>
        <v>0</v>
      </c>
      <c r="I2810" s="741"/>
      <c r="J2810" s="749">
        <f t="shared" si="747"/>
        <v>0</v>
      </c>
      <c r="K2810" s="739">
        <f t="shared" si="748"/>
        <v>0</v>
      </c>
      <c r="L2810" s="1079"/>
      <c r="M2810" s="679"/>
      <c r="N2810" s="744">
        <f t="shared" si="751"/>
        <v>0</v>
      </c>
      <c r="O2810" s="745">
        <v>0</v>
      </c>
      <c r="P2810" s="737">
        <v>0</v>
      </c>
      <c r="Q2810" s="679"/>
      <c r="R2810" s="679"/>
      <c r="S2810" s="679"/>
    </row>
    <row r="2811" spans="1:19" s="756" customFormat="1" ht="24" customHeight="1">
      <c r="A2811" s="734"/>
      <c r="B2811" s="747" t="s">
        <v>469</v>
      </c>
      <c r="C2811" s="735" t="s">
        <v>517</v>
      </c>
      <c r="D2811" s="907"/>
      <c r="E2811" s="737">
        <f t="shared" si="750"/>
        <v>0</v>
      </c>
      <c r="F2811" s="738" t="s">
        <v>361</v>
      </c>
      <c r="G2811" s="739">
        <v>5075.5555555555557</v>
      </c>
      <c r="H2811" s="748">
        <f t="shared" si="746"/>
        <v>0</v>
      </c>
      <c r="I2811" s="741">
        <v>2545.7777777777778</v>
      </c>
      <c r="J2811" s="749">
        <f t="shared" si="747"/>
        <v>0</v>
      </c>
      <c r="K2811" s="739">
        <f t="shared" si="748"/>
        <v>0</v>
      </c>
      <c r="L2811" s="1079"/>
      <c r="M2811" s="755"/>
      <c r="N2811" s="744">
        <f t="shared" si="751"/>
        <v>0</v>
      </c>
      <c r="O2811" s="745">
        <v>0</v>
      </c>
      <c r="P2811" s="737">
        <v>0</v>
      </c>
      <c r="Q2811" s="755"/>
      <c r="R2811" s="755"/>
      <c r="S2811" s="755"/>
    </row>
    <row r="2812" spans="1:19" s="756" customFormat="1" ht="24" customHeight="1">
      <c r="A2812" s="734"/>
      <c r="B2812" s="747"/>
      <c r="C2812" s="735" t="s">
        <v>488</v>
      </c>
      <c r="D2812" s="907"/>
      <c r="E2812" s="737">
        <f t="shared" si="750"/>
        <v>0</v>
      </c>
      <c r="F2812" s="738"/>
      <c r="G2812" s="739">
        <v>0</v>
      </c>
      <c r="H2812" s="748">
        <f t="shared" si="746"/>
        <v>0</v>
      </c>
      <c r="I2812" s="741">
        <v>0</v>
      </c>
      <c r="J2812" s="749">
        <f t="shared" si="747"/>
        <v>0</v>
      </c>
      <c r="K2812" s="739">
        <f t="shared" si="748"/>
        <v>0</v>
      </c>
      <c r="L2812" s="1079"/>
      <c r="M2812" s="755"/>
      <c r="N2812" s="744">
        <f t="shared" si="751"/>
        <v>0</v>
      </c>
      <c r="O2812" s="745">
        <v>0</v>
      </c>
      <c r="P2812" s="737">
        <v>0</v>
      </c>
      <c r="Q2812" s="755"/>
      <c r="R2812" s="755"/>
      <c r="S2812" s="755"/>
    </row>
    <row r="2813" spans="1:19" s="753" customFormat="1" ht="24" customHeight="1">
      <c r="A2813" s="734"/>
      <c r="B2813" s="747" t="s">
        <v>469</v>
      </c>
      <c r="C2813" s="735" t="s">
        <v>518</v>
      </c>
      <c r="D2813" s="735"/>
      <c r="E2813" s="737">
        <f t="shared" si="750"/>
        <v>0</v>
      </c>
      <c r="F2813" s="738" t="s">
        <v>361</v>
      </c>
      <c r="G2813" s="739">
        <v>3886</v>
      </c>
      <c r="H2813" s="748">
        <f t="shared" si="746"/>
        <v>0</v>
      </c>
      <c r="I2813" s="741">
        <v>1238</v>
      </c>
      <c r="J2813" s="749">
        <f t="shared" si="747"/>
        <v>0</v>
      </c>
      <c r="K2813" s="739">
        <f t="shared" si="748"/>
        <v>0</v>
      </c>
      <c r="L2813" s="1079"/>
      <c r="M2813" s="752"/>
      <c r="N2813" s="744">
        <f t="shared" si="751"/>
        <v>0</v>
      </c>
      <c r="O2813" s="745">
        <v>0</v>
      </c>
      <c r="P2813" s="737">
        <v>0</v>
      </c>
      <c r="Q2813" s="752"/>
      <c r="R2813" s="752"/>
      <c r="S2813" s="752"/>
    </row>
    <row r="2814" spans="1:19" s="753" customFormat="1" ht="24" customHeight="1">
      <c r="A2814" s="734"/>
      <c r="B2814" s="747"/>
      <c r="C2814" s="735" t="s">
        <v>513</v>
      </c>
      <c r="D2814" s="735"/>
      <c r="E2814" s="737">
        <f t="shared" si="750"/>
        <v>0</v>
      </c>
      <c r="F2814" s="738"/>
      <c r="G2814" s="739">
        <v>0</v>
      </c>
      <c r="H2814" s="748">
        <f t="shared" si="746"/>
        <v>0</v>
      </c>
      <c r="I2814" s="741">
        <v>0</v>
      </c>
      <c r="J2814" s="749">
        <f t="shared" si="747"/>
        <v>0</v>
      </c>
      <c r="K2814" s="739">
        <f t="shared" si="748"/>
        <v>0</v>
      </c>
      <c r="L2814" s="1079"/>
      <c r="M2814" s="752"/>
      <c r="N2814" s="744">
        <f t="shared" si="751"/>
        <v>0</v>
      </c>
      <c r="O2814" s="745">
        <v>0</v>
      </c>
      <c r="P2814" s="737">
        <v>0</v>
      </c>
      <c r="Q2814" s="752"/>
      <c r="R2814" s="752"/>
      <c r="S2814" s="752"/>
    </row>
    <row r="2815" spans="1:19" s="682" customFormat="1" ht="24" customHeight="1">
      <c r="A2815" s="734"/>
      <c r="B2815" s="747" t="s">
        <v>469</v>
      </c>
      <c r="C2815" s="735" t="s">
        <v>519</v>
      </c>
      <c r="D2815" s="735"/>
      <c r="E2815" s="737">
        <f t="shared" si="750"/>
        <v>1</v>
      </c>
      <c r="F2815" s="738" t="s">
        <v>363</v>
      </c>
      <c r="G2815" s="739">
        <v>800</v>
      </c>
      <c r="H2815" s="748">
        <f t="shared" si="746"/>
        <v>800</v>
      </c>
      <c r="I2815" s="741">
        <v>70</v>
      </c>
      <c r="J2815" s="749">
        <f t="shared" si="747"/>
        <v>70</v>
      </c>
      <c r="K2815" s="739">
        <f t="shared" si="748"/>
        <v>870</v>
      </c>
      <c r="L2815" s="1079"/>
      <c r="M2815" s="679"/>
      <c r="N2815" s="744">
        <f t="shared" si="751"/>
        <v>1</v>
      </c>
      <c r="O2815" s="745">
        <v>0</v>
      </c>
      <c r="P2815" s="737">
        <v>1</v>
      </c>
      <c r="Q2815" s="679"/>
      <c r="R2815" s="679"/>
      <c r="S2815" s="679"/>
    </row>
    <row r="2816" spans="1:19" s="682" customFormat="1" ht="24" customHeight="1">
      <c r="A2816" s="734"/>
      <c r="B2816" s="747" t="s">
        <v>469</v>
      </c>
      <c r="C2816" s="735" t="s">
        <v>520</v>
      </c>
      <c r="D2816" s="735"/>
      <c r="E2816" s="737">
        <f t="shared" si="750"/>
        <v>0</v>
      </c>
      <c r="F2816" s="738" t="s">
        <v>361</v>
      </c>
      <c r="G2816" s="739">
        <v>190</v>
      </c>
      <c r="H2816" s="748">
        <f t="shared" si="746"/>
        <v>0</v>
      </c>
      <c r="I2816" s="741">
        <v>75</v>
      </c>
      <c r="J2816" s="749">
        <f t="shared" si="747"/>
        <v>0</v>
      </c>
      <c r="K2816" s="739">
        <f t="shared" si="748"/>
        <v>0</v>
      </c>
      <c r="L2816" s="1079"/>
      <c r="M2816" s="679"/>
      <c r="N2816" s="744">
        <f t="shared" si="751"/>
        <v>0</v>
      </c>
      <c r="O2816" s="745">
        <v>0</v>
      </c>
      <c r="P2816" s="737">
        <v>0</v>
      </c>
      <c r="Q2816" s="679"/>
      <c r="R2816" s="679"/>
      <c r="S2816" s="679"/>
    </row>
    <row r="2817" spans="1:19" s="682" customFormat="1" ht="24" customHeight="1">
      <c r="A2817" s="734"/>
      <c r="B2817" s="747"/>
      <c r="C2817" s="735"/>
      <c r="D2817" s="735"/>
      <c r="E2817" s="737">
        <f t="shared" si="750"/>
        <v>0</v>
      </c>
      <c r="F2817" s="738"/>
      <c r="G2817" s="739"/>
      <c r="H2817" s="748">
        <f t="shared" si="746"/>
        <v>0</v>
      </c>
      <c r="I2817" s="741"/>
      <c r="J2817" s="749">
        <f t="shared" si="747"/>
        <v>0</v>
      </c>
      <c r="K2817" s="739">
        <f t="shared" si="748"/>
        <v>0</v>
      </c>
      <c r="L2817" s="1079"/>
      <c r="M2817" s="679"/>
      <c r="N2817" s="744">
        <f t="shared" si="751"/>
        <v>0</v>
      </c>
      <c r="O2817" s="745">
        <v>0</v>
      </c>
      <c r="P2817" s="737">
        <v>0</v>
      </c>
      <c r="Q2817" s="679"/>
      <c r="R2817" s="679"/>
      <c r="S2817" s="679"/>
    </row>
    <row r="2818" spans="1:19" s="753" customFormat="1" ht="24" customHeight="1">
      <c r="A2818" s="734"/>
      <c r="B2818" s="735" t="s">
        <v>1073</v>
      </c>
      <c r="C2818" s="735"/>
      <c r="D2818" s="907"/>
      <c r="E2818" s="737">
        <f t="shared" si="750"/>
        <v>0</v>
      </c>
      <c r="F2818" s="738"/>
      <c r="G2818" s="739">
        <v>0</v>
      </c>
      <c r="H2818" s="748">
        <f t="shared" si="746"/>
        <v>0</v>
      </c>
      <c r="I2818" s="741">
        <v>0</v>
      </c>
      <c r="J2818" s="749">
        <f t="shared" si="747"/>
        <v>0</v>
      </c>
      <c r="K2818" s="739">
        <f t="shared" si="748"/>
        <v>0</v>
      </c>
      <c r="L2818" s="1079"/>
      <c r="M2818" s="752"/>
      <c r="N2818" s="744">
        <f t="shared" si="751"/>
        <v>0</v>
      </c>
      <c r="O2818" s="745">
        <v>0</v>
      </c>
      <c r="P2818" s="737">
        <v>0</v>
      </c>
      <c r="Q2818" s="752"/>
      <c r="R2818" s="752"/>
      <c r="S2818" s="752"/>
    </row>
    <row r="2819" spans="1:19" s="753" customFormat="1" ht="24" customHeight="1">
      <c r="A2819" s="734"/>
      <c r="B2819" s="747" t="s">
        <v>469</v>
      </c>
      <c r="C2819" s="735" t="s">
        <v>497</v>
      </c>
      <c r="D2819" s="735"/>
      <c r="E2819" s="737">
        <f t="shared" si="750"/>
        <v>6</v>
      </c>
      <c r="F2819" s="738" t="s">
        <v>363</v>
      </c>
      <c r="G2819" s="739">
        <v>1540</v>
      </c>
      <c r="H2819" s="748">
        <f t="shared" si="746"/>
        <v>9240</v>
      </c>
      <c r="I2819" s="741">
        <v>450</v>
      </c>
      <c r="J2819" s="749">
        <f t="shared" si="747"/>
        <v>2700</v>
      </c>
      <c r="K2819" s="739">
        <f t="shared" si="748"/>
        <v>11940</v>
      </c>
      <c r="L2819" s="1079"/>
      <c r="M2819" s="752"/>
      <c r="N2819" s="744">
        <f t="shared" si="751"/>
        <v>6</v>
      </c>
      <c r="O2819" s="745">
        <v>0</v>
      </c>
      <c r="P2819" s="737">
        <v>6</v>
      </c>
      <c r="Q2819" s="752"/>
      <c r="R2819" s="752"/>
      <c r="S2819" s="752"/>
    </row>
    <row r="2820" spans="1:19" s="753" customFormat="1" ht="24" customHeight="1">
      <c r="A2820" s="734"/>
      <c r="B2820" s="747" t="s">
        <v>469</v>
      </c>
      <c r="C2820" s="735" t="s">
        <v>498</v>
      </c>
      <c r="D2820" s="735"/>
      <c r="E2820" s="737">
        <f t="shared" si="750"/>
        <v>6</v>
      </c>
      <c r="F2820" s="738" t="s">
        <v>363</v>
      </c>
      <c r="G2820" s="739">
        <v>6640</v>
      </c>
      <c r="H2820" s="748">
        <f t="shared" si="746"/>
        <v>39840</v>
      </c>
      <c r="I2820" s="741">
        <v>200</v>
      </c>
      <c r="J2820" s="749">
        <f t="shared" si="747"/>
        <v>1200</v>
      </c>
      <c r="K2820" s="739">
        <f t="shared" si="748"/>
        <v>41040</v>
      </c>
      <c r="L2820" s="1079"/>
      <c r="M2820" s="752"/>
      <c r="N2820" s="744">
        <f t="shared" si="751"/>
        <v>6</v>
      </c>
      <c r="O2820" s="745">
        <v>0</v>
      </c>
      <c r="P2820" s="737">
        <v>6</v>
      </c>
      <c r="Q2820" s="752"/>
      <c r="R2820" s="752"/>
      <c r="S2820" s="752"/>
    </row>
    <row r="2821" spans="1:19" s="753" customFormat="1" ht="24" customHeight="1">
      <c r="A2821" s="734"/>
      <c r="B2821" s="747" t="s">
        <v>469</v>
      </c>
      <c r="C2821" s="735" t="s">
        <v>476</v>
      </c>
      <c r="D2821" s="735"/>
      <c r="E2821" s="737">
        <f t="shared" si="750"/>
        <v>6</v>
      </c>
      <c r="F2821" s="738" t="s">
        <v>363</v>
      </c>
      <c r="G2821" s="739">
        <v>336</v>
      </c>
      <c r="H2821" s="748">
        <f t="shared" si="746"/>
        <v>2016</v>
      </c>
      <c r="I2821" s="741">
        <v>0</v>
      </c>
      <c r="J2821" s="749">
        <f t="shared" si="747"/>
        <v>0</v>
      </c>
      <c r="K2821" s="739">
        <f t="shared" si="748"/>
        <v>2016</v>
      </c>
      <c r="L2821" s="1079"/>
      <c r="M2821" s="752"/>
      <c r="N2821" s="744">
        <f t="shared" si="751"/>
        <v>6</v>
      </c>
      <c r="O2821" s="745">
        <v>0</v>
      </c>
      <c r="P2821" s="737">
        <v>6</v>
      </c>
      <c r="Q2821" s="752"/>
      <c r="R2821" s="752"/>
      <c r="S2821" s="752"/>
    </row>
    <row r="2822" spans="1:19" s="753" customFormat="1" ht="24" customHeight="1">
      <c r="A2822" s="734"/>
      <c r="B2822" s="747" t="s">
        <v>469</v>
      </c>
      <c r="C2822" s="735" t="s">
        <v>477</v>
      </c>
      <c r="D2822" s="735"/>
      <c r="E2822" s="737">
        <f t="shared" si="750"/>
        <v>6</v>
      </c>
      <c r="F2822" s="738" t="s">
        <v>363</v>
      </c>
      <c r="G2822" s="739">
        <v>736</v>
      </c>
      <c r="H2822" s="748">
        <f t="shared" si="746"/>
        <v>4416</v>
      </c>
      <c r="I2822" s="741">
        <v>0</v>
      </c>
      <c r="J2822" s="749">
        <f t="shared" si="747"/>
        <v>0</v>
      </c>
      <c r="K2822" s="739">
        <f t="shared" si="748"/>
        <v>4416</v>
      </c>
      <c r="L2822" s="1079"/>
      <c r="M2822" s="752"/>
      <c r="N2822" s="744">
        <f t="shared" si="751"/>
        <v>6</v>
      </c>
      <c r="O2822" s="745">
        <v>0</v>
      </c>
      <c r="P2822" s="737">
        <v>6</v>
      </c>
      <c r="Q2822" s="752"/>
      <c r="R2822" s="752"/>
      <c r="S2822" s="752"/>
    </row>
    <row r="2823" spans="1:19" s="753" customFormat="1" ht="24" customHeight="1">
      <c r="A2823" s="734"/>
      <c r="B2823" s="747" t="s">
        <v>469</v>
      </c>
      <c r="C2823" s="735" t="s">
        <v>478</v>
      </c>
      <c r="D2823" s="735"/>
      <c r="E2823" s="737">
        <f t="shared" si="750"/>
        <v>6</v>
      </c>
      <c r="F2823" s="738" t="s">
        <v>363</v>
      </c>
      <c r="G2823" s="739">
        <v>176</v>
      </c>
      <c r="H2823" s="748">
        <f t="shared" si="746"/>
        <v>1056</v>
      </c>
      <c r="I2823" s="741">
        <v>0</v>
      </c>
      <c r="J2823" s="749">
        <f t="shared" si="747"/>
        <v>0</v>
      </c>
      <c r="K2823" s="739">
        <f t="shared" si="748"/>
        <v>1056</v>
      </c>
      <c r="L2823" s="1079"/>
      <c r="M2823" s="752"/>
      <c r="N2823" s="744">
        <f t="shared" si="751"/>
        <v>6</v>
      </c>
      <c r="O2823" s="745">
        <v>0</v>
      </c>
      <c r="P2823" s="737">
        <v>6</v>
      </c>
      <c r="Q2823" s="752"/>
      <c r="R2823" s="752"/>
      <c r="S2823" s="752"/>
    </row>
    <row r="2824" spans="1:19" s="753" customFormat="1" ht="24" customHeight="1">
      <c r="A2824" s="734"/>
      <c r="B2824" s="747" t="s">
        <v>469</v>
      </c>
      <c r="C2824" s="735" t="s">
        <v>499</v>
      </c>
      <c r="D2824" s="735"/>
      <c r="E2824" s="737">
        <f t="shared" si="750"/>
        <v>6</v>
      </c>
      <c r="F2824" s="738" t="s">
        <v>363</v>
      </c>
      <c r="G2824" s="739">
        <v>216</v>
      </c>
      <c r="H2824" s="748">
        <f t="shared" si="746"/>
        <v>1296</v>
      </c>
      <c r="I2824" s="741">
        <v>35</v>
      </c>
      <c r="J2824" s="749">
        <f t="shared" si="747"/>
        <v>210</v>
      </c>
      <c r="K2824" s="739">
        <f t="shared" si="748"/>
        <v>1506</v>
      </c>
      <c r="L2824" s="1079"/>
      <c r="M2824" s="752"/>
      <c r="N2824" s="744">
        <f t="shared" si="751"/>
        <v>6</v>
      </c>
      <c r="O2824" s="745">
        <v>0</v>
      </c>
      <c r="P2824" s="737">
        <v>6</v>
      </c>
      <c r="Q2824" s="752"/>
      <c r="R2824" s="752"/>
      <c r="S2824" s="752"/>
    </row>
    <row r="2825" spans="1:19" s="753" customFormat="1" ht="24" customHeight="1">
      <c r="A2825" s="734"/>
      <c r="B2825" s="747"/>
      <c r="C2825" s="736"/>
      <c r="D2825" s="907"/>
      <c r="E2825" s="737">
        <f t="shared" si="750"/>
        <v>0</v>
      </c>
      <c r="F2825" s="738"/>
      <c r="G2825" s="739">
        <v>0</v>
      </c>
      <c r="H2825" s="748">
        <f t="shared" si="746"/>
        <v>0</v>
      </c>
      <c r="I2825" s="741">
        <v>0</v>
      </c>
      <c r="J2825" s="749">
        <f t="shared" si="747"/>
        <v>0</v>
      </c>
      <c r="K2825" s="739">
        <f t="shared" si="748"/>
        <v>0</v>
      </c>
      <c r="L2825" s="1079"/>
      <c r="M2825" s="752"/>
      <c r="N2825" s="744">
        <f t="shared" si="751"/>
        <v>0</v>
      </c>
      <c r="O2825" s="745">
        <v>0</v>
      </c>
      <c r="P2825" s="737">
        <v>0</v>
      </c>
      <c r="Q2825" s="752"/>
      <c r="R2825" s="752"/>
      <c r="S2825" s="752"/>
    </row>
    <row r="2826" spans="1:19" s="753" customFormat="1" ht="24" customHeight="1">
      <c r="A2826" s="734"/>
      <c r="B2826" s="747" t="s">
        <v>469</v>
      </c>
      <c r="C2826" s="735" t="s">
        <v>492</v>
      </c>
      <c r="D2826" s="735"/>
      <c r="E2826" s="737">
        <f t="shared" si="750"/>
        <v>10</v>
      </c>
      <c r="F2826" s="738" t="s">
        <v>363</v>
      </c>
      <c r="G2826" s="739">
        <v>9375</v>
      </c>
      <c r="H2826" s="748">
        <f t="shared" si="746"/>
        <v>93750</v>
      </c>
      <c r="I2826" s="741">
        <v>450</v>
      </c>
      <c r="J2826" s="749">
        <f t="shared" si="747"/>
        <v>4500</v>
      </c>
      <c r="K2826" s="739">
        <f t="shared" si="748"/>
        <v>98250</v>
      </c>
      <c r="L2826" s="1079"/>
      <c r="M2826" s="752"/>
      <c r="N2826" s="744">
        <f t="shared" si="751"/>
        <v>10</v>
      </c>
      <c r="O2826" s="745">
        <v>0</v>
      </c>
      <c r="P2826" s="737">
        <v>10</v>
      </c>
      <c r="Q2826" s="752"/>
      <c r="R2826" s="752"/>
      <c r="S2826" s="752"/>
    </row>
    <row r="2827" spans="1:19" s="753" customFormat="1" ht="24" customHeight="1">
      <c r="A2827" s="734"/>
      <c r="B2827" s="747" t="s">
        <v>469</v>
      </c>
      <c r="C2827" s="735" t="s">
        <v>500</v>
      </c>
      <c r="D2827" s="735"/>
      <c r="E2827" s="737">
        <f t="shared" si="750"/>
        <v>10</v>
      </c>
      <c r="F2827" s="738" t="s">
        <v>363</v>
      </c>
      <c r="G2827" s="739">
        <v>12752</v>
      </c>
      <c r="H2827" s="748">
        <f t="shared" si="746"/>
        <v>127520</v>
      </c>
      <c r="I2827" s="741">
        <v>0</v>
      </c>
      <c r="J2827" s="749">
        <f t="shared" si="747"/>
        <v>0</v>
      </c>
      <c r="K2827" s="739">
        <f t="shared" si="748"/>
        <v>127520</v>
      </c>
      <c r="L2827" s="1079"/>
      <c r="M2827" s="752"/>
      <c r="N2827" s="744">
        <f t="shared" si="751"/>
        <v>10</v>
      </c>
      <c r="O2827" s="745">
        <v>0</v>
      </c>
      <c r="P2827" s="737">
        <v>10</v>
      </c>
      <c r="Q2827" s="752"/>
      <c r="R2827" s="752"/>
      <c r="S2827" s="752"/>
    </row>
    <row r="2828" spans="1:19" s="753" customFormat="1" ht="24" customHeight="1">
      <c r="A2828" s="734"/>
      <c r="B2828" s="747" t="s">
        <v>469</v>
      </c>
      <c r="C2828" s="735" t="s">
        <v>501</v>
      </c>
      <c r="D2828" s="735"/>
      <c r="E2828" s="737">
        <v>0</v>
      </c>
      <c r="F2828" s="738" t="s">
        <v>363</v>
      </c>
      <c r="G2828" s="739">
        <v>1950</v>
      </c>
      <c r="H2828" s="748">
        <f t="shared" si="746"/>
        <v>0</v>
      </c>
      <c r="I2828" s="741">
        <v>35</v>
      </c>
      <c r="J2828" s="749">
        <f t="shared" si="747"/>
        <v>0</v>
      </c>
      <c r="K2828" s="739">
        <f t="shared" si="748"/>
        <v>0</v>
      </c>
      <c r="L2828" s="1079"/>
      <c r="M2828" s="752"/>
      <c r="N2828" s="744">
        <f t="shared" si="751"/>
        <v>10</v>
      </c>
      <c r="O2828" s="745">
        <v>0</v>
      </c>
      <c r="P2828" s="737">
        <v>10</v>
      </c>
      <c r="Q2828" s="752"/>
      <c r="R2828" s="752"/>
      <c r="S2828" s="752"/>
    </row>
    <row r="2829" spans="1:19" s="753" customFormat="1" ht="24" customHeight="1">
      <c r="A2829" s="734"/>
      <c r="B2829" s="747" t="s">
        <v>469</v>
      </c>
      <c r="C2829" s="735" t="s">
        <v>502</v>
      </c>
      <c r="D2829" s="735"/>
      <c r="E2829" s="737">
        <f t="shared" si="750"/>
        <v>10</v>
      </c>
      <c r="F2829" s="738" t="s">
        <v>363</v>
      </c>
      <c r="G2829" s="739">
        <v>216</v>
      </c>
      <c r="H2829" s="748">
        <f t="shared" si="746"/>
        <v>2160</v>
      </c>
      <c r="I2829" s="741">
        <v>35</v>
      </c>
      <c r="J2829" s="749">
        <f t="shared" si="747"/>
        <v>350</v>
      </c>
      <c r="K2829" s="739">
        <f t="shared" si="748"/>
        <v>2510</v>
      </c>
      <c r="L2829" s="1079"/>
      <c r="M2829" s="752"/>
      <c r="N2829" s="744">
        <f t="shared" si="751"/>
        <v>10</v>
      </c>
      <c r="O2829" s="745">
        <v>0</v>
      </c>
      <c r="P2829" s="737">
        <v>10</v>
      </c>
      <c r="Q2829" s="752"/>
      <c r="R2829" s="752"/>
      <c r="S2829" s="752"/>
    </row>
    <row r="2830" spans="1:19" s="753" customFormat="1" ht="24" customHeight="1">
      <c r="A2830" s="734"/>
      <c r="B2830" s="747"/>
      <c r="C2830" s="735"/>
      <c r="D2830" s="735"/>
      <c r="E2830" s="737">
        <f t="shared" si="750"/>
        <v>0</v>
      </c>
      <c r="F2830" s="738"/>
      <c r="G2830" s="739"/>
      <c r="H2830" s="748">
        <f t="shared" si="746"/>
        <v>0</v>
      </c>
      <c r="I2830" s="741"/>
      <c r="J2830" s="749">
        <f t="shared" si="747"/>
        <v>0</v>
      </c>
      <c r="K2830" s="739">
        <f t="shared" si="748"/>
        <v>0</v>
      </c>
      <c r="L2830" s="1079"/>
      <c r="M2830" s="752"/>
      <c r="N2830" s="744">
        <f t="shared" si="751"/>
        <v>0</v>
      </c>
      <c r="O2830" s="745">
        <v>0</v>
      </c>
      <c r="P2830" s="737">
        <v>0</v>
      </c>
      <c r="Q2830" s="752"/>
      <c r="R2830" s="752"/>
      <c r="S2830" s="752"/>
    </row>
    <row r="2831" spans="1:19" s="753" customFormat="1" ht="24" customHeight="1">
      <c r="A2831" s="734"/>
      <c r="B2831" s="747" t="s">
        <v>484</v>
      </c>
      <c r="C2831" s="735" t="s">
        <v>485</v>
      </c>
      <c r="D2831" s="735"/>
      <c r="E2831" s="737">
        <f t="shared" si="750"/>
        <v>7</v>
      </c>
      <c r="F2831" s="738" t="s">
        <v>363</v>
      </c>
      <c r="G2831" s="739">
        <v>285</v>
      </c>
      <c r="H2831" s="748">
        <f t="shared" si="746"/>
        <v>1995</v>
      </c>
      <c r="I2831" s="741">
        <v>75</v>
      </c>
      <c r="J2831" s="749">
        <f t="shared" si="747"/>
        <v>525</v>
      </c>
      <c r="K2831" s="739">
        <f t="shared" si="748"/>
        <v>2520</v>
      </c>
      <c r="L2831" s="1093"/>
      <c r="M2831" s="752"/>
      <c r="N2831" s="744">
        <f t="shared" si="751"/>
        <v>7</v>
      </c>
      <c r="O2831" s="745">
        <v>0</v>
      </c>
      <c r="P2831" s="737">
        <v>7</v>
      </c>
      <c r="Q2831" s="752"/>
      <c r="R2831" s="752"/>
      <c r="S2831" s="752"/>
    </row>
    <row r="2832" spans="1:19" s="753" customFormat="1" ht="24" customHeight="1">
      <c r="A2832" s="734"/>
      <c r="B2832" s="747" t="s">
        <v>469</v>
      </c>
      <c r="C2832" s="735" t="s">
        <v>486</v>
      </c>
      <c r="D2832" s="735"/>
      <c r="E2832" s="737">
        <f t="shared" si="750"/>
        <v>1</v>
      </c>
      <c r="F2832" s="738" t="s">
        <v>363</v>
      </c>
      <c r="G2832" s="739">
        <v>552</v>
      </c>
      <c r="H2832" s="748">
        <f t="shared" si="746"/>
        <v>552</v>
      </c>
      <c r="I2832" s="741">
        <v>25</v>
      </c>
      <c r="J2832" s="749">
        <f t="shared" si="747"/>
        <v>25</v>
      </c>
      <c r="K2832" s="739">
        <f t="shared" si="748"/>
        <v>577</v>
      </c>
      <c r="L2832" s="1079"/>
      <c r="M2832" s="752"/>
      <c r="N2832" s="744">
        <f t="shared" si="751"/>
        <v>1</v>
      </c>
      <c r="O2832" s="745">
        <v>0</v>
      </c>
      <c r="P2832" s="737">
        <v>1</v>
      </c>
      <c r="Q2832" s="752"/>
      <c r="R2832" s="752"/>
      <c r="S2832" s="752"/>
    </row>
    <row r="2833" spans="1:19" s="753" customFormat="1" ht="24" customHeight="1">
      <c r="A2833" s="734"/>
      <c r="B2833" s="747" t="s">
        <v>469</v>
      </c>
      <c r="C2833" s="735" t="s">
        <v>507</v>
      </c>
      <c r="D2833" s="735"/>
      <c r="E2833" s="737">
        <f t="shared" si="750"/>
        <v>1</v>
      </c>
      <c r="F2833" s="738" t="s">
        <v>363</v>
      </c>
      <c r="G2833" s="739">
        <v>1650</v>
      </c>
      <c r="H2833" s="748">
        <f t="shared" si="746"/>
        <v>1650</v>
      </c>
      <c r="I2833" s="741">
        <v>70</v>
      </c>
      <c r="J2833" s="749">
        <f t="shared" si="747"/>
        <v>70</v>
      </c>
      <c r="K2833" s="739">
        <f t="shared" si="748"/>
        <v>1720</v>
      </c>
      <c r="L2833" s="1079"/>
      <c r="M2833" s="752"/>
      <c r="N2833" s="744">
        <f t="shared" si="751"/>
        <v>1</v>
      </c>
      <c r="O2833" s="745">
        <v>0</v>
      </c>
      <c r="P2833" s="737">
        <v>1</v>
      </c>
      <c r="Q2833" s="752"/>
      <c r="R2833" s="752"/>
      <c r="S2833" s="752"/>
    </row>
    <row r="2834" spans="1:19" s="753" customFormat="1" ht="24" customHeight="1">
      <c r="A2834" s="734"/>
      <c r="B2834" s="747" t="s">
        <v>469</v>
      </c>
      <c r="C2834" s="735" t="s">
        <v>508</v>
      </c>
      <c r="D2834" s="735"/>
      <c r="E2834" s="737">
        <f t="shared" si="750"/>
        <v>10</v>
      </c>
      <c r="F2834" s="738" t="s">
        <v>363</v>
      </c>
      <c r="G2834" s="739">
        <v>13500</v>
      </c>
      <c r="H2834" s="748">
        <f t="shared" si="746"/>
        <v>135000</v>
      </c>
      <c r="I2834" s="741">
        <v>750</v>
      </c>
      <c r="J2834" s="749">
        <f t="shared" si="747"/>
        <v>7500</v>
      </c>
      <c r="K2834" s="739">
        <f t="shared" si="748"/>
        <v>142500</v>
      </c>
      <c r="L2834" s="1079"/>
      <c r="M2834" s="752"/>
      <c r="N2834" s="744">
        <f t="shared" si="751"/>
        <v>10</v>
      </c>
      <c r="O2834" s="745">
        <v>0</v>
      </c>
      <c r="P2834" s="737">
        <v>10</v>
      </c>
      <c r="Q2834" s="752"/>
      <c r="R2834" s="752"/>
      <c r="S2834" s="752"/>
    </row>
    <row r="2835" spans="1:19" s="682" customFormat="1" ht="24" customHeight="1">
      <c r="A2835" s="734"/>
      <c r="B2835" s="747" t="s">
        <v>469</v>
      </c>
      <c r="C2835" s="735" t="s">
        <v>509</v>
      </c>
      <c r="D2835" s="735"/>
      <c r="E2835" s="737">
        <f t="shared" si="750"/>
        <v>1</v>
      </c>
      <c r="F2835" s="738" t="s">
        <v>363</v>
      </c>
      <c r="G2835" s="739">
        <v>14476</v>
      </c>
      <c r="H2835" s="748">
        <f t="shared" si="746"/>
        <v>14476</v>
      </c>
      <c r="I2835" s="741">
        <v>5367</v>
      </c>
      <c r="J2835" s="749">
        <f t="shared" si="747"/>
        <v>5367</v>
      </c>
      <c r="K2835" s="739">
        <f t="shared" si="748"/>
        <v>19843</v>
      </c>
      <c r="L2835" s="1079"/>
      <c r="M2835" s="679"/>
      <c r="N2835" s="744">
        <f t="shared" si="751"/>
        <v>1</v>
      </c>
      <c r="O2835" s="745">
        <v>0</v>
      </c>
      <c r="P2835" s="737">
        <v>1</v>
      </c>
      <c r="Q2835" s="679"/>
      <c r="R2835" s="679"/>
      <c r="S2835" s="679"/>
    </row>
    <row r="2836" spans="1:19" s="753" customFormat="1" ht="24" customHeight="1">
      <c r="A2836" s="734"/>
      <c r="B2836" s="747"/>
      <c r="C2836" s="735"/>
      <c r="D2836" s="907"/>
      <c r="E2836" s="737">
        <f t="shared" si="750"/>
        <v>0</v>
      </c>
      <c r="F2836" s="738"/>
      <c r="G2836" s="739">
        <v>0</v>
      </c>
      <c r="H2836" s="748">
        <f t="shared" si="746"/>
        <v>0</v>
      </c>
      <c r="I2836" s="741">
        <v>0</v>
      </c>
      <c r="J2836" s="749">
        <f t="shared" si="747"/>
        <v>0</v>
      </c>
      <c r="K2836" s="739">
        <f t="shared" si="748"/>
        <v>0</v>
      </c>
      <c r="L2836" s="1079"/>
      <c r="M2836" s="752"/>
      <c r="N2836" s="744">
        <f t="shared" si="751"/>
        <v>0</v>
      </c>
      <c r="O2836" s="745">
        <v>0</v>
      </c>
      <c r="P2836" s="737">
        <v>0</v>
      </c>
      <c r="Q2836" s="752"/>
      <c r="R2836" s="752"/>
      <c r="S2836" s="752"/>
    </row>
    <row r="2837" spans="1:19" s="753" customFormat="1" ht="24" customHeight="1">
      <c r="A2837" s="734"/>
      <c r="B2837" s="747" t="s">
        <v>469</v>
      </c>
      <c r="C2837" s="735" t="s">
        <v>510</v>
      </c>
      <c r="D2837" s="735"/>
      <c r="E2837" s="737">
        <f t="shared" si="750"/>
        <v>5.8</v>
      </c>
      <c r="F2837" s="738" t="s">
        <v>361</v>
      </c>
      <c r="G2837" s="739">
        <v>2694</v>
      </c>
      <c r="H2837" s="748">
        <f t="shared" si="746"/>
        <v>15625.199999999999</v>
      </c>
      <c r="I2837" s="741">
        <v>1288</v>
      </c>
      <c r="J2837" s="749">
        <f t="shared" si="747"/>
        <v>7470.4</v>
      </c>
      <c r="K2837" s="739">
        <f t="shared" si="748"/>
        <v>23095.599999999999</v>
      </c>
      <c r="L2837" s="1079"/>
      <c r="M2837" s="752"/>
      <c r="N2837" s="744">
        <f t="shared" si="751"/>
        <v>5.8</v>
      </c>
      <c r="O2837" s="745">
        <v>0</v>
      </c>
      <c r="P2837" s="737">
        <v>5.8</v>
      </c>
      <c r="Q2837" s="752"/>
      <c r="R2837" s="752"/>
      <c r="S2837" s="752"/>
    </row>
    <row r="2838" spans="1:19" s="753" customFormat="1" ht="24" customHeight="1">
      <c r="A2838" s="734"/>
      <c r="B2838" s="747"/>
      <c r="C2838" s="735" t="s">
        <v>511</v>
      </c>
      <c r="D2838" s="735"/>
      <c r="E2838" s="737">
        <f t="shared" si="750"/>
        <v>0</v>
      </c>
      <c r="F2838" s="738"/>
      <c r="G2838" s="739"/>
      <c r="H2838" s="748">
        <f t="shared" si="746"/>
        <v>0</v>
      </c>
      <c r="I2838" s="741"/>
      <c r="J2838" s="749">
        <f t="shared" si="747"/>
        <v>0</v>
      </c>
      <c r="K2838" s="739">
        <f t="shared" si="748"/>
        <v>0</v>
      </c>
      <c r="L2838" s="1079"/>
      <c r="M2838" s="752"/>
      <c r="N2838" s="744">
        <f t="shared" si="751"/>
        <v>0</v>
      </c>
      <c r="O2838" s="745">
        <v>0</v>
      </c>
      <c r="P2838" s="737">
        <v>0</v>
      </c>
      <c r="Q2838" s="752"/>
      <c r="R2838" s="752"/>
      <c r="S2838" s="752"/>
    </row>
    <row r="2839" spans="1:19" s="753" customFormat="1" ht="24" customHeight="1">
      <c r="A2839" s="734"/>
      <c r="B2839" s="747" t="s">
        <v>469</v>
      </c>
      <c r="C2839" s="735" t="s">
        <v>512</v>
      </c>
      <c r="D2839" s="735"/>
      <c r="E2839" s="737">
        <f t="shared" si="750"/>
        <v>5.8</v>
      </c>
      <c r="F2839" s="738" t="s">
        <v>361</v>
      </c>
      <c r="G2839" s="739">
        <v>3886</v>
      </c>
      <c r="H2839" s="748">
        <f t="shared" si="746"/>
        <v>22538.799999999999</v>
      </c>
      <c r="I2839" s="741">
        <v>1238</v>
      </c>
      <c r="J2839" s="749">
        <f t="shared" si="747"/>
        <v>7180.4</v>
      </c>
      <c r="K2839" s="739">
        <f t="shared" si="748"/>
        <v>29719.199999999997</v>
      </c>
      <c r="L2839" s="1079"/>
      <c r="M2839" s="752"/>
      <c r="N2839" s="744">
        <f t="shared" si="751"/>
        <v>5.8</v>
      </c>
      <c r="O2839" s="745">
        <v>0</v>
      </c>
      <c r="P2839" s="737">
        <v>5.8</v>
      </c>
      <c r="Q2839" s="752"/>
      <c r="R2839" s="752"/>
      <c r="S2839" s="752"/>
    </row>
    <row r="2840" spans="1:19" s="753" customFormat="1" ht="24" customHeight="1">
      <c r="A2840" s="734"/>
      <c r="B2840" s="747"/>
      <c r="C2840" s="735" t="s">
        <v>513</v>
      </c>
      <c r="D2840" s="735"/>
      <c r="E2840" s="737">
        <f t="shared" si="750"/>
        <v>0</v>
      </c>
      <c r="F2840" s="738"/>
      <c r="G2840" s="739">
        <v>0</v>
      </c>
      <c r="H2840" s="748">
        <f t="shared" si="746"/>
        <v>0</v>
      </c>
      <c r="I2840" s="741">
        <v>0</v>
      </c>
      <c r="J2840" s="749">
        <f t="shared" si="747"/>
        <v>0</v>
      </c>
      <c r="K2840" s="739">
        <f t="shared" si="748"/>
        <v>0</v>
      </c>
      <c r="L2840" s="1079"/>
      <c r="M2840" s="752"/>
      <c r="N2840" s="744">
        <f t="shared" si="751"/>
        <v>0</v>
      </c>
      <c r="O2840" s="745">
        <v>0</v>
      </c>
      <c r="P2840" s="737">
        <v>0</v>
      </c>
      <c r="Q2840" s="752"/>
      <c r="R2840" s="752"/>
      <c r="S2840" s="752"/>
    </row>
    <row r="2841" spans="1:19" s="753" customFormat="1" ht="24" customHeight="1">
      <c r="A2841" s="734"/>
      <c r="B2841" s="747" t="s">
        <v>469</v>
      </c>
      <c r="C2841" s="735" t="s">
        <v>521</v>
      </c>
      <c r="D2841" s="735"/>
      <c r="E2841" s="737">
        <f t="shared" si="750"/>
        <v>9</v>
      </c>
      <c r="F2841" s="738" t="s">
        <v>361</v>
      </c>
      <c r="G2841" s="739">
        <v>1522</v>
      </c>
      <c r="H2841" s="748">
        <f t="shared" si="746"/>
        <v>13698</v>
      </c>
      <c r="I2841" s="741">
        <v>315</v>
      </c>
      <c r="J2841" s="749">
        <f t="shared" si="747"/>
        <v>2835</v>
      </c>
      <c r="K2841" s="739">
        <f t="shared" si="748"/>
        <v>16533</v>
      </c>
      <c r="L2841" s="1079"/>
      <c r="M2841" s="752"/>
      <c r="N2841" s="744">
        <f t="shared" si="751"/>
        <v>9</v>
      </c>
      <c r="O2841" s="745">
        <v>0</v>
      </c>
      <c r="P2841" s="737">
        <v>9</v>
      </c>
      <c r="Q2841" s="752"/>
      <c r="R2841" s="752"/>
      <c r="S2841" s="752"/>
    </row>
    <row r="2842" spans="1:19" s="753" customFormat="1" ht="24" customHeight="1">
      <c r="A2842" s="734"/>
      <c r="B2842" s="747"/>
      <c r="C2842" s="735"/>
      <c r="D2842" s="735"/>
      <c r="E2842" s="737">
        <f t="shared" si="750"/>
        <v>0</v>
      </c>
      <c r="F2842" s="738"/>
      <c r="G2842" s="739">
        <v>0</v>
      </c>
      <c r="H2842" s="748">
        <f t="shared" si="746"/>
        <v>0</v>
      </c>
      <c r="I2842" s="741">
        <v>0</v>
      </c>
      <c r="J2842" s="749">
        <f t="shared" si="747"/>
        <v>0</v>
      </c>
      <c r="K2842" s="739">
        <f t="shared" si="748"/>
        <v>0</v>
      </c>
      <c r="L2842" s="1079"/>
      <c r="M2842" s="752"/>
      <c r="N2842" s="744">
        <f t="shared" si="751"/>
        <v>0</v>
      </c>
      <c r="O2842" s="745">
        <v>0</v>
      </c>
      <c r="P2842" s="737">
        <v>0</v>
      </c>
      <c r="Q2842" s="752"/>
      <c r="R2842" s="752"/>
      <c r="S2842" s="752"/>
    </row>
    <row r="2843" spans="1:19" s="682" customFormat="1" ht="24" customHeight="1">
      <c r="A2843" s="734"/>
      <c r="B2843" s="747" t="s">
        <v>469</v>
      </c>
      <c r="C2843" s="735" t="s">
        <v>515</v>
      </c>
      <c r="D2843" s="735"/>
      <c r="E2843" s="737">
        <f t="shared" si="750"/>
        <v>1</v>
      </c>
      <c r="F2843" s="738" t="s">
        <v>363</v>
      </c>
      <c r="G2843" s="739">
        <v>5013</v>
      </c>
      <c r="H2843" s="748">
        <f t="shared" ref="H2843:H2906" si="752">SUM(E2843*G2843)</f>
        <v>5013</v>
      </c>
      <c r="I2843" s="741">
        <v>2403</v>
      </c>
      <c r="J2843" s="749">
        <f t="shared" ref="J2843:J2906" si="753">SUM(E2843*I2843)</f>
        <v>2403</v>
      </c>
      <c r="K2843" s="739">
        <f t="shared" ref="K2843:K2906" si="754">SUM(H2843+J2843)</f>
        <v>7416</v>
      </c>
      <c r="L2843" s="1079"/>
      <c r="M2843" s="679"/>
      <c r="N2843" s="744">
        <f t="shared" si="751"/>
        <v>1</v>
      </c>
      <c r="O2843" s="745">
        <v>0</v>
      </c>
      <c r="P2843" s="737">
        <v>1</v>
      </c>
      <c r="Q2843" s="679"/>
      <c r="R2843" s="679"/>
      <c r="S2843" s="679"/>
    </row>
    <row r="2844" spans="1:19" s="682" customFormat="1" ht="24" customHeight="1">
      <c r="A2844" s="734"/>
      <c r="B2844" s="747"/>
      <c r="C2844" s="735" t="s">
        <v>516</v>
      </c>
      <c r="D2844" s="735"/>
      <c r="E2844" s="737">
        <f t="shared" si="750"/>
        <v>0</v>
      </c>
      <c r="F2844" s="738"/>
      <c r="G2844" s="739"/>
      <c r="H2844" s="748">
        <f t="shared" si="752"/>
        <v>0</v>
      </c>
      <c r="I2844" s="741"/>
      <c r="J2844" s="749">
        <f t="shared" si="753"/>
        <v>0</v>
      </c>
      <c r="K2844" s="739">
        <f t="shared" si="754"/>
        <v>0</v>
      </c>
      <c r="L2844" s="1079"/>
      <c r="M2844" s="679"/>
      <c r="N2844" s="744">
        <f t="shared" si="751"/>
        <v>0</v>
      </c>
      <c r="O2844" s="745">
        <v>0</v>
      </c>
      <c r="P2844" s="737">
        <v>0</v>
      </c>
      <c r="Q2844" s="679"/>
      <c r="R2844" s="679"/>
      <c r="S2844" s="679"/>
    </row>
    <row r="2845" spans="1:19" s="682" customFormat="1" ht="24" customHeight="1">
      <c r="A2845" s="734"/>
      <c r="B2845" s="747"/>
      <c r="C2845" s="735"/>
      <c r="D2845" s="735"/>
      <c r="E2845" s="737">
        <f t="shared" si="750"/>
        <v>0</v>
      </c>
      <c r="F2845" s="738"/>
      <c r="G2845" s="739"/>
      <c r="H2845" s="748">
        <f t="shared" si="752"/>
        <v>0</v>
      </c>
      <c r="I2845" s="741"/>
      <c r="J2845" s="749">
        <f t="shared" si="753"/>
        <v>0</v>
      </c>
      <c r="K2845" s="739">
        <f t="shared" si="754"/>
        <v>0</v>
      </c>
      <c r="L2845" s="1079"/>
      <c r="M2845" s="679"/>
      <c r="N2845" s="744">
        <f t="shared" si="751"/>
        <v>0</v>
      </c>
      <c r="O2845" s="745">
        <v>0</v>
      </c>
      <c r="P2845" s="737">
        <v>0</v>
      </c>
      <c r="Q2845" s="679"/>
      <c r="R2845" s="679"/>
      <c r="S2845" s="679"/>
    </row>
    <row r="2846" spans="1:19" s="756" customFormat="1" ht="24" customHeight="1">
      <c r="A2846" s="734"/>
      <c r="B2846" s="747" t="s">
        <v>469</v>
      </c>
      <c r="C2846" s="735" t="s">
        <v>517</v>
      </c>
      <c r="D2846" s="907"/>
      <c r="E2846" s="737">
        <f t="shared" ref="E2846:E2909" si="755">+N2846</f>
        <v>0</v>
      </c>
      <c r="F2846" s="738" t="s">
        <v>361</v>
      </c>
      <c r="G2846" s="739">
        <v>5075.5555555555557</v>
      </c>
      <c r="H2846" s="748">
        <f t="shared" si="752"/>
        <v>0</v>
      </c>
      <c r="I2846" s="741">
        <v>2545.7777777777778</v>
      </c>
      <c r="J2846" s="749">
        <f t="shared" si="753"/>
        <v>0</v>
      </c>
      <c r="K2846" s="739">
        <f t="shared" si="754"/>
        <v>0</v>
      </c>
      <c r="L2846" s="1079"/>
      <c r="M2846" s="755"/>
      <c r="N2846" s="744">
        <f t="shared" si="751"/>
        <v>0</v>
      </c>
      <c r="O2846" s="745">
        <v>0</v>
      </c>
      <c r="P2846" s="737">
        <v>0</v>
      </c>
      <c r="Q2846" s="755"/>
      <c r="R2846" s="755"/>
      <c r="S2846" s="755"/>
    </row>
    <row r="2847" spans="1:19" s="756" customFormat="1" ht="24" customHeight="1">
      <c r="A2847" s="734"/>
      <c r="B2847" s="747"/>
      <c r="C2847" s="735" t="s">
        <v>488</v>
      </c>
      <c r="D2847" s="907"/>
      <c r="E2847" s="737">
        <f t="shared" si="755"/>
        <v>0</v>
      </c>
      <c r="F2847" s="738"/>
      <c r="G2847" s="739">
        <v>0</v>
      </c>
      <c r="H2847" s="748">
        <f t="shared" si="752"/>
        <v>0</v>
      </c>
      <c r="I2847" s="741">
        <v>0</v>
      </c>
      <c r="J2847" s="749">
        <f t="shared" si="753"/>
        <v>0</v>
      </c>
      <c r="K2847" s="739">
        <f t="shared" si="754"/>
        <v>0</v>
      </c>
      <c r="L2847" s="1079"/>
      <c r="M2847" s="755"/>
      <c r="N2847" s="744">
        <f t="shared" si="751"/>
        <v>0</v>
      </c>
      <c r="O2847" s="745">
        <v>0</v>
      </c>
      <c r="P2847" s="737">
        <v>0</v>
      </c>
      <c r="Q2847" s="755"/>
      <c r="R2847" s="755"/>
      <c r="S2847" s="755"/>
    </row>
    <row r="2848" spans="1:19" s="753" customFormat="1" ht="24" customHeight="1">
      <c r="A2848" s="734"/>
      <c r="B2848" s="747" t="s">
        <v>469</v>
      </c>
      <c r="C2848" s="735" t="s">
        <v>518</v>
      </c>
      <c r="D2848" s="735"/>
      <c r="E2848" s="737">
        <f t="shared" si="755"/>
        <v>0</v>
      </c>
      <c r="F2848" s="738" t="s">
        <v>361</v>
      </c>
      <c r="G2848" s="739">
        <v>3886</v>
      </c>
      <c r="H2848" s="748">
        <f t="shared" si="752"/>
        <v>0</v>
      </c>
      <c r="I2848" s="741">
        <v>1238</v>
      </c>
      <c r="J2848" s="749">
        <f t="shared" si="753"/>
        <v>0</v>
      </c>
      <c r="K2848" s="739">
        <f t="shared" si="754"/>
        <v>0</v>
      </c>
      <c r="L2848" s="1079"/>
      <c r="M2848" s="752"/>
      <c r="N2848" s="744">
        <f t="shared" si="751"/>
        <v>0</v>
      </c>
      <c r="O2848" s="745">
        <v>0</v>
      </c>
      <c r="P2848" s="737">
        <v>0</v>
      </c>
      <c r="Q2848" s="752"/>
      <c r="R2848" s="752"/>
      <c r="S2848" s="752"/>
    </row>
    <row r="2849" spans="1:19" s="753" customFormat="1" ht="24" customHeight="1">
      <c r="A2849" s="734"/>
      <c r="B2849" s="747"/>
      <c r="C2849" s="735" t="s">
        <v>513</v>
      </c>
      <c r="D2849" s="735"/>
      <c r="E2849" s="737">
        <f t="shared" si="755"/>
        <v>0</v>
      </c>
      <c r="F2849" s="738"/>
      <c r="G2849" s="739">
        <v>0</v>
      </c>
      <c r="H2849" s="748">
        <f t="shared" si="752"/>
        <v>0</v>
      </c>
      <c r="I2849" s="741">
        <v>0</v>
      </c>
      <c r="J2849" s="749">
        <f t="shared" si="753"/>
        <v>0</v>
      </c>
      <c r="K2849" s="739">
        <f t="shared" si="754"/>
        <v>0</v>
      </c>
      <c r="L2849" s="1079"/>
      <c r="M2849" s="752"/>
      <c r="N2849" s="744">
        <f t="shared" si="751"/>
        <v>0</v>
      </c>
      <c r="O2849" s="745">
        <v>0</v>
      </c>
      <c r="P2849" s="737">
        <v>0</v>
      </c>
      <c r="Q2849" s="752"/>
      <c r="R2849" s="752"/>
      <c r="S2849" s="752"/>
    </row>
    <row r="2850" spans="1:19" s="682" customFormat="1" ht="24" customHeight="1">
      <c r="A2850" s="734"/>
      <c r="B2850" s="747"/>
      <c r="C2850" s="735"/>
      <c r="D2850" s="735"/>
      <c r="E2850" s="737">
        <f t="shared" si="755"/>
        <v>0</v>
      </c>
      <c r="F2850" s="738"/>
      <c r="G2850" s="739"/>
      <c r="H2850" s="748">
        <f t="shared" si="752"/>
        <v>0</v>
      </c>
      <c r="I2850" s="741"/>
      <c r="J2850" s="749">
        <f t="shared" si="753"/>
        <v>0</v>
      </c>
      <c r="K2850" s="739">
        <f t="shared" si="754"/>
        <v>0</v>
      </c>
      <c r="L2850" s="1079"/>
      <c r="M2850" s="679"/>
      <c r="N2850" s="744">
        <f t="shared" si="751"/>
        <v>0</v>
      </c>
      <c r="O2850" s="745">
        <v>0</v>
      </c>
      <c r="P2850" s="737">
        <v>0</v>
      </c>
      <c r="Q2850" s="679"/>
      <c r="R2850" s="679"/>
      <c r="S2850" s="679"/>
    </row>
    <row r="2851" spans="1:19" s="682" customFormat="1" ht="24" customHeight="1">
      <c r="A2851" s="734"/>
      <c r="B2851" s="747" t="s">
        <v>469</v>
      </c>
      <c r="C2851" s="735" t="s">
        <v>519</v>
      </c>
      <c r="D2851" s="735"/>
      <c r="E2851" s="737">
        <f t="shared" si="755"/>
        <v>1</v>
      </c>
      <c r="F2851" s="738" t="s">
        <v>363</v>
      </c>
      <c r="G2851" s="739">
        <v>800</v>
      </c>
      <c r="H2851" s="748">
        <f t="shared" si="752"/>
        <v>800</v>
      </c>
      <c r="I2851" s="741">
        <v>70</v>
      </c>
      <c r="J2851" s="749">
        <f t="shared" si="753"/>
        <v>70</v>
      </c>
      <c r="K2851" s="739">
        <f t="shared" si="754"/>
        <v>870</v>
      </c>
      <c r="L2851" s="1079"/>
      <c r="M2851" s="679"/>
      <c r="N2851" s="744">
        <f t="shared" si="751"/>
        <v>1</v>
      </c>
      <c r="O2851" s="745">
        <v>0</v>
      </c>
      <c r="P2851" s="737">
        <v>1</v>
      </c>
      <c r="Q2851" s="679"/>
      <c r="R2851" s="679"/>
      <c r="S2851" s="679"/>
    </row>
    <row r="2852" spans="1:19" s="682" customFormat="1" ht="24" customHeight="1">
      <c r="A2852" s="734"/>
      <c r="B2852" s="747" t="s">
        <v>469</v>
      </c>
      <c r="C2852" s="735" t="s">
        <v>520</v>
      </c>
      <c r="D2852" s="735"/>
      <c r="E2852" s="737">
        <f t="shared" si="755"/>
        <v>0</v>
      </c>
      <c r="F2852" s="738" t="s">
        <v>361</v>
      </c>
      <c r="G2852" s="739">
        <v>190</v>
      </c>
      <c r="H2852" s="748">
        <f t="shared" si="752"/>
        <v>0</v>
      </c>
      <c r="I2852" s="741">
        <v>75</v>
      </c>
      <c r="J2852" s="749">
        <f t="shared" si="753"/>
        <v>0</v>
      </c>
      <c r="K2852" s="739">
        <f t="shared" si="754"/>
        <v>0</v>
      </c>
      <c r="L2852" s="1079"/>
      <c r="M2852" s="679"/>
      <c r="N2852" s="744">
        <f t="shared" si="751"/>
        <v>0</v>
      </c>
      <c r="O2852" s="745">
        <v>0</v>
      </c>
      <c r="P2852" s="737">
        <v>0</v>
      </c>
      <c r="Q2852" s="679"/>
      <c r="R2852" s="679"/>
      <c r="S2852" s="679"/>
    </row>
    <row r="2853" spans="1:19" s="682" customFormat="1" ht="24" customHeight="1">
      <c r="A2853" s="734"/>
      <c r="B2853" s="747"/>
      <c r="C2853" s="735"/>
      <c r="D2853" s="735"/>
      <c r="E2853" s="737">
        <f t="shared" si="755"/>
        <v>0</v>
      </c>
      <c r="F2853" s="738"/>
      <c r="G2853" s="739"/>
      <c r="H2853" s="748">
        <f t="shared" si="752"/>
        <v>0</v>
      </c>
      <c r="I2853" s="741"/>
      <c r="J2853" s="749">
        <f t="shared" si="753"/>
        <v>0</v>
      </c>
      <c r="K2853" s="739">
        <f t="shared" si="754"/>
        <v>0</v>
      </c>
      <c r="L2853" s="1079"/>
      <c r="M2853" s="679"/>
      <c r="N2853" s="744">
        <f t="shared" ref="N2853:N2916" si="756">+(1+O2853)*P2853</f>
        <v>0</v>
      </c>
      <c r="O2853" s="745">
        <v>0</v>
      </c>
      <c r="P2853" s="737">
        <v>0</v>
      </c>
      <c r="Q2853" s="679"/>
      <c r="R2853" s="679"/>
      <c r="S2853" s="679"/>
    </row>
    <row r="2854" spans="1:19" s="753" customFormat="1" ht="24" customHeight="1">
      <c r="A2854" s="734"/>
      <c r="B2854" s="735" t="s">
        <v>1074</v>
      </c>
      <c r="C2854" s="735"/>
      <c r="D2854" s="735"/>
      <c r="E2854" s="737">
        <f t="shared" si="755"/>
        <v>0</v>
      </c>
      <c r="F2854" s="738"/>
      <c r="G2854" s="739">
        <v>0</v>
      </c>
      <c r="H2854" s="748">
        <f t="shared" si="752"/>
        <v>0</v>
      </c>
      <c r="I2854" s="741">
        <v>0</v>
      </c>
      <c r="J2854" s="749">
        <f t="shared" si="753"/>
        <v>0</v>
      </c>
      <c r="K2854" s="739">
        <f t="shared" si="754"/>
        <v>0</v>
      </c>
      <c r="L2854" s="1079"/>
      <c r="M2854" s="752"/>
      <c r="N2854" s="744">
        <f t="shared" si="756"/>
        <v>0</v>
      </c>
      <c r="O2854" s="745">
        <v>0</v>
      </c>
      <c r="P2854" s="737">
        <v>0</v>
      </c>
      <c r="Q2854" s="752"/>
      <c r="R2854" s="752"/>
      <c r="S2854" s="752"/>
    </row>
    <row r="2855" spans="1:19" s="753" customFormat="1" ht="24" customHeight="1">
      <c r="A2855" s="734"/>
      <c r="B2855" s="747" t="s">
        <v>469</v>
      </c>
      <c r="C2855" s="735" t="s">
        <v>522</v>
      </c>
      <c r="D2855" s="735"/>
      <c r="E2855" s="737">
        <f t="shared" si="755"/>
        <v>1</v>
      </c>
      <c r="F2855" s="738" t="s">
        <v>363</v>
      </c>
      <c r="G2855" s="739">
        <v>6832</v>
      </c>
      <c r="H2855" s="748">
        <f t="shared" si="752"/>
        <v>6832</v>
      </c>
      <c r="I2855" s="741">
        <v>450</v>
      </c>
      <c r="J2855" s="749">
        <f t="shared" si="753"/>
        <v>450</v>
      </c>
      <c r="K2855" s="739">
        <f t="shared" si="754"/>
        <v>7282</v>
      </c>
      <c r="L2855" s="1079"/>
      <c r="M2855" s="752"/>
      <c r="N2855" s="744">
        <f t="shared" si="756"/>
        <v>1</v>
      </c>
      <c r="O2855" s="745">
        <v>0</v>
      </c>
      <c r="P2855" s="737">
        <v>1</v>
      </c>
      <c r="Q2855" s="752"/>
      <c r="R2855" s="752"/>
      <c r="S2855" s="752"/>
    </row>
    <row r="2856" spans="1:19" s="753" customFormat="1" ht="24" customHeight="1">
      <c r="A2856" s="734"/>
      <c r="B2856" s="747" t="s">
        <v>469</v>
      </c>
      <c r="C2856" s="735" t="s">
        <v>498</v>
      </c>
      <c r="D2856" s="735"/>
      <c r="E2856" s="737">
        <f t="shared" si="755"/>
        <v>1</v>
      </c>
      <c r="F2856" s="738" t="s">
        <v>363</v>
      </c>
      <c r="G2856" s="739">
        <v>6640</v>
      </c>
      <c r="H2856" s="748">
        <f t="shared" si="752"/>
        <v>6640</v>
      </c>
      <c r="I2856" s="741">
        <v>200</v>
      </c>
      <c r="J2856" s="749">
        <f t="shared" si="753"/>
        <v>200</v>
      </c>
      <c r="K2856" s="739">
        <f t="shared" si="754"/>
        <v>6840</v>
      </c>
      <c r="L2856" s="1079"/>
      <c r="M2856" s="752"/>
      <c r="N2856" s="744">
        <f t="shared" si="756"/>
        <v>1</v>
      </c>
      <c r="O2856" s="745">
        <v>0</v>
      </c>
      <c r="P2856" s="737">
        <v>1</v>
      </c>
      <c r="Q2856" s="752"/>
      <c r="R2856" s="752"/>
      <c r="S2856" s="752"/>
    </row>
    <row r="2857" spans="1:19" s="753" customFormat="1" ht="24" customHeight="1">
      <c r="A2857" s="734"/>
      <c r="B2857" s="747" t="s">
        <v>469</v>
      </c>
      <c r="C2857" s="735" t="s">
        <v>476</v>
      </c>
      <c r="D2857" s="735"/>
      <c r="E2857" s="737">
        <f t="shared" si="755"/>
        <v>1</v>
      </c>
      <c r="F2857" s="738" t="s">
        <v>363</v>
      </c>
      <c r="G2857" s="739">
        <v>336</v>
      </c>
      <c r="H2857" s="748">
        <f t="shared" si="752"/>
        <v>336</v>
      </c>
      <c r="I2857" s="741">
        <v>0</v>
      </c>
      <c r="J2857" s="749">
        <f t="shared" si="753"/>
        <v>0</v>
      </c>
      <c r="K2857" s="739">
        <f t="shared" si="754"/>
        <v>336</v>
      </c>
      <c r="L2857" s="1079"/>
      <c r="M2857" s="752"/>
      <c r="N2857" s="744">
        <f t="shared" si="756"/>
        <v>1</v>
      </c>
      <c r="O2857" s="745">
        <v>0</v>
      </c>
      <c r="P2857" s="737">
        <v>1</v>
      </c>
      <c r="Q2857" s="752"/>
      <c r="R2857" s="752"/>
      <c r="S2857" s="752"/>
    </row>
    <row r="2858" spans="1:19" s="753" customFormat="1" ht="24" customHeight="1">
      <c r="A2858" s="734"/>
      <c r="B2858" s="747" t="s">
        <v>469</v>
      </c>
      <c r="C2858" s="735" t="s">
        <v>477</v>
      </c>
      <c r="D2858" s="735"/>
      <c r="E2858" s="737">
        <f t="shared" si="755"/>
        <v>1</v>
      </c>
      <c r="F2858" s="738" t="s">
        <v>363</v>
      </c>
      <c r="G2858" s="739">
        <v>736</v>
      </c>
      <c r="H2858" s="748">
        <f t="shared" si="752"/>
        <v>736</v>
      </c>
      <c r="I2858" s="741">
        <v>0</v>
      </c>
      <c r="J2858" s="749">
        <f t="shared" si="753"/>
        <v>0</v>
      </c>
      <c r="K2858" s="739">
        <f t="shared" si="754"/>
        <v>736</v>
      </c>
      <c r="L2858" s="1079"/>
      <c r="M2858" s="752"/>
      <c r="N2858" s="744">
        <f t="shared" si="756"/>
        <v>1</v>
      </c>
      <c r="O2858" s="745">
        <v>0</v>
      </c>
      <c r="P2858" s="737">
        <v>1</v>
      </c>
      <c r="Q2858" s="752"/>
      <c r="R2858" s="752"/>
      <c r="S2858" s="752"/>
    </row>
    <row r="2859" spans="1:19" s="753" customFormat="1" ht="24" customHeight="1">
      <c r="A2859" s="734"/>
      <c r="B2859" s="747" t="s">
        <v>469</v>
      </c>
      <c r="C2859" s="735" t="s">
        <v>478</v>
      </c>
      <c r="D2859" s="735"/>
      <c r="E2859" s="737">
        <f t="shared" si="755"/>
        <v>1</v>
      </c>
      <c r="F2859" s="738" t="s">
        <v>363</v>
      </c>
      <c r="G2859" s="739">
        <v>176</v>
      </c>
      <c r="H2859" s="748">
        <f t="shared" si="752"/>
        <v>176</v>
      </c>
      <c r="I2859" s="741">
        <v>0</v>
      </c>
      <c r="J2859" s="749">
        <f t="shared" si="753"/>
        <v>0</v>
      </c>
      <c r="K2859" s="739">
        <f t="shared" si="754"/>
        <v>176</v>
      </c>
      <c r="L2859" s="1079"/>
      <c r="M2859" s="752"/>
      <c r="N2859" s="744">
        <f t="shared" si="756"/>
        <v>1</v>
      </c>
      <c r="O2859" s="745">
        <v>0</v>
      </c>
      <c r="P2859" s="737">
        <v>1</v>
      </c>
      <c r="Q2859" s="752"/>
      <c r="R2859" s="752"/>
      <c r="S2859" s="752"/>
    </row>
    <row r="2860" spans="1:19" s="753" customFormat="1" ht="24" customHeight="1">
      <c r="A2860" s="734"/>
      <c r="B2860" s="747" t="s">
        <v>469</v>
      </c>
      <c r="C2860" s="735" t="s">
        <v>499</v>
      </c>
      <c r="D2860" s="735"/>
      <c r="E2860" s="737">
        <f t="shared" si="755"/>
        <v>1</v>
      </c>
      <c r="F2860" s="738" t="s">
        <v>363</v>
      </c>
      <c r="G2860" s="739">
        <v>216</v>
      </c>
      <c r="H2860" s="748">
        <f t="shared" si="752"/>
        <v>216</v>
      </c>
      <c r="I2860" s="741">
        <v>35</v>
      </c>
      <c r="J2860" s="749">
        <f t="shared" si="753"/>
        <v>35</v>
      </c>
      <c r="K2860" s="739">
        <f t="shared" si="754"/>
        <v>251</v>
      </c>
      <c r="L2860" s="1079"/>
      <c r="M2860" s="752"/>
      <c r="N2860" s="744">
        <f t="shared" si="756"/>
        <v>1</v>
      </c>
      <c r="O2860" s="745">
        <v>0</v>
      </c>
      <c r="P2860" s="737">
        <v>1</v>
      </c>
      <c r="Q2860" s="752"/>
      <c r="R2860" s="752"/>
      <c r="S2860" s="752"/>
    </row>
    <row r="2861" spans="1:19" s="753" customFormat="1" ht="24" customHeight="1">
      <c r="A2861" s="734"/>
      <c r="B2861" s="750"/>
      <c r="C2861" s="757"/>
      <c r="D2861" s="907"/>
      <c r="E2861" s="737">
        <f t="shared" si="755"/>
        <v>0</v>
      </c>
      <c r="F2861" s="738"/>
      <c r="G2861" s="739">
        <v>0</v>
      </c>
      <c r="H2861" s="748">
        <f t="shared" si="752"/>
        <v>0</v>
      </c>
      <c r="I2861" s="741">
        <v>0</v>
      </c>
      <c r="J2861" s="749">
        <f t="shared" si="753"/>
        <v>0</v>
      </c>
      <c r="K2861" s="739">
        <f t="shared" si="754"/>
        <v>0</v>
      </c>
      <c r="L2861" s="1079"/>
      <c r="M2861" s="752"/>
      <c r="N2861" s="744">
        <f t="shared" si="756"/>
        <v>0</v>
      </c>
      <c r="O2861" s="745">
        <v>0</v>
      </c>
      <c r="P2861" s="737">
        <v>0</v>
      </c>
      <c r="Q2861" s="752"/>
      <c r="R2861" s="752"/>
      <c r="S2861" s="752"/>
    </row>
    <row r="2862" spans="1:19" s="753" customFormat="1" ht="24" customHeight="1">
      <c r="A2862" s="734"/>
      <c r="B2862" s="747" t="s">
        <v>469</v>
      </c>
      <c r="C2862" s="735" t="s">
        <v>523</v>
      </c>
      <c r="D2862" s="735"/>
      <c r="E2862" s="737">
        <f t="shared" si="755"/>
        <v>1</v>
      </c>
      <c r="F2862" s="738" t="s">
        <v>363</v>
      </c>
      <c r="G2862" s="739">
        <v>6580</v>
      </c>
      <c r="H2862" s="748">
        <f t="shared" si="752"/>
        <v>6580</v>
      </c>
      <c r="I2862" s="741">
        <v>450</v>
      </c>
      <c r="J2862" s="749">
        <f t="shared" si="753"/>
        <v>450</v>
      </c>
      <c r="K2862" s="739">
        <f t="shared" si="754"/>
        <v>7030</v>
      </c>
      <c r="L2862" s="1079"/>
      <c r="M2862" s="752"/>
      <c r="N2862" s="744">
        <f t="shared" si="756"/>
        <v>1</v>
      </c>
      <c r="O2862" s="745">
        <v>0</v>
      </c>
      <c r="P2862" s="737">
        <v>1</v>
      </c>
      <c r="Q2862" s="752"/>
      <c r="R2862" s="752"/>
      <c r="S2862" s="752"/>
    </row>
    <row r="2863" spans="1:19" s="753" customFormat="1" ht="24" customHeight="1">
      <c r="A2863" s="734"/>
      <c r="B2863" s="747" t="s">
        <v>469</v>
      </c>
      <c r="C2863" s="735" t="s">
        <v>478</v>
      </c>
      <c r="D2863" s="735"/>
      <c r="E2863" s="737">
        <f t="shared" si="755"/>
        <v>1</v>
      </c>
      <c r="F2863" s="738" t="s">
        <v>363</v>
      </c>
      <c r="G2863" s="739">
        <v>176</v>
      </c>
      <c r="H2863" s="748">
        <f t="shared" si="752"/>
        <v>176</v>
      </c>
      <c r="I2863" s="741">
        <v>0</v>
      </c>
      <c r="J2863" s="749">
        <f t="shared" si="753"/>
        <v>0</v>
      </c>
      <c r="K2863" s="739">
        <f t="shared" si="754"/>
        <v>176</v>
      </c>
      <c r="L2863" s="1079"/>
      <c r="M2863" s="752"/>
      <c r="N2863" s="744">
        <f t="shared" si="756"/>
        <v>1</v>
      </c>
      <c r="O2863" s="745">
        <v>0</v>
      </c>
      <c r="P2863" s="737">
        <v>1</v>
      </c>
      <c r="Q2863" s="752"/>
      <c r="R2863" s="752"/>
      <c r="S2863" s="752"/>
    </row>
    <row r="2864" spans="1:19" s="753" customFormat="1" ht="24" customHeight="1">
      <c r="A2864" s="734"/>
      <c r="B2864" s="747" t="s">
        <v>469</v>
      </c>
      <c r="C2864" s="735" t="s">
        <v>482</v>
      </c>
      <c r="D2864" s="735"/>
      <c r="E2864" s="737">
        <f t="shared" si="755"/>
        <v>1</v>
      </c>
      <c r="F2864" s="738" t="s">
        <v>363</v>
      </c>
      <c r="G2864" s="739">
        <v>560</v>
      </c>
      <c r="H2864" s="748">
        <f t="shared" si="752"/>
        <v>560</v>
      </c>
      <c r="I2864" s="741">
        <v>35</v>
      </c>
      <c r="J2864" s="749">
        <f t="shared" si="753"/>
        <v>35</v>
      </c>
      <c r="K2864" s="739">
        <f t="shared" si="754"/>
        <v>595</v>
      </c>
      <c r="L2864" s="1079"/>
      <c r="M2864" s="752"/>
      <c r="N2864" s="744">
        <f t="shared" si="756"/>
        <v>1</v>
      </c>
      <c r="O2864" s="745">
        <v>0</v>
      </c>
      <c r="P2864" s="737">
        <v>1</v>
      </c>
      <c r="Q2864" s="752"/>
      <c r="R2864" s="752"/>
      <c r="S2864" s="752"/>
    </row>
    <row r="2865" spans="1:19" s="753" customFormat="1" ht="24" customHeight="1">
      <c r="A2865" s="734"/>
      <c r="B2865" s="747" t="s">
        <v>469</v>
      </c>
      <c r="C2865" s="735" t="s">
        <v>524</v>
      </c>
      <c r="D2865" s="735"/>
      <c r="E2865" s="737">
        <f t="shared" si="755"/>
        <v>1</v>
      </c>
      <c r="F2865" s="738" t="s">
        <v>363</v>
      </c>
      <c r="G2865" s="739">
        <v>216</v>
      </c>
      <c r="H2865" s="748">
        <f t="shared" si="752"/>
        <v>216</v>
      </c>
      <c r="I2865" s="741">
        <v>35</v>
      </c>
      <c r="J2865" s="749">
        <f t="shared" si="753"/>
        <v>35</v>
      </c>
      <c r="K2865" s="739">
        <f t="shared" si="754"/>
        <v>251</v>
      </c>
      <c r="L2865" s="1079"/>
      <c r="M2865" s="752"/>
      <c r="N2865" s="744">
        <f t="shared" si="756"/>
        <v>1</v>
      </c>
      <c r="O2865" s="745">
        <v>0</v>
      </c>
      <c r="P2865" s="737">
        <v>1</v>
      </c>
      <c r="Q2865" s="752"/>
      <c r="R2865" s="752"/>
      <c r="S2865" s="752"/>
    </row>
    <row r="2866" spans="1:19" s="753" customFormat="1" ht="24" customHeight="1">
      <c r="A2866" s="734"/>
      <c r="B2866" s="747"/>
      <c r="C2866" s="735"/>
      <c r="D2866" s="735"/>
      <c r="E2866" s="737">
        <f t="shared" si="755"/>
        <v>0</v>
      </c>
      <c r="F2866" s="738"/>
      <c r="G2866" s="739">
        <v>0</v>
      </c>
      <c r="H2866" s="748">
        <f t="shared" si="752"/>
        <v>0</v>
      </c>
      <c r="I2866" s="741">
        <v>0</v>
      </c>
      <c r="J2866" s="749">
        <f t="shared" si="753"/>
        <v>0</v>
      </c>
      <c r="K2866" s="739">
        <f t="shared" si="754"/>
        <v>0</v>
      </c>
      <c r="L2866" s="1079"/>
      <c r="M2866" s="752"/>
      <c r="N2866" s="744">
        <f t="shared" si="756"/>
        <v>0</v>
      </c>
      <c r="O2866" s="745">
        <v>0</v>
      </c>
      <c r="P2866" s="737">
        <v>0</v>
      </c>
      <c r="Q2866" s="752"/>
      <c r="R2866" s="752"/>
      <c r="S2866" s="752"/>
    </row>
    <row r="2867" spans="1:19" s="753" customFormat="1" ht="24" customHeight="1">
      <c r="A2867" s="734"/>
      <c r="B2867" s="747" t="s">
        <v>469</v>
      </c>
      <c r="C2867" s="735" t="s">
        <v>486</v>
      </c>
      <c r="D2867" s="735"/>
      <c r="E2867" s="737">
        <f t="shared" si="755"/>
        <v>1</v>
      </c>
      <c r="F2867" s="738" t="s">
        <v>363</v>
      </c>
      <c r="G2867" s="739">
        <v>552</v>
      </c>
      <c r="H2867" s="748">
        <f t="shared" si="752"/>
        <v>552</v>
      </c>
      <c r="I2867" s="741">
        <v>25</v>
      </c>
      <c r="J2867" s="749">
        <f t="shared" si="753"/>
        <v>25</v>
      </c>
      <c r="K2867" s="739">
        <f t="shared" si="754"/>
        <v>577</v>
      </c>
      <c r="L2867" s="1079"/>
      <c r="M2867" s="752"/>
      <c r="N2867" s="744">
        <f t="shared" si="756"/>
        <v>1</v>
      </c>
      <c r="O2867" s="745">
        <v>0</v>
      </c>
      <c r="P2867" s="737">
        <v>1</v>
      </c>
      <c r="Q2867" s="752"/>
      <c r="R2867" s="752"/>
      <c r="S2867" s="752"/>
    </row>
    <row r="2868" spans="1:19" s="753" customFormat="1" ht="24" customHeight="1">
      <c r="A2868" s="734"/>
      <c r="B2868" s="747" t="s">
        <v>484</v>
      </c>
      <c r="C2868" s="735" t="s">
        <v>485</v>
      </c>
      <c r="D2868" s="735"/>
      <c r="E2868" s="737">
        <f t="shared" si="755"/>
        <v>1</v>
      </c>
      <c r="F2868" s="738" t="s">
        <v>363</v>
      </c>
      <c r="G2868" s="739">
        <v>285</v>
      </c>
      <c r="H2868" s="748">
        <f t="shared" si="752"/>
        <v>285</v>
      </c>
      <c r="I2868" s="741">
        <v>75</v>
      </c>
      <c r="J2868" s="749">
        <f t="shared" si="753"/>
        <v>75</v>
      </c>
      <c r="K2868" s="739">
        <f t="shared" si="754"/>
        <v>360</v>
      </c>
      <c r="L2868" s="1093"/>
      <c r="M2868" s="752"/>
      <c r="N2868" s="744">
        <f t="shared" si="756"/>
        <v>1</v>
      </c>
      <c r="O2868" s="745">
        <v>0</v>
      </c>
      <c r="P2868" s="737">
        <v>1</v>
      </c>
      <c r="Q2868" s="752"/>
      <c r="R2868" s="752"/>
      <c r="S2868" s="752"/>
    </row>
    <row r="2869" spans="1:19" s="753" customFormat="1" ht="24" customHeight="1">
      <c r="A2869" s="734"/>
      <c r="B2869" s="747"/>
      <c r="C2869" s="735"/>
      <c r="D2869" s="735"/>
      <c r="E2869" s="737">
        <f t="shared" si="755"/>
        <v>0</v>
      </c>
      <c r="F2869" s="738"/>
      <c r="G2869" s="739">
        <v>0</v>
      </c>
      <c r="H2869" s="748">
        <f t="shared" si="752"/>
        <v>0</v>
      </c>
      <c r="I2869" s="741">
        <v>0</v>
      </c>
      <c r="J2869" s="749">
        <f t="shared" si="753"/>
        <v>0</v>
      </c>
      <c r="K2869" s="739">
        <f t="shared" si="754"/>
        <v>0</v>
      </c>
      <c r="L2869" s="1079"/>
      <c r="M2869" s="752"/>
      <c r="N2869" s="744">
        <f t="shared" si="756"/>
        <v>0</v>
      </c>
      <c r="O2869" s="745">
        <v>0</v>
      </c>
      <c r="P2869" s="737">
        <v>0</v>
      </c>
      <c r="Q2869" s="752"/>
      <c r="R2869" s="752"/>
      <c r="S2869" s="752"/>
    </row>
    <row r="2870" spans="1:19" s="753" customFormat="1" ht="24" customHeight="1">
      <c r="A2870" s="734"/>
      <c r="B2870" s="747" t="s">
        <v>469</v>
      </c>
      <c r="C2870" s="735" t="s">
        <v>507</v>
      </c>
      <c r="D2870" s="735"/>
      <c r="E2870" s="737">
        <f t="shared" si="755"/>
        <v>1</v>
      </c>
      <c r="F2870" s="738" t="s">
        <v>363</v>
      </c>
      <c r="G2870" s="739">
        <v>1650</v>
      </c>
      <c r="H2870" s="748">
        <f t="shared" si="752"/>
        <v>1650</v>
      </c>
      <c r="I2870" s="741">
        <v>70</v>
      </c>
      <c r="J2870" s="749">
        <f t="shared" si="753"/>
        <v>70</v>
      </c>
      <c r="K2870" s="739">
        <f t="shared" si="754"/>
        <v>1720</v>
      </c>
      <c r="L2870" s="1079"/>
      <c r="M2870" s="752"/>
      <c r="N2870" s="744">
        <f t="shared" si="756"/>
        <v>1</v>
      </c>
      <c r="O2870" s="745">
        <v>0</v>
      </c>
      <c r="P2870" s="737">
        <v>1</v>
      </c>
      <c r="Q2870" s="752"/>
      <c r="R2870" s="752"/>
      <c r="S2870" s="752"/>
    </row>
    <row r="2871" spans="1:19" s="753" customFormat="1" ht="24" customHeight="1">
      <c r="A2871" s="734"/>
      <c r="B2871" s="747" t="s">
        <v>469</v>
      </c>
      <c r="C2871" s="735" t="s">
        <v>525</v>
      </c>
      <c r="D2871" s="735"/>
      <c r="E2871" s="737">
        <f t="shared" si="755"/>
        <v>2</v>
      </c>
      <c r="F2871" s="738" t="s">
        <v>363</v>
      </c>
      <c r="G2871" s="739">
        <v>4160</v>
      </c>
      <c r="H2871" s="748">
        <f t="shared" si="752"/>
        <v>8320</v>
      </c>
      <c r="I2871" s="741">
        <v>105</v>
      </c>
      <c r="J2871" s="749">
        <f t="shared" si="753"/>
        <v>210</v>
      </c>
      <c r="K2871" s="739">
        <f t="shared" si="754"/>
        <v>8530</v>
      </c>
      <c r="L2871" s="1079"/>
      <c r="M2871" s="752"/>
      <c r="N2871" s="744">
        <f t="shared" si="756"/>
        <v>2</v>
      </c>
      <c r="O2871" s="745">
        <v>0</v>
      </c>
      <c r="P2871" s="737">
        <v>2</v>
      </c>
      <c r="Q2871" s="752"/>
      <c r="R2871" s="752"/>
      <c r="S2871" s="752"/>
    </row>
    <row r="2872" spans="1:19" s="753" customFormat="1" ht="24" customHeight="1">
      <c r="A2872" s="734"/>
      <c r="B2872" s="747" t="s">
        <v>469</v>
      </c>
      <c r="C2872" s="735" t="s">
        <v>526</v>
      </c>
      <c r="D2872" s="735"/>
      <c r="E2872" s="737">
        <f t="shared" si="755"/>
        <v>1</v>
      </c>
      <c r="F2872" s="738" t="s">
        <v>363</v>
      </c>
      <c r="G2872" s="739">
        <v>2533.5</v>
      </c>
      <c r="H2872" s="748">
        <f t="shared" si="752"/>
        <v>2533.5</v>
      </c>
      <c r="I2872" s="741">
        <v>105</v>
      </c>
      <c r="J2872" s="749">
        <f t="shared" si="753"/>
        <v>105</v>
      </c>
      <c r="K2872" s="739">
        <f t="shared" si="754"/>
        <v>2638.5</v>
      </c>
      <c r="L2872" s="1079"/>
      <c r="M2872" s="752"/>
      <c r="N2872" s="744">
        <f t="shared" si="756"/>
        <v>1</v>
      </c>
      <c r="O2872" s="745">
        <v>0</v>
      </c>
      <c r="P2872" s="737">
        <v>1</v>
      </c>
      <c r="Q2872" s="752"/>
      <c r="R2872" s="752"/>
      <c r="S2872" s="752"/>
    </row>
    <row r="2873" spans="1:19" s="753" customFormat="1" ht="24" customHeight="1">
      <c r="A2873" s="734"/>
      <c r="B2873" s="747"/>
      <c r="C2873" s="735"/>
      <c r="D2873" s="735"/>
      <c r="E2873" s="737">
        <f t="shared" si="755"/>
        <v>0</v>
      </c>
      <c r="F2873" s="738"/>
      <c r="G2873" s="739">
        <v>0</v>
      </c>
      <c r="H2873" s="748">
        <f t="shared" si="752"/>
        <v>0</v>
      </c>
      <c r="I2873" s="741">
        <v>0</v>
      </c>
      <c r="J2873" s="749">
        <f t="shared" si="753"/>
        <v>0</v>
      </c>
      <c r="K2873" s="739">
        <f t="shared" si="754"/>
        <v>0</v>
      </c>
      <c r="L2873" s="1079"/>
      <c r="M2873" s="752"/>
      <c r="N2873" s="744">
        <f t="shared" si="756"/>
        <v>0</v>
      </c>
      <c r="O2873" s="745">
        <v>0</v>
      </c>
      <c r="P2873" s="737">
        <v>0</v>
      </c>
      <c r="Q2873" s="752"/>
      <c r="R2873" s="752"/>
      <c r="S2873" s="752"/>
    </row>
    <row r="2874" spans="1:19" s="753" customFormat="1" ht="24" customHeight="1">
      <c r="A2874" s="734"/>
      <c r="B2874" s="747" t="s">
        <v>469</v>
      </c>
      <c r="C2874" s="735" t="s">
        <v>527</v>
      </c>
      <c r="D2874" s="735"/>
      <c r="E2874" s="737">
        <f t="shared" si="755"/>
        <v>1</v>
      </c>
      <c r="F2874" s="738" t="s">
        <v>363</v>
      </c>
      <c r="G2874" s="739">
        <v>2855</v>
      </c>
      <c r="H2874" s="748">
        <f t="shared" si="752"/>
        <v>2855</v>
      </c>
      <c r="I2874" s="741">
        <v>1432</v>
      </c>
      <c r="J2874" s="749">
        <f t="shared" si="753"/>
        <v>1432</v>
      </c>
      <c r="K2874" s="739">
        <f t="shared" si="754"/>
        <v>4287</v>
      </c>
      <c r="L2874" s="1079"/>
      <c r="M2874" s="752"/>
      <c r="N2874" s="744">
        <f t="shared" si="756"/>
        <v>1</v>
      </c>
      <c r="O2874" s="745">
        <v>0</v>
      </c>
      <c r="P2874" s="737">
        <v>1</v>
      </c>
      <c r="Q2874" s="752"/>
      <c r="R2874" s="752"/>
      <c r="S2874" s="752"/>
    </row>
    <row r="2875" spans="1:19" s="682" customFormat="1" ht="24" customHeight="1">
      <c r="A2875" s="734"/>
      <c r="B2875" s="747" t="s">
        <v>469</v>
      </c>
      <c r="C2875" s="735" t="s">
        <v>528</v>
      </c>
      <c r="D2875" s="735"/>
      <c r="E2875" s="737">
        <f t="shared" si="755"/>
        <v>0</v>
      </c>
      <c r="F2875" s="738" t="s">
        <v>363</v>
      </c>
      <c r="G2875" s="739">
        <v>9750</v>
      </c>
      <c r="H2875" s="748">
        <f t="shared" si="752"/>
        <v>0</v>
      </c>
      <c r="I2875" s="741">
        <v>105</v>
      </c>
      <c r="J2875" s="749">
        <f t="shared" si="753"/>
        <v>0</v>
      </c>
      <c r="K2875" s="739">
        <f t="shared" si="754"/>
        <v>0</v>
      </c>
      <c r="L2875" s="1079"/>
      <c r="M2875" s="679"/>
      <c r="N2875" s="744">
        <f t="shared" si="756"/>
        <v>0</v>
      </c>
      <c r="O2875" s="745">
        <v>0</v>
      </c>
      <c r="P2875" s="737">
        <v>0</v>
      </c>
      <c r="Q2875" s="679"/>
      <c r="R2875" s="679"/>
      <c r="S2875" s="679"/>
    </row>
    <row r="2876" spans="1:19" s="682" customFormat="1" ht="24" customHeight="1">
      <c r="A2876" s="734"/>
      <c r="B2876" s="747" t="s">
        <v>469</v>
      </c>
      <c r="C2876" s="735" t="s">
        <v>529</v>
      </c>
      <c r="D2876" s="735"/>
      <c r="E2876" s="737">
        <f t="shared" si="755"/>
        <v>0</v>
      </c>
      <c r="F2876" s="738" t="s">
        <v>363</v>
      </c>
      <c r="G2876" s="739">
        <v>5200</v>
      </c>
      <c r="H2876" s="748">
        <f t="shared" si="752"/>
        <v>0</v>
      </c>
      <c r="I2876" s="741">
        <v>70</v>
      </c>
      <c r="J2876" s="749">
        <f t="shared" si="753"/>
        <v>0</v>
      </c>
      <c r="K2876" s="739">
        <f t="shared" si="754"/>
        <v>0</v>
      </c>
      <c r="L2876" s="1079"/>
      <c r="M2876" s="679"/>
      <c r="N2876" s="744">
        <f t="shared" si="756"/>
        <v>0</v>
      </c>
      <c r="O2876" s="745">
        <v>0</v>
      </c>
      <c r="P2876" s="737">
        <v>0</v>
      </c>
      <c r="Q2876" s="679"/>
      <c r="R2876" s="679"/>
      <c r="S2876" s="679"/>
    </row>
    <row r="2877" spans="1:19" s="682" customFormat="1" ht="24" customHeight="1">
      <c r="A2877" s="734"/>
      <c r="B2877" s="747" t="s">
        <v>469</v>
      </c>
      <c r="C2877" s="735" t="s">
        <v>519</v>
      </c>
      <c r="D2877" s="735"/>
      <c r="E2877" s="737">
        <f t="shared" si="755"/>
        <v>1</v>
      </c>
      <c r="F2877" s="738" t="s">
        <v>363</v>
      </c>
      <c r="G2877" s="739">
        <v>800</v>
      </c>
      <c r="H2877" s="748">
        <f t="shared" si="752"/>
        <v>800</v>
      </c>
      <c r="I2877" s="741">
        <v>70</v>
      </c>
      <c r="J2877" s="749">
        <f t="shared" si="753"/>
        <v>70</v>
      </c>
      <c r="K2877" s="739">
        <f t="shared" si="754"/>
        <v>870</v>
      </c>
      <c r="L2877" s="1079"/>
      <c r="M2877" s="679"/>
      <c r="N2877" s="744">
        <f t="shared" si="756"/>
        <v>1</v>
      </c>
      <c r="O2877" s="745">
        <v>0</v>
      </c>
      <c r="P2877" s="737">
        <v>1</v>
      </c>
      <c r="Q2877" s="679"/>
      <c r="R2877" s="679"/>
      <c r="S2877" s="679"/>
    </row>
    <row r="2878" spans="1:19" s="682" customFormat="1" ht="24" customHeight="1">
      <c r="A2878" s="734"/>
      <c r="B2878" s="747" t="s">
        <v>469</v>
      </c>
      <c r="C2878" s="735" t="s">
        <v>520</v>
      </c>
      <c r="D2878" s="735"/>
      <c r="E2878" s="737">
        <f t="shared" si="755"/>
        <v>0</v>
      </c>
      <c r="F2878" s="738" t="s">
        <v>361</v>
      </c>
      <c r="G2878" s="739">
        <v>190</v>
      </c>
      <c r="H2878" s="748">
        <f t="shared" si="752"/>
        <v>0</v>
      </c>
      <c r="I2878" s="741">
        <v>75</v>
      </c>
      <c r="J2878" s="749">
        <f t="shared" si="753"/>
        <v>0</v>
      </c>
      <c r="K2878" s="739">
        <f t="shared" si="754"/>
        <v>0</v>
      </c>
      <c r="L2878" s="1079"/>
      <c r="M2878" s="679"/>
      <c r="N2878" s="744">
        <f t="shared" si="756"/>
        <v>0</v>
      </c>
      <c r="O2878" s="745">
        <v>0</v>
      </c>
      <c r="P2878" s="737">
        <v>0</v>
      </c>
      <c r="Q2878" s="679"/>
      <c r="R2878" s="679"/>
      <c r="S2878" s="679"/>
    </row>
    <row r="2879" spans="1:19" s="753" customFormat="1" ht="24" customHeight="1">
      <c r="A2879" s="734"/>
      <c r="B2879" s="747"/>
      <c r="C2879" s="735"/>
      <c r="D2879" s="735"/>
      <c r="E2879" s="737">
        <f t="shared" si="755"/>
        <v>0</v>
      </c>
      <c r="F2879" s="738"/>
      <c r="G2879" s="739">
        <v>0</v>
      </c>
      <c r="H2879" s="748">
        <f t="shared" si="752"/>
        <v>0</v>
      </c>
      <c r="I2879" s="741">
        <v>0</v>
      </c>
      <c r="J2879" s="749">
        <f t="shared" si="753"/>
        <v>0</v>
      </c>
      <c r="K2879" s="739">
        <f t="shared" si="754"/>
        <v>0</v>
      </c>
      <c r="L2879" s="1079"/>
      <c r="M2879" s="752"/>
      <c r="N2879" s="758">
        <f t="shared" si="756"/>
        <v>0</v>
      </c>
      <c r="O2879" s="745">
        <v>0</v>
      </c>
      <c r="P2879" s="759"/>
      <c r="Q2879" s="752"/>
      <c r="R2879" s="752"/>
      <c r="S2879" s="752"/>
    </row>
    <row r="2880" spans="1:19" s="753" customFormat="1" ht="24" customHeight="1">
      <c r="A2880" s="734"/>
      <c r="B2880" s="735" t="s">
        <v>1075</v>
      </c>
      <c r="C2880" s="736"/>
      <c r="D2880" s="907"/>
      <c r="E2880" s="737">
        <f t="shared" si="755"/>
        <v>0</v>
      </c>
      <c r="F2880" s="738"/>
      <c r="G2880" s="739">
        <v>0</v>
      </c>
      <c r="H2880" s="748">
        <f t="shared" si="752"/>
        <v>0</v>
      </c>
      <c r="I2880" s="741">
        <v>0</v>
      </c>
      <c r="J2880" s="749">
        <f t="shared" si="753"/>
        <v>0</v>
      </c>
      <c r="K2880" s="739">
        <f t="shared" si="754"/>
        <v>0</v>
      </c>
      <c r="L2880" s="1079"/>
      <c r="M2880" s="752"/>
      <c r="N2880" s="744">
        <f t="shared" si="756"/>
        <v>0</v>
      </c>
      <c r="O2880" s="745">
        <v>0</v>
      </c>
      <c r="P2880" s="737">
        <v>0</v>
      </c>
      <c r="Q2880" s="752"/>
      <c r="R2880" s="752"/>
      <c r="S2880" s="752"/>
    </row>
    <row r="2881" spans="1:19" s="753" customFormat="1" ht="24" customHeight="1">
      <c r="A2881" s="734"/>
      <c r="B2881" s="747" t="s">
        <v>469</v>
      </c>
      <c r="C2881" s="735" t="s">
        <v>497</v>
      </c>
      <c r="D2881" s="735"/>
      <c r="E2881" s="737">
        <f t="shared" si="755"/>
        <v>4</v>
      </c>
      <c r="F2881" s="738" t="s">
        <v>363</v>
      </c>
      <c r="G2881" s="739">
        <v>1540</v>
      </c>
      <c r="H2881" s="748">
        <f t="shared" si="752"/>
        <v>6160</v>
      </c>
      <c r="I2881" s="741">
        <v>450</v>
      </c>
      <c r="J2881" s="749">
        <f t="shared" si="753"/>
        <v>1800</v>
      </c>
      <c r="K2881" s="739">
        <f t="shared" si="754"/>
        <v>7960</v>
      </c>
      <c r="L2881" s="1079"/>
      <c r="M2881" s="752"/>
      <c r="N2881" s="744">
        <f t="shared" si="756"/>
        <v>4</v>
      </c>
      <c r="O2881" s="745">
        <v>0</v>
      </c>
      <c r="P2881" s="737">
        <v>4</v>
      </c>
      <c r="Q2881" s="752"/>
      <c r="R2881" s="752"/>
      <c r="S2881" s="752"/>
    </row>
    <row r="2882" spans="1:19" s="753" customFormat="1" ht="24" customHeight="1">
      <c r="A2882" s="734"/>
      <c r="B2882" s="747" t="s">
        <v>469</v>
      </c>
      <c r="C2882" s="735" t="s">
        <v>498</v>
      </c>
      <c r="D2882" s="735"/>
      <c r="E2882" s="737">
        <f t="shared" si="755"/>
        <v>4</v>
      </c>
      <c r="F2882" s="738" t="s">
        <v>363</v>
      </c>
      <c r="G2882" s="739">
        <v>6640</v>
      </c>
      <c r="H2882" s="748">
        <f t="shared" si="752"/>
        <v>26560</v>
      </c>
      <c r="I2882" s="741">
        <v>200</v>
      </c>
      <c r="J2882" s="749">
        <f t="shared" si="753"/>
        <v>800</v>
      </c>
      <c r="K2882" s="739">
        <f t="shared" si="754"/>
        <v>27360</v>
      </c>
      <c r="L2882" s="1079"/>
      <c r="M2882" s="752"/>
      <c r="N2882" s="744">
        <f t="shared" si="756"/>
        <v>4</v>
      </c>
      <c r="O2882" s="745">
        <v>0</v>
      </c>
      <c r="P2882" s="737">
        <v>4</v>
      </c>
      <c r="Q2882" s="752"/>
      <c r="R2882" s="752"/>
      <c r="S2882" s="752"/>
    </row>
    <row r="2883" spans="1:19" s="753" customFormat="1" ht="24" customHeight="1">
      <c r="A2883" s="734"/>
      <c r="B2883" s="747" t="s">
        <v>469</v>
      </c>
      <c r="C2883" s="735" t="s">
        <v>496</v>
      </c>
      <c r="D2883" s="735"/>
      <c r="E2883" s="737">
        <f t="shared" si="755"/>
        <v>4</v>
      </c>
      <c r="F2883" s="738" t="s">
        <v>363</v>
      </c>
      <c r="G2883" s="739">
        <v>336</v>
      </c>
      <c r="H2883" s="748">
        <f t="shared" si="752"/>
        <v>1344</v>
      </c>
      <c r="I2883" s="741">
        <v>0</v>
      </c>
      <c r="J2883" s="749">
        <f t="shared" si="753"/>
        <v>0</v>
      </c>
      <c r="K2883" s="739">
        <f t="shared" si="754"/>
        <v>1344</v>
      </c>
      <c r="L2883" s="1079"/>
      <c r="M2883" s="752"/>
      <c r="N2883" s="744">
        <f t="shared" si="756"/>
        <v>4</v>
      </c>
      <c r="O2883" s="745">
        <v>0</v>
      </c>
      <c r="P2883" s="737">
        <v>4</v>
      </c>
      <c r="Q2883" s="752"/>
      <c r="R2883" s="752"/>
      <c r="S2883" s="752"/>
    </row>
    <row r="2884" spans="1:19" s="753" customFormat="1" ht="24" customHeight="1">
      <c r="A2884" s="734"/>
      <c r="B2884" s="747" t="s">
        <v>469</v>
      </c>
      <c r="C2884" s="735" t="s">
        <v>490</v>
      </c>
      <c r="D2884" s="735"/>
      <c r="E2884" s="737">
        <f t="shared" si="755"/>
        <v>4</v>
      </c>
      <c r="F2884" s="738" t="s">
        <v>363</v>
      </c>
      <c r="G2884" s="739">
        <v>736</v>
      </c>
      <c r="H2884" s="748">
        <f t="shared" si="752"/>
        <v>2944</v>
      </c>
      <c r="I2884" s="741">
        <v>0</v>
      </c>
      <c r="J2884" s="749">
        <f t="shared" si="753"/>
        <v>0</v>
      </c>
      <c r="K2884" s="739">
        <f t="shared" si="754"/>
        <v>2944</v>
      </c>
      <c r="L2884" s="1079"/>
      <c r="M2884" s="752"/>
      <c r="N2884" s="744">
        <f t="shared" si="756"/>
        <v>4</v>
      </c>
      <c r="O2884" s="745">
        <v>0</v>
      </c>
      <c r="P2884" s="737">
        <v>4</v>
      </c>
      <c r="Q2884" s="752"/>
      <c r="R2884" s="752"/>
      <c r="S2884" s="752"/>
    </row>
    <row r="2885" spans="1:19" s="753" customFormat="1" ht="24" customHeight="1">
      <c r="A2885" s="734"/>
      <c r="B2885" s="747" t="s">
        <v>469</v>
      </c>
      <c r="C2885" s="735" t="s">
        <v>478</v>
      </c>
      <c r="D2885" s="735"/>
      <c r="E2885" s="737">
        <f t="shared" si="755"/>
        <v>4</v>
      </c>
      <c r="F2885" s="738" t="s">
        <v>363</v>
      </c>
      <c r="G2885" s="739">
        <v>176</v>
      </c>
      <c r="H2885" s="748">
        <f t="shared" si="752"/>
        <v>704</v>
      </c>
      <c r="I2885" s="741">
        <v>0</v>
      </c>
      <c r="J2885" s="749">
        <f t="shared" si="753"/>
        <v>0</v>
      </c>
      <c r="K2885" s="739">
        <f t="shared" si="754"/>
        <v>704</v>
      </c>
      <c r="L2885" s="1079"/>
      <c r="M2885" s="752"/>
      <c r="N2885" s="744">
        <f t="shared" si="756"/>
        <v>4</v>
      </c>
      <c r="O2885" s="745">
        <v>0</v>
      </c>
      <c r="P2885" s="737">
        <v>4</v>
      </c>
      <c r="Q2885" s="752"/>
      <c r="R2885" s="752"/>
      <c r="S2885" s="752"/>
    </row>
    <row r="2886" spans="1:19" s="753" customFormat="1" ht="24" customHeight="1">
      <c r="A2886" s="734"/>
      <c r="B2886" s="747" t="s">
        <v>469</v>
      </c>
      <c r="C2886" s="735" t="s">
        <v>499</v>
      </c>
      <c r="D2886" s="735"/>
      <c r="E2886" s="737">
        <f t="shared" si="755"/>
        <v>4</v>
      </c>
      <c r="F2886" s="738" t="s">
        <v>363</v>
      </c>
      <c r="G2886" s="739">
        <v>216</v>
      </c>
      <c r="H2886" s="748">
        <f t="shared" si="752"/>
        <v>864</v>
      </c>
      <c r="I2886" s="741">
        <v>35</v>
      </c>
      <c r="J2886" s="749">
        <f t="shared" si="753"/>
        <v>140</v>
      </c>
      <c r="K2886" s="739">
        <f t="shared" si="754"/>
        <v>1004</v>
      </c>
      <c r="L2886" s="1079"/>
      <c r="M2886" s="752"/>
      <c r="N2886" s="744">
        <f t="shared" si="756"/>
        <v>4</v>
      </c>
      <c r="O2886" s="745">
        <v>0</v>
      </c>
      <c r="P2886" s="737">
        <v>4</v>
      </c>
      <c r="Q2886" s="752"/>
      <c r="R2886" s="752"/>
      <c r="S2886" s="752"/>
    </row>
    <row r="2887" spans="1:19" s="753" customFormat="1" ht="24" customHeight="1">
      <c r="A2887" s="734"/>
      <c r="B2887" s="750"/>
      <c r="C2887" s="736"/>
      <c r="D2887" s="907"/>
      <c r="E2887" s="737">
        <f t="shared" si="755"/>
        <v>0</v>
      </c>
      <c r="F2887" s="738"/>
      <c r="G2887" s="739">
        <v>0</v>
      </c>
      <c r="H2887" s="748">
        <f t="shared" si="752"/>
        <v>0</v>
      </c>
      <c r="I2887" s="741">
        <v>0</v>
      </c>
      <c r="J2887" s="749">
        <f t="shared" si="753"/>
        <v>0</v>
      </c>
      <c r="K2887" s="739">
        <f t="shared" si="754"/>
        <v>0</v>
      </c>
      <c r="L2887" s="1079"/>
      <c r="M2887" s="752"/>
      <c r="N2887" s="744">
        <f t="shared" si="756"/>
        <v>0</v>
      </c>
      <c r="O2887" s="745">
        <v>0</v>
      </c>
      <c r="P2887" s="737">
        <v>0</v>
      </c>
      <c r="Q2887" s="752"/>
      <c r="R2887" s="752"/>
      <c r="S2887" s="752"/>
    </row>
    <row r="2888" spans="1:19" s="753" customFormat="1" ht="24" customHeight="1">
      <c r="A2888" s="734"/>
      <c r="B2888" s="747" t="s">
        <v>469</v>
      </c>
      <c r="C2888" s="735" t="s">
        <v>492</v>
      </c>
      <c r="D2888" s="735"/>
      <c r="E2888" s="737">
        <f t="shared" si="755"/>
        <v>5</v>
      </c>
      <c r="F2888" s="738" t="s">
        <v>363</v>
      </c>
      <c r="G2888" s="739">
        <v>9375</v>
      </c>
      <c r="H2888" s="748">
        <f t="shared" si="752"/>
        <v>46875</v>
      </c>
      <c r="I2888" s="741">
        <v>450</v>
      </c>
      <c r="J2888" s="749">
        <f t="shared" si="753"/>
        <v>2250</v>
      </c>
      <c r="K2888" s="739">
        <f t="shared" si="754"/>
        <v>49125</v>
      </c>
      <c r="L2888" s="1079"/>
      <c r="M2888" s="752"/>
      <c r="N2888" s="744">
        <f t="shared" si="756"/>
        <v>5</v>
      </c>
      <c r="O2888" s="745">
        <v>0</v>
      </c>
      <c r="P2888" s="737">
        <v>5</v>
      </c>
      <c r="Q2888" s="752"/>
      <c r="R2888" s="752"/>
      <c r="S2888" s="752"/>
    </row>
    <row r="2889" spans="1:19" s="753" customFormat="1" ht="24" customHeight="1">
      <c r="A2889" s="734"/>
      <c r="B2889" s="747" t="s">
        <v>469</v>
      </c>
      <c r="C2889" s="735" t="s">
        <v>500</v>
      </c>
      <c r="D2889" s="735"/>
      <c r="E2889" s="737">
        <f t="shared" si="755"/>
        <v>5</v>
      </c>
      <c r="F2889" s="738" t="s">
        <v>363</v>
      </c>
      <c r="G2889" s="739">
        <v>12752</v>
      </c>
      <c r="H2889" s="748">
        <f t="shared" si="752"/>
        <v>63760</v>
      </c>
      <c r="I2889" s="741">
        <v>0</v>
      </c>
      <c r="J2889" s="749">
        <f t="shared" si="753"/>
        <v>0</v>
      </c>
      <c r="K2889" s="739">
        <f t="shared" si="754"/>
        <v>63760</v>
      </c>
      <c r="L2889" s="1079"/>
      <c r="M2889" s="752"/>
      <c r="N2889" s="744">
        <f t="shared" si="756"/>
        <v>5</v>
      </c>
      <c r="O2889" s="745">
        <v>0</v>
      </c>
      <c r="P2889" s="737">
        <v>5</v>
      </c>
      <c r="Q2889" s="752"/>
      <c r="R2889" s="752"/>
      <c r="S2889" s="752"/>
    </row>
    <row r="2890" spans="1:19" s="753" customFormat="1" ht="24" customHeight="1">
      <c r="A2890" s="734"/>
      <c r="B2890" s="747" t="s">
        <v>469</v>
      </c>
      <c r="C2890" s="735" t="s">
        <v>501</v>
      </c>
      <c r="D2890" s="735"/>
      <c r="E2890" s="737">
        <v>0</v>
      </c>
      <c r="F2890" s="738" t="s">
        <v>363</v>
      </c>
      <c r="G2890" s="739">
        <v>1950</v>
      </c>
      <c r="H2890" s="748">
        <f t="shared" si="752"/>
        <v>0</v>
      </c>
      <c r="I2890" s="741">
        <v>35</v>
      </c>
      <c r="J2890" s="749">
        <f t="shared" si="753"/>
        <v>0</v>
      </c>
      <c r="K2890" s="739">
        <f t="shared" si="754"/>
        <v>0</v>
      </c>
      <c r="L2890" s="1079"/>
      <c r="M2890" s="752"/>
      <c r="N2890" s="744">
        <f t="shared" si="756"/>
        <v>5</v>
      </c>
      <c r="O2890" s="745">
        <v>0</v>
      </c>
      <c r="P2890" s="737">
        <v>5</v>
      </c>
      <c r="Q2890" s="752"/>
      <c r="R2890" s="752"/>
      <c r="S2890" s="752"/>
    </row>
    <row r="2891" spans="1:19" s="753" customFormat="1" ht="24" customHeight="1">
      <c r="A2891" s="734"/>
      <c r="B2891" s="747" t="s">
        <v>469</v>
      </c>
      <c r="C2891" s="735" t="s">
        <v>502</v>
      </c>
      <c r="D2891" s="735"/>
      <c r="E2891" s="737">
        <f t="shared" si="755"/>
        <v>5</v>
      </c>
      <c r="F2891" s="738" t="s">
        <v>363</v>
      </c>
      <c r="G2891" s="739">
        <v>216</v>
      </c>
      <c r="H2891" s="748">
        <f t="shared" si="752"/>
        <v>1080</v>
      </c>
      <c r="I2891" s="741">
        <v>35</v>
      </c>
      <c r="J2891" s="749">
        <f t="shared" si="753"/>
        <v>175</v>
      </c>
      <c r="K2891" s="739">
        <f t="shared" si="754"/>
        <v>1255</v>
      </c>
      <c r="L2891" s="1079"/>
      <c r="M2891" s="752"/>
      <c r="N2891" s="744">
        <f t="shared" si="756"/>
        <v>5</v>
      </c>
      <c r="O2891" s="745">
        <v>0</v>
      </c>
      <c r="P2891" s="737">
        <v>5</v>
      </c>
      <c r="Q2891" s="752"/>
      <c r="R2891" s="752"/>
      <c r="S2891" s="752"/>
    </row>
    <row r="2892" spans="1:19" s="753" customFormat="1" ht="24" customHeight="1">
      <c r="A2892" s="734"/>
      <c r="B2892" s="747"/>
      <c r="C2892" s="735"/>
      <c r="D2892" s="907"/>
      <c r="E2892" s="737">
        <f t="shared" si="755"/>
        <v>0</v>
      </c>
      <c r="F2892" s="738"/>
      <c r="G2892" s="739">
        <v>0</v>
      </c>
      <c r="H2892" s="748">
        <f t="shared" si="752"/>
        <v>0</v>
      </c>
      <c r="I2892" s="741">
        <v>0</v>
      </c>
      <c r="J2892" s="749">
        <f t="shared" si="753"/>
        <v>0</v>
      </c>
      <c r="K2892" s="739">
        <f t="shared" si="754"/>
        <v>0</v>
      </c>
      <c r="L2892" s="1079"/>
      <c r="M2892" s="752"/>
      <c r="N2892" s="744">
        <f t="shared" si="756"/>
        <v>0</v>
      </c>
      <c r="O2892" s="745">
        <v>0</v>
      </c>
      <c r="P2892" s="737">
        <v>0</v>
      </c>
      <c r="Q2892" s="752"/>
      <c r="R2892" s="752"/>
      <c r="S2892" s="752"/>
    </row>
    <row r="2893" spans="1:19" s="753" customFormat="1" ht="24" customHeight="1">
      <c r="A2893" s="734"/>
      <c r="B2893" s="747" t="s">
        <v>469</v>
      </c>
      <c r="C2893" s="735" t="s">
        <v>503</v>
      </c>
      <c r="D2893" s="735"/>
      <c r="E2893" s="737">
        <f t="shared" si="755"/>
        <v>8</v>
      </c>
      <c r="F2893" s="738" t="s">
        <v>363</v>
      </c>
      <c r="G2893" s="739">
        <v>3920</v>
      </c>
      <c r="H2893" s="748">
        <f t="shared" si="752"/>
        <v>31360</v>
      </c>
      <c r="I2893" s="741">
        <v>450</v>
      </c>
      <c r="J2893" s="749">
        <f t="shared" si="753"/>
        <v>3600</v>
      </c>
      <c r="K2893" s="739">
        <f t="shared" si="754"/>
        <v>34960</v>
      </c>
      <c r="L2893" s="1079"/>
      <c r="M2893" s="752"/>
      <c r="N2893" s="744">
        <f t="shared" si="756"/>
        <v>8</v>
      </c>
      <c r="O2893" s="745">
        <v>0</v>
      </c>
      <c r="P2893" s="737">
        <v>8</v>
      </c>
      <c r="Q2893" s="752"/>
      <c r="R2893" s="752"/>
      <c r="S2893" s="752"/>
    </row>
    <row r="2894" spans="1:19" s="753" customFormat="1" ht="24" customHeight="1">
      <c r="A2894" s="734"/>
      <c r="B2894" s="747" t="s">
        <v>469</v>
      </c>
      <c r="C2894" s="735" t="s">
        <v>504</v>
      </c>
      <c r="D2894" s="735"/>
      <c r="E2894" s="737">
        <f t="shared" si="755"/>
        <v>8</v>
      </c>
      <c r="F2894" s="738" t="s">
        <v>363</v>
      </c>
      <c r="G2894" s="739">
        <v>12752</v>
      </c>
      <c r="H2894" s="748">
        <f t="shared" si="752"/>
        <v>102016</v>
      </c>
      <c r="I2894" s="741">
        <v>0</v>
      </c>
      <c r="J2894" s="749">
        <f t="shared" si="753"/>
        <v>0</v>
      </c>
      <c r="K2894" s="739">
        <f t="shared" si="754"/>
        <v>102016</v>
      </c>
      <c r="L2894" s="1079"/>
      <c r="M2894" s="752"/>
      <c r="N2894" s="744">
        <f t="shared" si="756"/>
        <v>8</v>
      </c>
      <c r="O2894" s="745">
        <v>0</v>
      </c>
      <c r="P2894" s="737">
        <v>8</v>
      </c>
      <c r="Q2894" s="752"/>
      <c r="R2894" s="752"/>
      <c r="S2894" s="752"/>
    </row>
    <row r="2895" spans="1:19" s="682" customFormat="1" ht="24" customHeight="1">
      <c r="A2895" s="734"/>
      <c r="B2895" s="747" t="s">
        <v>469</v>
      </c>
      <c r="C2895" s="735" t="s">
        <v>505</v>
      </c>
      <c r="D2895" s="735"/>
      <c r="E2895" s="737">
        <f t="shared" si="755"/>
        <v>6</v>
      </c>
      <c r="F2895" s="738" t="s">
        <v>363</v>
      </c>
      <c r="G2895" s="739">
        <v>2280</v>
      </c>
      <c r="H2895" s="748">
        <f t="shared" si="752"/>
        <v>13680</v>
      </c>
      <c r="I2895" s="741">
        <v>300</v>
      </c>
      <c r="J2895" s="749">
        <f t="shared" si="753"/>
        <v>1800</v>
      </c>
      <c r="K2895" s="739">
        <f t="shared" si="754"/>
        <v>15480</v>
      </c>
      <c r="L2895" s="1079"/>
      <c r="M2895" s="679"/>
      <c r="N2895" s="744">
        <f t="shared" si="756"/>
        <v>6</v>
      </c>
      <c r="O2895" s="745">
        <v>0</v>
      </c>
      <c r="P2895" s="737">
        <v>6</v>
      </c>
      <c r="Q2895" s="679"/>
      <c r="R2895" s="679"/>
      <c r="S2895" s="679"/>
    </row>
    <row r="2896" spans="1:19" s="682" customFormat="1" ht="24" customHeight="1">
      <c r="A2896" s="734"/>
      <c r="B2896" s="747" t="s">
        <v>469</v>
      </c>
      <c r="C2896" s="735" t="s">
        <v>506</v>
      </c>
      <c r="D2896" s="735"/>
      <c r="E2896" s="737">
        <f t="shared" si="755"/>
        <v>0</v>
      </c>
      <c r="F2896" s="738" t="s">
        <v>363</v>
      </c>
      <c r="G2896" s="739">
        <v>6592</v>
      </c>
      <c r="H2896" s="748">
        <f t="shared" si="752"/>
        <v>0</v>
      </c>
      <c r="I2896" s="741">
        <v>140</v>
      </c>
      <c r="J2896" s="749">
        <f t="shared" si="753"/>
        <v>0</v>
      </c>
      <c r="K2896" s="739">
        <f t="shared" si="754"/>
        <v>0</v>
      </c>
      <c r="L2896" s="1079"/>
      <c r="M2896" s="679"/>
      <c r="N2896" s="744">
        <f t="shared" si="756"/>
        <v>0</v>
      </c>
      <c r="O2896" s="745">
        <v>0</v>
      </c>
      <c r="P2896" s="737">
        <v>0</v>
      </c>
      <c r="Q2896" s="679"/>
      <c r="R2896" s="679"/>
      <c r="S2896" s="679"/>
    </row>
    <row r="2897" spans="1:19" s="753" customFormat="1" ht="24" customHeight="1">
      <c r="A2897" s="734"/>
      <c r="B2897" s="747" t="s">
        <v>484</v>
      </c>
      <c r="C2897" s="735" t="s">
        <v>485</v>
      </c>
      <c r="D2897" s="735"/>
      <c r="E2897" s="737">
        <f t="shared" si="755"/>
        <v>7</v>
      </c>
      <c r="F2897" s="738" t="s">
        <v>363</v>
      </c>
      <c r="G2897" s="739">
        <v>285</v>
      </c>
      <c r="H2897" s="748">
        <f t="shared" si="752"/>
        <v>1995</v>
      </c>
      <c r="I2897" s="741">
        <v>75</v>
      </c>
      <c r="J2897" s="749">
        <f t="shared" si="753"/>
        <v>525</v>
      </c>
      <c r="K2897" s="739">
        <f t="shared" si="754"/>
        <v>2520</v>
      </c>
      <c r="L2897" s="1093"/>
      <c r="M2897" s="752"/>
      <c r="N2897" s="744">
        <f t="shared" si="756"/>
        <v>7</v>
      </c>
      <c r="O2897" s="745">
        <v>0</v>
      </c>
      <c r="P2897" s="737">
        <v>7</v>
      </c>
      <c r="Q2897" s="752"/>
      <c r="R2897" s="752"/>
      <c r="S2897" s="752"/>
    </row>
    <row r="2898" spans="1:19" s="753" customFormat="1" ht="24" customHeight="1">
      <c r="A2898" s="734"/>
      <c r="B2898" s="747" t="s">
        <v>469</v>
      </c>
      <c r="C2898" s="735" t="s">
        <v>486</v>
      </c>
      <c r="D2898" s="735"/>
      <c r="E2898" s="737">
        <f t="shared" si="755"/>
        <v>1</v>
      </c>
      <c r="F2898" s="738" t="s">
        <v>363</v>
      </c>
      <c r="G2898" s="739">
        <v>552</v>
      </c>
      <c r="H2898" s="748">
        <f t="shared" si="752"/>
        <v>552</v>
      </c>
      <c r="I2898" s="741">
        <v>25</v>
      </c>
      <c r="J2898" s="749">
        <f t="shared" si="753"/>
        <v>25</v>
      </c>
      <c r="K2898" s="739">
        <f t="shared" si="754"/>
        <v>577</v>
      </c>
      <c r="L2898" s="1079"/>
      <c r="M2898" s="752"/>
      <c r="N2898" s="744">
        <f t="shared" si="756"/>
        <v>1</v>
      </c>
      <c r="O2898" s="745">
        <v>0</v>
      </c>
      <c r="P2898" s="737">
        <v>1</v>
      </c>
      <c r="Q2898" s="752"/>
      <c r="R2898" s="752"/>
      <c r="S2898" s="752"/>
    </row>
    <row r="2899" spans="1:19" s="753" customFormat="1" ht="24" customHeight="1">
      <c r="A2899" s="734"/>
      <c r="B2899" s="747" t="s">
        <v>469</v>
      </c>
      <c r="C2899" s="735" t="s">
        <v>507</v>
      </c>
      <c r="D2899" s="735"/>
      <c r="E2899" s="737">
        <f t="shared" si="755"/>
        <v>1</v>
      </c>
      <c r="F2899" s="738" t="s">
        <v>363</v>
      </c>
      <c r="G2899" s="739">
        <v>1650</v>
      </c>
      <c r="H2899" s="748">
        <f t="shared" si="752"/>
        <v>1650</v>
      </c>
      <c r="I2899" s="741">
        <v>70</v>
      </c>
      <c r="J2899" s="749">
        <f t="shared" si="753"/>
        <v>70</v>
      </c>
      <c r="K2899" s="739">
        <f t="shared" si="754"/>
        <v>1720</v>
      </c>
      <c r="L2899" s="1079"/>
      <c r="M2899" s="752"/>
      <c r="N2899" s="744">
        <f t="shared" si="756"/>
        <v>1</v>
      </c>
      <c r="O2899" s="745">
        <v>0</v>
      </c>
      <c r="P2899" s="737">
        <v>1</v>
      </c>
      <c r="Q2899" s="752"/>
      <c r="R2899" s="752"/>
      <c r="S2899" s="752"/>
    </row>
    <row r="2900" spans="1:19" s="753" customFormat="1" ht="24" customHeight="1">
      <c r="A2900" s="734"/>
      <c r="B2900" s="747" t="s">
        <v>469</v>
      </c>
      <c r="C2900" s="735" t="s">
        <v>508</v>
      </c>
      <c r="D2900" s="735"/>
      <c r="E2900" s="737">
        <f t="shared" si="755"/>
        <v>5</v>
      </c>
      <c r="F2900" s="738" t="s">
        <v>363</v>
      </c>
      <c r="G2900" s="739">
        <v>13500</v>
      </c>
      <c r="H2900" s="748">
        <f t="shared" si="752"/>
        <v>67500</v>
      </c>
      <c r="I2900" s="741">
        <v>750</v>
      </c>
      <c r="J2900" s="749">
        <f t="shared" si="753"/>
        <v>3750</v>
      </c>
      <c r="K2900" s="739">
        <f t="shared" si="754"/>
        <v>71250</v>
      </c>
      <c r="L2900" s="1079"/>
      <c r="M2900" s="752"/>
      <c r="N2900" s="744">
        <f t="shared" si="756"/>
        <v>5</v>
      </c>
      <c r="O2900" s="745">
        <v>0</v>
      </c>
      <c r="P2900" s="737">
        <v>5</v>
      </c>
      <c r="Q2900" s="752"/>
      <c r="R2900" s="752"/>
      <c r="S2900" s="752"/>
    </row>
    <row r="2901" spans="1:19" s="682" customFormat="1" ht="24" customHeight="1">
      <c r="A2901" s="734"/>
      <c r="B2901" s="747" t="s">
        <v>469</v>
      </c>
      <c r="C2901" s="735" t="s">
        <v>509</v>
      </c>
      <c r="D2901" s="735"/>
      <c r="E2901" s="737">
        <f t="shared" si="755"/>
        <v>1</v>
      </c>
      <c r="F2901" s="738" t="s">
        <v>363</v>
      </c>
      <c r="G2901" s="739">
        <v>14476</v>
      </c>
      <c r="H2901" s="748">
        <f t="shared" si="752"/>
        <v>14476</v>
      </c>
      <c r="I2901" s="741">
        <v>5367</v>
      </c>
      <c r="J2901" s="749">
        <f t="shared" si="753"/>
        <v>5367</v>
      </c>
      <c r="K2901" s="739">
        <f t="shared" si="754"/>
        <v>19843</v>
      </c>
      <c r="L2901" s="1079"/>
      <c r="M2901" s="679"/>
      <c r="N2901" s="744">
        <f t="shared" si="756"/>
        <v>1</v>
      </c>
      <c r="O2901" s="745">
        <v>0</v>
      </c>
      <c r="P2901" s="737">
        <v>1</v>
      </c>
      <c r="Q2901" s="679"/>
      <c r="R2901" s="679"/>
      <c r="S2901" s="679"/>
    </row>
    <row r="2902" spans="1:19" s="753" customFormat="1" ht="24" customHeight="1">
      <c r="A2902" s="734"/>
      <c r="B2902" s="747" t="s">
        <v>469</v>
      </c>
      <c r="C2902" s="735" t="s">
        <v>510</v>
      </c>
      <c r="D2902" s="735"/>
      <c r="E2902" s="737">
        <f t="shared" si="755"/>
        <v>4.1500000000000004</v>
      </c>
      <c r="F2902" s="738" t="s">
        <v>361</v>
      </c>
      <c r="G2902" s="739">
        <v>2694</v>
      </c>
      <c r="H2902" s="748">
        <f t="shared" si="752"/>
        <v>11180.1</v>
      </c>
      <c r="I2902" s="741">
        <v>1288</v>
      </c>
      <c r="J2902" s="749">
        <f t="shared" si="753"/>
        <v>5345.2000000000007</v>
      </c>
      <c r="K2902" s="739">
        <f t="shared" si="754"/>
        <v>16525.300000000003</v>
      </c>
      <c r="L2902" s="1079"/>
      <c r="M2902" s="752"/>
      <c r="N2902" s="744">
        <f t="shared" si="756"/>
        <v>4.1500000000000004</v>
      </c>
      <c r="O2902" s="745">
        <v>0</v>
      </c>
      <c r="P2902" s="737">
        <v>4.1500000000000004</v>
      </c>
      <c r="Q2902" s="752"/>
      <c r="R2902" s="752"/>
      <c r="S2902" s="752"/>
    </row>
    <row r="2903" spans="1:19" s="753" customFormat="1" ht="24" customHeight="1">
      <c r="A2903" s="734"/>
      <c r="B2903" s="747"/>
      <c r="C2903" s="735" t="s">
        <v>511</v>
      </c>
      <c r="D2903" s="735"/>
      <c r="E2903" s="737">
        <f t="shared" si="755"/>
        <v>0</v>
      </c>
      <c r="F2903" s="738"/>
      <c r="G2903" s="739"/>
      <c r="H2903" s="748">
        <f t="shared" si="752"/>
        <v>0</v>
      </c>
      <c r="I2903" s="741"/>
      <c r="J2903" s="749">
        <f t="shared" si="753"/>
        <v>0</v>
      </c>
      <c r="K2903" s="739">
        <f t="shared" si="754"/>
        <v>0</v>
      </c>
      <c r="L2903" s="1079"/>
      <c r="M2903" s="752"/>
      <c r="N2903" s="744">
        <f t="shared" si="756"/>
        <v>0</v>
      </c>
      <c r="O2903" s="745">
        <v>0</v>
      </c>
      <c r="P2903" s="737">
        <v>0</v>
      </c>
      <c r="Q2903" s="752"/>
      <c r="R2903" s="752"/>
      <c r="S2903" s="752"/>
    </row>
    <row r="2904" spans="1:19" s="753" customFormat="1" ht="24" customHeight="1">
      <c r="A2904" s="734"/>
      <c r="B2904" s="747" t="s">
        <v>469</v>
      </c>
      <c r="C2904" s="735" t="s">
        <v>512</v>
      </c>
      <c r="D2904" s="735"/>
      <c r="E2904" s="737">
        <f t="shared" si="755"/>
        <v>4.1500000000000004</v>
      </c>
      <c r="F2904" s="738" t="s">
        <v>361</v>
      </c>
      <c r="G2904" s="739">
        <v>3886</v>
      </c>
      <c r="H2904" s="748">
        <f t="shared" si="752"/>
        <v>16126.900000000001</v>
      </c>
      <c r="I2904" s="741">
        <v>1238</v>
      </c>
      <c r="J2904" s="749">
        <f t="shared" si="753"/>
        <v>5137.7000000000007</v>
      </c>
      <c r="K2904" s="739">
        <f t="shared" si="754"/>
        <v>21264.600000000002</v>
      </c>
      <c r="L2904" s="1079"/>
      <c r="M2904" s="752"/>
      <c r="N2904" s="744">
        <f t="shared" si="756"/>
        <v>4.1500000000000004</v>
      </c>
      <c r="O2904" s="745">
        <v>0</v>
      </c>
      <c r="P2904" s="737">
        <v>4.1500000000000004</v>
      </c>
      <c r="Q2904" s="752"/>
      <c r="R2904" s="752"/>
      <c r="S2904" s="752"/>
    </row>
    <row r="2905" spans="1:19" s="753" customFormat="1" ht="24" customHeight="1">
      <c r="A2905" s="734"/>
      <c r="B2905" s="747"/>
      <c r="C2905" s="735" t="s">
        <v>513</v>
      </c>
      <c r="D2905" s="735"/>
      <c r="E2905" s="737">
        <f t="shared" si="755"/>
        <v>0</v>
      </c>
      <c r="F2905" s="738"/>
      <c r="G2905" s="739">
        <v>0</v>
      </c>
      <c r="H2905" s="748">
        <f t="shared" si="752"/>
        <v>0</v>
      </c>
      <c r="I2905" s="741">
        <v>0</v>
      </c>
      <c r="J2905" s="749">
        <f t="shared" si="753"/>
        <v>0</v>
      </c>
      <c r="K2905" s="739">
        <f t="shared" si="754"/>
        <v>0</v>
      </c>
      <c r="L2905" s="1079"/>
      <c r="M2905" s="752"/>
      <c r="N2905" s="744">
        <f t="shared" si="756"/>
        <v>0</v>
      </c>
      <c r="O2905" s="745">
        <v>0</v>
      </c>
      <c r="P2905" s="737">
        <v>0</v>
      </c>
      <c r="Q2905" s="752"/>
      <c r="R2905" s="752"/>
      <c r="S2905" s="752"/>
    </row>
    <row r="2906" spans="1:19" s="753" customFormat="1" ht="24" customHeight="1">
      <c r="A2906" s="734"/>
      <c r="B2906" s="747" t="s">
        <v>469</v>
      </c>
      <c r="C2906" s="735" t="s">
        <v>514</v>
      </c>
      <c r="D2906" s="735"/>
      <c r="E2906" s="737">
        <f t="shared" si="755"/>
        <v>4.1500000000000004</v>
      </c>
      <c r="F2906" s="738" t="s">
        <v>361</v>
      </c>
      <c r="G2906" s="739">
        <v>1522</v>
      </c>
      <c r="H2906" s="748">
        <f t="shared" si="752"/>
        <v>6316.3</v>
      </c>
      <c r="I2906" s="741">
        <v>315</v>
      </c>
      <c r="J2906" s="749">
        <f t="shared" si="753"/>
        <v>1307.25</v>
      </c>
      <c r="K2906" s="739">
        <f t="shared" si="754"/>
        <v>7623.55</v>
      </c>
      <c r="L2906" s="1079"/>
      <c r="M2906" s="752"/>
      <c r="N2906" s="744">
        <f t="shared" si="756"/>
        <v>4.1500000000000004</v>
      </c>
      <c r="O2906" s="745">
        <v>0</v>
      </c>
      <c r="P2906" s="737">
        <v>4.1500000000000004</v>
      </c>
      <c r="Q2906" s="752"/>
      <c r="R2906" s="752"/>
      <c r="S2906" s="752"/>
    </row>
    <row r="2907" spans="1:19" s="753" customFormat="1" ht="24" customHeight="1">
      <c r="A2907" s="734"/>
      <c r="B2907" s="747"/>
      <c r="C2907" s="735"/>
      <c r="D2907" s="735"/>
      <c r="E2907" s="737">
        <f t="shared" si="755"/>
        <v>0</v>
      </c>
      <c r="F2907" s="738"/>
      <c r="G2907" s="739">
        <v>0</v>
      </c>
      <c r="H2907" s="748">
        <f t="shared" ref="H2907:H2974" si="757">SUM(E2907*G2907)</f>
        <v>0</v>
      </c>
      <c r="I2907" s="741">
        <v>0</v>
      </c>
      <c r="J2907" s="749">
        <f t="shared" ref="J2907:J2974" si="758">SUM(E2907*I2907)</f>
        <v>0</v>
      </c>
      <c r="K2907" s="739">
        <f t="shared" ref="K2907:K2974" si="759">SUM(H2907+J2907)</f>
        <v>0</v>
      </c>
      <c r="L2907" s="1079"/>
      <c r="M2907" s="752"/>
      <c r="N2907" s="744">
        <f t="shared" si="756"/>
        <v>0</v>
      </c>
      <c r="O2907" s="745">
        <v>0</v>
      </c>
      <c r="P2907" s="737">
        <v>0</v>
      </c>
      <c r="Q2907" s="752"/>
      <c r="R2907" s="752"/>
      <c r="S2907" s="752"/>
    </row>
    <row r="2908" spans="1:19" s="682" customFormat="1" ht="24" customHeight="1">
      <c r="A2908" s="734"/>
      <c r="B2908" s="747" t="s">
        <v>469</v>
      </c>
      <c r="C2908" s="735" t="s">
        <v>515</v>
      </c>
      <c r="D2908" s="735"/>
      <c r="E2908" s="737">
        <f t="shared" si="755"/>
        <v>1</v>
      </c>
      <c r="F2908" s="738" t="s">
        <v>363</v>
      </c>
      <c r="G2908" s="739">
        <v>5013</v>
      </c>
      <c r="H2908" s="748">
        <f t="shared" si="757"/>
        <v>5013</v>
      </c>
      <c r="I2908" s="741">
        <v>2403</v>
      </c>
      <c r="J2908" s="749">
        <f t="shared" si="758"/>
        <v>2403</v>
      </c>
      <c r="K2908" s="739">
        <f t="shared" si="759"/>
        <v>7416</v>
      </c>
      <c r="L2908" s="1079"/>
      <c r="M2908" s="679"/>
      <c r="N2908" s="744">
        <f t="shared" si="756"/>
        <v>1</v>
      </c>
      <c r="O2908" s="745">
        <v>0</v>
      </c>
      <c r="P2908" s="737">
        <v>1</v>
      </c>
      <c r="Q2908" s="679"/>
      <c r="R2908" s="679"/>
      <c r="S2908" s="679"/>
    </row>
    <row r="2909" spans="1:19" s="682" customFormat="1" ht="24" customHeight="1">
      <c r="A2909" s="734"/>
      <c r="B2909" s="747"/>
      <c r="C2909" s="735" t="s">
        <v>516</v>
      </c>
      <c r="D2909" s="735"/>
      <c r="E2909" s="737">
        <f t="shared" si="755"/>
        <v>0</v>
      </c>
      <c r="F2909" s="738"/>
      <c r="G2909" s="739"/>
      <c r="H2909" s="748">
        <f t="shared" si="757"/>
        <v>0</v>
      </c>
      <c r="I2909" s="741"/>
      <c r="J2909" s="749">
        <f t="shared" si="758"/>
        <v>0</v>
      </c>
      <c r="K2909" s="739">
        <f t="shared" si="759"/>
        <v>0</v>
      </c>
      <c r="L2909" s="1079"/>
      <c r="M2909" s="679"/>
      <c r="N2909" s="744">
        <f t="shared" si="756"/>
        <v>0</v>
      </c>
      <c r="O2909" s="745">
        <v>0</v>
      </c>
      <c r="P2909" s="737">
        <v>0</v>
      </c>
      <c r="Q2909" s="679"/>
      <c r="R2909" s="679"/>
      <c r="S2909" s="679"/>
    </row>
    <row r="2910" spans="1:19" s="682" customFormat="1" ht="24" customHeight="1">
      <c r="A2910" s="734"/>
      <c r="B2910" s="747"/>
      <c r="C2910" s="735"/>
      <c r="D2910" s="735"/>
      <c r="E2910" s="737">
        <f t="shared" ref="E2910:E2977" si="760">+N2910</f>
        <v>0</v>
      </c>
      <c r="F2910" s="738"/>
      <c r="G2910" s="739"/>
      <c r="H2910" s="748">
        <f t="shared" si="757"/>
        <v>0</v>
      </c>
      <c r="I2910" s="741"/>
      <c r="J2910" s="749">
        <f t="shared" si="758"/>
        <v>0</v>
      </c>
      <c r="K2910" s="739">
        <f t="shared" si="759"/>
        <v>0</v>
      </c>
      <c r="L2910" s="1079"/>
      <c r="M2910" s="679"/>
      <c r="N2910" s="744">
        <f t="shared" si="756"/>
        <v>0</v>
      </c>
      <c r="O2910" s="745">
        <v>0</v>
      </c>
      <c r="P2910" s="737">
        <v>0</v>
      </c>
      <c r="Q2910" s="679"/>
      <c r="R2910" s="679"/>
      <c r="S2910" s="679"/>
    </row>
    <row r="2911" spans="1:19" s="756" customFormat="1" ht="24" customHeight="1">
      <c r="A2911" s="734"/>
      <c r="B2911" s="747" t="s">
        <v>469</v>
      </c>
      <c r="C2911" s="735" t="s">
        <v>517</v>
      </c>
      <c r="D2911" s="907"/>
      <c r="E2911" s="737">
        <f t="shared" si="760"/>
        <v>0</v>
      </c>
      <c r="F2911" s="738" t="s">
        <v>361</v>
      </c>
      <c r="G2911" s="739">
        <v>5075.5555555555557</v>
      </c>
      <c r="H2911" s="748">
        <f t="shared" si="757"/>
        <v>0</v>
      </c>
      <c r="I2911" s="741">
        <v>2545.7777777777778</v>
      </c>
      <c r="J2911" s="749">
        <f t="shared" si="758"/>
        <v>0</v>
      </c>
      <c r="K2911" s="739">
        <f t="shared" si="759"/>
        <v>0</v>
      </c>
      <c r="L2911" s="1079"/>
      <c r="M2911" s="755"/>
      <c r="N2911" s="744">
        <f t="shared" si="756"/>
        <v>0</v>
      </c>
      <c r="O2911" s="745">
        <v>0</v>
      </c>
      <c r="P2911" s="737">
        <v>0</v>
      </c>
      <c r="Q2911" s="755"/>
      <c r="R2911" s="755"/>
      <c r="S2911" s="755"/>
    </row>
    <row r="2912" spans="1:19" s="756" customFormat="1" ht="24" customHeight="1">
      <c r="A2912" s="734"/>
      <c r="B2912" s="747"/>
      <c r="C2912" s="735" t="s">
        <v>488</v>
      </c>
      <c r="D2912" s="907"/>
      <c r="E2912" s="737">
        <f t="shared" si="760"/>
        <v>0</v>
      </c>
      <c r="F2912" s="738"/>
      <c r="G2912" s="739">
        <v>0</v>
      </c>
      <c r="H2912" s="748">
        <f t="shared" si="757"/>
        <v>0</v>
      </c>
      <c r="I2912" s="741">
        <v>0</v>
      </c>
      <c r="J2912" s="749">
        <f t="shared" si="758"/>
        <v>0</v>
      </c>
      <c r="K2912" s="739">
        <f t="shared" si="759"/>
        <v>0</v>
      </c>
      <c r="L2912" s="1079"/>
      <c r="M2912" s="755"/>
      <c r="N2912" s="744">
        <f t="shared" si="756"/>
        <v>0</v>
      </c>
      <c r="O2912" s="745">
        <v>0</v>
      </c>
      <c r="P2912" s="737">
        <v>0</v>
      </c>
      <c r="Q2912" s="755"/>
      <c r="R2912" s="755"/>
      <c r="S2912" s="755"/>
    </row>
    <row r="2913" spans="1:19" s="753" customFormat="1" ht="24" customHeight="1">
      <c r="A2913" s="734"/>
      <c r="B2913" s="747" t="s">
        <v>469</v>
      </c>
      <c r="C2913" s="735" t="s">
        <v>518</v>
      </c>
      <c r="D2913" s="735"/>
      <c r="E2913" s="737">
        <f t="shared" si="760"/>
        <v>0</v>
      </c>
      <c r="F2913" s="738" t="s">
        <v>361</v>
      </c>
      <c r="G2913" s="739">
        <v>3886</v>
      </c>
      <c r="H2913" s="748">
        <f t="shared" si="757"/>
        <v>0</v>
      </c>
      <c r="I2913" s="741">
        <v>1238</v>
      </c>
      <c r="J2913" s="749">
        <f t="shared" si="758"/>
        <v>0</v>
      </c>
      <c r="K2913" s="739">
        <f t="shared" si="759"/>
        <v>0</v>
      </c>
      <c r="L2913" s="1079"/>
      <c r="M2913" s="752"/>
      <c r="N2913" s="744">
        <f t="shared" si="756"/>
        <v>0</v>
      </c>
      <c r="O2913" s="745">
        <v>0</v>
      </c>
      <c r="P2913" s="737">
        <v>0</v>
      </c>
      <c r="Q2913" s="752"/>
      <c r="R2913" s="752"/>
      <c r="S2913" s="752"/>
    </row>
    <row r="2914" spans="1:19" s="753" customFormat="1" ht="24" customHeight="1">
      <c r="A2914" s="734"/>
      <c r="B2914" s="747"/>
      <c r="C2914" s="735" t="s">
        <v>513</v>
      </c>
      <c r="D2914" s="735"/>
      <c r="E2914" s="737">
        <f t="shared" si="760"/>
        <v>0</v>
      </c>
      <c r="F2914" s="738"/>
      <c r="G2914" s="739">
        <v>0</v>
      </c>
      <c r="H2914" s="748">
        <f t="shared" si="757"/>
        <v>0</v>
      </c>
      <c r="I2914" s="741">
        <v>0</v>
      </c>
      <c r="J2914" s="749">
        <f t="shared" si="758"/>
        <v>0</v>
      </c>
      <c r="K2914" s="739">
        <f t="shared" si="759"/>
        <v>0</v>
      </c>
      <c r="L2914" s="1079"/>
      <c r="M2914" s="752"/>
      <c r="N2914" s="744">
        <f t="shared" si="756"/>
        <v>0</v>
      </c>
      <c r="O2914" s="745">
        <v>0</v>
      </c>
      <c r="P2914" s="737">
        <v>0</v>
      </c>
      <c r="Q2914" s="752"/>
      <c r="R2914" s="752"/>
      <c r="S2914" s="752"/>
    </row>
    <row r="2915" spans="1:19" s="682" customFormat="1" ht="24" customHeight="1">
      <c r="A2915" s="734"/>
      <c r="B2915" s="747" t="s">
        <v>469</v>
      </c>
      <c r="C2915" s="735" t="s">
        <v>519</v>
      </c>
      <c r="D2915" s="735"/>
      <c r="E2915" s="737">
        <f t="shared" si="760"/>
        <v>1</v>
      </c>
      <c r="F2915" s="738" t="s">
        <v>363</v>
      </c>
      <c r="G2915" s="739">
        <v>800</v>
      </c>
      <c r="H2915" s="748">
        <f t="shared" si="757"/>
        <v>800</v>
      </c>
      <c r="I2915" s="741">
        <v>70</v>
      </c>
      <c r="J2915" s="749">
        <f t="shared" si="758"/>
        <v>70</v>
      </c>
      <c r="K2915" s="739">
        <f t="shared" si="759"/>
        <v>870</v>
      </c>
      <c r="L2915" s="1079"/>
      <c r="M2915" s="679"/>
      <c r="N2915" s="744">
        <f t="shared" si="756"/>
        <v>1</v>
      </c>
      <c r="O2915" s="745">
        <v>0</v>
      </c>
      <c r="P2915" s="737">
        <v>1</v>
      </c>
      <c r="Q2915" s="679"/>
      <c r="R2915" s="679"/>
      <c r="S2915" s="679"/>
    </row>
    <row r="2916" spans="1:19" s="682" customFormat="1" ht="24" customHeight="1">
      <c r="A2916" s="734"/>
      <c r="B2916" s="747" t="s">
        <v>469</v>
      </c>
      <c r="C2916" s="735" t="s">
        <v>520</v>
      </c>
      <c r="D2916" s="735"/>
      <c r="E2916" s="737">
        <f t="shared" si="760"/>
        <v>0</v>
      </c>
      <c r="F2916" s="738" t="s">
        <v>361</v>
      </c>
      <c r="G2916" s="739">
        <v>190</v>
      </c>
      <c r="H2916" s="748">
        <f t="shared" si="757"/>
        <v>0</v>
      </c>
      <c r="I2916" s="741">
        <v>75</v>
      </c>
      <c r="J2916" s="749">
        <f t="shared" si="758"/>
        <v>0</v>
      </c>
      <c r="K2916" s="739">
        <f t="shared" si="759"/>
        <v>0</v>
      </c>
      <c r="L2916" s="1079"/>
      <c r="M2916" s="679"/>
      <c r="N2916" s="744">
        <f t="shared" si="756"/>
        <v>0</v>
      </c>
      <c r="O2916" s="745">
        <v>0</v>
      </c>
      <c r="P2916" s="737">
        <v>0</v>
      </c>
      <c r="Q2916" s="679"/>
      <c r="R2916" s="679"/>
      <c r="S2916" s="679"/>
    </row>
    <row r="2917" spans="1:19" s="682" customFormat="1" ht="24" customHeight="1">
      <c r="A2917" s="734"/>
      <c r="B2917" s="747"/>
      <c r="C2917" s="735"/>
      <c r="D2917" s="735"/>
      <c r="E2917" s="737">
        <f t="shared" si="760"/>
        <v>0</v>
      </c>
      <c r="F2917" s="738"/>
      <c r="G2917" s="739"/>
      <c r="H2917" s="748">
        <f t="shared" si="757"/>
        <v>0</v>
      </c>
      <c r="I2917" s="741"/>
      <c r="J2917" s="749">
        <f t="shared" si="758"/>
        <v>0</v>
      </c>
      <c r="K2917" s="739">
        <f t="shared" si="759"/>
        <v>0</v>
      </c>
      <c r="L2917" s="1079"/>
      <c r="M2917" s="679"/>
      <c r="N2917" s="744">
        <f t="shared" ref="N2917:N2984" si="761">+(1+O2917)*P2917</f>
        <v>0</v>
      </c>
      <c r="O2917" s="745">
        <v>0</v>
      </c>
      <c r="P2917" s="737">
        <v>0</v>
      </c>
      <c r="Q2917" s="679"/>
      <c r="R2917" s="679"/>
      <c r="S2917" s="679"/>
    </row>
    <row r="2918" spans="1:19" s="753" customFormat="1" ht="24" customHeight="1">
      <c r="A2918" s="734"/>
      <c r="B2918" s="735" t="s">
        <v>1077</v>
      </c>
      <c r="C2918" s="735"/>
      <c r="D2918" s="907"/>
      <c r="E2918" s="737">
        <f t="shared" si="760"/>
        <v>0</v>
      </c>
      <c r="F2918" s="738"/>
      <c r="G2918" s="739">
        <v>0</v>
      </c>
      <c r="H2918" s="748">
        <f t="shared" si="757"/>
        <v>0</v>
      </c>
      <c r="I2918" s="741">
        <v>0</v>
      </c>
      <c r="J2918" s="749">
        <f t="shared" si="758"/>
        <v>0</v>
      </c>
      <c r="K2918" s="739">
        <f t="shared" si="759"/>
        <v>0</v>
      </c>
      <c r="L2918" s="1079"/>
      <c r="M2918" s="752"/>
      <c r="N2918" s="744">
        <f t="shared" si="761"/>
        <v>0</v>
      </c>
      <c r="O2918" s="745">
        <v>0</v>
      </c>
      <c r="P2918" s="737">
        <v>0</v>
      </c>
      <c r="Q2918" s="752"/>
      <c r="R2918" s="752"/>
      <c r="S2918" s="752"/>
    </row>
    <row r="2919" spans="1:19" s="753" customFormat="1" ht="24" customHeight="1">
      <c r="A2919" s="734"/>
      <c r="B2919" s="747" t="s">
        <v>469</v>
      </c>
      <c r="C2919" s="735" t="s">
        <v>497</v>
      </c>
      <c r="D2919" s="735"/>
      <c r="E2919" s="737">
        <f t="shared" si="760"/>
        <v>6</v>
      </c>
      <c r="F2919" s="738" t="s">
        <v>363</v>
      </c>
      <c r="G2919" s="739">
        <v>1540</v>
      </c>
      <c r="H2919" s="748">
        <f t="shared" si="757"/>
        <v>9240</v>
      </c>
      <c r="I2919" s="741">
        <v>450</v>
      </c>
      <c r="J2919" s="749">
        <f t="shared" si="758"/>
        <v>2700</v>
      </c>
      <c r="K2919" s="739">
        <f t="shared" si="759"/>
        <v>11940</v>
      </c>
      <c r="L2919" s="1079"/>
      <c r="M2919" s="752"/>
      <c r="N2919" s="744">
        <f t="shared" si="761"/>
        <v>6</v>
      </c>
      <c r="O2919" s="745">
        <v>0</v>
      </c>
      <c r="P2919" s="737">
        <v>6</v>
      </c>
      <c r="Q2919" s="752"/>
      <c r="R2919" s="752"/>
      <c r="S2919" s="752"/>
    </row>
    <row r="2920" spans="1:19" s="753" customFormat="1" ht="24" customHeight="1">
      <c r="A2920" s="734"/>
      <c r="B2920" s="747" t="s">
        <v>469</v>
      </c>
      <c r="C2920" s="735" t="s">
        <v>498</v>
      </c>
      <c r="D2920" s="735"/>
      <c r="E2920" s="737">
        <f t="shared" si="760"/>
        <v>6</v>
      </c>
      <c r="F2920" s="738" t="s">
        <v>363</v>
      </c>
      <c r="G2920" s="739">
        <v>6640</v>
      </c>
      <c r="H2920" s="748">
        <f t="shared" si="757"/>
        <v>39840</v>
      </c>
      <c r="I2920" s="741">
        <v>200</v>
      </c>
      <c r="J2920" s="749">
        <f t="shared" si="758"/>
        <v>1200</v>
      </c>
      <c r="K2920" s="739">
        <f t="shared" si="759"/>
        <v>41040</v>
      </c>
      <c r="L2920" s="1079"/>
      <c r="M2920" s="752"/>
      <c r="N2920" s="744">
        <f t="shared" si="761"/>
        <v>6</v>
      </c>
      <c r="O2920" s="745">
        <v>0</v>
      </c>
      <c r="P2920" s="737">
        <v>6</v>
      </c>
      <c r="Q2920" s="752"/>
      <c r="R2920" s="752"/>
      <c r="S2920" s="752"/>
    </row>
    <row r="2921" spans="1:19" s="753" customFormat="1" ht="24" customHeight="1">
      <c r="A2921" s="734"/>
      <c r="B2921" s="747" t="s">
        <v>469</v>
      </c>
      <c r="C2921" s="735" t="s">
        <v>476</v>
      </c>
      <c r="D2921" s="735"/>
      <c r="E2921" s="737">
        <f t="shared" si="760"/>
        <v>6</v>
      </c>
      <c r="F2921" s="738" t="s">
        <v>363</v>
      </c>
      <c r="G2921" s="739">
        <v>336</v>
      </c>
      <c r="H2921" s="748">
        <f t="shared" si="757"/>
        <v>2016</v>
      </c>
      <c r="I2921" s="741">
        <v>0</v>
      </c>
      <c r="J2921" s="749">
        <f t="shared" si="758"/>
        <v>0</v>
      </c>
      <c r="K2921" s="739">
        <f t="shared" si="759"/>
        <v>2016</v>
      </c>
      <c r="L2921" s="1079"/>
      <c r="M2921" s="752"/>
      <c r="N2921" s="744">
        <f t="shared" si="761"/>
        <v>6</v>
      </c>
      <c r="O2921" s="745">
        <v>0</v>
      </c>
      <c r="P2921" s="737">
        <v>6</v>
      </c>
      <c r="Q2921" s="752"/>
      <c r="R2921" s="752"/>
      <c r="S2921" s="752"/>
    </row>
    <row r="2922" spans="1:19" s="753" customFormat="1" ht="24" customHeight="1">
      <c r="A2922" s="734"/>
      <c r="B2922" s="747" t="s">
        <v>469</v>
      </c>
      <c r="C2922" s="735" t="s">
        <v>477</v>
      </c>
      <c r="D2922" s="735"/>
      <c r="E2922" s="737">
        <f t="shared" si="760"/>
        <v>6</v>
      </c>
      <c r="F2922" s="738" t="s">
        <v>363</v>
      </c>
      <c r="G2922" s="739">
        <v>736</v>
      </c>
      <c r="H2922" s="748">
        <f t="shared" si="757"/>
        <v>4416</v>
      </c>
      <c r="I2922" s="741">
        <v>0</v>
      </c>
      <c r="J2922" s="749">
        <f t="shared" si="758"/>
        <v>0</v>
      </c>
      <c r="K2922" s="739">
        <f t="shared" si="759"/>
        <v>4416</v>
      </c>
      <c r="L2922" s="1079"/>
      <c r="M2922" s="752"/>
      <c r="N2922" s="744">
        <f t="shared" si="761"/>
        <v>6</v>
      </c>
      <c r="O2922" s="745">
        <v>0</v>
      </c>
      <c r="P2922" s="737">
        <v>6</v>
      </c>
      <c r="Q2922" s="752"/>
      <c r="R2922" s="752"/>
      <c r="S2922" s="752"/>
    </row>
    <row r="2923" spans="1:19" s="753" customFormat="1" ht="24" customHeight="1">
      <c r="A2923" s="734"/>
      <c r="B2923" s="747" t="s">
        <v>469</v>
      </c>
      <c r="C2923" s="735" t="s">
        <v>478</v>
      </c>
      <c r="D2923" s="735"/>
      <c r="E2923" s="737">
        <f t="shared" si="760"/>
        <v>6</v>
      </c>
      <c r="F2923" s="738" t="s">
        <v>363</v>
      </c>
      <c r="G2923" s="739">
        <v>176</v>
      </c>
      <c r="H2923" s="748">
        <f t="shared" si="757"/>
        <v>1056</v>
      </c>
      <c r="I2923" s="741">
        <v>0</v>
      </c>
      <c r="J2923" s="749">
        <f t="shared" si="758"/>
        <v>0</v>
      </c>
      <c r="K2923" s="739">
        <f t="shared" si="759"/>
        <v>1056</v>
      </c>
      <c r="L2923" s="1079"/>
      <c r="M2923" s="752"/>
      <c r="N2923" s="744">
        <f t="shared" si="761"/>
        <v>6</v>
      </c>
      <c r="O2923" s="745">
        <v>0</v>
      </c>
      <c r="P2923" s="737">
        <v>6</v>
      </c>
      <c r="Q2923" s="752"/>
      <c r="R2923" s="752"/>
      <c r="S2923" s="752"/>
    </row>
    <row r="2924" spans="1:19" s="753" customFormat="1" ht="24" customHeight="1">
      <c r="A2924" s="734"/>
      <c r="B2924" s="747" t="s">
        <v>469</v>
      </c>
      <c r="C2924" s="735" t="s">
        <v>499</v>
      </c>
      <c r="D2924" s="735"/>
      <c r="E2924" s="737">
        <f t="shared" si="760"/>
        <v>6</v>
      </c>
      <c r="F2924" s="738" t="s">
        <v>363</v>
      </c>
      <c r="G2924" s="739">
        <v>216</v>
      </c>
      <c r="H2924" s="748">
        <f t="shared" si="757"/>
        <v>1296</v>
      </c>
      <c r="I2924" s="741">
        <v>35</v>
      </c>
      <c r="J2924" s="749">
        <f t="shared" si="758"/>
        <v>210</v>
      </c>
      <c r="K2924" s="739">
        <f t="shared" si="759"/>
        <v>1506</v>
      </c>
      <c r="L2924" s="1079"/>
      <c r="M2924" s="752"/>
      <c r="N2924" s="744">
        <f t="shared" si="761"/>
        <v>6</v>
      </c>
      <c r="O2924" s="745">
        <v>0</v>
      </c>
      <c r="P2924" s="737">
        <v>6</v>
      </c>
      <c r="Q2924" s="752"/>
      <c r="R2924" s="752"/>
      <c r="S2924" s="752"/>
    </row>
    <row r="2925" spans="1:19" s="753" customFormat="1" ht="24" customHeight="1">
      <c r="A2925" s="734"/>
      <c r="B2925" s="747"/>
      <c r="C2925" s="736"/>
      <c r="D2925" s="907"/>
      <c r="E2925" s="737">
        <f t="shared" si="760"/>
        <v>0</v>
      </c>
      <c r="F2925" s="738"/>
      <c r="G2925" s="739">
        <v>0</v>
      </c>
      <c r="H2925" s="748">
        <f t="shared" si="757"/>
        <v>0</v>
      </c>
      <c r="I2925" s="741">
        <v>0</v>
      </c>
      <c r="J2925" s="749">
        <f t="shared" si="758"/>
        <v>0</v>
      </c>
      <c r="K2925" s="739">
        <f t="shared" si="759"/>
        <v>0</v>
      </c>
      <c r="L2925" s="1079"/>
      <c r="M2925" s="752"/>
      <c r="N2925" s="744">
        <f t="shared" si="761"/>
        <v>0</v>
      </c>
      <c r="O2925" s="745">
        <v>0</v>
      </c>
      <c r="P2925" s="737">
        <v>0</v>
      </c>
      <c r="Q2925" s="752"/>
      <c r="R2925" s="752"/>
      <c r="S2925" s="752"/>
    </row>
    <row r="2926" spans="1:19" s="753" customFormat="1" ht="24" customHeight="1">
      <c r="A2926" s="734"/>
      <c r="B2926" s="747" t="s">
        <v>469</v>
      </c>
      <c r="C2926" s="735" t="s">
        <v>492</v>
      </c>
      <c r="D2926" s="735"/>
      <c r="E2926" s="737">
        <f t="shared" si="760"/>
        <v>10</v>
      </c>
      <c r="F2926" s="738" t="s">
        <v>363</v>
      </c>
      <c r="G2926" s="739">
        <v>9375</v>
      </c>
      <c r="H2926" s="748">
        <f t="shared" si="757"/>
        <v>93750</v>
      </c>
      <c r="I2926" s="741">
        <v>450</v>
      </c>
      <c r="J2926" s="749">
        <f t="shared" si="758"/>
        <v>4500</v>
      </c>
      <c r="K2926" s="739">
        <f t="shared" si="759"/>
        <v>98250</v>
      </c>
      <c r="L2926" s="1079"/>
      <c r="M2926" s="752"/>
      <c r="N2926" s="744">
        <f t="shared" si="761"/>
        <v>10</v>
      </c>
      <c r="O2926" s="745">
        <v>0</v>
      </c>
      <c r="P2926" s="737">
        <v>10</v>
      </c>
      <c r="Q2926" s="752"/>
      <c r="R2926" s="752"/>
      <c r="S2926" s="752"/>
    </row>
    <row r="2927" spans="1:19" s="753" customFormat="1" ht="24" customHeight="1">
      <c r="A2927" s="734"/>
      <c r="B2927" s="747" t="s">
        <v>469</v>
      </c>
      <c r="C2927" s="735" t="s">
        <v>500</v>
      </c>
      <c r="D2927" s="735"/>
      <c r="E2927" s="737">
        <f t="shared" si="760"/>
        <v>10</v>
      </c>
      <c r="F2927" s="738" t="s">
        <v>363</v>
      </c>
      <c r="G2927" s="739">
        <v>12752</v>
      </c>
      <c r="H2927" s="748">
        <f t="shared" si="757"/>
        <v>127520</v>
      </c>
      <c r="I2927" s="741">
        <v>0</v>
      </c>
      <c r="J2927" s="749">
        <f t="shared" si="758"/>
        <v>0</v>
      </c>
      <c r="K2927" s="739">
        <f t="shared" si="759"/>
        <v>127520</v>
      </c>
      <c r="L2927" s="1079"/>
      <c r="M2927" s="752"/>
      <c r="N2927" s="744">
        <f t="shared" si="761"/>
        <v>10</v>
      </c>
      <c r="O2927" s="745">
        <v>0</v>
      </c>
      <c r="P2927" s="737">
        <v>10</v>
      </c>
      <c r="Q2927" s="752"/>
      <c r="R2927" s="752"/>
      <c r="S2927" s="752"/>
    </row>
    <row r="2928" spans="1:19" s="753" customFormat="1" ht="24" customHeight="1">
      <c r="A2928" s="734"/>
      <c r="B2928" s="747" t="s">
        <v>469</v>
      </c>
      <c r="C2928" s="735" t="s">
        <v>501</v>
      </c>
      <c r="D2928" s="735"/>
      <c r="E2928" s="737">
        <v>0</v>
      </c>
      <c r="F2928" s="738" t="s">
        <v>363</v>
      </c>
      <c r="G2928" s="739">
        <v>1950</v>
      </c>
      <c r="H2928" s="748">
        <f t="shared" si="757"/>
        <v>0</v>
      </c>
      <c r="I2928" s="741">
        <v>35</v>
      </c>
      <c r="J2928" s="749">
        <f t="shared" si="758"/>
        <v>0</v>
      </c>
      <c r="K2928" s="739">
        <f t="shared" si="759"/>
        <v>0</v>
      </c>
      <c r="L2928" s="1079"/>
      <c r="M2928" s="752"/>
      <c r="N2928" s="744">
        <f t="shared" si="761"/>
        <v>10</v>
      </c>
      <c r="O2928" s="745">
        <v>0</v>
      </c>
      <c r="P2928" s="737">
        <v>10</v>
      </c>
      <c r="Q2928" s="752"/>
      <c r="R2928" s="752"/>
      <c r="S2928" s="752"/>
    </row>
    <row r="2929" spans="1:19" s="753" customFormat="1" ht="24" customHeight="1">
      <c r="A2929" s="734"/>
      <c r="B2929" s="747" t="s">
        <v>469</v>
      </c>
      <c r="C2929" s="735" t="s">
        <v>502</v>
      </c>
      <c r="D2929" s="735"/>
      <c r="E2929" s="737">
        <f t="shared" si="760"/>
        <v>10</v>
      </c>
      <c r="F2929" s="738" t="s">
        <v>363</v>
      </c>
      <c r="G2929" s="739">
        <v>216</v>
      </c>
      <c r="H2929" s="748">
        <f t="shared" si="757"/>
        <v>2160</v>
      </c>
      <c r="I2929" s="741">
        <v>35</v>
      </c>
      <c r="J2929" s="749">
        <f t="shared" si="758"/>
        <v>350</v>
      </c>
      <c r="K2929" s="739">
        <f t="shared" si="759"/>
        <v>2510</v>
      </c>
      <c r="L2929" s="1079"/>
      <c r="M2929" s="752"/>
      <c r="N2929" s="744">
        <f t="shared" si="761"/>
        <v>10</v>
      </c>
      <c r="O2929" s="745">
        <v>0</v>
      </c>
      <c r="P2929" s="737">
        <v>10</v>
      </c>
      <c r="Q2929" s="752"/>
      <c r="R2929" s="752"/>
      <c r="S2929" s="752"/>
    </row>
    <row r="2930" spans="1:19" s="753" customFormat="1" ht="24" customHeight="1">
      <c r="A2930" s="734"/>
      <c r="B2930" s="747"/>
      <c r="C2930" s="735"/>
      <c r="D2930" s="735"/>
      <c r="E2930" s="737">
        <f t="shared" si="760"/>
        <v>0</v>
      </c>
      <c r="F2930" s="738"/>
      <c r="G2930" s="739"/>
      <c r="H2930" s="748">
        <f t="shared" si="757"/>
        <v>0</v>
      </c>
      <c r="I2930" s="741"/>
      <c r="J2930" s="749">
        <f t="shared" si="758"/>
        <v>0</v>
      </c>
      <c r="K2930" s="739">
        <f t="shared" si="759"/>
        <v>0</v>
      </c>
      <c r="L2930" s="1079"/>
      <c r="M2930" s="752"/>
      <c r="N2930" s="744">
        <f t="shared" si="761"/>
        <v>0</v>
      </c>
      <c r="O2930" s="745">
        <v>0</v>
      </c>
      <c r="P2930" s="737">
        <v>0</v>
      </c>
      <c r="Q2930" s="752"/>
      <c r="R2930" s="752"/>
      <c r="S2930" s="752"/>
    </row>
    <row r="2931" spans="1:19" s="753" customFormat="1" ht="24" customHeight="1">
      <c r="A2931" s="734"/>
      <c r="B2931" s="747" t="s">
        <v>484</v>
      </c>
      <c r="C2931" s="735" t="s">
        <v>485</v>
      </c>
      <c r="D2931" s="735"/>
      <c r="E2931" s="737">
        <f t="shared" si="760"/>
        <v>11</v>
      </c>
      <c r="F2931" s="738" t="s">
        <v>363</v>
      </c>
      <c r="G2931" s="739">
        <v>285</v>
      </c>
      <c r="H2931" s="748">
        <f t="shared" si="757"/>
        <v>3135</v>
      </c>
      <c r="I2931" s="741">
        <v>75</v>
      </c>
      <c r="J2931" s="749">
        <f t="shared" si="758"/>
        <v>825</v>
      </c>
      <c r="K2931" s="739">
        <f t="shared" si="759"/>
        <v>3960</v>
      </c>
      <c r="L2931" s="1093"/>
      <c r="M2931" s="752"/>
      <c r="N2931" s="744">
        <f t="shared" si="761"/>
        <v>11</v>
      </c>
      <c r="O2931" s="745">
        <v>0</v>
      </c>
      <c r="P2931" s="737">
        <v>11</v>
      </c>
      <c r="Q2931" s="752"/>
      <c r="R2931" s="752"/>
      <c r="S2931" s="752"/>
    </row>
    <row r="2932" spans="1:19" s="753" customFormat="1" ht="24" customHeight="1">
      <c r="A2932" s="734"/>
      <c r="B2932" s="747" t="s">
        <v>469</v>
      </c>
      <c r="C2932" s="735" t="s">
        <v>486</v>
      </c>
      <c r="D2932" s="735"/>
      <c r="E2932" s="737">
        <f t="shared" si="760"/>
        <v>1</v>
      </c>
      <c r="F2932" s="738" t="s">
        <v>363</v>
      </c>
      <c r="G2932" s="739">
        <v>552</v>
      </c>
      <c r="H2932" s="748">
        <f t="shared" si="757"/>
        <v>552</v>
      </c>
      <c r="I2932" s="741">
        <v>25</v>
      </c>
      <c r="J2932" s="749">
        <f t="shared" si="758"/>
        <v>25</v>
      </c>
      <c r="K2932" s="739">
        <f t="shared" si="759"/>
        <v>577</v>
      </c>
      <c r="L2932" s="1079"/>
      <c r="M2932" s="752"/>
      <c r="N2932" s="744">
        <f t="shared" si="761"/>
        <v>1</v>
      </c>
      <c r="O2932" s="745">
        <v>0</v>
      </c>
      <c r="P2932" s="737">
        <v>1</v>
      </c>
      <c r="Q2932" s="752"/>
      <c r="R2932" s="752"/>
      <c r="S2932" s="752"/>
    </row>
    <row r="2933" spans="1:19" s="753" customFormat="1" ht="24" customHeight="1">
      <c r="A2933" s="734"/>
      <c r="B2933" s="747" t="s">
        <v>469</v>
      </c>
      <c r="C2933" s="735" t="s">
        <v>507</v>
      </c>
      <c r="D2933" s="735"/>
      <c r="E2933" s="737">
        <f t="shared" si="760"/>
        <v>2</v>
      </c>
      <c r="F2933" s="738" t="s">
        <v>363</v>
      </c>
      <c r="G2933" s="739">
        <v>1650</v>
      </c>
      <c r="H2933" s="748">
        <f t="shared" si="757"/>
        <v>3300</v>
      </c>
      <c r="I2933" s="741">
        <v>70</v>
      </c>
      <c r="J2933" s="749">
        <f t="shared" si="758"/>
        <v>140</v>
      </c>
      <c r="K2933" s="739">
        <f t="shared" si="759"/>
        <v>3440</v>
      </c>
      <c r="L2933" s="1079"/>
      <c r="M2933" s="752"/>
      <c r="N2933" s="744">
        <f t="shared" si="761"/>
        <v>2</v>
      </c>
      <c r="O2933" s="745">
        <v>0</v>
      </c>
      <c r="P2933" s="737">
        <v>2</v>
      </c>
      <c r="Q2933" s="752"/>
      <c r="R2933" s="752"/>
      <c r="S2933" s="752"/>
    </row>
    <row r="2934" spans="1:19" s="753" customFormat="1" ht="24" customHeight="1">
      <c r="A2934" s="734"/>
      <c r="B2934" s="747" t="s">
        <v>469</v>
      </c>
      <c r="C2934" s="735" t="s">
        <v>508</v>
      </c>
      <c r="D2934" s="735"/>
      <c r="E2934" s="737">
        <f t="shared" si="760"/>
        <v>10</v>
      </c>
      <c r="F2934" s="738" t="s">
        <v>363</v>
      </c>
      <c r="G2934" s="739">
        <v>13500</v>
      </c>
      <c r="H2934" s="748">
        <f t="shared" si="757"/>
        <v>135000</v>
      </c>
      <c r="I2934" s="741">
        <v>750</v>
      </c>
      <c r="J2934" s="749">
        <f t="shared" si="758"/>
        <v>7500</v>
      </c>
      <c r="K2934" s="739">
        <f t="shared" si="759"/>
        <v>142500</v>
      </c>
      <c r="L2934" s="1079"/>
      <c r="M2934" s="752"/>
      <c r="N2934" s="744">
        <f t="shared" si="761"/>
        <v>10</v>
      </c>
      <c r="O2934" s="745">
        <v>0</v>
      </c>
      <c r="P2934" s="737">
        <v>10</v>
      </c>
      <c r="Q2934" s="752"/>
      <c r="R2934" s="752"/>
      <c r="S2934" s="752"/>
    </row>
    <row r="2935" spans="1:19" s="682" customFormat="1" ht="24" customHeight="1">
      <c r="A2935" s="734"/>
      <c r="B2935" s="747" t="s">
        <v>469</v>
      </c>
      <c r="C2935" s="735" t="s">
        <v>509</v>
      </c>
      <c r="D2935" s="735"/>
      <c r="E2935" s="737">
        <f t="shared" si="760"/>
        <v>1</v>
      </c>
      <c r="F2935" s="738" t="s">
        <v>363</v>
      </c>
      <c r="G2935" s="739">
        <v>14476</v>
      </c>
      <c r="H2935" s="748">
        <f t="shared" si="757"/>
        <v>14476</v>
      </c>
      <c r="I2935" s="741">
        <v>5367</v>
      </c>
      <c r="J2935" s="749">
        <f t="shared" si="758"/>
        <v>5367</v>
      </c>
      <c r="K2935" s="739">
        <f t="shared" si="759"/>
        <v>19843</v>
      </c>
      <c r="L2935" s="1079"/>
      <c r="M2935" s="679"/>
      <c r="N2935" s="744">
        <f t="shared" si="761"/>
        <v>1</v>
      </c>
      <c r="O2935" s="745">
        <v>0</v>
      </c>
      <c r="P2935" s="737">
        <v>1</v>
      </c>
      <c r="Q2935" s="679"/>
      <c r="R2935" s="679"/>
      <c r="S2935" s="679"/>
    </row>
    <row r="2936" spans="1:19" s="753" customFormat="1" ht="24" customHeight="1">
      <c r="A2936" s="734"/>
      <c r="B2936" s="747"/>
      <c r="C2936" s="735"/>
      <c r="D2936" s="907"/>
      <c r="E2936" s="737">
        <f t="shared" si="760"/>
        <v>0</v>
      </c>
      <c r="F2936" s="738"/>
      <c r="G2936" s="739">
        <v>0</v>
      </c>
      <c r="H2936" s="748">
        <f t="shared" si="757"/>
        <v>0</v>
      </c>
      <c r="I2936" s="741">
        <v>0</v>
      </c>
      <c r="J2936" s="749">
        <f t="shared" si="758"/>
        <v>0</v>
      </c>
      <c r="K2936" s="739">
        <f t="shared" si="759"/>
        <v>0</v>
      </c>
      <c r="L2936" s="1079"/>
      <c r="M2936" s="752"/>
      <c r="N2936" s="744">
        <f t="shared" si="761"/>
        <v>0</v>
      </c>
      <c r="O2936" s="745">
        <v>0</v>
      </c>
      <c r="P2936" s="737">
        <v>0</v>
      </c>
      <c r="Q2936" s="752"/>
      <c r="R2936" s="752"/>
      <c r="S2936" s="752"/>
    </row>
    <row r="2937" spans="1:19" s="753" customFormat="1" ht="24" customHeight="1">
      <c r="A2937" s="734"/>
      <c r="B2937" s="747" t="s">
        <v>469</v>
      </c>
      <c r="C2937" s="735" t="s">
        <v>510</v>
      </c>
      <c r="D2937" s="735"/>
      <c r="E2937" s="737">
        <f t="shared" si="760"/>
        <v>5.2</v>
      </c>
      <c r="F2937" s="738" t="s">
        <v>361</v>
      </c>
      <c r="G2937" s="739">
        <v>2694</v>
      </c>
      <c r="H2937" s="748">
        <f t="shared" si="757"/>
        <v>14008.800000000001</v>
      </c>
      <c r="I2937" s="741">
        <v>1288</v>
      </c>
      <c r="J2937" s="749">
        <f t="shared" si="758"/>
        <v>6697.6</v>
      </c>
      <c r="K2937" s="739">
        <f t="shared" si="759"/>
        <v>20706.400000000001</v>
      </c>
      <c r="L2937" s="1079"/>
      <c r="M2937" s="752"/>
      <c r="N2937" s="744">
        <f t="shared" si="761"/>
        <v>5.2</v>
      </c>
      <c r="O2937" s="745">
        <v>0</v>
      </c>
      <c r="P2937" s="737">
        <v>5.2</v>
      </c>
      <c r="Q2937" s="752"/>
      <c r="R2937" s="752"/>
      <c r="S2937" s="752"/>
    </row>
    <row r="2938" spans="1:19" s="753" customFormat="1" ht="24" customHeight="1">
      <c r="A2938" s="734"/>
      <c r="B2938" s="747"/>
      <c r="C2938" s="735" t="s">
        <v>511</v>
      </c>
      <c r="D2938" s="735"/>
      <c r="E2938" s="737">
        <f t="shared" si="760"/>
        <v>0</v>
      </c>
      <c r="F2938" s="738"/>
      <c r="G2938" s="739"/>
      <c r="H2938" s="748">
        <f t="shared" si="757"/>
        <v>0</v>
      </c>
      <c r="I2938" s="741"/>
      <c r="J2938" s="749">
        <f t="shared" si="758"/>
        <v>0</v>
      </c>
      <c r="K2938" s="739">
        <f t="shared" si="759"/>
        <v>0</v>
      </c>
      <c r="L2938" s="1079"/>
      <c r="M2938" s="752"/>
      <c r="N2938" s="744">
        <f t="shared" si="761"/>
        <v>0</v>
      </c>
      <c r="O2938" s="745">
        <v>0</v>
      </c>
      <c r="P2938" s="737">
        <v>0</v>
      </c>
      <c r="Q2938" s="752"/>
      <c r="R2938" s="752"/>
      <c r="S2938" s="752"/>
    </row>
    <row r="2939" spans="1:19" s="753" customFormat="1" ht="24" customHeight="1">
      <c r="A2939" s="734"/>
      <c r="B2939" s="747" t="s">
        <v>469</v>
      </c>
      <c r="C2939" s="735" t="s">
        <v>512</v>
      </c>
      <c r="D2939" s="735"/>
      <c r="E2939" s="737">
        <f t="shared" si="760"/>
        <v>5.2</v>
      </c>
      <c r="F2939" s="738" t="s">
        <v>361</v>
      </c>
      <c r="G2939" s="739">
        <v>3886</v>
      </c>
      <c r="H2939" s="748">
        <f t="shared" si="757"/>
        <v>20207.2</v>
      </c>
      <c r="I2939" s="741">
        <v>1238</v>
      </c>
      <c r="J2939" s="749">
        <f t="shared" si="758"/>
        <v>6437.6</v>
      </c>
      <c r="K2939" s="739">
        <f t="shared" si="759"/>
        <v>26644.800000000003</v>
      </c>
      <c r="L2939" s="1079"/>
      <c r="M2939" s="752"/>
      <c r="N2939" s="744">
        <f t="shared" si="761"/>
        <v>5.2</v>
      </c>
      <c r="O2939" s="745">
        <v>0</v>
      </c>
      <c r="P2939" s="737">
        <v>5.2</v>
      </c>
      <c r="Q2939" s="752"/>
      <c r="R2939" s="752"/>
      <c r="S2939" s="752"/>
    </row>
    <row r="2940" spans="1:19" s="753" customFormat="1" ht="24" customHeight="1">
      <c r="A2940" s="734"/>
      <c r="B2940" s="747"/>
      <c r="C2940" s="735" t="s">
        <v>513</v>
      </c>
      <c r="D2940" s="735"/>
      <c r="E2940" s="737">
        <f t="shared" si="760"/>
        <v>0</v>
      </c>
      <c r="F2940" s="738"/>
      <c r="G2940" s="739">
        <v>0</v>
      </c>
      <c r="H2940" s="748">
        <f t="shared" si="757"/>
        <v>0</v>
      </c>
      <c r="I2940" s="741">
        <v>0</v>
      </c>
      <c r="J2940" s="749">
        <f t="shared" si="758"/>
        <v>0</v>
      </c>
      <c r="K2940" s="739">
        <f t="shared" si="759"/>
        <v>0</v>
      </c>
      <c r="L2940" s="1079"/>
      <c r="M2940" s="752"/>
      <c r="N2940" s="744">
        <f t="shared" si="761"/>
        <v>0</v>
      </c>
      <c r="O2940" s="745">
        <v>0</v>
      </c>
      <c r="P2940" s="737">
        <v>0</v>
      </c>
      <c r="Q2940" s="752"/>
      <c r="R2940" s="752"/>
      <c r="S2940" s="752"/>
    </row>
    <row r="2941" spans="1:19" s="753" customFormat="1" ht="24" customHeight="1">
      <c r="A2941" s="734"/>
      <c r="B2941" s="747" t="s">
        <v>469</v>
      </c>
      <c r="C2941" s="735" t="s">
        <v>521</v>
      </c>
      <c r="D2941" s="735"/>
      <c r="E2941" s="737">
        <f t="shared" si="760"/>
        <v>5.2</v>
      </c>
      <c r="F2941" s="738" t="s">
        <v>361</v>
      </c>
      <c r="G2941" s="739">
        <v>1522</v>
      </c>
      <c r="H2941" s="748">
        <f t="shared" si="757"/>
        <v>7914.4000000000005</v>
      </c>
      <c r="I2941" s="741">
        <v>315</v>
      </c>
      <c r="J2941" s="749">
        <f t="shared" si="758"/>
        <v>1638</v>
      </c>
      <c r="K2941" s="739">
        <f t="shared" si="759"/>
        <v>9552.4000000000015</v>
      </c>
      <c r="L2941" s="1079"/>
      <c r="M2941" s="752"/>
      <c r="N2941" s="744">
        <f t="shared" si="761"/>
        <v>5.2</v>
      </c>
      <c r="O2941" s="745">
        <v>0</v>
      </c>
      <c r="P2941" s="737">
        <v>5.2</v>
      </c>
      <c r="Q2941" s="752"/>
      <c r="R2941" s="752"/>
      <c r="S2941" s="752"/>
    </row>
    <row r="2942" spans="1:19" s="753" customFormat="1" ht="24" customHeight="1">
      <c r="A2942" s="734"/>
      <c r="B2942" s="747"/>
      <c r="C2942" s="735"/>
      <c r="D2942" s="735"/>
      <c r="E2942" s="737">
        <f t="shared" si="760"/>
        <v>0</v>
      </c>
      <c r="F2942" s="738"/>
      <c r="G2942" s="739">
        <v>0</v>
      </c>
      <c r="H2942" s="748">
        <f t="shared" si="757"/>
        <v>0</v>
      </c>
      <c r="I2942" s="741">
        <v>0</v>
      </c>
      <c r="J2942" s="749">
        <f t="shared" si="758"/>
        <v>0</v>
      </c>
      <c r="K2942" s="739">
        <f t="shared" si="759"/>
        <v>0</v>
      </c>
      <c r="L2942" s="1079"/>
      <c r="M2942" s="752"/>
      <c r="N2942" s="744">
        <f t="shared" si="761"/>
        <v>0</v>
      </c>
      <c r="O2942" s="745">
        <v>0</v>
      </c>
      <c r="P2942" s="737">
        <v>0</v>
      </c>
      <c r="Q2942" s="752"/>
      <c r="R2942" s="752"/>
      <c r="S2942" s="752"/>
    </row>
    <row r="2943" spans="1:19" s="682" customFormat="1" ht="24" customHeight="1">
      <c r="A2943" s="734"/>
      <c r="B2943" s="747" t="s">
        <v>469</v>
      </c>
      <c r="C2943" s="735" t="s">
        <v>515</v>
      </c>
      <c r="D2943" s="735"/>
      <c r="E2943" s="737">
        <f t="shared" si="760"/>
        <v>0</v>
      </c>
      <c r="F2943" s="738" t="s">
        <v>363</v>
      </c>
      <c r="G2943" s="739">
        <v>5013</v>
      </c>
      <c r="H2943" s="748">
        <f t="shared" si="757"/>
        <v>0</v>
      </c>
      <c r="I2943" s="741">
        <v>2403</v>
      </c>
      <c r="J2943" s="749">
        <f t="shared" si="758"/>
        <v>0</v>
      </c>
      <c r="K2943" s="739">
        <f t="shared" si="759"/>
        <v>0</v>
      </c>
      <c r="L2943" s="1079"/>
      <c r="M2943" s="679"/>
      <c r="N2943" s="744">
        <f t="shared" si="761"/>
        <v>0</v>
      </c>
      <c r="O2943" s="745">
        <v>0</v>
      </c>
      <c r="P2943" s="737">
        <v>0</v>
      </c>
      <c r="Q2943" s="679"/>
      <c r="R2943" s="679"/>
      <c r="S2943" s="679"/>
    </row>
    <row r="2944" spans="1:19" s="682" customFormat="1" ht="24" customHeight="1">
      <c r="A2944" s="734"/>
      <c r="B2944" s="747"/>
      <c r="C2944" s="735" t="s">
        <v>516</v>
      </c>
      <c r="D2944" s="735"/>
      <c r="E2944" s="737">
        <f t="shared" si="760"/>
        <v>0</v>
      </c>
      <c r="F2944" s="738"/>
      <c r="G2944" s="739"/>
      <c r="H2944" s="748">
        <f t="shared" si="757"/>
        <v>0</v>
      </c>
      <c r="I2944" s="741"/>
      <c r="J2944" s="749">
        <f t="shared" si="758"/>
        <v>0</v>
      </c>
      <c r="K2944" s="739">
        <f t="shared" si="759"/>
        <v>0</v>
      </c>
      <c r="L2944" s="1079"/>
      <c r="M2944" s="679"/>
      <c r="N2944" s="744">
        <f t="shared" si="761"/>
        <v>0</v>
      </c>
      <c r="O2944" s="745">
        <v>0</v>
      </c>
      <c r="P2944" s="737">
        <v>0</v>
      </c>
      <c r="Q2944" s="679"/>
      <c r="R2944" s="679"/>
      <c r="S2944" s="679"/>
    </row>
    <row r="2945" spans="1:19" s="682" customFormat="1" ht="24" customHeight="1">
      <c r="A2945" s="734"/>
      <c r="B2945" s="747"/>
      <c r="C2945" s="735"/>
      <c r="D2945" s="735"/>
      <c r="E2945" s="737">
        <f t="shared" si="760"/>
        <v>0</v>
      </c>
      <c r="F2945" s="738"/>
      <c r="G2945" s="739"/>
      <c r="H2945" s="748">
        <f t="shared" si="757"/>
        <v>0</v>
      </c>
      <c r="I2945" s="741"/>
      <c r="J2945" s="749">
        <f t="shared" si="758"/>
        <v>0</v>
      </c>
      <c r="K2945" s="739">
        <f t="shared" si="759"/>
        <v>0</v>
      </c>
      <c r="L2945" s="1079"/>
      <c r="M2945" s="679"/>
      <c r="N2945" s="744">
        <f t="shared" si="761"/>
        <v>0</v>
      </c>
      <c r="O2945" s="745">
        <v>0</v>
      </c>
      <c r="P2945" s="737">
        <v>0</v>
      </c>
      <c r="Q2945" s="679"/>
      <c r="R2945" s="679"/>
      <c r="S2945" s="679"/>
    </row>
    <row r="2946" spans="1:19" s="756" customFormat="1" ht="24" customHeight="1">
      <c r="A2946" s="734"/>
      <c r="B2946" s="747" t="s">
        <v>469</v>
      </c>
      <c r="C2946" s="735" t="s">
        <v>517</v>
      </c>
      <c r="D2946" s="907"/>
      <c r="E2946" s="737">
        <f t="shared" si="760"/>
        <v>0</v>
      </c>
      <c r="F2946" s="738" t="s">
        <v>361</v>
      </c>
      <c r="G2946" s="739">
        <v>5075.5555555555557</v>
      </c>
      <c r="H2946" s="748">
        <f t="shared" si="757"/>
        <v>0</v>
      </c>
      <c r="I2946" s="741">
        <v>2545.7777777777778</v>
      </c>
      <c r="J2946" s="749">
        <f t="shared" si="758"/>
        <v>0</v>
      </c>
      <c r="K2946" s="739">
        <f t="shared" si="759"/>
        <v>0</v>
      </c>
      <c r="L2946" s="1079"/>
      <c r="M2946" s="755"/>
      <c r="N2946" s="744">
        <f t="shared" si="761"/>
        <v>0</v>
      </c>
      <c r="O2946" s="745">
        <v>0</v>
      </c>
      <c r="P2946" s="737">
        <v>0</v>
      </c>
      <c r="Q2946" s="755"/>
      <c r="R2946" s="755"/>
      <c r="S2946" s="755"/>
    </row>
    <row r="2947" spans="1:19" s="756" customFormat="1" ht="24" customHeight="1">
      <c r="A2947" s="734"/>
      <c r="B2947" s="747"/>
      <c r="C2947" s="735" t="s">
        <v>488</v>
      </c>
      <c r="D2947" s="907"/>
      <c r="E2947" s="737">
        <f t="shared" si="760"/>
        <v>0</v>
      </c>
      <c r="F2947" s="738"/>
      <c r="G2947" s="739">
        <v>0</v>
      </c>
      <c r="H2947" s="748">
        <f t="shared" si="757"/>
        <v>0</v>
      </c>
      <c r="I2947" s="741">
        <v>0</v>
      </c>
      <c r="J2947" s="749">
        <f t="shared" si="758"/>
        <v>0</v>
      </c>
      <c r="K2947" s="739">
        <f t="shared" si="759"/>
        <v>0</v>
      </c>
      <c r="L2947" s="1079"/>
      <c r="M2947" s="755"/>
      <c r="N2947" s="744">
        <f t="shared" si="761"/>
        <v>0</v>
      </c>
      <c r="O2947" s="745">
        <v>0</v>
      </c>
      <c r="P2947" s="737">
        <v>0</v>
      </c>
      <c r="Q2947" s="755"/>
      <c r="R2947" s="755"/>
      <c r="S2947" s="755"/>
    </row>
    <row r="2948" spans="1:19" s="753" customFormat="1" ht="24" customHeight="1">
      <c r="A2948" s="734"/>
      <c r="B2948" s="747" t="s">
        <v>469</v>
      </c>
      <c r="C2948" s="735" t="s">
        <v>518</v>
      </c>
      <c r="D2948" s="735"/>
      <c r="E2948" s="737">
        <f t="shared" si="760"/>
        <v>0</v>
      </c>
      <c r="F2948" s="738" t="s">
        <v>361</v>
      </c>
      <c r="G2948" s="739">
        <v>3886</v>
      </c>
      <c r="H2948" s="748">
        <f t="shared" si="757"/>
        <v>0</v>
      </c>
      <c r="I2948" s="741">
        <v>1238</v>
      </c>
      <c r="J2948" s="749">
        <f t="shared" si="758"/>
        <v>0</v>
      </c>
      <c r="K2948" s="739">
        <f t="shared" si="759"/>
        <v>0</v>
      </c>
      <c r="L2948" s="1079"/>
      <c r="M2948" s="752"/>
      <c r="N2948" s="744">
        <f t="shared" si="761"/>
        <v>0</v>
      </c>
      <c r="O2948" s="745">
        <v>0</v>
      </c>
      <c r="P2948" s="737">
        <v>0</v>
      </c>
      <c r="Q2948" s="752"/>
      <c r="R2948" s="752"/>
      <c r="S2948" s="752"/>
    </row>
    <row r="2949" spans="1:19" s="753" customFormat="1" ht="24" customHeight="1">
      <c r="A2949" s="734"/>
      <c r="B2949" s="747"/>
      <c r="C2949" s="735" t="s">
        <v>513</v>
      </c>
      <c r="D2949" s="735"/>
      <c r="E2949" s="737">
        <f t="shared" si="760"/>
        <v>0</v>
      </c>
      <c r="F2949" s="738"/>
      <c r="G2949" s="739">
        <v>0</v>
      </c>
      <c r="H2949" s="748">
        <f t="shared" si="757"/>
        <v>0</v>
      </c>
      <c r="I2949" s="741">
        <v>0</v>
      </c>
      <c r="J2949" s="749">
        <f t="shared" si="758"/>
        <v>0</v>
      </c>
      <c r="K2949" s="739">
        <f t="shared" si="759"/>
        <v>0</v>
      </c>
      <c r="L2949" s="1079"/>
      <c r="M2949" s="752"/>
      <c r="N2949" s="744">
        <f t="shared" si="761"/>
        <v>0</v>
      </c>
      <c r="O2949" s="745">
        <v>0</v>
      </c>
      <c r="P2949" s="737">
        <v>0</v>
      </c>
      <c r="Q2949" s="752"/>
      <c r="R2949" s="752"/>
      <c r="S2949" s="752"/>
    </row>
    <row r="2950" spans="1:19" s="682" customFormat="1" ht="24" customHeight="1">
      <c r="A2950" s="734"/>
      <c r="B2950" s="747"/>
      <c r="C2950" s="735"/>
      <c r="D2950" s="735"/>
      <c r="E2950" s="737">
        <f t="shared" si="760"/>
        <v>0</v>
      </c>
      <c r="F2950" s="738"/>
      <c r="G2950" s="739"/>
      <c r="H2950" s="748">
        <f t="shared" si="757"/>
        <v>0</v>
      </c>
      <c r="I2950" s="741"/>
      <c r="J2950" s="749">
        <f t="shared" si="758"/>
        <v>0</v>
      </c>
      <c r="K2950" s="739">
        <f t="shared" si="759"/>
        <v>0</v>
      </c>
      <c r="L2950" s="1079"/>
      <c r="M2950" s="679"/>
      <c r="N2950" s="744">
        <f t="shared" si="761"/>
        <v>0</v>
      </c>
      <c r="O2950" s="745">
        <v>0</v>
      </c>
      <c r="P2950" s="737">
        <v>0</v>
      </c>
      <c r="Q2950" s="679"/>
      <c r="R2950" s="679"/>
      <c r="S2950" s="679"/>
    </row>
    <row r="2951" spans="1:19" s="682" customFormat="1" ht="24" customHeight="1">
      <c r="A2951" s="734"/>
      <c r="B2951" s="747" t="s">
        <v>469</v>
      </c>
      <c r="C2951" s="735" t="s">
        <v>519</v>
      </c>
      <c r="D2951" s="735"/>
      <c r="E2951" s="737">
        <f t="shared" si="760"/>
        <v>1</v>
      </c>
      <c r="F2951" s="738" t="s">
        <v>363</v>
      </c>
      <c r="G2951" s="739">
        <v>800</v>
      </c>
      <c r="H2951" s="748">
        <f t="shared" si="757"/>
        <v>800</v>
      </c>
      <c r="I2951" s="741">
        <v>70</v>
      </c>
      <c r="J2951" s="749">
        <f t="shared" si="758"/>
        <v>70</v>
      </c>
      <c r="K2951" s="739">
        <f t="shared" si="759"/>
        <v>870</v>
      </c>
      <c r="L2951" s="1079"/>
      <c r="M2951" s="679"/>
      <c r="N2951" s="744">
        <f t="shared" si="761"/>
        <v>1</v>
      </c>
      <c r="O2951" s="745">
        <v>0</v>
      </c>
      <c r="P2951" s="737">
        <v>1</v>
      </c>
      <c r="Q2951" s="679"/>
      <c r="R2951" s="679"/>
      <c r="S2951" s="679"/>
    </row>
    <row r="2952" spans="1:19" s="682" customFormat="1" ht="24" customHeight="1">
      <c r="A2952" s="734"/>
      <c r="B2952" s="747" t="s">
        <v>469</v>
      </c>
      <c r="C2952" s="735" t="s">
        <v>520</v>
      </c>
      <c r="D2952" s="735"/>
      <c r="E2952" s="737">
        <f t="shared" si="760"/>
        <v>0</v>
      </c>
      <c r="F2952" s="738" t="s">
        <v>361</v>
      </c>
      <c r="G2952" s="739">
        <v>190</v>
      </c>
      <c r="H2952" s="748">
        <f t="shared" si="757"/>
        <v>0</v>
      </c>
      <c r="I2952" s="741">
        <v>75</v>
      </c>
      <c r="J2952" s="749">
        <f t="shared" si="758"/>
        <v>0</v>
      </c>
      <c r="K2952" s="739">
        <f t="shared" si="759"/>
        <v>0</v>
      </c>
      <c r="L2952" s="1079"/>
      <c r="M2952" s="679"/>
      <c r="N2952" s="744">
        <f t="shared" si="761"/>
        <v>0</v>
      </c>
      <c r="O2952" s="745">
        <v>0</v>
      </c>
      <c r="P2952" s="737">
        <v>0</v>
      </c>
      <c r="Q2952" s="679"/>
      <c r="R2952" s="679"/>
      <c r="S2952" s="679"/>
    </row>
    <row r="2953" spans="1:19" s="682" customFormat="1" ht="24" customHeight="1">
      <c r="A2953" s="734"/>
      <c r="B2953" s="747"/>
      <c r="C2953" s="735"/>
      <c r="D2953" s="735"/>
      <c r="E2953" s="737">
        <f t="shared" si="760"/>
        <v>0</v>
      </c>
      <c r="F2953" s="738"/>
      <c r="G2953" s="739"/>
      <c r="H2953" s="748">
        <f t="shared" si="757"/>
        <v>0</v>
      </c>
      <c r="I2953" s="741"/>
      <c r="J2953" s="749">
        <f t="shared" si="758"/>
        <v>0</v>
      </c>
      <c r="K2953" s="739">
        <f t="shared" si="759"/>
        <v>0</v>
      </c>
      <c r="L2953" s="1079"/>
      <c r="M2953" s="679"/>
      <c r="N2953" s="744">
        <f t="shared" si="761"/>
        <v>0</v>
      </c>
      <c r="O2953" s="745">
        <v>0</v>
      </c>
      <c r="P2953" s="737">
        <v>0</v>
      </c>
      <c r="Q2953" s="679"/>
      <c r="R2953" s="679"/>
      <c r="S2953" s="679"/>
    </row>
    <row r="2954" spans="1:19" s="753" customFormat="1" ht="24" customHeight="1">
      <c r="A2954" s="734"/>
      <c r="B2954" s="735" t="s">
        <v>1078</v>
      </c>
      <c r="C2954" s="735"/>
      <c r="D2954" s="735"/>
      <c r="E2954" s="737">
        <f t="shared" si="760"/>
        <v>0</v>
      </c>
      <c r="F2954" s="738"/>
      <c r="G2954" s="739">
        <v>0</v>
      </c>
      <c r="H2954" s="748">
        <f t="shared" si="757"/>
        <v>0</v>
      </c>
      <c r="I2954" s="741">
        <v>0</v>
      </c>
      <c r="J2954" s="749">
        <f t="shared" si="758"/>
        <v>0</v>
      </c>
      <c r="K2954" s="739">
        <f t="shared" si="759"/>
        <v>0</v>
      </c>
      <c r="L2954" s="1079"/>
      <c r="M2954" s="752"/>
      <c r="N2954" s="744">
        <f t="shared" si="761"/>
        <v>0</v>
      </c>
      <c r="O2954" s="745">
        <v>0</v>
      </c>
      <c r="P2954" s="737">
        <v>0</v>
      </c>
      <c r="Q2954" s="752"/>
      <c r="R2954" s="752"/>
      <c r="S2954" s="752"/>
    </row>
    <row r="2955" spans="1:19" s="753" customFormat="1" ht="24" customHeight="1">
      <c r="A2955" s="734"/>
      <c r="B2955" s="747" t="s">
        <v>469</v>
      </c>
      <c r="C2955" s="735" t="s">
        <v>522</v>
      </c>
      <c r="D2955" s="735"/>
      <c r="E2955" s="737">
        <f t="shared" si="760"/>
        <v>1</v>
      </c>
      <c r="F2955" s="738" t="s">
        <v>363</v>
      </c>
      <c r="G2955" s="739">
        <v>6832</v>
      </c>
      <c r="H2955" s="748">
        <f t="shared" si="757"/>
        <v>6832</v>
      </c>
      <c r="I2955" s="741">
        <v>450</v>
      </c>
      <c r="J2955" s="749">
        <f t="shared" si="758"/>
        <v>450</v>
      </c>
      <c r="K2955" s="739">
        <f t="shared" si="759"/>
        <v>7282</v>
      </c>
      <c r="L2955" s="1079"/>
      <c r="M2955" s="752"/>
      <c r="N2955" s="744">
        <f t="shared" si="761"/>
        <v>1</v>
      </c>
      <c r="O2955" s="745">
        <v>0</v>
      </c>
      <c r="P2955" s="737">
        <v>1</v>
      </c>
      <c r="Q2955" s="752"/>
      <c r="R2955" s="752"/>
      <c r="S2955" s="752"/>
    </row>
    <row r="2956" spans="1:19" s="753" customFormat="1" ht="24" customHeight="1">
      <c r="A2956" s="734"/>
      <c r="B2956" s="747" t="s">
        <v>469</v>
      </c>
      <c r="C2956" s="735" t="s">
        <v>498</v>
      </c>
      <c r="D2956" s="735"/>
      <c r="E2956" s="737">
        <f t="shared" si="760"/>
        <v>1</v>
      </c>
      <c r="F2956" s="738" t="s">
        <v>363</v>
      </c>
      <c r="G2956" s="739">
        <v>6640</v>
      </c>
      <c r="H2956" s="748">
        <f t="shared" si="757"/>
        <v>6640</v>
      </c>
      <c r="I2956" s="741">
        <v>200</v>
      </c>
      <c r="J2956" s="749">
        <f t="shared" si="758"/>
        <v>200</v>
      </c>
      <c r="K2956" s="739">
        <f t="shared" si="759"/>
        <v>6840</v>
      </c>
      <c r="L2956" s="1079"/>
      <c r="M2956" s="752"/>
      <c r="N2956" s="744">
        <f t="shared" si="761"/>
        <v>1</v>
      </c>
      <c r="O2956" s="745">
        <v>0</v>
      </c>
      <c r="P2956" s="737">
        <v>1</v>
      </c>
      <c r="Q2956" s="752"/>
      <c r="R2956" s="752"/>
      <c r="S2956" s="752"/>
    </row>
    <row r="2957" spans="1:19" s="753" customFormat="1" ht="24" customHeight="1">
      <c r="A2957" s="734"/>
      <c r="B2957" s="747" t="s">
        <v>469</v>
      </c>
      <c r="C2957" s="735" t="s">
        <v>476</v>
      </c>
      <c r="D2957" s="735"/>
      <c r="E2957" s="737">
        <f t="shared" si="760"/>
        <v>1</v>
      </c>
      <c r="F2957" s="738" t="s">
        <v>363</v>
      </c>
      <c r="G2957" s="739">
        <v>336</v>
      </c>
      <c r="H2957" s="748">
        <f t="shared" si="757"/>
        <v>336</v>
      </c>
      <c r="I2957" s="741">
        <v>0</v>
      </c>
      <c r="J2957" s="749">
        <f t="shared" si="758"/>
        <v>0</v>
      </c>
      <c r="K2957" s="739">
        <f t="shared" si="759"/>
        <v>336</v>
      </c>
      <c r="L2957" s="1079"/>
      <c r="M2957" s="752"/>
      <c r="N2957" s="744">
        <f t="shared" si="761"/>
        <v>1</v>
      </c>
      <c r="O2957" s="745">
        <v>0</v>
      </c>
      <c r="P2957" s="737">
        <v>1</v>
      </c>
      <c r="Q2957" s="752"/>
      <c r="R2957" s="752"/>
      <c r="S2957" s="752"/>
    </row>
    <row r="2958" spans="1:19" s="753" customFormat="1" ht="24" customHeight="1">
      <c r="A2958" s="734"/>
      <c r="B2958" s="747" t="s">
        <v>469</v>
      </c>
      <c r="C2958" s="735" t="s">
        <v>477</v>
      </c>
      <c r="D2958" s="735"/>
      <c r="E2958" s="737">
        <f t="shared" si="760"/>
        <v>1</v>
      </c>
      <c r="F2958" s="738" t="s">
        <v>363</v>
      </c>
      <c r="G2958" s="739">
        <v>736</v>
      </c>
      <c r="H2958" s="748">
        <f t="shared" si="757"/>
        <v>736</v>
      </c>
      <c r="I2958" s="741">
        <v>0</v>
      </c>
      <c r="J2958" s="749">
        <f t="shared" si="758"/>
        <v>0</v>
      </c>
      <c r="K2958" s="739">
        <f t="shared" si="759"/>
        <v>736</v>
      </c>
      <c r="L2958" s="1079"/>
      <c r="M2958" s="752"/>
      <c r="N2958" s="744">
        <f t="shared" si="761"/>
        <v>1</v>
      </c>
      <c r="O2958" s="745">
        <v>0</v>
      </c>
      <c r="P2958" s="737">
        <v>1</v>
      </c>
      <c r="Q2958" s="752"/>
      <c r="R2958" s="752"/>
      <c r="S2958" s="752"/>
    </row>
    <row r="2959" spans="1:19" s="753" customFormat="1" ht="24" customHeight="1">
      <c r="A2959" s="734"/>
      <c r="B2959" s="747" t="s">
        <v>469</v>
      </c>
      <c r="C2959" s="735" t="s">
        <v>478</v>
      </c>
      <c r="D2959" s="735"/>
      <c r="E2959" s="737">
        <f t="shared" si="760"/>
        <v>1</v>
      </c>
      <c r="F2959" s="738" t="s">
        <v>363</v>
      </c>
      <c r="G2959" s="739">
        <v>176</v>
      </c>
      <c r="H2959" s="748">
        <f t="shared" si="757"/>
        <v>176</v>
      </c>
      <c r="I2959" s="741">
        <v>0</v>
      </c>
      <c r="J2959" s="749">
        <f t="shared" si="758"/>
        <v>0</v>
      </c>
      <c r="K2959" s="739">
        <f t="shared" si="759"/>
        <v>176</v>
      </c>
      <c r="L2959" s="1079"/>
      <c r="M2959" s="752"/>
      <c r="N2959" s="744">
        <f t="shared" si="761"/>
        <v>1</v>
      </c>
      <c r="O2959" s="745">
        <v>0</v>
      </c>
      <c r="P2959" s="737">
        <v>1</v>
      </c>
      <c r="Q2959" s="752"/>
      <c r="R2959" s="752"/>
      <c r="S2959" s="752"/>
    </row>
    <row r="2960" spans="1:19" s="753" customFormat="1" ht="24" customHeight="1">
      <c r="A2960" s="734"/>
      <c r="B2960" s="747" t="s">
        <v>469</v>
      </c>
      <c r="C2960" s="735" t="s">
        <v>499</v>
      </c>
      <c r="D2960" s="735"/>
      <c r="E2960" s="737">
        <f t="shared" si="760"/>
        <v>1</v>
      </c>
      <c r="F2960" s="738" t="s">
        <v>363</v>
      </c>
      <c r="G2960" s="739">
        <v>216</v>
      </c>
      <c r="H2960" s="748">
        <f t="shared" si="757"/>
        <v>216</v>
      </c>
      <c r="I2960" s="741">
        <v>35</v>
      </c>
      <c r="J2960" s="749">
        <f t="shared" si="758"/>
        <v>35</v>
      </c>
      <c r="K2960" s="739">
        <f t="shared" si="759"/>
        <v>251</v>
      </c>
      <c r="L2960" s="1079"/>
      <c r="M2960" s="752"/>
      <c r="N2960" s="744">
        <f t="shared" si="761"/>
        <v>1</v>
      </c>
      <c r="O2960" s="745">
        <v>0</v>
      </c>
      <c r="P2960" s="737">
        <v>1</v>
      </c>
      <c r="Q2960" s="752"/>
      <c r="R2960" s="752"/>
      <c r="S2960" s="752"/>
    </row>
    <row r="2961" spans="1:19" s="753" customFormat="1" ht="24" customHeight="1">
      <c r="A2961" s="734"/>
      <c r="B2961" s="750"/>
      <c r="C2961" s="757"/>
      <c r="D2961" s="907"/>
      <c r="E2961" s="737">
        <f t="shared" si="760"/>
        <v>0</v>
      </c>
      <c r="F2961" s="738"/>
      <c r="G2961" s="739">
        <v>0</v>
      </c>
      <c r="H2961" s="748">
        <f t="shared" si="757"/>
        <v>0</v>
      </c>
      <c r="I2961" s="741">
        <v>0</v>
      </c>
      <c r="J2961" s="749">
        <f t="shared" si="758"/>
        <v>0</v>
      </c>
      <c r="K2961" s="739">
        <f t="shared" si="759"/>
        <v>0</v>
      </c>
      <c r="L2961" s="1079"/>
      <c r="M2961" s="752"/>
      <c r="N2961" s="744">
        <f t="shared" si="761"/>
        <v>0</v>
      </c>
      <c r="O2961" s="745">
        <v>0</v>
      </c>
      <c r="P2961" s="737">
        <v>0</v>
      </c>
      <c r="Q2961" s="752"/>
      <c r="R2961" s="752"/>
      <c r="S2961" s="752"/>
    </row>
    <row r="2962" spans="1:19" s="753" customFormat="1" ht="24" customHeight="1">
      <c r="A2962" s="734"/>
      <c r="B2962" s="747" t="s">
        <v>469</v>
      </c>
      <c r="C2962" s="735" t="s">
        <v>523</v>
      </c>
      <c r="D2962" s="735"/>
      <c r="E2962" s="737">
        <f t="shared" si="760"/>
        <v>1</v>
      </c>
      <c r="F2962" s="738" t="s">
        <v>363</v>
      </c>
      <c r="G2962" s="739">
        <v>6580</v>
      </c>
      <c r="H2962" s="748">
        <f t="shared" si="757"/>
        <v>6580</v>
      </c>
      <c r="I2962" s="741">
        <v>450</v>
      </c>
      <c r="J2962" s="749">
        <f t="shared" si="758"/>
        <v>450</v>
      </c>
      <c r="K2962" s="739">
        <f t="shared" si="759"/>
        <v>7030</v>
      </c>
      <c r="L2962" s="1079"/>
      <c r="M2962" s="752"/>
      <c r="N2962" s="744">
        <f t="shared" si="761"/>
        <v>1</v>
      </c>
      <c r="O2962" s="745">
        <v>0</v>
      </c>
      <c r="P2962" s="737">
        <v>1</v>
      </c>
      <c r="Q2962" s="752"/>
      <c r="R2962" s="752"/>
      <c r="S2962" s="752"/>
    </row>
    <row r="2963" spans="1:19" s="753" customFormat="1" ht="24" customHeight="1">
      <c r="A2963" s="734"/>
      <c r="B2963" s="747" t="s">
        <v>469</v>
      </c>
      <c r="C2963" s="735" t="s">
        <v>478</v>
      </c>
      <c r="D2963" s="735"/>
      <c r="E2963" s="737">
        <f t="shared" si="760"/>
        <v>1</v>
      </c>
      <c r="F2963" s="738" t="s">
        <v>363</v>
      </c>
      <c r="G2963" s="739">
        <v>176</v>
      </c>
      <c r="H2963" s="748">
        <f t="shared" si="757"/>
        <v>176</v>
      </c>
      <c r="I2963" s="741">
        <v>0</v>
      </c>
      <c r="J2963" s="749">
        <f t="shared" si="758"/>
        <v>0</v>
      </c>
      <c r="K2963" s="739">
        <f t="shared" si="759"/>
        <v>176</v>
      </c>
      <c r="L2963" s="1079"/>
      <c r="M2963" s="752"/>
      <c r="N2963" s="744">
        <f t="shared" si="761"/>
        <v>1</v>
      </c>
      <c r="O2963" s="745">
        <v>0</v>
      </c>
      <c r="P2963" s="737">
        <v>1</v>
      </c>
      <c r="Q2963" s="752"/>
      <c r="R2963" s="752"/>
      <c r="S2963" s="752"/>
    </row>
    <row r="2964" spans="1:19" s="753" customFormat="1" ht="24" customHeight="1">
      <c r="A2964" s="734"/>
      <c r="B2964" s="747" t="s">
        <v>469</v>
      </c>
      <c r="C2964" s="735" t="s">
        <v>482</v>
      </c>
      <c r="D2964" s="735"/>
      <c r="E2964" s="737">
        <f t="shared" si="760"/>
        <v>1</v>
      </c>
      <c r="F2964" s="738" t="s">
        <v>363</v>
      </c>
      <c r="G2964" s="739">
        <v>560</v>
      </c>
      <c r="H2964" s="748">
        <f t="shared" si="757"/>
        <v>560</v>
      </c>
      <c r="I2964" s="741">
        <v>35</v>
      </c>
      <c r="J2964" s="749">
        <f t="shared" si="758"/>
        <v>35</v>
      </c>
      <c r="K2964" s="739">
        <f t="shared" si="759"/>
        <v>595</v>
      </c>
      <c r="L2964" s="1079"/>
      <c r="M2964" s="752"/>
      <c r="N2964" s="744">
        <f t="shared" si="761"/>
        <v>1</v>
      </c>
      <c r="O2964" s="745">
        <v>0</v>
      </c>
      <c r="P2964" s="737">
        <v>1</v>
      </c>
      <c r="Q2964" s="752"/>
      <c r="R2964" s="752"/>
      <c r="S2964" s="752"/>
    </row>
    <row r="2965" spans="1:19" s="753" customFormat="1" ht="24" customHeight="1">
      <c r="A2965" s="734"/>
      <c r="B2965" s="747" t="s">
        <v>469</v>
      </c>
      <c r="C2965" s="735" t="s">
        <v>524</v>
      </c>
      <c r="D2965" s="735"/>
      <c r="E2965" s="737">
        <f t="shared" si="760"/>
        <v>1</v>
      </c>
      <c r="F2965" s="738" t="s">
        <v>363</v>
      </c>
      <c r="G2965" s="739">
        <v>216</v>
      </c>
      <c r="H2965" s="748">
        <f t="shared" si="757"/>
        <v>216</v>
      </c>
      <c r="I2965" s="741">
        <v>35</v>
      </c>
      <c r="J2965" s="749">
        <f t="shared" si="758"/>
        <v>35</v>
      </c>
      <c r="K2965" s="739">
        <f t="shared" si="759"/>
        <v>251</v>
      </c>
      <c r="L2965" s="1079"/>
      <c r="M2965" s="752"/>
      <c r="N2965" s="744">
        <f t="shared" si="761"/>
        <v>1</v>
      </c>
      <c r="O2965" s="745">
        <v>0</v>
      </c>
      <c r="P2965" s="737">
        <v>1</v>
      </c>
      <c r="Q2965" s="752"/>
      <c r="R2965" s="752"/>
      <c r="S2965" s="752"/>
    </row>
    <row r="2966" spans="1:19" s="753" customFormat="1" ht="24" customHeight="1">
      <c r="A2966" s="734"/>
      <c r="B2966" s="747"/>
      <c r="C2966" s="735"/>
      <c r="D2966" s="735"/>
      <c r="E2966" s="737">
        <f t="shared" si="760"/>
        <v>0</v>
      </c>
      <c r="F2966" s="738"/>
      <c r="G2966" s="739">
        <v>0</v>
      </c>
      <c r="H2966" s="748">
        <f t="shared" si="757"/>
        <v>0</v>
      </c>
      <c r="I2966" s="741">
        <v>0</v>
      </c>
      <c r="J2966" s="749">
        <f t="shared" si="758"/>
        <v>0</v>
      </c>
      <c r="K2966" s="739">
        <f t="shared" si="759"/>
        <v>0</v>
      </c>
      <c r="L2966" s="1079"/>
      <c r="M2966" s="752"/>
      <c r="N2966" s="744">
        <f t="shared" si="761"/>
        <v>0</v>
      </c>
      <c r="O2966" s="745">
        <v>0</v>
      </c>
      <c r="P2966" s="737">
        <v>0</v>
      </c>
      <c r="Q2966" s="752"/>
      <c r="R2966" s="752"/>
      <c r="S2966" s="752"/>
    </row>
    <row r="2967" spans="1:19" s="753" customFormat="1" ht="24" customHeight="1">
      <c r="A2967" s="734"/>
      <c r="B2967" s="747" t="s">
        <v>469</v>
      </c>
      <c r="C2967" s="735" t="s">
        <v>486</v>
      </c>
      <c r="D2967" s="735"/>
      <c r="E2967" s="737">
        <f t="shared" si="760"/>
        <v>1</v>
      </c>
      <c r="F2967" s="738" t="s">
        <v>363</v>
      </c>
      <c r="G2967" s="739">
        <v>552</v>
      </c>
      <c r="H2967" s="748">
        <f t="shared" si="757"/>
        <v>552</v>
      </c>
      <c r="I2967" s="741">
        <v>25</v>
      </c>
      <c r="J2967" s="749">
        <f t="shared" si="758"/>
        <v>25</v>
      </c>
      <c r="K2967" s="739">
        <f t="shared" si="759"/>
        <v>577</v>
      </c>
      <c r="L2967" s="1079"/>
      <c r="M2967" s="752"/>
      <c r="N2967" s="744">
        <f t="shared" si="761"/>
        <v>1</v>
      </c>
      <c r="O2967" s="745">
        <v>0</v>
      </c>
      <c r="P2967" s="737">
        <v>1</v>
      </c>
      <c r="Q2967" s="752"/>
      <c r="R2967" s="752"/>
      <c r="S2967" s="752"/>
    </row>
    <row r="2968" spans="1:19" s="753" customFormat="1" ht="24" customHeight="1">
      <c r="A2968" s="734"/>
      <c r="B2968" s="747" t="s">
        <v>484</v>
      </c>
      <c r="C2968" s="735" t="s">
        <v>485</v>
      </c>
      <c r="D2968" s="735"/>
      <c r="E2968" s="737">
        <f t="shared" si="760"/>
        <v>1</v>
      </c>
      <c r="F2968" s="738" t="s">
        <v>363</v>
      </c>
      <c r="G2968" s="739">
        <v>285</v>
      </c>
      <c r="H2968" s="748">
        <f t="shared" si="757"/>
        <v>285</v>
      </c>
      <c r="I2968" s="741">
        <v>75</v>
      </c>
      <c r="J2968" s="749">
        <f t="shared" si="758"/>
        <v>75</v>
      </c>
      <c r="K2968" s="739">
        <f t="shared" si="759"/>
        <v>360</v>
      </c>
      <c r="L2968" s="1093"/>
      <c r="M2968" s="752"/>
      <c r="N2968" s="744">
        <f t="shared" si="761"/>
        <v>1</v>
      </c>
      <c r="O2968" s="745">
        <v>0</v>
      </c>
      <c r="P2968" s="737">
        <v>1</v>
      </c>
      <c r="Q2968" s="752"/>
      <c r="R2968" s="752"/>
      <c r="S2968" s="752"/>
    </row>
    <row r="2969" spans="1:19" s="753" customFormat="1" ht="24" customHeight="1">
      <c r="A2969" s="734"/>
      <c r="B2969" s="747"/>
      <c r="C2969" s="735"/>
      <c r="D2969" s="735"/>
      <c r="E2969" s="737">
        <f t="shared" si="760"/>
        <v>0</v>
      </c>
      <c r="F2969" s="738"/>
      <c r="G2969" s="739">
        <v>0</v>
      </c>
      <c r="H2969" s="748">
        <f t="shared" si="757"/>
        <v>0</v>
      </c>
      <c r="I2969" s="741">
        <v>0</v>
      </c>
      <c r="J2969" s="749">
        <f t="shared" si="758"/>
        <v>0</v>
      </c>
      <c r="K2969" s="739">
        <f t="shared" si="759"/>
        <v>0</v>
      </c>
      <c r="L2969" s="1079"/>
      <c r="M2969" s="752"/>
      <c r="N2969" s="744">
        <f t="shared" si="761"/>
        <v>0</v>
      </c>
      <c r="O2969" s="745">
        <v>0</v>
      </c>
      <c r="P2969" s="737">
        <v>0</v>
      </c>
      <c r="Q2969" s="752"/>
      <c r="R2969" s="752"/>
      <c r="S2969" s="752"/>
    </row>
    <row r="2970" spans="1:19" s="753" customFormat="1" ht="24" customHeight="1">
      <c r="A2970" s="734"/>
      <c r="B2970" s="747" t="s">
        <v>469</v>
      </c>
      <c r="C2970" s="735" t="s">
        <v>507</v>
      </c>
      <c r="D2970" s="735"/>
      <c r="E2970" s="737">
        <f t="shared" si="760"/>
        <v>1</v>
      </c>
      <c r="F2970" s="738" t="s">
        <v>363</v>
      </c>
      <c r="G2970" s="739">
        <v>1650</v>
      </c>
      <c r="H2970" s="748">
        <f t="shared" si="757"/>
        <v>1650</v>
      </c>
      <c r="I2970" s="741">
        <v>70</v>
      </c>
      <c r="J2970" s="749">
        <f t="shared" si="758"/>
        <v>70</v>
      </c>
      <c r="K2970" s="739">
        <f t="shared" si="759"/>
        <v>1720</v>
      </c>
      <c r="L2970" s="1079"/>
      <c r="M2970" s="752"/>
      <c r="N2970" s="744">
        <f t="shared" si="761"/>
        <v>1</v>
      </c>
      <c r="O2970" s="745">
        <v>0</v>
      </c>
      <c r="P2970" s="737">
        <v>1</v>
      </c>
      <c r="Q2970" s="752"/>
      <c r="R2970" s="752"/>
      <c r="S2970" s="752"/>
    </row>
    <row r="2971" spans="1:19" s="753" customFormat="1" ht="24" customHeight="1">
      <c r="A2971" s="734"/>
      <c r="B2971" s="747" t="s">
        <v>469</v>
      </c>
      <c r="C2971" s="735" t="s">
        <v>525</v>
      </c>
      <c r="D2971" s="735"/>
      <c r="E2971" s="737">
        <f t="shared" si="760"/>
        <v>2</v>
      </c>
      <c r="F2971" s="738" t="s">
        <v>363</v>
      </c>
      <c r="G2971" s="739">
        <v>4160</v>
      </c>
      <c r="H2971" s="748">
        <f t="shared" si="757"/>
        <v>8320</v>
      </c>
      <c r="I2971" s="741">
        <v>105</v>
      </c>
      <c r="J2971" s="749">
        <f t="shared" si="758"/>
        <v>210</v>
      </c>
      <c r="K2971" s="739">
        <f t="shared" si="759"/>
        <v>8530</v>
      </c>
      <c r="L2971" s="1079"/>
      <c r="M2971" s="752"/>
      <c r="N2971" s="744">
        <f t="shared" si="761"/>
        <v>2</v>
      </c>
      <c r="O2971" s="745">
        <v>0</v>
      </c>
      <c r="P2971" s="737">
        <v>2</v>
      </c>
      <c r="Q2971" s="752"/>
      <c r="R2971" s="752"/>
      <c r="S2971" s="752"/>
    </row>
    <row r="2972" spans="1:19" s="753" customFormat="1" ht="24" customHeight="1">
      <c r="A2972" s="734"/>
      <c r="B2972" s="747" t="s">
        <v>469</v>
      </c>
      <c r="C2972" s="735" t="s">
        <v>526</v>
      </c>
      <c r="D2972" s="735"/>
      <c r="E2972" s="737">
        <f t="shared" si="760"/>
        <v>1</v>
      </c>
      <c r="F2972" s="738" t="s">
        <v>363</v>
      </c>
      <c r="G2972" s="739">
        <v>2533.5</v>
      </c>
      <c r="H2972" s="748">
        <f t="shared" si="757"/>
        <v>2533.5</v>
      </c>
      <c r="I2972" s="741">
        <v>105</v>
      </c>
      <c r="J2972" s="749">
        <f t="shared" si="758"/>
        <v>105</v>
      </c>
      <c r="K2972" s="739">
        <f t="shared" si="759"/>
        <v>2638.5</v>
      </c>
      <c r="L2972" s="1079"/>
      <c r="M2972" s="752"/>
      <c r="N2972" s="744">
        <f t="shared" si="761"/>
        <v>1</v>
      </c>
      <c r="O2972" s="745">
        <v>0</v>
      </c>
      <c r="P2972" s="737">
        <v>1</v>
      </c>
      <c r="Q2972" s="752"/>
      <c r="R2972" s="752"/>
      <c r="S2972" s="752"/>
    </row>
    <row r="2973" spans="1:19" s="753" customFormat="1" ht="24" customHeight="1">
      <c r="A2973" s="734"/>
      <c r="B2973" s="747"/>
      <c r="C2973" s="735"/>
      <c r="D2973" s="735"/>
      <c r="E2973" s="737">
        <f t="shared" si="760"/>
        <v>0</v>
      </c>
      <c r="F2973" s="738"/>
      <c r="G2973" s="739">
        <v>0</v>
      </c>
      <c r="H2973" s="748">
        <f t="shared" si="757"/>
        <v>0</v>
      </c>
      <c r="I2973" s="741">
        <v>0</v>
      </c>
      <c r="J2973" s="749">
        <f t="shared" si="758"/>
        <v>0</v>
      </c>
      <c r="K2973" s="739">
        <f t="shared" si="759"/>
        <v>0</v>
      </c>
      <c r="L2973" s="1079"/>
      <c r="M2973" s="752"/>
      <c r="N2973" s="744">
        <f t="shared" si="761"/>
        <v>0</v>
      </c>
      <c r="O2973" s="745">
        <v>0</v>
      </c>
      <c r="P2973" s="737">
        <v>0</v>
      </c>
      <c r="Q2973" s="752"/>
      <c r="R2973" s="752"/>
      <c r="S2973" s="752"/>
    </row>
    <row r="2974" spans="1:19" s="753" customFormat="1" ht="24" customHeight="1">
      <c r="A2974" s="734"/>
      <c r="B2974" s="747" t="s">
        <v>469</v>
      </c>
      <c r="C2974" s="735" t="s">
        <v>527</v>
      </c>
      <c r="D2974" s="735"/>
      <c r="E2974" s="737">
        <f t="shared" si="760"/>
        <v>1</v>
      </c>
      <c r="F2974" s="738" t="s">
        <v>363</v>
      </c>
      <c r="G2974" s="739">
        <v>2855</v>
      </c>
      <c r="H2974" s="748">
        <f t="shared" si="757"/>
        <v>2855</v>
      </c>
      <c r="I2974" s="741">
        <v>1432</v>
      </c>
      <c r="J2974" s="749">
        <f t="shared" si="758"/>
        <v>1432</v>
      </c>
      <c r="K2974" s="739">
        <f t="shared" si="759"/>
        <v>4287</v>
      </c>
      <c r="L2974" s="1079"/>
      <c r="M2974" s="752"/>
      <c r="N2974" s="744">
        <f t="shared" si="761"/>
        <v>1</v>
      </c>
      <c r="O2974" s="745">
        <v>0</v>
      </c>
      <c r="P2974" s="737">
        <v>1</v>
      </c>
      <c r="Q2974" s="752"/>
      <c r="R2974" s="752"/>
      <c r="S2974" s="752"/>
    </row>
    <row r="2975" spans="1:19" s="682" customFormat="1" ht="24" customHeight="1">
      <c r="A2975" s="734"/>
      <c r="B2975" s="747" t="s">
        <v>469</v>
      </c>
      <c r="C2975" s="735" t="s">
        <v>528</v>
      </c>
      <c r="D2975" s="735"/>
      <c r="E2975" s="737">
        <f t="shared" si="760"/>
        <v>0</v>
      </c>
      <c r="F2975" s="738" t="s">
        <v>363</v>
      </c>
      <c r="G2975" s="739">
        <v>9750</v>
      </c>
      <c r="H2975" s="748">
        <f t="shared" ref="H2975:H2982" si="762">SUM(E2975*G2975)</f>
        <v>0</v>
      </c>
      <c r="I2975" s="741">
        <v>105</v>
      </c>
      <c r="J2975" s="749">
        <f t="shared" ref="J2975:J2982" si="763">SUM(E2975*I2975)</f>
        <v>0</v>
      </c>
      <c r="K2975" s="739">
        <f t="shared" ref="K2975:K2982" si="764">SUM(H2975+J2975)</f>
        <v>0</v>
      </c>
      <c r="L2975" s="1079"/>
      <c r="M2975" s="679"/>
      <c r="N2975" s="744">
        <f t="shared" si="761"/>
        <v>0</v>
      </c>
      <c r="O2975" s="745">
        <v>0</v>
      </c>
      <c r="P2975" s="737">
        <v>0</v>
      </c>
      <c r="Q2975" s="679"/>
      <c r="R2975" s="679"/>
      <c r="S2975" s="679"/>
    </row>
    <row r="2976" spans="1:19" s="682" customFormat="1" ht="24" customHeight="1">
      <c r="A2976" s="734"/>
      <c r="B2976" s="747" t="s">
        <v>469</v>
      </c>
      <c r="C2976" s="735" t="s">
        <v>529</v>
      </c>
      <c r="D2976" s="735"/>
      <c r="E2976" s="737">
        <f t="shared" si="760"/>
        <v>0</v>
      </c>
      <c r="F2976" s="738" t="s">
        <v>363</v>
      </c>
      <c r="G2976" s="739">
        <v>5200</v>
      </c>
      <c r="H2976" s="748">
        <f t="shared" si="762"/>
        <v>0</v>
      </c>
      <c r="I2976" s="741">
        <v>70</v>
      </c>
      <c r="J2976" s="749">
        <f t="shared" si="763"/>
        <v>0</v>
      </c>
      <c r="K2976" s="739">
        <f t="shared" si="764"/>
        <v>0</v>
      </c>
      <c r="L2976" s="1079"/>
      <c r="M2976" s="679"/>
      <c r="N2976" s="744">
        <f t="shared" si="761"/>
        <v>0</v>
      </c>
      <c r="O2976" s="745">
        <v>0</v>
      </c>
      <c r="P2976" s="737">
        <v>0</v>
      </c>
      <c r="Q2976" s="679"/>
      <c r="R2976" s="679"/>
      <c r="S2976" s="679"/>
    </row>
    <row r="2977" spans="1:19" s="682" customFormat="1" ht="24" customHeight="1">
      <c r="A2977" s="734"/>
      <c r="B2977" s="747" t="s">
        <v>469</v>
      </c>
      <c r="C2977" s="735" t="s">
        <v>519</v>
      </c>
      <c r="D2977" s="735"/>
      <c r="E2977" s="737">
        <f t="shared" si="760"/>
        <v>1</v>
      </c>
      <c r="F2977" s="738" t="s">
        <v>363</v>
      </c>
      <c r="G2977" s="739">
        <v>800</v>
      </c>
      <c r="H2977" s="748">
        <f t="shared" si="762"/>
        <v>800</v>
      </c>
      <c r="I2977" s="741">
        <v>70</v>
      </c>
      <c r="J2977" s="749">
        <f t="shared" si="763"/>
        <v>70</v>
      </c>
      <c r="K2977" s="739">
        <f t="shared" si="764"/>
        <v>870</v>
      </c>
      <c r="L2977" s="1079"/>
      <c r="M2977" s="679"/>
      <c r="N2977" s="744">
        <f t="shared" si="761"/>
        <v>1</v>
      </c>
      <c r="O2977" s="745">
        <v>0</v>
      </c>
      <c r="P2977" s="737">
        <v>1</v>
      </c>
      <c r="Q2977" s="679"/>
      <c r="R2977" s="679"/>
      <c r="S2977" s="679"/>
    </row>
    <row r="2978" spans="1:19" s="682" customFormat="1" ht="24" customHeight="1">
      <c r="A2978" s="734"/>
      <c r="B2978" s="747" t="s">
        <v>469</v>
      </c>
      <c r="C2978" s="735" t="s">
        <v>520</v>
      </c>
      <c r="D2978" s="735"/>
      <c r="E2978" s="737">
        <f t="shared" ref="E2978:E2982" si="765">+N2978</f>
        <v>0</v>
      </c>
      <c r="F2978" s="738" t="s">
        <v>361</v>
      </c>
      <c r="G2978" s="739">
        <v>190</v>
      </c>
      <c r="H2978" s="748">
        <f t="shared" si="762"/>
        <v>0</v>
      </c>
      <c r="I2978" s="741">
        <v>75</v>
      </c>
      <c r="J2978" s="749">
        <f t="shared" si="763"/>
        <v>0</v>
      </c>
      <c r="K2978" s="739">
        <f t="shared" si="764"/>
        <v>0</v>
      </c>
      <c r="L2978" s="1079"/>
      <c r="M2978" s="679"/>
      <c r="N2978" s="744">
        <f t="shared" si="761"/>
        <v>0</v>
      </c>
      <c r="O2978" s="745">
        <v>0</v>
      </c>
      <c r="P2978" s="737">
        <v>0</v>
      </c>
      <c r="Q2978" s="679"/>
      <c r="R2978" s="679"/>
      <c r="S2978" s="679"/>
    </row>
    <row r="2979" spans="1:19" s="753" customFormat="1" ht="24" customHeight="1">
      <c r="A2979" s="734"/>
      <c r="B2979" s="747"/>
      <c r="C2979" s="735"/>
      <c r="D2979" s="735"/>
      <c r="E2979" s="737">
        <f t="shared" si="765"/>
        <v>0</v>
      </c>
      <c r="F2979" s="738"/>
      <c r="G2979" s="739">
        <v>0</v>
      </c>
      <c r="H2979" s="748">
        <f t="shared" si="762"/>
        <v>0</v>
      </c>
      <c r="I2979" s="741">
        <v>0</v>
      </c>
      <c r="J2979" s="749">
        <f t="shared" si="763"/>
        <v>0</v>
      </c>
      <c r="K2979" s="739">
        <f t="shared" si="764"/>
        <v>0</v>
      </c>
      <c r="L2979" s="1079"/>
      <c r="M2979" s="752"/>
      <c r="N2979" s="758">
        <f t="shared" si="761"/>
        <v>0</v>
      </c>
      <c r="O2979" s="745">
        <v>0</v>
      </c>
      <c r="P2979" s="759">
        <v>0</v>
      </c>
      <c r="Q2979" s="752"/>
      <c r="R2979" s="752"/>
      <c r="S2979" s="752"/>
    </row>
    <row r="2980" spans="1:19" s="753" customFormat="1" ht="24" customHeight="1">
      <c r="A2980" s="734"/>
      <c r="B2980" s="751" t="s">
        <v>1092</v>
      </c>
      <c r="C2980" s="735"/>
      <c r="D2980" s="735"/>
      <c r="E2980" s="737">
        <f t="shared" si="765"/>
        <v>0</v>
      </c>
      <c r="F2980" s="738"/>
      <c r="G2980" s="739">
        <v>0</v>
      </c>
      <c r="H2980" s="748">
        <f t="shared" si="762"/>
        <v>0</v>
      </c>
      <c r="I2980" s="741">
        <v>0</v>
      </c>
      <c r="J2980" s="749">
        <f t="shared" si="763"/>
        <v>0</v>
      </c>
      <c r="K2980" s="739">
        <f t="shared" si="764"/>
        <v>0</v>
      </c>
      <c r="L2980" s="1079"/>
      <c r="M2980" s="752"/>
      <c r="N2980" s="744">
        <f t="shared" si="761"/>
        <v>0</v>
      </c>
      <c r="O2980" s="745">
        <v>0</v>
      </c>
      <c r="P2980" s="737">
        <v>0</v>
      </c>
      <c r="Q2980" s="752"/>
      <c r="R2980" s="752"/>
      <c r="S2980" s="752"/>
    </row>
    <row r="2981" spans="1:19" s="753" customFormat="1" ht="24" customHeight="1">
      <c r="A2981" s="734"/>
      <c r="B2981" s="747" t="s">
        <v>469</v>
      </c>
      <c r="C2981" s="735" t="s">
        <v>486</v>
      </c>
      <c r="D2981" s="735"/>
      <c r="E2981" s="737">
        <f t="shared" si="765"/>
        <v>1</v>
      </c>
      <c r="F2981" s="738" t="s">
        <v>363</v>
      </c>
      <c r="G2981" s="739">
        <v>552</v>
      </c>
      <c r="H2981" s="748">
        <f t="shared" si="762"/>
        <v>552</v>
      </c>
      <c r="I2981" s="741">
        <v>25</v>
      </c>
      <c r="J2981" s="749">
        <f t="shared" si="763"/>
        <v>25</v>
      </c>
      <c r="K2981" s="739">
        <f t="shared" si="764"/>
        <v>577</v>
      </c>
      <c r="L2981" s="1079"/>
      <c r="M2981" s="752"/>
      <c r="N2981" s="744">
        <f t="shared" si="761"/>
        <v>1</v>
      </c>
      <c r="O2981" s="745">
        <v>0</v>
      </c>
      <c r="P2981" s="737">
        <v>1</v>
      </c>
      <c r="Q2981" s="752"/>
      <c r="R2981" s="752"/>
      <c r="S2981" s="752"/>
    </row>
    <row r="2982" spans="1:19" s="753" customFormat="1" ht="24" customHeight="1">
      <c r="A2982" s="734"/>
      <c r="B2982" s="747" t="s">
        <v>484</v>
      </c>
      <c r="C2982" s="735" t="s">
        <v>485</v>
      </c>
      <c r="D2982" s="735"/>
      <c r="E2982" s="737">
        <f t="shared" si="765"/>
        <v>1</v>
      </c>
      <c r="F2982" s="738" t="s">
        <v>363</v>
      </c>
      <c r="G2982" s="739">
        <v>285</v>
      </c>
      <c r="H2982" s="748">
        <f t="shared" si="762"/>
        <v>285</v>
      </c>
      <c r="I2982" s="741">
        <v>75</v>
      </c>
      <c r="J2982" s="749">
        <f t="shared" si="763"/>
        <v>75</v>
      </c>
      <c r="K2982" s="739">
        <f t="shared" si="764"/>
        <v>360</v>
      </c>
      <c r="L2982" s="1093"/>
      <c r="M2982" s="752"/>
      <c r="N2982" s="744">
        <f t="shared" si="761"/>
        <v>1</v>
      </c>
      <c r="O2982" s="745">
        <v>0</v>
      </c>
      <c r="P2982" s="737">
        <v>1</v>
      </c>
      <c r="Q2982" s="752"/>
      <c r="R2982" s="752"/>
      <c r="S2982" s="752"/>
    </row>
    <row r="2983" spans="1:19" s="753" customFormat="1" ht="24" customHeight="1">
      <c r="A2983" s="734"/>
      <c r="B2983" s="747"/>
      <c r="C2983" s="735"/>
      <c r="D2983" s="735"/>
      <c r="E2983" s="737"/>
      <c r="F2983" s="738"/>
      <c r="G2983" s="739"/>
      <c r="H2983" s="748"/>
      <c r="I2983" s="741"/>
      <c r="J2983" s="749"/>
      <c r="K2983" s="739"/>
      <c r="L2983" s="1093"/>
      <c r="M2983" s="752"/>
      <c r="N2983" s="744">
        <f t="shared" si="761"/>
        <v>0</v>
      </c>
      <c r="O2983" s="745">
        <v>0</v>
      </c>
      <c r="P2983" s="737">
        <v>0</v>
      </c>
      <c r="Q2983" s="752"/>
      <c r="R2983" s="752"/>
      <c r="S2983" s="752"/>
    </row>
    <row r="2984" spans="1:19" s="760" customFormat="1" ht="23.4">
      <c r="A2984" s="734" t="s">
        <v>760</v>
      </c>
      <c r="B2984" s="761" t="s">
        <v>535</v>
      </c>
      <c r="C2984" s="736"/>
      <c r="D2984" s="907"/>
      <c r="E2984" s="737"/>
      <c r="F2984" s="738"/>
      <c r="G2984" s="739">
        <v>0</v>
      </c>
      <c r="H2984" s="748">
        <f t="shared" ref="H2984:H3047" si="766">SUM(E2984*G2984)</f>
        <v>0</v>
      </c>
      <c r="I2984" s="741">
        <v>0</v>
      </c>
      <c r="J2984" s="749">
        <f t="shared" ref="J2984:J3030" si="767">SUM(E2984*I2984)</f>
        <v>0</v>
      </c>
      <c r="K2984" s="739">
        <f t="shared" ref="K2984:K3047" si="768">SUM(H2984+J2984)</f>
        <v>0</v>
      </c>
      <c r="L2984" s="1079"/>
      <c r="M2984" s="683"/>
      <c r="N2984" s="744">
        <f t="shared" si="761"/>
        <v>0</v>
      </c>
      <c r="O2984" s="745">
        <v>0</v>
      </c>
      <c r="P2984" s="737">
        <v>0</v>
      </c>
      <c r="Q2984" s="683"/>
      <c r="R2984" s="683"/>
      <c r="S2984" s="683"/>
    </row>
    <row r="2985" spans="1:19" s="753" customFormat="1" ht="24" customHeight="1">
      <c r="A2985" s="734"/>
      <c r="B2985" s="735" t="s">
        <v>1072</v>
      </c>
      <c r="C2985" s="736"/>
      <c r="D2985" s="907"/>
      <c r="E2985" s="737"/>
      <c r="F2985" s="738"/>
      <c r="G2985" s="739">
        <v>0</v>
      </c>
      <c r="H2985" s="748">
        <f t="shared" si="766"/>
        <v>0</v>
      </c>
      <c r="I2985" s="741">
        <v>0</v>
      </c>
      <c r="J2985" s="749">
        <f t="shared" si="767"/>
        <v>0</v>
      </c>
      <c r="K2985" s="739">
        <f t="shared" si="768"/>
        <v>0</v>
      </c>
      <c r="L2985" s="1079"/>
      <c r="M2985" s="752"/>
      <c r="N2985" s="744"/>
      <c r="O2985" s="745"/>
      <c r="P2985" s="737"/>
      <c r="Q2985" s="752"/>
      <c r="R2985" s="752"/>
      <c r="S2985" s="752"/>
    </row>
    <row r="2986" spans="1:19" s="753" customFormat="1" ht="24" customHeight="1">
      <c r="A2986" s="734"/>
      <c r="B2986" s="747" t="s">
        <v>469</v>
      </c>
      <c r="C2986" s="735" t="s">
        <v>497</v>
      </c>
      <c r="D2986" s="735"/>
      <c r="E2986" s="737">
        <f>+N2986</f>
        <v>4</v>
      </c>
      <c r="F2986" s="738" t="s">
        <v>363</v>
      </c>
      <c r="G2986" s="739">
        <v>1540</v>
      </c>
      <c r="H2986" s="748">
        <f t="shared" si="766"/>
        <v>6160</v>
      </c>
      <c r="I2986" s="741">
        <v>450</v>
      </c>
      <c r="J2986" s="749">
        <f t="shared" si="767"/>
        <v>1800</v>
      </c>
      <c r="K2986" s="739">
        <f t="shared" si="768"/>
        <v>7960</v>
      </c>
      <c r="L2986" s="1079"/>
      <c r="M2986" s="752"/>
      <c r="N2986" s="744">
        <f t="shared" ref="N2986:N2992" si="769">+(1+O2986)*P2986</f>
        <v>4</v>
      </c>
      <c r="O2986" s="745">
        <v>0</v>
      </c>
      <c r="P2986" s="737">
        <v>4</v>
      </c>
      <c r="Q2986" s="752"/>
      <c r="R2986" s="752"/>
      <c r="S2986" s="752"/>
    </row>
    <row r="2987" spans="1:19" s="753" customFormat="1" ht="24" customHeight="1">
      <c r="A2987" s="734"/>
      <c r="B2987" s="747" t="s">
        <v>469</v>
      </c>
      <c r="C2987" s="735" t="s">
        <v>498</v>
      </c>
      <c r="D2987" s="735"/>
      <c r="E2987" s="737">
        <f t="shared" ref="E2987:E3050" si="770">+N2987</f>
        <v>4</v>
      </c>
      <c r="F2987" s="738" t="s">
        <v>363</v>
      </c>
      <c r="G2987" s="739">
        <v>6640</v>
      </c>
      <c r="H2987" s="748">
        <f t="shared" si="766"/>
        <v>26560</v>
      </c>
      <c r="I2987" s="741">
        <v>200</v>
      </c>
      <c r="J2987" s="749">
        <f t="shared" si="767"/>
        <v>800</v>
      </c>
      <c r="K2987" s="739">
        <f t="shared" si="768"/>
        <v>27360</v>
      </c>
      <c r="L2987" s="1079"/>
      <c r="M2987" s="752"/>
      <c r="N2987" s="744">
        <f t="shared" si="769"/>
        <v>4</v>
      </c>
      <c r="O2987" s="745">
        <v>0</v>
      </c>
      <c r="P2987" s="737">
        <v>4</v>
      </c>
      <c r="Q2987" s="752"/>
      <c r="R2987" s="752"/>
      <c r="S2987" s="752"/>
    </row>
    <row r="2988" spans="1:19" s="753" customFormat="1" ht="24" customHeight="1">
      <c r="A2988" s="734"/>
      <c r="B2988" s="747" t="s">
        <v>469</v>
      </c>
      <c r="C2988" s="735" t="s">
        <v>496</v>
      </c>
      <c r="D2988" s="735"/>
      <c r="E2988" s="737">
        <f t="shared" si="770"/>
        <v>4</v>
      </c>
      <c r="F2988" s="738" t="s">
        <v>363</v>
      </c>
      <c r="G2988" s="739">
        <v>336</v>
      </c>
      <c r="H2988" s="748">
        <f t="shared" si="766"/>
        <v>1344</v>
      </c>
      <c r="I2988" s="741">
        <v>0</v>
      </c>
      <c r="J2988" s="749">
        <f t="shared" si="767"/>
        <v>0</v>
      </c>
      <c r="K2988" s="739">
        <f t="shared" si="768"/>
        <v>1344</v>
      </c>
      <c r="L2988" s="1079"/>
      <c r="M2988" s="752"/>
      <c r="N2988" s="744">
        <f t="shared" si="769"/>
        <v>4</v>
      </c>
      <c r="O2988" s="745">
        <v>0</v>
      </c>
      <c r="P2988" s="737">
        <v>4</v>
      </c>
      <c r="Q2988" s="752"/>
      <c r="R2988" s="752"/>
      <c r="S2988" s="752"/>
    </row>
    <row r="2989" spans="1:19" s="753" customFormat="1" ht="24" customHeight="1">
      <c r="A2989" s="734"/>
      <c r="B2989" s="747" t="s">
        <v>469</v>
      </c>
      <c r="C2989" s="735" t="s">
        <v>490</v>
      </c>
      <c r="D2989" s="735"/>
      <c r="E2989" s="737">
        <f t="shared" si="770"/>
        <v>4</v>
      </c>
      <c r="F2989" s="738" t="s">
        <v>363</v>
      </c>
      <c r="G2989" s="739">
        <v>736</v>
      </c>
      <c r="H2989" s="748">
        <f t="shared" si="766"/>
        <v>2944</v>
      </c>
      <c r="I2989" s="741">
        <v>0</v>
      </c>
      <c r="J2989" s="749">
        <f t="shared" si="767"/>
        <v>0</v>
      </c>
      <c r="K2989" s="739">
        <f t="shared" si="768"/>
        <v>2944</v>
      </c>
      <c r="L2989" s="1079"/>
      <c r="M2989" s="752"/>
      <c r="N2989" s="744">
        <f t="shared" si="769"/>
        <v>4</v>
      </c>
      <c r="O2989" s="745">
        <v>0</v>
      </c>
      <c r="P2989" s="737">
        <v>4</v>
      </c>
      <c r="Q2989" s="752"/>
      <c r="R2989" s="752"/>
      <c r="S2989" s="752"/>
    </row>
    <row r="2990" spans="1:19" s="753" customFormat="1" ht="24" customHeight="1">
      <c r="A2990" s="734"/>
      <c r="B2990" s="747" t="s">
        <v>469</v>
      </c>
      <c r="C2990" s="735" t="s">
        <v>478</v>
      </c>
      <c r="D2990" s="735"/>
      <c r="E2990" s="737">
        <f t="shared" si="770"/>
        <v>4</v>
      </c>
      <c r="F2990" s="738" t="s">
        <v>363</v>
      </c>
      <c r="G2990" s="739">
        <v>176</v>
      </c>
      <c r="H2990" s="748">
        <f t="shared" si="766"/>
        <v>704</v>
      </c>
      <c r="I2990" s="741">
        <v>0</v>
      </c>
      <c r="J2990" s="749">
        <f t="shared" si="767"/>
        <v>0</v>
      </c>
      <c r="K2990" s="739">
        <f t="shared" si="768"/>
        <v>704</v>
      </c>
      <c r="L2990" s="1079"/>
      <c r="M2990" s="752"/>
      <c r="N2990" s="744">
        <f t="shared" si="769"/>
        <v>4</v>
      </c>
      <c r="O2990" s="745">
        <v>0</v>
      </c>
      <c r="P2990" s="737">
        <v>4</v>
      </c>
      <c r="Q2990" s="752"/>
      <c r="R2990" s="752"/>
      <c r="S2990" s="752"/>
    </row>
    <row r="2991" spans="1:19" s="753" customFormat="1" ht="24" customHeight="1">
      <c r="A2991" s="734"/>
      <c r="B2991" s="747" t="s">
        <v>469</v>
      </c>
      <c r="C2991" s="735" t="s">
        <v>499</v>
      </c>
      <c r="D2991" s="735"/>
      <c r="E2991" s="737">
        <f t="shared" si="770"/>
        <v>4</v>
      </c>
      <c r="F2991" s="738" t="s">
        <v>363</v>
      </c>
      <c r="G2991" s="739">
        <v>216</v>
      </c>
      <c r="H2991" s="748">
        <f t="shared" si="766"/>
        <v>864</v>
      </c>
      <c r="I2991" s="741">
        <v>35</v>
      </c>
      <c r="J2991" s="749">
        <f t="shared" si="767"/>
        <v>140</v>
      </c>
      <c r="K2991" s="739">
        <f t="shared" si="768"/>
        <v>1004</v>
      </c>
      <c r="L2991" s="1079"/>
      <c r="M2991" s="752"/>
      <c r="N2991" s="744">
        <f t="shared" si="769"/>
        <v>4</v>
      </c>
      <c r="O2991" s="745">
        <v>0</v>
      </c>
      <c r="P2991" s="737">
        <v>4</v>
      </c>
      <c r="Q2991" s="752"/>
      <c r="R2991" s="752"/>
      <c r="S2991" s="752"/>
    </row>
    <row r="2992" spans="1:19" s="753" customFormat="1" ht="24" customHeight="1">
      <c r="A2992" s="734"/>
      <c r="B2992" s="750"/>
      <c r="C2992" s="736"/>
      <c r="D2992" s="907"/>
      <c r="E2992" s="737">
        <f t="shared" si="770"/>
        <v>0</v>
      </c>
      <c r="F2992" s="738"/>
      <c r="G2992" s="739">
        <v>0</v>
      </c>
      <c r="H2992" s="748">
        <f t="shared" si="766"/>
        <v>0</v>
      </c>
      <c r="I2992" s="741">
        <v>0</v>
      </c>
      <c r="J2992" s="749">
        <f t="shared" si="767"/>
        <v>0</v>
      </c>
      <c r="K2992" s="739">
        <f t="shared" si="768"/>
        <v>0</v>
      </c>
      <c r="L2992" s="1079"/>
      <c r="M2992" s="752"/>
      <c r="N2992" s="744">
        <f t="shared" si="769"/>
        <v>0</v>
      </c>
      <c r="O2992" s="745">
        <v>0</v>
      </c>
      <c r="P2992" s="737">
        <v>0</v>
      </c>
      <c r="Q2992" s="752"/>
      <c r="R2992" s="752"/>
      <c r="S2992" s="752"/>
    </row>
    <row r="2993" spans="1:19" s="753" customFormat="1" ht="24" customHeight="1">
      <c r="A2993" s="734"/>
      <c r="B2993" s="747" t="s">
        <v>469</v>
      </c>
      <c r="C2993" s="735" t="s">
        <v>492</v>
      </c>
      <c r="D2993" s="735"/>
      <c r="E2993" s="737">
        <f t="shared" si="770"/>
        <v>5</v>
      </c>
      <c r="F2993" s="738" t="s">
        <v>363</v>
      </c>
      <c r="G2993" s="739">
        <v>9375</v>
      </c>
      <c r="H2993" s="748">
        <f t="shared" si="766"/>
        <v>46875</v>
      </c>
      <c r="I2993" s="741">
        <v>450</v>
      </c>
      <c r="J2993" s="749">
        <f t="shared" si="767"/>
        <v>2250</v>
      </c>
      <c r="K2993" s="739">
        <f t="shared" si="768"/>
        <v>49125</v>
      </c>
      <c r="L2993" s="1079"/>
      <c r="M2993" s="752"/>
      <c r="N2993" s="744">
        <f>+(1+O2993)*P2993</f>
        <v>5</v>
      </c>
      <c r="O2993" s="745">
        <v>0</v>
      </c>
      <c r="P2993" s="737">
        <v>5</v>
      </c>
      <c r="Q2993" s="752"/>
      <c r="R2993" s="752"/>
      <c r="S2993" s="752"/>
    </row>
    <row r="2994" spans="1:19" s="753" customFormat="1" ht="24" customHeight="1">
      <c r="A2994" s="734"/>
      <c r="B2994" s="747" t="s">
        <v>469</v>
      </c>
      <c r="C2994" s="735" t="s">
        <v>500</v>
      </c>
      <c r="D2994" s="735"/>
      <c r="E2994" s="737">
        <f t="shared" si="770"/>
        <v>5</v>
      </c>
      <c r="F2994" s="738" t="s">
        <v>363</v>
      </c>
      <c r="G2994" s="739">
        <v>12752</v>
      </c>
      <c r="H2994" s="748">
        <f t="shared" si="766"/>
        <v>63760</v>
      </c>
      <c r="I2994" s="741">
        <v>0</v>
      </c>
      <c r="J2994" s="749">
        <f t="shared" si="767"/>
        <v>0</v>
      </c>
      <c r="K2994" s="739">
        <f t="shared" si="768"/>
        <v>63760</v>
      </c>
      <c r="L2994" s="1079"/>
      <c r="M2994" s="752"/>
      <c r="N2994" s="744">
        <f t="shared" ref="N2994:N3057" si="771">+(1+O2994)*P2994</f>
        <v>5</v>
      </c>
      <c r="O2994" s="745">
        <v>0</v>
      </c>
      <c r="P2994" s="737">
        <v>5</v>
      </c>
      <c r="Q2994" s="752"/>
      <c r="R2994" s="752"/>
      <c r="S2994" s="752"/>
    </row>
    <row r="2995" spans="1:19" s="753" customFormat="1" ht="24" customHeight="1">
      <c r="A2995" s="734"/>
      <c r="B2995" s="747" t="s">
        <v>469</v>
      </c>
      <c r="C2995" s="735" t="s">
        <v>501</v>
      </c>
      <c r="D2995" s="735"/>
      <c r="E2995" s="737">
        <v>0</v>
      </c>
      <c r="F2995" s="738" t="s">
        <v>363</v>
      </c>
      <c r="G2995" s="739">
        <v>1950</v>
      </c>
      <c r="H2995" s="748">
        <f t="shared" si="766"/>
        <v>0</v>
      </c>
      <c r="I2995" s="741">
        <v>35</v>
      </c>
      <c r="J2995" s="749">
        <f t="shared" si="767"/>
        <v>0</v>
      </c>
      <c r="K2995" s="739">
        <f t="shared" si="768"/>
        <v>0</v>
      </c>
      <c r="L2995" s="1079"/>
      <c r="M2995" s="752"/>
      <c r="N2995" s="744">
        <f t="shared" si="771"/>
        <v>5</v>
      </c>
      <c r="O2995" s="745">
        <v>0</v>
      </c>
      <c r="P2995" s="737">
        <v>5</v>
      </c>
      <c r="Q2995" s="752"/>
      <c r="R2995" s="752"/>
      <c r="S2995" s="752"/>
    </row>
    <row r="2996" spans="1:19" s="753" customFormat="1" ht="24" customHeight="1">
      <c r="A2996" s="734"/>
      <c r="B2996" s="747" t="s">
        <v>469</v>
      </c>
      <c r="C2996" s="735" t="s">
        <v>502</v>
      </c>
      <c r="D2996" s="735"/>
      <c r="E2996" s="737">
        <f t="shared" si="770"/>
        <v>5</v>
      </c>
      <c r="F2996" s="738" t="s">
        <v>363</v>
      </c>
      <c r="G2996" s="739">
        <v>216</v>
      </c>
      <c r="H2996" s="748">
        <f t="shared" si="766"/>
        <v>1080</v>
      </c>
      <c r="I2996" s="741">
        <v>35</v>
      </c>
      <c r="J2996" s="749">
        <f t="shared" si="767"/>
        <v>175</v>
      </c>
      <c r="K2996" s="739">
        <f t="shared" si="768"/>
        <v>1255</v>
      </c>
      <c r="L2996" s="1079"/>
      <c r="M2996" s="752"/>
      <c r="N2996" s="744">
        <f t="shared" si="771"/>
        <v>5</v>
      </c>
      <c r="O2996" s="745">
        <v>0</v>
      </c>
      <c r="P2996" s="737">
        <v>5</v>
      </c>
      <c r="Q2996" s="754"/>
      <c r="R2996" s="752"/>
      <c r="S2996" s="752"/>
    </row>
    <row r="2997" spans="1:19" s="753" customFormat="1" ht="24" customHeight="1">
      <c r="A2997" s="734"/>
      <c r="B2997" s="747"/>
      <c r="C2997" s="735"/>
      <c r="D2997" s="907"/>
      <c r="E2997" s="737">
        <f t="shared" si="770"/>
        <v>0</v>
      </c>
      <c r="F2997" s="738"/>
      <c r="G2997" s="739">
        <v>0</v>
      </c>
      <c r="H2997" s="748">
        <f t="shared" si="766"/>
        <v>0</v>
      </c>
      <c r="I2997" s="741">
        <v>0</v>
      </c>
      <c r="J2997" s="749">
        <f t="shared" si="767"/>
        <v>0</v>
      </c>
      <c r="K2997" s="739">
        <f t="shared" si="768"/>
        <v>0</v>
      </c>
      <c r="L2997" s="1079"/>
      <c r="M2997" s="752"/>
      <c r="N2997" s="744">
        <f t="shared" si="771"/>
        <v>0</v>
      </c>
      <c r="O2997" s="745">
        <v>0</v>
      </c>
      <c r="P2997" s="737">
        <v>0</v>
      </c>
      <c r="Q2997" s="752"/>
      <c r="R2997" s="752"/>
      <c r="S2997" s="752"/>
    </row>
    <row r="2998" spans="1:19" s="753" customFormat="1" ht="24" customHeight="1">
      <c r="A2998" s="734"/>
      <c r="B2998" s="747" t="s">
        <v>469</v>
      </c>
      <c r="C2998" s="735" t="s">
        <v>503</v>
      </c>
      <c r="D2998" s="735"/>
      <c r="E2998" s="737">
        <f t="shared" si="770"/>
        <v>8</v>
      </c>
      <c r="F2998" s="738" t="s">
        <v>363</v>
      </c>
      <c r="G2998" s="739">
        <v>3920</v>
      </c>
      <c r="H2998" s="748">
        <f t="shared" si="766"/>
        <v>31360</v>
      </c>
      <c r="I2998" s="741">
        <v>450</v>
      </c>
      <c r="J2998" s="749">
        <f t="shared" si="767"/>
        <v>3600</v>
      </c>
      <c r="K2998" s="739">
        <f t="shared" si="768"/>
        <v>34960</v>
      </c>
      <c r="L2998" s="1079"/>
      <c r="M2998" s="752"/>
      <c r="N2998" s="744">
        <f t="shared" si="771"/>
        <v>8</v>
      </c>
      <c r="O2998" s="745">
        <v>0</v>
      </c>
      <c r="P2998" s="737">
        <v>8</v>
      </c>
      <c r="Q2998" s="752"/>
      <c r="R2998" s="752"/>
      <c r="S2998" s="752"/>
    </row>
    <row r="2999" spans="1:19" s="753" customFormat="1" ht="24" customHeight="1">
      <c r="A2999" s="734"/>
      <c r="B2999" s="747" t="s">
        <v>469</v>
      </c>
      <c r="C2999" s="735" t="s">
        <v>504</v>
      </c>
      <c r="D2999" s="735"/>
      <c r="E2999" s="737">
        <f t="shared" si="770"/>
        <v>8</v>
      </c>
      <c r="F2999" s="738" t="s">
        <v>363</v>
      </c>
      <c r="G2999" s="739">
        <v>12752</v>
      </c>
      <c r="H2999" s="748">
        <f t="shared" si="766"/>
        <v>102016</v>
      </c>
      <c r="I2999" s="741">
        <v>0</v>
      </c>
      <c r="J2999" s="749">
        <f t="shared" si="767"/>
        <v>0</v>
      </c>
      <c r="K2999" s="739">
        <f t="shared" si="768"/>
        <v>102016</v>
      </c>
      <c r="L2999" s="1079"/>
      <c r="M2999" s="752"/>
      <c r="N2999" s="744">
        <f t="shared" si="771"/>
        <v>8</v>
      </c>
      <c r="O2999" s="745">
        <v>0</v>
      </c>
      <c r="P2999" s="737">
        <v>8</v>
      </c>
      <c r="Q2999" s="752"/>
      <c r="R2999" s="752"/>
      <c r="S2999" s="752"/>
    </row>
    <row r="3000" spans="1:19" s="682" customFormat="1" ht="24" customHeight="1">
      <c r="A3000" s="734"/>
      <c r="B3000" s="747" t="s">
        <v>469</v>
      </c>
      <c r="C3000" s="735" t="s">
        <v>505</v>
      </c>
      <c r="D3000" s="735"/>
      <c r="E3000" s="737">
        <f t="shared" si="770"/>
        <v>6</v>
      </c>
      <c r="F3000" s="738" t="s">
        <v>363</v>
      </c>
      <c r="G3000" s="739">
        <v>2280</v>
      </c>
      <c r="H3000" s="748">
        <f t="shared" si="766"/>
        <v>13680</v>
      </c>
      <c r="I3000" s="741">
        <v>300</v>
      </c>
      <c r="J3000" s="749">
        <f t="shared" si="767"/>
        <v>1800</v>
      </c>
      <c r="K3000" s="739">
        <f t="shared" si="768"/>
        <v>15480</v>
      </c>
      <c r="L3000" s="1079"/>
      <c r="M3000" s="679"/>
      <c r="N3000" s="744">
        <f t="shared" si="771"/>
        <v>6</v>
      </c>
      <c r="O3000" s="745">
        <v>0</v>
      </c>
      <c r="P3000" s="737">
        <v>6</v>
      </c>
      <c r="Q3000" s="679"/>
      <c r="R3000" s="679"/>
      <c r="S3000" s="679"/>
    </row>
    <row r="3001" spans="1:19" s="682" customFormat="1" ht="24" customHeight="1">
      <c r="A3001" s="734"/>
      <c r="B3001" s="747" t="s">
        <v>469</v>
      </c>
      <c r="C3001" s="735" t="s">
        <v>506</v>
      </c>
      <c r="D3001" s="735"/>
      <c r="E3001" s="737">
        <f t="shared" si="770"/>
        <v>0</v>
      </c>
      <c r="F3001" s="738" t="s">
        <v>363</v>
      </c>
      <c r="G3001" s="739">
        <v>6592</v>
      </c>
      <c r="H3001" s="748">
        <f t="shared" si="766"/>
        <v>0</v>
      </c>
      <c r="I3001" s="741">
        <v>140</v>
      </c>
      <c r="J3001" s="749">
        <f t="shared" si="767"/>
        <v>0</v>
      </c>
      <c r="K3001" s="739">
        <f t="shared" si="768"/>
        <v>0</v>
      </c>
      <c r="L3001" s="1079"/>
      <c r="M3001" s="679"/>
      <c r="N3001" s="744">
        <f t="shared" si="771"/>
        <v>0</v>
      </c>
      <c r="O3001" s="745">
        <v>0</v>
      </c>
      <c r="P3001" s="737">
        <v>0</v>
      </c>
      <c r="Q3001" s="679"/>
      <c r="R3001" s="679"/>
      <c r="S3001" s="679"/>
    </row>
    <row r="3002" spans="1:19" s="753" customFormat="1" ht="24" customHeight="1">
      <c r="A3002" s="734"/>
      <c r="B3002" s="747" t="s">
        <v>484</v>
      </c>
      <c r="C3002" s="735" t="s">
        <v>485</v>
      </c>
      <c r="D3002" s="735"/>
      <c r="E3002" s="737">
        <f t="shared" si="770"/>
        <v>7</v>
      </c>
      <c r="F3002" s="738" t="s">
        <v>363</v>
      </c>
      <c r="G3002" s="739">
        <v>285</v>
      </c>
      <c r="H3002" s="748">
        <f t="shared" si="766"/>
        <v>1995</v>
      </c>
      <c r="I3002" s="741">
        <v>75</v>
      </c>
      <c r="J3002" s="749">
        <f t="shared" si="767"/>
        <v>525</v>
      </c>
      <c r="K3002" s="739">
        <f t="shared" si="768"/>
        <v>2520</v>
      </c>
      <c r="L3002" s="1093"/>
      <c r="M3002" s="752"/>
      <c r="N3002" s="744">
        <f t="shared" si="771"/>
        <v>7</v>
      </c>
      <c r="O3002" s="745">
        <v>0</v>
      </c>
      <c r="P3002" s="737">
        <v>7</v>
      </c>
      <c r="Q3002" s="752"/>
      <c r="R3002" s="752"/>
      <c r="S3002" s="752"/>
    </row>
    <row r="3003" spans="1:19" s="753" customFormat="1" ht="24" customHeight="1">
      <c r="A3003" s="734"/>
      <c r="B3003" s="747" t="s">
        <v>469</v>
      </c>
      <c r="C3003" s="735" t="s">
        <v>486</v>
      </c>
      <c r="D3003" s="735"/>
      <c r="E3003" s="737">
        <f t="shared" si="770"/>
        <v>1</v>
      </c>
      <c r="F3003" s="738" t="s">
        <v>363</v>
      </c>
      <c r="G3003" s="739">
        <v>552</v>
      </c>
      <c r="H3003" s="748">
        <f t="shared" si="766"/>
        <v>552</v>
      </c>
      <c r="I3003" s="741">
        <v>25</v>
      </c>
      <c r="J3003" s="749">
        <f t="shared" si="767"/>
        <v>25</v>
      </c>
      <c r="K3003" s="739">
        <f t="shared" si="768"/>
        <v>577</v>
      </c>
      <c r="L3003" s="1079"/>
      <c r="M3003" s="752"/>
      <c r="N3003" s="744">
        <f t="shared" si="771"/>
        <v>1</v>
      </c>
      <c r="O3003" s="745">
        <v>0</v>
      </c>
      <c r="P3003" s="737">
        <v>1</v>
      </c>
      <c r="Q3003" s="752"/>
      <c r="R3003" s="752"/>
      <c r="S3003" s="752"/>
    </row>
    <row r="3004" spans="1:19" s="753" customFormat="1" ht="24" customHeight="1">
      <c r="A3004" s="734"/>
      <c r="B3004" s="747" t="s">
        <v>469</v>
      </c>
      <c r="C3004" s="735" t="s">
        <v>507</v>
      </c>
      <c r="D3004" s="735"/>
      <c r="E3004" s="737">
        <f t="shared" si="770"/>
        <v>1</v>
      </c>
      <c r="F3004" s="738" t="s">
        <v>363</v>
      </c>
      <c r="G3004" s="739">
        <v>1650</v>
      </c>
      <c r="H3004" s="748">
        <f t="shared" si="766"/>
        <v>1650</v>
      </c>
      <c r="I3004" s="741">
        <v>70</v>
      </c>
      <c r="J3004" s="749">
        <f t="shared" si="767"/>
        <v>70</v>
      </c>
      <c r="K3004" s="739">
        <f t="shared" si="768"/>
        <v>1720</v>
      </c>
      <c r="L3004" s="1079"/>
      <c r="M3004" s="752"/>
      <c r="N3004" s="744">
        <f t="shared" si="771"/>
        <v>1</v>
      </c>
      <c r="O3004" s="745">
        <v>0</v>
      </c>
      <c r="P3004" s="737">
        <v>1</v>
      </c>
      <c r="Q3004" s="752"/>
      <c r="R3004" s="752"/>
      <c r="S3004" s="752"/>
    </row>
    <row r="3005" spans="1:19" s="753" customFormat="1" ht="24" customHeight="1">
      <c r="A3005" s="734"/>
      <c r="B3005" s="747" t="s">
        <v>469</v>
      </c>
      <c r="C3005" s="735" t="s">
        <v>508</v>
      </c>
      <c r="D3005" s="735"/>
      <c r="E3005" s="737">
        <f t="shared" si="770"/>
        <v>5</v>
      </c>
      <c r="F3005" s="738" t="s">
        <v>363</v>
      </c>
      <c r="G3005" s="739">
        <v>13500</v>
      </c>
      <c r="H3005" s="748">
        <f t="shared" si="766"/>
        <v>67500</v>
      </c>
      <c r="I3005" s="741">
        <v>750</v>
      </c>
      <c r="J3005" s="749">
        <f t="shared" si="767"/>
        <v>3750</v>
      </c>
      <c r="K3005" s="739">
        <f t="shared" si="768"/>
        <v>71250</v>
      </c>
      <c r="L3005" s="1079"/>
      <c r="M3005" s="752"/>
      <c r="N3005" s="744">
        <f t="shared" si="771"/>
        <v>5</v>
      </c>
      <c r="O3005" s="745">
        <v>0</v>
      </c>
      <c r="P3005" s="737">
        <v>5</v>
      </c>
      <c r="Q3005" s="752"/>
      <c r="R3005" s="752"/>
      <c r="S3005" s="752"/>
    </row>
    <row r="3006" spans="1:19" s="682" customFormat="1" ht="24" customHeight="1">
      <c r="A3006" s="734"/>
      <c r="B3006" s="747" t="s">
        <v>469</v>
      </c>
      <c r="C3006" s="735" t="s">
        <v>509</v>
      </c>
      <c r="D3006" s="735"/>
      <c r="E3006" s="737">
        <f t="shared" si="770"/>
        <v>1</v>
      </c>
      <c r="F3006" s="738" t="s">
        <v>363</v>
      </c>
      <c r="G3006" s="739">
        <v>14476</v>
      </c>
      <c r="H3006" s="748">
        <f t="shared" si="766"/>
        <v>14476</v>
      </c>
      <c r="I3006" s="741">
        <v>5367</v>
      </c>
      <c r="J3006" s="749">
        <f t="shared" si="767"/>
        <v>5367</v>
      </c>
      <c r="K3006" s="739">
        <f t="shared" si="768"/>
        <v>19843</v>
      </c>
      <c r="L3006" s="1079"/>
      <c r="M3006" s="679"/>
      <c r="N3006" s="744">
        <f t="shared" si="771"/>
        <v>1</v>
      </c>
      <c r="O3006" s="745">
        <v>0</v>
      </c>
      <c r="P3006" s="737">
        <v>1</v>
      </c>
      <c r="Q3006" s="679"/>
      <c r="R3006" s="679"/>
      <c r="S3006" s="679"/>
    </row>
    <row r="3007" spans="1:19" s="753" customFormat="1" ht="24" customHeight="1">
      <c r="A3007" s="734"/>
      <c r="B3007" s="747" t="s">
        <v>469</v>
      </c>
      <c r="C3007" s="735" t="s">
        <v>510</v>
      </c>
      <c r="D3007" s="735"/>
      <c r="E3007" s="737">
        <f t="shared" si="770"/>
        <v>4.1500000000000004</v>
      </c>
      <c r="F3007" s="738" t="s">
        <v>361</v>
      </c>
      <c r="G3007" s="739">
        <v>2694</v>
      </c>
      <c r="H3007" s="748">
        <f t="shared" si="766"/>
        <v>11180.1</v>
      </c>
      <c r="I3007" s="741">
        <v>1288</v>
      </c>
      <c r="J3007" s="749">
        <f t="shared" si="767"/>
        <v>5345.2000000000007</v>
      </c>
      <c r="K3007" s="739">
        <f t="shared" si="768"/>
        <v>16525.300000000003</v>
      </c>
      <c r="L3007" s="1079"/>
      <c r="M3007" s="752"/>
      <c r="N3007" s="744">
        <f t="shared" si="771"/>
        <v>4.1500000000000004</v>
      </c>
      <c r="O3007" s="745">
        <v>0</v>
      </c>
      <c r="P3007" s="737">
        <v>4.1500000000000004</v>
      </c>
      <c r="Q3007" s="752"/>
      <c r="R3007" s="752"/>
      <c r="S3007" s="752"/>
    </row>
    <row r="3008" spans="1:19" s="753" customFormat="1" ht="24" customHeight="1">
      <c r="A3008" s="734"/>
      <c r="B3008" s="747"/>
      <c r="C3008" s="735" t="s">
        <v>511</v>
      </c>
      <c r="D3008" s="735"/>
      <c r="E3008" s="737">
        <f t="shared" si="770"/>
        <v>0</v>
      </c>
      <c r="F3008" s="738"/>
      <c r="G3008" s="739"/>
      <c r="H3008" s="748">
        <f t="shared" si="766"/>
        <v>0</v>
      </c>
      <c r="I3008" s="741"/>
      <c r="J3008" s="749">
        <f t="shared" si="767"/>
        <v>0</v>
      </c>
      <c r="K3008" s="739">
        <f t="shared" si="768"/>
        <v>0</v>
      </c>
      <c r="L3008" s="1079"/>
      <c r="M3008" s="752"/>
      <c r="N3008" s="744">
        <f t="shared" si="771"/>
        <v>0</v>
      </c>
      <c r="O3008" s="745">
        <v>0</v>
      </c>
      <c r="P3008" s="737">
        <v>0</v>
      </c>
      <c r="Q3008" s="752"/>
      <c r="R3008" s="752"/>
      <c r="S3008" s="752"/>
    </row>
    <row r="3009" spans="1:19" s="753" customFormat="1" ht="24" customHeight="1">
      <c r="A3009" s="734"/>
      <c r="B3009" s="747" t="s">
        <v>469</v>
      </c>
      <c r="C3009" s="735" t="s">
        <v>512</v>
      </c>
      <c r="D3009" s="735"/>
      <c r="E3009" s="737">
        <f t="shared" si="770"/>
        <v>4.1500000000000004</v>
      </c>
      <c r="F3009" s="738" t="s">
        <v>361</v>
      </c>
      <c r="G3009" s="739">
        <v>3886</v>
      </c>
      <c r="H3009" s="748">
        <f t="shared" si="766"/>
        <v>16126.900000000001</v>
      </c>
      <c r="I3009" s="741">
        <v>1238</v>
      </c>
      <c r="J3009" s="749">
        <f t="shared" si="767"/>
        <v>5137.7000000000007</v>
      </c>
      <c r="K3009" s="739">
        <f t="shared" si="768"/>
        <v>21264.600000000002</v>
      </c>
      <c r="L3009" s="1079"/>
      <c r="M3009" s="752"/>
      <c r="N3009" s="744">
        <f t="shared" si="771"/>
        <v>4.1500000000000004</v>
      </c>
      <c r="O3009" s="745">
        <v>0</v>
      </c>
      <c r="P3009" s="737">
        <v>4.1500000000000004</v>
      </c>
      <c r="Q3009" s="752"/>
      <c r="R3009" s="752"/>
      <c r="S3009" s="752"/>
    </row>
    <row r="3010" spans="1:19" s="753" customFormat="1" ht="24" customHeight="1">
      <c r="A3010" s="734"/>
      <c r="B3010" s="747"/>
      <c r="C3010" s="735" t="s">
        <v>513</v>
      </c>
      <c r="D3010" s="735"/>
      <c r="E3010" s="737">
        <f t="shared" si="770"/>
        <v>0</v>
      </c>
      <c r="F3010" s="738"/>
      <c r="G3010" s="739">
        <v>0</v>
      </c>
      <c r="H3010" s="748">
        <f t="shared" si="766"/>
        <v>0</v>
      </c>
      <c r="I3010" s="741">
        <v>0</v>
      </c>
      <c r="J3010" s="749">
        <f t="shared" si="767"/>
        <v>0</v>
      </c>
      <c r="K3010" s="739">
        <f t="shared" si="768"/>
        <v>0</v>
      </c>
      <c r="L3010" s="1079"/>
      <c r="M3010" s="752"/>
      <c r="N3010" s="744">
        <f t="shared" si="771"/>
        <v>0</v>
      </c>
      <c r="O3010" s="745">
        <v>0</v>
      </c>
      <c r="P3010" s="737">
        <v>0</v>
      </c>
      <c r="Q3010" s="752"/>
      <c r="R3010" s="752"/>
      <c r="S3010" s="752"/>
    </row>
    <row r="3011" spans="1:19" s="753" customFormat="1" ht="24" customHeight="1">
      <c r="A3011" s="734"/>
      <c r="B3011" s="747" t="s">
        <v>469</v>
      </c>
      <c r="C3011" s="735" t="s">
        <v>514</v>
      </c>
      <c r="D3011" s="735"/>
      <c r="E3011" s="737">
        <f t="shared" si="770"/>
        <v>7.1</v>
      </c>
      <c r="F3011" s="738" t="s">
        <v>361</v>
      </c>
      <c r="G3011" s="739">
        <v>1522</v>
      </c>
      <c r="H3011" s="748">
        <f t="shared" si="766"/>
        <v>10806.199999999999</v>
      </c>
      <c r="I3011" s="741">
        <v>315</v>
      </c>
      <c r="J3011" s="749">
        <f t="shared" si="767"/>
        <v>2236.5</v>
      </c>
      <c r="K3011" s="739">
        <f t="shared" si="768"/>
        <v>13042.699999999999</v>
      </c>
      <c r="L3011" s="1079"/>
      <c r="M3011" s="752"/>
      <c r="N3011" s="744">
        <f t="shared" si="771"/>
        <v>7.1</v>
      </c>
      <c r="O3011" s="745">
        <v>0</v>
      </c>
      <c r="P3011" s="737">
        <v>7.1</v>
      </c>
      <c r="Q3011" s="752"/>
      <c r="R3011" s="752"/>
      <c r="S3011" s="752"/>
    </row>
    <row r="3012" spans="1:19" s="753" customFormat="1" ht="24" customHeight="1">
      <c r="A3012" s="734"/>
      <c r="B3012" s="747"/>
      <c r="C3012" s="735"/>
      <c r="D3012" s="735"/>
      <c r="E3012" s="737">
        <f t="shared" si="770"/>
        <v>0</v>
      </c>
      <c r="F3012" s="738"/>
      <c r="G3012" s="739">
        <v>0</v>
      </c>
      <c r="H3012" s="748">
        <f t="shared" si="766"/>
        <v>0</v>
      </c>
      <c r="I3012" s="741">
        <v>0</v>
      </c>
      <c r="J3012" s="749">
        <f t="shared" si="767"/>
        <v>0</v>
      </c>
      <c r="K3012" s="739">
        <f t="shared" si="768"/>
        <v>0</v>
      </c>
      <c r="L3012" s="1079"/>
      <c r="M3012" s="752"/>
      <c r="N3012" s="744">
        <f t="shared" si="771"/>
        <v>0</v>
      </c>
      <c r="O3012" s="745">
        <v>0</v>
      </c>
      <c r="P3012" s="737">
        <v>0</v>
      </c>
      <c r="Q3012" s="752"/>
      <c r="R3012" s="752"/>
      <c r="S3012" s="752"/>
    </row>
    <row r="3013" spans="1:19" s="682" customFormat="1" ht="24" customHeight="1">
      <c r="A3013" s="734"/>
      <c r="B3013" s="747" t="s">
        <v>469</v>
      </c>
      <c r="C3013" s="735" t="s">
        <v>515</v>
      </c>
      <c r="D3013" s="735"/>
      <c r="E3013" s="737">
        <f t="shared" si="770"/>
        <v>1</v>
      </c>
      <c r="F3013" s="738" t="s">
        <v>363</v>
      </c>
      <c r="G3013" s="739">
        <v>5013</v>
      </c>
      <c r="H3013" s="748">
        <f t="shared" si="766"/>
        <v>5013</v>
      </c>
      <c r="I3013" s="741">
        <v>2403</v>
      </c>
      <c r="J3013" s="749">
        <f t="shared" si="767"/>
        <v>2403</v>
      </c>
      <c r="K3013" s="739">
        <f t="shared" si="768"/>
        <v>7416</v>
      </c>
      <c r="L3013" s="1079"/>
      <c r="M3013" s="679"/>
      <c r="N3013" s="744">
        <f t="shared" si="771"/>
        <v>1</v>
      </c>
      <c r="O3013" s="745">
        <v>0</v>
      </c>
      <c r="P3013" s="737">
        <v>1</v>
      </c>
      <c r="Q3013" s="679"/>
      <c r="R3013" s="679"/>
      <c r="S3013" s="679"/>
    </row>
    <row r="3014" spans="1:19" s="682" customFormat="1" ht="24" customHeight="1">
      <c r="A3014" s="734"/>
      <c r="B3014" s="747"/>
      <c r="C3014" s="735" t="s">
        <v>516</v>
      </c>
      <c r="D3014" s="735"/>
      <c r="E3014" s="737">
        <f t="shared" si="770"/>
        <v>0</v>
      </c>
      <c r="F3014" s="738"/>
      <c r="G3014" s="739"/>
      <c r="H3014" s="748">
        <f t="shared" si="766"/>
        <v>0</v>
      </c>
      <c r="I3014" s="741"/>
      <c r="J3014" s="749">
        <f t="shared" si="767"/>
        <v>0</v>
      </c>
      <c r="K3014" s="739">
        <f t="shared" si="768"/>
        <v>0</v>
      </c>
      <c r="L3014" s="1079"/>
      <c r="M3014" s="679"/>
      <c r="N3014" s="744">
        <f t="shared" si="771"/>
        <v>0</v>
      </c>
      <c r="O3014" s="745">
        <v>0</v>
      </c>
      <c r="P3014" s="737">
        <v>0</v>
      </c>
      <c r="Q3014" s="679"/>
      <c r="R3014" s="679"/>
      <c r="S3014" s="679"/>
    </row>
    <row r="3015" spans="1:19" s="682" customFormat="1" ht="24" customHeight="1">
      <c r="A3015" s="734"/>
      <c r="B3015" s="747"/>
      <c r="C3015" s="735"/>
      <c r="D3015" s="735"/>
      <c r="E3015" s="737">
        <f t="shared" si="770"/>
        <v>0</v>
      </c>
      <c r="F3015" s="738"/>
      <c r="G3015" s="739"/>
      <c r="H3015" s="748">
        <f t="shared" si="766"/>
        <v>0</v>
      </c>
      <c r="I3015" s="741"/>
      <c r="J3015" s="749">
        <f t="shared" si="767"/>
        <v>0</v>
      </c>
      <c r="K3015" s="739">
        <f t="shared" si="768"/>
        <v>0</v>
      </c>
      <c r="L3015" s="1079"/>
      <c r="M3015" s="679"/>
      <c r="N3015" s="744">
        <f t="shared" si="771"/>
        <v>0</v>
      </c>
      <c r="O3015" s="745">
        <v>0</v>
      </c>
      <c r="P3015" s="737">
        <v>0</v>
      </c>
      <c r="Q3015" s="679"/>
      <c r="R3015" s="679"/>
      <c r="S3015" s="679"/>
    </row>
    <row r="3016" spans="1:19" s="756" customFormat="1" ht="24" customHeight="1">
      <c r="A3016" s="734"/>
      <c r="B3016" s="747" t="s">
        <v>469</v>
      </c>
      <c r="C3016" s="735" t="s">
        <v>517</v>
      </c>
      <c r="D3016" s="907"/>
      <c r="E3016" s="737">
        <f t="shared" si="770"/>
        <v>0</v>
      </c>
      <c r="F3016" s="738" t="s">
        <v>361</v>
      </c>
      <c r="G3016" s="739">
        <v>5075.5555555555557</v>
      </c>
      <c r="H3016" s="748">
        <f t="shared" si="766"/>
        <v>0</v>
      </c>
      <c r="I3016" s="741">
        <v>2545.7777777777778</v>
      </c>
      <c r="J3016" s="749">
        <f t="shared" si="767"/>
        <v>0</v>
      </c>
      <c r="K3016" s="739">
        <f t="shared" si="768"/>
        <v>0</v>
      </c>
      <c r="L3016" s="1079"/>
      <c r="M3016" s="755"/>
      <c r="N3016" s="744">
        <f t="shared" si="771"/>
        <v>0</v>
      </c>
      <c r="O3016" s="745">
        <v>0</v>
      </c>
      <c r="P3016" s="737">
        <v>0</v>
      </c>
      <c r="Q3016" s="755"/>
      <c r="R3016" s="755"/>
      <c r="S3016" s="755"/>
    </row>
    <row r="3017" spans="1:19" s="756" customFormat="1" ht="24" customHeight="1">
      <c r="A3017" s="734"/>
      <c r="B3017" s="747"/>
      <c r="C3017" s="735" t="s">
        <v>488</v>
      </c>
      <c r="D3017" s="907"/>
      <c r="E3017" s="737">
        <f t="shared" si="770"/>
        <v>0</v>
      </c>
      <c r="F3017" s="738"/>
      <c r="G3017" s="739">
        <v>0</v>
      </c>
      <c r="H3017" s="748">
        <f t="shared" si="766"/>
        <v>0</v>
      </c>
      <c r="I3017" s="741">
        <v>0</v>
      </c>
      <c r="J3017" s="749">
        <f t="shared" si="767"/>
        <v>0</v>
      </c>
      <c r="K3017" s="739">
        <f t="shared" si="768"/>
        <v>0</v>
      </c>
      <c r="L3017" s="1079"/>
      <c r="M3017" s="755"/>
      <c r="N3017" s="744">
        <f t="shared" si="771"/>
        <v>0</v>
      </c>
      <c r="O3017" s="745">
        <v>0</v>
      </c>
      <c r="P3017" s="737">
        <v>0</v>
      </c>
      <c r="Q3017" s="755"/>
      <c r="R3017" s="755"/>
      <c r="S3017" s="755"/>
    </row>
    <row r="3018" spans="1:19" s="753" customFormat="1" ht="24" customHeight="1">
      <c r="A3018" s="734"/>
      <c r="B3018" s="747" t="s">
        <v>469</v>
      </c>
      <c r="C3018" s="735" t="s">
        <v>518</v>
      </c>
      <c r="D3018" s="735"/>
      <c r="E3018" s="737">
        <f t="shared" si="770"/>
        <v>0</v>
      </c>
      <c r="F3018" s="738" t="s">
        <v>361</v>
      </c>
      <c r="G3018" s="739">
        <v>3886</v>
      </c>
      <c r="H3018" s="748">
        <f t="shared" si="766"/>
        <v>0</v>
      </c>
      <c r="I3018" s="741">
        <v>1238</v>
      </c>
      <c r="J3018" s="749">
        <f t="shared" si="767"/>
        <v>0</v>
      </c>
      <c r="K3018" s="739">
        <f t="shared" si="768"/>
        <v>0</v>
      </c>
      <c r="L3018" s="1079"/>
      <c r="M3018" s="752"/>
      <c r="N3018" s="744">
        <f t="shared" si="771"/>
        <v>0</v>
      </c>
      <c r="O3018" s="745">
        <v>0</v>
      </c>
      <c r="P3018" s="737">
        <v>0</v>
      </c>
      <c r="Q3018" s="752"/>
      <c r="R3018" s="752"/>
      <c r="S3018" s="752"/>
    </row>
    <row r="3019" spans="1:19" s="753" customFormat="1" ht="24" customHeight="1">
      <c r="A3019" s="734"/>
      <c r="B3019" s="747"/>
      <c r="C3019" s="735" t="s">
        <v>513</v>
      </c>
      <c r="D3019" s="735"/>
      <c r="E3019" s="737">
        <f t="shared" si="770"/>
        <v>0</v>
      </c>
      <c r="F3019" s="738"/>
      <c r="G3019" s="739">
        <v>0</v>
      </c>
      <c r="H3019" s="748">
        <f t="shared" si="766"/>
        <v>0</v>
      </c>
      <c r="I3019" s="741">
        <v>0</v>
      </c>
      <c r="J3019" s="749">
        <f t="shared" si="767"/>
        <v>0</v>
      </c>
      <c r="K3019" s="739">
        <f t="shared" si="768"/>
        <v>0</v>
      </c>
      <c r="L3019" s="1079"/>
      <c r="M3019" s="752"/>
      <c r="N3019" s="744">
        <f t="shared" si="771"/>
        <v>0</v>
      </c>
      <c r="O3019" s="745">
        <v>0</v>
      </c>
      <c r="P3019" s="737">
        <v>0</v>
      </c>
      <c r="Q3019" s="752"/>
      <c r="R3019" s="752"/>
      <c r="S3019" s="752"/>
    </row>
    <row r="3020" spans="1:19" s="682" customFormat="1" ht="24" customHeight="1">
      <c r="A3020" s="734"/>
      <c r="B3020" s="747" t="s">
        <v>469</v>
      </c>
      <c r="C3020" s="735" t="s">
        <v>519</v>
      </c>
      <c r="D3020" s="735"/>
      <c r="E3020" s="737">
        <f t="shared" si="770"/>
        <v>1</v>
      </c>
      <c r="F3020" s="738" t="s">
        <v>363</v>
      </c>
      <c r="G3020" s="739">
        <v>800</v>
      </c>
      <c r="H3020" s="748">
        <f t="shared" si="766"/>
        <v>800</v>
      </c>
      <c r="I3020" s="741">
        <v>70</v>
      </c>
      <c r="J3020" s="749">
        <f t="shared" si="767"/>
        <v>70</v>
      </c>
      <c r="K3020" s="739">
        <f t="shared" si="768"/>
        <v>870</v>
      </c>
      <c r="L3020" s="1079"/>
      <c r="M3020" s="679"/>
      <c r="N3020" s="744">
        <f t="shared" si="771"/>
        <v>1</v>
      </c>
      <c r="O3020" s="745">
        <v>0</v>
      </c>
      <c r="P3020" s="737">
        <v>1</v>
      </c>
      <c r="Q3020" s="679"/>
      <c r="R3020" s="679"/>
      <c r="S3020" s="679"/>
    </row>
    <row r="3021" spans="1:19" s="682" customFormat="1" ht="24" customHeight="1">
      <c r="A3021" s="734"/>
      <c r="B3021" s="747" t="s">
        <v>469</v>
      </c>
      <c r="C3021" s="735" t="s">
        <v>520</v>
      </c>
      <c r="D3021" s="735"/>
      <c r="E3021" s="737">
        <f t="shared" si="770"/>
        <v>0</v>
      </c>
      <c r="F3021" s="738" t="s">
        <v>361</v>
      </c>
      <c r="G3021" s="739">
        <v>190</v>
      </c>
      <c r="H3021" s="748">
        <f t="shared" si="766"/>
        <v>0</v>
      </c>
      <c r="I3021" s="741">
        <v>75</v>
      </c>
      <c r="J3021" s="749">
        <f t="shared" si="767"/>
        <v>0</v>
      </c>
      <c r="K3021" s="739">
        <f t="shared" si="768"/>
        <v>0</v>
      </c>
      <c r="L3021" s="1079"/>
      <c r="M3021" s="679"/>
      <c r="N3021" s="744">
        <f t="shared" si="771"/>
        <v>0</v>
      </c>
      <c r="O3021" s="745">
        <v>0</v>
      </c>
      <c r="P3021" s="737">
        <v>0</v>
      </c>
      <c r="Q3021" s="679"/>
      <c r="R3021" s="679"/>
      <c r="S3021" s="679"/>
    </row>
    <row r="3022" spans="1:19" s="682" customFormat="1" ht="24" customHeight="1">
      <c r="A3022" s="734"/>
      <c r="B3022" s="747"/>
      <c r="C3022" s="735"/>
      <c r="D3022" s="735"/>
      <c r="E3022" s="737">
        <f t="shared" si="770"/>
        <v>0</v>
      </c>
      <c r="F3022" s="738"/>
      <c r="G3022" s="739"/>
      <c r="H3022" s="748">
        <f t="shared" si="766"/>
        <v>0</v>
      </c>
      <c r="I3022" s="741"/>
      <c r="J3022" s="749">
        <f t="shared" si="767"/>
        <v>0</v>
      </c>
      <c r="K3022" s="739">
        <f t="shared" si="768"/>
        <v>0</v>
      </c>
      <c r="L3022" s="1079"/>
      <c r="M3022" s="679"/>
      <c r="N3022" s="744">
        <f t="shared" si="771"/>
        <v>0</v>
      </c>
      <c r="O3022" s="745">
        <v>0</v>
      </c>
      <c r="P3022" s="737">
        <v>0</v>
      </c>
      <c r="Q3022" s="679"/>
      <c r="R3022" s="679"/>
      <c r="S3022" s="679"/>
    </row>
    <row r="3023" spans="1:19" s="753" customFormat="1" ht="24" customHeight="1">
      <c r="A3023" s="734"/>
      <c r="B3023" s="735" t="s">
        <v>1073</v>
      </c>
      <c r="C3023" s="735"/>
      <c r="D3023" s="907"/>
      <c r="E3023" s="737">
        <f t="shared" si="770"/>
        <v>0</v>
      </c>
      <c r="F3023" s="738"/>
      <c r="G3023" s="739">
        <v>0</v>
      </c>
      <c r="H3023" s="748">
        <f t="shared" si="766"/>
        <v>0</v>
      </c>
      <c r="I3023" s="741">
        <v>0</v>
      </c>
      <c r="J3023" s="749">
        <f t="shared" si="767"/>
        <v>0</v>
      </c>
      <c r="K3023" s="739">
        <f t="shared" si="768"/>
        <v>0</v>
      </c>
      <c r="L3023" s="1079"/>
      <c r="M3023" s="752"/>
      <c r="N3023" s="744">
        <f t="shared" si="771"/>
        <v>0</v>
      </c>
      <c r="O3023" s="745">
        <v>0</v>
      </c>
      <c r="P3023" s="737">
        <v>0</v>
      </c>
      <c r="Q3023" s="752"/>
      <c r="R3023" s="752"/>
      <c r="S3023" s="752"/>
    </row>
    <row r="3024" spans="1:19" s="753" customFormat="1" ht="24" customHeight="1">
      <c r="A3024" s="734"/>
      <c r="B3024" s="747" t="s">
        <v>469</v>
      </c>
      <c r="C3024" s="735" t="s">
        <v>497</v>
      </c>
      <c r="D3024" s="735"/>
      <c r="E3024" s="737">
        <f t="shared" si="770"/>
        <v>6</v>
      </c>
      <c r="F3024" s="738" t="s">
        <v>363</v>
      </c>
      <c r="G3024" s="739">
        <v>1540</v>
      </c>
      <c r="H3024" s="748">
        <f t="shared" si="766"/>
        <v>9240</v>
      </c>
      <c r="I3024" s="741">
        <v>450</v>
      </c>
      <c r="J3024" s="749">
        <f t="shared" si="767"/>
        <v>2700</v>
      </c>
      <c r="K3024" s="739">
        <f t="shared" si="768"/>
        <v>11940</v>
      </c>
      <c r="L3024" s="1079"/>
      <c r="M3024" s="752"/>
      <c r="N3024" s="744">
        <f t="shared" si="771"/>
        <v>6</v>
      </c>
      <c r="O3024" s="745">
        <v>0</v>
      </c>
      <c r="P3024" s="737">
        <v>6</v>
      </c>
      <c r="Q3024" s="752"/>
      <c r="R3024" s="752"/>
      <c r="S3024" s="752"/>
    </row>
    <row r="3025" spans="1:19" s="753" customFormat="1" ht="24" customHeight="1">
      <c r="A3025" s="734"/>
      <c r="B3025" s="747" t="s">
        <v>469</v>
      </c>
      <c r="C3025" s="735" t="s">
        <v>498</v>
      </c>
      <c r="D3025" s="735"/>
      <c r="E3025" s="737">
        <f t="shared" si="770"/>
        <v>6</v>
      </c>
      <c r="F3025" s="738" t="s">
        <v>363</v>
      </c>
      <c r="G3025" s="739">
        <v>6640</v>
      </c>
      <c r="H3025" s="748">
        <f t="shared" si="766"/>
        <v>39840</v>
      </c>
      <c r="I3025" s="741">
        <v>200</v>
      </c>
      <c r="J3025" s="749">
        <f t="shared" si="767"/>
        <v>1200</v>
      </c>
      <c r="K3025" s="739">
        <f t="shared" si="768"/>
        <v>41040</v>
      </c>
      <c r="L3025" s="1079"/>
      <c r="M3025" s="752"/>
      <c r="N3025" s="744">
        <f t="shared" si="771"/>
        <v>6</v>
      </c>
      <c r="O3025" s="745">
        <v>0</v>
      </c>
      <c r="P3025" s="737">
        <v>6</v>
      </c>
      <c r="Q3025" s="752"/>
      <c r="R3025" s="752"/>
      <c r="S3025" s="752"/>
    </row>
    <row r="3026" spans="1:19" s="753" customFormat="1" ht="24" customHeight="1">
      <c r="A3026" s="734"/>
      <c r="B3026" s="747" t="s">
        <v>469</v>
      </c>
      <c r="C3026" s="735" t="s">
        <v>476</v>
      </c>
      <c r="D3026" s="735"/>
      <c r="E3026" s="737">
        <f t="shared" si="770"/>
        <v>6</v>
      </c>
      <c r="F3026" s="738" t="s">
        <v>363</v>
      </c>
      <c r="G3026" s="739">
        <v>336</v>
      </c>
      <c r="H3026" s="748">
        <f t="shared" si="766"/>
        <v>2016</v>
      </c>
      <c r="I3026" s="741">
        <v>0</v>
      </c>
      <c r="J3026" s="749">
        <f t="shared" si="767"/>
        <v>0</v>
      </c>
      <c r="K3026" s="739">
        <f t="shared" si="768"/>
        <v>2016</v>
      </c>
      <c r="L3026" s="1079"/>
      <c r="M3026" s="752"/>
      <c r="N3026" s="744">
        <f t="shared" si="771"/>
        <v>6</v>
      </c>
      <c r="O3026" s="745">
        <v>0</v>
      </c>
      <c r="P3026" s="737">
        <v>6</v>
      </c>
      <c r="Q3026" s="752"/>
      <c r="R3026" s="752"/>
      <c r="S3026" s="752"/>
    </row>
    <row r="3027" spans="1:19" s="753" customFormat="1" ht="24" customHeight="1">
      <c r="A3027" s="734"/>
      <c r="B3027" s="747" t="s">
        <v>469</v>
      </c>
      <c r="C3027" s="735" t="s">
        <v>477</v>
      </c>
      <c r="D3027" s="735"/>
      <c r="E3027" s="737">
        <f t="shared" si="770"/>
        <v>6</v>
      </c>
      <c r="F3027" s="738" t="s">
        <v>363</v>
      </c>
      <c r="G3027" s="739">
        <v>736</v>
      </c>
      <c r="H3027" s="748">
        <f t="shared" si="766"/>
        <v>4416</v>
      </c>
      <c r="I3027" s="741">
        <v>0</v>
      </c>
      <c r="J3027" s="749">
        <f t="shared" si="767"/>
        <v>0</v>
      </c>
      <c r="K3027" s="739">
        <f t="shared" si="768"/>
        <v>4416</v>
      </c>
      <c r="L3027" s="1079"/>
      <c r="M3027" s="752"/>
      <c r="N3027" s="744">
        <f t="shared" si="771"/>
        <v>6</v>
      </c>
      <c r="O3027" s="745">
        <v>0</v>
      </c>
      <c r="P3027" s="737">
        <v>6</v>
      </c>
      <c r="Q3027" s="752"/>
      <c r="R3027" s="752"/>
      <c r="S3027" s="752"/>
    </row>
    <row r="3028" spans="1:19" s="753" customFormat="1" ht="24" customHeight="1">
      <c r="A3028" s="734"/>
      <c r="B3028" s="747" t="s">
        <v>469</v>
      </c>
      <c r="C3028" s="735" t="s">
        <v>478</v>
      </c>
      <c r="D3028" s="735"/>
      <c r="E3028" s="737">
        <f t="shared" si="770"/>
        <v>6</v>
      </c>
      <c r="F3028" s="738" t="s">
        <v>363</v>
      </c>
      <c r="G3028" s="739">
        <v>176</v>
      </c>
      <c r="H3028" s="748">
        <f t="shared" si="766"/>
        <v>1056</v>
      </c>
      <c r="I3028" s="741">
        <v>0</v>
      </c>
      <c r="J3028" s="749">
        <f t="shared" si="767"/>
        <v>0</v>
      </c>
      <c r="K3028" s="739">
        <f t="shared" si="768"/>
        <v>1056</v>
      </c>
      <c r="L3028" s="1079"/>
      <c r="M3028" s="752"/>
      <c r="N3028" s="744">
        <f t="shared" si="771"/>
        <v>6</v>
      </c>
      <c r="O3028" s="745">
        <v>0</v>
      </c>
      <c r="P3028" s="737">
        <v>6</v>
      </c>
      <c r="Q3028" s="752"/>
      <c r="R3028" s="752"/>
      <c r="S3028" s="752"/>
    </row>
    <row r="3029" spans="1:19" s="753" customFormat="1" ht="24" customHeight="1">
      <c r="A3029" s="734"/>
      <c r="B3029" s="747" t="s">
        <v>469</v>
      </c>
      <c r="C3029" s="735" t="s">
        <v>499</v>
      </c>
      <c r="D3029" s="735"/>
      <c r="E3029" s="737">
        <f t="shared" si="770"/>
        <v>6</v>
      </c>
      <c r="F3029" s="738" t="s">
        <v>363</v>
      </c>
      <c r="G3029" s="739">
        <v>216</v>
      </c>
      <c r="H3029" s="748">
        <f t="shared" si="766"/>
        <v>1296</v>
      </c>
      <c r="I3029" s="741">
        <v>35</v>
      </c>
      <c r="J3029" s="749">
        <f t="shared" si="767"/>
        <v>210</v>
      </c>
      <c r="K3029" s="739">
        <f t="shared" si="768"/>
        <v>1506</v>
      </c>
      <c r="L3029" s="1079"/>
      <c r="M3029" s="752"/>
      <c r="N3029" s="744">
        <f t="shared" si="771"/>
        <v>6</v>
      </c>
      <c r="O3029" s="745">
        <v>0</v>
      </c>
      <c r="P3029" s="737">
        <v>6</v>
      </c>
      <c r="Q3029" s="752"/>
      <c r="R3029" s="752"/>
      <c r="S3029" s="752"/>
    </row>
    <row r="3030" spans="1:19" s="753" customFormat="1" ht="24" customHeight="1">
      <c r="A3030" s="734"/>
      <c r="B3030" s="747"/>
      <c r="C3030" s="736"/>
      <c r="D3030" s="907"/>
      <c r="E3030" s="737">
        <f t="shared" si="770"/>
        <v>0</v>
      </c>
      <c r="F3030" s="738"/>
      <c r="G3030" s="739">
        <v>0</v>
      </c>
      <c r="H3030" s="748">
        <f t="shared" si="766"/>
        <v>0</v>
      </c>
      <c r="I3030" s="741">
        <v>0</v>
      </c>
      <c r="J3030" s="749">
        <f t="shared" si="767"/>
        <v>0</v>
      </c>
      <c r="K3030" s="739">
        <f t="shared" si="768"/>
        <v>0</v>
      </c>
      <c r="L3030" s="1079"/>
      <c r="M3030" s="752"/>
      <c r="N3030" s="744">
        <f t="shared" si="771"/>
        <v>0</v>
      </c>
      <c r="O3030" s="745">
        <v>0</v>
      </c>
      <c r="P3030" s="737">
        <v>0</v>
      </c>
      <c r="Q3030" s="752"/>
      <c r="R3030" s="752"/>
      <c r="S3030" s="752"/>
    </row>
    <row r="3031" spans="1:19" s="753" customFormat="1" ht="24" customHeight="1">
      <c r="A3031" s="734"/>
      <c r="B3031" s="747" t="s">
        <v>469</v>
      </c>
      <c r="C3031" s="735" t="s">
        <v>492</v>
      </c>
      <c r="D3031" s="735"/>
      <c r="E3031" s="737">
        <f t="shared" si="770"/>
        <v>10</v>
      </c>
      <c r="F3031" s="738" t="s">
        <v>363</v>
      </c>
      <c r="G3031" s="739">
        <v>9375</v>
      </c>
      <c r="H3031" s="748">
        <f t="shared" si="766"/>
        <v>93750</v>
      </c>
      <c r="I3031" s="741">
        <v>450</v>
      </c>
      <c r="J3031" s="749">
        <f t="shared" ref="J3031:J3085" si="772">SUM(E3031*I3031)</f>
        <v>4500</v>
      </c>
      <c r="K3031" s="739">
        <f t="shared" si="768"/>
        <v>98250</v>
      </c>
      <c r="L3031" s="1079"/>
      <c r="M3031" s="752"/>
      <c r="N3031" s="744">
        <f t="shared" si="771"/>
        <v>10</v>
      </c>
      <c r="O3031" s="745">
        <v>0</v>
      </c>
      <c r="P3031" s="737">
        <v>10</v>
      </c>
      <c r="Q3031" s="752"/>
      <c r="R3031" s="752"/>
      <c r="S3031" s="752"/>
    </row>
    <row r="3032" spans="1:19" s="753" customFormat="1" ht="24" customHeight="1">
      <c r="A3032" s="734"/>
      <c r="B3032" s="747" t="s">
        <v>469</v>
      </c>
      <c r="C3032" s="735" t="s">
        <v>500</v>
      </c>
      <c r="D3032" s="735"/>
      <c r="E3032" s="737">
        <f t="shared" si="770"/>
        <v>10</v>
      </c>
      <c r="F3032" s="738" t="s">
        <v>363</v>
      </c>
      <c r="G3032" s="739">
        <v>12752</v>
      </c>
      <c r="H3032" s="748">
        <f t="shared" si="766"/>
        <v>127520</v>
      </c>
      <c r="I3032" s="741">
        <v>0</v>
      </c>
      <c r="J3032" s="749">
        <f t="shared" si="772"/>
        <v>0</v>
      </c>
      <c r="K3032" s="739">
        <f t="shared" si="768"/>
        <v>127520</v>
      </c>
      <c r="L3032" s="1079"/>
      <c r="M3032" s="752"/>
      <c r="N3032" s="744">
        <f t="shared" si="771"/>
        <v>10</v>
      </c>
      <c r="O3032" s="745">
        <v>0</v>
      </c>
      <c r="P3032" s="737">
        <v>10</v>
      </c>
      <c r="Q3032" s="752"/>
      <c r="R3032" s="752"/>
      <c r="S3032" s="752"/>
    </row>
    <row r="3033" spans="1:19" s="753" customFormat="1" ht="24" customHeight="1">
      <c r="A3033" s="734"/>
      <c r="B3033" s="747" t="s">
        <v>469</v>
      </c>
      <c r="C3033" s="735" t="s">
        <v>501</v>
      </c>
      <c r="D3033" s="735"/>
      <c r="E3033" s="737">
        <v>0</v>
      </c>
      <c r="F3033" s="738" t="s">
        <v>363</v>
      </c>
      <c r="G3033" s="739">
        <v>1950</v>
      </c>
      <c r="H3033" s="748">
        <f t="shared" si="766"/>
        <v>0</v>
      </c>
      <c r="I3033" s="741">
        <v>35</v>
      </c>
      <c r="J3033" s="749">
        <f t="shared" si="772"/>
        <v>0</v>
      </c>
      <c r="K3033" s="739">
        <f t="shared" si="768"/>
        <v>0</v>
      </c>
      <c r="L3033" s="1079"/>
      <c r="M3033" s="752"/>
      <c r="N3033" s="744">
        <f t="shared" si="771"/>
        <v>10</v>
      </c>
      <c r="O3033" s="745">
        <v>0</v>
      </c>
      <c r="P3033" s="737">
        <v>10</v>
      </c>
      <c r="Q3033" s="752"/>
      <c r="R3033" s="752"/>
      <c r="S3033" s="752"/>
    </row>
    <row r="3034" spans="1:19" s="753" customFormat="1" ht="24" customHeight="1">
      <c r="A3034" s="734"/>
      <c r="B3034" s="747" t="s">
        <v>469</v>
      </c>
      <c r="C3034" s="735" t="s">
        <v>502</v>
      </c>
      <c r="D3034" s="735"/>
      <c r="E3034" s="737">
        <f t="shared" si="770"/>
        <v>10</v>
      </c>
      <c r="F3034" s="738" t="s">
        <v>363</v>
      </c>
      <c r="G3034" s="739">
        <v>216</v>
      </c>
      <c r="H3034" s="748">
        <f t="shared" si="766"/>
        <v>2160</v>
      </c>
      <c r="I3034" s="741">
        <v>35</v>
      </c>
      <c r="J3034" s="749">
        <f t="shared" si="772"/>
        <v>350</v>
      </c>
      <c r="K3034" s="739">
        <f t="shared" si="768"/>
        <v>2510</v>
      </c>
      <c r="L3034" s="1079"/>
      <c r="M3034" s="752"/>
      <c r="N3034" s="744">
        <f t="shared" si="771"/>
        <v>10</v>
      </c>
      <c r="O3034" s="745">
        <v>0</v>
      </c>
      <c r="P3034" s="737">
        <v>10</v>
      </c>
      <c r="Q3034" s="752"/>
      <c r="R3034" s="752"/>
      <c r="S3034" s="752"/>
    </row>
    <row r="3035" spans="1:19" s="753" customFormat="1" ht="24" customHeight="1">
      <c r="A3035" s="734"/>
      <c r="B3035" s="747"/>
      <c r="C3035" s="735"/>
      <c r="D3035" s="735"/>
      <c r="E3035" s="737">
        <f t="shared" si="770"/>
        <v>0</v>
      </c>
      <c r="F3035" s="738"/>
      <c r="G3035" s="739"/>
      <c r="H3035" s="748">
        <f t="shared" si="766"/>
        <v>0</v>
      </c>
      <c r="I3035" s="741"/>
      <c r="J3035" s="749">
        <f t="shared" si="772"/>
        <v>0</v>
      </c>
      <c r="K3035" s="739">
        <f t="shared" si="768"/>
        <v>0</v>
      </c>
      <c r="L3035" s="1079"/>
      <c r="M3035" s="752"/>
      <c r="N3035" s="744">
        <f t="shared" si="771"/>
        <v>0</v>
      </c>
      <c r="O3035" s="745">
        <v>0</v>
      </c>
      <c r="P3035" s="737">
        <v>0</v>
      </c>
      <c r="Q3035" s="752"/>
      <c r="R3035" s="752"/>
      <c r="S3035" s="752"/>
    </row>
    <row r="3036" spans="1:19" s="753" customFormat="1" ht="24" customHeight="1">
      <c r="A3036" s="734"/>
      <c r="B3036" s="747" t="s">
        <v>484</v>
      </c>
      <c r="C3036" s="735" t="s">
        <v>485</v>
      </c>
      <c r="D3036" s="735"/>
      <c r="E3036" s="737">
        <f t="shared" si="770"/>
        <v>7</v>
      </c>
      <c r="F3036" s="738" t="s">
        <v>363</v>
      </c>
      <c r="G3036" s="739">
        <v>285</v>
      </c>
      <c r="H3036" s="748">
        <f t="shared" si="766"/>
        <v>1995</v>
      </c>
      <c r="I3036" s="741">
        <v>75</v>
      </c>
      <c r="J3036" s="749">
        <f t="shared" si="772"/>
        <v>525</v>
      </c>
      <c r="K3036" s="739">
        <f t="shared" si="768"/>
        <v>2520</v>
      </c>
      <c r="L3036" s="1093"/>
      <c r="M3036" s="752"/>
      <c r="N3036" s="744">
        <f t="shared" si="771"/>
        <v>7</v>
      </c>
      <c r="O3036" s="745">
        <v>0</v>
      </c>
      <c r="P3036" s="737">
        <v>7</v>
      </c>
      <c r="Q3036" s="752"/>
      <c r="R3036" s="752"/>
      <c r="S3036" s="752"/>
    </row>
    <row r="3037" spans="1:19" s="753" customFormat="1" ht="24" customHeight="1">
      <c r="A3037" s="734"/>
      <c r="B3037" s="747" t="s">
        <v>469</v>
      </c>
      <c r="C3037" s="735" t="s">
        <v>486</v>
      </c>
      <c r="D3037" s="735"/>
      <c r="E3037" s="737">
        <f t="shared" si="770"/>
        <v>1</v>
      </c>
      <c r="F3037" s="738" t="s">
        <v>363</v>
      </c>
      <c r="G3037" s="739">
        <v>552</v>
      </c>
      <c r="H3037" s="748">
        <f t="shared" si="766"/>
        <v>552</v>
      </c>
      <c r="I3037" s="741">
        <v>25</v>
      </c>
      <c r="J3037" s="749">
        <f t="shared" si="772"/>
        <v>25</v>
      </c>
      <c r="K3037" s="739">
        <f t="shared" si="768"/>
        <v>577</v>
      </c>
      <c r="L3037" s="1079"/>
      <c r="M3037" s="752"/>
      <c r="N3037" s="744">
        <f t="shared" si="771"/>
        <v>1</v>
      </c>
      <c r="O3037" s="745">
        <v>0</v>
      </c>
      <c r="P3037" s="737">
        <v>1</v>
      </c>
      <c r="Q3037" s="752"/>
      <c r="R3037" s="752"/>
      <c r="S3037" s="752"/>
    </row>
    <row r="3038" spans="1:19" s="753" customFormat="1" ht="24" customHeight="1">
      <c r="A3038" s="734"/>
      <c r="B3038" s="747" t="s">
        <v>469</v>
      </c>
      <c r="C3038" s="735" t="s">
        <v>507</v>
      </c>
      <c r="D3038" s="735"/>
      <c r="E3038" s="737">
        <f t="shared" si="770"/>
        <v>1</v>
      </c>
      <c r="F3038" s="738" t="s">
        <v>363</v>
      </c>
      <c r="G3038" s="739">
        <v>1650</v>
      </c>
      <c r="H3038" s="748">
        <f t="shared" si="766"/>
        <v>1650</v>
      </c>
      <c r="I3038" s="741">
        <v>70</v>
      </c>
      <c r="J3038" s="749">
        <f t="shared" si="772"/>
        <v>70</v>
      </c>
      <c r="K3038" s="739">
        <f t="shared" si="768"/>
        <v>1720</v>
      </c>
      <c r="L3038" s="1079"/>
      <c r="M3038" s="752"/>
      <c r="N3038" s="744">
        <f t="shared" si="771"/>
        <v>1</v>
      </c>
      <c r="O3038" s="745">
        <v>0</v>
      </c>
      <c r="P3038" s="737">
        <v>1</v>
      </c>
      <c r="Q3038" s="752"/>
      <c r="R3038" s="752"/>
      <c r="S3038" s="752"/>
    </row>
    <row r="3039" spans="1:19" s="753" customFormat="1" ht="24" customHeight="1">
      <c r="A3039" s="734"/>
      <c r="B3039" s="747" t="s">
        <v>469</v>
      </c>
      <c r="C3039" s="735" t="s">
        <v>508</v>
      </c>
      <c r="D3039" s="735"/>
      <c r="E3039" s="737">
        <f t="shared" si="770"/>
        <v>10</v>
      </c>
      <c r="F3039" s="738" t="s">
        <v>363</v>
      </c>
      <c r="G3039" s="739">
        <v>13500</v>
      </c>
      <c r="H3039" s="748">
        <f t="shared" si="766"/>
        <v>135000</v>
      </c>
      <c r="I3039" s="741">
        <v>750</v>
      </c>
      <c r="J3039" s="749">
        <f t="shared" si="772"/>
        <v>7500</v>
      </c>
      <c r="K3039" s="739">
        <f t="shared" si="768"/>
        <v>142500</v>
      </c>
      <c r="L3039" s="1079"/>
      <c r="M3039" s="752"/>
      <c r="N3039" s="744">
        <f t="shared" si="771"/>
        <v>10</v>
      </c>
      <c r="O3039" s="745">
        <v>0</v>
      </c>
      <c r="P3039" s="737">
        <v>10</v>
      </c>
      <c r="Q3039" s="752"/>
      <c r="R3039" s="752"/>
      <c r="S3039" s="752"/>
    </row>
    <row r="3040" spans="1:19" s="682" customFormat="1" ht="24" customHeight="1">
      <c r="A3040" s="734"/>
      <c r="B3040" s="747" t="s">
        <v>469</v>
      </c>
      <c r="C3040" s="735" t="s">
        <v>509</v>
      </c>
      <c r="D3040" s="735"/>
      <c r="E3040" s="737">
        <f t="shared" si="770"/>
        <v>1</v>
      </c>
      <c r="F3040" s="738" t="s">
        <v>363</v>
      </c>
      <c r="G3040" s="739">
        <v>14476</v>
      </c>
      <c r="H3040" s="748">
        <f t="shared" si="766"/>
        <v>14476</v>
      </c>
      <c r="I3040" s="741">
        <v>5367</v>
      </c>
      <c r="J3040" s="749">
        <f t="shared" si="772"/>
        <v>5367</v>
      </c>
      <c r="K3040" s="739">
        <f t="shared" si="768"/>
        <v>19843</v>
      </c>
      <c r="L3040" s="1079"/>
      <c r="M3040" s="679"/>
      <c r="N3040" s="744">
        <f t="shared" si="771"/>
        <v>1</v>
      </c>
      <c r="O3040" s="745">
        <v>0</v>
      </c>
      <c r="P3040" s="737">
        <v>1</v>
      </c>
      <c r="Q3040" s="679"/>
      <c r="R3040" s="679"/>
      <c r="S3040" s="679"/>
    </row>
    <row r="3041" spans="1:19" s="753" customFormat="1" ht="24" customHeight="1">
      <c r="A3041" s="734"/>
      <c r="B3041" s="747"/>
      <c r="C3041" s="735"/>
      <c r="D3041" s="907"/>
      <c r="E3041" s="737">
        <f t="shared" si="770"/>
        <v>0</v>
      </c>
      <c r="F3041" s="738"/>
      <c r="G3041" s="739">
        <v>0</v>
      </c>
      <c r="H3041" s="748">
        <f t="shared" si="766"/>
        <v>0</v>
      </c>
      <c r="I3041" s="741">
        <v>0</v>
      </c>
      <c r="J3041" s="749">
        <f t="shared" si="772"/>
        <v>0</v>
      </c>
      <c r="K3041" s="739">
        <f t="shared" si="768"/>
        <v>0</v>
      </c>
      <c r="L3041" s="1079"/>
      <c r="M3041" s="752"/>
      <c r="N3041" s="744">
        <f t="shared" si="771"/>
        <v>0</v>
      </c>
      <c r="O3041" s="745">
        <v>0</v>
      </c>
      <c r="P3041" s="737">
        <v>0</v>
      </c>
      <c r="Q3041" s="752"/>
      <c r="R3041" s="752"/>
      <c r="S3041" s="752"/>
    </row>
    <row r="3042" spans="1:19" s="753" customFormat="1" ht="24" customHeight="1">
      <c r="A3042" s="734"/>
      <c r="B3042" s="747" t="s">
        <v>469</v>
      </c>
      <c r="C3042" s="735" t="s">
        <v>510</v>
      </c>
      <c r="D3042" s="735"/>
      <c r="E3042" s="737">
        <f t="shared" si="770"/>
        <v>5.8</v>
      </c>
      <c r="F3042" s="738" t="s">
        <v>361</v>
      </c>
      <c r="G3042" s="739">
        <v>2694</v>
      </c>
      <c r="H3042" s="748">
        <f t="shared" si="766"/>
        <v>15625.199999999999</v>
      </c>
      <c r="I3042" s="741">
        <v>1288</v>
      </c>
      <c r="J3042" s="749">
        <f t="shared" si="772"/>
        <v>7470.4</v>
      </c>
      <c r="K3042" s="739">
        <f t="shared" si="768"/>
        <v>23095.599999999999</v>
      </c>
      <c r="L3042" s="1079"/>
      <c r="M3042" s="752"/>
      <c r="N3042" s="744">
        <f t="shared" si="771"/>
        <v>5.8</v>
      </c>
      <c r="O3042" s="745">
        <v>0</v>
      </c>
      <c r="P3042" s="737">
        <v>5.8</v>
      </c>
      <c r="Q3042" s="752"/>
      <c r="R3042" s="752"/>
      <c r="S3042" s="752"/>
    </row>
    <row r="3043" spans="1:19" s="753" customFormat="1" ht="24" customHeight="1">
      <c r="A3043" s="734"/>
      <c r="B3043" s="747"/>
      <c r="C3043" s="735" t="s">
        <v>511</v>
      </c>
      <c r="D3043" s="735"/>
      <c r="E3043" s="737">
        <f t="shared" si="770"/>
        <v>0</v>
      </c>
      <c r="F3043" s="738"/>
      <c r="G3043" s="739"/>
      <c r="H3043" s="748">
        <f t="shared" si="766"/>
        <v>0</v>
      </c>
      <c r="I3043" s="741"/>
      <c r="J3043" s="749">
        <f t="shared" si="772"/>
        <v>0</v>
      </c>
      <c r="K3043" s="739">
        <f t="shared" si="768"/>
        <v>0</v>
      </c>
      <c r="L3043" s="1079"/>
      <c r="M3043" s="752"/>
      <c r="N3043" s="744">
        <f t="shared" si="771"/>
        <v>0</v>
      </c>
      <c r="O3043" s="745">
        <v>0</v>
      </c>
      <c r="P3043" s="737">
        <v>0</v>
      </c>
      <c r="Q3043" s="752"/>
      <c r="R3043" s="752"/>
      <c r="S3043" s="752"/>
    </row>
    <row r="3044" spans="1:19" s="753" customFormat="1" ht="24" customHeight="1">
      <c r="A3044" s="734"/>
      <c r="B3044" s="747" t="s">
        <v>469</v>
      </c>
      <c r="C3044" s="735" t="s">
        <v>512</v>
      </c>
      <c r="D3044" s="735"/>
      <c r="E3044" s="737">
        <f t="shared" si="770"/>
        <v>5.8</v>
      </c>
      <c r="F3044" s="738" t="s">
        <v>361</v>
      </c>
      <c r="G3044" s="739">
        <v>3886</v>
      </c>
      <c r="H3044" s="748">
        <f t="shared" si="766"/>
        <v>22538.799999999999</v>
      </c>
      <c r="I3044" s="741">
        <v>1238</v>
      </c>
      <c r="J3044" s="749">
        <f t="shared" si="772"/>
        <v>7180.4</v>
      </c>
      <c r="K3044" s="739">
        <f t="shared" si="768"/>
        <v>29719.199999999997</v>
      </c>
      <c r="L3044" s="1079"/>
      <c r="M3044" s="752"/>
      <c r="N3044" s="744">
        <f t="shared" si="771"/>
        <v>5.8</v>
      </c>
      <c r="O3044" s="745">
        <v>0</v>
      </c>
      <c r="P3044" s="737">
        <v>5.8</v>
      </c>
      <c r="Q3044" s="752"/>
      <c r="R3044" s="752"/>
      <c r="S3044" s="752"/>
    </row>
    <row r="3045" spans="1:19" s="753" customFormat="1" ht="24" customHeight="1">
      <c r="A3045" s="734"/>
      <c r="B3045" s="747"/>
      <c r="C3045" s="735" t="s">
        <v>513</v>
      </c>
      <c r="D3045" s="735"/>
      <c r="E3045" s="737">
        <f t="shared" si="770"/>
        <v>0</v>
      </c>
      <c r="F3045" s="738"/>
      <c r="G3045" s="739">
        <v>0</v>
      </c>
      <c r="H3045" s="748">
        <f t="shared" si="766"/>
        <v>0</v>
      </c>
      <c r="I3045" s="741">
        <v>0</v>
      </c>
      <c r="J3045" s="749">
        <f t="shared" si="772"/>
        <v>0</v>
      </c>
      <c r="K3045" s="739">
        <f t="shared" si="768"/>
        <v>0</v>
      </c>
      <c r="L3045" s="1079"/>
      <c r="M3045" s="752"/>
      <c r="N3045" s="744">
        <f t="shared" si="771"/>
        <v>0</v>
      </c>
      <c r="O3045" s="745">
        <v>0</v>
      </c>
      <c r="P3045" s="737">
        <v>0</v>
      </c>
      <c r="Q3045" s="752"/>
      <c r="R3045" s="752"/>
      <c r="S3045" s="752"/>
    </row>
    <row r="3046" spans="1:19" s="753" customFormat="1" ht="24" customHeight="1">
      <c r="A3046" s="734"/>
      <c r="B3046" s="747" t="s">
        <v>469</v>
      </c>
      <c r="C3046" s="735" t="s">
        <v>521</v>
      </c>
      <c r="D3046" s="735"/>
      <c r="E3046" s="737">
        <f t="shared" si="770"/>
        <v>9</v>
      </c>
      <c r="F3046" s="738" t="s">
        <v>361</v>
      </c>
      <c r="G3046" s="739">
        <v>1522</v>
      </c>
      <c r="H3046" s="748">
        <f t="shared" si="766"/>
        <v>13698</v>
      </c>
      <c r="I3046" s="741">
        <v>315</v>
      </c>
      <c r="J3046" s="749">
        <f t="shared" si="772"/>
        <v>2835</v>
      </c>
      <c r="K3046" s="739">
        <f t="shared" si="768"/>
        <v>16533</v>
      </c>
      <c r="L3046" s="1079"/>
      <c r="M3046" s="752"/>
      <c r="N3046" s="744">
        <f t="shared" si="771"/>
        <v>9</v>
      </c>
      <c r="O3046" s="745">
        <v>0</v>
      </c>
      <c r="P3046" s="737">
        <v>9</v>
      </c>
      <c r="Q3046" s="752"/>
      <c r="R3046" s="752"/>
      <c r="S3046" s="752"/>
    </row>
    <row r="3047" spans="1:19" s="753" customFormat="1" ht="24" customHeight="1">
      <c r="A3047" s="734"/>
      <c r="B3047" s="747"/>
      <c r="C3047" s="735"/>
      <c r="D3047" s="735"/>
      <c r="E3047" s="737">
        <f t="shared" si="770"/>
        <v>0</v>
      </c>
      <c r="F3047" s="738"/>
      <c r="G3047" s="739">
        <v>0</v>
      </c>
      <c r="H3047" s="748">
        <f t="shared" si="766"/>
        <v>0</v>
      </c>
      <c r="I3047" s="741">
        <v>0</v>
      </c>
      <c r="J3047" s="749">
        <f t="shared" si="772"/>
        <v>0</v>
      </c>
      <c r="K3047" s="739">
        <f t="shared" si="768"/>
        <v>0</v>
      </c>
      <c r="L3047" s="1079"/>
      <c r="M3047" s="752"/>
      <c r="N3047" s="744">
        <f t="shared" si="771"/>
        <v>0</v>
      </c>
      <c r="O3047" s="745">
        <v>0</v>
      </c>
      <c r="P3047" s="737">
        <v>0</v>
      </c>
      <c r="Q3047" s="752"/>
      <c r="R3047" s="752"/>
      <c r="S3047" s="752"/>
    </row>
    <row r="3048" spans="1:19" s="682" customFormat="1" ht="24" customHeight="1">
      <c r="A3048" s="734"/>
      <c r="B3048" s="747" t="s">
        <v>469</v>
      </c>
      <c r="C3048" s="735" t="s">
        <v>515</v>
      </c>
      <c r="D3048" s="735"/>
      <c r="E3048" s="737">
        <f t="shared" si="770"/>
        <v>1</v>
      </c>
      <c r="F3048" s="738" t="s">
        <v>363</v>
      </c>
      <c r="G3048" s="739">
        <v>5013</v>
      </c>
      <c r="H3048" s="748">
        <f t="shared" ref="H3048:H3085" si="773">SUM(E3048*G3048)</f>
        <v>5013</v>
      </c>
      <c r="I3048" s="741">
        <v>2403</v>
      </c>
      <c r="J3048" s="749">
        <f t="shared" si="772"/>
        <v>2403</v>
      </c>
      <c r="K3048" s="739">
        <f t="shared" ref="K3048:K3111" si="774">SUM(H3048+J3048)</f>
        <v>7416</v>
      </c>
      <c r="L3048" s="1079"/>
      <c r="M3048" s="679"/>
      <c r="N3048" s="744">
        <f t="shared" si="771"/>
        <v>1</v>
      </c>
      <c r="O3048" s="745">
        <v>0</v>
      </c>
      <c r="P3048" s="737">
        <v>1</v>
      </c>
      <c r="Q3048" s="679"/>
      <c r="R3048" s="679"/>
      <c r="S3048" s="679"/>
    </row>
    <row r="3049" spans="1:19" s="682" customFormat="1" ht="24" customHeight="1">
      <c r="A3049" s="734"/>
      <c r="B3049" s="747"/>
      <c r="C3049" s="735" t="s">
        <v>516</v>
      </c>
      <c r="D3049" s="735"/>
      <c r="E3049" s="737">
        <f t="shared" si="770"/>
        <v>0</v>
      </c>
      <c r="F3049" s="738"/>
      <c r="G3049" s="739"/>
      <c r="H3049" s="748">
        <f t="shared" si="773"/>
        <v>0</v>
      </c>
      <c r="I3049" s="741"/>
      <c r="J3049" s="749">
        <f t="shared" si="772"/>
        <v>0</v>
      </c>
      <c r="K3049" s="739">
        <f t="shared" si="774"/>
        <v>0</v>
      </c>
      <c r="L3049" s="1079"/>
      <c r="M3049" s="679"/>
      <c r="N3049" s="744">
        <f t="shared" si="771"/>
        <v>0</v>
      </c>
      <c r="O3049" s="745">
        <v>0</v>
      </c>
      <c r="P3049" s="737">
        <v>0</v>
      </c>
      <c r="Q3049" s="679"/>
      <c r="R3049" s="679"/>
      <c r="S3049" s="679"/>
    </row>
    <row r="3050" spans="1:19" s="682" customFormat="1" ht="24" customHeight="1">
      <c r="A3050" s="734"/>
      <c r="B3050" s="747"/>
      <c r="C3050" s="735"/>
      <c r="D3050" s="735"/>
      <c r="E3050" s="737">
        <f t="shared" si="770"/>
        <v>0</v>
      </c>
      <c r="F3050" s="738"/>
      <c r="G3050" s="739"/>
      <c r="H3050" s="748">
        <f t="shared" si="773"/>
        <v>0</v>
      </c>
      <c r="I3050" s="741"/>
      <c r="J3050" s="749">
        <f t="shared" si="772"/>
        <v>0</v>
      </c>
      <c r="K3050" s="739">
        <f t="shared" si="774"/>
        <v>0</v>
      </c>
      <c r="L3050" s="1079"/>
      <c r="M3050" s="679"/>
      <c r="N3050" s="744">
        <f t="shared" si="771"/>
        <v>0</v>
      </c>
      <c r="O3050" s="745">
        <v>0</v>
      </c>
      <c r="P3050" s="737">
        <v>0</v>
      </c>
      <c r="Q3050" s="679"/>
      <c r="R3050" s="679"/>
      <c r="S3050" s="679"/>
    </row>
    <row r="3051" spans="1:19" s="756" customFormat="1" ht="24" customHeight="1">
      <c r="A3051" s="734"/>
      <c r="B3051" s="747" t="s">
        <v>469</v>
      </c>
      <c r="C3051" s="735" t="s">
        <v>517</v>
      </c>
      <c r="D3051" s="907"/>
      <c r="E3051" s="737">
        <f t="shared" ref="E3051:E3114" si="775">+N3051</f>
        <v>0</v>
      </c>
      <c r="F3051" s="738" t="s">
        <v>361</v>
      </c>
      <c r="G3051" s="739">
        <v>5075.5555555555557</v>
      </c>
      <c r="H3051" s="748">
        <f t="shared" si="773"/>
        <v>0</v>
      </c>
      <c r="I3051" s="741">
        <v>2545.7777777777778</v>
      </c>
      <c r="J3051" s="749">
        <f t="shared" si="772"/>
        <v>0</v>
      </c>
      <c r="K3051" s="739">
        <f t="shared" si="774"/>
        <v>0</v>
      </c>
      <c r="L3051" s="1079"/>
      <c r="M3051" s="755"/>
      <c r="N3051" s="744">
        <f t="shared" si="771"/>
        <v>0</v>
      </c>
      <c r="O3051" s="745">
        <v>0</v>
      </c>
      <c r="P3051" s="737">
        <v>0</v>
      </c>
      <c r="Q3051" s="755"/>
      <c r="R3051" s="755"/>
      <c r="S3051" s="755"/>
    </row>
    <row r="3052" spans="1:19" s="756" customFormat="1" ht="24" customHeight="1">
      <c r="A3052" s="734"/>
      <c r="B3052" s="747"/>
      <c r="C3052" s="735" t="s">
        <v>488</v>
      </c>
      <c r="D3052" s="907"/>
      <c r="E3052" s="737">
        <f t="shared" si="775"/>
        <v>0</v>
      </c>
      <c r="F3052" s="738"/>
      <c r="G3052" s="739">
        <v>0</v>
      </c>
      <c r="H3052" s="748">
        <f t="shared" si="773"/>
        <v>0</v>
      </c>
      <c r="I3052" s="741">
        <v>0</v>
      </c>
      <c r="J3052" s="749">
        <f t="shared" si="772"/>
        <v>0</v>
      </c>
      <c r="K3052" s="739">
        <f t="shared" si="774"/>
        <v>0</v>
      </c>
      <c r="L3052" s="1079"/>
      <c r="M3052" s="755"/>
      <c r="N3052" s="744">
        <f t="shared" si="771"/>
        <v>0</v>
      </c>
      <c r="O3052" s="745">
        <v>0</v>
      </c>
      <c r="P3052" s="737">
        <v>0</v>
      </c>
      <c r="Q3052" s="755"/>
      <c r="R3052" s="755"/>
      <c r="S3052" s="755"/>
    </row>
    <row r="3053" spans="1:19" s="753" customFormat="1" ht="24" customHeight="1">
      <c r="A3053" s="734"/>
      <c r="B3053" s="747" t="s">
        <v>469</v>
      </c>
      <c r="C3053" s="735" t="s">
        <v>518</v>
      </c>
      <c r="D3053" s="735"/>
      <c r="E3053" s="737">
        <f t="shared" si="775"/>
        <v>0</v>
      </c>
      <c r="F3053" s="738" t="s">
        <v>361</v>
      </c>
      <c r="G3053" s="739">
        <v>3886</v>
      </c>
      <c r="H3053" s="748">
        <f t="shared" si="773"/>
        <v>0</v>
      </c>
      <c r="I3053" s="741">
        <v>1238</v>
      </c>
      <c r="J3053" s="749">
        <f t="shared" si="772"/>
        <v>0</v>
      </c>
      <c r="K3053" s="739">
        <f t="shared" si="774"/>
        <v>0</v>
      </c>
      <c r="L3053" s="1079"/>
      <c r="M3053" s="752"/>
      <c r="N3053" s="744">
        <f t="shared" si="771"/>
        <v>0</v>
      </c>
      <c r="O3053" s="745">
        <v>0</v>
      </c>
      <c r="P3053" s="737">
        <v>0</v>
      </c>
      <c r="Q3053" s="752"/>
      <c r="R3053" s="752"/>
      <c r="S3053" s="752"/>
    </row>
    <row r="3054" spans="1:19" s="753" customFormat="1" ht="24" customHeight="1">
      <c r="A3054" s="734"/>
      <c r="B3054" s="747"/>
      <c r="C3054" s="735" t="s">
        <v>513</v>
      </c>
      <c r="D3054" s="735"/>
      <c r="E3054" s="737">
        <f t="shared" si="775"/>
        <v>0</v>
      </c>
      <c r="F3054" s="738"/>
      <c r="G3054" s="739">
        <v>0</v>
      </c>
      <c r="H3054" s="748">
        <f t="shared" si="773"/>
        <v>0</v>
      </c>
      <c r="I3054" s="741">
        <v>0</v>
      </c>
      <c r="J3054" s="749">
        <f t="shared" si="772"/>
        <v>0</v>
      </c>
      <c r="K3054" s="739">
        <f t="shared" si="774"/>
        <v>0</v>
      </c>
      <c r="L3054" s="1079"/>
      <c r="M3054" s="752"/>
      <c r="N3054" s="744">
        <f t="shared" si="771"/>
        <v>0</v>
      </c>
      <c r="O3054" s="745">
        <v>0</v>
      </c>
      <c r="P3054" s="737">
        <v>0</v>
      </c>
      <c r="Q3054" s="752"/>
      <c r="R3054" s="752"/>
      <c r="S3054" s="752"/>
    </row>
    <row r="3055" spans="1:19" s="682" customFormat="1" ht="24" customHeight="1">
      <c r="A3055" s="734"/>
      <c r="B3055" s="747"/>
      <c r="C3055" s="735"/>
      <c r="D3055" s="735"/>
      <c r="E3055" s="737">
        <f t="shared" si="775"/>
        <v>0</v>
      </c>
      <c r="F3055" s="738"/>
      <c r="G3055" s="739"/>
      <c r="H3055" s="748">
        <f t="shared" si="773"/>
        <v>0</v>
      </c>
      <c r="I3055" s="741"/>
      <c r="J3055" s="749">
        <f t="shared" si="772"/>
        <v>0</v>
      </c>
      <c r="K3055" s="739">
        <f t="shared" si="774"/>
        <v>0</v>
      </c>
      <c r="L3055" s="1079"/>
      <c r="M3055" s="679"/>
      <c r="N3055" s="744">
        <f t="shared" si="771"/>
        <v>0</v>
      </c>
      <c r="O3055" s="745">
        <v>0</v>
      </c>
      <c r="P3055" s="737">
        <v>0</v>
      </c>
      <c r="Q3055" s="679"/>
      <c r="R3055" s="679"/>
      <c r="S3055" s="679"/>
    </row>
    <row r="3056" spans="1:19" s="682" customFormat="1" ht="24" customHeight="1">
      <c r="A3056" s="734"/>
      <c r="B3056" s="747" t="s">
        <v>469</v>
      </c>
      <c r="C3056" s="735" t="s">
        <v>519</v>
      </c>
      <c r="D3056" s="735"/>
      <c r="E3056" s="737">
        <f t="shared" si="775"/>
        <v>1</v>
      </c>
      <c r="F3056" s="738" t="s">
        <v>363</v>
      </c>
      <c r="G3056" s="739">
        <v>800</v>
      </c>
      <c r="H3056" s="748">
        <f t="shared" si="773"/>
        <v>800</v>
      </c>
      <c r="I3056" s="741">
        <v>70</v>
      </c>
      <c r="J3056" s="749">
        <f t="shared" si="772"/>
        <v>70</v>
      </c>
      <c r="K3056" s="739">
        <f t="shared" si="774"/>
        <v>870</v>
      </c>
      <c r="L3056" s="1079"/>
      <c r="M3056" s="679"/>
      <c r="N3056" s="744">
        <f t="shared" si="771"/>
        <v>1</v>
      </c>
      <c r="O3056" s="745">
        <v>0</v>
      </c>
      <c r="P3056" s="737">
        <v>1</v>
      </c>
      <c r="Q3056" s="679"/>
      <c r="R3056" s="679"/>
      <c r="S3056" s="679"/>
    </row>
    <row r="3057" spans="1:19" s="682" customFormat="1" ht="24" customHeight="1">
      <c r="A3057" s="734"/>
      <c r="B3057" s="747" t="s">
        <v>469</v>
      </c>
      <c r="C3057" s="735" t="s">
        <v>520</v>
      </c>
      <c r="D3057" s="735"/>
      <c r="E3057" s="737">
        <f t="shared" si="775"/>
        <v>0</v>
      </c>
      <c r="F3057" s="738" t="s">
        <v>361</v>
      </c>
      <c r="G3057" s="739">
        <v>190</v>
      </c>
      <c r="H3057" s="748">
        <f t="shared" si="773"/>
        <v>0</v>
      </c>
      <c r="I3057" s="741">
        <v>75</v>
      </c>
      <c r="J3057" s="749">
        <f t="shared" si="772"/>
        <v>0</v>
      </c>
      <c r="K3057" s="739">
        <f t="shared" si="774"/>
        <v>0</v>
      </c>
      <c r="L3057" s="1079"/>
      <c r="M3057" s="679"/>
      <c r="N3057" s="744">
        <f t="shared" si="771"/>
        <v>0</v>
      </c>
      <c r="O3057" s="745">
        <v>0</v>
      </c>
      <c r="P3057" s="737">
        <v>0</v>
      </c>
      <c r="Q3057" s="679"/>
      <c r="R3057" s="679"/>
      <c r="S3057" s="679"/>
    </row>
    <row r="3058" spans="1:19" s="682" customFormat="1" ht="24" customHeight="1">
      <c r="A3058" s="734"/>
      <c r="B3058" s="747"/>
      <c r="C3058" s="735"/>
      <c r="D3058" s="735"/>
      <c r="E3058" s="737">
        <f t="shared" si="775"/>
        <v>0</v>
      </c>
      <c r="F3058" s="738"/>
      <c r="G3058" s="739"/>
      <c r="H3058" s="748">
        <f t="shared" si="773"/>
        <v>0</v>
      </c>
      <c r="I3058" s="741"/>
      <c r="J3058" s="749">
        <f t="shared" si="772"/>
        <v>0</v>
      </c>
      <c r="K3058" s="739">
        <f t="shared" si="774"/>
        <v>0</v>
      </c>
      <c r="L3058" s="1079"/>
      <c r="M3058" s="679"/>
      <c r="N3058" s="744">
        <f t="shared" ref="N3058:N3121" si="776">+(1+O3058)*P3058</f>
        <v>0</v>
      </c>
      <c r="O3058" s="745">
        <v>0</v>
      </c>
      <c r="P3058" s="737">
        <v>0</v>
      </c>
      <c r="Q3058" s="679"/>
      <c r="R3058" s="679"/>
      <c r="S3058" s="679"/>
    </row>
    <row r="3059" spans="1:19" s="682" customFormat="1" ht="24" customHeight="1">
      <c r="A3059" s="734"/>
      <c r="B3059" s="747"/>
      <c r="C3059" s="735"/>
      <c r="D3059" s="735"/>
      <c r="E3059" s="737"/>
      <c r="F3059" s="738"/>
      <c r="G3059" s="739"/>
      <c r="H3059" s="748"/>
      <c r="I3059" s="741"/>
      <c r="J3059" s="749"/>
      <c r="K3059" s="739"/>
      <c r="L3059" s="1079"/>
      <c r="M3059" s="679"/>
      <c r="N3059" s="744"/>
      <c r="O3059" s="745"/>
      <c r="P3059" s="737"/>
      <c r="Q3059" s="679"/>
      <c r="R3059" s="679"/>
      <c r="S3059" s="679"/>
    </row>
    <row r="3060" spans="1:19" s="682" customFormat="1" ht="24" customHeight="1">
      <c r="A3060" s="734"/>
      <c r="B3060" s="747"/>
      <c r="C3060" s="735"/>
      <c r="D3060" s="735"/>
      <c r="E3060" s="737"/>
      <c r="F3060" s="738"/>
      <c r="G3060" s="739"/>
      <c r="H3060" s="748"/>
      <c r="I3060" s="741"/>
      <c r="J3060" s="749"/>
      <c r="K3060" s="739"/>
      <c r="L3060" s="1079"/>
      <c r="M3060" s="679"/>
      <c r="N3060" s="744"/>
      <c r="O3060" s="745"/>
      <c r="P3060" s="737"/>
      <c r="Q3060" s="679"/>
      <c r="R3060" s="679"/>
      <c r="S3060" s="679"/>
    </row>
    <row r="3061" spans="1:19" s="753" customFormat="1" ht="24" customHeight="1">
      <c r="A3061" s="734"/>
      <c r="B3061" s="735" t="s">
        <v>1074</v>
      </c>
      <c r="C3061" s="735"/>
      <c r="D3061" s="735"/>
      <c r="E3061" s="737">
        <f t="shared" si="775"/>
        <v>0</v>
      </c>
      <c r="F3061" s="738"/>
      <c r="G3061" s="739">
        <v>0</v>
      </c>
      <c r="H3061" s="748">
        <f t="shared" si="773"/>
        <v>0</v>
      </c>
      <c r="I3061" s="741">
        <v>0</v>
      </c>
      <c r="J3061" s="749">
        <f t="shared" si="772"/>
        <v>0</v>
      </c>
      <c r="K3061" s="739">
        <f t="shared" si="774"/>
        <v>0</v>
      </c>
      <c r="L3061" s="1079"/>
      <c r="M3061" s="752"/>
      <c r="N3061" s="744">
        <f t="shared" si="776"/>
        <v>0</v>
      </c>
      <c r="O3061" s="745">
        <v>0</v>
      </c>
      <c r="P3061" s="737">
        <v>0</v>
      </c>
      <c r="Q3061" s="752"/>
      <c r="R3061" s="752"/>
      <c r="S3061" s="752"/>
    </row>
    <row r="3062" spans="1:19" s="753" customFormat="1" ht="24" customHeight="1">
      <c r="A3062" s="734"/>
      <c r="B3062" s="747" t="s">
        <v>469</v>
      </c>
      <c r="C3062" s="735" t="s">
        <v>522</v>
      </c>
      <c r="D3062" s="735"/>
      <c r="E3062" s="737">
        <f t="shared" si="775"/>
        <v>1</v>
      </c>
      <c r="F3062" s="738" t="s">
        <v>363</v>
      </c>
      <c r="G3062" s="739">
        <v>6832</v>
      </c>
      <c r="H3062" s="748">
        <f t="shared" si="773"/>
        <v>6832</v>
      </c>
      <c r="I3062" s="741">
        <v>450</v>
      </c>
      <c r="J3062" s="749">
        <f t="shared" si="772"/>
        <v>450</v>
      </c>
      <c r="K3062" s="739">
        <f t="shared" si="774"/>
        <v>7282</v>
      </c>
      <c r="L3062" s="1079"/>
      <c r="M3062" s="752"/>
      <c r="N3062" s="744">
        <f t="shared" si="776"/>
        <v>1</v>
      </c>
      <c r="O3062" s="745">
        <v>0</v>
      </c>
      <c r="P3062" s="737">
        <v>1</v>
      </c>
      <c r="Q3062" s="752"/>
      <c r="R3062" s="752"/>
      <c r="S3062" s="752"/>
    </row>
    <row r="3063" spans="1:19" s="753" customFormat="1" ht="24" customHeight="1">
      <c r="A3063" s="734"/>
      <c r="B3063" s="747" t="s">
        <v>469</v>
      </c>
      <c r="C3063" s="735" t="s">
        <v>498</v>
      </c>
      <c r="D3063" s="735"/>
      <c r="E3063" s="737">
        <f t="shared" si="775"/>
        <v>1</v>
      </c>
      <c r="F3063" s="738" t="s">
        <v>363</v>
      </c>
      <c r="G3063" s="739">
        <v>6640</v>
      </c>
      <c r="H3063" s="748">
        <f t="shared" si="773"/>
        <v>6640</v>
      </c>
      <c r="I3063" s="741">
        <v>200</v>
      </c>
      <c r="J3063" s="749">
        <f t="shared" si="772"/>
        <v>200</v>
      </c>
      <c r="K3063" s="739">
        <f t="shared" si="774"/>
        <v>6840</v>
      </c>
      <c r="L3063" s="1079"/>
      <c r="M3063" s="752"/>
      <c r="N3063" s="744">
        <f t="shared" si="776"/>
        <v>1</v>
      </c>
      <c r="O3063" s="745">
        <v>0</v>
      </c>
      <c r="P3063" s="737">
        <v>1</v>
      </c>
      <c r="Q3063" s="752"/>
      <c r="R3063" s="752"/>
      <c r="S3063" s="752"/>
    </row>
    <row r="3064" spans="1:19" s="753" customFormat="1" ht="24" customHeight="1">
      <c r="A3064" s="734"/>
      <c r="B3064" s="747" t="s">
        <v>469</v>
      </c>
      <c r="C3064" s="735" t="s">
        <v>476</v>
      </c>
      <c r="D3064" s="735"/>
      <c r="E3064" s="737">
        <f t="shared" si="775"/>
        <v>1</v>
      </c>
      <c r="F3064" s="738" t="s">
        <v>363</v>
      </c>
      <c r="G3064" s="739">
        <v>336</v>
      </c>
      <c r="H3064" s="748">
        <f t="shared" si="773"/>
        <v>336</v>
      </c>
      <c r="I3064" s="741">
        <v>0</v>
      </c>
      <c r="J3064" s="749">
        <f t="shared" si="772"/>
        <v>0</v>
      </c>
      <c r="K3064" s="739">
        <f t="shared" si="774"/>
        <v>336</v>
      </c>
      <c r="L3064" s="1079"/>
      <c r="M3064" s="752"/>
      <c r="N3064" s="744">
        <f t="shared" si="776"/>
        <v>1</v>
      </c>
      <c r="O3064" s="745">
        <v>0</v>
      </c>
      <c r="P3064" s="737">
        <v>1</v>
      </c>
      <c r="Q3064" s="752"/>
      <c r="R3064" s="752"/>
      <c r="S3064" s="752"/>
    </row>
    <row r="3065" spans="1:19" s="753" customFormat="1" ht="24" customHeight="1">
      <c r="A3065" s="734"/>
      <c r="B3065" s="747" t="s">
        <v>469</v>
      </c>
      <c r="C3065" s="735" t="s">
        <v>477</v>
      </c>
      <c r="D3065" s="735"/>
      <c r="E3065" s="737">
        <f t="shared" si="775"/>
        <v>1</v>
      </c>
      <c r="F3065" s="738" t="s">
        <v>363</v>
      </c>
      <c r="G3065" s="739">
        <v>736</v>
      </c>
      <c r="H3065" s="748">
        <f t="shared" si="773"/>
        <v>736</v>
      </c>
      <c r="I3065" s="741">
        <v>0</v>
      </c>
      <c r="J3065" s="749">
        <f t="shared" si="772"/>
        <v>0</v>
      </c>
      <c r="K3065" s="739">
        <f t="shared" si="774"/>
        <v>736</v>
      </c>
      <c r="L3065" s="1079"/>
      <c r="M3065" s="752"/>
      <c r="N3065" s="744">
        <f t="shared" si="776"/>
        <v>1</v>
      </c>
      <c r="O3065" s="745">
        <v>0</v>
      </c>
      <c r="P3065" s="737">
        <v>1</v>
      </c>
      <c r="Q3065" s="752"/>
      <c r="R3065" s="752"/>
      <c r="S3065" s="752"/>
    </row>
    <row r="3066" spans="1:19" s="753" customFormat="1" ht="24" customHeight="1">
      <c r="A3066" s="734"/>
      <c r="B3066" s="747" t="s">
        <v>469</v>
      </c>
      <c r="C3066" s="735" t="s">
        <v>478</v>
      </c>
      <c r="D3066" s="735"/>
      <c r="E3066" s="737">
        <f t="shared" si="775"/>
        <v>1</v>
      </c>
      <c r="F3066" s="738" t="s">
        <v>363</v>
      </c>
      <c r="G3066" s="739">
        <v>176</v>
      </c>
      <c r="H3066" s="748">
        <f t="shared" si="773"/>
        <v>176</v>
      </c>
      <c r="I3066" s="741">
        <v>0</v>
      </c>
      <c r="J3066" s="749">
        <f t="shared" si="772"/>
        <v>0</v>
      </c>
      <c r="K3066" s="739">
        <f t="shared" si="774"/>
        <v>176</v>
      </c>
      <c r="L3066" s="1079"/>
      <c r="M3066" s="752"/>
      <c r="N3066" s="744">
        <f t="shared" si="776"/>
        <v>1</v>
      </c>
      <c r="O3066" s="745">
        <v>0</v>
      </c>
      <c r="P3066" s="737">
        <v>1</v>
      </c>
      <c r="Q3066" s="752"/>
      <c r="R3066" s="752"/>
      <c r="S3066" s="752"/>
    </row>
    <row r="3067" spans="1:19" s="753" customFormat="1" ht="24" customHeight="1">
      <c r="A3067" s="734"/>
      <c r="B3067" s="747" t="s">
        <v>469</v>
      </c>
      <c r="C3067" s="735" t="s">
        <v>499</v>
      </c>
      <c r="D3067" s="735"/>
      <c r="E3067" s="737">
        <f t="shared" si="775"/>
        <v>1</v>
      </c>
      <c r="F3067" s="738" t="s">
        <v>363</v>
      </c>
      <c r="G3067" s="739">
        <v>216</v>
      </c>
      <c r="H3067" s="748">
        <f t="shared" si="773"/>
        <v>216</v>
      </c>
      <c r="I3067" s="741">
        <v>35</v>
      </c>
      <c r="J3067" s="749">
        <f t="shared" si="772"/>
        <v>35</v>
      </c>
      <c r="K3067" s="739">
        <f t="shared" si="774"/>
        <v>251</v>
      </c>
      <c r="L3067" s="1079"/>
      <c r="M3067" s="752"/>
      <c r="N3067" s="744">
        <f t="shared" si="776"/>
        <v>1</v>
      </c>
      <c r="O3067" s="745">
        <v>0</v>
      </c>
      <c r="P3067" s="737">
        <v>1</v>
      </c>
      <c r="Q3067" s="752"/>
      <c r="R3067" s="752"/>
      <c r="S3067" s="752"/>
    </row>
    <row r="3068" spans="1:19" s="753" customFormat="1" ht="24" customHeight="1">
      <c r="A3068" s="734"/>
      <c r="B3068" s="750"/>
      <c r="C3068" s="757"/>
      <c r="D3068" s="907"/>
      <c r="E3068" s="737">
        <f t="shared" si="775"/>
        <v>0</v>
      </c>
      <c r="F3068" s="738"/>
      <c r="G3068" s="739">
        <v>0</v>
      </c>
      <c r="H3068" s="748">
        <f t="shared" si="773"/>
        <v>0</v>
      </c>
      <c r="I3068" s="741">
        <v>0</v>
      </c>
      <c r="J3068" s="749">
        <f t="shared" si="772"/>
        <v>0</v>
      </c>
      <c r="K3068" s="739">
        <f t="shared" si="774"/>
        <v>0</v>
      </c>
      <c r="L3068" s="1079"/>
      <c r="M3068" s="752"/>
      <c r="N3068" s="744">
        <f t="shared" si="776"/>
        <v>0</v>
      </c>
      <c r="O3068" s="745">
        <v>0</v>
      </c>
      <c r="P3068" s="737">
        <v>0</v>
      </c>
      <c r="Q3068" s="752"/>
      <c r="R3068" s="752"/>
      <c r="S3068" s="752"/>
    </row>
    <row r="3069" spans="1:19" s="753" customFormat="1" ht="24" customHeight="1">
      <c r="A3069" s="734"/>
      <c r="B3069" s="747" t="s">
        <v>469</v>
      </c>
      <c r="C3069" s="735" t="s">
        <v>523</v>
      </c>
      <c r="D3069" s="735"/>
      <c r="E3069" s="737">
        <f t="shared" si="775"/>
        <v>1</v>
      </c>
      <c r="F3069" s="738" t="s">
        <v>363</v>
      </c>
      <c r="G3069" s="739">
        <v>6580</v>
      </c>
      <c r="H3069" s="748">
        <f t="shared" si="773"/>
        <v>6580</v>
      </c>
      <c r="I3069" s="741">
        <v>450</v>
      </c>
      <c r="J3069" s="749">
        <f t="shared" si="772"/>
        <v>450</v>
      </c>
      <c r="K3069" s="739">
        <f t="shared" si="774"/>
        <v>7030</v>
      </c>
      <c r="L3069" s="1079"/>
      <c r="M3069" s="752"/>
      <c r="N3069" s="744">
        <f t="shared" si="776"/>
        <v>1</v>
      </c>
      <c r="O3069" s="745">
        <v>0</v>
      </c>
      <c r="P3069" s="737">
        <v>1</v>
      </c>
      <c r="Q3069" s="752"/>
      <c r="R3069" s="752"/>
      <c r="S3069" s="752"/>
    </row>
    <row r="3070" spans="1:19" s="753" customFormat="1" ht="24" customHeight="1">
      <c r="A3070" s="734"/>
      <c r="B3070" s="747" t="s">
        <v>469</v>
      </c>
      <c r="C3070" s="735" t="s">
        <v>478</v>
      </c>
      <c r="D3070" s="735"/>
      <c r="E3070" s="737">
        <f t="shared" si="775"/>
        <v>1</v>
      </c>
      <c r="F3070" s="738" t="s">
        <v>363</v>
      </c>
      <c r="G3070" s="739">
        <v>176</v>
      </c>
      <c r="H3070" s="748">
        <f t="shared" si="773"/>
        <v>176</v>
      </c>
      <c r="I3070" s="741">
        <v>0</v>
      </c>
      <c r="J3070" s="749">
        <f t="shared" si="772"/>
        <v>0</v>
      </c>
      <c r="K3070" s="739">
        <f t="shared" si="774"/>
        <v>176</v>
      </c>
      <c r="L3070" s="1079"/>
      <c r="M3070" s="752"/>
      <c r="N3070" s="744">
        <f t="shared" si="776"/>
        <v>1</v>
      </c>
      <c r="O3070" s="745">
        <v>0</v>
      </c>
      <c r="P3070" s="737">
        <v>1</v>
      </c>
      <c r="Q3070" s="752"/>
      <c r="R3070" s="752"/>
      <c r="S3070" s="752"/>
    </row>
    <row r="3071" spans="1:19" s="753" customFormat="1" ht="24" customHeight="1">
      <c r="A3071" s="734"/>
      <c r="B3071" s="747" t="s">
        <v>469</v>
      </c>
      <c r="C3071" s="735" t="s">
        <v>482</v>
      </c>
      <c r="D3071" s="735"/>
      <c r="E3071" s="737">
        <f t="shared" si="775"/>
        <v>1</v>
      </c>
      <c r="F3071" s="738" t="s">
        <v>363</v>
      </c>
      <c r="G3071" s="739">
        <v>560</v>
      </c>
      <c r="H3071" s="748">
        <f t="shared" si="773"/>
        <v>560</v>
      </c>
      <c r="I3071" s="741">
        <v>35</v>
      </c>
      <c r="J3071" s="749">
        <f t="shared" si="772"/>
        <v>35</v>
      </c>
      <c r="K3071" s="739">
        <f t="shared" si="774"/>
        <v>595</v>
      </c>
      <c r="L3071" s="1079"/>
      <c r="M3071" s="752"/>
      <c r="N3071" s="744">
        <f t="shared" si="776"/>
        <v>1</v>
      </c>
      <c r="O3071" s="745">
        <v>0</v>
      </c>
      <c r="P3071" s="737">
        <v>1</v>
      </c>
      <c r="Q3071" s="752"/>
      <c r="R3071" s="752"/>
      <c r="S3071" s="752"/>
    </row>
    <row r="3072" spans="1:19" s="753" customFormat="1" ht="24" customHeight="1">
      <c r="A3072" s="734"/>
      <c r="B3072" s="747" t="s">
        <v>469</v>
      </c>
      <c r="C3072" s="735" t="s">
        <v>524</v>
      </c>
      <c r="D3072" s="735"/>
      <c r="E3072" s="737">
        <f t="shared" si="775"/>
        <v>1</v>
      </c>
      <c r="F3072" s="738" t="s">
        <v>363</v>
      </c>
      <c r="G3072" s="739">
        <v>216</v>
      </c>
      <c r="H3072" s="748">
        <f t="shared" si="773"/>
        <v>216</v>
      </c>
      <c r="I3072" s="741">
        <v>35</v>
      </c>
      <c r="J3072" s="749">
        <f t="shared" si="772"/>
        <v>35</v>
      </c>
      <c r="K3072" s="739">
        <f t="shared" si="774"/>
        <v>251</v>
      </c>
      <c r="L3072" s="1079"/>
      <c r="M3072" s="752"/>
      <c r="N3072" s="744">
        <f t="shared" si="776"/>
        <v>1</v>
      </c>
      <c r="O3072" s="745">
        <v>0</v>
      </c>
      <c r="P3072" s="737">
        <v>1</v>
      </c>
      <c r="Q3072" s="752"/>
      <c r="R3072" s="752"/>
      <c r="S3072" s="752"/>
    </row>
    <row r="3073" spans="1:19" s="753" customFormat="1" ht="24" customHeight="1">
      <c r="A3073" s="734"/>
      <c r="B3073" s="747"/>
      <c r="C3073" s="735"/>
      <c r="D3073" s="735"/>
      <c r="E3073" s="737">
        <f t="shared" si="775"/>
        <v>0</v>
      </c>
      <c r="F3073" s="738"/>
      <c r="G3073" s="739">
        <v>0</v>
      </c>
      <c r="H3073" s="748">
        <f t="shared" si="773"/>
        <v>0</v>
      </c>
      <c r="I3073" s="741">
        <v>0</v>
      </c>
      <c r="J3073" s="749">
        <f t="shared" si="772"/>
        <v>0</v>
      </c>
      <c r="K3073" s="739">
        <f t="shared" si="774"/>
        <v>0</v>
      </c>
      <c r="L3073" s="1079"/>
      <c r="M3073" s="752"/>
      <c r="N3073" s="744">
        <f t="shared" si="776"/>
        <v>0</v>
      </c>
      <c r="O3073" s="745">
        <v>0</v>
      </c>
      <c r="P3073" s="737">
        <v>0</v>
      </c>
      <c r="Q3073" s="752"/>
      <c r="R3073" s="752"/>
      <c r="S3073" s="752"/>
    </row>
    <row r="3074" spans="1:19" s="753" customFormat="1" ht="24" customHeight="1">
      <c r="A3074" s="734"/>
      <c r="B3074" s="747" t="s">
        <v>469</v>
      </c>
      <c r="C3074" s="735" t="s">
        <v>486</v>
      </c>
      <c r="D3074" s="735"/>
      <c r="E3074" s="737">
        <f t="shared" si="775"/>
        <v>1</v>
      </c>
      <c r="F3074" s="738" t="s">
        <v>363</v>
      </c>
      <c r="G3074" s="739">
        <v>552</v>
      </c>
      <c r="H3074" s="748">
        <f t="shared" si="773"/>
        <v>552</v>
      </c>
      <c r="I3074" s="741">
        <v>25</v>
      </c>
      <c r="J3074" s="749">
        <f t="shared" si="772"/>
        <v>25</v>
      </c>
      <c r="K3074" s="739">
        <f t="shared" si="774"/>
        <v>577</v>
      </c>
      <c r="L3074" s="1079"/>
      <c r="M3074" s="752"/>
      <c r="N3074" s="744">
        <f t="shared" si="776"/>
        <v>1</v>
      </c>
      <c r="O3074" s="745">
        <v>0</v>
      </c>
      <c r="P3074" s="737">
        <v>1</v>
      </c>
      <c r="Q3074" s="752"/>
      <c r="R3074" s="752"/>
      <c r="S3074" s="752"/>
    </row>
    <row r="3075" spans="1:19" s="753" customFormat="1" ht="24" customHeight="1">
      <c r="A3075" s="734"/>
      <c r="B3075" s="747" t="s">
        <v>484</v>
      </c>
      <c r="C3075" s="735" t="s">
        <v>485</v>
      </c>
      <c r="D3075" s="735"/>
      <c r="E3075" s="737">
        <f t="shared" si="775"/>
        <v>1</v>
      </c>
      <c r="F3075" s="738" t="s">
        <v>363</v>
      </c>
      <c r="G3075" s="739">
        <v>285</v>
      </c>
      <c r="H3075" s="748">
        <f t="shared" si="773"/>
        <v>285</v>
      </c>
      <c r="I3075" s="741">
        <v>75</v>
      </c>
      <c r="J3075" s="749">
        <f t="shared" si="772"/>
        <v>75</v>
      </c>
      <c r="K3075" s="739">
        <f t="shared" si="774"/>
        <v>360</v>
      </c>
      <c r="L3075" s="1093"/>
      <c r="M3075" s="752"/>
      <c r="N3075" s="744">
        <f t="shared" si="776"/>
        <v>1</v>
      </c>
      <c r="O3075" s="745">
        <v>0</v>
      </c>
      <c r="P3075" s="737">
        <v>1</v>
      </c>
      <c r="Q3075" s="752"/>
      <c r="R3075" s="752"/>
      <c r="S3075" s="752"/>
    </row>
    <row r="3076" spans="1:19" s="753" customFormat="1" ht="24" customHeight="1">
      <c r="A3076" s="734"/>
      <c r="B3076" s="747"/>
      <c r="C3076" s="735"/>
      <c r="D3076" s="735"/>
      <c r="E3076" s="737">
        <f t="shared" si="775"/>
        <v>0</v>
      </c>
      <c r="F3076" s="738"/>
      <c r="G3076" s="739">
        <v>0</v>
      </c>
      <c r="H3076" s="748">
        <f t="shared" si="773"/>
        <v>0</v>
      </c>
      <c r="I3076" s="741">
        <v>0</v>
      </c>
      <c r="J3076" s="749">
        <f t="shared" si="772"/>
        <v>0</v>
      </c>
      <c r="K3076" s="739">
        <f t="shared" si="774"/>
        <v>0</v>
      </c>
      <c r="L3076" s="1079"/>
      <c r="M3076" s="752"/>
      <c r="N3076" s="744">
        <f t="shared" si="776"/>
        <v>0</v>
      </c>
      <c r="O3076" s="745">
        <v>0</v>
      </c>
      <c r="P3076" s="737">
        <v>0</v>
      </c>
      <c r="Q3076" s="752"/>
      <c r="R3076" s="752"/>
      <c r="S3076" s="752"/>
    </row>
    <row r="3077" spans="1:19" s="753" customFormat="1" ht="24" customHeight="1">
      <c r="A3077" s="734"/>
      <c r="B3077" s="747" t="s">
        <v>469</v>
      </c>
      <c r="C3077" s="735" t="s">
        <v>507</v>
      </c>
      <c r="D3077" s="735"/>
      <c r="E3077" s="737">
        <f t="shared" si="775"/>
        <v>1</v>
      </c>
      <c r="F3077" s="738" t="s">
        <v>363</v>
      </c>
      <c r="G3077" s="739">
        <v>1650</v>
      </c>
      <c r="H3077" s="748">
        <f t="shared" si="773"/>
        <v>1650</v>
      </c>
      <c r="I3077" s="741">
        <v>70</v>
      </c>
      <c r="J3077" s="749">
        <f t="shared" si="772"/>
        <v>70</v>
      </c>
      <c r="K3077" s="739">
        <f t="shared" si="774"/>
        <v>1720</v>
      </c>
      <c r="L3077" s="1079"/>
      <c r="M3077" s="752"/>
      <c r="N3077" s="744">
        <f t="shared" si="776"/>
        <v>1</v>
      </c>
      <c r="O3077" s="745">
        <v>0</v>
      </c>
      <c r="P3077" s="737">
        <v>1</v>
      </c>
      <c r="Q3077" s="752"/>
      <c r="R3077" s="752"/>
      <c r="S3077" s="752"/>
    </row>
    <row r="3078" spans="1:19" s="753" customFormat="1" ht="24" customHeight="1">
      <c r="A3078" s="734"/>
      <c r="B3078" s="747" t="s">
        <v>469</v>
      </c>
      <c r="C3078" s="735" t="s">
        <v>525</v>
      </c>
      <c r="D3078" s="735"/>
      <c r="E3078" s="737">
        <f t="shared" si="775"/>
        <v>2</v>
      </c>
      <c r="F3078" s="738" t="s">
        <v>363</v>
      </c>
      <c r="G3078" s="739">
        <v>4160</v>
      </c>
      <c r="H3078" s="748">
        <f t="shared" si="773"/>
        <v>8320</v>
      </c>
      <c r="I3078" s="741">
        <v>105</v>
      </c>
      <c r="J3078" s="749">
        <f t="shared" si="772"/>
        <v>210</v>
      </c>
      <c r="K3078" s="739">
        <f t="shared" si="774"/>
        <v>8530</v>
      </c>
      <c r="L3078" s="1079"/>
      <c r="M3078" s="752"/>
      <c r="N3078" s="744">
        <f t="shared" si="776"/>
        <v>2</v>
      </c>
      <c r="O3078" s="745">
        <v>0</v>
      </c>
      <c r="P3078" s="737">
        <v>2</v>
      </c>
      <c r="Q3078" s="752"/>
      <c r="R3078" s="752"/>
      <c r="S3078" s="752"/>
    </row>
    <row r="3079" spans="1:19" s="753" customFormat="1" ht="24" customHeight="1">
      <c r="A3079" s="734"/>
      <c r="B3079" s="747" t="s">
        <v>469</v>
      </c>
      <c r="C3079" s="735" t="s">
        <v>526</v>
      </c>
      <c r="D3079" s="735"/>
      <c r="E3079" s="737">
        <f t="shared" si="775"/>
        <v>1</v>
      </c>
      <c r="F3079" s="738" t="s">
        <v>363</v>
      </c>
      <c r="G3079" s="739">
        <v>2533.5</v>
      </c>
      <c r="H3079" s="748">
        <f t="shared" si="773"/>
        <v>2533.5</v>
      </c>
      <c r="I3079" s="741">
        <v>105</v>
      </c>
      <c r="J3079" s="749">
        <f t="shared" si="772"/>
        <v>105</v>
      </c>
      <c r="K3079" s="739">
        <f t="shared" si="774"/>
        <v>2638.5</v>
      </c>
      <c r="L3079" s="1079"/>
      <c r="M3079" s="752"/>
      <c r="N3079" s="744">
        <f t="shared" si="776"/>
        <v>1</v>
      </c>
      <c r="O3079" s="745">
        <v>0</v>
      </c>
      <c r="P3079" s="737">
        <v>1</v>
      </c>
      <c r="Q3079" s="752"/>
      <c r="R3079" s="752"/>
      <c r="S3079" s="752"/>
    </row>
    <row r="3080" spans="1:19" s="753" customFormat="1" ht="24" customHeight="1">
      <c r="A3080" s="734"/>
      <c r="B3080" s="747" t="s">
        <v>469</v>
      </c>
      <c r="C3080" s="735" t="s">
        <v>527</v>
      </c>
      <c r="D3080" s="735"/>
      <c r="E3080" s="737">
        <f t="shared" si="775"/>
        <v>1</v>
      </c>
      <c r="F3080" s="738" t="s">
        <v>363</v>
      </c>
      <c r="G3080" s="739">
        <v>2855</v>
      </c>
      <c r="H3080" s="748">
        <f t="shared" si="773"/>
        <v>2855</v>
      </c>
      <c r="I3080" s="741">
        <v>1432</v>
      </c>
      <c r="J3080" s="749">
        <f t="shared" si="772"/>
        <v>1432</v>
      </c>
      <c r="K3080" s="739">
        <f t="shared" si="774"/>
        <v>4287</v>
      </c>
      <c r="L3080" s="1079"/>
      <c r="M3080" s="752"/>
      <c r="N3080" s="744">
        <f t="shared" si="776"/>
        <v>1</v>
      </c>
      <c r="O3080" s="745">
        <v>0</v>
      </c>
      <c r="P3080" s="737">
        <v>1</v>
      </c>
      <c r="Q3080" s="752"/>
      <c r="R3080" s="752"/>
      <c r="S3080" s="752"/>
    </row>
    <row r="3081" spans="1:19" s="682" customFormat="1" ht="24" customHeight="1">
      <c r="A3081" s="734"/>
      <c r="B3081" s="747" t="s">
        <v>469</v>
      </c>
      <c r="C3081" s="735" t="s">
        <v>528</v>
      </c>
      <c r="D3081" s="735"/>
      <c r="E3081" s="737">
        <f t="shared" si="775"/>
        <v>0</v>
      </c>
      <c r="F3081" s="738" t="s">
        <v>363</v>
      </c>
      <c r="G3081" s="739">
        <v>9750</v>
      </c>
      <c r="H3081" s="748">
        <f t="shared" si="773"/>
        <v>0</v>
      </c>
      <c r="I3081" s="741">
        <v>105</v>
      </c>
      <c r="J3081" s="749">
        <f t="shared" si="772"/>
        <v>0</v>
      </c>
      <c r="K3081" s="739">
        <f t="shared" si="774"/>
        <v>0</v>
      </c>
      <c r="L3081" s="1079"/>
      <c r="M3081" s="679"/>
      <c r="N3081" s="744">
        <f t="shared" si="776"/>
        <v>0</v>
      </c>
      <c r="O3081" s="745">
        <v>0</v>
      </c>
      <c r="P3081" s="737">
        <v>0</v>
      </c>
      <c r="Q3081" s="679"/>
      <c r="R3081" s="679"/>
      <c r="S3081" s="679"/>
    </row>
    <row r="3082" spans="1:19" s="682" customFormat="1" ht="24" customHeight="1">
      <c r="A3082" s="734"/>
      <c r="B3082" s="747" t="s">
        <v>469</v>
      </c>
      <c r="C3082" s="735" t="s">
        <v>529</v>
      </c>
      <c r="D3082" s="735"/>
      <c r="E3082" s="737">
        <f t="shared" si="775"/>
        <v>0</v>
      </c>
      <c r="F3082" s="738" t="s">
        <v>363</v>
      </c>
      <c r="G3082" s="739">
        <v>5200</v>
      </c>
      <c r="H3082" s="748">
        <f t="shared" si="773"/>
        <v>0</v>
      </c>
      <c r="I3082" s="741">
        <v>70</v>
      </c>
      <c r="J3082" s="749">
        <f t="shared" si="772"/>
        <v>0</v>
      </c>
      <c r="K3082" s="739">
        <f t="shared" si="774"/>
        <v>0</v>
      </c>
      <c r="L3082" s="1079"/>
      <c r="M3082" s="679"/>
      <c r="N3082" s="744">
        <f t="shared" si="776"/>
        <v>0</v>
      </c>
      <c r="O3082" s="745">
        <v>0</v>
      </c>
      <c r="P3082" s="737">
        <v>0</v>
      </c>
      <c r="Q3082" s="679"/>
      <c r="R3082" s="679"/>
      <c r="S3082" s="679"/>
    </row>
    <row r="3083" spans="1:19" s="682" customFormat="1" ht="24" customHeight="1">
      <c r="A3083" s="734"/>
      <c r="B3083" s="747" t="s">
        <v>469</v>
      </c>
      <c r="C3083" s="735" t="s">
        <v>519</v>
      </c>
      <c r="D3083" s="735"/>
      <c r="E3083" s="737">
        <f t="shared" si="775"/>
        <v>1</v>
      </c>
      <c r="F3083" s="738" t="s">
        <v>363</v>
      </c>
      <c r="G3083" s="739">
        <v>800</v>
      </c>
      <c r="H3083" s="748">
        <f t="shared" si="773"/>
        <v>800</v>
      </c>
      <c r="I3083" s="741">
        <v>70</v>
      </c>
      <c r="J3083" s="749">
        <f t="shared" si="772"/>
        <v>70</v>
      </c>
      <c r="K3083" s="739">
        <f t="shared" si="774"/>
        <v>870</v>
      </c>
      <c r="L3083" s="1079"/>
      <c r="M3083" s="679"/>
      <c r="N3083" s="744">
        <f t="shared" si="776"/>
        <v>1</v>
      </c>
      <c r="O3083" s="745">
        <v>0</v>
      </c>
      <c r="P3083" s="737">
        <v>1</v>
      </c>
      <c r="Q3083" s="679"/>
      <c r="R3083" s="679"/>
      <c r="S3083" s="679"/>
    </row>
    <row r="3084" spans="1:19" s="682" customFormat="1" ht="24" customHeight="1">
      <c r="A3084" s="734"/>
      <c r="B3084" s="747" t="s">
        <v>469</v>
      </c>
      <c r="C3084" s="735" t="s">
        <v>520</v>
      </c>
      <c r="D3084" s="735"/>
      <c r="E3084" s="737">
        <f t="shared" si="775"/>
        <v>0</v>
      </c>
      <c r="F3084" s="738" t="s">
        <v>361</v>
      </c>
      <c r="G3084" s="739">
        <v>190</v>
      </c>
      <c r="H3084" s="748">
        <f t="shared" si="773"/>
        <v>0</v>
      </c>
      <c r="I3084" s="741">
        <v>75</v>
      </c>
      <c r="J3084" s="749">
        <f t="shared" si="772"/>
        <v>0</v>
      </c>
      <c r="K3084" s="739">
        <f t="shared" si="774"/>
        <v>0</v>
      </c>
      <c r="L3084" s="1079"/>
      <c r="M3084" s="679"/>
      <c r="N3084" s="744">
        <f t="shared" si="776"/>
        <v>0</v>
      </c>
      <c r="O3084" s="745">
        <v>0</v>
      </c>
      <c r="P3084" s="737">
        <v>0</v>
      </c>
      <c r="Q3084" s="679"/>
      <c r="R3084" s="679"/>
      <c r="S3084" s="679"/>
    </row>
    <row r="3085" spans="1:19" s="753" customFormat="1" ht="24" customHeight="1">
      <c r="A3085" s="734"/>
      <c r="B3085" s="747"/>
      <c r="C3085" s="735"/>
      <c r="D3085" s="735"/>
      <c r="E3085" s="737">
        <f t="shared" si="775"/>
        <v>0</v>
      </c>
      <c r="F3085" s="738"/>
      <c r="G3085" s="739">
        <v>0</v>
      </c>
      <c r="H3085" s="748">
        <f t="shared" si="773"/>
        <v>0</v>
      </c>
      <c r="I3085" s="741">
        <v>0</v>
      </c>
      <c r="J3085" s="749">
        <f t="shared" si="772"/>
        <v>0</v>
      </c>
      <c r="K3085" s="739">
        <f t="shared" si="774"/>
        <v>0</v>
      </c>
      <c r="L3085" s="1079"/>
      <c r="M3085" s="752"/>
      <c r="N3085" s="758">
        <f t="shared" si="776"/>
        <v>0</v>
      </c>
      <c r="O3085" s="745">
        <v>0</v>
      </c>
      <c r="P3085" s="759"/>
      <c r="Q3085" s="752"/>
      <c r="R3085" s="752"/>
      <c r="S3085" s="752"/>
    </row>
    <row r="3086" spans="1:19" s="753" customFormat="1" ht="24" customHeight="1">
      <c r="A3086" s="734"/>
      <c r="B3086" s="735" t="s">
        <v>1075</v>
      </c>
      <c r="C3086" s="736"/>
      <c r="D3086" s="907"/>
      <c r="E3086" s="737">
        <f t="shared" si="775"/>
        <v>0</v>
      </c>
      <c r="F3086" s="738"/>
      <c r="G3086" s="739">
        <v>0</v>
      </c>
      <c r="H3086" s="748">
        <f t="shared" ref="H3086:H3152" si="777">SUM(E3086*G3086)</f>
        <v>0</v>
      </c>
      <c r="I3086" s="741">
        <v>0</v>
      </c>
      <c r="J3086" s="749">
        <f t="shared" ref="J3086:J3152" si="778">SUM(E3086*I3086)</f>
        <v>0</v>
      </c>
      <c r="K3086" s="739">
        <f t="shared" si="774"/>
        <v>0</v>
      </c>
      <c r="L3086" s="1079"/>
      <c r="M3086" s="752"/>
      <c r="N3086" s="744">
        <f t="shared" si="776"/>
        <v>0</v>
      </c>
      <c r="O3086" s="745">
        <v>0</v>
      </c>
      <c r="P3086" s="737">
        <v>0</v>
      </c>
      <c r="Q3086" s="752"/>
      <c r="R3086" s="752"/>
      <c r="S3086" s="752"/>
    </row>
    <row r="3087" spans="1:19" s="753" customFormat="1" ht="24" customHeight="1">
      <c r="A3087" s="734"/>
      <c r="B3087" s="747" t="s">
        <v>469</v>
      </c>
      <c r="C3087" s="735" t="s">
        <v>497</v>
      </c>
      <c r="D3087" s="735"/>
      <c r="E3087" s="737">
        <f t="shared" si="775"/>
        <v>4</v>
      </c>
      <c r="F3087" s="738" t="s">
        <v>363</v>
      </c>
      <c r="G3087" s="739">
        <v>1540</v>
      </c>
      <c r="H3087" s="748">
        <f t="shared" si="777"/>
        <v>6160</v>
      </c>
      <c r="I3087" s="741">
        <v>450</v>
      </c>
      <c r="J3087" s="749">
        <f t="shared" si="778"/>
        <v>1800</v>
      </c>
      <c r="K3087" s="739">
        <f t="shared" si="774"/>
        <v>7960</v>
      </c>
      <c r="L3087" s="1079"/>
      <c r="M3087" s="752"/>
      <c r="N3087" s="744">
        <f t="shared" si="776"/>
        <v>4</v>
      </c>
      <c r="O3087" s="745">
        <v>0</v>
      </c>
      <c r="P3087" s="737">
        <v>4</v>
      </c>
      <c r="Q3087" s="752"/>
      <c r="R3087" s="752"/>
      <c r="S3087" s="752"/>
    </row>
    <row r="3088" spans="1:19" s="753" customFormat="1" ht="24" customHeight="1">
      <c r="A3088" s="734"/>
      <c r="B3088" s="747" t="s">
        <v>469</v>
      </c>
      <c r="C3088" s="735" t="s">
        <v>498</v>
      </c>
      <c r="D3088" s="735"/>
      <c r="E3088" s="737">
        <f t="shared" si="775"/>
        <v>4</v>
      </c>
      <c r="F3088" s="738" t="s">
        <v>363</v>
      </c>
      <c r="G3088" s="739">
        <v>6640</v>
      </c>
      <c r="H3088" s="748">
        <f t="shared" si="777"/>
        <v>26560</v>
      </c>
      <c r="I3088" s="741">
        <v>200</v>
      </c>
      <c r="J3088" s="749">
        <f t="shared" si="778"/>
        <v>800</v>
      </c>
      <c r="K3088" s="739">
        <f t="shared" si="774"/>
        <v>27360</v>
      </c>
      <c r="L3088" s="1079"/>
      <c r="M3088" s="752"/>
      <c r="N3088" s="744">
        <f t="shared" si="776"/>
        <v>4</v>
      </c>
      <c r="O3088" s="745">
        <v>0</v>
      </c>
      <c r="P3088" s="737">
        <v>4</v>
      </c>
      <c r="Q3088" s="752"/>
      <c r="R3088" s="752"/>
      <c r="S3088" s="752"/>
    </row>
    <row r="3089" spans="1:19" s="753" customFormat="1" ht="24" customHeight="1">
      <c r="A3089" s="734"/>
      <c r="B3089" s="747" t="s">
        <v>469</v>
      </c>
      <c r="C3089" s="735" t="s">
        <v>496</v>
      </c>
      <c r="D3089" s="735"/>
      <c r="E3089" s="737">
        <f t="shared" si="775"/>
        <v>4</v>
      </c>
      <c r="F3089" s="738" t="s">
        <v>363</v>
      </c>
      <c r="G3089" s="739">
        <v>336</v>
      </c>
      <c r="H3089" s="748">
        <f t="shared" si="777"/>
        <v>1344</v>
      </c>
      <c r="I3089" s="741">
        <v>0</v>
      </c>
      <c r="J3089" s="749">
        <f t="shared" si="778"/>
        <v>0</v>
      </c>
      <c r="K3089" s="739">
        <f t="shared" si="774"/>
        <v>1344</v>
      </c>
      <c r="L3089" s="1079"/>
      <c r="M3089" s="752"/>
      <c r="N3089" s="744">
        <f t="shared" si="776"/>
        <v>4</v>
      </c>
      <c r="O3089" s="745">
        <v>0</v>
      </c>
      <c r="P3089" s="737">
        <v>4</v>
      </c>
      <c r="Q3089" s="752"/>
      <c r="R3089" s="752"/>
      <c r="S3089" s="752"/>
    </row>
    <row r="3090" spans="1:19" s="753" customFormat="1" ht="24" customHeight="1">
      <c r="A3090" s="734"/>
      <c r="B3090" s="747" t="s">
        <v>469</v>
      </c>
      <c r="C3090" s="735" t="s">
        <v>490</v>
      </c>
      <c r="D3090" s="735"/>
      <c r="E3090" s="737">
        <f t="shared" si="775"/>
        <v>4</v>
      </c>
      <c r="F3090" s="738" t="s">
        <v>363</v>
      </c>
      <c r="G3090" s="739">
        <v>736</v>
      </c>
      <c r="H3090" s="748">
        <f t="shared" si="777"/>
        <v>2944</v>
      </c>
      <c r="I3090" s="741">
        <v>0</v>
      </c>
      <c r="J3090" s="749">
        <f t="shared" si="778"/>
        <v>0</v>
      </c>
      <c r="K3090" s="739">
        <f t="shared" si="774"/>
        <v>2944</v>
      </c>
      <c r="L3090" s="1079"/>
      <c r="M3090" s="752"/>
      <c r="N3090" s="744">
        <f t="shared" si="776"/>
        <v>4</v>
      </c>
      <c r="O3090" s="745">
        <v>0</v>
      </c>
      <c r="P3090" s="737">
        <v>4</v>
      </c>
      <c r="Q3090" s="752"/>
      <c r="R3090" s="752"/>
      <c r="S3090" s="752"/>
    </row>
    <row r="3091" spans="1:19" s="753" customFormat="1" ht="24" customHeight="1">
      <c r="A3091" s="734"/>
      <c r="B3091" s="747" t="s">
        <v>469</v>
      </c>
      <c r="C3091" s="735" t="s">
        <v>478</v>
      </c>
      <c r="D3091" s="735"/>
      <c r="E3091" s="737">
        <f t="shared" si="775"/>
        <v>4</v>
      </c>
      <c r="F3091" s="738" t="s">
        <v>363</v>
      </c>
      <c r="G3091" s="739">
        <v>176</v>
      </c>
      <c r="H3091" s="748">
        <f t="shared" si="777"/>
        <v>704</v>
      </c>
      <c r="I3091" s="741">
        <v>0</v>
      </c>
      <c r="J3091" s="749">
        <f t="shared" si="778"/>
        <v>0</v>
      </c>
      <c r="K3091" s="739">
        <f t="shared" si="774"/>
        <v>704</v>
      </c>
      <c r="L3091" s="1079"/>
      <c r="M3091" s="752"/>
      <c r="N3091" s="744">
        <f t="shared" si="776"/>
        <v>4</v>
      </c>
      <c r="O3091" s="745">
        <v>0</v>
      </c>
      <c r="P3091" s="737">
        <v>4</v>
      </c>
      <c r="Q3091" s="752"/>
      <c r="R3091" s="752"/>
      <c r="S3091" s="752"/>
    </row>
    <row r="3092" spans="1:19" s="753" customFormat="1" ht="24" customHeight="1">
      <c r="A3092" s="734"/>
      <c r="B3092" s="747" t="s">
        <v>469</v>
      </c>
      <c r="C3092" s="735" t="s">
        <v>499</v>
      </c>
      <c r="D3092" s="735"/>
      <c r="E3092" s="737">
        <f t="shared" si="775"/>
        <v>4</v>
      </c>
      <c r="F3092" s="738" t="s">
        <v>363</v>
      </c>
      <c r="G3092" s="739">
        <v>216</v>
      </c>
      <c r="H3092" s="748">
        <f t="shared" si="777"/>
        <v>864</v>
      </c>
      <c r="I3092" s="741">
        <v>35</v>
      </c>
      <c r="J3092" s="749">
        <f t="shared" si="778"/>
        <v>140</v>
      </c>
      <c r="K3092" s="739">
        <f t="shared" si="774"/>
        <v>1004</v>
      </c>
      <c r="L3092" s="1079"/>
      <c r="M3092" s="752"/>
      <c r="N3092" s="744">
        <f t="shared" si="776"/>
        <v>4</v>
      </c>
      <c r="O3092" s="745">
        <v>0</v>
      </c>
      <c r="P3092" s="737">
        <v>4</v>
      </c>
      <c r="Q3092" s="752"/>
      <c r="R3092" s="752"/>
      <c r="S3092" s="752"/>
    </row>
    <row r="3093" spans="1:19" s="753" customFormat="1" ht="24" customHeight="1">
      <c r="A3093" s="734"/>
      <c r="B3093" s="750"/>
      <c r="C3093" s="736"/>
      <c r="D3093" s="907"/>
      <c r="E3093" s="737">
        <f t="shared" si="775"/>
        <v>0</v>
      </c>
      <c r="F3093" s="738"/>
      <c r="G3093" s="739">
        <v>0</v>
      </c>
      <c r="H3093" s="748">
        <f t="shared" si="777"/>
        <v>0</v>
      </c>
      <c r="I3093" s="741">
        <v>0</v>
      </c>
      <c r="J3093" s="749">
        <f t="shared" si="778"/>
        <v>0</v>
      </c>
      <c r="K3093" s="739">
        <f t="shared" si="774"/>
        <v>0</v>
      </c>
      <c r="L3093" s="1079"/>
      <c r="M3093" s="752"/>
      <c r="N3093" s="744">
        <f t="shared" si="776"/>
        <v>0</v>
      </c>
      <c r="O3093" s="745">
        <v>0</v>
      </c>
      <c r="P3093" s="737">
        <v>0</v>
      </c>
      <c r="Q3093" s="752"/>
      <c r="R3093" s="752"/>
      <c r="S3093" s="752"/>
    </row>
    <row r="3094" spans="1:19" s="753" customFormat="1" ht="24" customHeight="1">
      <c r="A3094" s="734"/>
      <c r="B3094" s="747" t="s">
        <v>469</v>
      </c>
      <c r="C3094" s="735" t="s">
        <v>492</v>
      </c>
      <c r="D3094" s="735"/>
      <c r="E3094" s="737">
        <f t="shared" si="775"/>
        <v>5</v>
      </c>
      <c r="F3094" s="738" t="s">
        <v>363</v>
      </c>
      <c r="G3094" s="739">
        <v>9375</v>
      </c>
      <c r="H3094" s="748">
        <f t="shared" si="777"/>
        <v>46875</v>
      </c>
      <c r="I3094" s="741">
        <v>450</v>
      </c>
      <c r="J3094" s="749">
        <f t="shared" si="778"/>
        <v>2250</v>
      </c>
      <c r="K3094" s="739">
        <f t="shared" si="774"/>
        <v>49125</v>
      </c>
      <c r="L3094" s="1079"/>
      <c r="M3094" s="752"/>
      <c r="N3094" s="744">
        <f t="shared" si="776"/>
        <v>5</v>
      </c>
      <c r="O3094" s="745">
        <v>0</v>
      </c>
      <c r="P3094" s="737">
        <v>5</v>
      </c>
      <c r="Q3094" s="752"/>
      <c r="R3094" s="752"/>
      <c r="S3094" s="752"/>
    </row>
    <row r="3095" spans="1:19" s="753" customFormat="1" ht="24" customHeight="1">
      <c r="A3095" s="734"/>
      <c r="B3095" s="747" t="s">
        <v>469</v>
      </c>
      <c r="C3095" s="735" t="s">
        <v>500</v>
      </c>
      <c r="D3095" s="735"/>
      <c r="E3095" s="737">
        <f t="shared" si="775"/>
        <v>5</v>
      </c>
      <c r="F3095" s="738" t="s">
        <v>363</v>
      </c>
      <c r="G3095" s="739">
        <v>12752</v>
      </c>
      <c r="H3095" s="748">
        <f t="shared" si="777"/>
        <v>63760</v>
      </c>
      <c r="I3095" s="741">
        <v>0</v>
      </c>
      <c r="J3095" s="749">
        <f t="shared" si="778"/>
        <v>0</v>
      </c>
      <c r="K3095" s="739">
        <f t="shared" si="774"/>
        <v>63760</v>
      </c>
      <c r="L3095" s="1079"/>
      <c r="M3095" s="752"/>
      <c r="N3095" s="744">
        <f t="shared" si="776"/>
        <v>5</v>
      </c>
      <c r="O3095" s="745">
        <v>0</v>
      </c>
      <c r="P3095" s="737">
        <v>5</v>
      </c>
      <c r="Q3095" s="752"/>
      <c r="R3095" s="752"/>
      <c r="S3095" s="752"/>
    </row>
    <row r="3096" spans="1:19" s="753" customFormat="1" ht="24" customHeight="1">
      <c r="A3096" s="734"/>
      <c r="B3096" s="747" t="s">
        <v>469</v>
      </c>
      <c r="C3096" s="735" t="s">
        <v>501</v>
      </c>
      <c r="D3096" s="735"/>
      <c r="E3096" s="737">
        <v>0</v>
      </c>
      <c r="F3096" s="738" t="s">
        <v>363</v>
      </c>
      <c r="G3096" s="739">
        <v>1950</v>
      </c>
      <c r="H3096" s="748">
        <f t="shared" si="777"/>
        <v>0</v>
      </c>
      <c r="I3096" s="741">
        <v>35</v>
      </c>
      <c r="J3096" s="749">
        <f t="shared" si="778"/>
        <v>0</v>
      </c>
      <c r="K3096" s="739">
        <f t="shared" si="774"/>
        <v>0</v>
      </c>
      <c r="L3096" s="1079"/>
      <c r="M3096" s="752"/>
      <c r="N3096" s="744">
        <f t="shared" si="776"/>
        <v>5</v>
      </c>
      <c r="O3096" s="745">
        <v>0</v>
      </c>
      <c r="P3096" s="737">
        <v>5</v>
      </c>
      <c r="Q3096" s="752"/>
      <c r="R3096" s="752"/>
      <c r="S3096" s="752"/>
    </row>
    <row r="3097" spans="1:19" s="753" customFormat="1" ht="24" customHeight="1">
      <c r="A3097" s="734"/>
      <c r="B3097" s="747" t="s">
        <v>469</v>
      </c>
      <c r="C3097" s="735" t="s">
        <v>502</v>
      </c>
      <c r="D3097" s="735"/>
      <c r="E3097" s="737">
        <f t="shared" si="775"/>
        <v>5</v>
      </c>
      <c r="F3097" s="738" t="s">
        <v>363</v>
      </c>
      <c r="G3097" s="739">
        <v>216</v>
      </c>
      <c r="H3097" s="748">
        <f t="shared" si="777"/>
        <v>1080</v>
      </c>
      <c r="I3097" s="741">
        <v>35</v>
      </c>
      <c r="J3097" s="749">
        <f t="shared" si="778"/>
        <v>175</v>
      </c>
      <c r="K3097" s="739">
        <f t="shared" si="774"/>
        <v>1255</v>
      </c>
      <c r="L3097" s="1079"/>
      <c r="M3097" s="752"/>
      <c r="N3097" s="744">
        <f t="shared" si="776"/>
        <v>5</v>
      </c>
      <c r="O3097" s="745">
        <v>0</v>
      </c>
      <c r="P3097" s="737">
        <v>5</v>
      </c>
      <c r="Q3097" s="752"/>
      <c r="R3097" s="752"/>
      <c r="S3097" s="752"/>
    </row>
    <row r="3098" spans="1:19" s="753" customFormat="1" ht="24" customHeight="1">
      <c r="A3098" s="734"/>
      <c r="B3098" s="747" t="s">
        <v>469</v>
      </c>
      <c r="C3098" s="735" t="s">
        <v>503</v>
      </c>
      <c r="D3098" s="735"/>
      <c r="E3098" s="737">
        <f t="shared" si="775"/>
        <v>8</v>
      </c>
      <c r="F3098" s="738" t="s">
        <v>363</v>
      </c>
      <c r="G3098" s="739">
        <v>3920</v>
      </c>
      <c r="H3098" s="748">
        <f t="shared" si="777"/>
        <v>31360</v>
      </c>
      <c r="I3098" s="741">
        <v>450</v>
      </c>
      <c r="J3098" s="749">
        <f t="shared" si="778"/>
        <v>3600</v>
      </c>
      <c r="K3098" s="739">
        <f t="shared" si="774"/>
        <v>34960</v>
      </c>
      <c r="L3098" s="1079"/>
      <c r="M3098" s="752"/>
      <c r="N3098" s="744">
        <f t="shared" si="776"/>
        <v>8</v>
      </c>
      <c r="O3098" s="745">
        <v>0</v>
      </c>
      <c r="P3098" s="737">
        <v>8</v>
      </c>
      <c r="Q3098" s="752"/>
      <c r="R3098" s="752"/>
      <c r="S3098" s="752"/>
    </row>
    <row r="3099" spans="1:19" s="753" customFormat="1" ht="24" customHeight="1">
      <c r="A3099" s="734"/>
      <c r="B3099" s="747" t="s">
        <v>469</v>
      </c>
      <c r="C3099" s="735" t="s">
        <v>504</v>
      </c>
      <c r="D3099" s="735"/>
      <c r="E3099" s="737">
        <f t="shared" si="775"/>
        <v>8</v>
      </c>
      <c r="F3099" s="738" t="s">
        <v>363</v>
      </c>
      <c r="G3099" s="739">
        <v>12752</v>
      </c>
      <c r="H3099" s="748">
        <f t="shared" si="777"/>
        <v>102016</v>
      </c>
      <c r="I3099" s="741">
        <v>0</v>
      </c>
      <c r="J3099" s="749">
        <f t="shared" si="778"/>
        <v>0</v>
      </c>
      <c r="K3099" s="739">
        <f t="shared" si="774"/>
        <v>102016</v>
      </c>
      <c r="L3099" s="1079"/>
      <c r="M3099" s="752"/>
      <c r="N3099" s="744">
        <f t="shared" si="776"/>
        <v>8</v>
      </c>
      <c r="O3099" s="745">
        <v>0</v>
      </c>
      <c r="P3099" s="737">
        <v>8</v>
      </c>
      <c r="Q3099" s="752"/>
      <c r="R3099" s="752"/>
      <c r="S3099" s="752"/>
    </row>
    <row r="3100" spans="1:19" s="682" customFormat="1" ht="24" customHeight="1">
      <c r="A3100" s="734"/>
      <c r="B3100" s="747" t="s">
        <v>469</v>
      </c>
      <c r="C3100" s="735" t="s">
        <v>505</v>
      </c>
      <c r="D3100" s="735"/>
      <c r="E3100" s="737">
        <f t="shared" si="775"/>
        <v>6</v>
      </c>
      <c r="F3100" s="738" t="s">
        <v>363</v>
      </c>
      <c r="G3100" s="739">
        <v>2280</v>
      </c>
      <c r="H3100" s="748">
        <f t="shared" si="777"/>
        <v>13680</v>
      </c>
      <c r="I3100" s="741">
        <v>300</v>
      </c>
      <c r="J3100" s="749">
        <f t="shared" si="778"/>
        <v>1800</v>
      </c>
      <c r="K3100" s="739">
        <f t="shared" si="774"/>
        <v>15480</v>
      </c>
      <c r="L3100" s="1079"/>
      <c r="M3100" s="679"/>
      <c r="N3100" s="744">
        <f t="shared" si="776"/>
        <v>6</v>
      </c>
      <c r="O3100" s="745">
        <v>0</v>
      </c>
      <c r="P3100" s="737">
        <v>6</v>
      </c>
      <c r="Q3100" s="679"/>
      <c r="R3100" s="679"/>
      <c r="S3100" s="679"/>
    </row>
    <row r="3101" spans="1:19" s="682" customFormat="1" ht="24" customHeight="1">
      <c r="A3101" s="734"/>
      <c r="B3101" s="747" t="s">
        <v>469</v>
      </c>
      <c r="C3101" s="735" t="s">
        <v>506</v>
      </c>
      <c r="D3101" s="735"/>
      <c r="E3101" s="737">
        <f t="shared" si="775"/>
        <v>0</v>
      </c>
      <c r="F3101" s="738" t="s">
        <v>363</v>
      </c>
      <c r="G3101" s="739">
        <v>6592</v>
      </c>
      <c r="H3101" s="748">
        <f t="shared" si="777"/>
        <v>0</v>
      </c>
      <c r="I3101" s="741">
        <v>140</v>
      </c>
      <c r="J3101" s="749">
        <f t="shared" si="778"/>
        <v>0</v>
      </c>
      <c r="K3101" s="739">
        <f t="shared" si="774"/>
        <v>0</v>
      </c>
      <c r="L3101" s="1079"/>
      <c r="M3101" s="679"/>
      <c r="N3101" s="744">
        <f t="shared" si="776"/>
        <v>0</v>
      </c>
      <c r="O3101" s="745">
        <v>0</v>
      </c>
      <c r="P3101" s="737">
        <v>0</v>
      </c>
      <c r="Q3101" s="679"/>
      <c r="R3101" s="679"/>
      <c r="S3101" s="679"/>
    </row>
    <row r="3102" spans="1:19" s="753" customFormat="1" ht="24" customHeight="1">
      <c r="A3102" s="734"/>
      <c r="B3102" s="747" t="s">
        <v>484</v>
      </c>
      <c r="C3102" s="735" t="s">
        <v>485</v>
      </c>
      <c r="D3102" s="735"/>
      <c r="E3102" s="737">
        <f t="shared" si="775"/>
        <v>7</v>
      </c>
      <c r="F3102" s="738" t="s">
        <v>363</v>
      </c>
      <c r="G3102" s="739">
        <v>285</v>
      </c>
      <c r="H3102" s="748">
        <f t="shared" si="777"/>
        <v>1995</v>
      </c>
      <c r="I3102" s="741">
        <v>75</v>
      </c>
      <c r="J3102" s="749">
        <f t="shared" si="778"/>
        <v>525</v>
      </c>
      <c r="K3102" s="739">
        <f t="shared" si="774"/>
        <v>2520</v>
      </c>
      <c r="L3102" s="1093"/>
      <c r="M3102" s="752"/>
      <c r="N3102" s="744">
        <f t="shared" si="776"/>
        <v>7</v>
      </c>
      <c r="O3102" s="745">
        <v>0</v>
      </c>
      <c r="P3102" s="737">
        <v>7</v>
      </c>
      <c r="Q3102" s="752"/>
      <c r="R3102" s="752"/>
      <c r="S3102" s="752"/>
    </row>
    <row r="3103" spans="1:19" s="753" customFormat="1" ht="24" customHeight="1">
      <c r="A3103" s="734"/>
      <c r="B3103" s="747" t="s">
        <v>469</v>
      </c>
      <c r="C3103" s="735" t="s">
        <v>486</v>
      </c>
      <c r="D3103" s="735"/>
      <c r="E3103" s="737">
        <f t="shared" si="775"/>
        <v>1</v>
      </c>
      <c r="F3103" s="738" t="s">
        <v>363</v>
      </c>
      <c r="G3103" s="739">
        <v>552</v>
      </c>
      <c r="H3103" s="748">
        <f t="shared" si="777"/>
        <v>552</v>
      </c>
      <c r="I3103" s="741">
        <v>25</v>
      </c>
      <c r="J3103" s="749">
        <f t="shared" si="778"/>
        <v>25</v>
      </c>
      <c r="K3103" s="739">
        <f t="shared" si="774"/>
        <v>577</v>
      </c>
      <c r="L3103" s="1079"/>
      <c r="M3103" s="752"/>
      <c r="N3103" s="744">
        <f t="shared" si="776"/>
        <v>1</v>
      </c>
      <c r="O3103" s="745">
        <v>0</v>
      </c>
      <c r="P3103" s="737">
        <v>1</v>
      </c>
      <c r="Q3103" s="752"/>
      <c r="R3103" s="752"/>
      <c r="S3103" s="752"/>
    </row>
    <row r="3104" spans="1:19" s="753" customFormat="1" ht="24" customHeight="1">
      <c r="A3104" s="734"/>
      <c r="B3104" s="747" t="s">
        <v>469</v>
      </c>
      <c r="C3104" s="735" t="s">
        <v>507</v>
      </c>
      <c r="D3104" s="735"/>
      <c r="E3104" s="737">
        <f t="shared" si="775"/>
        <v>1</v>
      </c>
      <c r="F3104" s="738" t="s">
        <v>363</v>
      </c>
      <c r="G3104" s="739">
        <v>1650</v>
      </c>
      <c r="H3104" s="748">
        <f t="shared" si="777"/>
        <v>1650</v>
      </c>
      <c r="I3104" s="741">
        <v>70</v>
      </c>
      <c r="J3104" s="749">
        <f t="shared" si="778"/>
        <v>70</v>
      </c>
      <c r="K3104" s="739">
        <f t="shared" si="774"/>
        <v>1720</v>
      </c>
      <c r="L3104" s="1079"/>
      <c r="M3104" s="752"/>
      <c r="N3104" s="744">
        <f t="shared" si="776"/>
        <v>1</v>
      </c>
      <c r="O3104" s="745">
        <v>0</v>
      </c>
      <c r="P3104" s="737">
        <v>1</v>
      </c>
      <c r="Q3104" s="752"/>
      <c r="R3104" s="752"/>
      <c r="S3104" s="752"/>
    </row>
    <row r="3105" spans="1:19" s="753" customFormat="1" ht="24" customHeight="1">
      <c r="A3105" s="734"/>
      <c r="B3105" s="747" t="s">
        <v>469</v>
      </c>
      <c r="C3105" s="735" t="s">
        <v>508</v>
      </c>
      <c r="D3105" s="735"/>
      <c r="E3105" s="737">
        <f t="shared" si="775"/>
        <v>5</v>
      </c>
      <c r="F3105" s="738" t="s">
        <v>363</v>
      </c>
      <c r="G3105" s="739">
        <v>13500</v>
      </c>
      <c r="H3105" s="748">
        <f t="shared" si="777"/>
        <v>67500</v>
      </c>
      <c r="I3105" s="741">
        <v>750</v>
      </c>
      <c r="J3105" s="749">
        <f t="shared" si="778"/>
        <v>3750</v>
      </c>
      <c r="K3105" s="739">
        <f t="shared" si="774"/>
        <v>71250</v>
      </c>
      <c r="L3105" s="1079"/>
      <c r="M3105" s="752"/>
      <c r="N3105" s="744">
        <f t="shared" si="776"/>
        <v>5</v>
      </c>
      <c r="O3105" s="745">
        <v>0</v>
      </c>
      <c r="P3105" s="737">
        <v>5</v>
      </c>
      <c r="Q3105" s="752"/>
      <c r="R3105" s="752"/>
      <c r="S3105" s="752"/>
    </row>
    <row r="3106" spans="1:19" s="682" customFormat="1" ht="24" customHeight="1">
      <c r="A3106" s="734"/>
      <c r="B3106" s="747" t="s">
        <v>469</v>
      </c>
      <c r="C3106" s="735" t="s">
        <v>509</v>
      </c>
      <c r="D3106" s="735"/>
      <c r="E3106" s="737">
        <f t="shared" si="775"/>
        <v>1</v>
      </c>
      <c r="F3106" s="738" t="s">
        <v>363</v>
      </c>
      <c r="G3106" s="739">
        <v>14476</v>
      </c>
      <c r="H3106" s="748">
        <f t="shared" si="777"/>
        <v>14476</v>
      </c>
      <c r="I3106" s="741">
        <v>5367</v>
      </c>
      <c r="J3106" s="749">
        <f t="shared" si="778"/>
        <v>5367</v>
      </c>
      <c r="K3106" s="739">
        <f t="shared" si="774"/>
        <v>19843</v>
      </c>
      <c r="L3106" s="1079"/>
      <c r="M3106" s="679"/>
      <c r="N3106" s="744">
        <f t="shared" si="776"/>
        <v>1</v>
      </c>
      <c r="O3106" s="745">
        <v>0</v>
      </c>
      <c r="P3106" s="737">
        <v>1</v>
      </c>
      <c r="Q3106" s="679"/>
      <c r="R3106" s="679"/>
      <c r="S3106" s="679"/>
    </row>
    <row r="3107" spans="1:19" s="753" customFormat="1" ht="24" customHeight="1">
      <c r="A3107" s="734"/>
      <c r="B3107" s="747" t="s">
        <v>469</v>
      </c>
      <c r="C3107" s="735" t="s">
        <v>510</v>
      </c>
      <c r="D3107" s="735"/>
      <c r="E3107" s="737">
        <f t="shared" si="775"/>
        <v>4.1500000000000004</v>
      </c>
      <c r="F3107" s="738" t="s">
        <v>361</v>
      </c>
      <c r="G3107" s="739">
        <v>2694</v>
      </c>
      <c r="H3107" s="748">
        <f t="shared" si="777"/>
        <v>11180.1</v>
      </c>
      <c r="I3107" s="741">
        <v>1288</v>
      </c>
      <c r="J3107" s="749">
        <f t="shared" si="778"/>
        <v>5345.2000000000007</v>
      </c>
      <c r="K3107" s="739">
        <f t="shared" si="774"/>
        <v>16525.300000000003</v>
      </c>
      <c r="L3107" s="1079"/>
      <c r="M3107" s="752"/>
      <c r="N3107" s="744">
        <f t="shared" si="776"/>
        <v>4.1500000000000004</v>
      </c>
      <c r="O3107" s="745">
        <v>0</v>
      </c>
      <c r="P3107" s="737">
        <v>4.1500000000000004</v>
      </c>
      <c r="Q3107" s="752"/>
      <c r="R3107" s="752"/>
      <c r="S3107" s="752"/>
    </row>
    <row r="3108" spans="1:19" s="753" customFormat="1" ht="24" customHeight="1">
      <c r="A3108" s="734"/>
      <c r="B3108" s="747"/>
      <c r="C3108" s="735" t="s">
        <v>511</v>
      </c>
      <c r="D3108" s="735"/>
      <c r="E3108" s="737">
        <f t="shared" si="775"/>
        <v>0</v>
      </c>
      <c r="F3108" s="738"/>
      <c r="G3108" s="739"/>
      <c r="H3108" s="748">
        <f t="shared" si="777"/>
        <v>0</v>
      </c>
      <c r="I3108" s="741"/>
      <c r="J3108" s="749">
        <f t="shared" si="778"/>
        <v>0</v>
      </c>
      <c r="K3108" s="739">
        <f t="shared" si="774"/>
        <v>0</v>
      </c>
      <c r="L3108" s="1079"/>
      <c r="M3108" s="752"/>
      <c r="N3108" s="744">
        <f t="shared" si="776"/>
        <v>0</v>
      </c>
      <c r="O3108" s="745">
        <v>0</v>
      </c>
      <c r="P3108" s="737">
        <v>0</v>
      </c>
      <c r="Q3108" s="752"/>
      <c r="R3108" s="752"/>
      <c r="S3108" s="752"/>
    </row>
    <row r="3109" spans="1:19" s="753" customFormat="1" ht="24" customHeight="1">
      <c r="A3109" s="734"/>
      <c r="B3109" s="747" t="s">
        <v>469</v>
      </c>
      <c r="C3109" s="735" t="s">
        <v>512</v>
      </c>
      <c r="D3109" s="735"/>
      <c r="E3109" s="737">
        <f t="shared" si="775"/>
        <v>4.1500000000000004</v>
      </c>
      <c r="F3109" s="738" t="s">
        <v>361</v>
      </c>
      <c r="G3109" s="739">
        <v>3886</v>
      </c>
      <c r="H3109" s="748">
        <f t="shared" si="777"/>
        <v>16126.900000000001</v>
      </c>
      <c r="I3109" s="741">
        <v>1238</v>
      </c>
      <c r="J3109" s="749">
        <f t="shared" si="778"/>
        <v>5137.7000000000007</v>
      </c>
      <c r="K3109" s="739">
        <f t="shared" si="774"/>
        <v>21264.600000000002</v>
      </c>
      <c r="L3109" s="1079"/>
      <c r="M3109" s="752"/>
      <c r="N3109" s="744">
        <f t="shared" si="776"/>
        <v>4.1500000000000004</v>
      </c>
      <c r="O3109" s="745">
        <v>0</v>
      </c>
      <c r="P3109" s="737">
        <v>4.1500000000000004</v>
      </c>
      <c r="Q3109" s="752"/>
      <c r="R3109" s="752"/>
      <c r="S3109" s="752"/>
    </row>
    <row r="3110" spans="1:19" s="753" customFormat="1" ht="24" customHeight="1">
      <c r="A3110" s="734"/>
      <c r="B3110" s="747"/>
      <c r="C3110" s="735" t="s">
        <v>513</v>
      </c>
      <c r="D3110" s="735"/>
      <c r="E3110" s="737">
        <f t="shared" si="775"/>
        <v>0</v>
      </c>
      <c r="F3110" s="738"/>
      <c r="G3110" s="739">
        <v>0</v>
      </c>
      <c r="H3110" s="748">
        <f t="shared" si="777"/>
        <v>0</v>
      </c>
      <c r="I3110" s="741">
        <v>0</v>
      </c>
      <c r="J3110" s="749">
        <f t="shared" si="778"/>
        <v>0</v>
      </c>
      <c r="K3110" s="739">
        <f t="shared" si="774"/>
        <v>0</v>
      </c>
      <c r="L3110" s="1079"/>
      <c r="M3110" s="752"/>
      <c r="N3110" s="744">
        <f t="shared" si="776"/>
        <v>0</v>
      </c>
      <c r="O3110" s="745">
        <v>0</v>
      </c>
      <c r="P3110" s="737">
        <v>0</v>
      </c>
      <c r="Q3110" s="752"/>
      <c r="R3110" s="752"/>
      <c r="S3110" s="752"/>
    </row>
    <row r="3111" spans="1:19" s="753" customFormat="1" ht="24" customHeight="1">
      <c r="A3111" s="734"/>
      <c r="B3111" s="747" t="s">
        <v>469</v>
      </c>
      <c r="C3111" s="735" t="s">
        <v>514</v>
      </c>
      <c r="D3111" s="735"/>
      <c r="E3111" s="737">
        <f t="shared" si="775"/>
        <v>4.1500000000000004</v>
      </c>
      <c r="F3111" s="738" t="s">
        <v>361</v>
      </c>
      <c r="G3111" s="739">
        <v>1522</v>
      </c>
      <c r="H3111" s="748">
        <f t="shared" si="777"/>
        <v>6316.3</v>
      </c>
      <c r="I3111" s="741">
        <v>315</v>
      </c>
      <c r="J3111" s="749">
        <f t="shared" si="778"/>
        <v>1307.25</v>
      </c>
      <c r="K3111" s="739">
        <f t="shared" si="774"/>
        <v>7623.55</v>
      </c>
      <c r="L3111" s="1079"/>
      <c r="M3111" s="752"/>
      <c r="N3111" s="744">
        <f t="shared" si="776"/>
        <v>4.1500000000000004</v>
      </c>
      <c r="O3111" s="745">
        <v>0</v>
      </c>
      <c r="P3111" s="737">
        <v>4.1500000000000004</v>
      </c>
      <c r="Q3111" s="752"/>
      <c r="R3111" s="752"/>
      <c r="S3111" s="752"/>
    </row>
    <row r="3112" spans="1:19" s="753" customFormat="1" ht="24" customHeight="1">
      <c r="A3112" s="734"/>
      <c r="B3112" s="747"/>
      <c r="C3112" s="735"/>
      <c r="D3112" s="735"/>
      <c r="E3112" s="737">
        <f t="shared" si="775"/>
        <v>0</v>
      </c>
      <c r="F3112" s="738"/>
      <c r="G3112" s="739">
        <v>0</v>
      </c>
      <c r="H3112" s="748">
        <f t="shared" si="777"/>
        <v>0</v>
      </c>
      <c r="I3112" s="741">
        <v>0</v>
      </c>
      <c r="J3112" s="749">
        <f t="shared" si="778"/>
        <v>0</v>
      </c>
      <c r="K3112" s="739">
        <f t="shared" ref="K3112:K3178" si="779">SUM(H3112+J3112)</f>
        <v>0</v>
      </c>
      <c r="L3112" s="1079"/>
      <c r="M3112" s="752"/>
      <c r="N3112" s="744">
        <f t="shared" si="776"/>
        <v>0</v>
      </c>
      <c r="O3112" s="745">
        <v>0</v>
      </c>
      <c r="P3112" s="737">
        <v>0</v>
      </c>
      <c r="Q3112" s="752"/>
      <c r="R3112" s="752"/>
      <c r="S3112" s="752"/>
    </row>
    <row r="3113" spans="1:19" s="682" customFormat="1" ht="24" customHeight="1">
      <c r="A3113" s="734"/>
      <c r="B3113" s="747" t="s">
        <v>469</v>
      </c>
      <c r="C3113" s="735" t="s">
        <v>515</v>
      </c>
      <c r="D3113" s="735"/>
      <c r="E3113" s="737">
        <f t="shared" si="775"/>
        <v>1</v>
      </c>
      <c r="F3113" s="738" t="s">
        <v>363</v>
      </c>
      <c r="G3113" s="739">
        <v>5013</v>
      </c>
      <c r="H3113" s="748">
        <f t="shared" si="777"/>
        <v>5013</v>
      </c>
      <c r="I3113" s="741">
        <v>2403</v>
      </c>
      <c r="J3113" s="749">
        <f t="shared" si="778"/>
        <v>2403</v>
      </c>
      <c r="K3113" s="739">
        <f t="shared" si="779"/>
        <v>7416</v>
      </c>
      <c r="L3113" s="1079"/>
      <c r="M3113" s="679"/>
      <c r="N3113" s="744">
        <f t="shared" si="776"/>
        <v>1</v>
      </c>
      <c r="O3113" s="745">
        <v>0</v>
      </c>
      <c r="P3113" s="737">
        <v>1</v>
      </c>
      <c r="Q3113" s="679"/>
      <c r="R3113" s="679"/>
      <c r="S3113" s="679"/>
    </row>
    <row r="3114" spans="1:19" s="682" customFormat="1" ht="24" customHeight="1">
      <c r="A3114" s="734"/>
      <c r="B3114" s="747"/>
      <c r="C3114" s="735" t="s">
        <v>516</v>
      </c>
      <c r="D3114" s="735"/>
      <c r="E3114" s="737">
        <f t="shared" si="775"/>
        <v>0</v>
      </c>
      <c r="F3114" s="738"/>
      <c r="G3114" s="739"/>
      <c r="H3114" s="748">
        <f t="shared" si="777"/>
        <v>0</v>
      </c>
      <c r="I3114" s="741"/>
      <c r="J3114" s="749">
        <f t="shared" si="778"/>
        <v>0</v>
      </c>
      <c r="K3114" s="739">
        <f t="shared" si="779"/>
        <v>0</v>
      </c>
      <c r="L3114" s="1079"/>
      <c r="M3114" s="679"/>
      <c r="N3114" s="744">
        <f t="shared" si="776"/>
        <v>0</v>
      </c>
      <c r="O3114" s="745">
        <v>0</v>
      </c>
      <c r="P3114" s="737">
        <v>0</v>
      </c>
      <c r="Q3114" s="679"/>
      <c r="R3114" s="679"/>
      <c r="S3114" s="679"/>
    </row>
    <row r="3115" spans="1:19" s="682" customFormat="1" ht="24" customHeight="1">
      <c r="A3115" s="734"/>
      <c r="B3115" s="747"/>
      <c r="C3115" s="735"/>
      <c r="D3115" s="735"/>
      <c r="E3115" s="737">
        <f t="shared" ref="E3115:E3181" si="780">+N3115</f>
        <v>0</v>
      </c>
      <c r="F3115" s="738"/>
      <c r="G3115" s="739"/>
      <c r="H3115" s="748">
        <f t="shared" si="777"/>
        <v>0</v>
      </c>
      <c r="I3115" s="741"/>
      <c r="J3115" s="749">
        <f t="shared" si="778"/>
        <v>0</v>
      </c>
      <c r="K3115" s="739">
        <f t="shared" si="779"/>
        <v>0</v>
      </c>
      <c r="L3115" s="1079"/>
      <c r="M3115" s="679"/>
      <c r="N3115" s="744">
        <f t="shared" si="776"/>
        <v>0</v>
      </c>
      <c r="O3115" s="745">
        <v>0</v>
      </c>
      <c r="P3115" s="737">
        <v>0</v>
      </c>
      <c r="Q3115" s="679"/>
      <c r="R3115" s="679"/>
      <c r="S3115" s="679"/>
    </row>
    <row r="3116" spans="1:19" s="756" customFormat="1" ht="24" customHeight="1">
      <c r="A3116" s="734"/>
      <c r="B3116" s="747" t="s">
        <v>469</v>
      </c>
      <c r="C3116" s="735" t="s">
        <v>517</v>
      </c>
      <c r="D3116" s="907"/>
      <c r="E3116" s="737">
        <f t="shared" si="780"/>
        <v>0</v>
      </c>
      <c r="F3116" s="738" t="s">
        <v>361</v>
      </c>
      <c r="G3116" s="739">
        <v>5075.5555555555557</v>
      </c>
      <c r="H3116" s="748">
        <f t="shared" si="777"/>
        <v>0</v>
      </c>
      <c r="I3116" s="741">
        <v>2545.7777777777778</v>
      </c>
      <c r="J3116" s="749">
        <f t="shared" si="778"/>
        <v>0</v>
      </c>
      <c r="K3116" s="739">
        <f t="shared" si="779"/>
        <v>0</v>
      </c>
      <c r="L3116" s="1079"/>
      <c r="M3116" s="755"/>
      <c r="N3116" s="744">
        <f t="shared" si="776"/>
        <v>0</v>
      </c>
      <c r="O3116" s="745">
        <v>0</v>
      </c>
      <c r="P3116" s="737">
        <v>0</v>
      </c>
      <c r="Q3116" s="755"/>
      <c r="R3116" s="755"/>
      <c r="S3116" s="755"/>
    </row>
    <row r="3117" spans="1:19" s="756" customFormat="1" ht="24" customHeight="1">
      <c r="A3117" s="734"/>
      <c r="B3117" s="747"/>
      <c r="C3117" s="735" t="s">
        <v>488</v>
      </c>
      <c r="D3117" s="907"/>
      <c r="E3117" s="737">
        <f t="shared" si="780"/>
        <v>0</v>
      </c>
      <c r="F3117" s="738"/>
      <c r="G3117" s="739">
        <v>0</v>
      </c>
      <c r="H3117" s="748">
        <f t="shared" si="777"/>
        <v>0</v>
      </c>
      <c r="I3117" s="741">
        <v>0</v>
      </c>
      <c r="J3117" s="749">
        <f t="shared" si="778"/>
        <v>0</v>
      </c>
      <c r="K3117" s="739">
        <f t="shared" si="779"/>
        <v>0</v>
      </c>
      <c r="L3117" s="1079"/>
      <c r="M3117" s="755"/>
      <c r="N3117" s="744">
        <f t="shared" si="776"/>
        <v>0</v>
      </c>
      <c r="O3117" s="745">
        <v>0</v>
      </c>
      <c r="P3117" s="737">
        <v>0</v>
      </c>
      <c r="Q3117" s="755"/>
      <c r="R3117" s="755"/>
      <c r="S3117" s="755"/>
    </row>
    <row r="3118" spans="1:19" s="753" customFormat="1" ht="24" customHeight="1">
      <c r="A3118" s="734"/>
      <c r="B3118" s="747" t="s">
        <v>469</v>
      </c>
      <c r="C3118" s="735" t="s">
        <v>518</v>
      </c>
      <c r="D3118" s="735"/>
      <c r="E3118" s="737">
        <f t="shared" si="780"/>
        <v>0</v>
      </c>
      <c r="F3118" s="738" t="s">
        <v>361</v>
      </c>
      <c r="G3118" s="739">
        <v>3886</v>
      </c>
      <c r="H3118" s="748">
        <f t="shared" si="777"/>
        <v>0</v>
      </c>
      <c r="I3118" s="741">
        <v>1238</v>
      </c>
      <c r="J3118" s="749">
        <f t="shared" si="778"/>
        <v>0</v>
      </c>
      <c r="K3118" s="739">
        <f t="shared" si="779"/>
        <v>0</v>
      </c>
      <c r="L3118" s="1079"/>
      <c r="M3118" s="752"/>
      <c r="N3118" s="744">
        <f t="shared" si="776"/>
        <v>0</v>
      </c>
      <c r="O3118" s="745">
        <v>0</v>
      </c>
      <c r="P3118" s="737">
        <v>0</v>
      </c>
      <c r="Q3118" s="752"/>
      <c r="R3118" s="752"/>
      <c r="S3118" s="752"/>
    </row>
    <row r="3119" spans="1:19" s="753" customFormat="1" ht="24" customHeight="1">
      <c r="A3119" s="734"/>
      <c r="B3119" s="747"/>
      <c r="C3119" s="735" t="s">
        <v>513</v>
      </c>
      <c r="D3119" s="735"/>
      <c r="E3119" s="737">
        <f t="shared" si="780"/>
        <v>0</v>
      </c>
      <c r="F3119" s="738"/>
      <c r="G3119" s="739">
        <v>0</v>
      </c>
      <c r="H3119" s="748">
        <f t="shared" si="777"/>
        <v>0</v>
      </c>
      <c r="I3119" s="741">
        <v>0</v>
      </c>
      <c r="J3119" s="749">
        <f t="shared" si="778"/>
        <v>0</v>
      </c>
      <c r="K3119" s="739">
        <f t="shared" si="779"/>
        <v>0</v>
      </c>
      <c r="L3119" s="1079"/>
      <c r="M3119" s="752"/>
      <c r="N3119" s="744">
        <f t="shared" si="776"/>
        <v>0</v>
      </c>
      <c r="O3119" s="745">
        <v>0</v>
      </c>
      <c r="P3119" s="737">
        <v>0</v>
      </c>
      <c r="Q3119" s="752"/>
      <c r="R3119" s="752"/>
      <c r="S3119" s="752"/>
    </row>
    <row r="3120" spans="1:19" s="682" customFormat="1" ht="24" customHeight="1">
      <c r="A3120" s="734"/>
      <c r="B3120" s="747" t="s">
        <v>469</v>
      </c>
      <c r="C3120" s="735" t="s">
        <v>519</v>
      </c>
      <c r="D3120" s="735"/>
      <c r="E3120" s="737">
        <f t="shared" si="780"/>
        <v>1</v>
      </c>
      <c r="F3120" s="738" t="s">
        <v>363</v>
      </c>
      <c r="G3120" s="739">
        <v>800</v>
      </c>
      <c r="H3120" s="748">
        <f t="shared" si="777"/>
        <v>800</v>
      </c>
      <c r="I3120" s="741">
        <v>70</v>
      </c>
      <c r="J3120" s="749">
        <f t="shared" si="778"/>
        <v>70</v>
      </c>
      <c r="K3120" s="739">
        <f t="shared" si="779"/>
        <v>870</v>
      </c>
      <c r="L3120" s="1079"/>
      <c r="M3120" s="679"/>
      <c r="N3120" s="744">
        <f t="shared" si="776"/>
        <v>1</v>
      </c>
      <c r="O3120" s="745">
        <v>0</v>
      </c>
      <c r="P3120" s="737">
        <v>1</v>
      </c>
      <c r="Q3120" s="679"/>
      <c r="R3120" s="679"/>
      <c r="S3120" s="679"/>
    </row>
    <row r="3121" spans="1:19" s="682" customFormat="1" ht="24" customHeight="1">
      <c r="A3121" s="734"/>
      <c r="B3121" s="747" t="s">
        <v>469</v>
      </c>
      <c r="C3121" s="735" t="s">
        <v>520</v>
      </c>
      <c r="D3121" s="735"/>
      <c r="E3121" s="737">
        <f t="shared" si="780"/>
        <v>0</v>
      </c>
      <c r="F3121" s="738" t="s">
        <v>361</v>
      </c>
      <c r="G3121" s="739">
        <v>190</v>
      </c>
      <c r="H3121" s="748">
        <f t="shared" si="777"/>
        <v>0</v>
      </c>
      <c r="I3121" s="741">
        <v>75</v>
      </c>
      <c r="J3121" s="749">
        <f t="shared" si="778"/>
        <v>0</v>
      </c>
      <c r="K3121" s="739">
        <f t="shared" si="779"/>
        <v>0</v>
      </c>
      <c r="L3121" s="1079"/>
      <c r="M3121" s="679"/>
      <c r="N3121" s="744">
        <f t="shared" si="776"/>
        <v>0</v>
      </c>
      <c r="O3121" s="745">
        <v>0</v>
      </c>
      <c r="P3121" s="737">
        <v>0</v>
      </c>
      <c r="Q3121" s="679"/>
      <c r="R3121" s="679"/>
      <c r="S3121" s="679"/>
    </row>
    <row r="3122" spans="1:19" s="682" customFormat="1" ht="24" customHeight="1">
      <c r="A3122" s="734"/>
      <c r="B3122" s="747"/>
      <c r="C3122" s="735"/>
      <c r="D3122" s="735"/>
      <c r="E3122" s="737">
        <f t="shared" si="780"/>
        <v>0</v>
      </c>
      <c r="F3122" s="738"/>
      <c r="G3122" s="739"/>
      <c r="H3122" s="748">
        <f t="shared" si="777"/>
        <v>0</v>
      </c>
      <c r="I3122" s="741"/>
      <c r="J3122" s="749">
        <f t="shared" si="778"/>
        <v>0</v>
      </c>
      <c r="K3122" s="739">
        <f t="shared" si="779"/>
        <v>0</v>
      </c>
      <c r="L3122" s="1079"/>
      <c r="M3122" s="679"/>
      <c r="N3122" s="744">
        <f t="shared" ref="N3122:N3188" si="781">+(1+O3122)*P3122</f>
        <v>0</v>
      </c>
      <c r="O3122" s="745">
        <v>0</v>
      </c>
      <c r="P3122" s="737">
        <v>0</v>
      </c>
      <c r="Q3122" s="679"/>
      <c r="R3122" s="679"/>
      <c r="S3122" s="679"/>
    </row>
    <row r="3123" spans="1:19" s="753" customFormat="1" ht="24" customHeight="1">
      <c r="A3123" s="734"/>
      <c r="B3123" s="735" t="s">
        <v>1077</v>
      </c>
      <c r="C3123" s="735"/>
      <c r="D3123" s="907"/>
      <c r="E3123" s="737">
        <f t="shared" si="780"/>
        <v>0</v>
      </c>
      <c r="F3123" s="738"/>
      <c r="G3123" s="739">
        <v>0</v>
      </c>
      <c r="H3123" s="748">
        <f t="shared" si="777"/>
        <v>0</v>
      </c>
      <c r="I3123" s="741">
        <v>0</v>
      </c>
      <c r="J3123" s="749">
        <f t="shared" si="778"/>
        <v>0</v>
      </c>
      <c r="K3123" s="739">
        <f t="shared" si="779"/>
        <v>0</v>
      </c>
      <c r="L3123" s="1079"/>
      <c r="M3123" s="752"/>
      <c r="N3123" s="744">
        <f t="shared" si="781"/>
        <v>0</v>
      </c>
      <c r="O3123" s="745">
        <v>0</v>
      </c>
      <c r="P3123" s="737">
        <v>0</v>
      </c>
      <c r="Q3123" s="752"/>
      <c r="R3123" s="752"/>
      <c r="S3123" s="752"/>
    </row>
    <row r="3124" spans="1:19" s="753" customFormat="1" ht="24" customHeight="1">
      <c r="A3124" s="734"/>
      <c r="B3124" s="747" t="s">
        <v>469</v>
      </c>
      <c r="C3124" s="735" t="s">
        <v>497</v>
      </c>
      <c r="D3124" s="735"/>
      <c r="E3124" s="737">
        <f t="shared" si="780"/>
        <v>6</v>
      </c>
      <c r="F3124" s="738" t="s">
        <v>363</v>
      </c>
      <c r="G3124" s="739">
        <v>1540</v>
      </c>
      <c r="H3124" s="748">
        <f t="shared" si="777"/>
        <v>9240</v>
      </c>
      <c r="I3124" s="741">
        <v>450</v>
      </c>
      <c r="J3124" s="749">
        <f t="shared" si="778"/>
        <v>2700</v>
      </c>
      <c r="K3124" s="739">
        <f t="shared" si="779"/>
        <v>11940</v>
      </c>
      <c r="L3124" s="1079"/>
      <c r="M3124" s="752"/>
      <c r="N3124" s="744">
        <f t="shared" si="781"/>
        <v>6</v>
      </c>
      <c r="O3124" s="745">
        <v>0</v>
      </c>
      <c r="P3124" s="737">
        <v>6</v>
      </c>
      <c r="Q3124" s="752"/>
      <c r="R3124" s="752"/>
      <c r="S3124" s="752"/>
    </row>
    <row r="3125" spans="1:19" s="753" customFormat="1" ht="24" customHeight="1">
      <c r="A3125" s="734"/>
      <c r="B3125" s="747" t="s">
        <v>469</v>
      </c>
      <c r="C3125" s="735" t="s">
        <v>498</v>
      </c>
      <c r="D3125" s="735"/>
      <c r="E3125" s="737">
        <f t="shared" si="780"/>
        <v>6</v>
      </c>
      <c r="F3125" s="738" t="s">
        <v>363</v>
      </c>
      <c r="G3125" s="739">
        <v>6640</v>
      </c>
      <c r="H3125" s="748">
        <f t="shared" si="777"/>
        <v>39840</v>
      </c>
      <c r="I3125" s="741">
        <v>200</v>
      </c>
      <c r="J3125" s="749">
        <f t="shared" si="778"/>
        <v>1200</v>
      </c>
      <c r="K3125" s="739">
        <f t="shared" si="779"/>
        <v>41040</v>
      </c>
      <c r="L3125" s="1079"/>
      <c r="M3125" s="752"/>
      <c r="N3125" s="744">
        <f t="shared" si="781"/>
        <v>6</v>
      </c>
      <c r="O3125" s="745">
        <v>0</v>
      </c>
      <c r="P3125" s="737">
        <v>6</v>
      </c>
      <c r="Q3125" s="752"/>
      <c r="R3125" s="752"/>
      <c r="S3125" s="752"/>
    </row>
    <row r="3126" spans="1:19" s="753" customFormat="1" ht="24" customHeight="1">
      <c r="A3126" s="734"/>
      <c r="B3126" s="747" t="s">
        <v>469</v>
      </c>
      <c r="C3126" s="735" t="s">
        <v>476</v>
      </c>
      <c r="D3126" s="735"/>
      <c r="E3126" s="737">
        <f t="shared" si="780"/>
        <v>6</v>
      </c>
      <c r="F3126" s="738" t="s">
        <v>363</v>
      </c>
      <c r="G3126" s="739">
        <v>336</v>
      </c>
      <c r="H3126" s="748">
        <f t="shared" si="777"/>
        <v>2016</v>
      </c>
      <c r="I3126" s="741">
        <v>0</v>
      </c>
      <c r="J3126" s="749">
        <f t="shared" si="778"/>
        <v>0</v>
      </c>
      <c r="K3126" s="739">
        <f t="shared" si="779"/>
        <v>2016</v>
      </c>
      <c r="L3126" s="1079"/>
      <c r="M3126" s="752"/>
      <c r="N3126" s="744">
        <f t="shared" si="781"/>
        <v>6</v>
      </c>
      <c r="O3126" s="745">
        <v>0</v>
      </c>
      <c r="P3126" s="737">
        <v>6</v>
      </c>
      <c r="Q3126" s="752"/>
      <c r="R3126" s="752"/>
      <c r="S3126" s="752"/>
    </row>
    <row r="3127" spans="1:19" s="753" customFormat="1" ht="24" customHeight="1">
      <c r="A3127" s="734"/>
      <c r="B3127" s="747" t="s">
        <v>469</v>
      </c>
      <c r="C3127" s="735" t="s">
        <v>477</v>
      </c>
      <c r="D3127" s="735"/>
      <c r="E3127" s="737">
        <f t="shared" si="780"/>
        <v>6</v>
      </c>
      <c r="F3127" s="738" t="s">
        <v>363</v>
      </c>
      <c r="G3127" s="739">
        <v>736</v>
      </c>
      <c r="H3127" s="748">
        <f t="shared" si="777"/>
        <v>4416</v>
      </c>
      <c r="I3127" s="741">
        <v>0</v>
      </c>
      <c r="J3127" s="749">
        <f t="shared" si="778"/>
        <v>0</v>
      </c>
      <c r="K3127" s="739">
        <f t="shared" si="779"/>
        <v>4416</v>
      </c>
      <c r="L3127" s="1079"/>
      <c r="M3127" s="752"/>
      <c r="N3127" s="744">
        <f t="shared" si="781"/>
        <v>6</v>
      </c>
      <c r="O3127" s="745">
        <v>0</v>
      </c>
      <c r="P3127" s="737">
        <v>6</v>
      </c>
      <c r="Q3127" s="752"/>
      <c r="R3127" s="752"/>
      <c r="S3127" s="752"/>
    </row>
    <row r="3128" spans="1:19" s="753" customFormat="1" ht="24" customHeight="1">
      <c r="A3128" s="734"/>
      <c r="B3128" s="747" t="s">
        <v>469</v>
      </c>
      <c r="C3128" s="735" t="s">
        <v>478</v>
      </c>
      <c r="D3128" s="735"/>
      <c r="E3128" s="737">
        <f t="shared" si="780"/>
        <v>6</v>
      </c>
      <c r="F3128" s="738" t="s">
        <v>363</v>
      </c>
      <c r="G3128" s="739">
        <v>176</v>
      </c>
      <c r="H3128" s="748">
        <f t="shared" si="777"/>
        <v>1056</v>
      </c>
      <c r="I3128" s="741">
        <v>0</v>
      </c>
      <c r="J3128" s="749">
        <f t="shared" si="778"/>
        <v>0</v>
      </c>
      <c r="K3128" s="739">
        <f t="shared" si="779"/>
        <v>1056</v>
      </c>
      <c r="L3128" s="1079"/>
      <c r="M3128" s="752"/>
      <c r="N3128" s="744">
        <f t="shared" si="781"/>
        <v>6</v>
      </c>
      <c r="O3128" s="745">
        <v>0</v>
      </c>
      <c r="P3128" s="737">
        <v>6</v>
      </c>
      <c r="Q3128" s="752"/>
      <c r="R3128" s="752"/>
      <c r="S3128" s="752"/>
    </row>
    <row r="3129" spans="1:19" s="753" customFormat="1" ht="24" customHeight="1">
      <c r="A3129" s="734"/>
      <c r="B3129" s="747" t="s">
        <v>469</v>
      </c>
      <c r="C3129" s="735" t="s">
        <v>499</v>
      </c>
      <c r="D3129" s="735"/>
      <c r="E3129" s="737">
        <f t="shared" si="780"/>
        <v>6</v>
      </c>
      <c r="F3129" s="738" t="s">
        <v>363</v>
      </c>
      <c r="G3129" s="739">
        <v>216</v>
      </c>
      <c r="H3129" s="748">
        <f t="shared" si="777"/>
        <v>1296</v>
      </c>
      <c r="I3129" s="741">
        <v>35</v>
      </c>
      <c r="J3129" s="749">
        <f t="shared" si="778"/>
        <v>210</v>
      </c>
      <c r="K3129" s="739">
        <f t="shared" si="779"/>
        <v>1506</v>
      </c>
      <c r="L3129" s="1079"/>
      <c r="M3129" s="752"/>
      <c r="N3129" s="744">
        <f t="shared" si="781"/>
        <v>6</v>
      </c>
      <c r="O3129" s="745">
        <v>0</v>
      </c>
      <c r="P3129" s="737">
        <v>6</v>
      </c>
      <c r="Q3129" s="752"/>
      <c r="R3129" s="752"/>
      <c r="S3129" s="752"/>
    </row>
    <row r="3130" spans="1:19" s="753" customFormat="1" ht="24" customHeight="1">
      <c r="A3130" s="734"/>
      <c r="B3130" s="747"/>
      <c r="C3130" s="736"/>
      <c r="D3130" s="907"/>
      <c r="E3130" s="737">
        <f t="shared" si="780"/>
        <v>0</v>
      </c>
      <c r="F3130" s="738"/>
      <c r="G3130" s="739">
        <v>0</v>
      </c>
      <c r="H3130" s="748">
        <f t="shared" si="777"/>
        <v>0</v>
      </c>
      <c r="I3130" s="741">
        <v>0</v>
      </c>
      <c r="J3130" s="749">
        <f t="shared" si="778"/>
        <v>0</v>
      </c>
      <c r="K3130" s="739">
        <f t="shared" si="779"/>
        <v>0</v>
      </c>
      <c r="L3130" s="1079"/>
      <c r="M3130" s="752"/>
      <c r="N3130" s="744">
        <f t="shared" si="781"/>
        <v>0</v>
      </c>
      <c r="O3130" s="745">
        <v>0</v>
      </c>
      <c r="P3130" s="737">
        <v>0</v>
      </c>
      <c r="Q3130" s="752"/>
      <c r="R3130" s="752"/>
      <c r="S3130" s="752"/>
    </row>
    <row r="3131" spans="1:19" s="753" customFormat="1" ht="24" customHeight="1">
      <c r="A3131" s="734"/>
      <c r="B3131" s="747" t="s">
        <v>469</v>
      </c>
      <c r="C3131" s="735" t="s">
        <v>492</v>
      </c>
      <c r="D3131" s="735"/>
      <c r="E3131" s="737">
        <f t="shared" si="780"/>
        <v>10</v>
      </c>
      <c r="F3131" s="738" t="s">
        <v>363</v>
      </c>
      <c r="G3131" s="739">
        <v>9375</v>
      </c>
      <c r="H3131" s="748">
        <f t="shared" si="777"/>
        <v>93750</v>
      </c>
      <c r="I3131" s="741">
        <v>450</v>
      </c>
      <c r="J3131" s="749">
        <f t="shared" si="778"/>
        <v>4500</v>
      </c>
      <c r="K3131" s="739">
        <f t="shared" si="779"/>
        <v>98250</v>
      </c>
      <c r="L3131" s="1079"/>
      <c r="M3131" s="752"/>
      <c r="N3131" s="744">
        <f t="shared" si="781"/>
        <v>10</v>
      </c>
      <c r="O3131" s="745">
        <v>0</v>
      </c>
      <c r="P3131" s="737">
        <v>10</v>
      </c>
      <c r="Q3131" s="752"/>
      <c r="R3131" s="752"/>
      <c r="S3131" s="752"/>
    </row>
    <row r="3132" spans="1:19" s="753" customFormat="1" ht="24" customHeight="1">
      <c r="A3132" s="734"/>
      <c r="B3132" s="747" t="s">
        <v>469</v>
      </c>
      <c r="C3132" s="735" t="s">
        <v>500</v>
      </c>
      <c r="D3132" s="735"/>
      <c r="E3132" s="737">
        <f t="shared" si="780"/>
        <v>10</v>
      </c>
      <c r="F3132" s="738" t="s">
        <v>363</v>
      </c>
      <c r="G3132" s="739">
        <v>12752</v>
      </c>
      <c r="H3132" s="748">
        <f t="shared" si="777"/>
        <v>127520</v>
      </c>
      <c r="I3132" s="741">
        <v>0</v>
      </c>
      <c r="J3132" s="749">
        <f t="shared" si="778"/>
        <v>0</v>
      </c>
      <c r="K3132" s="739">
        <f t="shared" si="779"/>
        <v>127520</v>
      </c>
      <c r="L3132" s="1079"/>
      <c r="M3132" s="752"/>
      <c r="N3132" s="744">
        <f t="shared" si="781"/>
        <v>10</v>
      </c>
      <c r="O3132" s="745">
        <v>0</v>
      </c>
      <c r="P3132" s="737">
        <v>10</v>
      </c>
      <c r="Q3132" s="752"/>
      <c r="R3132" s="752"/>
      <c r="S3132" s="752"/>
    </row>
    <row r="3133" spans="1:19" s="753" customFormat="1" ht="24" customHeight="1">
      <c r="A3133" s="734"/>
      <c r="B3133" s="747" t="s">
        <v>469</v>
      </c>
      <c r="C3133" s="735" t="s">
        <v>501</v>
      </c>
      <c r="D3133" s="735"/>
      <c r="E3133" s="737">
        <v>0</v>
      </c>
      <c r="F3133" s="738" t="s">
        <v>363</v>
      </c>
      <c r="G3133" s="739">
        <v>1950</v>
      </c>
      <c r="H3133" s="748">
        <f t="shared" si="777"/>
        <v>0</v>
      </c>
      <c r="I3133" s="741">
        <v>35</v>
      </c>
      <c r="J3133" s="749">
        <f t="shared" si="778"/>
        <v>0</v>
      </c>
      <c r="K3133" s="739">
        <f t="shared" si="779"/>
        <v>0</v>
      </c>
      <c r="L3133" s="1079"/>
      <c r="M3133" s="752"/>
      <c r="N3133" s="744">
        <f t="shared" si="781"/>
        <v>10</v>
      </c>
      <c r="O3133" s="745">
        <v>0</v>
      </c>
      <c r="P3133" s="737">
        <v>10</v>
      </c>
      <c r="Q3133" s="752"/>
      <c r="R3133" s="752"/>
      <c r="S3133" s="752"/>
    </row>
    <row r="3134" spans="1:19" s="753" customFormat="1" ht="24" customHeight="1">
      <c r="A3134" s="734"/>
      <c r="B3134" s="747" t="s">
        <v>469</v>
      </c>
      <c r="C3134" s="735" t="s">
        <v>502</v>
      </c>
      <c r="D3134" s="735"/>
      <c r="E3134" s="737">
        <f t="shared" si="780"/>
        <v>10</v>
      </c>
      <c r="F3134" s="738" t="s">
        <v>363</v>
      </c>
      <c r="G3134" s="739">
        <v>216</v>
      </c>
      <c r="H3134" s="748">
        <f t="shared" si="777"/>
        <v>2160</v>
      </c>
      <c r="I3134" s="741">
        <v>35</v>
      </c>
      <c r="J3134" s="749">
        <f t="shared" si="778"/>
        <v>350</v>
      </c>
      <c r="K3134" s="739">
        <f t="shared" si="779"/>
        <v>2510</v>
      </c>
      <c r="L3134" s="1079"/>
      <c r="M3134" s="752"/>
      <c r="N3134" s="744">
        <f t="shared" si="781"/>
        <v>10</v>
      </c>
      <c r="O3134" s="745">
        <v>0</v>
      </c>
      <c r="P3134" s="737">
        <v>10</v>
      </c>
      <c r="Q3134" s="752"/>
      <c r="R3134" s="752"/>
      <c r="S3134" s="752"/>
    </row>
    <row r="3135" spans="1:19" s="753" customFormat="1" ht="24" customHeight="1">
      <c r="A3135" s="734"/>
      <c r="B3135" s="747"/>
      <c r="C3135" s="735"/>
      <c r="D3135" s="735"/>
      <c r="E3135" s="737">
        <f t="shared" si="780"/>
        <v>0</v>
      </c>
      <c r="F3135" s="738"/>
      <c r="G3135" s="739"/>
      <c r="H3135" s="748">
        <f t="shared" si="777"/>
        <v>0</v>
      </c>
      <c r="I3135" s="741"/>
      <c r="J3135" s="749">
        <f t="shared" si="778"/>
        <v>0</v>
      </c>
      <c r="K3135" s="739">
        <f t="shared" si="779"/>
        <v>0</v>
      </c>
      <c r="L3135" s="1079"/>
      <c r="M3135" s="752"/>
      <c r="N3135" s="744">
        <f t="shared" si="781"/>
        <v>0</v>
      </c>
      <c r="O3135" s="745">
        <v>0</v>
      </c>
      <c r="P3135" s="737">
        <v>0</v>
      </c>
      <c r="Q3135" s="752"/>
      <c r="R3135" s="752"/>
      <c r="S3135" s="752"/>
    </row>
    <row r="3136" spans="1:19" s="753" customFormat="1" ht="24" customHeight="1">
      <c r="A3136" s="734"/>
      <c r="B3136" s="747" t="s">
        <v>484</v>
      </c>
      <c r="C3136" s="735" t="s">
        <v>485</v>
      </c>
      <c r="D3136" s="735"/>
      <c r="E3136" s="737">
        <f t="shared" si="780"/>
        <v>11</v>
      </c>
      <c r="F3136" s="738" t="s">
        <v>363</v>
      </c>
      <c r="G3136" s="739">
        <v>285</v>
      </c>
      <c r="H3136" s="748">
        <f t="shared" si="777"/>
        <v>3135</v>
      </c>
      <c r="I3136" s="741">
        <v>75</v>
      </c>
      <c r="J3136" s="749">
        <f t="shared" si="778"/>
        <v>825</v>
      </c>
      <c r="K3136" s="739">
        <f t="shared" si="779"/>
        <v>3960</v>
      </c>
      <c r="L3136" s="1093"/>
      <c r="M3136" s="752"/>
      <c r="N3136" s="744">
        <f t="shared" si="781"/>
        <v>11</v>
      </c>
      <c r="O3136" s="745">
        <v>0</v>
      </c>
      <c r="P3136" s="737">
        <v>11</v>
      </c>
      <c r="Q3136" s="752"/>
      <c r="R3136" s="752"/>
      <c r="S3136" s="752"/>
    </row>
    <row r="3137" spans="1:19" s="753" customFormat="1" ht="24" customHeight="1">
      <c r="A3137" s="734"/>
      <c r="B3137" s="747" t="s">
        <v>469</v>
      </c>
      <c r="C3137" s="735" t="s">
        <v>486</v>
      </c>
      <c r="D3137" s="735"/>
      <c r="E3137" s="737">
        <f t="shared" si="780"/>
        <v>1</v>
      </c>
      <c r="F3137" s="738" t="s">
        <v>363</v>
      </c>
      <c r="G3137" s="739">
        <v>552</v>
      </c>
      <c r="H3137" s="748">
        <f t="shared" si="777"/>
        <v>552</v>
      </c>
      <c r="I3137" s="741">
        <v>25</v>
      </c>
      <c r="J3137" s="749">
        <f t="shared" si="778"/>
        <v>25</v>
      </c>
      <c r="K3137" s="739">
        <f t="shared" si="779"/>
        <v>577</v>
      </c>
      <c r="L3137" s="1079"/>
      <c r="M3137" s="752"/>
      <c r="N3137" s="744">
        <f t="shared" si="781"/>
        <v>1</v>
      </c>
      <c r="O3137" s="745">
        <v>0</v>
      </c>
      <c r="P3137" s="737">
        <v>1</v>
      </c>
      <c r="Q3137" s="752"/>
      <c r="R3137" s="752"/>
      <c r="S3137" s="752"/>
    </row>
    <row r="3138" spans="1:19" s="753" customFormat="1" ht="24" customHeight="1">
      <c r="A3138" s="734"/>
      <c r="B3138" s="747" t="s">
        <v>469</v>
      </c>
      <c r="C3138" s="735" t="s">
        <v>507</v>
      </c>
      <c r="D3138" s="735"/>
      <c r="E3138" s="737">
        <f t="shared" si="780"/>
        <v>2</v>
      </c>
      <c r="F3138" s="738" t="s">
        <v>363</v>
      </c>
      <c r="G3138" s="739">
        <v>1650</v>
      </c>
      <c r="H3138" s="748">
        <f t="shared" si="777"/>
        <v>3300</v>
      </c>
      <c r="I3138" s="741">
        <v>70</v>
      </c>
      <c r="J3138" s="749">
        <f t="shared" si="778"/>
        <v>140</v>
      </c>
      <c r="K3138" s="739">
        <f t="shared" si="779"/>
        <v>3440</v>
      </c>
      <c r="L3138" s="1079"/>
      <c r="M3138" s="752"/>
      <c r="N3138" s="744">
        <f t="shared" si="781"/>
        <v>2</v>
      </c>
      <c r="O3138" s="745">
        <v>0</v>
      </c>
      <c r="P3138" s="737">
        <v>2</v>
      </c>
      <c r="Q3138" s="752"/>
      <c r="R3138" s="752"/>
      <c r="S3138" s="752"/>
    </row>
    <row r="3139" spans="1:19" s="753" customFormat="1" ht="24" customHeight="1">
      <c r="A3139" s="734"/>
      <c r="B3139" s="747" t="s">
        <v>469</v>
      </c>
      <c r="C3139" s="735" t="s">
        <v>508</v>
      </c>
      <c r="D3139" s="735"/>
      <c r="E3139" s="737">
        <f t="shared" si="780"/>
        <v>10</v>
      </c>
      <c r="F3139" s="738" t="s">
        <v>363</v>
      </c>
      <c r="G3139" s="739">
        <v>13500</v>
      </c>
      <c r="H3139" s="748">
        <f t="shared" si="777"/>
        <v>135000</v>
      </c>
      <c r="I3139" s="741">
        <v>750</v>
      </c>
      <c r="J3139" s="749">
        <f t="shared" si="778"/>
        <v>7500</v>
      </c>
      <c r="K3139" s="739">
        <f t="shared" si="779"/>
        <v>142500</v>
      </c>
      <c r="L3139" s="1079"/>
      <c r="M3139" s="752"/>
      <c r="N3139" s="744">
        <f t="shared" si="781"/>
        <v>10</v>
      </c>
      <c r="O3139" s="745">
        <v>0</v>
      </c>
      <c r="P3139" s="737">
        <v>10</v>
      </c>
      <c r="Q3139" s="752"/>
      <c r="R3139" s="752"/>
      <c r="S3139" s="752"/>
    </row>
    <row r="3140" spans="1:19" s="682" customFormat="1" ht="24" customHeight="1">
      <c r="A3140" s="734"/>
      <c r="B3140" s="747" t="s">
        <v>469</v>
      </c>
      <c r="C3140" s="735" t="s">
        <v>509</v>
      </c>
      <c r="D3140" s="735"/>
      <c r="E3140" s="737">
        <f t="shared" si="780"/>
        <v>1</v>
      </c>
      <c r="F3140" s="738" t="s">
        <v>363</v>
      </c>
      <c r="G3140" s="739">
        <v>14476</v>
      </c>
      <c r="H3140" s="748">
        <f t="shared" si="777"/>
        <v>14476</v>
      </c>
      <c r="I3140" s="741">
        <v>5367</v>
      </c>
      <c r="J3140" s="749">
        <f t="shared" si="778"/>
        <v>5367</v>
      </c>
      <c r="K3140" s="739">
        <f t="shared" si="779"/>
        <v>19843</v>
      </c>
      <c r="L3140" s="1079"/>
      <c r="M3140" s="679"/>
      <c r="N3140" s="744">
        <f t="shared" si="781"/>
        <v>1</v>
      </c>
      <c r="O3140" s="745">
        <v>0</v>
      </c>
      <c r="P3140" s="737">
        <v>1</v>
      </c>
      <c r="Q3140" s="679"/>
      <c r="R3140" s="679"/>
      <c r="S3140" s="679"/>
    </row>
    <row r="3141" spans="1:19" s="753" customFormat="1" ht="24" customHeight="1">
      <c r="A3141" s="734"/>
      <c r="B3141" s="747"/>
      <c r="C3141" s="735"/>
      <c r="D3141" s="907"/>
      <c r="E3141" s="737">
        <f t="shared" si="780"/>
        <v>0</v>
      </c>
      <c r="F3141" s="738"/>
      <c r="G3141" s="739">
        <v>0</v>
      </c>
      <c r="H3141" s="748">
        <f t="shared" si="777"/>
        <v>0</v>
      </c>
      <c r="I3141" s="741">
        <v>0</v>
      </c>
      <c r="J3141" s="749">
        <f t="shared" si="778"/>
        <v>0</v>
      </c>
      <c r="K3141" s="739">
        <f t="shared" si="779"/>
        <v>0</v>
      </c>
      <c r="L3141" s="1079"/>
      <c r="M3141" s="752"/>
      <c r="N3141" s="744">
        <f t="shared" si="781"/>
        <v>0</v>
      </c>
      <c r="O3141" s="745">
        <v>0</v>
      </c>
      <c r="P3141" s="737">
        <v>0</v>
      </c>
      <c r="Q3141" s="752"/>
      <c r="R3141" s="752"/>
      <c r="S3141" s="752"/>
    </row>
    <row r="3142" spans="1:19" s="753" customFormat="1" ht="24" customHeight="1">
      <c r="A3142" s="734"/>
      <c r="B3142" s="747" t="s">
        <v>469</v>
      </c>
      <c r="C3142" s="735" t="s">
        <v>510</v>
      </c>
      <c r="D3142" s="735"/>
      <c r="E3142" s="737">
        <f t="shared" si="780"/>
        <v>5.2</v>
      </c>
      <c r="F3142" s="738" t="s">
        <v>361</v>
      </c>
      <c r="G3142" s="739">
        <v>2694</v>
      </c>
      <c r="H3142" s="748">
        <f t="shared" si="777"/>
        <v>14008.800000000001</v>
      </c>
      <c r="I3142" s="741">
        <v>1288</v>
      </c>
      <c r="J3142" s="749">
        <f t="shared" si="778"/>
        <v>6697.6</v>
      </c>
      <c r="K3142" s="739">
        <f t="shared" si="779"/>
        <v>20706.400000000001</v>
      </c>
      <c r="L3142" s="1079"/>
      <c r="M3142" s="752"/>
      <c r="N3142" s="744">
        <f t="shared" si="781"/>
        <v>5.2</v>
      </c>
      <c r="O3142" s="745">
        <v>0</v>
      </c>
      <c r="P3142" s="737">
        <v>5.2</v>
      </c>
      <c r="Q3142" s="752"/>
      <c r="R3142" s="752"/>
      <c r="S3142" s="752"/>
    </row>
    <row r="3143" spans="1:19" s="753" customFormat="1" ht="24" customHeight="1">
      <c r="A3143" s="734"/>
      <c r="B3143" s="747"/>
      <c r="C3143" s="735" t="s">
        <v>511</v>
      </c>
      <c r="D3143" s="735"/>
      <c r="E3143" s="737">
        <f t="shared" si="780"/>
        <v>0</v>
      </c>
      <c r="F3143" s="738"/>
      <c r="G3143" s="739"/>
      <c r="H3143" s="748">
        <f t="shared" si="777"/>
        <v>0</v>
      </c>
      <c r="I3143" s="741"/>
      <c r="J3143" s="749">
        <f t="shared" si="778"/>
        <v>0</v>
      </c>
      <c r="K3143" s="739">
        <f t="shared" si="779"/>
        <v>0</v>
      </c>
      <c r="L3143" s="1079"/>
      <c r="M3143" s="752"/>
      <c r="N3143" s="744">
        <f t="shared" si="781"/>
        <v>0</v>
      </c>
      <c r="O3143" s="745">
        <v>0</v>
      </c>
      <c r="P3143" s="737">
        <v>0</v>
      </c>
      <c r="Q3143" s="752"/>
      <c r="R3143" s="752"/>
      <c r="S3143" s="752"/>
    </row>
    <row r="3144" spans="1:19" s="753" customFormat="1" ht="24" customHeight="1">
      <c r="A3144" s="734"/>
      <c r="B3144" s="747" t="s">
        <v>469</v>
      </c>
      <c r="C3144" s="735" t="s">
        <v>512</v>
      </c>
      <c r="D3144" s="735"/>
      <c r="E3144" s="737">
        <f t="shared" si="780"/>
        <v>5.2</v>
      </c>
      <c r="F3144" s="738" t="s">
        <v>361</v>
      </c>
      <c r="G3144" s="739">
        <v>3886</v>
      </c>
      <c r="H3144" s="748">
        <f t="shared" si="777"/>
        <v>20207.2</v>
      </c>
      <c r="I3144" s="741">
        <v>1238</v>
      </c>
      <c r="J3144" s="749">
        <f t="shared" si="778"/>
        <v>6437.6</v>
      </c>
      <c r="K3144" s="739">
        <f t="shared" si="779"/>
        <v>26644.800000000003</v>
      </c>
      <c r="L3144" s="1079"/>
      <c r="M3144" s="752"/>
      <c r="N3144" s="744">
        <f t="shared" si="781"/>
        <v>5.2</v>
      </c>
      <c r="O3144" s="745">
        <v>0</v>
      </c>
      <c r="P3144" s="737">
        <v>5.2</v>
      </c>
      <c r="Q3144" s="752"/>
      <c r="R3144" s="752"/>
      <c r="S3144" s="752"/>
    </row>
    <row r="3145" spans="1:19" s="753" customFormat="1" ht="24" customHeight="1">
      <c r="A3145" s="734"/>
      <c r="B3145" s="747"/>
      <c r="C3145" s="735" t="s">
        <v>513</v>
      </c>
      <c r="D3145" s="735"/>
      <c r="E3145" s="737">
        <f t="shared" si="780"/>
        <v>0</v>
      </c>
      <c r="F3145" s="738"/>
      <c r="G3145" s="739">
        <v>0</v>
      </c>
      <c r="H3145" s="748">
        <f t="shared" si="777"/>
        <v>0</v>
      </c>
      <c r="I3145" s="741">
        <v>0</v>
      </c>
      <c r="J3145" s="749">
        <f t="shared" si="778"/>
        <v>0</v>
      </c>
      <c r="K3145" s="739">
        <f t="shared" si="779"/>
        <v>0</v>
      </c>
      <c r="L3145" s="1079"/>
      <c r="M3145" s="752"/>
      <c r="N3145" s="744">
        <f t="shared" si="781"/>
        <v>0</v>
      </c>
      <c r="O3145" s="745">
        <v>0</v>
      </c>
      <c r="P3145" s="737">
        <v>0</v>
      </c>
      <c r="Q3145" s="752"/>
      <c r="R3145" s="752"/>
      <c r="S3145" s="752"/>
    </row>
    <row r="3146" spans="1:19" s="753" customFormat="1" ht="24" customHeight="1">
      <c r="A3146" s="734"/>
      <c r="B3146" s="747" t="s">
        <v>469</v>
      </c>
      <c r="C3146" s="735" t="s">
        <v>521</v>
      </c>
      <c r="D3146" s="735"/>
      <c r="E3146" s="737">
        <f t="shared" si="780"/>
        <v>5.2</v>
      </c>
      <c r="F3146" s="738" t="s">
        <v>361</v>
      </c>
      <c r="G3146" s="739">
        <v>1522</v>
      </c>
      <c r="H3146" s="748">
        <f t="shared" si="777"/>
        <v>7914.4000000000005</v>
      </c>
      <c r="I3146" s="741">
        <v>315</v>
      </c>
      <c r="J3146" s="749">
        <f t="shared" si="778"/>
        <v>1638</v>
      </c>
      <c r="K3146" s="739">
        <f t="shared" si="779"/>
        <v>9552.4000000000015</v>
      </c>
      <c r="L3146" s="1079"/>
      <c r="M3146" s="752"/>
      <c r="N3146" s="744">
        <f t="shared" si="781"/>
        <v>5.2</v>
      </c>
      <c r="O3146" s="745">
        <v>0</v>
      </c>
      <c r="P3146" s="737">
        <v>5.2</v>
      </c>
      <c r="Q3146" s="752"/>
      <c r="R3146" s="752"/>
      <c r="S3146" s="752"/>
    </row>
    <row r="3147" spans="1:19" s="753" customFormat="1" ht="24" customHeight="1">
      <c r="A3147" s="734"/>
      <c r="B3147" s="747"/>
      <c r="C3147" s="735"/>
      <c r="D3147" s="735"/>
      <c r="E3147" s="737">
        <f t="shared" si="780"/>
        <v>0</v>
      </c>
      <c r="F3147" s="738"/>
      <c r="G3147" s="739">
        <v>0</v>
      </c>
      <c r="H3147" s="748">
        <f t="shared" si="777"/>
        <v>0</v>
      </c>
      <c r="I3147" s="741">
        <v>0</v>
      </c>
      <c r="J3147" s="749">
        <f t="shared" si="778"/>
        <v>0</v>
      </c>
      <c r="K3147" s="739">
        <f t="shared" si="779"/>
        <v>0</v>
      </c>
      <c r="L3147" s="1079"/>
      <c r="M3147" s="752"/>
      <c r="N3147" s="744">
        <f t="shared" si="781"/>
        <v>0</v>
      </c>
      <c r="O3147" s="745">
        <v>0</v>
      </c>
      <c r="P3147" s="737">
        <v>0</v>
      </c>
      <c r="Q3147" s="752"/>
      <c r="R3147" s="752"/>
      <c r="S3147" s="752"/>
    </row>
    <row r="3148" spans="1:19" s="682" customFormat="1" ht="24" customHeight="1">
      <c r="A3148" s="734"/>
      <c r="B3148" s="747" t="s">
        <v>469</v>
      </c>
      <c r="C3148" s="735" t="s">
        <v>515</v>
      </c>
      <c r="D3148" s="735"/>
      <c r="E3148" s="737">
        <f t="shared" si="780"/>
        <v>0</v>
      </c>
      <c r="F3148" s="738" t="s">
        <v>363</v>
      </c>
      <c r="G3148" s="739">
        <v>5013</v>
      </c>
      <c r="H3148" s="748">
        <f t="shared" si="777"/>
        <v>0</v>
      </c>
      <c r="I3148" s="741">
        <v>2403</v>
      </c>
      <c r="J3148" s="749">
        <f t="shared" si="778"/>
        <v>0</v>
      </c>
      <c r="K3148" s="739">
        <f t="shared" si="779"/>
        <v>0</v>
      </c>
      <c r="L3148" s="1079"/>
      <c r="M3148" s="679"/>
      <c r="N3148" s="744">
        <f t="shared" si="781"/>
        <v>0</v>
      </c>
      <c r="O3148" s="745">
        <v>0</v>
      </c>
      <c r="P3148" s="737">
        <v>0</v>
      </c>
      <c r="Q3148" s="679"/>
      <c r="R3148" s="679"/>
      <c r="S3148" s="679"/>
    </row>
    <row r="3149" spans="1:19" s="682" customFormat="1" ht="24" customHeight="1">
      <c r="A3149" s="734"/>
      <c r="B3149" s="747"/>
      <c r="C3149" s="735" t="s">
        <v>516</v>
      </c>
      <c r="D3149" s="735"/>
      <c r="E3149" s="737">
        <f t="shared" si="780"/>
        <v>0</v>
      </c>
      <c r="F3149" s="738"/>
      <c r="G3149" s="739"/>
      <c r="H3149" s="748">
        <f t="shared" si="777"/>
        <v>0</v>
      </c>
      <c r="I3149" s="741"/>
      <c r="J3149" s="749">
        <f t="shared" si="778"/>
        <v>0</v>
      </c>
      <c r="K3149" s="739">
        <f t="shared" si="779"/>
        <v>0</v>
      </c>
      <c r="L3149" s="1079"/>
      <c r="M3149" s="679"/>
      <c r="N3149" s="744">
        <f t="shared" si="781"/>
        <v>0</v>
      </c>
      <c r="O3149" s="745">
        <v>0</v>
      </c>
      <c r="P3149" s="737">
        <v>0</v>
      </c>
      <c r="Q3149" s="679"/>
      <c r="R3149" s="679"/>
      <c r="S3149" s="679"/>
    </row>
    <row r="3150" spans="1:19" s="682" customFormat="1" ht="24" customHeight="1">
      <c r="A3150" s="734"/>
      <c r="B3150" s="747"/>
      <c r="C3150" s="735"/>
      <c r="D3150" s="735"/>
      <c r="E3150" s="737">
        <f t="shared" si="780"/>
        <v>0</v>
      </c>
      <c r="F3150" s="738"/>
      <c r="G3150" s="739"/>
      <c r="H3150" s="748">
        <f t="shared" si="777"/>
        <v>0</v>
      </c>
      <c r="I3150" s="741"/>
      <c r="J3150" s="749">
        <f t="shared" si="778"/>
        <v>0</v>
      </c>
      <c r="K3150" s="739">
        <f t="shared" si="779"/>
        <v>0</v>
      </c>
      <c r="L3150" s="1079"/>
      <c r="M3150" s="679"/>
      <c r="N3150" s="744">
        <f t="shared" si="781"/>
        <v>0</v>
      </c>
      <c r="O3150" s="745">
        <v>0</v>
      </c>
      <c r="P3150" s="737">
        <v>0</v>
      </c>
      <c r="Q3150" s="679"/>
      <c r="R3150" s="679"/>
      <c r="S3150" s="679"/>
    </row>
    <row r="3151" spans="1:19" s="756" customFormat="1" ht="24" customHeight="1">
      <c r="A3151" s="734"/>
      <c r="B3151" s="747" t="s">
        <v>469</v>
      </c>
      <c r="C3151" s="735" t="s">
        <v>517</v>
      </c>
      <c r="D3151" s="907"/>
      <c r="E3151" s="737">
        <f t="shared" si="780"/>
        <v>0</v>
      </c>
      <c r="F3151" s="738" t="s">
        <v>361</v>
      </c>
      <c r="G3151" s="739">
        <v>5075.5555555555557</v>
      </c>
      <c r="H3151" s="748">
        <f t="shared" si="777"/>
        <v>0</v>
      </c>
      <c r="I3151" s="741">
        <v>2545.7777777777778</v>
      </c>
      <c r="J3151" s="749">
        <f t="shared" si="778"/>
        <v>0</v>
      </c>
      <c r="K3151" s="739">
        <f t="shared" si="779"/>
        <v>0</v>
      </c>
      <c r="L3151" s="1079"/>
      <c r="M3151" s="755"/>
      <c r="N3151" s="744">
        <f t="shared" si="781"/>
        <v>0</v>
      </c>
      <c r="O3151" s="745">
        <v>0</v>
      </c>
      <c r="P3151" s="737">
        <v>0</v>
      </c>
      <c r="Q3151" s="755"/>
      <c r="R3151" s="755"/>
      <c r="S3151" s="755"/>
    </row>
    <row r="3152" spans="1:19" s="756" customFormat="1" ht="24" customHeight="1">
      <c r="A3152" s="734"/>
      <c r="B3152" s="747"/>
      <c r="C3152" s="735" t="s">
        <v>488</v>
      </c>
      <c r="D3152" s="907"/>
      <c r="E3152" s="737">
        <f t="shared" si="780"/>
        <v>0</v>
      </c>
      <c r="F3152" s="738"/>
      <c r="G3152" s="739">
        <v>0</v>
      </c>
      <c r="H3152" s="748">
        <f t="shared" si="777"/>
        <v>0</v>
      </c>
      <c r="I3152" s="741">
        <v>0</v>
      </c>
      <c r="J3152" s="749">
        <f t="shared" si="778"/>
        <v>0</v>
      </c>
      <c r="K3152" s="739">
        <f t="shared" si="779"/>
        <v>0</v>
      </c>
      <c r="L3152" s="1079"/>
      <c r="M3152" s="755"/>
      <c r="N3152" s="744">
        <f t="shared" si="781"/>
        <v>0</v>
      </c>
      <c r="O3152" s="745">
        <v>0</v>
      </c>
      <c r="P3152" s="737">
        <v>0</v>
      </c>
      <c r="Q3152" s="755"/>
      <c r="R3152" s="755"/>
      <c r="S3152" s="755"/>
    </row>
    <row r="3153" spans="1:19" s="753" customFormat="1" ht="24" customHeight="1">
      <c r="A3153" s="734"/>
      <c r="B3153" s="747" t="s">
        <v>469</v>
      </c>
      <c r="C3153" s="735" t="s">
        <v>518</v>
      </c>
      <c r="D3153" s="735"/>
      <c r="E3153" s="737">
        <f t="shared" si="780"/>
        <v>0</v>
      </c>
      <c r="F3153" s="738" t="s">
        <v>361</v>
      </c>
      <c r="G3153" s="739">
        <v>3886</v>
      </c>
      <c r="H3153" s="748">
        <f t="shared" ref="H3153:H3186" si="782">SUM(E3153*G3153)</f>
        <v>0</v>
      </c>
      <c r="I3153" s="741">
        <v>1238</v>
      </c>
      <c r="J3153" s="749">
        <f t="shared" ref="J3153:J3186" si="783">SUM(E3153*I3153)</f>
        <v>0</v>
      </c>
      <c r="K3153" s="739">
        <f t="shared" si="779"/>
        <v>0</v>
      </c>
      <c r="L3153" s="1079"/>
      <c r="M3153" s="752"/>
      <c r="N3153" s="744">
        <f t="shared" si="781"/>
        <v>0</v>
      </c>
      <c r="O3153" s="745">
        <v>0</v>
      </c>
      <c r="P3153" s="737">
        <v>0</v>
      </c>
      <c r="Q3153" s="752"/>
      <c r="R3153" s="752"/>
      <c r="S3153" s="752"/>
    </row>
    <row r="3154" spans="1:19" s="753" customFormat="1" ht="24" customHeight="1">
      <c r="A3154" s="734"/>
      <c r="B3154" s="747"/>
      <c r="C3154" s="735" t="s">
        <v>513</v>
      </c>
      <c r="D3154" s="735"/>
      <c r="E3154" s="737">
        <f t="shared" si="780"/>
        <v>0</v>
      </c>
      <c r="F3154" s="738"/>
      <c r="G3154" s="739">
        <v>0</v>
      </c>
      <c r="H3154" s="748">
        <f t="shared" si="782"/>
        <v>0</v>
      </c>
      <c r="I3154" s="741">
        <v>0</v>
      </c>
      <c r="J3154" s="749">
        <f t="shared" si="783"/>
        <v>0</v>
      </c>
      <c r="K3154" s="739">
        <f t="shared" si="779"/>
        <v>0</v>
      </c>
      <c r="L3154" s="1079"/>
      <c r="M3154" s="752"/>
      <c r="N3154" s="744">
        <f t="shared" si="781"/>
        <v>0</v>
      </c>
      <c r="O3154" s="745">
        <v>0</v>
      </c>
      <c r="P3154" s="737">
        <v>0</v>
      </c>
      <c r="Q3154" s="752"/>
      <c r="R3154" s="752"/>
      <c r="S3154" s="752"/>
    </row>
    <row r="3155" spans="1:19" s="682" customFormat="1" ht="24" customHeight="1">
      <c r="A3155" s="734"/>
      <c r="B3155" s="747" t="s">
        <v>469</v>
      </c>
      <c r="C3155" s="735" t="s">
        <v>519</v>
      </c>
      <c r="D3155" s="735"/>
      <c r="E3155" s="737">
        <f t="shared" si="780"/>
        <v>1</v>
      </c>
      <c r="F3155" s="738" t="s">
        <v>363</v>
      </c>
      <c r="G3155" s="739">
        <v>800</v>
      </c>
      <c r="H3155" s="748">
        <f t="shared" si="782"/>
        <v>800</v>
      </c>
      <c r="I3155" s="741">
        <v>70</v>
      </c>
      <c r="J3155" s="749">
        <f t="shared" si="783"/>
        <v>70</v>
      </c>
      <c r="K3155" s="739">
        <f t="shared" si="779"/>
        <v>870</v>
      </c>
      <c r="L3155" s="1079"/>
      <c r="M3155" s="679"/>
      <c r="N3155" s="744">
        <f t="shared" si="781"/>
        <v>1</v>
      </c>
      <c r="O3155" s="745">
        <v>0</v>
      </c>
      <c r="P3155" s="737">
        <v>1</v>
      </c>
      <c r="Q3155" s="679"/>
      <c r="R3155" s="679"/>
      <c r="S3155" s="679"/>
    </row>
    <row r="3156" spans="1:19" s="682" customFormat="1" ht="24" customHeight="1">
      <c r="A3156" s="734"/>
      <c r="B3156" s="747" t="s">
        <v>469</v>
      </c>
      <c r="C3156" s="735" t="s">
        <v>520</v>
      </c>
      <c r="D3156" s="735"/>
      <c r="E3156" s="737">
        <f t="shared" si="780"/>
        <v>0</v>
      </c>
      <c r="F3156" s="738" t="s">
        <v>361</v>
      </c>
      <c r="G3156" s="739">
        <v>190</v>
      </c>
      <c r="H3156" s="748">
        <f t="shared" si="782"/>
        <v>0</v>
      </c>
      <c r="I3156" s="741">
        <v>75</v>
      </c>
      <c r="J3156" s="749">
        <f t="shared" si="783"/>
        <v>0</v>
      </c>
      <c r="K3156" s="739">
        <f t="shared" si="779"/>
        <v>0</v>
      </c>
      <c r="L3156" s="1079"/>
      <c r="M3156" s="679"/>
      <c r="N3156" s="744">
        <f t="shared" si="781"/>
        <v>0</v>
      </c>
      <c r="O3156" s="745">
        <v>0</v>
      </c>
      <c r="P3156" s="737">
        <v>0</v>
      </c>
      <c r="Q3156" s="679"/>
      <c r="R3156" s="679"/>
      <c r="S3156" s="679"/>
    </row>
    <row r="3157" spans="1:19" s="682" customFormat="1" ht="24" customHeight="1">
      <c r="A3157" s="734"/>
      <c r="B3157" s="747"/>
      <c r="C3157" s="735"/>
      <c r="D3157" s="735"/>
      <c r="E3157" s="737">
        <f t="shared" si="780"/>
        <v>0</v>
      </c>
      <c r="F3157" s="738"/>
      <c r="G3157" s="739"/>
      <c r="H3157" s="748">
        <f t="shared" si="782"/>
        <v>0</v>
      </c>
      <c r="I3157" s="741"/>
      <c r="J3157" s="749">
        <f t="shared" si="783"/>
        <v>0</v>
      </c>
      <c r="K3157" s="739">
        <f t="shared" si="779"/>
        <v>0</v>
      </c>
      <c r="L3157" s="1079"/>
      <c r="M3157" s="679"/>
      <c r="N3157" s="744">
        <f t="shared" si="781"/>
        <v>0</v>
      </c>
      <c r="O3157" s="745">
        <v>0</v>
      </c>
      <c r="P3157" s="737">
        <v>0</v>
      </c>
      <c r="Q3157" s="679"/>
      <c r="R3157" s="679"/>
      <c r="S3157" s="679"/>
    </row>
    <row r="3158" spans="1:19" s="753" customFormat="1" ht="24" customHeight="1">
      <c r="A3158" s="734"/>
      <c r="B3158" s="735" t="s">
        <v>1078</v>
      </c>
      <c r="C3158" s="735"/>
      <c r="D3158" s="735"/>
      <c r="E3158" s="737">
        <f t="shared" si="780"/>
        <v>0</v>
      </c>
      <c r="F3158" s="738"/>
      <c r="G3158" s="739">
        <v>0</v>
      </c>
      <c r="H3158" s="748">
        <f t="shared" si="782"/>
        <v>0</v>
      </c>
      <c r="I3158" s="741">
        <v>0</v>
      </c>
      <c r="J3158" s="749">
        <f t="shared" si="783"/>
        <v>0</v>
      </c>
      <c r="K3158" s="739">
        <f t="shared" si="779"/>
        <v>0</v>
      </c>
      <c r="L3158" s="1079"/>
      <c r="M3158" s="752"/>
      <c r="N3158" s="744">
        <f t="shared" si="781"/>
        <v>0</v>
      </c>
      <c r="O3158" s="745">
        <v>0</v>
      </c>
      <c r="P3158" s="737">
        <v>0</v>
      </c>
      <c r="Q3158" s="752"/>
      <c r="R3158" s="752"/>
      <c r="S3158" s="752"/>
    </row>
    <row r="3159" spans="1:19" s="753" customFormat="1" ht="24" customHeight="1">
      <c r="A3159" s="734"/>
      <c r="B3159" s="747" t="s">
        <v>469</v>
      </c>
      <c r="C3159" s="735" t="s">
        <v>522</v>
      </c>
      <c r="D3159" s="735"/>
      <c r="E3159" s="737">
        <f t="shared" si="780"/>
        <v>1</v>
      </c>
      <c r="F3159" s="738" t="s">
        <v>363</v>
      </c>
      <c r="G3159" s="739">
        <v>6832</v>
      </c>
      <c r="H3159" s="748">
        <f t="shared" si="782"/>
        <v>6832</v>
      </c>
      <c r="I3159" s="741">
        <v>450</v>
      </c>
      <c r="J3159" s="749">
        <f t="shared" si="783"/>
        <v>450</v>
      </c>
      <c r="K3159" s="739">
        <f t="shared" si="779"/>
        <v>7282</v>
      </c>
      <c r="L3159" s="1079"/>
      <c r="M3159" s="752"/>
      <c r="N3159" s="744">
        <f t="shared" si="781"/>
        <v>1</v>
      </c>
      <c r="O3159" s="745">
        <v>0</v>
      </c>
      <c r="P3159" s="737">
        <v>1</v>
      </c>
      <c r="Q3159" s="752"/>
      <c r="R3159" s="752"/>
      <c r="S3159" s="752"/>
    </row>
    <row r="3160" spans="1:19" s="753" customFormat="1" ht="24" customHeight="1">
      <c r="A3160" s="734"/>
      <c r="B3160" s="747" t="s">
        <v>469</v>
      </c>
      <c r="C3160" s="735" t="s">
        <v>498</v>
      </c>
      <c r="D3160" s="735"/>
      <c r="E3160" s="737">
        <f t="shared" si="780"/>
        <v>1</v>
      </c>
      <c r="F3160" s="738" t="s">
        <v>363</v>
      </c>
      <c r="G3160" s="739">
        <v>6640</v>
      </c>
      <c r="H3160" s="748">
        <f t="shared" si="782"/>
        <v>6640</v>
      </c>
      <c r="I3160" s="741">
        <v>200</v>
      </c>
      <c r="J3160" s="749">
        <f t="shared" si="783"/>
        <v>200</v>
      </c>
      <c r="K3160" s="739">
        <f t="shared" si="779"/>
        <v>6840</v>
      </c>
      <c r="L3160" s="1079"/>
      <c r="M3160" s="752"/>
      <c r="N3160" s="744">
        <f t="shared" si="781"/>
        <v>1</v>
      </c>
      <c r="O3160" s="745">
        <v>0</v>
      </c>
      <c r="P3160" s="737">
        <v>1</v>
      </c>
      <c r="Q3160" s="752"/>
      <c r="R3160" s="752"/>
      <c r="S3160" s="752"/>
    </row>
    <row r="3161" spans="1:19" s="753" customFormat="1" ht="24" customHeight="1">
      <c r="A3161" s="734"/>
      <c r="B3161" s="747" t="s">
        <v>469</v>
      </c>
      <c r="C3161" s="735" t="s">
        <v>476</v>
      </c>
      <c r="D3161" s="735"/>
      <c r="E3161" s="737">
        <f t="shared" si="780"/>
        <v>1</v>
      </c>
      <c r="F3161" s="738" t="s">
        <v>363</v>
      </c>
      <c r="G3161" s="739">
        <v>336</v>
      </c>
      <c r="H3161" s="748">
        <f t="shared" si="782"/>
        <v>336</v>
      </c>
      <c r="I3161" s="741">
        <v>0</v>
      </c>
      <c r="J3161" s="749">
        <f t="shared" si="783"/>
        <v>0</v>
      </c>
      <c r="K3161" s="739">
        <f t="shared" si="779"/>
        <v>336</v>
      </c>
      <c r="L3161" s="1079"/>
      <c r="M3161" s="752"/>
      <c r="N3161" s="744">
        <f t="shared" si="781"/>
        <v>1</v>
      </c>
      <c r="O3161" s="745">
        <v>0</v>
      </c>
      <c r="P3161" s="737">
        <v>1</v>
      </c>
      <c r="Q3161" s="752"/>
      <c r="R3161" s="752"/>
      <c r="S3161" s="752"/>
    </row>
    <row r="3162" spans="1:19" s="753" customFormat="1" ht="24" customHeight="1">
      <c r="A3162" s="734"/>
      <c r="B3162" s="747" t="s">
        <v>469</v>
      </c>
      <c r="C3162" s="735" t="s">
        <v>477</v>
      </c>
      <c r="D3162" s="735"/>
      <c r="E3162" s="737">
        <f t="shared" si="780"/>
        <v>1</v>
      </c>
      <c r="F3162" s="738" t="s">
        <v>363</v>
      </c>
      <c r="G3162" s="739">
        <v>736</v>
      </c>
      <c r="H3162" s="748">
        <f t="shared" si="782"/>
        <v>736</v>
      </c>
      <c r="I3162" s="741">
        <v>0</v>
      </c>
      <c r="J3162" s="749">
        <f t="shared" si="783"/>
        <v>0</v>
      </c>
      <c r="K3162" s="739">
        <f t="shared" si="779"/>
        <v>736</v>
      </c>
      <c r="L3162" s="1079"/>
      <c r="M3162" s="752"/>
      <c r="N3162" s="744">
        <f t="shared" si="781"/>
        <v>1</v>
      </c>
      <c r="O3162" s="745">
        <v>0</v>
      </c>
      <c r="P3162" s="737">
        <v>1</v>
      </c>
      <c r="Q3162" s="752"/>
      <c r="R3162" s="752"/>
      <c r="S3162" s="752"/>
    </row>
    <row r="3163" spans="1:19" s="753" customFormat="1" ht="24" customHeight="1">
      <c r="A3163" s="734"/>
      <c r="B3163" s="747" t="s">
        <v>469</v>
      </c>
      <c r="C3163" s="735" t="s">
        <v>478</v>
      </c>
      <c r="D3163" s="735"/>
      <c r="E3163" s="737">
        <f t="shared" si="780"/>
        <v>1</v>
      </c>
      <c r="F3163" s="738" t="s">
        <v>363</v>
      </c>
      <c r="G3163" s="739">
        <v>176</v>
      </c>
      <c r="H3163" s="748">
        <f t="shared" si="782"/>
        <v>176</v>
      </c>
      <c r="I3163" s="741">
        <v>0</v>
      </c>
      <c r="J3163" s="749">
        <f t="shared" si="783"/>
        <v>0</v>
      </c>
      <c r="K3163" s="739">
        <f t="shared" si="779"/>
        <v>176</v>
      </c>
      <c r="L3163" s="1079"/>
      <c r="M3163" s="752"/>
      <c r="N3163" s="744">
        <f t="shared" si="781"/>
        <v>1</v>
      </c>
      <c r="O3163" s="745">
        <v>0</v>
      </c>
      <c r="P3163" s="737">
        <v>1</v>
      </c>
      <c r="Q3163" s="752"/>
      <c r="R3163" s="752"/>
      <c r="S3163" s="752"/>
    </row>
    <row r="3164" spans="1:19" s="753" customFormat="1" ht="24" customHeight="1">
      <c r="A3164" s="734"/>
      <c r="B3164" s="747" t="s">
        <v>469</v>
      </c>
      <c r="C3164" s="735" t="s">
        <v>499</v>
      </c>
      <c r="D3164" s="735"/>
      <c r="E3164" s="737">
        <f t="shared" si="780"/>
        <v>1</v>
      </c>
      <c r="F3164" s="738" t="s">
        <v>363</v>
      </c>
      <c r="G3164" s="739">
        <v>216</v>
      </c>
      <c r="H3164" s="748">
        <f t="shared" si="782"/>
        <v>216</v>
      </c>
      <c r="I3164" s="741">
        <v>35</v>
      </c>
      <c r="J3164" s="749">
        <f t="shared" si="783"/>
        <v>35</v>
      </c>
      <c r="K3164" s="739">
        <f t="shared" si="779"/>
        <v>251</v>
      </c>
      <c r="L3164" s="1079"/>
      <c r="M3164" s="752"/>
      <c r="N3164" s="744">
        <f t="shared" si="781"/>
        <v>1</v>
      </c>
      <c r="O3164" s="745">
        <v>0</v>
      </c>
      <c r="P3164" s="737">
        <v>1</v>
      </c>
      <c r="Q3164" s="752"/>
      <c r="R3164" s="752"/>
      <c r="S3164" s="752"/>
    </row>
    <row r="3165" spans="1:19" s="753" customFormat="1" ht="24" customHeight="1">
      <c r="A3165" s="734"/>
      <c r="B3165" s="750"/>
      <c r="C3165" s="757"/>
      <c r="D3165" s="907"/>
      <c r="E3165" s="737">
        <f t="shared" si="780"/>
        <v>0</v>
      </c>
      <c r="F3165" s="738"/>
      <c r="G3165" s="739">
        <v>0</v>
      </c>
      <c r="H3165" s="748">
        <f t="shared" si="782"/>
        <v>0</v>
      </c>
      <c r="I3165" s="741">
        <v>0</v>
      </c>
      <c r="J3165" s="749">
        <f t="shared" si="783"/>
        <v>0</v>
      </c>
      <c r="K3165" s="739">
        <f t="shared" si="779"/>
        <v>0</v>
      </c>
      <c r="L3165" s="1079"/>
      <c r="M3165" s="752"/>
      <c r="N3165" s="744">
        <f t="shared" si="781"/>
        <v>0</v>
      </c>
      <c r="O3165" s="745">
        <v>0</v>
      </c>
      <c r="P3165" s="737">
        <v>0</v>
      </c>
      <c r="Q3165" s="752"/>
      <c r="R3165" s="752"/>
      <c r="S3165" s="752"/>
    </row>
    <row r="3166" spans="1:19" s="753" customFormat="1" ht="24" customHeight="1">
      <c r="A3166" s="734"/>
      <c r="B3166" s="747" t="s">
        <v>469</v>
      </c>
      <c r="C3166" s="735" t="s">
        <v>523</v>
      </c>
      <c r="D3166" s="735"/>
      <c r="E3166" s="737">
        <f t="shared" si="780"/>
        <v>1</v>
      </c>
      <c r="F3166" s="738" t="s">
        <v>363</v>
      </c>
      <c r="G3166" s="739">
        <v>6580</v>
      </c>
      <c r="H3166" s="748">
        <f t="shared" si="782"/>
        <v>6580</v>
      </c>
      <c r="I3166" s="741">
        <v>450</v>
      </c>
      <c r="J3166" s="749">
        <f t="shared" si="783"/>
        <v>450</v>
      </c>
      <c r="K3166" s="739">
        <f t="shared" si="779"/>
        <v>7030</v>
      </c>
      <c r="L3166" s="1079"/>
      <c r="M3166" s="752"/>
      <c r="N3166" s="744">
        <f t="shared" si="781"/>
        <v>1</v>
      </c>
      <c r="O3166" s="745">
        <v>0</v>
      </c>
      <c r="P3166" s="737">
        <v>1</v>
      </c>
      <c r="Q3166" s="752"/>
      <c r="R3166" s="752"/>
      <c r="S3166" s="752"/>
    </row>
    <row r="3167" spans="1:19" s="753" customFormat="1" ht="24" customHeight="1">
      <c r="A3167" s="734"/>
      <c r="B3167" s="747" t="s">
        <v>469</v>
      </c>
      <c r="C3167" s="735" t="s">
        <v>478</v>
      </c>
      <c r="D3167" s="735"/>
      <c r="E3167" s="737">
        <f t="shared" si="780"/>
        <v>1</v>
      </c>
      <c r="F3167" s="738" t="s">
        <v>363</v>
      </c>
      <c r="G3167" s="739">
        <v>176</v>
      </c>
      <c r="H3167" s="748">
        <f t="shared" si="782"/>
        <v>176</v>
      </c>
      <c r="I3167" s="741">
        <v>0</v>
      </c>
      <c r="J3167" s="749">
        <f t="shared" si="783"/>
        <v>0</v>
      </c>
      <c r="K3167" s="739">
        <f t="shared" si="779"/>
        <v>176</v>
      </c>
      <c r="L3167" s="1079"/>
      <c r="M3167" s="752"/>
      <c r="N3167" s="744">
        <f t="shared" si="781"/>
        <v>1</v>
      </c>
      <c r="O3167" s="745">
        <v>0</v>
      </c>
      <c r="P3167" s="737">
        <v>1</v>
      </c>
      <c r="Q3167" s="752"/>
      <c r="R3167" s="752"/>
      <c r="S3167" s="752"/>
    </row>
    <row r="3168" spans="1:19" s="753" customFormat="1" ht="24" customHeight="1">
      <c r="A3168" s="734"/>
      <c r="B3168" s="747" t="s">
        <v>469</v>
      </c>
      <c r="C3168" s="735" t="s">
        <v>482</v>
      </c>
      <c r="D3168" s="735"/>
      <c r="E3168" s="737">
        <f t="shared" si="780"/>
        <v>1</v>
      </c>
      <c r="F3168" s="738" t="s">
        <v>363</v>
      </c>
      <c r="G3168" s="739">
        <v>560</v>
      </c>
      <c r="H3168" s="748">
        <f t="shared" si="782"/>
        <v>560</v>
      </c>
      <c r="I3168" s="741">
        <v>35</v>
      </c>
      <c r="J3168" s="749">
        <f t="shared" si="783"/>
        <v>35</v>
      </c>
      <c r="K3168" s="739">
        <f t="shared" si="779"/>
        <v>595</v>
      </c>
      <c r="L3168" s="1079"/>
      <c r="M3168" s="752"/>
      <c r="N3168" s="744">
        <f t="shared" si="781"/>
        <v>1</v>
      </c>
      <c r="O3168" s="745">
        <v>0</v>
      </c>
      <c r="P3168" s="737">
        <v>1</v>
      </c>
      <c r="Q3168" s="752"/>
      <c r="R3168" s="752"/>
      <c r="S3168" s="752"/>
    </row>
    <row r="3169" spans="1:19" s="753" customFormat="1" ht="24" customHeight="1">
      <c r="A3169" s="734"/>
      <c r="B3169" s="747" t="s">
        <v>469</v>
      </c>
      <c r="C3169" s="735" t="s">
        <v>524</v>
      </c>
      <c r="D3169" s="735"/>
      <c r="E3169" s="737">
        <f t="shared" si="780"/>
        <v>1</v>
      </c>
      <c r="F3169" s="738" t="s">
        <v>363</v>
      </c>
      <c r="G3169" s="739">
        <v>216</v>
      </c>
      <c r="H3169" s="748">
        <f t="shared" si="782"/>
        <v>216</v>
      </c>
      <c r="I3169" s="741">
        <v>35</v>
      </c>
      <c r="J3169" s="749">
        <f t="shared" si="783"/>
        <v>35</v>
      </c>
      <c r="K3169" s="739">
        <f t="shared" si="779"/>
        <v>251</v>
      </c>
      <c r="L3169" s="1079"/>
      <c r="M3169" s="752"/>
      <c r="N3169" s="744">
        <f t="shared" si="781"/>
        <v>1</v>
      </c>
      <c r="O3169" s="745">
        <v>0</v>
      </c>
      <c r="P3169" s="737">
        <v>1</v>
      </c>
      <c r="Q3169" s="752"/>
      <c r="R3169" s="752"/>
      <c r="S3169" s="752"/>
    </row>
    <row r="3170" spans="1:19" s="753" customFormat="1" ht="24" customHeight="1">
      <c r="A3170" s="734"/>
      <c r="B3170" s="747"/>
      <c r="C3170" s="735"/>
      <c r="D3170" s="735"/>
      <c r="E3170" s="737">
        <f t="shared" si="780"/>
        <v>0</v>
      </c>
      <c r="F3170" s="738"/>
      <c r="G3170" s="739">
        <v>0</v>
      </c>
      <c r="H3170" s="748">
        <f t="shared" si="782"/>
        <v>0</v>
      </c>
      <c r="I3170" s="741">
        <v>0</v>
      </c>
      <c r="J3170" s="749">
        <f t="shared" si="783"/>
        <v>0</v>
      </c>
      <c r="K3170" s="739">
        <f t="shared" si="779"/>
        <v>0</v>
      </c>
      <c r="L3170" s="1079"/>
      <c r="M3170" s="752"/>
      <c r="N3170" s="744">
        <f t="shared" si="781"/>
        <v>0</v>
      </c>
      <c r="O3170" s="745">
        <v>0</v>
      </c>
      <c r="P3170" s="737">
        <v>0</v>
      </c>
      <c r="Q3170" s="752"/>
      <c r="R3170" s="752"/>
      <c r="S3170" s="752"/>
    </row>
    <row r="3171" spans="1:19" s="753" customFormat="1" ht="24" customHeight="1">
      <c r="A3171" s="734"/>
      <c r="B3171" s="747" t="s">
        <v>469</v>
      </c>
      <c r="C3171" s="735" t="s">
        <v>486</v>
      </c>
      <c r="D3171" s="735"/>
      <c r="E3171" s="737">
        <f t="shared" si="780"/>
        <v>1</v>
      </c>
      <c r="F3171" s="738" t="s">
        <v>363</v>
      </c>
      <c r="G3171" s="739">
        <v>552</v>
      </c>
      <c r="H3171" s="748">
        <f t="shared" si="782"/>
        <v>552</v>
      </c>
      <c r="I3171" s="741">
        <v>25</v>
      </c>
      <c r="J3171" s="749">
        <f t="shared" si="783"/>
        <v>25</v>
      </c>
      <c r="K3171" s="739">
        <f t="shared" si="779"/>
        <v>577</v>
      </c>
      <c r="L3171" s="1079"/>
      <c r="M3171" s="752"/>
      <c r="N3171" s="744">
        <f t="shared" si="781"/>
        <v>1</v>
      </c>
      <c r="O3171" s="745">
        <v>0</v>
      </c>
      <c r="P3171" s="737">
        <v>1</v>
      </c>
      <c r="Q3171" s="752"/>
      <c r="R3171" s="752"/>
      <c r="S3171" s="752"/>
    </row>
    <row r="3172" spans="1:19" s="753" customFormat="1" ht="24" customHeight="1">
      <c r="A3172" s="734"/>
      <c r="B3172" s="747" t="s">
        <v>484</v>
      </c>
      <c r="C3172" s="735" t="s">
        <v>485</v>
      </c>
      <c r="D3172" s="735"/>
      <c r="E3172" s="737">
        <f t="shared" si="780"/>
        <v>1</v>
      </c>
      <c r="F3172" s="738" t="s">
        <v>363</v>
      </c>
      <c r="G3172" s="739">
        <v>285</v>
      </c>
      <c r="H3172" s="748">
        <f t="shared" si="782"/>
        <v>285</v>
      </c>
      <c r="I3172" s="741">
        <v>75</v>
      </c>
      <c r="J3172" s="749">
        <f t="shared" si="783"/>
        <v>75</v>
      </c>
      <c r="K3172" s="739">
        <f t="shared" si="779"/>
        <v>360</v>
      </c>
      <c r="L3172" s="1093"/>
      <c r="M3172" s="752"/>
      <c r="N3172" s="744">
        <f t="shared" si="781"/>
        <v>1</v>
      </c>
      <c r="O3172" s="745">
        <v>0</v>
      </c>
      <c r="P3172" s="737">
        <v>1</v>
      </c>
      <c r="Q3172" s="752"/>
      <c r="R3172" s="752"/>
      <c r="S3172" s="752"/>
    </row>
    <row r="3173" spans="1:19" s="753" customFormat="1" ht="24" customHeight="1">
      <c r="A3173" s="734"/>
      <c r="B3173" s="747"/>
      <c r="C3173" s="735"/>
      <c r="D3173" s="735"/>
      <c r="E3173" s="737">
        <f t="shared" si="780"/>
        <v>0</v>
      </c>
      <c r="F3173" s="738"/>
      <c r="G3173" s="739">
        <v>0</v>
      </c>
      <c r="H3173" s="748">
        <f t="shared" si="782"/>
        <v>0</v>
      </c>
      <c r="I3173" s="741">
        <v>0</v>
      </c>
      <c r="J3173" s="749">
        <f t="shared" si="783"/>
        <v>0</v>
      </c>
      <c r="K3173" s="739">
        <f t="shared" si="779"/>
        <v>0</v>
      </c>
      <c r="L3173" s="1079"/>
      <c r="M3173" s="752"/>
      <c r="N3173" s="744">
        <f t="shared" si="781"/>
        <v>0</v>
      </c>
      <c r="O3173" s="745">
        <v>0</v>
      </c>
      <c r="P3173" s="737">
        <v>0</v>
      </c>
      <c r="Q3173" s="752"/>
      <c r="R3173" s="752"/>
      <c r="S3173" s="752"/>
    </row>
    <row r="3174" spans="1:19" s="753" customFormat="1" ht="24" customHeight="1">
      <c r="A3174" s="734"/>
      <c r="B3174" s="747" t="s">
        <v>469</v>
      </c>
      <c r="C3174" s="735" t="s">
        <v>507</v>
      </c>
      <c r="D3174" s="735"/>
      <c r="E3174" s="737">
        <f t="shared" si="780"/>
        <v>1</v>
      </c>
      <c r="F3174" s="738" t="s">
        <v>363</v>
      </c>
      <c r="G3174" s="739">
        <v>1650</v>
      </c>
      <c r="H3174" s="748">
        <f t="shared" si="782"/>
        <v>1650</v>
      </c>
      <c r="I3174" s="741">
        <v>70</v>
      </c>
      <c r="J3174" s="749">
        <f t="shared" si="783"/>
        <v>70</v>
      </c>
      <c r="K3174" s="739">
        <f t="shared" si="779"/>
        <v>1720</v>
      </c>
      <c r="L3174" s="1079"/>
      <c r="M3174" s="752"/>
      <c r="N3174" s="744">
        <f t="shared" si="781"/>
        <v>1</v>
      </c>
      <c r="O3174" s="745">
        <v>0</v>
      </c>
      <c r="P3174" s="737">
        <v>1</v>
      </c>
      <c r="Q3174" s="752"/>
      <c r="R3174" s="752"/>
      <c r="S3174" s="752"/>
    </row>
    <row r="3175" spans="1:19" s="753" customFormat="1" ht="24" customHeight="1">
      <c r="A3175" s="734"/>
      <c r="B3175" s="747" t="s">
        <v>469</v>
      </c>
      <c r="C3175" s="735" t="s">
        <v>525</v>
      </c>
      <c r="D3175" s="735"/>
      <c r="E3175" s="737">
        <f t="shared" si="780"/>
        <v>2</v>
      </c>
      <c r="F3175" s="738" t="s">
        <v>363</v>
      </c>
      <c r="G3175" s="739">
        <v>4160</v>
      </c>
      <c r="H3175" s="748">
        <f t="shared" si="782"/>
        <v>8320</v>
      </c>
      <c r="I3175" s="741">
        <v>105</v>
      </c>
      <c r="J3175" s="749">
        <f t="shared" si="783"/>
        <v>210</v>
      </c>
      <c r="K3175" s="739">
        <f t="shared" si="779"/>
        <v>8530</v>
      </c>
      <c r="L3175" s="1079"/>
      <c r="M3175" s="752"/>
      <c r="N3175" s="744">
        <f t="shared" si="781"/>
        <v>2</v>
      </c>
      <c r="O3175" s="745">
        <v>0</v>
      </c>
      <c r="P3175" s="737">
        <v>2</v>
      </c>
      <c r="Q3175" s="752"/>
      <c r="R3175" s="752"/>
      <c r="S3175" s="752"/>
    </row>
    <row r="3176" spans="1:19" s="753" customFormat="1" ht="24" customHeight="1">
      <c r="A3176" s="734"/>
      <c r="B3176" s="747" t="s">
        <v>469</v>
      </c>
      <c r="C3176" s="735" t="s">
        <v>526</v>
      </c>
      <c r="D3176" s="735"/>
      <c r="E3176" s="737">
        <f t="shared" si="780"/>
        <v>1</v>
      </c>
      <c r="F3176" s="738" t="s">
        <v>363</v>
      </c>
      <c r="G3176" s="739">
        <v>2533.5</v>
      </c>
      <c r="H3176" s="748">
        <f t="shared" si="782"/>
        <v>2533.5</v>
      </c>
      <c r="I3176" s="741">
        <v>105</v>
      </c>
      <c r="J3176" s="749">
        <f t="shared" si="783"/>
        <v>105</v>
      </c>
      <c r="K3176" s="739">
        <f t="shared" si="779"/>
        <v>2638.5</v>
      </c>
      <c r="L3176" s="1079"/>
      <c r="M3176" s="752"/>
      <c r="N3176" s="744">
        <f t="shared" si="781"/>
        <v>1</v>
      </c>
      <c r="O3176" s="745">
        <v>0</v>
      </c>
      <c r="P3176" s="737">
        <v>1</v>
      </c>
      <c r="Q3176" s="752"/>
      <c r="R3176" s="752"/>
      <c r="S3176" s="752"/>
    </row>
    <row r="3177" spans="1:19" s="753" customFormat="1" ht="24" customHeight="1">
      <c r="A3177" s="734"/>
      <c r="B3177" s="747"/>
      <c r="C3177" s="735"/>
      <c r="D3177" s="735"/>
      <c r="E3177" s="737">
        <f t="shared" si="780"/>
        <v>0</v>
      </c>
      <c r="F3177" s="738"/>
      <c r="G3177" s="739">
        <v>0</v>
      </c>
      <c r="H3177" s="748">
        <f t="shared" si="782"/>
        <v>0</v>
      </c>
      <c r="I3177" s="741">
        <v>0</v>
      </c>
      <c r="J3177" s="749">
        <f t="shared" si="783"/>
        <v>0</v>
      </c>
      <c r="K3177" s="739">
        <f t="shared" si="779"/>
        <v>0</v>
      </c>
      <c r="L3177" s="1079"/>
      <c r="M3177" s="752"/>
      <c r="N3177" s="744">
        <f t="shared" si="781"/>
        <v>0</v>
      </c>
      <c r="O3177" s="745">
        <v>0</v>
      </c>
      <c r="P3177" s="737">
        <v>0</v>
      </c>
      <c r="Q3177" s="752"/>
      <c r="R3177" s="752"/>
      <c r="S3177" s="752"/>
    </row>
    <row r="3178" spans="1:19" s="753" customFormat="1" ht="24" customHeight="1">
      <c r="A3178" s="734"/>
      <c r="B3178" s="747" t="s">
        <v>469</v>
      </c>
      <c r="C3178" s="735" t="s">
        <v>527</v>
      </c>
      <c r="D3178" s="735"/>
      <c r="E3178" s="737">
        <f t="shared" si="780"/>
        <v>1</v>
      </c>
      <c r="F3178" s="738" t="s">
        <v>363</v>
      </c>
      <c r="G3178" s="739">
        <v>2855</v>
      </c>
      <c r="H3178" s="748">
        <f t="shared" si="782"/>
        <v>2855</v>
      </c>
      <c r="I3178" s="741">
        <v>1432</v>
      </c>
      <c r="J3178" s="749">
        <f t="shared" si="783"/>
        <v>1432</v>
      </c>
      <c r="K3178" s="739">
        <f t="shared" si="779"/>
        <v>4287</v>
      </c>
      <c r="L3178" s="1079"/>
      <c r="M3178" s="752"/>
      <c r="N3178" s="744">
        <f t="shared" si="781"/>
        <v>1</v>
      </c>
      <c r="O3178" s="745">
        <v>0</v>
      </c>
      <c r="P3178" s="737">
        <v>1</v>
      </c>
      <c r="Q3178" s="752"/>
      <c r="R3178" s="752"/>
      <c r="S3178" s="752"/>
    </row>
    <row r="3179" spans="1:19" s="682" customFormat="1" ht="24" customHeight="1">
      <c r="A3179" s="734"/>
      <c r="B3179" s="747" t="s">
        <v>469</v>
      </c>
      <c r="C3179" s="735" t="s">
        <v>528</v>
      </c>
      <c r="D3179" s="735"/>
      <c r="E3179" s="737">
        <f t="shared" si="780"/>
        <v>0</v>
      </c>
      <c r="F3179" s="738" t="s">
        <v>363</v>
      </c>
      <c r="G3179" s="739">
        <v>9750</v>
      </c>
      <c r="H3179" s="748">
        <f t="shared" si="782"/>
        <v>0</v>
      </c>
      <c r="I3179" s="741">
        <v>105</v>
      </c>
      <c r="J3179" s="749">
        <f t="shared" si="783"/>
        <v>0</v>
      </c>
      <c r="K3179" s="739">
        <f t="shared" ref="K3179:K3186" si="784">SUM(H3179+J3179)</f>
        <v>0</v>
      </c>
      <c r="L3179" s="1079"/>
      <c r="M3179" s="679"/>
      <c r="N3179" s="744">
        <f t="shared" si="781"/>
        <v>0</v>
      </c>
      <c r="O3179" s="745">
        <v>0</v>
      </c>
      <c r="P3179" s="737">
        <v>0</v>
      </c>
      <c r="Q3179" s="679"/>
      <c r="R3179" s="679"/>
      <c r="S3179" s="679"/>
    </row>
    <row r="3180" spans="1:19" s="682" customFormat="1" ht="24" customHeight="1">
      <c r="A3180" s="734"/>
      <c r="B3180" s="747" t="s">
        <v>469</v>
      </c>
      <c r="C3180" s="735" t="s">
        <v>529</v>
      </c>
      <c r="D3180" s="735"/>
      <c r="E3180" s="737">
        <f t="shared" si="780"/>
        <v>0</v>
      </c>
      <c r="F3180" s="738" t="s">
        <v>363</v>
      </c>
      <c r="G3180" s="739">
        <v>5200</v>
      </c>
      <c r="H3180" s="748">
        <f t="shared" si="782"/>
        <v>0</v>
      </c>
      <c r="I3180" s="741">
        <v>70</v>
      </c>
      <c r="J3180" s="749">
        <f t="shared" si="783"/>
        <v>0</v>
      </c>
      <c r="K3180" s="739">
        <f t="shared" si="784"/>
        <v>0</v>
      </c>
      <c r="L3180" s="1079"/>
      <c r="M3180" s="679"/>
      <c r="N3180" s="744">
        <f t="shared" si="781"/>
        <v>0</v>
      </c>
      <c r="O3180" s="745">
        <v>0</v>
      </c>
      <c r="P3180" s="737">
        <v>0</v>
      </c>
      <c r="Q3180" s="679"/>
      <c r="R3180" s="679"/>
      <c r="S3180" s="679"/>
    </row>
    <row r="3181" spans="1:19" s="682" customFormat="1" ht="24" customHeight="1">
      <c r="A3181" s="734"/>
      <c r="B3181" s="747" t="s">
        <v>469</v>
      </c>
      <c r="C3181" s="735" t="s">
        <v>519</v>
      </c>
      <c r="D3181" s="735"/>
      <c r="E3181" s="737">
        <f t="shared" si="780"/>
        <v>1</v>
      </c>
      <c r="F3181" s="738" t="s">
        <v>363</v>
      </c>
      <c r="G3181" s="739">
        <v>800</v>
      </c>
      <c r="H3181" s="748">
        <f t="shared" si="782"/>
        <v>800</v>
      </c>
      <c r="I3181" s="741">
        <v>70</v>
      </c>
      <c r="J3181" s="749">
        <f t="shared" si="783"/>
        <v>70</v>
      </c>
      <c r="K3181" s="739">
        <f t="shared" si="784"/>
        <v>870</v>
      </c>
      <c r="L3181" s="1079"/>
      <c r="M3181" s="679"/>
      <c r="N3181" s="744">
        <f t="shared" si="781"/>
        <v>1</v>
      </c>
      <c r="O3181" s="745">
        <v>0</v>
      </c>
      <c r="P3181" s="737">
        <v>1</v>
      </c>
      <c r="Q3181" s="679"/>
      <c r="R3181" s="679"/>
      <c r="S3181" s="679"/>
    </row>
    <row r="3182" spans="1:19" s="682" customFormat="1" ht="24" customHeight="1">
      <c r="A3182" s="734"/>
      <c r="B3182" s="747" t="s">
        <v>469</v>
      </c>
      <c r="C3182" s="735" t="s">
        <v>520</v>
      </c>
      <c r="D3182" s="735"/>
      <c r="E3182" s="737">
        <f t="shared" ref="E3182:E3186" si="785">+N3182</f>
        <v>0</v>
      </c>
      <c r="F3182" s="738" t="s">
        <v>361</v>
      </c>
      <c r="G3182" s="739">
        <v>190</v>
      </c>
      <c r="H3182" s="748">
        <f t="shared" si="782"/>
        <v>0</v>
      </c>
      <c r="I3182" s="741">
        <v>75</v>
      </c>
      <c r="J3182" s="749">
        <f t="shared" si="783"/>
        <v>0</v>
      </c>
      <c r="K3182" s="739">
        <f t="shared" si="784"/>
        <v>0</v>
      </c>
      <c r="L3182" s="1079"/>
      <c r="M3182" s="679"/>
      <c r="N3182" s="744">
        <f t="shared" si="781"/>
        <v>0</v>
      </c>
      <c r="O3182" s="745">
        <v>0</v>
      </c>
      <c r="P3182" s="737">
        <v>0</v>
      </c>
      <c r="Q3182" s="679"/>
      <c r="R3182" s="679"/>
      <c r="S3182" s="679"/>
    </row>
    <row r="3183" spans="1:19" s="753" customFormat="1" ht="24" customHeight="1">
      <c r="A3183" s="734"/>
      <c r="B3183" s="747"/>
      <c r="C3183" s="735"/>
      <c r="D3183" s="735"/>
      <c r="E3183" s="737">
        <f t="shared" si="785"/>
        <v>0</v>
      </c>
      <c r="F3183" s="738"/>
      <c r="G3183" s="739">
        <v>0</v>
      </c>
      <c r="H3183" s="748">
        <f t="shared" si="782"/>
        <v>0</v>
      </c>
      <c r="I3183" s="741">
        <v>0</v>
      </c>
      <c r="J3183" s="749">
        <f t="shared" si="783"/>
        <v>0</v>
      </c>
      <c r="K3183" s="739">
        <f t="shared" si="784"/>
        <v>0</v>
      </c>
      <c r="L3183" s="1079"/>
      <c r="M3183" s="752"/>
      <c r="N3183" s="758">
        <f t="shared" si="781"/>
        <v>0</v>
      </c>
      <c r="O3183" s="745">
        <v>0</v>
      </c>
      <c r="P3183" s="759">
        <v>0</v>
      </c>
      <c r="Q3183" s="752"/>
      <c r="R3183" s="752"/>
      <c r="S3183" s="752"/>
    </row>
    <row r="3184" spans="1:19" s="753" customFormat="1" ht="24" customHeight="1">
      <c r="A3184" s="734"/>
      <c r="B3184" s="751" t="s">
        <v>1092</v>
      </c>
      <c r="C3184" s="735"/>
      <c r="D3184" s="735"/>
      <c r="E3184" s="737">
        <f t="shared" si="785"/>
        <v>0</v>
      </c>
      <c r="F3184" s="738"/>
      <c r="G3184" s="739">
        <v>0</v>
      </c>
      <c r="H3184" s="748">
        <f t="shared" si="782"/>
        <v>0</v>
      </c>
      <c r="I3184" s="741">
        <v>0</v>
      </c>
      <c r="J3184" s="749">
        <f t="shared" si="783"/>
        <v>0</v>
      </c>
      <c r="K3184" s="739">
        <f t="shared" si="784"/>
        <v>0</v>
      </c>
      <c r="L3184" s="1079"/>
      <c r="M3184" s="752"/>
      <c r="N3184" s="744">
        <f t="shared" si="781"/>
        <v>0</v>
      </c>
      <c r="O3184" s="745">
        <v>0</v>
      </c>
      <c r="P3184" s="737">
        <v>0</v>
      </c>
      <c r="Q3184" s="752"/>
      <c r="R3184" s="752"/>
      <c r="S3184" s="752"/>
    </row>
    <row r="3185" spans="1:19" s="753" customFormat="1" ht="24" customHeight="1">
      <c r="A3185" s="734"/>
      <c r="B3185" s="747" t="s">
        <v>469</v>
      </c>
      <c r="C3185" s="735" t="s">
        <v>486</v>
      </c>
      <c r="D3185" s="735"/>
      <c r="E3185" s="737">
        <f t="shared" si="785"/>
        <v>1</v>
      </c>
      <c r="F3185" s="738" t="s">
        <v>363</v>
      </c>
      <c r="G3185" s="739">
        <v>552</v>
      </c>
      <c r="H3185" s="748">
        <f t="shared" si="782"/>
        <v>552</v>
      </c>
      <c r="I3185" s="741">
        <v>25</v>
      </c>
      <c r="J3185" s="749">
        <f t="shared" si="783"/>
        <v>25</v>
      </c>
      <c r="K3185" s="739">
        <f t="shared" si="784"/>
        <v>577</v>
      </c>
      <c r="L3185" s="1079"/>
      <c r="M3185" s="752"/>
      <c r="N3185" s="744">
        <f t="shared" si="781"/>
        <v>1</v>
      </c>
      <c r="O3185" s="745">
        <v>0</v>
      </c>
      <c r="P3185" s="737">
        <v>1</v>
      </c>
      <c r="Q3185" s="752"/>
      <c r="R3185" s="752"/>
      <c r="S3185" s="752"/>
    </row>
    <row r="3186" spans="1:19" s="753" customFormat="1" ht="24" customHeight="1">
      <c r="A3186" s="734"/>
      <c r="B3186" s="747" t="s">
        <v>484</v>
      </c>
      <c r="C3186" s="735" t="s">
        <v>485</v>
      </c>
      <c r="D3186" s="735"/>
      <c r="E3186" s="737">
        <f t="shared" si="785"/>
        <v>1</v>
      </c>
      <c r="F3186" s="738" t="s">
        <v>363</v>
      </c>
      <c r="G3186" s="739">
        <v>285</v>
      </c>
      <c r="H3186" s="748">
        <f t="shared" si="782"/>
        <v>285</v>
      </c>
      <c r="I3186" s="741">
        <v>75</v>
      </c>
      <c r="J3186" s="749">
        <f t="shared" si="783"/>
        <v>75</v>
      </c>
      <c r="K3186" s="739">
        <f t="shared" si="784"/>
        <v>360</v>
      </c>
      <c r="L3186" s="1093"/>
      <c r="M3186" s="752"/>
      <c r="N3186" s="744">
        <f t="shared" si="781"/>
        <v>1</v>
      </c>
      <c r="O3186" s="745">
        <v>0</v>
      </c>
      <c r="P3186" s="737">
        <v>1</v>
      </c>
      <c r="Q3186" s="752"/>
      <c r="R3186" s="752"/>
      <c r="S3186" s="752"/>
    </row>
    <row r="3187" spans="1:19" s="753" customFormat="1" ht="24" customHeight="1">
      <c r="A3187" s="734"/>
      <c r="B3187" s="747"/>
      <c r="C3187" s="735"/>
      <c r="D3187" s="735"/>
      <c r="E3187" s="737"/>
      <c r="F3187" s="738"/>
      <c r="G3187" s="739"/>
      <c r="H3187" s="748"/>
      <c r="I3187" s="741"/>
      <c r="J3187" s="749"/>
      <c r="K3187" s="739"/>
      <c r="L3187" s="1093"/>
      <c r="M3187" s="752"/>
      <c r="N3187" s="744">
        <f t="shared" si="781"/>
        <v>0</v>
      </c>
      <c r="O3187" s="745">
        <v>0</v>
      </c>
      <c r="P3187" s="737">
        <v>0</v>
      </c>
      <c r="Q3187" s="752"/>
      <c r="R3187" s="752"/>
      <c r="S3187" s="752"/>
    </row>
    <row r="3188" spans="1:19" s="760" customFormat="1" ht="23.4">
      <c r="A3188" s="734" t="s">
        <v>761</v>
      </c>
      <c r="B3188" s="761" t="s">
        <v>536</v>
      </c>
      <c r="C3188" s="736"/>
      <c r="D3188" s="907"/>
      <c r="E3188" s="737"/>
      <c r="F3188" s="738"/>
      <c r="G3188" s="739">
        <v>0</v>
      </c>
      <c r="H3188" s="748">
        <f t="shared" ref="H3188:H3251" si="786">SUM(E3188*G3188)</f>
        <v>0</v>
      </c>
      <c r="I3188" s="741">
        <v>0</v>
      </c>
      <c r="J3188" s="749">
        <f t="shared" ref="J3188:J3235" si="787">SUM(E3188*I3188)</f>
        <v>0</v>
      </c>
      <c r="K3188" s="739">
        <f t="shared" ref="K3188:K3253" si="788">SUM(H3188+J3188)</f>
        <v>0</v>
      </c>
      <c r="L3188" s="1079"/>
      <c r="M3188" s="683"/>
      <c r="N3188" s="744">
        <f t="shared" si="781"/>
        <v>0</v>
      </c>
      <c r="O3188" s="745">
        <v>0</v>
      </c>
      <c r="P3188" s="737">
        <v>0</v>
      </c>
      <c r="Q3188" s="683"/>
      <c r="R3188" s="683"/>
      <c r="S3188" s="683"/>
    </row>
    <row r="3189" spans="1:19" s="753" customFormat="1" ht="24" customHeight="1">
      <c r="A3189" s="734"/>
      <c r="B3189" s="735" t="s">
        <v>1072</v>
      </c>
      <c r="C3189" s="736"/>
      <c r="D3189" s="907"/>
      <c r="E3189" s="737"/>
      <c r="F3189" s="738"/>
      <c r="G3189" s="739">
        <v>0</v>
      </c>
      <c r="H3189" s="748">
        <f t="shared" si="786"/>
        <v>0</v>
      </c>
      <c r="I3189" s="741">
        <v>0</v>
      </c>
      <c r="J3189" s="749">
        <f t="shared" si="787"/>
        <v>0</v>
      </c>
      <c r="K3189" s="739">
        <f t="shared" si="788"/>
        <v>0</v>
      </c>
      <c r="L3189" s="1079"/>
      <c r="M3189" s="752"/>
      <c r="N3189" s="744"/>
      <c r="O3189" s="745"/>
      <c r="P3189" s="737"/>
      <c r="Q3189" s="752"/>
      <c r="R3189" s="752"/>
      <c r="S3189" s="752"/>
    </row>
    <row r="3190" spans="1:19" s="753" customFormat="1" ht="24" customHeight="1">
      <c r="A3190" s="734"/>
      <c r="B3190" s="747" t="s">
        <v>469</v>
      </c>
      <c r="C3190" s="735" t="s">
        <v>497</v>
      </c>
      <c r="D3190" s="735"/>
      <c r="E3190" s="737">
        <f>+N3190</f>
        <v>4</v>
      </c>
      <c r="F3190" s="738" t="s">
        <v>363</v>
      </c>
      <c r="G3190" s="739">
        <v>1540</v>
      </c>
      <c r="H3190" s="748">
        <f t="shared" si="786"/>
        <v>6160</v>
      </c>
      <c r="I3190" s="741">
        <v>450</v>
      </c>
      <c r="J3190" s="749">
        <f t="shared" si="787"/>
        <v>1800</v>
      </c>
      <c r="K3190" s="739">
        <f t="shared" si="788"/>
        <v>7960</v>
      </c>
      <c r="L3190" s="1079"/>
      <c r="M3190" s="752"/>
      <c r="N3190" s="744">
        <f t="shared" ref="N3190:N3196" si="789">+(1+O3190)*P3190</f>
        <v>4</v>
      </c>
      <c r="O3190" s="745">
        <v>0</v>
      </c>
      <c r="P3190" s="737">
        <v>4</v>
      </c>
      <c r="Q3190" s="752"/>
      <c r="R3190" s="752"/>
      <c r="S3190" s="752"/>
    </row>
    <row r="3191" spans="1:19" s="753" customFormat="1" ht="24" customHeight="1">
      <c r="A3191" s="734"/>
      <c r="B3191" s="747" t="s">
        <v>469</v>
      </c>
      <c r="C3191" s="735" t="s">
        <v>498</v>
      </c>
      <c r="D3191" s="735"/>
      <c r="E3191" s="737">
        <f t="shared" ref="E3191:E3256" si="790">+N3191</f>
        <v>4</v>
      </c>
      <c r="F3191" s="738" t="s">
        <v>363</v>
      </c>
      <c r="G3191" s="739">
        <v>6640</v>
      </c>
      <c r="H3191" s="748">
        <f t="shared" si="786"/>
        <v>26560</v>
      </c>
      <c r="I3191" s="741">
        <v>200</v>
      </c>
      <c r="J3191" s="749">
        <f t="shared" si="787"/>
        <v>800</v>
      </c>
      <c r="K3191" s="739">
        <f t="shared" si="788"/>
        <v>27360</v>
      </c>
      <c r="L3191" s="1079"/>
      <c r="M3191" s="752"/>
      <c r="N3191" s="744">
        <f t="shared" si="789"/>
        <v>4</v>
      </c>
      <c r="O3191" s="745">
        <v>0</v>
      </c>
      <c r="P3191" s="737">
        <v>4</v>
      </c>
      <c r="Q3191" s="752"/>
      <c r="R3191" s="752"/>
      <c r="S3191" s="752"/>
    </row>
    <row r="3192" spans="1:19" s="753" customFormat="1" ht="24" customHeight="1">
      <c r="A3192" s="734"/>
      <c r="B3192" s="747" t="s">
        <v>469</v>
      </c>
      <c r="C3192" s="735" t="s">
        <v>496</v>
      </c>
      <c r="D3192" s="735"/>
      <c r="E3192" s="737">
        <f t="shared" si="790"/>
        <v>4</v>
      </c>
      <c r="F3192" s="738" t="s">
        <v>363</v>
      </c>
      <c r="G3192" s="739">
        <v>336</v>
      </c>
      <c r="H3192" s="748">
        <f t="shared" si="786"/>
        <v>1344</v>
      </c>
      <c r="I3192" s="741">
        <v>0</v>
      </c>
      <c r="J3192" s="749">
        <f t="shared" si="787"/>
        <v>0</v>
      </c>
      <c r="K3192" s="739">
        <f t="shared" si="788"/>
        <v>1344</v>
      </c>
      <c r="L3192" s="1079"/>
      <c r="M3192" s="752"/>
      <c r="N3192" s="744">
        <f t="shared" si="789"/>
        <v>4</v>
      </c>
      <c r="O3192" s="745">
        <v>0</v>
      </c>
      <c r="P3192" s="737">
        <v>4</v>
      </c>
      <c r="Q3192" s="752"/>
      <c r="R3192" s="752"/>
      <c r="S3192" s="752"/>
    </row>
    <row r="3193" spans="1:19" s="753" customFormat="1" ht="24" customHeight="1">
      <c r="A3193" s="734"/>
      <c r="B3193" s="747" t="s">
        <v>469</v>
      </c>
      <c r="C3193" s="735" t="s">
        <v>490</v>
      </c>
      <c r="D3193" s="735"/>
      <c r="E3193" s="737">
        <f t="shared" si="790"/>
        <v>4</v>
      </c>
      <c r="F3193" s="738" t="s">
        <v>363</v>
      </c>
      <c r="G3193" s="739">
        <v>736</v>
      </c>
      <c r="H3193" s="748">
        <f t="shared" si="786"/>
        <v>2944</v>
      </c>
      <c r="I3193" s="741">
        <v>0</v>
      </c>
      <c r="J3193" s="749">
        <f t="shared" si="787"/>
        <v>0</v>
      </c>
      <c r="K3193" s="739">
        <f t="shared" si="788"/>
        <v>2944</v>
      </c>
      <c r="L3193" s="1079"/>
      <c r="M3193" s="752"/>
      <c r="N3193" s="744">
        <f t="shared" si="789"/>
        <v>4</v>
      </c>
      <c r="O3193" s="745">
        <v>0</v>
      </c>
      <c r="P3193" s="737">
        <v>4</v>
      </c>
      <c r="Q3193" s="752"/>
      <c r="R3193" s="752"/>
      <c r="S3193" s="752"/>
    </row>
    <row r="3194" spans="1:19" s="753" customFormat="1" ht="24" customHeight="1">
      <c r="A3194" s="734"/>
      <c r="B3194" s="747" t="s">
        <v>469</v>
      </c>
      <c r="C3194" s="735" t="s">
        <v>478</v>
      </c>
      <c r="D3194" s="735"/>
      <c r="E3194" s="737">
        <f t="shared" si="790"/>
        <v>4</v>
      </c>
      <c r="F3194" s="738" t="s">
        <v>363</v>
      </c>
      <c r="G3194" s="739">
        <v>176</v>
      </c>
      <c r="H3194" s="748">
        <f t="shared" si="786"/>
        <v>704</v>
      </c>
      <c r="I3194" s="741">
        <v>0</v>
      </c>
      <c r="J3194" s="749">
        <f t="shared" si="787"/>
        <v>0</v>
      </c>
      <c r="K3194" s="739">
        <f t="shared" si="788"/>
        <v>704</v>
      </c>
      <c r="L3194" s="1079"/>
      <c r="M3194" s="752"/>
      <c r="N3194" s="744">
        <f t="shared" si="789"/>
        <v>4</v>
      </c>
      <c r="O3194" s="745">
        <v>0</v>
      </c>
      <c r="P3194" s="737">
        <v>4</v>
      </c>
      <c r="Q3194" s="752"/>
      <c r="R3194" s="752"/>
      <c r="S3194" s="752"/>
    </row>
    <row r="3195" spans="1:19" s="753" customFormat="1" ht="24" customHeight="1">
      <c r="A3195" s="734"/>
      <c r="B3195" s="747" t="s">
        <v>469</v>
      </c>
      <c r="C3195" s="735" t="s">
        <v>499</v>
      </c>
      <c r="D3195" s="735"/>
      <c r="E3195" s="737">
        <f t="shared" si="790"/>
        <v>4</v>
      </c>
      <c r="F3195" s="738" t="s">
        <v>363</v>
      </c>
      <c r="G3195" s="739">
        <v>216</v>
      </c>
      <c r="H3195" s="748">
        <f t="shared" si="786"/>
        <v>864</v>
      </c>
      <c r="I3195" s="741">
        <v>35</v>
      </c>
      <c r="J3195" s="749">
        <f t="shared" si="787"/>
        <v>140</v>
      </c>
      <c r="K3195" s="739">
        <f t="shared" si="788"/>
        <v>1004</v>
      </c>
      <c r="L3195" s="1079"/>
      <c r="M3195" s="752"/>
      <c r="N3195" s="744">
        <f t="shared" si="789"/>
        <v>4</v>
      </c>
      <c r="O3195" s="745">
        <v>0</v>
      </c>
      <c r="P3195" s="737">
        <v>4</v>
      </c>
      <c r="Q3195" s="752"/>
      <c r="R3195" s="752"/>
      <c r="S3195" s="752"/>
    </row>
    <row r="3196" spans="1:19" s="753" customFormat="1" ht="24" customHeight="1">
      <c r="A3196" s="734"/>
      <c r="B3196" s="750"/>
      <c r="C3196" s="736"/>
      <c r="D3196" s="907"/>
      <c r="E3196" s="737">
        <f t="shared" si="790"/>
        <v>0</v>
      </c>
      <c r="F3196" s="738"/>
      <c r="G3196" s="739">
        <v>0</v>
      </c>
      <c r="H3196" s="748">
        <f t="shared" si="786"/>
        <v>0</v>
      </c>
      <c r="I3196" s="741">
        <v>0</v>
      </c>
      <c r="J3196" s="749">
        <f t="shared" si="787"/>
        <v>0</v>
      </c>
      <c r="K3196" s="739">
        <f t="shared" si="788"/>
        <v>0</v>
      </c>
      <c r="L3196" s="1079"/>
      <c r="M3196" s="752"/>
      <c r="N3196" s="744">
        <f t="shared" si="789"/>
        <v>0</v>
      </c>
      <c r="O3196" s="745">
        <v>0</v>
      </c>
      <c r="P3196" s="737">
        <v>0</v>
      </c>
      <c r="Q3196" s="752"/>
      <c r="R3196" s="752"/>
      <c r="S3196" s="752"/>
    </row>
    <row r="3197" spans="1:19" s="753" customFormat="1" ht="24" customHeight="1">
      <c r="A3197" s="734"/>
      <c r="B3197" s="747" t="s">
        <v>469</v>
      </c>
      <c r="C3197" s="735" t="s">
        <v>492</v>
      </c>
      <c r="D3197" s="735"/>
      <c r="E3197" s="737">
        <f t="shared" si="790"/>
        <v>5</v>
      </c>
      <c r="F3197" s="738" t="s">
        <v>363</v>
      </c>
      <c r="G3197" s="739">
        <v>9375</v>
      </c>
      <c r="H3197" s="748">
        <f t="shared" si="786"/>
        <v>46875</v>
      </c>
      <c r="I3197" s="741">
        <v>450</v>
      </c>
      <c r="J3197" s="749">
        <f t="shared" si="787"/>
        <v>2250</v>
      </c>
      <c r="K3197" s="739">
        <f t="shared" si="788"/>
        <v>49125</v>
      </c>
      <c r="L3197" s="1079"/>
      <c r="M3197" s="752"/>
      <c r="N3197" s="744">
        <f>+(1+O3197)*P3197</f>
        <v>5</v>
      </c>
      <c r="O3197" s="745">
        <v>0</v>
      </c>
      <c r="P3197" s="737">
        <v>5</v>
      </c>
      <c r="Q3197" s="752"/>
      <c r="R3197" s="752"/>
      <c r="S3197" s="752"/>
    </row>
    <row r="3198" spans="1:19" s="753" customFormat="1" ht="24" customHeight="1">
      <c r="A3198" s="734"/>
      <c r="B3198" s="747" t="s">
        <v>469</v>
      </c>
      <c r="C3198" s="735" t="s">
        <v>500</v>
      </c>
      <c r="D3198" s="735"/>
      <c r="E3198" s="737">
        <f t="shared" si="790"/>
        <v>5</v>
      </c>
      <c r="F3198" s="738" t="s">
        <v>363</v>
      </c>
      <c r="G3198" s="739">
        <v>12752</v>
      </c>
      <c r="H3198" s="748">
        <f t="shared" si="786"/>
        <v>63760</v>
      </c>
      <c r="I3198" s="741">
        <v>0</v>
      </c>
      <c r="J3198" s="749">
        <f t="shared" si="787"/>
        <v>0</v>
      </c>
      <c r="K3198" s="739">
        <f t="shared" si="788"/>
        <v>63760</v>
      </c>
      <c r="L3198" s="1079"/>
      <c r="M3198" s="752"/>
      <c r="N3198" s="744">
        <f t="shared" ref="N3198:N3263" si="791">+(1+O3198)*P3198</f>
        <v>5</v>
      </c>
      <c r="O3198" s="745">
        <v>0</v>
      </c>
      <c r="P3198" s="737">
        <v>5</v>
      </c>
      <c r="Q3198" s="752"/>
      <c r="R3198" s="752"/>
      <c r="S3198" s="752"/>
    </row>
    <row r="3199" spans="1:19" s="753" customFormat="1" ht="24" customHeight="1">
      <c r="A3199" s="734"/>
      <c r="B3199" s="747" t="s">
        <v>469</v>
      </c>
      <c r="C3199" s="735" t="s">
        <v>501</v>
      </c>
      <c r="D3199" s="735"/>
      <c r="E3199" s="737">
        <v>0</v>
      </c>
      <c r="F3199" s="738" t="s">
        <v>363</v>
      </c>
      <c r="G3199" s="739">
        <v>1950</v>
      </c>
      <c r="H3199" s="748">
        <f t="shared" si="786"/>
        <v>0</v>
      </c>
      <c r="I3199" s="741">
        <v>35</v>
      </c>
      <c r="J3199" s="749">
        <f t="shared" si="787"/>
        <v>0</v>
      </c>
      <c r="K3199" s="739">
        <f t="shared" si="788"/>
        <v>0</v>
      </c>
      <c r="L3199" s="1079"/>
      <c r="M3199" s="752"/>
      <c r="N3199" s="744">
        <f t="shared" si="791"/>
        <v>5</v>
      </c>
      <c r="O3199" s="745">
        <v>0</v>
      </c>
      <c r="P3199" s="737">
        <v>5</v>
      </c>
      <c r="Q3199" s="752"/>
      <c r="R3199" s="752"/>
      <c r="S3199" s="752"/>
    </row>
    <row r="3200" spans="1:19" s="753" customFormat="1" ht="24" customHeight="1">
      <c r="A3200" s="734"/>
      <c r="B3200" s="747" t="s">
        <v>469</v>
      </c>
      <c r="C3200" s="735" t="s">
        <v>502</v>
      </c>
      <c r="D3200" s="735"/>
      <c r="E3200" s="737">
        <f t="shared" si="790"/>
        <v>5</v>
      </c>
      <c r="F3200" s="738" t="s">
        <v>363</v>
      </c>
      <c r="G3200" s="739">
        <v>216</v>
      </c>
      <c r="H3200" s="748">
        <f t="shared" si="786"/>
        <v>1080</v>
      </c>
      <c r="I3200" s="741">
        <v>35</v>
      </c>
      <c r="J3200" s="749">
        <f t="shared" si="787"/>
        <v>175</v>
      </c>
      <c r="K3200" s="739">
        <f t="shared" si="788"/>
        <v>1255</v>
      </c>
      <c r="L3200" s="1079"/>
      <c r="M3200" s="752"/>
      <c r="N3200" s="744">
        <f t="shared" si="791"/>
        <v>5</v>
      </c>
      <c r="O3200" s="745">
        <v>0</v>
      </c>
      <c r="P3200" s="737">
        <v>5</v>
      </c>
      <c r="Q3200" s="754"/>
      <c r="R3200" s="752"/>
      <c r="S3200" s="752"/>
    </row>
    <row r="3201" spans="1:19" s="753" customFormat="1" ht="24" customHeight="1">
      <c r="A3201" s="734"/>
      <c r="B3201" s="747"/>
      <c r="C3201" s="735"/>
      <c r="D3201" s="907"/>
      <c r="E3201" s="737">
        <f t="shared" si="790"/>
        <v>0</v>
      </c>
      <c r="F3201" s="738"/>
      <c r="G3201" s="739">
        <v>0</v>
      </c>
      <c r="H3201" s="748">
        <f t="shared" si="786"/>
        <v>0</v>
      </c>
      <c r="I3201" s="741">
        <v>0</v>
      </c>
      <c r="J3201" s="749">
        <f t="shared" si="787"/>
        <v>0</v>
      </c>
      <c r="K3201" s="739">
        <f t="shared" si="788"/>
        <v>0</v>
      </c>
      <c r="L3201" s="1079"/>
      <c r="M3201" s="752"/>
      <c r="N3201" s="744">
        <f t="shared" si="791"/>
        <v>0</v>
      </c>
      <c r="O3201" s="745">
        <v>0</v>
      </c>
      <c r="P3201" s="737">
        <v>0</v>
      </c>
      <c r="Q3201" s="752"/>
      <c r="R3201" s="752"/>
      <c r="S3201" s="752"/>
    </row>
    <row r="3202" spans="1:19" s="753" customFormat="1" ht="24" customHeight="1">
      <c r="A3202" s="734"/>
      <c r="B3202" s="747" t="s">
        <v>469</v>
      </c>
      <c r="C3202" s="735" t="s">
        <v>503</v>
      </c>
      <c r="D3202" s="735"/>
      <c r="E3202" s="737">
        <f t="shared" si="790"/>
        <v>8</v>
      </c>
      <c r="F3202" s="738" t="s">
        <v>363</v>
      </c>
      <c r="G3202" s="739">
        <v>3920</v>
      </c>
      <c r="H3202" s="748">
        <f t="shared" si="786"/>
        <v>31360</v>
      </c>
      <c r="I3202" s="741">
        <v>450</v>
      </c>
      <c r="J3202" s="749">
        <f t="shared" si="787"/>
        <v>3600</v>
      </c>
      <c r="K3202" s="739">
        <f t="shared" si="788"/>
        <v>34960</v>
      </c>
      <c r="L3202" s="1079"/>
      <c r="M3202" s="752"/>
      <c r="N3202" s="744">
        <f t="shared" si="791"/>
        <v>8</v>
      </c>
      <c r="O3202" s="745">
        <v>0</v>
      </c>
      <c r="P3202" s="737">
        <v>8</v>
      </c>
      <c r="Q3202" s="752"/>
      <c r="R3202" s="752"/>
      <c r="S3202" s="752"/>
    </row>
    <row r="3203" spans="1:19" s="753" customFormat="1" ht="24" customHeight="1">
      <c r="A3203" s="734"/>
      <c r="B3203" s="747" t="s">
        <v>469</v>
      </c>
      <c r="C3203" s="735" t="s">
        <v>504</v>
      </c>
      <c r="D3203" s="735"/>
      <c r="E3203" s="737">
        <f t="shared" si="790"/>
        <v>8</v>
      </c>
      <c r="F3203" s="738" t="s">
        <v>363</v>
      </c>
      <c r="G3203" s="739">
        <v>12752</v>
      </c>
      <c r="H3203" s="748">
        <f t="shared" si="786"/>
        <v>102016</v>
      </c>
      <c r="I3203" s="741">
        <v>0</v>
      </c>
      <c r="J3203" s="749">
        <f t="shared" si="787"/>
        <v>0</v>
      </c>
      <c r="K3203" s="739">
        <f t="shared" si="788"/>
        <v>102016</v>
      </c>
      <c r="L3203" s="1079"/>
      <c r="M3203" s="752"/>
      <c r="N3203" s="744">
        <f t="shared" si="791"/>
        <v>8</v>
      </c>
      <c r="O3203" s="745">
        <v>0</v>
      </c>
      <c r="P3203" s="737">
        <v>8</v>
      </c>
      <c r="Q3203" s="752"/>
      <c r="R3203" s="752"/>
      <c r="S3203" s="752"/>
    </row>
    <row r="3204" spans="1:19" s="682" customFormat="1" ht="24" customHeight="1">
      <c r="A3204" s="734"/>
      <c r="B3204" s="747" t="s">
        <v>469</v>
      </c>
      <c r="C3204" s="735" t="s">
        <v>505</v>
      </c>
      <c r="D3204" s="735"/>
      <c r="E3204" s="737">
        <f t="shared" si="790"/>
        <v>6</v>
      </c>
      <c r="F3204" s="738" t="s">
        <v>363</v>
      </c>
      <c r="G3204" s="739">
        <v>2280</v>
      </c>
      <c r="H3204" s="748">
        <f t="shared" si="786"/>
        <v>13680</v>
      </c>
      <c r="I3204" s="741">
        <v>300</v>
      </c>
      <c r="J3204" s="749">
        <f t="shared" si="787"/>
        <v>1800</v>
      </c>
      <c r="K3204" s="739">
        <f t="shared" si="788"/>
        <v>15480</v>
      </c>
      <c r="L3204" s="1079"/>
      <c r="M3204" s="679"/>
      <c r="N3204" s="744">
        <f t="shared" si="791"/>
        <v>6</v>
      </c>
      <c r="O3204" s="745">
        <v>0</v>
      </c>
      <c r="P3204" s="737">
        <v>6</v>
      </c>
      <c r="Q3204" s="679"/>
      <c r="R3204" s="679"/>
      <c r="S3204" s="679"/>
    </row>
    <row r="3205" spans="1:19" s="682" customFormat="1" ht="24" customHeight="1">
      <c r="A3205" s="734"/>
      <c r="B3205" s="747" t="s">
        <v>469</v>
      </c>
      <c r="C3205" s="735" t="s">
        <v>506</v>
      </c>
      <c r="D3205" s="735"/>
      <c r="E3205" s="737">
        <f t="shared" si="790"/>
        <v>0</v>
      </c>
      <c r="F3205" s="738" t="s">
        <v>363</v>
      </c>
      <c r="G3205" s="739">
        <v>6592</v>
      </c>
      <c r="H3205" s="748">
        <f t="shared" si="786"/>
        <v>0</v>
      </c>
      <c r="I3205" s="741">
        <v>140</v>
      </c>
      <c r="J3205" s="749">
        <f t="shared" si="787"/>
        <v>0</v>
      </c>
      <c r="K3205" s="739">
        <f t="shared" si="788"/>
        <v>0</v>
      </c>
      <c r="L3205" s="1079"/>
      <c r="M3205" s="679"/>
      <c r="N3205" s="744">
        <f t="shared" si="791"/>
        <v>0</v>
      </c>
      <c r="O3205" s="745">
        <v>0</v>
      </c>
      <c r="P3205" s="737">
        <v>0</v>
      </c>
      <c r="Q3205" s="679"/>
      <c r="R3205" s="679"/>
      <c r="S3205" s="679"/>
    </row>
    <row r="3206" spans="1:19" s="753" customFormat="1" ht="24" customHeight="1">
      <c r="A3206" s="734"/>
      <c r="B3206" s="747" t="s">
        <v>484</v>
      </c>
      <c r="C3206" s="735" t="s">
        <v>485</v>
      </c>
      <c r="D3206" s="735"/>
      <c r="E3206" s="737">
        <f t="shared" si="790"/>
        <v>7</v>
      </c>
      <c r="F3206" s="738" t="s">
        <v>363</v>
      </c>
      <c r="G3206" s="739">
        <v>285</v>
      </c>
      <c r="H3206" s="748">
        <f t="shared" si="786"/>
        <v>1995</v>
      </c>
      <c r="I3206" s="741">
        <v>75</v>
      </c>
      <c r="J3206" s="749">
        <f t="shared" si="787"/>
        <v>525</v>
      </c>
      <c r="K3206" s="739">
        <f t="shared" si="788"/>
        <v>2520</v>
      </c>
      <c r="L3206" s="1093"/>
      <c r="M3206" s="752"/>
      <c r="N3206" s="744">
        <f t="shared" si="791"/>
        <v>7</v>
      </c>
      <c r="O3206" s="745">
        <v>0</v>
      </c>
      <c r="P3206" s="737">
        <v>7</v>
      </c>
      <c r="Q3206" s="752"/>
      <c r="R3206" s="752"/>
      <c r="S3206" s="752"/>
    </row>
    <row r="3207" spans="1:19" s="753" customFormat="1" ht="24" customHeight="1">
      <c r="A3207" s="734"/>
      <c r="B3207" s="747" t="s">
        <v>469</v>
      </c>
      <c r="C3207" s="735" t="s">
        <v>486</v>
      </c>
      <c r="D3207" s="735"/>
      <c r="E3207" s="737">
        <f t="shared" si="790"/>
        <v>1</v>
      </c>
      <c r="F3207" s="738" t="s">
        <v>363</v>
      </c>
      <c r="G3207" s="739">
        <v>552</v>
      </c>
      <c r="H3207" s="748">
        <f t="shared" si="786"/>
        <v>552</v>
      </c>
      <c r="I3207" s="741">
        <v>25</v>
      </c>
      <c r="J3207" s="749">
        <f t="shared" si="787"/>
        <v>25</v>
      </c>
      <c r="K3207" s="739">
        <f t="shared" si="788"/>
        <v>577</v>
      </c>
      <c r="L3207" s="1079"/>
      <c r="M3207" s="752"/>
      <c r="N3207" s="744">
        <f t="shared" si="791"/>
        <v>1</v>
      </c>
      <c r="O3207" s="745">
        <v>0</v>
      </c>
      <c r="P3207" s="737">
        <v>1</v>
      </c>
      <c r="Q3207" s="752"/>
      <c r="R3207" s="752"/>
      <c r="S3207" s="752"/>
    </row>
    <row r="3208" spans="1:19" s="753" customFormat="1" ht="24" customHeight="1">
      <c r="A3208" s="734"/>
      <c r="B3208" s="747" t="s">
        <v>469</v>
      </c>
      <c r="C3208" s="735" t="s">
        <v>507</v>
      </c>
      <c r="D3208" s="735"/>
      <c r="E3208" s="737">
        <f t="shared" si="790"/>
        <v>1</v>
      </c>
      <c r="F3208" s="738" t="s">
        <v>363</v>
      </c>
      <c r="G3208" s="739">
        <v>1650</v>
      </c>
      <c r="H3208" s="748">
        <f t="shared" si="786"/>
        <v>1650</v>
      </c>
      <c r="I3208" s="741">
        <v>70</v>
      </c>
      <c r="J3208" s="749">
        <f t="shared" si="787"/>
        <v>70</v>
      </c>
      <c r="K3208" s="739">
        <f t="shared" si="788"/>
        <v>1720</v>
      </c>
      <c r="L3208" s="1079"/>
      <c r="M3208" s="752"/>
      <c r="N3208" s="744">
        <f t="shared" si="791"/>
        <v>1</v>
      </c>
      <c r="O3208" s="745">
        <v>0</v>
      </c>
      <c r="P3208" s="737">
        <v>1</v>
      </c>
      <c r="Q3208" s="752"/>
      <c r="R3208" s="752"/>
      <c r="S3208" s="752"/>
    </row>
    <row r="3209" spans="1:19" s="753" customFormat="1" ht="24" customHeight="1">
      <c r="A3209" s="734"/>
      <c r="B3209" s="747" t="s">
        <v>469</v>
      </c>
      <c r="C3209" s="735" t="s">
        <v>508</v>
      </c>
      <c r="D3209" s="735"/>
      <c r="E3209" s="737">
        <f t="shared" si="790"/>
        <v>5</v>
      </c>
      <c r="F3209" s="738" t="s">
        <v>363</v>
      </c>
      <c r="G3209" s="739">
        <v>13500</v>
      </c>
      <c r="H3209" s="748">
        <f t="shared" si="786"/>
        <v>67500</v>
      </c>
      <c r="I3209" s="741">
        <v>750</v>
      </c>
      <c r="J3209" s="749">
        <f t="shared" si="787"/>
        <v>3750</v>
      </c>
      <c r="K3209" s="739">
        <f t="shared" si="788"/>
        <v>71250</v>
      </c>
      <c r="L3209" s="1079"/>
      <c r="M3209" s="752"/>
      <c r="N3209" s="744">
        <f t="shared" si="791"/>
        <v>5</v>
      </c>
      <c r="O3209" s="745">
        <v>0</v>
      </c>
      <c r="P3209" s="737">
        <v>5</v>
      </c>
      <c r="Q3209" s="752"/>
      <c r="R3209" s="752"/>
      <c r="S3209" s="752"/>
    </row>
    <row r="3210" spans="1:19" s="682" customFormat="1" ht="24" customHeight="1">
      <c r="A3210" s="734"/>
      <c r="B3210" s="747" t="s">
        <v>469</v>
      </c>
      <c r="C3210" s="735" t="s">
        <v>509</v>
      </c>
      <c r="D3210" s="735"/>
      <c r="E3210" s="737">
        <f t="shared" si="790"/>
        <v>1</v>
      </c>
      <c r="F3210" s="738" t="s">
        <v>363</v>
      </c>
      <c r="G3210" s="739">
        <v>14476</v>
      </c>
      <c r="H3210" s="748">
        <f t="shared" si="786"/>
        <v>14476</v>
      </c>
      <c r="I3210" s="741">
        <v>5367</v>
      </c>
      <c r="J3210" s="749">
        <f t="shared" si="787"/>
        <v>5367</v>
      </c>
      <c r="K3210" s="739">
        <f t="shared" si="788"/>
        <v>19843</v>
      </c>
      <c r="L3210" s="1079"/>
      <c r="M3210" s="679"/>
      <c r="N3210" s="744">
        <f t="shared" si="791"/>
        <v>1</v>
      </c>
      <c r="O3210" s="745">
        <v>0</v>
      </c>
      <c r="P3210" s="737">
        <v>1</v>
      </c>
      <c r="Q3210" s="679"/>
      <c r="R3210" s="679"/>
      <c r="S3210" s="679"/>
    </row>
    <row r="3211" spans="1:19" s="753" customFormat="1" ht="24" customHeight="1">
      <c r="A3211" s="734"/>
      <c r="B3211" s="747" t="s">
        <v>469</v>
      </c>
      <c r="C3211" s="735" t="s">
        <v>510</v>
      </c>
      <c r="D3211" s="735"/>
      <c r="E3211" s="737">
        <f t="shared" si="790"/>
        <v>4.1500000000000004</v>
      </c>
      <c r="F3211" s="738" t="s">
        <v>361</v>
      </c>
      <c r="G3211" s="739">
        <v>2694</v>
      </c>
      <c r="H3211" s="748">
        <f t="shared" si="786"/>
        <v>11180.1</v>
      </c>
      <c r="I3211" s="741">
        <v>1288</v>
      </c>
      <c r="J3211" s="749">
        <f t="shared" si="787"/>
        <v>5345.2000000000007</v>
      </c>
      <c r="K3211" s="739">
        <f t="shared" si="788"/>
        <v>16525.300000000003</v>
      </c>
      <c r="L3211" s="1079"/>
      <c r="M3211" s="752"/>
      <c r="N3211" s="744">
        <f t="shared" si="791"/>
        <v>4.1500000000000004</v>
      </c>
      <c r="O3211" s="745">
        <v>0</v>
      </c>
      <c r="P3211" s="737">
        <v>4.1500000000000004</v>
      </c>
      <c r="Q3211" s="752"/>
      <c r="R3211" s="752"/>
      <c r="S3211" s="752"/>
    </row>
    <row r="3212" spans="1:19" s="753" customFormat="1" ht="24" customHeight="1">
      <c r="A3212" s="734"/>
      <c r="B3212" s="747"/>
      <c r="C3212" s="735" t="s">
        <v>511</v>
      </c>
      <c r="D3212" s="735"/>
      <c r="E3212" s="737">
        <f t="shared" si="790"/>
        <v>0</v>
      </c>
      <c r="F3212" s="738"/>
      <c r="G3212" s="739"/>
      <c r="H3212" s="748">
        <f t="shared" si="786"/>
        <v>0</v>
      </c>
      <c r="I3212" s="741"/>
      <c r="J3212" s="749">
        <f t="shared" si="787"/>
        <v>0</v>
      </c>
      <c r="K3212" s="739">
        <f t="shared" si="788"/>
        <v>0</v>
      </c>
      <c r="L3212" s="1079"/>
      <c r="M3212" s="752"/>
      <c r="N3212" s="744">
        <f t="shared" si="791"/>
        <v>0</v>
      </c>
      <c r="O3212" s="745">
        <v>0</v>
      </c>
      <c r="P3212" s="737">
        <v>0</v>
      </c>
      <c r="Q3212" s="752"/>
      <c r="R3212" s="752"/>
      <c r="S3212" s="752"/>
    </row>
    <row r="3213" spans="1:19" s="753" customFormat="1" ht="24" customHeight="1">
      <c r="A3213" s="734"/>
      <c r="B3213" s="747" t="s">
        <v>469</v>
      </c>
      <c r="C3213" s="735" t="s">
        <v>512</v>
      </c>
      <c r="D3213" s="735"/>
      <c r="E3213" s="737">
        <f t="shared" si="790"/>
        <v>4.1500000000000004</v>
      </c>
      <c r="F3213" s="738" t="s">
        <v>361</v>
      </c>
      <c r="G3213" s="739">
        <v>3886</v>
      </c>
      <c r="H3213" s="748">
        <f t="shared" si="786"/>
        <v>16126.900000000001</v>
      </c>
      <c r="I3213" s="741">
        <v>1238</v>
      </c>
      <c r="J3213" s="749">
        <f t="shared" si="787"/>
        <v>5137.7000000000007</v>
      </c>
      <c r="K3213" s="739">
        <f t="shared" si="788"/>
        <v>21264.600000000002</v>
      </c>
      <c r="L3213" s="1079"/>
      <c r="M3213" s="752"/>
      <c r="N3213" s="744">
        <f t="shared" si="791"/>
        <v>4.1500000000000004</v>
      </c>
      <c r="O3213" s="745">
        <v>0</v>
      </c>
      <c r="P3213" s="737">
        <v>4.1500000000000004</v>
      </c>
      <c r="Q3213" s="752"/>
      <c r="R3213" s="752"/>
      <c r="S3213" s="752"/>
    </row>
    <row r="3214" spans="1:19" s="753" customFormat="1" ht="24" customHeight="1">
      <c r="A3214" s="734"/>
      <c r="B3214" s="747"/>
      <c r="C3214" s="735" t="s">
        <v>513</v>
      </c>
      <c r="D3214" s="735"/>
      <c r="E3214" s="737">
        <f t="shared" si="790"/>
        <v>0</v>
      </c>
      <c r="F3214" s="738"/>
      <c r="G3214" s="739">
        <v>0</v>
      </c>
      <c r="H3214" s="748">
        <f t="shared" si="786"/>
        <v>0</v>
      </c>
      <c r="I3214" s="741">
        <v>0</v>
      </c>
      <c r="J3214" s="749">
        <f t="shared" si="787"/>
        <v>0</v>
      </c>
      <c r="K3214" s="739">
        <f t="shared" si="788"/>
        <v>0</v>
      </c>
      <c r="L3214" s="1079"/>
      <c r="M3214" s="752"/>
      <c r="N3214" s="744">
        <f t="shared" si="791"/>
        <v>0</v>
      </c>
      <c r="O3214" s="745">
        <v>0</v>
      </c>
      <c r="P3214" s="737">
        <v>0</v>
      </c>
      <c r="Q3214" s="752"/>
      <c r="R3214" s="752"/>
      <c r="S3214" s="752"/>
    </row>
    <row r="3215" spans="1:19" s="753" customFormat="1" ht="24" customHeight="1">
      <c r="A3215" s="734"/>
      <c r="B3215" s="747" t="s">
        <v>469</v>
      </c>
      <c r="C3215" s="735" t="s">
        <v>514</v>
      </c>
      <c r="D3215" s="735"/>
      <c r="E3215" s="737">
        <f t="shared" si="790"/>
        <v>7.1</v>
      </c>
      <c r="F3215" s="738" t="s">
        <v>361</v>
      </c>
      <c r="G3215" s="739">
        <v>1522</v>
      </c>
      <c r="H3215" s="748">
        <f t="shared" si="786"/>
        <v>10806.199999999999</v>
      </c>
      <c r="I3215" s="741">
        <v>315</v>
      </c>
      <c r="J3215" s="749">
        <f t="shared" si="787"/>
        <v>2236.5</v>
      </c>
      <c r="K3215" s="739">
        <f t="shared" si="788"/>
        <v>13042.699999999999</v>
      </c>
      <c r="L3215" s="1079"/>
      <c r="M3215" s="752"/>
      <c r="N3215" s="744">
        <f t="shared" si="791"/>
        <v>7.1</v>
      </c>
      <c r="O3215" s="745">
        <v>0</v>
      </c>
      <c r="P3215" s="737">
        <v>7.1</v>
      </c>
      <c r="Q3215" s="752"/>
      <c r="R3215" s="752"/>
      <c r="S3215" s="752"/>
    </row>
    <row r="3216" spans="1:19" s="753" customFormat="1" ht="24" customHeight="1">
      <c r="A3216" s="734"/>
      <c r="B3216" s="747"/>
      <c r="C3216" s="735"/>
      <c r="D3216" s="735"/>
      <c r="E3216" s="737">
        <f t="shared" si="790"/>
        <v>0</v>
      </c>
      <c r="F3216" s="738"/>
      <c r="G3216" s="739">
        <v>0</v>
      </c>
      <c r="H3216" s="748">
        <f t="shared" si="786"/>
        <v>0</v>
      </c>
      <c r="I3216" s="741">
        <v>0</v>
      </c>
      <c r="J3216" s="749">
        <f t="shared" si="787"/>
        <v>0</v>
      </c>
      <c r="K3216" s="739">
        <f t="shared" si="788"/>
        <v>0</v>
      </c>
      <c r="L3216" s="1079"/>
      <c r="M3216" s="752"/>
      <c r="N3216" s="744">
        <f t="shared" si="791"/>
        <v>0</v>
      </c>
      <c r="O3216" s="745">
        <v>0</v>
      </c>
      <c r="P3216" s="737">
        <v>0</v>
      </c>
      <c r="Q3216" s="752"/>
      <c r="R3216" s="752"/>
      <c r="S3216" s="752"/>
    </row>
    <row r="3217" spans="1:19" s="682" customFormat="1" ht="24" customHeight="1">
      <c r="A3217" s="734"/>
      <c r="B3217" s="747" t="s">
        <v>469</v>
      </c>
      <c r="C3217" s="735" t="s">
        <v>515</v>
      </c>
      <c r="D3217" s="735"/>
      <c r="E3217" s="737">
        <f t="shared" si="790"/>
        <v>1</v>
      </c>
      <c r="F3217" s="738" t="s">
        <v>363</v>
      </c>
      <c r="G3217" s="739">
        <v>5013</v>
      </c>
      <c r="H3217" s="748">
        <f t="shared" si="786"/>
        <v>5013</v>
      </c>
      <c r="I3217" s="741">
        <v>2403</v>
      </c>
      <c r="J3217" s="749">
        <f t="shared" si="787"/>
        <v>2403</v>
      </c>
      <c r="K3217" s="739">
        <f t="shared" si="788"/>
        <v>7416</v>
      </c>
      <c r="L3217" s="1079"/>
      <c r="M3217" s="679"/>
      <c r="N3217" s="744">
        <f t="shared" si="791"/>
        <v>1</v>
      </c>
      <c r="O3217" s="745">
        <v>0</v>
      </c>
      <c r="P3217" s="737">
        <v>1</v>
      </c>
      <c r="Q3217" s="679"/>
      <c r="R3217" s="679"/>
      <c r="S3217" s="679"/>
    </row>
    <row r="3218" spans="1:19" s="682" customFormat="1" ht="24" customHeight="1">
      <c r="A3218" s="734"/>
      <c r="B3218" s="747"/>
      <c r="C3218" s="735" t="s">
        <v>516</v>
      </c>
      <c r="D3218" s="735"/>
      <c r="E3218" s="737">
        <f t="shared" si="790"/>
        <v>0</v>
      </c>
      <c r="F3218" s="738"/>
      <c r="G3218" s="739"/>
      <c r="H3218" s="748">
        <f t="shared" si="786"/>
        <v>0</v>
      </c>
      <c r="I3218" s="741"/>
      <c r="J3218" s="749">
        <f t="shared" si="787"/>
        <v>0</v>
      </c>
      <c r="K3218" s="739">
        <f t="shared" si="788"/>
        <v>0</v>
      </c>
      <c r="L3218" s="1079"/>
      <c r="M3218" s="679"/>
      <c r="N3218" s="744">
        <f t="shared" si="791"/>
        <v>0</v>
      </c>
      <c r="O3218" s="745">
        <v>0</v>
      </c>
      <c r="P3218" s="737">
        <v>0</v>
      </c>
      <c r="Q3218" s="679"/>
      <c r="R3218" s="679"/>
      <c r="S3218" s="679"/>
    </row>
    <row r="3219" spans="1:19" s="682" customFormat="1" ht="24" customHeight="1">
      <c r="A3219" s="734"/>
      <c r="B3219" s="747"/>
      <c r="C3219" s="735"/>
      <c r="D3219" s="735"/>
      <c r="E3219" s="737">
        <f t="shared" si="790"/>
        <v>0</v>
      </c>
      <c r="F3219" s="738"/>
      <c r="G3219" s="739"/>
      <c r="H3219" s="748">
        <f t="shared" si="786"/>
        <v>0</v>
      </c>
      <c r="I3219" s="741"/>
      <c r="J3219" s="749">
        <f t="shared" si="787"/>
        <v>0</v>
      </c>
      <c r="K3219" s="739">
        <f t="shared" si="788"/>
        <v>0</v>
      </c>
      <c r="L3219" s="1079"/>
      <c r="M3219" s="679"/>
      <c r="N3219" s="744">
        <f t="shared" si="791"/>
        <v>0</v>
      </c>
      <c r="O3219" s="745">
        <v>0</v>
      </c>
      <c r="P3219" s="737">
        <v>0</v>
      </c>
      <c r="Q3219" s="679"/>
      <c r="R3219" s="679"/>
      <c r="S3219" s="679"/>
    </row>
    <row r="3220" spans="1:19" s="756" customFormat="1" ht="24" customHeight="1">
      <c r="A3220" s="734"/>
      <c r="B3220" s="747" t="s">
        <v>469</v>
      </c>
      <c r="C3220" s="735" t="s">
        <v>517</v>
      </c>
      <c r="D3220" s="907"/>
      <c r="E3220" s="737">
        <f t="shared" si="790"/>
        <v>0</v>
      </c>
      <c r="F3220" s="738" t="s">
        <v>361</v>
      </c>
      <c r="G3220" s="739">
        <v>5075.5555555555557</v>
      </c>
      <c r="H3220" s="748">
        <f t="shared" si="786"/>
        <v>0</v>
      </c>
      <c r="I3220" s="741">
        <v>2545.7777777777778</v>
      </c>
      <c r="J3220" s="749">
        <f t="shared" si="787"/>
        <v>0</v>
      </c>
      <c r="K3220" s="739">
        <f t="shared" si="788"/>
        <v>0</v>
      </c>
      <c r="L3220" s="1079"/>
      <c r="M3220" s="755"/>
      <c r="N3220" s="744">
        <f t="shared" si="791"/>
        <v>0</v>
      </c>
      <c r="O3220" s="745">
        <v>0</v>
      </c>
      <c r="P3220" s="737">
        <v>0</v>
      </c>
      <c r="Q3220" s="755"/>
      <c r="R3220" s="755"/>
      <c r="S3220" s="755"/>
    </row>
    <row r="3221" spans="1:19" s="756" customFormat="1" ht="24" customHeight="1">
      <c r="A3221" s="734"/>
      <c r="B3221" s="747"/>
      <c r="C3221" s="735" t="s">
        <v>488</v>
      </c>
      <c r="D3221" s="907"/>
      <c r="E3221" s="737">
        <f t="shared" si="790"/>
        <v>0</v>
      </c>
      <c r="F3221" s="738"/>
      <c r="G3221" s="739">
        <v>0</v>
      </c>
      <c r="H3221" s="748">
        <f t="shared" si="786"/>
        <v>0</v>
      </c>
      <c r="I3221" s="741">
        <v>0</v>
      </c>
      <c r="J3221" s="749">
        <f t="shared" si="787"/>
        <v>0</v>
      </c>
      <c r="K3221" s="739">
        <f t="shared" si="788"/>
        <v>0</v>
      </c>
      <c r="L3221" s="1079"/>
      <c r="M3221" s="755"/>
      <c r="N3221" s="744">
        <f t="shared" si="791"/>
        <v>0</v>
      </c>
      <c r="O3221" s="745">
        <v>0</v>
      </c>
      <c r="P3221" s="737">
        <v>0</v>
      </c>
      <c r="Q3221" s="755"/>
      <c r="R3221" s="755"/>
      <c r="S3221" s="755"/>
    </row>
    <row r="3222" spans="1:19" s="753" customFormat="1" ht="24" customHeight="1">
      <c r="A3222" s="734"/>
      <c r="B3222" s="747" t="s">
        <v>469</v>
      </c>
      <c r="C3222" s="735" t="s">
        <v>518</v>
      </c>
      <c r="D3222" s="735"/>
      <c r="E3222" s="737">
        <f t="shared" si="790"/>
        <v>0</v>
      </c>
      <c r="F3222" s="738" t="s">
        <v>361</v>
      </c>
      <c r="G3222" s="739">
        <v>3886</v>
      </c>
      <c r="H3222" s="748">
        <f t="shared" si="786"/>
        <v>0</v>
      </c>
      <c r="I3222" s="741">
        <v>1238</v>
      </c>
      <c r="J3222" s="749">
        <f t="shared" si="787"/>
        <v>0</v>
      </c>
      <c r="K3222" s="739">
        <f t="shared" si="788"/>
        <v>0</v>
      </c>
      <c r="L3222" s="1079"/>
      <c r="M3222" s="752"/>
      <c r="N3222" s="744">
        <f t="shared" si="791"/>
        <v>0</v>
      </c>
      <c r="O3222" s="745">
        <v>0</v>
      </c>
      <c r="P3222" s="737">
        <v>0</v>
      </c>
      <c r="Q3222" s="752"/>
      <c r="R3222" s="752"/>
      <c r="S3222" s="752"/>
    </row>
    <row r="3223" spans="1:19" s="753" customFormat="1" ht="24" customHeight="1">
      <c r="A3223" s="734"/>
      <c r="B3223" s="747"/>
      <c r="C3223" s="735" t="s">
        <v>513</v>
      </c>
      <c r="D3223" s="735"/>
      <c r="E3223" s="737">
        <f t="shared" si="790"/>
        <v>0</v>
      </c>
      <c r="F3223" s="738"/>
      <c r="G3223" s="739">
        <v>0</v>
      </c>
      <c r="H3223" s="748">
        <f t="shared" si="786"/>
        <v>0</v>
      </c>
      <c r="I3223" s="741">
        <v>0</v>
      </c>
      <c r="J3223" s="749">
        <f t="shared" si="787"/>
        <v>0</v>
      </c>
      <c r="K3223" s="739">
        <f t="shared" si="788"/>
        <v>0</v>
      </c>
      <c r="L3223" s="1079"/>
      <c r="M3223" s="752"/>
      <c r="N3223" s="744">
        <f t="shared" si="791"/>
        <v>0</v>
      </c>
      <c r="O3223" s="745">
        <v>0</v>
      </c>
      <c r="P3223" s="737">
        <v>0</v>
      </c>
      <c r="Q3223" s="752"/>
      <c r="R3223" s="752"/>
      <c r="S3223" s="752"/>
    </row>
    <row r="3224" spans="1:19" s="682" customFormat="1" ht="24" customHeight="1">
      <c r="A3224" s="734"/>
      <c r="B3224" s="747" t="s">
        <v>469</v>
      </c>
      <c r="C3224" s="735" t="s">
        <v>519</v>
      </c>
      <c r="D3224" s="735"/>
      <c r="E3224" s="737">
        <f t="shared" si="790"/>
        <v>1</v>
      </c>
      <c r="F3224" s="738" t="s">
        <v>363</v>
      </c>
      <c r="G3224" s="739">
        <v>800</v>
      </c>
      <c r="H3224" s="748">
        <f t="shared" si="786"/>
        <v>800</v>
      </c>
      <c r="I3224" s="741">
        <v>70</v>
      </c>
      <c r="J3224" s="749">
        <f t="shared" si="787"/>
        <v>70</v>
      </c>
      <c r="K3224" s="739">
        <f t="shared" si="788"/>
        <v>870</v>
      </c>
      <c r="L3224" s="1079"/>
      <c r="M3224" s="679"/>
      <c r="N3224" s="744">
        <f t="shared" si="791"/>
        <v>1</v>
      </c>
      <c r="O3224" s="745">
        <v>0</v>
      </c>
      <c r="P3224" s="737">
        <v>1</v>
      </c>
      <c r="Q3224" s="679"/>
      <c r="R3224" s="679"/>
      <c r="S3224" s="679"/>
    </row>
    <row r="3225" spans="1:19" s="682" customFormat="1" ht="24" customHeight="1">
      <c r="A3225" s="734"/>
      <c r="B3225" s="747" t="s">
        <v>469</v>
      </c>
      <c r="C3225" s="735" t="s">
        <v>520</v>
      </c>
      <c r="D3225" s="735"/>
      <c r="E3225" s="737">
        <f t="shared" si="790"/>
        <v>0</v>
      </c>
      <c r="F3225" s="738" t="s">
        <v>361</v>
      </c>
      <c r="G3225" s="739">
        <v>190</v>
      </c>
      <c r="H3225" s="748">
        <f t="shared" si="786"/>
        <v>0</v>
      </c>
      <c r="I3225" s="741">
        <v>75</v>
      </c>
      <c r="J3225" s="749">
        <f t="shared" si="787"/>
        <v>0</v>
      </c>
      <c r="K3225" s="739">
        <f t="shared" si="788"/>
        <v>0</v>
      </c>
      <c r="L3225" s="1079"/>
      <c r="M3225" s="679"/>
      <c r="N3225" s="744">
        <f t="shared" si="791"/>
        <v>0</v>
      </c>
      <c r="O3225" s="745">
        <v>0</v>
      </c>
      <c r="P3225" s="737">
        <v>0</v>
      </c>
      <c r="Q3225" s="679"/>
      <c r="R3225" s="679"/>
      <c r="S3225" s="679"/>
    </row>
    <row r="3226" spans="1:19" s="682" customFormat="1" ht="24" customHeight="1">
      <c r="A3226" s="734"/>
      <c r="B3226" s="747"/>
      <c r="C3226" s="735"/>
      <c r="D3226" s="735"/>
      <c r="E3226" s="737"/>
      <c r="F3226" s="738"/>
      <c r="G3226" s="739"/>
      <c r="H3226" s="748"/>
      <c r="I3226" s="741"/>
      <c r="J3226" s="749"/>
      <c r="K3226" s="739"/>
      <c r="L3226" s="1079"/>
      <c r="M3226" s="679"/>
      <c r="N3226" s="744"/>
      <c r="O3226" s="745"/>
      <c r="P3226" s="737"/>
      <c r="Q3226" s="679"/>
      <c r="R3226" s="679"/>
      <c r="S3226" s="679"/>
    </row>
    <row r="3227" spans="1:19" s="682" customFormat="1" ht="24" customHeight="1">
      <c r="A3227" s="734"/>
      <c r="B3227" s="747"/>
      <c r="C3227" s="735"/>
      <c r="D3227" s="735"/>
      <c r="E3227" s="737"/>
      <c r="F3227" s="738"/>
      <c r="G3227" s="739"/>
      <c r="H3227" s="748"/>
      <c r="I3227" s="741"/>
      <c r="J3227" s="749"/>
      <c r="K3227" s="739"/>
      <c r="L3227" s="1079"/>
      <c r="M3227" s="679"/>
      <c r="N3227" s="744"/>
      <c r="O3227" s="745"/>
      <c r="P3227" s="737"/>
      <c r="Q3227" s="679"/>
      <c r="R3227" s="679"/>
      <c r="S3227" s="679"/>
    </row>
    <row r="3228" spans="1:19" s="682" customFormat="1" ht="24" customHeight="1">
      <c r="A3228" s="734"/>
      <c r="B3228" s="747"/>
      <c r="C3228" s="735"/>
      <c r="D3228" s="735"/>
      <c r="E3228" s="737">
        <f t="shared" si="790"/>
        <v>0</v>
      </c>
      <c r="F3228" s="738"/>
      <c r="G3228" s="739"/>
      <c r="H3228" s="748">
        <f t="shared" si="786"/>
        <v>0</v>
      </c>
      <c r="I3228" s="741"/>
      <c r="J3228" s="749">
        <f t="shared" si="787"/>
        <v>0</v>
      </c>
      <c r="K3228" s="739">
        <f t="shared" si="788"/>
        <v>0</v>
      </c>
      <c r="L3228" s="1079"/>
      <c r="M3228" s="679"/>
      <c r="N3228" s="744">
        <f t="shared" si="791"/>
        <v>0</v>
      </c>
      <c r="O3228" s="745">
        <v>0</v>
      </c>
      <c r="P3228" s="737">
        <v>0</v>
      </c>
      <c r="Q3228" s="679"/>
      <c r="R3228" s="679"/>
      <c r="S3228" s="679"/>
    </row>
    <row r="3229" spans="1:19" s="753" customFormat="1" ht="24" customHeight="1">
      <c r="A3229" s="734"/>
      <c r="B3229" s="735" t="s">
        <v>1073</v>
      </c>
      <c r="C3229" s="735"/>
      <c r="D3229" s="907"/>
      <c r="E3229" s="737">
        <f t="shared" si="790"/>
        <v>0</v>
      </c>
      <c r="F3229" s="738"/>
      <c r="G3229" s="739">
        <v>0</v>
      </c>
      <c r="H3229" s="748">
        <f t="shared" si="786"/>
        <v>0</v>
      </c>
      <c r="I3229" s="741">
        <v>0</v>
      </c>
      <c r="J3229" s="749">
        <f t="shared" si="787"/>
        <v>0</v>
      </c>
      <c r="K3229" s="739">
        <f t="shared" si="788"/>
        <v>0</v>
      </c>
      <c r="L3229" s="1079"/>
      <c r="M3229" s="752"/>
      <c r="N3229" s="744">
        <f t="shared" si="791"/>
        <v>0</v>
      </c>
      <c r="O3229" s="745">
        <v>0</v>
      </c>
      <c r="P3229" s="737">
        <v>0</v>
      </c>
      <c r="Q3229" s="752"/>
      <c r="R3229" s="752"/>
      <c r="S3229" s="752"/>
    </row>
    <row r="3230" spans="1:19" s="753" customFormat="1" ht="24" customHeight="1">
      <c r="A3230" s="734"/>
      <c r="B3230" s="747" t="s">
        <v>469</v>
      </c>
      <c r="C3230" s="735" t="s">
        <v>497</v>
      </c>
      <c r="D3230" s="735"/>
      <c r="E3230" s="737">
        <f t="shared" si="790"/>
        <v>6</v>
      </c>
      <c r="F3230" s="738" t="s">
        <v>363</v>
      </c>
      <c r="G3230" s="739">
        <v>1540</v>
      </c>
      <c r="H3230" s="748">
        <f t="shared" si="786"/>
        <v>9240</v>
      </c>
      <c r="I3230" s="741">
        <v>450</v>
      </c>
      <c r="J3230" s="749">
        <f t="shared" si="787"/>
        <v>2700</v>
      </c>
      <c r="K3230" s="739">
        <f t="shared" si="788"/>
        <v>11940</v>
      </c>
      <c r="L3230" s="1079"/>
      <c r="M3230" s="752"/>
      <c r="N3230" s="744">
        <f t="shared" si="791"/>
        <v>6</v>
      </c>
      <c r="O3230" s="745">
        <v>0</v>
      </c>
      <c r="P3230" s="737">
        <v>6</v>
      </c>
      <c r="Q3230" s="752"/>
      <c r="R3230" s="752"/>
      <c r="S3230" s="752"/>
    </row>
    <row r="3231" spans="1:19" s="753" customFormat="1" ht="24" customHeight="1">
      <c r="A3231" s="734"/>
      <c r="B3231" s="747" t="s">
        <v>469</v>
      </c>
      <c r="C3231" s="735" t="s">
        <v>498</v>
      </c>
      <c r="D3231" s="735"/>
      <c r="E3231" s="737">
        <f t="shared" si="790"/>
        <v>6</v>
      </c>
      <c r="F3231" s="738" t="s">
        <v>363</v>
      </c>
      <c r="G3231" s="739">
        <v>6640</v>
      </c>
      <c r="H3231" s="748">
        <f t="shared" si="786"/>
        <v>39840</v>
      </c>
      <c r="I3231" s="741">
        <v>200</v>
      </c>
      <c r="J3231" s="749">
        <f t="shared" si="787"/>
        <v>1200</v>
      </c>
      <c r="K3231" s="739">
        <f t="shared" si="788"/>
        <v>41040</v>
      </c>
      <c r="L3231" s="1079"/>
      <c r="M3231" s="752"/>
      <c r="N3231" s="744">
        <f t="shared" si="791"/>
        <v>6</v>
      </c>
      <c r="O3231" s="745">
        <v>0</v>
      </c>
      <c r="P3231" s="737">
        <v>6</v>
      </c>
      <c r="Q3231" s="752"/>
      <c r="R3231" s="752"/>
      <c r="S3231" s="752"/>
    </row>
    <row r="3232" spans="1:19" s="753" customFormat="1" ht="24" customHeight="1">
      <c r="A3232" s="734"/>
      <c r="B3232" s="747" t="s">
        <v>469</v>
      </c>
      <c r="C3232" s="735" t="s">
        <v>476</v>
      </c>
      <c r="D3232" s="735"/>
      <c r="E3232" s="737">
        <f t="shared" si="790"/>
        <v>6</v>
      </c>
      <c r="F3232" s="738" t="s">
        <v>363</v>
      </c>
      <c r="G3232" s="739">
        <v>336</v>
      </c>
      <c r="H3232" s="748">
        <f t="shared" si="786"/>
        <v>2016</v>
      </c>
      <c r="I3232" s="741">
        <v>0</v>
      </c>
      <c r="J3232" s="749">
        <f t="shared" si="787"/>
        <v>0</v>
      </c>
      <c r="K3232" s="739">
        <f t="shared" si="788"/>
        <v>2016</v>
      </c>
      <c r="L3232" s="1079"/>
      <c r="M3232" s="752"/>
      <c r="N3232" s="744">
        <f t="shared" si="791"/>
        <v>6</v>
      </c>
      <c r="O3232" s="745">
        <v>0</v>
      </c>
      <c r="P3232" s="737">
        <v>6</v>
      </c>
      <c r="Q3232" s="752"/>
      <c r="R3232" s="752"/>
      <c r="S3232" s="752"/>
    </row>
    <row r="3233" spans="1:19" s="753" customFormat="1" ht="24" customHeight="1">
      <c r="A3233" s="734"/>
      <c r="B3233" s="747" t="s">
        <v>469</v>
      </c>
      <c r="C3233" s="735" t="s">
        <v>477</v>
      </c>
      <c r="D3233" s="735"/>
      <c r="E3233" s="737">
        <f t="shared" si="790"/>
        <v>6</v>
      </c>
      <c r="F3233" s="738" t="s">
        <v>363</v>
      </c>
      <c r="G3233" s="739">
        <v>736</v>
      </c>
      <c r="H3233" s="748">
        <f t="shared" si="786"/>
        <v>4416</v>
      </c>
      <c r="I3233" s="741">
        <v>0</v>
      </c>
      <c r="J3233" s="749">
        <f t="shared" si="787"/>
        <v>0</v>
      </c>
      <c r="K3233" s="739">
        <f t="shared" si="788"/>
        <v>4416</v>
      </c>
      <c r="L3233" s="1079"/>
      <c r="M3233" s="752"/>
      <c r="N3233" s="744">
        <f t="shared" si="791"/>
        <v>6</v>
      </c>
      <c r="O3233" s="745">
        <v>0</v>
      </c>
      <c r="P3233" s="737">
        <v>6</v>
      </c>
      <c r="Q3233" s="752"/>
      <c r="R3233" s="752"/>
      <c r="S3233" s="752"/>
    </row>
    <row r="3234" spans="1:19" s="753" customFormat="1" ht="24" customHeight="1">
      <c r="A3234" s="734"/>
      <c r="B3234" s="747" t="s">
        <v>469</v>
      </c>
      <c r="C3234" s="735" t="s">
        <v>478</v>
      </c>
      <c r="D3234" s="735"/>
      <c r="E3234" s="737">
        <f t="shared" si="790"/>
        <v>6</v>
      </c>
      <c r="F3234" s="738" t="s">
        <v>363</v>
      </c>
      <c r="G3234" s="739">
        <v>176</v>
      </c>
      <c r="H3234" s="748">
        <f t="shared" si="786"/>
        <v>1056</v>
      </c>
      <c r="I3234" s="741">
        <v>0</v>
      </c>
      <c r="J3234" s="749">
        <f t="shared" si="787"/>
        <v>0</v>
      </c>
      <c r="K3234" s="739">
        <f t="shared" si="788"/>
        <v>1056</v>
      </c>
      <c r="L3234" s="1079"/>
      <c r="M3234" s="752"/>
      <c r="N3234" s="744">
        <f t="shared" si="791"/>
        <v>6</v>
      </c>
      <c r="O3234" s="745">
        <v>0</v>
      </c>
      <c r="P3234" s="737">
        <v>6</v>
      </c>
      <c r="Q3234" s="752"/>
      <c r="R3234" s="752"/>
      <c r="S3234" s="752"/>
    </row>
    <row r="3235" spans="1:19" s="753" customFormat="1" ht="24" customHeight="1">
      <c r="A3235" s="734"/>
      <c r="B3235" s="747" t="s">
        <v>469</v>
      </c>
      <c r="C3235" s="735" t="s">
        <v>499</v>
      </c>
      <c r="D3235" s="735"/>
      <c r="E3235" s="737">
        <f t="shared" si="790"/>
        <v>6</v>
      </c>
      <c r="F3235" s="738" t="s">
        <v>363</v>
      </c>
      <c r="G3235" s="739">
        <v>216</v>
      </c>
      <c r="H3235" s="748">
        <f t="shared" si="786"/>
        <v>1296</v>
      </c>
      <c r="I3235" s="741">
        <v>35</v>
      </c>
      <c r="J3235" s="749">
        <f t="shared" si="787"/>
        <v>210</v>
      </c>
      <c r="K3235" s="739">
        <f t="shared" si="788"/>
        <v>1506</v>
      </c>
      <c r="L3235" s="1079"/>
      <c r="M3235" s="752"/>
      <c r="N3235" s="744">
        <f t="shared" si="791"/>
        <v>6</v>
      </c>
      <c r="O3235" s="745">
        <v>0</v>
      </c>
      <c r="P3235" s="737">
        <v>6</v>
      </c>
      <c r="Q3235" s="752"/>
      <c r="R3235" s="752"/>
      <c r="S3235" s="752"/>
    </row>
    <row r="3236" spans="1:19" s="753" customFormat="1" ht="24" customHeight="1">
      <c r="A3236" s="734"/>
      <c r="B3236" s="747"/>
      <c r="C3236" s="736"/>
      <c r="D3236" s="907"/>
      <c r="E3236" s="737">
        <f t="shared" si="790"/>
        <v>0</v>
      </c>
      <c r="F3236" s="738"/>
      <c r="G3236" s="739">
        <v>0</v>
      </c>
      <c r="H3236" s="748">
        <f t="shared" si="786"/>
        <v>0</v>
      </c>
      <c r="I3236" s="741">
        <v>0</v>
      </c>
      <c r="J3236" s="749">
        <f t="shared" ref="J3236:J3290" si="792">SUM(E3236*I3236)</f>
        <v>0</v>
      </c>
      <c r="K3236" s="739">
        <f t="shared" si="788"/>
        <v>0</v>
      </c>
      <c r="L3236" s="1079"/>
      <c r="M3236" s="752"/>
      <c r="N3236" s="744">
        <f t="shared" si="791"/>
        <v>0</v>
      </c>
      <c r="O3236" s="745">
        <v>0</v>
      </c>
      <c r="P3236" s="737">
        <v>0</v>
      </c>
      <c r="Q3236" s="752"/>
      <c r="R3236" s="752"/>
      <c r="S3236" s="752"/>
    </row>
    <row r="3237" spans="1:19" s="753" customFormat="1" ht="24" customHeight="1">
      <c r="A3237" s="734"/>
      <c r="B3237" s="747" t="s">
        <v>469</v>
      </c>
      <c r="C3237" s="735" t="s">
        <v>492</v>
      </c>
      <c r="D3237" s="735"/>
      <c r="E3237" s="737">
        <f t="shared" si="790"/>
        <v>10</v>
      </c>
      <c r="F3237" s="738" t="s">
        <v>363</v>
      </c>
      <c r="G3237" s="739">
        <v>9375</v>
      </c>
      <c r="H3237" s="748">
        <f t="shared" si="786"/>
        <v>93750</v>
      </c>
      <c r="I3237" s="741">
        <v>450</v>
      </c>
      <c r="J3237" s="749">
        <f t="shared" si="792"/>
        <v>4500</v>
      </c>
      <c r="K3237" s="739">
        <f t="shared" si="788"/>
        <v>98250</v>
      </c>
      <c r="L3237" s="1079"/>
      <c r="M3237" s="752"/>
      <c r="N3237" s="744">
        <f t="shared" si="791"/>
        <v>10</v>
      </c>
      <c r="O3237" s="745">
        <v>0</v>
      </c>
      <c r="P3237" s="737">
        <v>10</v>
      </c>
      <c r="Q3237" s="752"/>
      <c r="R3237" s="752"/>
      <c r="S3237" s="752"/>
    </row>
    <row r="3238" spans="1:19" s="753" customFormat="1" ht="24" customHeight="1">
      <c r="A3238" s="734"/>
      <c r="B3238" s="747" t="s">
        <v>469</v>
      </c>
      <c r="C3238" s="735" t="s">
        <v>500</v>
      </c>
      <c r="D3238" s="735"/>
      <c r="E3238" s="737">
        <f t="shared" si="790"/>
        <v>10</v>
      </c>
      <c r="F3238" s="738" t="s">
        <v>363</v>
      </c>
      <c r="G3238" s="739">
        <v>12752</v>
      </c>
      <c r="H3238" s="748">
        <f t="shared" si="786"/>
        <v>127520</v>
      </c>
      <c r="I3238" s="741">
        <v>0</v>
      </c>
      <c r="J3238" s="749">
        <f t="shared" si="792"/>
        <v>0</v>
      </c>
      <c r="K3238" s="739">
        <f t="shared" si="788"/>
        <v>127520</v>
      </c>
      <c r="L3238" s="1079"/>
      <c r="M3238" s="752"/>
      <c r="N3238" s="744">
        <f t="shared" si="791"/>
        <v>10</v>
      </c>
      <c r="O3238" s="745">
        <v>0</v>
      </c>
      <c r="P3238" s="737">
        <v>10</v>
      </c>
      <c r="Q3238" s="752"/>
      <c r="R3238" s="752"/>
      <c r="S3238" s="752"/>
    </row>
    <row r="3239" spans="1:19" s="753" customFormat="1" ht="24" customHeight="1">
      <c r="A3239" s="734"/>
      <c r="B3239" s="747" t="s">
        <v>469</v>
      </c>
      <c r="C3239" s="735" t="s">
        <v>501</v>
      </c>
      <c r="D3239" s="735"/>
      <c r="E3239" s="737">
        <v>0</v>
      </c>
      <c r="F3239" s="738" t="s">
        <v>363</v>
      </c>
      <c r="G3239" s="739">
        <v>1950</v>
      </c>
      <c r="H3239" s="748">
        <f t="shared" si="786"/>
        <v>0</v>
      </c>
      <c r="I3239" s="741">
        <v>35</v>
      </c>
      <c r="J3239" s="749">
        <f t="shared" si="792"/>
        <v>0</v>
      </c>
      <c r="K3239" s="739">
        <f t="shared" si="788"/>
        <v>0</v>
      </c>
      <c r="L3239" s="1079"/>
      <c r="M3239" s="752"/>
      <c r="N3239" s="744">
        <f t="shared" si="791"/>
        <v>10</v>
      </c>
      <c r="O3239" s="745">
        <v>0</v>
      </c>
      <c r="P3239" s="737">
        <v>10</v>
      </c>
      <c r="Q3239" s="752"/>
      <c r="R3239" s="752"/>
      <c r="S3239" s="752"/>
    </row>
    <row r="3240" spans="1:19" s="753" customFormat="1" ht="24" customHeight="1">
      <c r="A3240" s="734"/>
      <c r="B3240" s="747" t="s">
        <v>469</v>
      </c>
      <c r="C3240" s="735" t="s">
        <v>502</v>
      </c>
      <c r="D3240" s="735"/>
      <c r="E3240" s="737">
        <f t="shared" si="790"/>
        <v>10</v>
      </c>
      <c r="F3240" s="738" t="s">
        <v>363</v>
      </c>
      <c r="G3240" s="739">
        <v>216</v>
      </c>
      <c r="H3240" s="748">
        <f t="shared" si="786"/>
        <v>2160</v>
      </c>
      <c r="I3240" s="741">
        <v>35</v>
      </c>
      <c r="J3240" s="749">
        <f t="shared" si="792"/>
        <v>350</v>
      </c>
      <c r="K3240" s="739">
        <f t="shared" si="788"/>
        <v>2510</v>
      </c>
      <c r="L3240" s="1079"/>
      <c r="M3240" s="752"/>
      <c r="N3240" s="744">
        <f t="shared" si="791"/>
        <v>10</v>
      </c>
      <c r="O3240" s="745">
        <v>0</v>
      </c>
      <c r="P3240" s="737">
        <v>10</v>
      </c>
      <c r="Q3240" s="752"/>
      <c r="R3240" s="752"/>
      <c r="S3240" s="752"/>
    </row>
    <row r="3241" spans="1:19" s="753" customFormat="1" ht="24" customHeight="1">
      <c r="A3241" s="734"/>
      <c r="B3241" s="747"/>
      <c r="C3241" s="735"/>
      <c r="D3241" s="735"/>
      <c r="E3241" s="737">
        <f t="shared" si="790"/>
        <v>0</v>
      </c>
      <c r="F3241" s="738"/>
      <c r="G3241" s="739"/>
      <c r="H3241" s="748">
        <f t="shared" si="786"/>
        <v>0</v>
      </c>
      <c r="I3241" s="741"/>
      <c r="J3241" s="749">
        <f t="shared" si="792"/>
        <v>0</v>
      </c>
      <c r="K3241" s="739">
        <f t="shared" si="788"/>
        <v>0</v>
      </c>
      <c r="L3241" s="1079"/>
      <c r="M3241" s="752"/>
      <c r="N3241" s="744">
        <f t="shared" si="791"/>
        <v>0</v>
      </c>
      <c r="O3241" s="745">
        <v>0</v>
      </c>
      <c r="P3241" s="737">
        <v>0</v>
      </c>
      <c r="Q3241" s="752"/>
      <c r="R3241" s="752"/>
      <c r="S3241" s="752"/>
    </row>
    <row r="3242" spans="1:19" s="753" customFormat="1" ht="24" customHeight="1">
      <c r="A3242" s="734"/>
      <c r="B3242" s="747" t="s">
        <v>484</v>
      </c>
      <c r="C3242" s="735" t="s">
        <v>485</v>
      </c>
      <c r="D3242" s="735"/>
      <c r="E3242" s="737">
        <f t="shared" si="790"/>
        <v>7</v>
      </c>
      <c r="F3242" s="738" t="s">
        <v>363</v>
      </c>
      <c r="G3242" s="739">
        <v>285</v>
      </c>
      <c r="H3242" s="748">
        <f t="shared" si="786"/>
        <v>1995</v>
      </c>
      <c r="I3242" s="741">
        <v>75</v>
      </c>
      <c r="J3242" s="749">
        <f t="shared" si="792"/>
        <v>525</v>
      </c>
      <c r="K3242" s="739">
        <f t="shared" si="788"/>
        <v>2520</v>
      </c>
      <c r="L3242" s="1093"/>
      <c r="M3242" s="752"/>
      <c r="N3242" s="744">
        <f t="shared" si="791"/>
        <v>7</v>
      </c>
      <c r="O3242" s="745">
        <v>0</v>
      </c>
      <c r="P3242" s="737">
        <v>7</v>
      </c>
      <c r="Q3242" s="752"/>
      <c r="R3242" s="752"/>
      <c r="S3242" s="752"/>
    </row>
    <row r="3243" spans="1:19" s="753" customFormat="1" ht="24" customHeight="1">
      <c r="A3243" s="734"/>
      <c r="B3243" s="747" t="s">
        <v>469</v>
      </c>
      <c r="C3243" s="735" t="s">
        <v>486</v>
      </c>
      <c r="D3243" s="735"/>
      <c r="E3243" s="737">
        <f t="shared" si="790"/>
        <v>1</v>
      </c>
      <c r="F3243" s="738" t="s">
        <v>363</v>
      </c>
      <c r="G3243" s="739">
        <v>552</v>
      </c>
      <c r="H3243" s="748">
        <f t="shared" si="786"/>
        <v>552</v>
      </c>
      <c r="I3243" s="741">
        <v>25</v>
      </c>
      <c r="J3243" s="749">
        <f t="shared" si="792"/>
        <v>25</v>
      </c>
      <c r="K3243" s="739">
        <f t="shared" si="788"/>
        <v>577</v>
      </c>
      <c r="L3243" s="1079"/>
      <c r="M3243" s="752"/>
      <c r="N3243" s="744">
        <f t="shared" si="791"/>
        <v>1</v>
      </c>
      <c r="O3243" s="745">
        <v>0</v>
      </c>
      <c r="P3243" s="737">
        <v>1</v>
      </c>
      <c r="Q3243" s="752"/>
      <c r="R3243" s="752"/>
      <c r="S3243" s="752"/>
    </row>
    <row r="3244" spans="1:19" s="753" customFormat="1" ht="24" customHeight="1">
      <c r="A3244" s="734"/>
      <c r="B3244" s="747" t="s">
        <v>469</v>
      </c>
      <c r="C3244" s="735" t="s">
        <v>507</v>
      </c>
      <c r="D3244" s="735"/>
      <c r="E3244" s="737">
        <f t="shared" si="790"/>
        <v>1</v>
      </c>
      <c r="F3244" s="738" t="s">
        <v>363</v>
      </c>
      <c r="G3244" s="739">
        <v>1650</v>
      </c>
      <c r="H3244" s="748">
        <f t="shared" si="786"/>
        <v>1650</v>
      </c>
      <c r="I3244" s="741">
        <v>70</v>
      </c>
      <c r="J3244" s="749">
        <f t="shared" si="792"/>
        <v>70</v>
      </c>
      <c r="K3244" s="739">
        <f t="shared" si="788"/>
        <v>1720</v>
      </c>
      <c r="L3244" s="1079"/>
      <c r="M3244" s="752"/>
      <c r="N3244" s="744">
        <f t="shared" si="791"/>
        <v>1</v>
      </c>
      <c r="O3244" s="745">
        <v>0</v>
      </c>
      <c r="P3244" s="737">
        <v>1</v>
      </c>
      <c r="Q3244" s="752"/>
      <c r="R3244" s="752"/>
      <c r="S3244" s="752"/>
    </row>
    <row r="3245" spans="1:19" s="753" customFormat="1" ht="24" customHeight="1">
      <c r="A3245" s="734"/>
      <c r="B3245" s="747" t="s">
        <v>469</v>
      </c>
      <c r="C3245" s="735" t="s">
        <v>508</v>
      </c>
      <c r="D3245" s="735"/>
      <c r="E3245" s="737">
        <f t="shared" si="790"/>
        <v>10</v>
      </c>
      <c r="F3245" s="738" t="s">
        <v>363</v>
      </c>
      <c r="G3245" s="739">
        <v>13500</v>
      </c>
      <c r="H3245" s="748">
        <f t="shared" si="786"/>
        <v>135000</v>
      </c>
      <c r="I3245" s="741">
        <v>750</v>
      </c>
      <c r="J3245" s="749">
        <f t="shared" si="792"/>
        <v>7500</v>
      </c>
      <c r="K3245" s="739">
        <f t="shared" si="788"/>
        <v>142500</v>
      </c>
      <c r="L3245" s="1079"/>
      <c r="M3245" s="752"/>
      <c r="N3245" s="744">
        <f t="shared" si="791"/>
        <v>10</v>
      </c>
      <c r="O3245" s="745">
        <v>0</v>
      </c>
      <c r="P3245" s="737">
        <v>10</v>
      </c>
      <c r="Q3245" s="752"/>
      <c r="R3245" s="752"/>
      <c r="S3245" s="752"/>
    </row>
    <row r="3246" spans="1:19" s="682" customFormat="1" ht="24" customHeight="1">
      <c r="A3246" s="734"/>
      <c r="B3246" s="747" t="s">
        <v>469</v>
      </c>
      <c r="C3246" s="735" t="s">
        <v>509</v>
      </c>
      <c r="D3246" s="735"/>
      <c r="E3246" s="737">
        <f t="shared" si="790"/>
        <v>1</v>
      </c>
      <c r="F3246" s="738" t="s">
        <v>363</v>
      </c>
      <c r="G3246" s="739">
        <v>14476</v>
      </c>
      <c r="H3246" s="748">
        <f t="shared" si="786"/>
        <v>14476</v>
      </c>
      <c r="I3246" s="741">
        <v>5367</v>
      </c>
      <c r="J3246" s="749">
        <f t="shared" si="792"/>
        <v>5367</v>
      </c>
      <c r="K3246" s="739">
        <f t="shared" si="788"/>
        <v>19843</v>
      </c>
      <c r="L3246" s="1079"/>
      <c r="M3246" s="679"/>
      <c r="N3246" s="744">
        <f t="shared" si="791"/>
        <v>1</v>
      </c>
      <c r="O3246" s="745">
        <v>0</v>
      </c>
      <c r="P3246" s="737">
        <v>1</v>
      </c>
      <c r="Q3246" s="679"/>
      <c r="R3246" s="679"/>
      <c r="S3246" s="679"/>
    </row>
    <row r="3247" spans="1:19" s="753" customFormat="1" ht="24" customHeight="1">
      <c r="A3247" s="734"/>
      <c r="B3247" s="747"/>
      <c r="C3247" s="735"/>
      <c r="D3247" s="907"/>
      <c r="E3247" s="737">
        <f t="shared" si="790"/>
        <v>0</v>
      </c>
      <c r="F3247" s="738"/>
      <c r="G3247" s="739">
        <v>0</v>
      </c>
      <c r="H3247" s="748">
        <f t="shared" si="786"/>
        <v>0</v>
      </c>
      <c r="I3247" s="741">
        <v>0</v>
      </c>
      <c r="J3247" s="749">
        <f t="shared" si="792"/>
        <v>0</v>
      </c>
      <c r="K3247" s="739">
        <f t="shared" si="788"/>
        <v>0</v>
      </c>
      <c r="L3247" s="1079"/>
      <c r="M3247" s="752"/>
      <c r="N3247" s="744">
        <f t="shared" si="791"/>
        <v>0</v>
      </c>
      <c r="O3247" s="745">
        <v>0</v>
      </c>
      <c r="P3247" s="737">
        <v>0</v>
      </c>
      <c r="Q3247" s="752"/>
      <c r="R3247" s="752"/>
      <c r="S3247" s="752"/>
    </row>
    <row r="3248" spans="1:19" s="753" customFormat="1" ht="24" customHeight="1">
      <c r="A3248" s="734"/>
      <c r="B3248" s="747" t="s">
        <v>469</v>
      </c>
      <c r="C3248" s="735" t="s">
        <v>510</v>
      </c>
      <c r="D3248" s="735"/>
      <c r="E3248" s="737">
        <f t="shared" si="790"/>
        <v>5.8</v>
      </c>
      <c r="F3248" s="738" t="s">
        <v>361</v>
      </c>
      <c r="G3248" s="739">
        <v>2694</v>
      </c>
      <c r="H3248" s="748">
        <f t="shared" si="786"/>
        <v>15625.199999999999</v>
      </c>
      <c r="I3248" s="741">
        <v>1288</v>
      </c>
      <c r="J3248" s="749">
        <f t="shared" si="792"/>
        <v>7470.4</v>
      </c>
      <c r="K3248" s="739">
        <f t="shared" si="788"/>
        <v>23095.599999999999</v>
      </c>
      <c r="L3248" s="1079"/>
      <c r="M3248" s="752"/>
      <c r="N3248" s="744">
        <f t="shared" si="791"/>
        <v>5.8</v>
      </c>
      <c r="O3248" s="745">
        <v>0</v>
      </c>
      <c r="P3248" s="737">
        <v>5.8</v>
      </c>
      <c r="Q3248" s="752"/>
      <c r="R3248" s="752"/>
      <c r="S3248" s="752"/>
    </row>
    <row r="3249" spans="1:19" s="753" customFormat="1" ht="24" customHeight="1">
      <c r="A3249" s="734"/>
      <c r="B3249" s="747"/>
      <c r="C3249" s="735" t="s">
        <v>511</v>
      </c>
      <c r="D3249" s="735"/>
      <c r="E3249" s="737">
        <f t="shared" si="790"/>
        <v>0</v>
      </c>
      <c r="F3249" s="738"/>
      <c r="G3249" s="739"/>
      <c r="H3249" s="748">
        <f t="shared" si="786"/>
        <v>0</v>
      </c>
      <c r="I3249" s="741"/>
      <c r="J3249" s="749">
        <f t="shared" si="792"/>
        <v>0</v>
      </c>
      <c r="K3249" s="739">
        <f t="shared" si="788"/>
        <v>0</v>
      </c>
      <c r="L3249" s="1079"/>
      <c r="M3249" s="752"/>
      <c r="N3249" s="744">
        <f t="shared" si="791"/>
        <v>0</v>
      </c>
      <c r="O3249" s="745">
        <v>0</v>
      </c>
      <c r="P3249" s="737">
        <v>0</v>
      </c>
      <c r="Q3249" s="752"/>
      <c r="R3249" s="752"/>
      <c r="S3249" s="752"/>
    </row>
    <row r="3250" spans="1:19" s="753" customFormat="1" ht="24" customHeight="1">
      <c r="A3250" s="734"/>
      <c r="B3250" s="747" t="s">
        <v>469</v>
      </c>
      <c r="C3250" s="735" t="s">
        <v>512</v>
      </c>
      <c r="D3250" s="735"/>
      <c r="E3250" s="737">
        <f t="shared" si="790"/>
        <v>5.8</v>
      </c>
      <c r="F3250" s="738" t="s">
        <v>361</v>
      </c>
      <c r="G3250" s="739">
        <v>3886</v>
      </c>
      <c r="H3250" s="748">
        <f t="shared" si="786"/>
        <v>22538.799999999999</v>
      </c>
      <c r="I3250" s="741">
        <v>1238</v>
      </c>
      <c r="J3250" s="749">
        <f t="shared" si="792"/>
        <v>7180.4</v>
      </c>
      <c r="K3250" s="739">
        <f t="shared" si="788"/>
        <v>29719.199999999997</v>
      </c>
      <c r="L3250" s="1079"/>
      <c r="M3250" s="752"/>
      <c r="N3250" s="744">
        <f t="shared" si="791"/>
        <v>5.8</v>
      </c>
      <c r="O3250" s="745">
        <v>0</v>
      </c>
      <c r="P3250" s="737">
        <v>5.8</v>
      </c>
      <c r="Q3250" s="752"/>
      <c r="R3250" s="752"/>
      <c r="S3250" s="752"/>
    </row>
    <row r="3251" spans="1:19" s="753" customFormat="1" ht="24" customHeight="1">
      <c r="A3251" s="734"/>
      <c r="B3251" s="747"/>
      <c r="C3251" s="735" t="s">
        <v>513</v>
      </c>
      <c r="D3251" s="735"/>
      <c r="E3251" s="737">
        <f t="shared" si="790"/>
        <v>0</v>
      </c>
      <c r="F3251" s="738"/>
      <c r="G3251" s="739">
        <v>0</v>
      </c>
      <c r="H3251" s="748">
        <f t="shared" si="786"/>
        <v>0</v>
      </c>
      <c r="I3251" s="741">
        <v>0</v>
      </c>
      <c r="J3251" s="749">
        <f t="shared" si="792"/>
        <v>0</v>
      </c>
      <c r="K3251" s="739">
        <f t="shared" si="788"/>
        <v>0</v>
      </c>
      <c r="L3251" s="1079"/>
      <c r="M3251" s="752"/>
      <c r="N3251" s="744">
        <f t="shared" si="791"/>
        <v>0</v>
      </c>
      <c r="O3251" s="745">
        <v>0</v>
      </c>
      <c r="P3251" s="737">
        <v>0</v>
      </c>
      <c r="Q3251" s="752"/>
      <c r="R3251" s="752"/>
      <c r="S3251" s="752"/>
    </row>
    <row r="3252" spans="1:19" s="753" customFormat="1" ht="24" customHeight="1">
      <c r="A3252" s="734"/>
      <c r="B3252" s="747" t="s">
        <v>469</v>
      </c>
      <c r="C3252" s="735" t="s">
        <v>521</v>
      </c>
      <c r="D3252" s="735"/>
      <c r="E3252" s="737">
        <f t="shared" si="790"/>
        <v>9</v>
      </c>
      <c r="F3252" s="738" t="s">
        <v>361</v>
      </c>
      <c r="G3252" s="739">
        <v>1522</v>
      </c>
      <c r="H3252" s="748">
        <f t="shared" ref="H3252:H3290" si="793">SUM(E3252*G3252)</f>
        <v>13698</v>
      </c>
      <c r="I3252" s="741">
        <v>315</v>
      </c>
      <c r="J3252" s="749">
        <f t="shared" si="792"/>
        <v>2835</v>
      </c>
      <c r="K3252" s="739">
        <f t="shared" si="788"/>
        <v>16533</v>
      </c>
      <c r="L3252" s="1079"/>
      <c r="M3252" s="752"/>
      <c r="N3252" s="744">
        <f t="shared" si="791"/>
        <v>9</v>
      </c>
      <c r="O3252" s="745">
        <v>0</v>
      </c>
      <c r="P3252" s="737">
        <v>9</v>
      </c>
      <c r="Q3252" s="752"/>
      <c r="R3252" s="752"/>
      <c r="S3252" s="752"/>
    </row>
    <row r="3253" spans="1:19" s="753" customFormat="1" ht="24" customHeight="1">
      <c r="A3253" s="734"/>
      <c r="B3253" s="747"/>
      <c r="C3253" s="735"/>
      <c r="D3253" s="735"/>
      <c r="E3253" s="737">
        <f t="shared" si="790"/>
        <v>0</v>
      </c>
      <c r="F3253" s="738"/>
      <c r="G3253" s="739">
        <v>0</v>
      </c>
      <c r="H3253" s="748">
        <f t="shared" si="793"/>
        <v>0</v>
      </c>
      <c r="I3253" s="741">
        <v>0</v>
      </c>
      <c r="J3253" s="749">
        <f t="shared" si="792"/>
        <v>0</v>
      </c>
      <c r="K3253" s="739">
        <f t="shared" si="788"/>
        <v>0</v>
      </c>
      <c r="L3253" s="1079"/>
      <c r="M3253" s="752"/>
      <c r="N3253" s="744">
        <f t="shared" si="791"/>
        <v>0</v>
      </c>
      <c r="O3253" s="745">
        <v>0</v>
      </c>
      <c r="P3253" s="737">
        <v>0</v>
      </c>
      <c r="Q3253" s="752"/>
      <c r="R3253" s="752"/>
      <c r="S3253" s="752"/>
    </row>
    <row r="3254" spans="1:19" s="682" customFormat="1" ht="24" customHeight="1">
      <c r="A3254" s="734"/>
      <c r="B3254" s="747" t="s">
        <v>469</v>
      </c>
      <c r="C3254" s="735" t="s">
        <v>515</v>
      </c>
      <c r="D3254" s="735"/>
      <c r="E3254" s="737">
        <f t="shared" si="790"/>
        <v>1</v>
      </c>
      <c r="F3254" s="738" t="s">
        <v>363</v>
      </c>
      <c r="G3254" s="739">
        <v>5013</v>
      </c>
      <c r="H3254" s="748">
        <f t="shared" si="793"/>
        <v>5013</v>
      </c>
      <c r="I3254" s="741">
        <v>2403</v>
      </c>
      <c r="J3254" s="749">
        <f t="shared" si="792"/>
        <v>2403</v>
      </c>
      <c r="K3254" s="739">
        <f t="shared" ref="K3254:K3317" si="794">SUM(H3254+J3254)</f>
        <v>7416</v>
      </c>
      <c r="L3254" s="1079"/>
      <c r="M3254" s="679"/>
      <c r="N3254" s="744">
        <f t="shared" si="791"/>
        <v>1</v>
      </c>
      <c r="O3254" s="745">
        <v>0</v>
      </c>
      <c r="P3254" s="737">
        <v>1</v>
      </c>
      <c r="Q3254" s="679"/>
      <c r="R3254" s="679"/>
      <c r="S3254" s="679"/>
    </row>
    <row r="3255" spans="1:19" s="682" customFormat="1" ht="24" customHeight="1">
      <c r="A3255" s="734"/>
      <c r="B3255" s="747"/>
      <c r="C3255" s="735" t="s">
        <v>516</v>
      </c>
      <c r="D3255" s="735"/>
      <c r="E3255" s="737">
        <f t="shared" si="790"/>
        <v>0</v>
      </c>
      <c r="F3255" s="738"/>
      <c r="G3255" s="739"/>
      <c r="H3255" s="748">
        <f t="shared" si="793"/>
        <v>0</v>
      </c>
      <c r="I3255" s="741"/>
      <c r="J3255" s="749">
        <f t="shared" si="792"/>
        <v>0</v>
      </c>
      <c r="K3255" s="739">
        <f t="shared" si="794"/>
        <v>0</v>
      </c>
      <c r="L3255" s="1079"/>
      <c r="M3255" s="679"/>
      <c r="N3255" s="744">
        <f t="shared" si="791"/>
        <v>0</v>
      </c>
      <c r="O3255" s="745">
        <v>0</v>
      </c>
      <c r="P3255" s="737">
        <v>0</v>
      </c>
      <c r="Q3255" s="679"/>
      <c r="R3255" s="679"/>
      <c r="S3255" s="679"/>
    </row>
    <row r="3256" spans="1:19" s="682" customFormat="1" ht="24" customHeight="1">
      <c r="A3256" s="734"/>
      <c r="B3256" s="747"/>
      <c r="C3256" s="735"/>
      <c r="D3256" s="735"/>
      <c r="E3256" s="737">
        <f t="shared" si="790"/>
        <v>0</v>
      </c>
      <c r="F3256" s="738"/>
      <c r="G3256" s="739"/>
      <c r="H3256" s="748">
        <f t="shared" si="793"/>
        <v>0</v>
      </c>
      <c r="I3256" s="741"/>
      <c r="J3256" s="749">
        <f t="shared" si="792"/>
        <v>0</v>
      </c>
      <c r="K3256" s="739">
        <f t="shared" si="794"/>
        <v>0</v>
      </c>
      <c r="L3256" s="1079"/>
      <c r="M3256" s="679"/>
      <c r="N3256" s="744">
        <f t="shared" si="791"/>
        <v>0</v>
      </c>
      <c r="O3256" s="745">
        <v>0</v>
      </c>
      <c r="P3256" s="737">
        <v>0</v>
      </c>
      <c r="Q3256" s="679"/>
      <c r="R3256" s="679"/>
      <c r="S3256" s="679"/>
    </row>
    <row r="3257" spans="1:19" s="756" customFormat="1" ht="24" customHeight="1">
      <c r="A3257" s="734"/>
      <c r="B3257" s="747" t="s">
        <v>469</v>
      </c>
      <c r="C3257" s="735" t="s">
        <v>517</v>
      </c>
      <c r="D3257" s="907"/>
      <c r="E3257" s="737">
        <f t="shared" ref="E3257:E3320" si="795">+N3257</f>
        <v>0</v>
      </c>
      <c r="F3257" s="738" t="s">
        <v>361</v>
      </c>
      <c r="G3257" s="739">
        <v>5075.5555555555557</v>
      </c>
      <c r="H3257" s="748">
        <f t="shared" si="793"/>
        <v>0</v>
      </c>
      <c r="I3257" s="741">
        <v>2545.7777777777778</v>
      </c>
      <c r="J3257" s="749">
        <f t="shared" si="792"/>
        <v>0</v>
      </c>
      <c r="K3257" s="739">
        <f t="shared" si="794"/>
        <v>0</v>
      </c>
      <c r="L3257" s="1079"/>
      <c r="M3257" s="755"/>
      <c r="N3257" s="744">
        <f t="shared" si="791"/>
        <v>0</v>
      </c>
      <c r="O3257" s="745">
        <v>0</v>
      </c>
      <c r="P3257" s="737">
        <v>0</v>
      </c>
      <c r="Q3257" s="755"/>
      <c r="R3257" s="755"/>
      <c r="S3257" s="755"/>
    </row>
    <row r="3258" spans="1:19" s="756" customFormat="1" ht="24" customHeight="1">
      <c r="A3258" s="734"/>
      <c r="B3258" s="747"/>
      <c r="C3258" s="735" t="s">
        <v>488</v>
      </c>
      <c r="D3258" s="907"/>
      <c r="E3258" s="737">
        <f t="shared" si="795"/>
        <v>0</v>
      </c>
      <c r="F3258" s="738"/>
      <c r="G3258" s="739">
        <v>0</v>
      </c>
      <c r="H3258" s="748">
        <f t="shared" si="793"/>
        <v>0</v>
      </c>
      <c r="I3258" s="741">
        <v>0</v>
      </c>
      <c r="J3258" s="749">
        <f t="shared" si="792"/>
        <v>0</v>
      </c>
      <c r="K3258" s="739">
        <f t="shared" si="794"/>
        <v>0</v>
      </c>
      <c r="L3258" s="1079"/>
      <c r="M3258" s="755"/>
      <c r="N3258" s="744">
        <f t="shared" si="791"/>
        <v>0</v>
      </c>
      <c r="O3258" s="745">
        <v>0</v>
      </c>
      <c r="P3258" s="737">
        <v>0</v>
      </c>
      <c r="Q3258" s="755"/>
      <c r="R3258" s="755"/>
      <c r="S3258" s="755"/>
    </row>
    <row r="3259" spans="1:19" s="753" customFormat="1" ht="24" customHeight="1">
      <c r="A3259" s="734"/>
      <c r="B3259" s="747" t="s">
        <v>469</v>
      </c>
      <c r="C3259" s="735" t="s">
        <v>518</v>
      </c>
      <c r="D3259" s="735"/>
      <c r="E3259" s="737">
        <f t="shared" si="795"/>
        <v>0</v>
      </c>
      <c r="F3259" s="738" t="s">
        <v>361</v>
      </c>
      <c r="G3259" s="739">
        <v>3886</v>
      </c>
      <c r="H3259" s="748">
        <f t="shared" si="793"/>
        <v>0</v>
      </c>
      <c r="I3259" s="741">
        <v>1238</v>
      </c>
      <c r="J3259" s="749">
        <f t="shared" si="792"/>
        <v>0</v>
      </c>
      <c r="K3259" s="739">
        <f t="shared" si="794"/>
        <v>0</v>
      </c>
      <c r="L3259" s="1079"/>
      <c r="M3259" s="752"/>
      <c r="N3259" s="744">
        <f t="shared" si="791"/>
        <v>0</v>
      </c>
      <c r="O3259" s="745">
        <v>0</v>
      </c>
      <c r="P3259" s="737">
        <v>0</v>
      </c>
      <c r="Q3259" s="752"/>
      <c r="R3259" s="752"/>
      <c r="S3259" s="752"/>
    </row>
    <row r="3260" spans="1:19" s="753" customFormat="1" ht="24" customHeight="1">
      <c r="A3260" s="734"/>
      <c r="B3260" s="747"/>
      <c r="C3260" s="735" t="s">
        <v>513</v>
      </c>
      <c r="D3260" s="735"/>
      <c r="E3260" s="737">
        <f t="shared" si="795"/>
        <v>0</v>
      </c>
      <c r="F3260" s="738"/>
      <c r="G3260" s="739">
        <v>0</v>
      </c>
      <c r="H3260" s="748">
        <f t="shared" si="793"/>
        <v>0</v>
      </c>
      <c r="I3260" s="741">
        <v>0</v>
      </c>
      <c r="J3260" s="749">
        <f t="shared" si="792"/>
        <v>0</v>
      </c>
      <c r="K3260" s="739">
        <f t="shared" si="794"/>
        <v>0</v>
      </c>
      <c r="L3260" s="1079"/>
      <c r="M3260" s="752"/>
      <c r="N3260" s="744">
        <f t="shared" si="791"/>
        <v>0</v>
      </c>
      <c r="O3260" s="745">
        <v>0</v>
      </c>
      <c r="P3260" s="737">
        <v>0</v>
      </c>
      <c r="Q3260" s="752"/>
      <c r="R3260" s="752"/>
      <c r="S3260" s="752"/>
    </row>
    <row r="3261" spans="1:19" s="682" customFormat="1" ht="24" customHeight="1">
      <c r="A3261" s="734"/>
      <c r="B3261" s="747"/>
      <c r="C3261" s="735"/>
      <c r="D3261" s="735"/>
      <c r="E3261" s="737">
        <f t="shared" si="795"/>
        <v>0</v>
      </c>
      <c r="F3261" s="738"/>
      <c r="G3261" s="739"/>
      <c r="H3261" s="748">
        <f t="shared" si="793"/>
        <v>0</v>
      </c>
      <c r="I3261" s="741"/>
      <c r="J3261" s="749">
        <f t="shared" si="792"/>
        <v>0</v>
      </c>
      <c r="K3261" s="739">
        <f t="shared" si="794"/>
        <v>0</v>
      </c>
      <c r="L3261" s="1079"/>
      <c r="M3261" s="679"/>
      <c r="N3261" s="744">
        <f t="shared" si="791"/>
        <v>0</v>
      </c>
      <c r="O3261" s="745">
        <v>0</v>
      </c>
      <c r="P3261" s="737">
        <v>0</v>
      </c>
      <c r="Q3261" s="679"/>
      <c r="R3261" s="679"/>
      <c r="S3261" s="679"/>
    </row>
    <row r="3262" spans="1:19" s="682" customFormat="1" ht="24" customHeight="1">
      <c r="A3262" s="734"/>
      <c r="B3262" s="747" t="s">
        <v>469</v>
      </c>
      <c r="C3262" s="735" t="s">
        <v>519</v>
      </c>
      <c r="D3262" s="735"/>
      <c r="E3262" s="737">
        <f t="shared" si="795"/>
        <v>1</v>
      </c>
      <c r="F3262" s="738" t="s">
        <v>363</v>
      </c>
      <c r="G3262" s="739">
        <v>800</v>
      </c>
      <c r="H3262" s="748">
        <f t="shared" si="793"/>
        <v>800</v>
      </c>
      <c r="I3262" s="741">
        <v>70</v>
      </c>
      <c r="J3262" s="749">
        <f t="shared" si="792"/>
        <v>70</v>
      </c>
      <c r="K3262" s="739">
        <f t="shared" si="794"/>
        <v>870</v>
      </c>
      <c r="L3262" s="1079"/>
      <c r="M3262" s="679"/>
      <c r="N3262" s="744">
        <f t="shared" si="791"/>
        <v>1</v>
      </c>
      <c r="O3262" s="745">
        <v>0</v>
      </c>
      <c r="P3262" s="737">
        <v>1</v>
      </c>
      <c r="Q3262" s="679"/>
      <c r="R3262" s="679"/>
      <c r="S3262" s="679"/>
    </row>
    <row r="3263" spans="1:19" s="682" customFormat="1" ht="24" customHeight="1">
      <c r="A3263" s="734"/>
      <c r="B3263" s="747" t="s">
        <v>469</v>
      </c>
      <c r="C3263" s="735" t="s">
        <v>520</v>
      </c>
      <c r="D3263" s="735"/>
      <c r="E3263" s="737">
        <f t="shared" si="795"/>
        <v>0</v>
      </c>
      <c r="F3263" s="738" t="s">
        <v>361</v>
      </c>
      <c r="G3263" s="739">
        <v>190</v>
      </c>
      <c r="H3263" s="748">
        <f t="shared" si="793"/>
        <v>0</v>
      </c>
      <c r="I3263" s="741">
        <v>75</v>
      </c>
      <c r="J3263" s="749">
        <f t="shared" si="792"/>
        <v>0</v>
      </c>
      <c r="K3263" s="739">
        <f t="shared" si="794"/>
        <v>0</v>
      </c>
      <c r="L3263" s="1079"/>
      <c r="M3263" s="679"/>
      <c r="N3263" s="744">
        <f t="shared" si="791"/>
        <v>0</v>
      </c>
      <c r="O3263" s="745">
        <v>0</v>
      </c>
      <c r="P3263" s="737">
        <v>0</v>
      </c>
      <c r="Q3263" s="679"/>
      <c r="R3263" s="679"/>
      <c r="S3263" s="679"/>
    </row>
    <row r="3264" spans="1:19" s="682" customFormat="1" ht="24" customHeight="1">
      <c r="A3264" s="734"/>
      <c r="B3264" s="747"/>
      <c r="C3264" s="735"/>
      <c r="D3264" s="735"/>
      <c r="E3264" s="737">
        <f t="shared" si="795"/>
        <v>0</v>
      </c>
      <c r="F3264" s="738"/>
      <c r="G3264" s="739"/>
      <c r="H3264" s="748">
        <f t="shared" si="793"/>
        <v>0</v>
      </c>
      <c r="I3264" s="741"/>
      <c r="J3264" s="749">
        <f t="shared" si="792"/>
        <v>0</v>
      </c>
      <c r="K3264" s="739">
        <f t="shared" si="794"/>
        <v>0</v>
      </c>
      <c r="L3264" s="1079"/>
      <c r="M3264" s="679"/>
      <c r="N3264" s="744">
        <f t="shared" ref="N3264:N3328" si="796">+(1+O3264)*P3264</f>
        <v>0</v>
      </c>
      <c r="O3264" s="745">
        <v>0</v>
      </c>
      <c r="P3264" s="737">
        <v>0</v>
      </c>
      <c r="Q3264" s="679"/>
      <c r="R3264" s="679"/>
      <c r="S3264" s="679"/>
    </row>
    <row r="3265" spans="1:19" s="753" customFormat="1" ht="24" customHeight="1">
      <c r="A3265" s="734"/>
      <c r="B3265" s="735" t="s">
        <v>1074</v>
      </c>
      <c r="C3265" s="735"/>
      <c r="D3265" s="735"/>
      <c r="E3265" s="737">
        <f t="shared" si="795"/>
        <v>0</v>
      </c>
      <c r="F3265" s="738"/>
      <c r="G3265" s="739">
        <v>0</v>
      </c>
      <c r="H3265" s="748">
        <f t="shared" si="793"/>
        <v>0</v>
      </c>
      <c r="I3265" s="741">
        <v>0</v>
      </c>
      <c r="J3265" s="749">
        <f t="shared" si="792"/>
        <v>0</v>
      </c>
      <c r="K3265" s="739">
        <f t="shared" si="794"/>
        <v>0</v>
      </c>
      <c r="L3265" s="1079"/>
      <c r="M3265" s="752"/>
      <c r="N3265" s="744">
        <f t="shared" si="796"/>
        <v>0</v>
      </c>
      <c r="O3265" s="745">
        <v>0</v>
      </c>
      <c r="P3265" s="737">
        <v>0</v>
      </c>
      <c r="Q3265" s="752"/>
      <c r="R3265" s="752"/>
      <c r="S3265" s="752"/>
    </row>
    <row r="3266" spans="1:19" s="753" customFormat="1" ht="24" customHeight="1">
      <c r="A3266" s="734"/>
      <c r="B3266" s="747" t="s">
        <v>469</v>
      </c>
      <c r="C3266" s="735" t="s">
        <v>522</v>
      </c>
      <c r="D3266" s="735"/>
      <c r="E3266" s="737">
        <f t="shared" si="795"/>
        <v>1</v>
      </c>
      <c r="F3266" s="738" t="s">
        <v>363</v>
      </c>
      <c r="G3266" s="739">
        <v>6832</v>
      </c>
      <c r="H3266" s="748">
        <f t="shared" si="793"/>
        <v>6832</v>
      </c>
      <c r="I3266" s="741">
        <v>450</v>
      </c>
      <c r="J3266" s="749">
        <f t="shared" si="792"/>
        <v>450</v>
      </c>
      <c r="K3266" s="739">
        <f t="shared" si="794"/>
        <v>7282</v>
      </c>
      <c r="L3266" s="1079"/>
      <c r="M3266" s="752"/>
      <c r="N3266" s="744">
        <f t="shared" si="796"/>
        <v>1</v>
      </c>
      <c r="O3266" s="745">
        <v>0</v>
      </c>
      <c r="P3266" s="737">
        <v>1</v>
      </c>
      <c r="Q3266" s="752"/>
      <c r="R3266" s="752"/>
      <c r="S3266" s="752"/>
    </row>
    <row r="3267" spans="1:19" s="753" customFormat="1" ht="24" customHeight="1">
      <c r="A3267" s="734"/>
      <c r="B3267" s="747" t="s">
        <v>469</v>
      </c>
      <c r="C3267" s="735" t="s">
        <v>498</v>
      </c>
      <c r="D3267" s="735"/>
      <c r="E3267" s="737">
        <f t="shared" si="795"/>
        <v>1</v>
      </c>
      <c r="F3267" s="738" t="s">
        <v>363</v>
      </c>
      <c r="G3267" s="739">
        <v>6640</v>
      </c>
      <c r="H3267" s="748">
        <f t="shared" si="793"/>
        <v>6640</v>
      </c>
      <c r="I3267" s="741">
        <v>200</v>
      </c>
      <c r="J3267" s="749">
        <f t="shared" si="792"/>
        <v>200</v>
      </c>
      <c r="K3267" s="739">
        <f t="shared" si="794"/>
        <v>6840</v>
      </c>
      <c r="L3267" s="1079"/>
      <c r="M3267" s="752"/>
      <c r="N3267" s="744">
        <f t="shared" si="796"/>
        <v>1</v>
      </c>
      <c r="O3267" s="745">
        <v>0</v>
      </c>
      <c r="P3267" s="737">
        <v>1</v>
      </c>
      <c r="Q3267" s="752"/>
      <c r="R3267" s="752"/>
      <c r="S3267" s="752"/>
    </row>
    <row r="3268" spans="1:19" s="753" customFormat="1" ht="24" customHeight="1">
      <c r="A3268" s="734"/>
      <c r="B3268" s="747" t="s">
        <v>469</v>
      </c>
      <c r="C3268" s="735" t="s">
        <v>476</v>
      </c>
      <c r="D3268" s="735"/>
      <c r="E3268" s="737">
        <f t="shared" si="795"/>
        <v>1</v>
      </c>
      <c r="F3268" s="738" t="s">
        <v>363</v>
      </c>
      <c r="G3268" s="739">
        <v>336</v>
      </c>
      <c r="H3268" s="748">
        <f t="shared" si="793"/>
        <v>336</v>
      </c>
      <c r="I3268" s="741">
        <v>0</v>
      </c>
      <c r="J3268" s="749">
        <f t="shared" si="792"/>
        <v>0</v>
      </c>
      <c r="K3268" s="739">
        <f t="shared" si="794"/>
        <v>336</v>
      </c>
      <c r="L3268" s="1079"/>
      <c r="M3268" s="752"/>
      <c r="N3268" s="744">
        <f t="shared" si="796"/>
        <v>1</v>
      </c>
      <c r="O3268" s="745">
        <v>0</v>
      </c>
      <c r="P3268" s="737">
        <v>1</v>
      </c>
      <c r="Q3268" s="752"/>
      <c r="R3268" s="752"/>
      <c r="S3268" s="752"/>
    </row>
    <row r="3269" spans="1:19" s="753" customFormat="1" ht="24" customHeight="1">
      <c r="A3269" s="734"/>
      <c r="B3269" s="747" t="s">
        <v>469</v>
      </c>
      <c r="C3269" s="735" t="s">
        <v>477</v>
      </c>
      <c r="D3269" s="735"/>
      <c r="E3269" s="737">
        <f t="shared" si="795"/>
        <v>1</v>
      </c>
      <c r="F3269" s="738" t="s">
        <v>363</v>
      </c>
      <c r="G3269" s="739">
        <v>736</v>
      </c>
      <c r="H3269" s="748">
        <f t="shared" si="793"/>
        <v>736</v>
      </c>
      <c r="I3269" s="741">
        <v>0</v>
      </c>
      <c r="J3269" s="749">
        <f t="shared" si="792"/>
        <v>0</v>
      </c>
      <c r="K3269" s="739">
        <f t="shared" si="794"/>
        <v>736</v>
      </c>
      <c r="L3269" s="1079"/>
      <c r="M3269" s="752"/>
      <c r="N3269" s="744">
        <f t="shared" si="796"/>
        <v>1</v>
      </c>
      <c r="O3269" s="745">
        <v>0</v>
      </c>
      <c r="P3269" s="737">
        <v>1</v>
      </c>
      <c r="Q3269" s="752"/>
      <c r="R3269" s="752"/>
      <c r="S3269" s="752"/>
    </row>
    <row r="3270" spans="1:19" s="753" customFormat="1" ht="24" customHeight="1">
      <c r="A3270" s="734"/>
      <c r="B3270" s="747" t="s">
        <v>469</v>
      </c>
      <c r="C3270" s="735" t="s">
        <v>478</v>
      </c>
      <c r="D3270" s="735"/>
      <c r="E3270" s="737">
        <f t="shared" si="795"/>
        <v>1</v>
      </c>
      <c r="F3270" s="738" t="s">
        <v>363</v>
      </c>
      <c r="G3270" s="739">
        <v>176</v>
      </c>
      <c r="H3270" s="748">
        <f t="shared" si="793"/>
        <v>176</v>
      </c>
      <c r="I3270" s="741">
        <v>0</v>
      </c>
      <c r="J3270" s="749">
        <f t="shared" si="792"/>
        <v>0</v>
      </c>
      <c r="K3270" s="739">
        <f t="shared" si="794"/>
        <v>176</v>
      </c>
      <c r="L3270" s="1079"/>
      <c r="M3270" s="752"/>
      <c r="N3270" s="744">
        <f t="shared" si="796"/>
        <v>1</v>
      </c>
      <c r="O3270" s="745">
        <v>0</v>
      </c>
      <c r="P3270" s="737">
        <v>1</v>
      </c>
      <c r="Q3270" s="752"/>
      <c r="R3270" s="752"/>
      <c r="S3270" s="752"/>
    </row>
    <row r="3271" spans="1:19" s="753" customFormat="1" ht="24" customHeight="1">
      <c r="A3271" s="734"/>
      <c r="B3271" s="747" t="s">
        <v>469</v>
      </c>
      <c r="C3271" s="735" t="s">
        <v>499</v>
      </c>
      <c r="D3271" s="735"/>
      <c r="E3271" s="737">
        <f t="shared" si="795"/>
        <v>1</v>
      </c>
      <c r="F3271" s="738" t="s">
        <v>363</v>
      </c>
      <c r="G3271" s="739">
        <v>216</v>
      </c>
      <c r="H3271" s="748">
        <f t="shared" si="793"/>
        <v>216</v>
      </c>
      <c r="I3271" s="741">
        <v>35</v>
      </c>
      <c r="J3271" s="749">
        <f t="shared" si="792"/>
        <v>35</v>
      </c>
      <c r="K3271" s="739">
        <f t="shared" si="794"/>
        <v>251</v>
      </c>
      <c r="L3271" s="1079"/>
      <c r="M3271" s="752"/>
      <c r="N3271" s="744">
        <f t="shared" si="796"/>
        <v>1</v>
      </c>
      <c r="O3271" s="745">
        <v>0</v>
      </c>
      <c r="P3271" s="737">
        <v>1</v>
      </c>
      <c r="Q3271" s="752"/>
      <c r="R3271" s="752"/>
      <c r="S3271" s="752"/>
    </row>
    <row r="3272" spans="1:19" s="753" customFormat="1" ht="24" customHeight="1">
      <c r="A3272" s="734"/>
      <c r="B3272" s="750"/>
      <c r="C3272" s="757"/>
      <c r="D3272" s="907"/>
      <c r="E3272" s="737">
        <f t="shared" si="795"/>
        <v>0</v>
      </c>
      <c r="F3272" s="738"/>
      <c r="G3272" s="739">
        <v>0</v>
      </c>
      <c r="H3272" s="748">
        <f t="shared" si="793"/>
        <v>0</v>
      </c>
      <c r="I3272" s="741">
        <v>0</v>
      </c>
      <c r="J3272" s="749">
        <f t="shared" si="792"/>
        <v>0</v>
      </c>
      <c r="K3272" s="739">
        <f t="shared" si="794"/>
        <v>0</v>
      </c>
      <c r="L3272" s="1079"/>
      <c r="M3272" s="752"/>
      <c r="N3272" s="744">
        <f t="shared" si="796"/>
        <v>0</v>
      </c>
      <c r="O3272" s="745">
        <v>0</v>
      </c>
      <c r="P3272" s="737">
        <v>0</v>
      </c>
      <c r="Q3272" s="752"/>
      <c r="R3272" s="752"/>
      <c r="S3272" s="752"/>
    </row>
    <row r="3273" spans="1:19" s="753" customFormat="1" ht="24" customHeight="1">
      <c r="A3273" s="734"/>
      <c r="B3273" s="747" t="s">
        <v>469</v>
      </c>
      <c r="C3273" s="735" t="s">
        <v>523</v>
      </c>
      <c r="D3273" s="735"/>
      <c r="E3273" s="737">
        <f t="shared" si="795"/>
        <v>1</v>
      </c>
      <c r="F3273" s="738" t="s">
        <v>363</v>
      </c>
      <c r="G3273" s="739">
        <v>6580</v>
      </c>
      <c r="H3273" s="748">
        <f t="shared" si="793"/>
        <v>6580</v>
      </c>
      <c r="I3273" s="741">
        <v>450</v>
      </c>
      <c r="J3273" s="749">
        <f t="shared" si="792"/>
        <v>450</v>
      </c>
      <c r="K3273" s="739">
        <f t="shared" si="794"/>
        <v>7030</v>
      </c>
      <c r="L3273" s="1079"/>
      <c r="M3273" s="752"/>
      <c r="N3273" s="744">
        <f t="shared" si="796"/>
        <v>1</v>
      </c>
      <c r="O3273" s="745">
        <v>0</v>
      </c>
      <c r="P3273" s="737">
        <v>1</v>
      </c>
      <c r="Q3273" s="752"/>
      <c r="R3273" s="752"/>
      <c r="S3273" s="752"/>
    </row>
    <row r="3274" spans="1:19" s="753" customFormat="1" ht="24" customHeight="1">
      <c r="A3274" s="734"/>
      <c r="B3274" s="747" t="s">
        <v>469</v>
      </c>
      <c r="C3274" s="735" t="s">
        <v>478</v>
      </c>
      <c r="D3274" s="735"/>
      <c r="E3274" s="737">
        <f t="shared" si="795"/>
        <v>1</v>
      </c>
      <c r="F3274" s="738" t="s">
        <v>363</v>
      </c>
      <c r="G3274" s="739">
        <v>176</v>
      </c>
      <c r="H3274" s="748">
        <f t="shared" si="793"/>
        <v>176</v>
      </c>
      <c r="I3274" s="741">
        <v>0</v>
      </c>
      <c r="J3274" s="749">
        <f t="shared" si="792"/>
        <v>0</v>
      </c>
      <c r="K3274" s="739">
        <f t="shared" si="794"/>
        <v>176</v>
      </c>
      <c r="L3274" s="1079"/>
      <c r="M3274" s="752"/>
      <c r="N3274" s="744">
        <f t="shared" si="796"/>
        <v>1</v>
      </c>
      <c r="O3274" s="745">
        <v>0</v>
      </c>
      <c r="P3274" s="737">
        <v>1</v>
      </c>
      <c r="Q3274" s="752"/>
      <c r="R3274" s="752"/>
      <c r="S3274" s="752"/>
    </row>
    <row r="3275" spans="1:19" s="753" customFormat="1" ht="24" customHeight="1">
      <c r="A3275" s="734"/>
      <c r="B3275" s="747" t="s">
        <v>469</v>
      </c>
      <c r="C3275" s="735" t="s">
        <v>482</v>
      </c>
      <c r="D3275" s="735"/>
      <c r="E3275" s="737">
        <f t="shared" si="795"/>
        <v>1</v>
      </c>
      <c r="F3275" s="738" t="s">
        <v>363</v>
      </c>
      <c r="G3275" s="739">
        <v>560</v>
      </c>
      <c r="H3275" s="748">
        <f t="shared" si="793"/>
        <v>560</v>
      </c>
      <c r="I3275" s="741">
        <v>35</v>
      </c>
      <c r="J3275" s="749">
        <f t="shared" si="792"/>
        <v>35</v>
      </c>
      <c r="K3275" s="739">
        <f t="shared" si="794"/>
        <v>595</v>
      </c>
      <c r="L3275" s="1079"/>
      <c r="M3275" s="752"/>
      <c r="N3275" s="744">
        <f t="shared" si="796"/>
        <v>1</v>
      </c>
      <c r="O3275" s="745">
        <v>0</v>
      </c>
      <c r="P3275" s="737">
        <v>1</v>
      </c>
      <c r="Q3275" s="752"/>
      <c r="R3275" s="752"/>
      <c r="S3275" s="752"/>
    </row>
    <row r="3276" spans="1:19" s="753" customFormat="1" ht="24" customHeight="1">
      <c r="A3276" s="734"/>
      <c r="B3276" s="747" t="s">
        <v>469</v>
      </c>
      <c r="C3276" s="735" t="s">
        <v>524</v>
      </c>
      <c r="D3276" s="735"/>
      <c r="E3276" s="737">
        <f t="shared" si="795"/>
        <v>1</v>
      </c>
      <c r="F3276" s="738" t="s">
        <v>363</v>
      </c>
      <c r="G3276" s="739">
        <v>216</v>
      </c>
      <c r="H3276" s="748">
        <f t="shared" si="793"/>
        <v>216</v>
      </c>
      <c r="I3276" s="741">
        <v>35</v>
      </c>
      <c r="J3276" s="749">
        <f t="shared" si="792"/>
        <v>35</v>
      </c>
      <c r="K3276" s="739">
        <f t="shared" si="794"/>
        <v>251</v>
      </c>
      <c r="L3276" s="1079"/>
      <c r="M3276" s="752"/>
      <c r="N3276" s="744">
        <f t="shared" si="796"/>
        <v>1</v>
      </c>
      <c r="O3276" s="745">
        <v>0</v>
      </c>
      <c r="P3276" s="737">
        <v>1</v>
      </c>
      <c r="Q3276" s="752"/>
      <c r="R3276" s="752"/>
      <c r="S3276" s="752"/>
    </row>
    <row r="3277" spans="1:19" s="753" customFormat="1" ht="24" customHeight="1">
      <c r="A3277" s="734"/>
      <c r="B3277" s="747"/>
      <c r="C3277" s="735"/>
      <c r="D3277" s="735"/>
      <c r="E3277" s="737">
        <f t="shared" si="795"/>
        <v>0</v>
      </c>
      <c r="F3277" s="738"/>
      <c r="G3277" s="739">
        <v>0</v>
      </c>
      <c r="H3277" s="748">
        <f t="shared" si="793"/>
        <v>0</v>
      </c>
      <c r="I3277" s="741">
        <v>0</v>
      </c>
      <c r="J3277" s="749">
        <f t="shared" si="792"/>
        <v>0</v>
      </c>
      <c r="K3277" s="739">
        <f t="shared" si="794"/>
        <v>0</v>
      </c>
      <c r="L3277" s="1079"/>
      <c r="M3277" s="752"/>
      <c r="N3277" s="744">
        <f t="shared" si="796"/>
        <v>0</v>
      </c>
      <c r="O3277" s="745">
        <v>0</v>
      </c>
      <c r="P3277" s="737">
        <v>0</v>
      </c>
      <c r="Q3277" s="752"/>
      <c r="R3277" s="752"/>
      <c r="S3277" s="752"/>
    </row>
    <row r="3278" spans="1:19" s="753" customFormat="1" ht="24" customHeight="1">
      <c r="A3278" s="734"/>
      <c r="B3278" s="747" t="s">
        <v>469</v>
      </c>
      <c r="C3278" s="735" t="s">
        <v>486</v>
      </c>
      <c r="D3278" s="735"/>
      <c r="E3278" s="737">
        <f t="shared" si="795"/>
        <v>1</v>
      </c>
      <c r="F3278" s="738" t="s">
        <v>363</v>
      </c>
      <c r="G3278" s="739">
        <v>552</v>
      </c>
      <c r="H3278" s="748">
        <f t="shared" si="793"/>
        <v>552</v>
      </c>
      <c r="I3278" s="741">
        <v>25</v>
      </c>
      <c r="J3278" s="749">
        <f t="shared" si="792"/>
        <v>25</v>
      </c>
      <c r="K3278" s="739">
        <f t="shared" si="794"/>
        <v>577</v>
      </c>
      <c r="L3278" s="1079"/>
      <c r="M3278" s="752"/>
      <c r="N3278" s="744">
        <f t="shared" si="796"/>
        <v>1</v>
      </c>
      <c r="O3278" s="745">
        <v>0</v>
      </c>
      <c r="P3278" s="737">
        <v>1</v>
      </c>
      <c r="Q3278" s="752"/>
      <c r="R3278" s="752"/>
      <c r="S3278" s="752"/>
    </row>
    <row r="3279" spans="1:19" s="753" customFormat="1" ht="24" customHeight="1">
      <c r="A3279" s="734"/>
      <c r="B3279" s="747" t="s">
        <v>484</v>
      </c>
      <c r="C3279" s="735" t="s">
        <v>485</v>
      </c>
      <c r="D3279" s="735"/>
      <c r="E3279" s="737">
        <f t="shared" si="795"/>
        <v>1</v>
      </c>
      <c r="F3279" s="738" t="s">
        <v>363</v>
      </c>
      <c r="G3279" s="739">
        <v>285</v>
      </c>
      <c r="H3279" s="748">
        <f t="shared" si="793"/>
        <v>285</v>
      </c>
      <c r="I3279" s="741">
        <v>75</v>
      </c>
      <c r="J3279" s="749">
        <f t="shared" si="792"/>
        <v>75</v>
      </c>
      <c r="K3279" s="739">
        <f t="shared" si="794"/>
        <v>360</v>
      </c>
      <c r="L3279" s="1093"/>
      <c r="M3279" s="752"/>
      <c r="N3279" s="744">
        <f t="shared" si="796"/>
        <v>1</v>
      </c>
      <c r="O3279" s="745">
        <v>0</v>
      </c>
      <c r="P3279" s="737">
        <v>1</v>
      </c>
      <c r="Q3279" s="752"/>
      <c r="R3279" s="752"/>
      <c r="S3279" s="752"/>
    </row>
    <row r="3280" spans="1:19" s="753" customFormat="1" ht="24" customHeight="1">
      <c r="A3280" s="734"/>
      <c r="B3280" s="747"/>
      <c r="C3280" s="735"/>
      <c r="D3280" s="735"/>
      <c r="E3280" s="737">
        <f t="shared" si="795"/>
        <v>0</v>
      </c>
      <c r="F3280" s="738"/>
      <c r="G3280" s="739">
        <v>0</v>
      </c>
      <c r="H3280" s="748">
        <f t="shared" si="793"/>
        <v>0</v>
      </c>
      <c r="I3280" s="741">
        <v>0</v>
      </c>
      <c r="J3280" s="749">
        <f t="shared" si="792"/>
        <v>0</v>
      </c>
      <c r="K3280" s="739">
        <f t="shared" si="794"/>
        <v>0</v>
      </c>
      <c r="L3280" s="1079"/>
      <c r="M3280" s="752"/>
      <c r="N3280" s="744">
        <f t="shared" si="796"/>
        <v>0</v>
      </c>
      <c r="O3280" s="745">
        <v>0</v>
      </c>
      <c r="P3280" s="737">
        <v>0</v>
      </c>
      <c r="Q3280" s="752"/>
      <c r="R3280" s="752"/>
      <c r="S3280" s="752"/>
    </row>
    <row r="3281" spans="1:19" s="753" customFormat="1" ht="24" customHeight="1">
      <c r="A3281" s="734"/>
      <c r="B3281" s="747" t="s">
        <v>469</v>
      </c>
      <c r="C3281" s="735" t="s">
        <v>507</v>
      </c>
      <c r="D3281" s="735"/>
      <c r="E3281" s="737">
        <f t="shared" si="795"/>
        <v>1</v>
      </c>
      <c r="F3281" s="738" t="s">
        <v>363</v>
      </c>
      <c r="G3281" s="739">
        <v>1650</v>
      </c>
      <c r="H3281" s="748">
        <f t="shared" si="793"/>
        <v>1650</v>
      </c>
      <c r="I3281" s="741">
        <v>70</v>
      </c>
      <c r="J3281" s="749">
        <f t="shared" si="792"/>
        <v>70</v>
      </c>
      <c r="K3281" s="739">
        <f t="shared" si="794"/>
        <v>1720</v>
      </c>
      <c r="L3281" s="1079"/>
      <c r="M3281" s="752"/>
      <c r="N3281" s="744">
        <f t="shared" si="796"/>
        <v>1</v>
      </c>
      <c r="O3281" s="745">
        <v>0</v>
      </c>
      <c r="P3281" s="737">
        <v>1</v>
      </c>
      <c r="Q3281" s="752"/>
      <c r="R3281" s="752"/>
      <c r="S3281" s="752"/>
    </row>
    <row r="3282" spans="1:19" s="753" customFormat="1" ht="24" customHeight="1">
      <c r="A3282" s="734"/>
      <c r="B3282" s="747" t="s">
        <v>469</v>
      </c>
      <c r="C3282" s="735" t="s">
        <v>525</v>
      </c>
      <c r="D3282" s="735"/>
      <c r="E3282" s="737">
        <f t="shared" si="795"/>
        <v>2</v>
      </c>
      <c r="F3282" s="738" t="s">
        <v>363</v>
      </c>
      <c r="G3282" s="739">
        <v>4160</v>
      </c>
      <c r="H3282" s="748">
        <f t="shared" si="793"/>
        <v>8320</v>
      </c>
      <c r="I3282" s="741">
        <v>105</v>
      </c>
      <c r="J3282" s="749">
        <f t="shared" si="792"/>
        <v>210</v>
      </c>
      <c r="K3282" s="739">
        <f t="shared" si="794"/>
        <v>8530</v>
      </c>
      <c r="L3282" s="1079"/>
      <c r="M3282" s="752"/>
      <c r="N3282" s="744">
        <f t="shared" si="796"/>
        <v>2</v>
      </c>
      <c r="O3282" s="745">
        <v>0</v>
      </c>
      <c r="P3282" s="737">
        <v>2</v>
      </c>
      <c r="Q3282" s="752"/>
      <c r="R3282" s="752"/>
      <c r="S3282" s="752"/>
    </row>
    <row r="3283" spans="1:19" s="753" customFormat="1" ht="24" customHeight="1">
      <c r="A3283" s="734"/>
      <c r="B3283" s="747" t="s">
        <v>469</v>
      </c>
      <c r="C3283" s="735" t="s">
        <v>526</v>
      </c>
      <c r="D3283" s="735"/>
      <c r="E3283" s="737">
        <f t="shared" si="795"/>
        <v>1</v>
      </c>
      <c r="F3283" s="738" t="s">
        <v>363</v>
      </c>
      <c r="G3283" s="739">
        <v>2533.5</v>
      </c>
      <c r="H3283" s="748">
        <f t="shared" si="793"/>
        <v>2533.5</v>
      </c>
      <c r="I3283" s="741">
        <v>105</v>
      </c>
      <c r="J3283" s="749">
        <f t="shared" si="792"/>
        <v>105</v>
      </c>
      <c r="K3283" s="739">
        <f t="shared" si="794"/>
        <v>2638.5</v>
      </c>
      <c r="L3283" s="1079"/>
      <c r="M3283" s="752"/>
      <c r="N3283" s="744">
        <f t="shared" si="796"/>
        <v>1</v>
      </c>
      <c r="O3283" s="745">
        <v>0</v>
      </c>
      <c r="P3283" s="737">
        <v>1</v>
      </c>
      <c r="Q3283" s="752"/>
      <c r="R3283" s="752"/>
      <c r="S3283" s="752"/>
    </row>
    <row r="3284" spans="1:19" s="753" customFormat="1" ht="24" customHeight="1">
      <c r="A3284" s="734"/>
      <c r="B3284" s="747"/>
      <c r="C3284" s="735"/>
      <c r="D3284" s="735"/>
      <c r="E3284" s="737">
        <f t="shared" si="795"/>
        <v>0</v>
      </c>
      <c r="F3284" s="738"/>
      <c r="G3284" s="739">
        <v>0</v>
      </c>
      <c r="H3284" s="748">
        <f t="shared" si="793"/>
        <v>0</v>
      </c>
      <c r="I3284" s="741">
        <v>0</v>
      </c>
      <c r="J3284" s="749">
        <f t="shared" si="792"/>
        <v>0</v>
      </c>
      <c r="K3284" s="739">
        <f t="shared" si="794"/>
        <v>0</v>
      </c>
      <c r="L3284" s="1079"/>
      <c r="M3284" s="752"/>
      <c r="N3284" s="744">
        <f t="shared" si="796"/>
        <v>0</v>
      </c>
      <c r="O3284" s="745">
        <v>0</v>
      </c>
      <c r="P3284" s="737">
        <v>0</v>
      </c>
      <c r="Q3284" s="752"/>
      <c r="R3284" s="752"/>
      <c r="S3284" s="752"/>
    </row>
    <row r="3285" spans="1:19" s="753" customFormat="1" ht="24" customHeight="1">
      <c r="A3285" s="734"/>
      <c r="B3285" s="747" t="s">
        <v>469</v>
      </c>
      <c r="C3285" s="735" t="s">
        <v>527</v>
      </c>
      <c r="D3285" s="735"/>
      <c r="E3285" s="737">
        <f t="shared" si="795"/>
        <v>1</v>
      </c>
      <c r="F3285" s="738" t="s">
        <v>363</v>
      </c>
      <c r="G3285" s="739">
        <v>2855</v>
      </c>
      <c r="H3285" s="748">
        <f t="shared" si="793"/>
        <v>2855</v>
      </c>
      <c r="I3285" s="741">
        <v>1432</v>
      </c>
      <c r="J3285" s="749">
        <f t="shared" si="792"/>
        <v>1432</v>
      </c>
      <c r="K3285" s="739">
        <f t="shared" si="794"/>
        <v>4287</v>
      </c>
      <c r="L3285" s="1079"/>
      <c r="M3285" s="752"/>
      <c r="N3285" s="744">
        <f t="shared" si="796"/>
        <v>1</v>
      </c>
      <c r="O3285" s="745">
        <v>0</v>
      </c>
      <c r="P3285" s="737">
        <v>1</v>
      </c>
      <c r="Q3285" s="752"/>
      <c r="R3285" s="752"/>
      <c r="S3285" s="752"/>
    </row>
    <row r="3286" spans="1:19" s="682" customFormat="1" ht="24" customHeight="1">
      <c r="A3286" s="734"/>
      <c r="B3286" s="747" t="s">
        <v>469</v>
      </c>
      <c r="C3286" s="735" t="s">
        <v>528</v>
      </c>
      <c r="D3286" s="735"/>
      <c r="E3286" s="737">
        <f t="shared" si="795"/>
        <v>0</v>
      </c>
      <c r="F3286" s="738" t="s">
        <v>363</v>
      </c>
      <c r="G3286" s="739">
        <v>9750</v>
      </c>
      <c r="H3286" s="748">
        <f t="shared" si="793"/>
        <v>0</v>
      </c>
      <c r="I3286" s="741">
        <v>105</v>
      </c>
      <c r="J3286" s="749">
        <f t="shared" si="792"/>
        <v>0</v>
      </c>
      <c r="K3286" s="739">
        <f t="shared" si="794"/>
        <v>0</v>
      </c>
      <c r="L3286" s="1079"/>
      <c r="M3286" s="679"/>
      <c r="N3286" s="744">
        <f t="shared" si="796"/>
        <v>0</v>
      </c>
      <c r="O3286" s="745">
        <v>0</v>
      </c>
      <c r="P3286" s="737">
        <v>0</v>
      </c>
      <c r="Q3286" s="679"/>
      <c r="R3286" s="679"/>
      <c r="S3286" s="679"/>
    </row>
    <row r="3287" spans="1:19" s="682" customFormat="1" ht="24" customHeight="1">
      <c r="A3287" s="734"/>
      <c r="B3287" s="747" t="s">
        <v>469</v>
      </c>
      <c r="C3287" s="735" t="s">
        <v>529</v>
      </c>
      <c r="D3287" s="735"/>
      <c r="E3287" s="737">
        <f t="shared" si="795"/>
        <v>0</v>
      </c>
      <c r="F3287" s="738" t="s">
        <v>363</v>
      </c>
      <c r="G3287" s="739">
        <v>5200</v>
      </c>
      <c r="H3287" s="748">
        <f t="shared" si="793"/>
        <v>0</v>
      </c>
      <c r="I3287" s="741">
        <v>70</v>
      </c>
      <c r="J3287" s="749">
        <f t="shared" si="792"/>
        <v>0</v>
      </c>
      <c r="K3287" s="739">
        <f t="shared" si="794"/>
        <v>0</v>
      </c>
      <c r="L3287" s="1079"/>
      <c r="M3287" s="679"/>
      <c r="N3287" s="744">
        <f t="shared" si="796"/>
        <v>0</v>
      </c>
      <c r="O3287" s="745">
        <v>0</v>
      </c>
      <c r="P3287" s="737">
        <v>0</v>
      </c>
      <c r="Q3287" s="679"/>
      <c r="R3287" s="679"/>
      <c r="S3287" s="679"/>
    </row>
    <row r="3288" spans="1:19" s="682" customFormat="1" ht="24" customHeight="1">
      <c r="A3288" s="734"/>
      <c r="B3288" s="747" t="s">
        <v>469</v>
      </c>
      <c r="C3288" s="735" t="s">
        <v>519</v>
      </c>
      <c r="D3288" s="735"/>
      <c r="E3288" s="737">
        <f t="shared" si="795"/>
        <v>1</v>
      </c>
      <c r="F3288" s="738" t="s">
        <v>363</v>
      </c>
      <c r="G3288" s="739">
        <v>800</v>
      </c>
      <c r="H3288" s="748">
        <f t="shared" si="793"/>
        <v>800</v>
      </c>
      <c r="I3288" s="741">
        <v>70</v>
      </c>
      <c r="J3288" s="749">
        <f t="shared" si="792"/>
        <v>70</v>
      </c>
      <c r="K3288" s="739">
        <f t="shared" si="794"/>
        <v>870</v>
      </c>
      <c r="L3288" s="1079"/>
      <c r="M3288" s="679"/>
      <c r="N3288" s="744">
        <f t="shared" si="796"/>
        <v>1</v>
      </c>
      <c r="O3288" s="745">
        <v>0</v>
      </c>
      <c r="P3288" s="737">
        <v>1</v>
      </c>
      <c r="Q3288" s="679"/>
      <c r="R3288" s="679"/>
      <c r="S3288" s="679"/>
    </row>
    <row r="3289" spans="1:19" s="682" customFormat="1" ht="24" customHeight="1">
      <c r="A3289" s="734"/>
      <c r="B3289" s="747" t="s">
        <v>469</v>
      </c>
      <c r="C3289" s="735" t="s">
        <v>520</v>
      </c>
      <c r="D3289" s="735"/>
      <c r="E3289" s="737">
        <f t="shared" si="795"/>
        <v>0</v>
      </c>
      <c r="F3289" s="738" t="s">
        <v>361</v>
      </c>
      <c r="G3289" s="739">
        <v>190</v>
      </c>
      <c r="H3289" s="748">
        <f t="shared" si="793"/>
        <v>0</v>
      </c>
      <c r="I3289" s="741">
        <v>75</v>
      </c>
      <c r="J3289" s="749">
        <f t="shared" si="792"/>
        <v>0</v>
      </c>
      <c r="K3289" s="739">
        <f t="shared" si="794"/>
        <v>0</v>
      </c>
      <c r="L3289" s="1079"/>
      <c r="M3289" s="679"/>
      <c r="N3289" s="744">
        <f t="shared" si="796"/>
        <v>0</v>
      </c>
      <c r="O3289" s="745">
        <v>0</v>
      </c>
      <c r="P3289" s="737">
        <v>0</v>
      </c>
      <c r="Q3289" s="679"/>
      <c r="R3289" s="679"/>
      <c r="S3289" s="679"/>
    </row>
    <row r="3290" spans="1:19" s="753" customFormat="1" ht="24" customHeight="1">
      <c r="A3290" s="734"/>
      <c r="B3290" s="747"/>
      <c r="C3290" s="735"/>
      <c r="D3290" s="735"/>
      <c r="E3290" s="737">
        <f t="shared" si="795"/>
        <v>0</v>
      </c>
      <c r="F3290" s="738"/>
      <c r="G3290" s="739">
        <v>0</v>
      </c>
      <c r="H3290" s="748">
        <f t="shared" si="793"/>
        <v>0</v>
      </c>
      <c r="I3290" s="741">
        <v>0</v>
      </c>
      <c r="J3290" s="749">
        <f t="shared" si="792"/>
        <v>0</v>
      </c>
      <c r="K3290" s="739">
        <f t="shared" si="794"/>
        <v>0</v>
      </c>
      <c r="L3290" s="1079"/>
      <c r="M3290" s="752"/>
      <c r="N3290" s="758">
        <f t="shared" si="796"/>
        <v>0</v>
      </c>
      <c r="O3290" s="745">
        <v>0</v>
      </c>
      <c r="P3290" s="759"/>
      <c r="Q3290" s="752"/>
      <c r="R3290" s="752"/>
      <c r="S3290" s="752"/>
    </row>
    <row r="3291" spans="1:19" s="753" customFormat="1" ht="24" customHeight="1">
      <c r="A3291" s="734"/>
      <c r="B3291" s="735" t="s">
        <v>1075</v>
      </c>
      <c r="C3291" s="736"/>
      <c r="D3291" s="907"/>
      <c r="E3291" s="737">
        <f t="shared" si="795"/>
        <v>0</v>
      </c>
      <c r="F3291" s="738"/>
      <c r="G3291" s="739">
        <v>0</v>
      </c>
      <c r="H3291" s="748">
        <f t="shared" ref="H3291:H3359" si="797">SUM(E3291*G3291)</f>
        <v>0</v>
      </c>
      <c r="I3291" s="741">
        <v>0</v>
      </c>
      <c r="J3291" s="749">
        <f t="shared" ref="J3291:J3359" si="798">SUM(E3291*I3291)</f>
        <v>0</v>
      </c>
      <c r="K3291" s="739">
        <f t="shared" si="794"/>
        <v>0</v>
      </c>
      <c r="L3291" s="1079"/>
      <c r="M3291" s="752"/>
      <c r="N3291" s="744">
        <f t="shared" si="796"/>
        <v>0</v>
      </c>
      <c r="O3291" s="745">
        <v>0</v>
      </c>
      <c r="P3291" s="737">
        <v>0</v>
      </c>
      <c r="Q3291" s="752"/>
      <c r="R3291" s="752"/>
      <c r="S3291" s="752"/>
    </row>
    <row r="3292" spans="1:19" s="753" customFormat="1" ht="24" customHeight="1">
      <c r="A3292" s="734"/>
      <c r="B3292" s="747" t="s">
        <v>469</v>
      </c>
      <c r="C3292" s="735" t="s">
        <v>497</v>
      </c>
      <c r="D3292" s="735"/>
      <c r="E3292" s="737">
        <f t="shared" si="795"/>
        <v>4</v>
      </c>
      <c r="F3292" s="738" t="s">
        <v>363</v>
      </c>
      <c r="G3292" s="739">
        <v>1540</v>
      </c>
      <c r="H3292" s="748">
        <f t="shared" si="797"/>
        <v>6160</v>
      </c>
      <c r="I3292" s="741">
        <v>450</v>
      </c>
      <c r="J3292" s="749">
        <f t="shared" si="798"/>
        <v>1800</v>
      </c>
      <c r="K3292" s="739">
        <f t="shared" si="794"/>
        <v>7960</v>
      </c>
      <c r="L3292" s="1079"/>
      <c r="M3292" s="752"/>
      <c r="N3292" s="744">
        <f t="shared" si="796"/>
        <v>4</v>
      </c>
      <c r="O3292" s="745">
        <v>0</v>
      </c>
      <c r="P3292" s="737">
        <v>4</v>
      </c>
      <c r="Q3292" s="752"/>
      <c r="R3292" s="752"/>
      <c r="S3292" s="752"/>
    </row>
    <row r="3293" spans="1:19" s="753" customFormat="1" ht="24" customHeight="1">
      <c r="A3293" s="734"/>
      <c r="B3293" s="747" t="s">
        <v>469</v>
      </c>
      <c r="C3293" s="735" t="s">
        <v>498</v>
      </c>
      <c r="D3293" s="735"/>
      <c r="E3293" s="737">
        <f t="shared" si="795"/>
        <v>4</v>
      </c>
      <c r="F3293" s="738" t="s">
        <v>363</v>
      </c>
      <c r="G3293" s="739">
        <v>6640</v>
      </c>
      <c r="H3293" s="748">
        <f t="shared" si="797"/>
        <v>26560</v>
      </c>
      <c r="I3293" s="741">
        <v>200</v>
      </c>
      <c r="J3293" s="749">
        <f t="shared" si="798"/>
        <v>800</v>
      </c>
      <c r="K3293" s="739">
        <f t="shared" si="794"/>
        <v>27360</v>
      </c>
      <c r="L3293" s="1079"/>
      <c r="M3293" s="752"/>
      <c r="N3293" s="744">
        <f t="shared" si="796"/>
        <v>4</v>
      </c>
      <c r="O3293" s="745">
        <v>0</v>
      </c>
      <c r="P3293" s="737">
        <v>4</v>
      </c>
      <c r="Q3293" s="752"/>
      <c r="R3293" s="752"/>
      <c r="S3293" s="752"/>
    </row>
    <row r="3294" spans="1:19" s="753" customFormat="1" ht="24" customHeight="1">
      <c r="A3294" s="734"/>
      <c r="B3294" s="747" t="s">
        <v>469</v>
      </c>
      <c r="C3294" s="735" t="s">
        <v>496</v>
      </c>
      <c r="D3294" s="735"/>
      <c r="E3294" s="737">
        <f t="shared" si="795"/>
        <v>4</v>
      </c>
      <c r="F3294" s="738" t="s">
        <v>363</v>
      </c>
      <c r="G3294" s="739">
        <v>336</v>
      </c>
      <c r="H3294" s="748">
        <f t="shared" si="797"/>
        <v>1344</v>
      </c>
      <c r="I3294" s="741">
        <v>0</v>
      </c>
      <c r="J3294" s="749">
        <f t="shared" si="798"/>
        <v>0</v>
      </c>
      <c r="K3294" s="739">
        <f t="shared" si="794"/>
        <v>1344</v>
      </c>
      <c r="L3294" s="1079"/>
      <c r="M3294" s="752"/>
      <c r="N3294" s="744">
        <f t="shared" si="796"/>
        <v>4</v>
      </c>
      <c r="O3294" s="745">
        <v>0</v>
      </c>
      <c r="P3294" s="737">
        <v>4</v>
      </c>
      <c r="Q3294" s="752"/>
      <c r="R3294" s="752"/>
      <c r="S3294" s="752"/>
    </row>
    <row r="3295" spans="1:19" s="753" customFormat="1" ht="24" customHeight="1">
      <c r="A3295" s="734"/>
      <c r="B3295" s="747" t="s">
        <v>469</v>
      </c>
      <c r="C3295" s="735" t="s">
        <v>490</v>
      </c>
      <c r="D3295" s="735"/>
      <c r="E3295" s="737">
        <f t="shared" si="795"/>
        <v>4</v>
      </c>
      <c r="F3295" s="738" t="s">
        <v>363</v>
      </c>
      <c r="G3295" s="739">
        <v>736</v>
      </c>
      <c r="H3295" s="748">
        <f t="shared" si="797"/>
        <v>2944</v>
      </c>
      <c r="I3295" s="741">
        <v>0</v>
      </c>
      <c r="J3295" s="749">
        <f t="shared" si="798"/>
        <v>0</v>
      </c>
      <c r="K3295" s="739">
        <f t="shared" si="794"/>
        <v>2944</v>
      </c>
      <c r="L3295" s="1079"/>
      <c r="M3295" s="752"/>
      <c r="N3295" s="744">
        <f t="shared" si="796"/>
        <v>4</v>
      </c>
      <c r="O3295" s="745">
        <v>0</v>
      </c>
      <c r="P3295" s="737">
        <v>4</v>
      </c>
      <c r="Q3295" s="752"/>
      <c r="R3295" s="752"/>
      <c r="S3295" s="752"/>
    </row>
    <row r="3296" spans="1:19" s="753" customFormat="1" ht="24" customHeight="1">
      <c r="A3296" s="734"/>
      <c r="B3296" s="747" t="s">
        <v>469</v>
      </c>
      <c r="C3296" s="735" t="s">
        <v>478</v>
      </c>
      <c r="D3296" s="735"/>
      <c r="E3296" s="737">
        <f t="shared" si="795"/>
        <v>4</v>
      </c>
      <c r="F3296" s="738" t="s">
        <v>363</v>
      </c>
      <c r="G3296" s="739">
        <v>176</v>
      </c>
      <c r="H3296" s="748">
        <f t="shared" si="797"/>
        <v>704</v>
      </c>
      <c r="I3296" s="741">
        <v>0</v>
      </c>
      <c r="J3296" s="749">
        <f t="shared" si="798"/>
        <v>0</v>
      </c>
      <c r="K3296" s="739">
        <f t="shared" si="794"/>
        <v>704</v>
      </c>
      <c r="L3296" s="1079"/>
      <c r="M3296" s="752"/>
      <c r="N3296" s="744">
        <f t="shared" si="796"/>
        <v>4</v>
      </c>
      <c r="O3296" s="745">
        <v>0</v>
      </c>
      <c r="P3296" s="737">
        <v>4</v>
      </c>
      <c r="Q3296" s="752"/>
      <c r="R3296" s="752"/>
      <c r="S3296" s="752"/>
    </row>
    <row r="3297" spans="1:19" s="753" customFormat="1" ht="24" customHeight="1">
      <c r="A3297" s="734"/>
      <c r="B3297" s="747" t="s">
        <v>469</v>
      </c>
      <c r="C3297" s="735" t="s">
        <v>499</v>
      </c>
      <c r="D3297" s="735"/>
      <c r="E3297" s="737">
        <f t="shared" si="795"/>
        <v>4</v>
      </c>
      <c r="F3297" s="738" t="s">
        <v>363</v>
      </c>
      <c r="G3297" s="739">
        <v>216</v>
      </c>
      <c r="H3297" s="748">
        <f t="shared" si="797"/>
        <v>864</v>
      </c>
      <c r="I3297" s="741">
        <v>35</v>
      </c>
      <c r="J3297" s="749">
        <f t="shared" si="798"/>
        <v>140</v>
      </c>
      <c r="K3297" s="739">
        <f t="shared" si="794"/>
        <v>1004</v>
      </c>
      <c r="L3297" s="1079"/>
      <c r="M3297" s="752"/>
      <c r="N3297" s="744">
        <f t="shared" si="796"/>
        <v>4</v>
      </c>
      <c r="O3297" s="745">
        <v>0</v>
      </c>
      <c r="P3297" s="737">
        <v>4</v>
      </c>
      <c r="Q3297" s="752"/>
      <c r="R3297" s="752"/>
      <c r="S3297" s="752"/>
    </row>
    <row r="3298" spans="1:19" s="753" customFormat="1" ht="24" customHeight="1">
      <c r="A3298" s="734"/>
      <c r="B3298" s="750"/>
      <c r="C3298" s="736"/>
      <c r="D3298" s="907"/>
      <c r="E3298" s="737">
        <f t="shared" si="795"/>
        <v>0</v>
      </c>
      <c r="F3298" s="738"/>
      <c r="G3298" s="739">
        <v>0</v>
      </c>
      <c r="H3298" s="748">
        <f t="shared" si="797"/>
        <v>0</v>
      </c>
      <c r="I3298" s="741">
        <v>0</v>
      </c>
      <c r="J3298" s="749">
        <f t="shared" si="798"/>
        <v>0</v>
      </c>
      <c r="K3298" s="739">
        <f t="shared" si="794"/>
        <v>0</v>
      </c>
      <c r="L3298" s="1079"/>
      <c r="M3298" s="752"/>
      <c r="N3298" s="744">
        <f t="shared" si="796"/>
        <v>0</v>
      </c>
      <c r="O3298" s="745">
        <v>0</v>
      </c>
      <c r="P3298" s="737">
        <v>0</v>
      </c>
      <c r="Q3298" s="752"/>
      <c r="R3298" s="752"/>
      <c r="S3298" s="752"/>
    </row>
    <row r="3299" spans="1:19" s="753" customFormat="1" ht="24" customHeight="1">
      <c r="A3299" s="734"/>
      <c r="B3299" s="747" t="s">
        <v>469</v>
      </c>
      <c r="C3299" s="735" t="s">
        <v>492</v>
      </c>
      <c r="D3299" s="735"/>
      <c r="E3299" s="737">
        <f t="shared" si="795"/>
        <v>5</v>
      </c>
      <c r="F3299" s="738" t="s">
        <v>363</v>
      </c>
      <c r="G3299" s="739">
        <v>9375</v>
      </c>
      <c r="H3299" s="748">
        <f t="shared" si="797"/>
        <v>46875</v>
      </c>
      <c r="I3299" s="741">
        <v>450</v>
      </c>
      <c r="J3299" s="749">
        <f t="shared" si="798"/>
        <v>2250</v>
      </c>
      <c r="K3299" s="739">
        <f t="shared" si="794"/>
        <v>49125</v>
      </c>
      <c r="L3299" s="1079"/>
      <c r="M3299" s="752"/>
      <c r="N3299" s="744">
        <f t="shared" si="796"/>
        <v>5</v>
      </c>
      <c r="O3299" s="745">
        <v>0</v>
      </c>
      <c r="P3299" s="737">
        <v>5</v>
      </c>
      <c r="Q3299" s="752"/>
      <c r="R3299" s="752"/>
      <c r="S3299" s="752"/>
    </row>
    <row r="3300" spans="1:19" s="753" customFormat="1" ht="24" customHeight="1">
      <c r="A3300" s="734"/>
      <c r="B3300" s="747" t="s">
        <v>469</v>
      </c>
      <c r="C3300" s="735" t="s">
        <v>500</v>
      </c>
      <c r="D3300" s="735"/>
      <c r="E3300" s="737">
        <f t="shared" si="795"/>
        <v>5</v>
      </c>
      <c r="F3300" s="738" t="s">
        <v>363</v>
      </c>
      <c r="G3300" s="739">
        <v>12752</v>
      </c>
      <c r="H3300" s="748">
        <f t="shared" si="797"/>
        <v>63760</v>
      </c>
      <c r="I3300" s="741">
        <v>0</v>
      </c>
      <c r="J3300" s="749">
        <f t="shared" si="798"/>
        <v>0</v>
      </c>
      <c r="K3300" s="739">
        <f t="shared" si="794"/>
        <v>63760</v>
      </c>
      <c r="L3300" s="1079"/>
      <c r="M3300" s="752"/>
      <c r="N3300" s="744">
        <f t="shared" si="796"/>
        <v>5</v>
      </c>
      <c r="O3300" s="745">
        <v>0</v>
      </c>
      <c r="P3300" s="737">
        <v>5</v>
      </c>
      <c r="Q3300" s="752"/>
      <c r="R3300" s="752"/>
      <c r="S3300" s="752"/>
    </row>
    <row r="3301" spans="1:19" s="753" customFormat="1" ht="24" customHeight="1">
      <c r="A3301" s="734"/>
      <c r="B3301" s="747" t="s">
        <v>469</v>
      </c>
      <c r="C3301" s="735" t="s">
        <v>501</v>
      </c>
      <c r="D3301" s="735"/>
      <c r="E3301" s="737">
        <v>0</v>
      </c>
      <c r="F3301" s="738" t="s">
        <v>363</v>
      </c>
      <c r="G3301" s="739">
        <v>1950</v>
      </c>
      <c r="H3301" s="748">
        <f t="shared" si="797"/>
        <v>0</v>
      </c>
      <c r="I3301" s="741">
        <v>35</v>
      </c>
      <c r="J3301" s="749">
        <f t="shared" si="798"/>
        <v>0</v>
      </c>
      <c r="K3301" s="739">
        <f t="shared" si="794"/>
        <v>0</v>
      </c>
      <c r="L3301" s="1079"/>
      <c r="M3301" s="752"/>
      <c r="N3301" s="744">
        <f t="shared" si="796"/>
        <v>5</v>
      </c>
      <c r="O3301" s="745">
        <v>0</v>
      </c>
      <c r="P3301" s="737">
        <v>5</v>
      </c>
      <c r="Q3301" s="752"/>
      <c r="R3301" s="752"/>
      <c r="S3301" s="752"/>
    </row>
    <row r="3302" spans="1:19" s="753" customFormat="1" ht="24" customHeight="1">
      <c r="A3302" s="734"/>
      <c r="B3302" s="747" t="s">
        <v>469</v>
      </c>
      <c r="C3302" s="735" t="s">
        <v>502</v>
      </c>
      <c r="D3302" s="735"/>
      <c r="E3302" s="737">
        <f t="shared" si="795"/>
        <v>5</v>
      </c>
      <c r="F3302" s="738" t="s">
        <v>363</v>
      </c>
      <c r="G3302" s="739">
        <v>216</v>
      </c>
      <c r="H3302" s="748">
        <f t="shared" si="797"/>
        <v>1080</v>
      </c>
      <c r="I3302" s="741">
        <v>35</v>
      </c>
      <c r="J3302" s="749">
        <f t="shared" si="798"/>
        <v>175</v>
      </c>
      <c r="K3302" s="739">
        <f t="shared" si="794"/>
        <v>1255</v>
      </c>
      <c r="L3302" s="1079"/>
      <c r="M3302" s="752"/>
      <c r="N3302" s="744">
        <f t="shared" si="796"/>
        <v>5</v>
      </c>
      <c r="O3302" s="745">
        <v>0</v>
      </c>
      <c r="P3302" s="737">
        <v>5</v>
      </c>
      <c r="Q3302" s="752"/>
      <c r="R3302" s="752"/>
      <c r="S3302" s="752"/>
    </row>
    <row r="3303" spans="1:19" s="753" customFormat="1" ht="24" customHeight="1">
      <c r="A3303" s="734"/>
      <c r="B3303" s="747"/>
      <c r="C3303" s="735"/>
      <c r="D3303" s="907"/>
      <c r="E3303" s="737">
        <f t="shared" si="795"/>
        <v>0</v>
      </c>
      <c r="F3303" s="738"/>
      <c r="G3303" s="739">
        <v>0</v>
      </c>
      <c r="H3303" s="748">
        <f t="shared" si="797"/>
        <v>0</v>
      </c>
      <c r="I3303" s="741">
        <v>0</v>
      </c>
      <c r="J3303" s="749">
        <f t="shared" si="798"/>
        <v>0</v>
      </c>
      <c r="K3303" s="739">
        <f t="shared" si="794"/>
        <v>0</v>
      </c>
      <c r="L3303" s="1079"/>
      <c r="M3303" s="752"/>
      <c r="N3303" s="744">
        <f t="shared" si="796"/>
        <v>0</v>
      </c>
      <c r="O3303" s="745">
        <v>0</v>
      </c>
      <c r="P3303" s="737">
        <v>0</v>
      </c>
      <c r="Q3303" s="752"/>
      <c r="R3303" s="752"/>
      <c r="S3303" s="752"/>
    </row>
    <row r="3304" spans="1:19" s="753" customFormat="1" ht="24" customHeight="1">
      <c r="A3304" s="734"/>
      <c r="B3304" s="747" t="s">
        <v>469</v>
      </c>
      <c r="C3304" s="735" t="s">
        <v>503</v>
      </c>
      <c r="D3304" s="735"/>
      <c r="E3304" s="737">
        <f t="shared" si="795"/>
        <v>8</v>
      </c>
      <c r="F3304" s="738" t="s">
        <v>363</v>
      </c>
      <c r="G3304" s="739">
        <v>3920</v>
      </c>
      <c r="H3304" s="748">
        <f t="shared" si="797"/>
        <v>31360</v>
      </c>
      <c r="I3304" s="741">
        <v>450</v>
      </c>
      <c r="J3304" s="749">
        <f t="shared" si="798"/>
        <v>3600</v>
      </c>
      <c r="K3304" s="739">
        <f t="shared" si="794"/>
        <v>34960</v>
      </c>
      <c r="L3304" s="1079"/>
      <c r="M3304" s="752"/>
      <c r="N3304" s="744">
        <f t="shared" si="796"/>
        <v>8</v>
      </c>
      <c r="O3304" s="745">
        <v>0</v>
      </c>
      <c r="P3304" s="737">
        <v>8</v>
      </c>
      <c r="Q3304" s="752"/>
      <c r="R3304" s="752"/>
      <c r="S3304" s="752"/>
    </row>
    <row r="3305" spans="1:19" s="753" customFormat="1" ht="24" customHeight="1">
      <c r="A3305" s="734"/>
      <c r="B3305" s="747" t="s">
        <v>469</v>
      </c>
      <c r="C3305" s="735" t="s">
        <v>504</v>
      </c>
      <c r="D3305" s="735"/>
      <c r="E3305" s="737">
        <f t="shared" si="795"/>
        <v>8</v>
      </c>
      <c r="F3305" s="738" t="s">
        <v>363</v>
      </c>
      <c r="G3305" s="739">
        <v>12752</v>
      </c>
      <c r="H3305" s="748">
        <f t="shared" si="797"/>
        <v>102016</v>
      </c>
      <c r="I3305" s="741">
        <v>0</v>
      </c>
      <c r="J3305" s="749">
        <f t="shared" si="798"/>
        <v>0</v>
      </c>
      <c r="K3305" s="739">
        <f t="shared" si="794"/>
        <v>102016</v>
      </c>
      <c r="L3305" s="1079"/>
      <c r="M3305" s="752"/>
      <c r="N3305" s="744">
        <f t="shared" si="796"/>
        <v>8</v>
      </c>
      <c r="O3305" s="745">
        <v>0</v>
      </c>
      <c r="P3305" s="737">
        <v>8</v>
      </c>
      <c r="Q3305" s="752"/>
      <c r="R3305" s="752"/>
      <c r="S3305" s="752"/>
    </row>
    <row r="3306" spans="1:19" s="682" customFormat="1" ht="24" customHeight="1">
      <c r="A3306" s="734"/>
      <c r="B3306" s="747" t="s">
        <v>469</v>
      </c>
      <c r="C3306" s="735" t="s">
        <v>505</v>
      </c>
      <c r="D3306" s="735"/>
      <c r="E3306" s="737">
        <f t="shared" si="795"/>
        <v>6</v>
      </c>
      <c r="F3306" s="738" t="s">
        <v>363</v>
      </c>
      <c r="G3306" s="739">
        <v>2280</v>
      </c>
      <c r="H3306" s="748">
        <f t="shared" si="797"/>
        <v>13680</v>
      </c>
      <c r="I3306" s="741">
        <v>300</v>
      </c>
      <c r="J3306" s="749">
        <f t="shared" si="798"/>
        <v>1800</v>
      </c>
      <c r="K3306" s="739">
        <f t="shared" si="794"/>
        <v>15480</v>
      </c>
      <c r="L3306" s="1079"/>
      <c r="M3306" s="679"/>
      <c r="N3306" s="744">
        <f t="shared" si="796"/>
        <v>6</v>
      </c>
      <c r="O3306" s="745">
        <v>0</v>
      </c>
      <c r="P3306" s="737">
        <v>6</v>
      </c>
      <c r="Q3306" s="679"/>
      <c r="R3306" s="679"/>
      <c r="S3306" s="679"/>
    </row>
    <row r="3307" spans="1:19" s="682" customFormat="1" ht="24" customHeight="1">
      <c r="A3307" s="734"/>
      <c r="B3307" s="747" t="s">
        <v>469</v>
      </c>
      <c r="C3307" s="735" t="s">
        <v>506</v>
      </c>
      <c r="D3307" s="735"/>
      <c r="E3307" s="737">
        <f t="shared" si="795"/>
        <v>0</v>
      </c>
      <c r="F3307" s="738" t="s">
        <v>363</v>
      </c>
      <c r="G3307" s="739">
        <v>6592</v>
      </c>
      <c r="H3307" s="748">
        <f t="shared" si="797"/>
        <v>0</v>
      </c>
      <c r="I3307" s="741">
        <v>140</v>
      </c>
      <c r="J3307" s="749">
        <f t="shared" si="798"/>
        <v>0</v>
      </c>
      <c r="K3307" s="739">
        <f t="shared" si="794"/>
        <v>0</v>
      </c>
      <c r="L3307" s="1079"/>
      <c r="M3307" s="679"/>
      <c r="N3307" s="744">
        <f t="shared" si="796"/>
        <v>0</v>
      </c>
      <c r="O3307" s="745">
        <v>0</v>
      </c>
      <c r="P3307" s="737">
        <v>0</v>
      </c>
      <c r="Q3307" s="679"/>
      <c r="R3307" s="679"/>
      <c r="S3307" s="679"/>
    </row>
    <row r="3308" spans="1:19" s="753" customFormat="1" ht="24" customHeight="1">
      <c r="A3308" s="734"/>
      <c r="B3308" s="747" t="s">
        <v>484</v>
      </c>
      <c r="C3308" s="735" t="s">
        <v>485</v>
      </c>
      <c r="D3308" s="735"/>
      <c r="E3308" s="737">
        <f t="shared" si="795"/>
        <v>7</v>
      </c>
      <c r="F3308" s="738" t="s">
        <v>363</v>
      </c>
      <c r="G3308" s="739">
        <v>285</v>
      </c>
      <c r="H3308" s="748">
        <f t="shared" si="797"/>
        <v>1995</v>
      </c>
      <c r="I3308" s="741">
        <v>75</v>
      </c>
      <c r="J3308" s="749">
        <f t="shared" si="798"/>
        <v>525</v>
      </c>
      <c r="K3308" s="739">
        <f t="shared" si="794"/>
        <v>2520</v>
      </c>
      <c r="L3308" s="1093"/>
      <c r="M3308" s="752"/>
      <c r="N3308" s="744">
        <f t="shared" si="796"/>
        <v>7</v>
      </c>
      <c r="O3308" s="745">
        <v>0</v>
      </c>
      <c r="P3308" s="737">
        <v>7</v>
      </c>
      <c r="Q3308" s="752"/>
      <c r="R3308" s="752"/>
      <c r="S3308" s="752"/>
    </row>
    <row r="3309" spans="1:19" s="753" customFormat="1" ht="24" customHeight="1">
      <c r="A3309" s="734"/>
      <c r="B3309" s="747" t="s">
        <v>469</v>
      </c>
      <c r="C3309" s="735" t="s">
        <v>486</v>
      </c>
      <c r="D3309" s="735"/>
      <c r="E3309" s="737">
        <f t="shared" si="795"/>
        <v>1</v>
      </c>
      <c r="F3309" s="738" t="s">
        <v>363</v>
      </c>
      <c r="G3309" s="739">
        <v>552</v>
      </c>
      <c r="H3309" s="748">
        <f t="shared" si="797"/>
        <v>552</v>
      </c>
      <c r="I3309" s="741">
        <v>25</v>
      </c>
      <c r="J3309" s="749">
        <f t="shared" si="798"/>
        <v>25</v>
      </c>
      <c r="K3309" s="739">
        <f t="shared" si="794"/>
        <v>577</v>
      </c>
      <c r="L3309" s="1079"/>
      <c r="M3309" s="752"/>
      <c r="N3309" s="744">
        <f t="shared" si="796"/>
        <v>1</v>
      </c>
      <c r="O3309" s="745">
        <v>0</v>
      </c>
      <c r="P3309" s="737">
        <v>1</v>
      </c>
      <c r="Q3309" s="752"/>
      <c r="R3309" s="752"/>
      <c r="S3309" s="752"/>
    </row>
    <row r="3310" spans="1:19" s="753" customFormat="1" ht="24" customHeight="1">
      <c r="A3310" s="734"/>
      <c r="B3310" s="747" t="s">
        <v>469</v>
      </c>
      <c r="C3310" s="735" t="s">
        <v>507</v>
      </c>
      <c r="D3310" s="735"/>
      <c r="E3310" s="737">
        <f t="shared" si="795"/>
        <v>1</v>
      </c>
      <c r="F3310" s="738" t="s">
        <v>363</v>
      </c>
      <c r="G3310" s="739">
        <v>1650</v>
      </c>
      <c r="H3310" s="748">
        <f t="shared" si="797"/>
        <v>1650</v>
      </c>
      <c r="I3310" s="741">
        <v>70</v>
      </c>
      <c r="J3310" s="749">
        <f t="shared" si="798"/>
        <v>70</v>
      </c>
      <c r="K3310" s="739">
        <f t="shared" si="794"/>
        <v>1720</v>
      </c>
      <c r="L3310" s="1079"/>
      <c r="M3310" s="752"/>
      <c r="N3310" s="744">
        <f t="shared" si="796"/>
        <v>1</v>
      </c>
      <c r="O3310" s="745">
        <v>0</v>
      </c>
      <c r="P3310" s="737">
        <v>1</v>
      </c>
      <c r="Q3310" s="752"/>
      <c r="R3310" s="752"/>
      <c r="S3310" s="752"/>
    </row>
    <row r="3311" spans="1:19" s="753" customFormat="1" ht="24" customHeight="1">
      <c r="A3311" s="734"/>
      <c r="B3311" s="747" t="s">
        <v>469</v>
      </c>
      <c r="C3311" s="735" t="s">
        <v>508</v>
      </c>
      <c r="D3311" s="735"/>
      <c r="E3311" s="737">
        <f t="shared" si="795"/>
        <v>5</v>
      </c>
      <c r="F3311" s="738" t="s">
        <v>363</v>
      </c>
      <c r="G3311" s="739">
        <v>13500</v>
      </c>
      <c r="H3311" s="748">
        <f t="shared" si="797"/>
        <v>67500</v>
      </c>
      <c r="I3311" s="741">
        <v>750</v>
      </c>
      <c r="J3311" s="749">
        <f t="shared" si="798"/>
        <v>3750</v>
      </c>
      <c r="K3311" s="739">
        <f t="shared" si="794"/>
        <v>71250</v>
      </c>
      <c r="L3311" s="1079"/>
      <c r="M3311" s="752"/>
      <c r="N3311" s="744">
        <f t="shared" si="796"/>
        <v>5</v>
      </c>
      <c r="O3311" s="745">
        <v>0</v>
      </c>
      <c r="P3311" s="737">
        <v>5</v>
      </c>
      <c r="Q3311" s="752"/>
      <c r="R3311" s="752"/>
      <c r="S3311" s="752"/>
    </row>
    <row r="3312" spans="1:19" s="682" customFormat="1" ht="24" customHeight="1">
      <c r="A3312" s="734"/>
      <c r="B3312" s="747" t="s">
        <v>469</v>
      </c>
      <c r="C3312" s="735" t="s">
        <v>509</v>
      </c>
      <c r="D3312" s="735"/>
      <c r="E3312" s="737">
        <f t="shared" si="795"/>
        <v>1</v>
      </c>
      <c r="F3312" s="738" t="s">
        <v>363</v>
      </c>
      <c r="G3312" s="739">
        <v>14476</v>
      </c>
      <c r="H3312" s="748">
        <f t="shared" si="797"/>
        <v>14476</v>
      </c>
      <c r="I3312" s="741">
        <v>5367</v>
      </c>
      <c r="J3312" s="749">
        <f t="shared" si="798"/>
        <v>5367</v>
      </c>
      <c r="K3312" s="739">
        <f t="shared" si="794"/>
        <v>19843</v>
      </c>
      <c r="L3312" s="1079"/>
      <c r="M3312" s="679"/>
      <c r="N3312" s="744">
        <f t="shared" si="796"/>
        <v>1</v>
      </c>
      <c r="O3312" s="745">
        <v>0</v>
      </c>
      <c r="P3312" s="737">
        <v>1</v>
      </c>
      <c r="Q3312" s="679"/>
      <c r="R3312" s="679"/>
      <c r="S3312" s="679"/>
    </row>
    <row r="3313" spans="1:19" s="753" customFormat="1" ht="24" customHeight="1">
      <c r="A3313" s="734"/>
      <c r="B3313" s="747" t="s">
        <v>469</v>
      </c>
      <c r="C3313" s="735" t="s">
        <v>510</v>
      </c>
      <c r="D3313" s="735"/>
      <c r="E3313" s="737">
        <f t="shared" si="795"/>
        <v>4.1500000000000004</v>
      </c>
      <c r="F3313" s="738" t="s">
        <v>361</v>
      </c>
      <c r="G3313" s="739">
        <v>2694</v>
      </c>
      <c r="H3313" s="748">
        <f t="shared" si="797"/>
        <v>11180.1</v>
      </c>
      <c r="I3313" s="741">
        <v>1288</v>
      </c>
      <c r="J3313" s="749">
        <f t="shared" si="798"/>
        <v>5345.2000000000007</v>
      </c>
      <c r="K3313" s="739">
        <f t="shared" si="794"/>
        <v>16525.300000000003</v>
      </c>
      <c r="L3313" s="1079"/>
      <c r="M3313" s="752"/>
      <c r="N3313" s="744">
        <f t="shared" si="796"/>
        <v>4.1500000000000004</v>
      </c>
      <c r="O3313" s="745">
        <v>0</v>
      </c>
      <c r="P3313" s="737">
        <v>4.1500000000000004</v>
      </c>
      <c r="Q3313" s="752"/>
      <c r="R3313" s="752"/>
      <c r="S3313" s="752"/>
    </row>
    <row r="3314" spans="1:19" s="753" customFormat="1" ht="24" customHeight="1">
      <c r="A3314" s="734"/>
      <c r="B3314" s="747"/>
      <c r="C3314" s="735" t="s">
        <v>511</v>
      </c>
      <c r="D3314" s="735"/>
      <c r="E3314" s="737">
        <f t="shared" si="795"/>
        <v>0</v>
      </c>
      <c r="F3314" s="738"/>
      <c r="G3314" s="739"/>
      <c r="H3314" s="748">
        <f t="shared" si="797"/>
        <v>0</v>
      </c>
      <c r="I3314" s="741"/>
      <c r="J3314" s="749">
        <f t="shared" si="798"/>
        <v>0</v>
      </c>
      <c r="K3314" s="739">
        <f t="shared" si="794"/>
        <v>0</v>
      </c>
      <c r="L3314" s="1079"/>
      <c r="M3314" s="752"/>
      <c r="N3314" s="744">
        <f t="shared" si="796"/>
        <v>0</v>
      </c>
      <c r="O3314" s="745">
        <v>0</v>
      </c>
      <c r="P3314" s="737">
        <v>0</v>
      </c>
      <c r="Q3314" s="752"/>
      <c r="R3314" s="752"/>
      <c r="S3314" s="752"/>
    </row>
    <row r="3315" spans="1:19" s="753" customFormat="1" ht="24" customHeight="1">
      <c r="A3315" s="734"/>
      <c r="B3315" s="747" t="s">
        <v>469</v>
      </c>
      <c r="C3315" s="735" t="s">
        <v>512</v>
      </c>
      <c r="D3315" s="735"/>
      <c r="E3315" s="737">
        <f t="shared" si="795"/>
        <v>4.1500000000000004</v>
      </c>
      <c r="F3315" s="738" t="s">
        <v>361</v>
      </c>
      <c r="G3315" s="739">
        <v>3886</v>
      </c>
      <c r="H3315" s="748">
        <f t="shared" si="797"/>
        <v>16126.900000000001</v>
      </c>
      <c r="I3315" s="741">
        <v>1238</v>
      </c>
      <c r="J3315" s="749">
        <f t="shared" si="798"/>
        <v>5137.7000000000007</v>
      </c>
      <c r="K3315" s="739">
        <f t="shared" si="794"/>
        <v>21264.600000000002</v>
      </c>
      <c r="L3315" s="1079"/>
      <c r="M3315" s="752"/>
      <c r="N3315" s="744">
        <f t="shared" si="796"/>
        <v>4.1500000000000004</v>
      </c>
      <c r="O3315" s="745">
        <v>0</v>
      </c>
      <c r="P3315" s="737">
        <v>4.1500000000000004</v>
      </c>
      <c r="Q3315" s="752"/>
      <c r="R3315" s="752"/>
      <c r="S3315" s="752"/>
    </row>
    <row r="3316" spans="1:19" s="753" customFormat="1" ht="24" customHeight="1">
      <c r="A3316" s="734"/>
      <c r="B3316" s="747"/>
      <c r="C3316" s="735" t="s">
        <v>513</v>
      </c>
      <c r="D3316" s="735"/>
      <c r="E3316" s="737">
        <f t="shared" si="795"/>
        <v>0</v>
      </c>
      <c r="F3316" s="738"/>
      <c r="G3316" s="739">
        <v>0</v>
      </c>
      <c r="H3316" s="748">
        <f t="shared" si="797"/>
        <v>0</v>
      </c>
      <c r="I3316" s="741">
        <v>0</v>
      </c>
      <c r="J3316" s="749">
        <f t="shared" si="798"/>
        <v>0</v>
      </c>
      <c r="K3316" s="739">
        <f t="shared" si="794"/>
        <v>0</v>
      </c>
      <c r="L3316" s="1079"/>
      <c r="M3316" s="752"/>
      <c r="N3316" s="744">
        <f t="shared" si="796"/>
        <v>0</v>
      </c>
      <c r="O3316" s="745">
        <v>0</v>
      </c>
      <c r="P3316" s="737">
        <v>0</v>
      </c>
      <c r="Q3316" s="752"/>
      <c r="R3316" s="752"/>
      <c r="S3316" s="752"/>
    </row>
    <row r="3317" spans="1:19" s="753" customFormat="1" ht="24" customHeight="1">
      <c r="A3317" s="734"/>
      <c r="B3317" s="747" t="s">
        <v>469</v>
      </c>
      <c r="C3317" s="735" t="s">
        <v>514</v>
      </c>
      <c r="D3317" s="735"/>
      <c r="E3317" s="737">
        <f t="shared" si="795"/>
        <v>4.1500000000000004</v>
      </c>
      <c r="F3317" s="738" t="s">
        <v>361</v>
      </c>
      <c r="G3317" s="739">
        <v>1522</v>
      </c>
      <c r="H3317" s="748">
        <f t="shared" si="797"/>
        <v>6316.3</v>
      </c>
      <c r="I3317" s="741">
        <v>315</v>
      </c>
      <c r="J3317" s="749">
        <f t="shared" si="798"/>
        <v>1307.25</v>
      </c>
      <c r="K3317" s="739">
        <f t="shared" si="794"/>
        <v>7623.55</v>
      </c>
      <c r="L3317" s="1079"/>
      <c r="M3317" s="752"/>
      <c r="N3317" s="744">
        <f t="shared" si="796"/>
        <v>4.1500000000000004</v>
      </c>
      <c r="O3317" s="745">
        <v>0</v>
      </c>
      <c r="P3317" s="737">
        <v>4.1500000000000004</v>
      </c>
      <c r="Q3317" s="752"/>
      <c r="R3317" s="752"/>
      <c r="S3317" s="752"/>
    </row>
    <row r="3318" spans="1:19" s="753" customFormat="1" ht="24" customHeight="1">
      <c r="A3318" s="734"/>
      <c r="B3318" s="747"/>
      <c r="C3318" s="735"/>
      <c r="D3318" s="735"/>
      <c r="E3318" s="737">
        <f t="shared" si="795"/>
        <v>0</v>
      </c>
      <c r="F3318" s="738"/>
      <c r="G3318" s="739">
        <v>0</v>
      </c>
      <c r="H3318" s="748">
        <f t="shared" si="797"/>
        <v>0</v>
      </c>
      <c r="I3318" s="741">
        <v>0</v>
      </c>
      <c r="J3318" s="749">
        <f t="shared" si="798"/>
        <v>0</v>
      </c>
      <c r="K3318" s="739">
        <f t="shared" ref="K3318:K3386" si="799">SUM(H3318+J3318)</f>
        <v>0</v>
      </c>
      <c r="L3318" s="1079"/>
      <c r="M3318" s="752"/>
      <c r="N3318" s="744">
        <f t="shared" si="796"/>
        <v>0</v>
      </c>
      <c r="O3318" s="745">
        <v>0</v>
      </c>
      <c r="P3318" s="737">
        <v>0</v>
      </c>
      <c r="Q3318" s="752"/>
      <c r="R3318" s="752"/>
      <c r="S3318" s="752"/>
    </row>
    <row r="3319" spans="1:19" s="682" customFormat="1" ht="24" customHeight="1">
      <c r="A3319" s="734"/>
      <c r="B3319" s="747" t="s">
        <v>469</v>
      </c>
      <c r="C3319" s="735" t="s">
        <v>515</v>
      </c>
      <c r="D3319" s="735"/>
      <c r="E3319" s="737">
        <f t="shared" si="795"/>
        <v>1</v>
      </c>
      <c r="F3319" s="738" t="s">
        <v>363</v>
      </c>
      <c r="G3319" s="739">
        <v>5013</v>
      </c>
      <c r="H3319" s="748">
        <f t="shared" si="797"/>
        <v>5013</v>
      </c>
      <c r="I3319" s="741">
        <v>2403</v>
      </c>
      <c r="J3319" s="749">
        <f t="shared" si="798"/>
        <v>2403</v>
      </c>
      <c r="K3319" s="739">
        <f t="shared" si="799"/>
        <v>7416</v>
      </c>
      <c r="L3319" s="1079"/>
      <c r="M3319" s="679"/>
      <c r="N3319" s="744">
        <f t="shared" si="796"/>
        <v>1</v>
      </c>
      <c r="O3319" s="745">
        <v>0</v>
      </c>
      <c r="P3319" s="737">
        <v>1</v>
      </c>
      <c r="Q3319" s="679"/>
      <c r="R3319" s="679"/>
      <c r="S3319" s="679"/>
    </row>
    <row r="3320" spans="1:19" s="682" customFormat="1" ht="24" customHeight="1">
      <c r="A3320" s="734"/>
      <c r="B3320" s="747"/>
      <c r="C3320" s="735" t="s">
        <v>516</v>
      </c>
      <c r="D3320" s="735"/>
      <c r="E3320" s="737">
        <f t="shared" si="795"/>
        <v>0</v>
      </c>
      <c r="F3320" s="738"/>
      <c r="G3320" s="739"/>
      <c r="H3320" s="748">
        <f t="shared" si="797"/>
        <v>0</v>
      </c>
      <c r="I3320" s="741"/>
      <c r="J3320" s="749">
        <f t="shared" si="798"/>
        <v>0</v>
      </c>
      <c r="K3320" s="739">
        <f t="shared" si="799"/>
        <v>0</v>
      </c>
      <c r="L3320" s="1079"/>
      <c r="M3320" s="679"/>
      <c r="N3320" s="744">
        <f t="shared" si="796"/>
        <v>0</v>
      </c>
      <c r="O3320" s="745">
        <v>0</v>
      </c>
      <c r="P3320" s="737">
        <v>0</v>
      </c>
      <c r="Q3320" s="679"/>
      <c r="R3320" s="679"/>
      <c r="S3320" s="679"/>
    </row>
    <row r="3321" spans="1:19" s="682" customFormat="1" ht="24" customHeight="1">
      <c r="A3321" s="734"/>
      <c r="B3321" s="747"/>
      <c r="C3321" s="735"/>
      <c r="D3321" s="735"/>
      <c r="E3321" s="737">
        <f t="shared" ref="E3321:E3389" si="800">+N3321</f>
        <v>0</v>
      </c>
      <c r="F3321" s="738"/>
      <c r="G3321" s="739"/>
      <c r="H3321" s="748">
        <f t="shared" si="797"/>
        <v>0</v>
      </c>
      <c r="I3321" s="741"/>
      <c r="J3321" s="749">
        <f t="shared" si="798"/>
        <v>0</v>
      </c>
      <c r="K3321" s="739">
        <f t="shared" si="799"/>
        <v>0</v>
      </c>
      <c r="L3321" s="1079"/>
      <c r="M3321" s="679"/>
      <c r="N3321" s="744">
        <f t="shared" si="796"/>
        <v>0</v>
      </c>
      <c r="O3321" s="745">
        <v>0</v>
      </c>
      <c r="P3321" s="737">
        <v>0</v>
      </c>
      <c r="Q3321" s="679"/>
      <c r="R3321" s="679"/>
      <c r="S3321" s="679"/>
    </row>
    <row r="3322" spans="1:19" s="756" customFormat="1" ht="24" customHeight="1">
      <c r="A3322" s="734"/>
      <c r="B3322" s="747" t="s">
        <v>469</v>
      </c>
      <c r="C3322" s="735" t="s">
        <v>517</v>
      </c>
      <c r="D3322" s="907"/>
      <c r="E3322" s="737">
        <f t="shared" si="800"/>
        <v>0</v>
      </c>
      <c r="F3322" s="738" t="s">
        <v>361</v>
      </c>
      <c r="G3322" s="739">
        <v>5075.5555555555557</v>
      </c>
      <c r="H3322" s="748">
        <f t="shared" si="797"/>
        <v>0</v>
      </c>
      <c r="I3322" s="741">
        <v>2545.7777777777778</v>
      </c>
      <c r="J3322" s="749">
        <f t="shared" si="798"/>
        <v>0</v>
      </c>
      <c r="K3322" s="739">
        <f t="shared" si="799"/>
        <v>0</v>
      </c>
      <c r="L3322" s="1079"/>
      <c r="M3322" s="755"/>
      <c r="N3322" s="744">
        <f t="shared" si="796"/>
        <v>0</v>
      </c>
      <c r="O3322" s="745">
        <v>0</v>
      </c>
      <c r="P3322" s="737">
        <v>0</v>
      </c>
      <c r="Q3322" s="755"/>
      <c r="R3322" s="755"/>
      <c r="S3322" s="755"/>
    </row>
    <row r="3323" spans="1:19" s="756" customFormat="1" ht="24" customHeight="1">
      <c r="A3323" s="734"/>
      <c r="B3323" s="747"/>
      <c r="C3323" s="735" t="s">
        <v>488</v>
      </c>
      <c r="D3323" s="907"/>
      <c r="E3323" s="737">
        <f t="shared" si="800"/>
        <v>0</v>
      </c>
      <c r="F3323" s="738"/>
      <c r="G3323" s="739">
        <v>0</v>
      </c>
      <c r="H3323" s="748">
        <f t="shared" si="797"/>
        <v>0</v>
      </c>
      <c r="I3323" s="741">
        <v>0</v>
      </c>
      <c r="J3323" s="749">
        <f t="shared" si="798"/>
        <v>0</v>
      </c>
      <c r="K3323" s="739">
        <f t="shared" si="799"/>
        <v>0</v>
      </c>
      <c r="L3323" s="1079"/>
      <c r="M3323" s="755"/>
      <c r="N3323" s="744">
        <f t="shared" si="796"/>
        <v>0</v>
      </c>
      <c r="O3323" s="745">
        <v>0</v>
      </c>
      <c r="P3323" s="737">
        <v>0</v>
      </c>
      <c r="Q3323" s="755"/>
      <c r="R3323" s="755"/>
      <c r="S3323" s="755"/>
    </row>
    <row r="3324" spans="1:19" s="756" customFormat="1" ht="24" customHeight="1">
      <c r="A3324" s="734"/>
      <c r="B3324" s="747"/>
      <c r="C3324" s="735"/>
      <c r="D3324" s="907"/>
      <c r="E3324" s="737"/>
      <c r="F3324" s="738"/>
      <c r="G3324" s="739"/>
      <c r="H3324" s="748"/>
      <c r="I3324" s="741"/>
      <c r="J3324" s="749"/>
      <c r="K3324" s="739"/>
      <c r="L3324" s="1079"/>
      <c r="M3324" s="755"/>
      <c r="N3324" s="744"/>
      <c r="O3324" s="745"/>
      <c r="P3324" s="737"/>
      <c r="Q3324" s="755"/>
      <c r="R3324" s="755"/>
      <c r="S3324" s="755"/>
    </row>
    <row r="3325" spans="1:19" s="753" customFormat="1" ht="24" customHeight="1">
      <c r="A3325" s="734"/>
      <c r="B3325" s="747" t="s">
        <v>469</v>
      </c>
      <c r="C3325" s="735" t="s">
        <v>518</v>
      </c>
      <c r="D3325" s="735"/>
      <c r="E3325" s="737">
        <f t="shared" si="800"/>
        <v>0</v>
      </c>
      <c r="F3325" s="738" t="s">
        <v>361</v>
      </c>
      <c r="G3325" s="739">
        <v>3886</v>
      </c>
      <c r="H3325" s="748">
        <f t="shared" si="797"/>
        <v>0</v>
      </c>
      <c r="I3325" s="741">
        <v>1238</v>
      </c>
      <c r="J3325" s="749">
        <f t="shared" si="798"/>
        <v>0</v>
      </c>
      <c r="K3325" s="739">
        <f t="shared" si="799"/>
        <v>0</v>
      </c>
      <c r="L3325" s="1079"/>
      <c r="M3325" s="752"/>
      <c r="N3325" s="744">
        <f t="shared" si="796"/>
        <v>0</v>
      </c>
      <c r="O3325" s="745">
        <v>0</v>
      </c>
      <c r="P3325" s="737">
        <v>0</v>
      </c>
      <c r="Q3325" s="752"/>
      <c r="R3325" s="752"/>
      <c r="S3325" s="752"/>
    </row>
    <row r="3326" spans="1:19" s="753" customFormat="1" ht="24" customHeight="1">
      <c r="A3326" s="734"/>
      <c r="B3326" s="747"/>
      <c r="C3326" s="735" t="s">
        <v>513</v>
      </c>
      <c r="D3326" s="735"/>
      <c r="E3326" s="737">
        <f t="shared" si="800"/>
        <v>0</v>
      </c>
      <c r="F3326" s="738"/>
      <c r="G3326" s="739">
        <v>0</v>
      </c>
      <c r="H3326" s="748">
        <f t="shared" si="797"/>
        <v>0</v>
      </c>
      <c r="I3326" s="741">
        <v>0</v>
      </c>
      <c r="J3326" s="749">
        <f t="shared" si="798"/>
        <v>0</v>
      </c>
      <c r="K3326" s="739">
        <f t="shared" si="799"/>
        <v>0</v>
      </c>
      <c r="L3326" s="1079"/>
      <c r="M3326" s="752"/>
      <c r="N3326" s="744">
        <f t="shared" si="796"/>
        <v>0</v>
      </c>
      <c r="O3326" s="745">
        <v>0</v>
      </c>
      <c r="P3326" s="737">
        <v>0</v>
      </c>
      <c r="Q3326" s="752"/>
      <c r="R3326" s="752"/>
      <c r="S3326" s="752"/>
    </row>
    <row r="3327" spans="1:19" s="682" customFormat="1" ht="24" customHeight="1">
      <c r="A3327" s="734"/>
      <c r="B3327" s="747" t="s">
        <v>469</v>
      </c>
      <c r="C3327" s="735" t="s">
        <v>519</v>
      </c>
      <c r="D3327" s="735"/>
      <c r="E3327" s="737">
        <f t="shared" si="800"/>
        <v>1</v>
      </c>
      <c r="F3327" s="738" t="s">
        <v>363</v>
      </c>
      <c r="G3327" s="739">
        <v>800</v>
      </c>
      <c r="H3327" s="748">
        <f t="shared" si="797"/>
        <v>800</v>
      </c>
      <c r="I3327" s="741">
        <v>70</v>
      </c>
      <c r="J3327" s="749">
        <f t="shared" si="798"/>
        <v>70</v>
      </c>
      <c r="K3327" s="739">
        <f t="shared" si="799"/>
        <v>870</v>
      </c>
      <c r="L3327" s="1079"/>
      <c r="M3327" s="679"/>
      <c r="N3327" s="744">
        <f t="shared" si="796"/>
        <v>1</v>
      </c>
      <c r="O3327" s="745">
        <v>0</v>
      </c>
      <c r="P3327" s="737">
        <v>1</v>
      </c>
      <c r="Q3327" s="679"/>
      <c r="R3327" s="679"/>
      <c r="S3327" s="679"/>
    </row>
    <row r="3328" spans="1:19" s="682" customFormat="1" ht="24" customHeight="1">
      <c r="A3328" s="734"/>
      <c r="B3328" s="747" t="s">
        <v>469</v>
      </c>
      <c r="C3328" s="735" t="s">
        <v>520</v>
      </c>
      <c r="D3328" s="735"/>
      <c r="E3328" s="737">
        <f t="shared" si="800"/>
        <v>0</v>
      </c>
      <c r="F3328" s="738" t="s">
        <v>361</v>
      </c>
      <c r="G3328" s="739">
        <v>190</v>
      </c>
      <c r="H3328" s="748">
        <f t="shared" si="797"/>
        <v>0</v>
      </c>
      <c r="I3328" s="741">
        <v>75</v>
      </c>
      <c r="J3328" s="749">
        <f t="shared" si="798"/>
        <v>0</v>
      </c>
      <c r="K3328" s="739">
        <f t="shared" si="799"/>
        <v>0</v>
      </c>
      <c r="L3328" s="1079"/>
      <c r="M3328" s="679"/>
      <c r="N3328" s="744">
        <f t="shared" si="796"/>
        <v>0</v>
      </c>
      <c r="O3328" s="745">
        <v>0</v>
      </c>
      <c r="P3328" s="737">
        <v>0</v>
      </c>
      <c r="Q3328" s="679"/>
      <c r="R3328" s="679"/>
      <c r="S3328" s="679"/>
    </row>
    <row r="3329" spans="1:19" s="682" customFormat="1" ht="24" customHeight="1">
      <c r="A3329" s="734"/>
      <c r="B3329" s="747"/>
      <c r="C3329" s="735"/>
      <c r="D3329" s="735"/>
      <c r="E3329" s="737">
        <f t="shared" si="800"/>
        <v>0</v>
      </c>
      <c r="F3329" s="738"/>
      <c r="G3329" s="739"/>
      <c r="H3329" s="748">
        <f t="shared" si="797"/>
        <v>0</v>
      </c>
      <c r="I3329" s="741"/>
      <c r="J3329" s="749">
        <f t="shared" si="798"/>
        <v>0</v>
      </c>
      <c r="K3329" s="739">
        <f t="shared" si="799"/>
        <v>0</v>
      </c>
      <c r="L3329" s="1079"/>
      <c r="M3329" s="679"/>
      <c r="N3329" s="744">
        <f t="shared" ref="N3329:N3397" si="801">+(1+O3329)*P3329</f>
        <v>0</v>
      </c>
      <c r="O3329" s="745">
        <v>0</v>
      </c>
      <c r="P3329" s="737">
        <v>0</v>
      </c>
      <c r="Q3329" s="679"/>
      <c r="R3329" s="679"/>
      <c r="S3329" s="679"/>
    </row>
    <row r="3330" spans="1:19" s="753" customFormat="1" ht="24" customHeight="1">
      <c r="A3330" s="734"/>
      <c r="B3330" s="735" t="s">
        <v>1077</v>
      </c>
      <c r="C3330" s="735"/>
      <c r="D3330" s="907"/>
      <c r="E3330" s="737">
        <f t="shared" si="800"/>
        <v>0</v>
      </c>
      <c r="F3330" s="738"/>
      <c r="G3330" s="739">
        <v>0</v>
      </c>
      <c r="H3330" s="748">
        <f t="shared" si="797"/>
        <v>0</v>
      </c>
      <c r="I3330" s="741">
        <v>0</v>
      </c>
      <c r="J3330" s="749">
        <f t="shared" si="798"/>
        <v>0</v>
      </c>
      <c r="K3330" s="739">
        <f t="shared" si="799"/>
        <v>0</v>
      </c>
      <c r="L3330" s="1079"/>
      <c r="M3330" s="752"/>
      <c r="N3330" s="744">
        <f t="shared" si="801"/>
        <v>0</v>
      </c>
      <c r="O3330" s="745">
        <v>0</v>
      </c>
      <c r="P3330" s="737">
        <v>0</v>
      </c>
      <c r="Q3330" s="752"/>
      <c r="R3330" s="752"/>
      <c r="S3330" s="752"/>
    </row>
    <row r="3331" spans="1:19" s="753" customFormat="1" ht="24" customHeight="1">
      <c r="A3331" s="734"/>
      <c r="B3331" s="747" t="s">
        <v>469</v>
      </c>
      <c r="C3331" s="735" t="s">
        <v>497</v>
      </c>
      <c r="D3331" s="735"/>
      <c r="E3331" s="737">
        <f t="shared" si="800"/>
        <v>6</v>
      </c>
      <c r="F3331" s="738" t="s">
        <v>363</v>
      </c>
      <c r="G3331" s="739">
        <v>1540</v>
      </c>
      <c r="H3331" s="748">
        <f t="shared" si="797"/>
        <v>9240</v>
      </c>
      <c r="I3331" s="741">
        <v>450</v>
      </c>
      <c r="J3331" s="749">
        <f t="shared" si="798"/>
        <v>2700</v>
      </c>
      <c r="K3331" s="739">
        <f t="shared" si="799"/>
        <v>11940</v>
      </c>
      <c r="L3331" s="1079"/>
      <c r="M3331" s="752"/>
      <c r="N3331" s="744">
        <f t="shared" si="801"/>
        <v>6</v>
      </c>
      <c r="O3331" s="745">
        <v>0</v>
      </c>
      <c r="P3331" s="737">
        <v>6</v>
      </c>
      <c r="Q3331" s="752"/>
      <c r="R3331" s="752"/>
      <c r="S3331" s="752"/>
    </row>
    <row r="3332" spans="1:19" s="753" customFormat="1" ht="24" customHeight="1">
      <c r="A3332" s="734"/>
      <c r="B3332" s="747" t="s">
        <v>469</v>
      </c>
      <c r="C3332" s="735" t="s">
        <v>498</v>
      </c>
      <c r="D3332" s="735"/>
      <c r="E3332" s="737">
        <f t="shared" si="800"/>
        <v>6</v>
      </c>
      <c r="F3332" s="738" t="s">
        <v>363</v>
      </c>
      <c r="G3332" s="739">
        <v>6640</v>
      </c>
      <c r="H3332" s="748">
        <f t="shared" si="797"/>
        <v>39840</v>
      </c>
      <c r="I3332" s="741">
        <v>200</v>
      </c>
      <c r="J3332" s="749">
        <f t="shared" si="798"/>
        <v>1200</v>
      </c>
      <c r="K3332" s="739">
        <f t="shared" si="799"/>
        <v>41040</v>
      </c>
      <c r="L3332" s="1079"/>
      <c r="M3332" s="752"/>
      <c r="N3332" s="744">
        <f t="shared" si="801"/>
        <v>6</v>
      </c>
      <c r="O3332" s="745">
        <v>0</v>
      </c>
      <c r="P3332" s="737">
        <v>6</v>
      </c>
      <c r="Q3332" s="752"/>
      <c r="R3332" s="752"/>
      <c r="S3332" s="752"/>
    </row>
    <row r="3333" spans="1:19" s="753" customFormat="1" ht="24" customHeight="1">
      <c r="A3333" s="734"/>
      <c r="B3333" s="747" t="s">
        <v>469</v>
      </c>
      <c r="C3333" s="735" t="s">
        <v>476</v>
      </c>
      <c r="D3333" s="735"/>
      <c r="E3333" s="737">
        <f t="shared" si="800"/>
        <v>6</v>
      </c>
      <c r="F3333" s="738" t="s">
        <v>363</v>
      </c>
      <c r="G3333" s="739">
        <v>336</v>
      </c>
      <c r="H3333" s="748">
        <f t="shared" si="797"/>
        <v>2016</v>
      </c>
      <c r="I3333" s="741">
        <v>0</v>
      </c>
      <c r="J3333" s="749">
        <f t="shared" si="798"/>
        <v>0</v>
      </c>
      <c r="K3333" s="739">
        <f t="shared" si="799"/>
        <v>2016</v>
      </c>
      <c r="L3333" s="1079"/>
      <c r="M3333" s="752"/>
      <c r="N3333" s="744">
        <f t="shared" si="801"/>
        <v>6</v>
      </c>
      <c r="O3333" s="745">
        <v>0</v>
      </c>
      <c r="P3333" s="737">
        <v>6</v>
      </c>
      <c r="Q3333" s="752"/>
      <c r="R3333" s="752"/>
      <c r="S3333" s="752"/>
    </row>
    <row r="3334" spans="1:19" s="753" customFormat="1" ht="24" customHeight="1">
      <c r="A3334" s="734"/>
      <c r="B3334" s="747" t="s">
        <v>469</v>
      </c>
      <c r="C3334" s="735" t="s">
        <v>477</v>
      </c>
      <c r="D3334" s="735"/>
      <c r="E3334" s="737">
        <f t="shared" si="800"/>
        <v>6</v>
      </c>
      <c r="F3334" s="738" t="s">
        <v>363</v>
      </c>
      <c r="G3334" s="739">
        <v>736</v>
      </c>
      <c r="H3334" s="748">
        <f t="shared" si="797"/>
        <v>4416</v>
      </c>
      <c r="I3334" s="741">
        <v>0</v>
      </c>
      <c r="J3334" s="749">
        <f t="shared" si="798"/>
        <v>0</v>
      </c>
      <c r="K3334" s="739">
        <f t="shared" si="799"/>
        <v>4416</v>
      </c>
      <c r="L3334" s="1079"/>
      <c r="M3334" s="752"/>
      <c r="N3334" s="744">
        <f t="shared" si="801"/>
        <v>6</v>
      </c>
      <c r="O3334" s="745">
        <v>0</v>
      </c>
      <c r="P3334" s="737">
        <v>6</v>
      </c>
      <c r="Q3334" s="752"/>
      <c r="R3334" s="752"/>
      <c r="S3334" s="752"/>
    </row>
    <row r="3335" spans="1:19" s="753" customFormat="1" ht="24" customHeight="1">
      <c r="A3335" s="734"/>
      <c r="B3335" s="747" t="s">
        <v>469</v>
      </c>
      <c r="C3335" s="735" t="s">
        <v>478</v>
      </c>
      <c r="D3335" s="735"/>
      <c r="E3335" s="737">
        <f t="shared" si="800"/>
        <v>6</v>
      </c>
      <c r="F3335" s="738" t="s">
        <v>363</v>
      </c>
      <c r="G3335" s="739">
        <v>176</v>
      </c>
      <c r="H3335" s="748">
        <f t="shared" si="797"/>
        <v>1056</v>
      </c>
      <c r="I3335" s="741">
        <v>0</v>
      </c>
      <c r="J3335" s="749">
        <f t="shared" si="798"/>
        <v>0</v>
      </c>
      <c r="K3335" s="739">
        <f t="shared" si="799"/>
        <v>1056</v>
      </c>
      <c r="L3335" s="1079"/>
      <c r="M3335" s="752"/>
      <c r="N3335" s="744">
        <f t="shared" si="801"/>
        <v>6</v>
      </c>
      <c r="O3335" s="745">
        <v>0</v>
      </c>
      <c r="P3335" s="737">
        <v>6</v>
      </c>
      <c r="Q3335" s="752"/>
      <c r="R3335" s="752"/>
      <c r="S3335" s="752"/>
    </row>
    <row r="3336" spans="1:19" s="753" customFormat="1" ht="24" customHeight="1">
      <c r="A3336" s="734"/>
      <c r="B3336" s="747" t="s">
        <v>469</v>
      </c>
      <c r="C3336" s="735" t="s">
        <v>499</v>
      </c>
      <c r="D3336" s="735"/>
      <c r="E3336" s="737">
        <f t="shared" si="800"/>
        <v>6</v>
      </c>
      <c r="F3336" s="738" t="s">
        <v>363</v>
      </c>
      <c r="G3336" s="739">
        <v>216</v>
      </c>
      <c r="H3336" s="748">
        <f t="shared" si="797"/>
        <v>1296</v>
      </c>
      <c r="I3336" s="741">
        <v>35</v>
      </c>
      <c r="J3336" s="749">
        <f t="shared" si="798"/>
        <v>210</v>
      </c>
      <c r="K3336" s="739">
        <f t="shared" si="799"/>
        <v>1506</v>
      </c>
      <c r="L3336" s="1079"/>
      <c r="M3336" s="752"/>
      <c r="N3336" s="744">
        <f t="shared" si="801"/>
        <v>6</v>
      </c>
      <c r="O3336" s="745">
        <v>0</v>
      </c>
      <c r="P3336" s="737">
        <v>6</v>
      </c>
      <c r="Q3336" s="752"/>
      <c r="R3336" s="752"/>
      <c r="S3336" s="752"/>
    </row>
    <row r="3337" spans="1:19" s="753" customFormat="1" ht="24" customHeight="1">
      <c r="A3337" s="734"/>
      <c r="B3337" s="747"/>
      <c r="C3337" s="736"/>
      <c r="D3337" s="907"/>
      <c r="E3337" s="737">
        <f t="shared" si="800"/>
        <v>0</v>
      </c>
      <c r="F3337" s="738"/>
      <c r="G3337" s="739">
        <v>0</v>
      </c>
      <c r="H3337" s="748">
        <f t="shared" si="797"/>
        <v>0</v>
      </c>
      <c r="I3337" s="741">
        <v>0</v>
      </c>
      <c r="J3337" s="749">
        <f t="shared" si="798"/>
        <v>0</v>
      </c>
      <c r="K3337" s="739">
        <f t="shared" si="799"/>
        <v>0</v>
      </c>
      <c r="L3337" s="1079"/>
      <c r="M3337" s="752"/>
      <c r="N3337" s="744">
        <f t="shared" si="801"/>
        <v>0</v>
      </c>
      <c r="O3337" s="745">
        <v>0</v>
      </c>
      <c r="P3337" s="737">
        <v>0</v>
      </c>
      <c r="Q3337" s="752"/>
      <c r="R3337" s="752"/>
      <c r="S3337" s="752"/>
    </row>
    <row r="3338" spans="1:19" s="753" customFormat="1" ht="24" customHeight="1">
      <c r="A3338" s="734"/>
      <c r="B3338" s="747" t="s">
        <v>469</v>
      </c>
      <c r="C3338" s="735" t="s">
        <v>492</v>
      </c>
      <c r="D3338" s="735"/>
      <c r="E3338" s="737">
        <f t="shared" si="800"/>
        <v>10</v>
      </c>
      <c r="F3338" s="738" t="s">
        <v>363</v>
      </c>
      <c r="G3338" s="739">
        <v>9375</v>
      </c>
      <c r="H3338" s="748">
        <f t="shared" si="797"/>
        <v>93750</v>
      </c>
      <c r="I3338" s="741">
        <v>450</v>
      </c>
      <c r="J3338" s="749">
        <f t="shared" si="798"/>
        <v>4500</v>
      </c>
      <c r="K3338" s="739">
        <f t="shared" si="799"/>
        <v>98250</v>
      </c>
      <c r="L3338" s="1079"/>
      <c r="M3338" s="752"/>
      <c r="N3338" s="744">
        <f t="shared" si="801"/>
        <v>10</v>
      </c>
      <c r="O3338" s="745">
        <v>0</v>
      </c>
      <c r="P3338" s="737">
        <v>10</v>
      </c>
      <c r="Q3338" s="752"/>
      <c r="R3338" s="752"/>
      <c r="S3338" s="752"/>
    </row>
    <row r="3339" spans="1:19" s="753" customFormat="1" ht="24" customHeight="1">
      <c r="A3339" s="734"/>
      <c r="B3339" s="747" t="s">
        <v>469</v>
      </c>
      <c r="C3339" s="735" t="s">
        <v>500</v>
      </c>
      <c r="D3339" s="735"/>
      <c r="E3339" s="737">
        <f t="shared" si="800"/>
        <v>10</v>
      </c>
      <c r="F3339" s="738" t="s">
        <v>363</v>
      </c>
      <c r="G3339" s="739">
        <v>12752</v>
      </c>
      <c r="H3339" s="748">
        <f t="shared" si="797"/>
        <v>127520</v>
      </c>
      <c r="I3339" s="741">
        <v>0</v>
      </c>
      <c r="J3339" s="749">
        <f t="shared" si="798"/>
        <v>0</v>
      </c>
      <c r="K3339" s="739">
        <f t="shared" si="799"/>
        <v>127520</v>
      </c>
      <c r="L3339" s="1079"/>
      <c r="M3339" s="752"/>
      <c r="N3339" s="744">
        <f t="shared" si="801"/>
        <v>10</v>
      </c>
      <c r="O3339" s="745">
        <v>0</v>
      </c>
      <c r="P3339" s="737">
        <v>10</v>
      </c>
      <c r="Q3339" s="752"/>
      <c r="R3339" s="752"/>
      <c r="S3339" s="752"/>
    </row>
    <row r="3340" spans="1:19" s="753" customFormat="1" ht="24" customHeight="1">
      <c r="A3340" s="734"/>
      <c r="B3340" s="747" t="s">
        <v>469</v>
      </c>
      <c r="C3340" s="735" t="s">
        <v>501</v>
      </c>
      <c r="D3340" s="735"/>
      <c r="E3340" s="737">
        <v>0</v>
      </c>
      <c r="F3340" s="738" t="s">
        <v>363</v>
      </c>
      <c r="G3340" s="739">
        <v>1950</v>
      </c>
      <c r="H3340" s="748">
        <f t="shared" si="797"/>
        <v>0</v>
      </c>
      <c r="I3340" s="741">
        <v>35</v>
      </c>
      <c r="J3340" s="749">
        <f t="shared" si="798"/>
        <v>0</v>
      </c>
      <c r="K3340" s="739">
        <f t="shared" si="799"/>
        <v>0</v>
      </c>
      <c r="L3340" s="1079"/>
      <c r="M3340" s="752"/>
      <c r="N3340" s="744">
        <f t="shared" si="801"/>
        <v>10</v>
      </c>
      <c r="O3340" s="745">
        <v>0</v>
      </c>
      <c r="P3340" s="737">
        <v>10</v>
      </c>
      <c r="Q3340" s="752"/>
      <c r="R3340" s="752"/>
      <c r="S3340" s="752"/>
    </row>
    <row r="3341" spans="1:19" s="753" customFormat="1" ht="24" customHeight="1">
      <c r="A3341" s="734"/>
      <c r="B3341" s="747" t="s">
        <v>469</v>
      </c>
      <c r="C3341" s="735" t="s">
        <v>502</v>
      </c>
      <c r="D3341" s="735"/>
      <c r="E3341" s="737">
        <f t="shared" si="800"/>
        <v>10</v>
      </c>
      <c r="F3341" s="738" t="s">
        <v>363</v>
      </c>
      <c r="G3341" s="739">
        <v>216</v>
      </c>
      <c r="H3341" s="748">
        <f t="shared" si="797"/>
        <v>2160</v>
      </c>
      <c r="I3341" s="741">
        <v>35</v>
      </c>
      <c r="J3341" s="749">
        <f t="shared" si="798"/>
        <v>350</v>
      </c>
      <c r="K3341" s="739">
        <f t="shared" si="799"/>
        <v>2510</v>
      </c>
      <c r="L3341" s="1079"/>
      <c r="M3341" s="752"/>
      <c r="N3341" s="744">
        <f t="shared" si="801"/>
        <v>10</v>
      </c>
      <c r="O3341" s="745">
        <v>0</v>
      </c>
      <c r="P3341" s="737">
        <v>10</v>
      </c>
      <c r="Q3341" s="752"/>
      <c r="R3341" s="752"/>
      <c r="S3341" s="752"/>
    </row>
    <row r="3342" spans="1:19" s="753" customFormat="1" ht="24" customHeight="1">
      <c r="A3342" s="734"/>
      <c r="B3342" s="747"/>
      <c r="C3342" s="735"/>
      <c r="D3342" s="735"/>
      <c r="E3342" s="737">
        <f t="shared" si="800"/>
        <v>0</v>
      </c>
      <c r="F3342" s="738"/>
      <c r="G3342" s="739"/>
      <c r="H3342" s="748">
        <f t="shared" si="797"/>
        <v>0</v>
      </c>
      <c r="I3342" s="741"/>
      <c r="J3342" s="749">
        <f t="shared" si="798"/>
        <v>0</v>
      </c>
      <c r="K3342" s="739">
        <f t="shared" si="799"/>
        <v>0</v>
      </c>
      <c r="L3342" s="1079"/>
      <c r="M3342" s="752"/>
      <c r="N3342" s="744">
        <f t="shared" si="801"/>
        <v>0</v>
      </c>
      <c r="O3342" s="745">
        <v>0</v>
      </c>
      <c r="P3342" s="737">
        <v>0</v>
      </c>
      <c r="Q3342" s="752"/>
      <c r="R3342" s="752"/>
      <c r="S3342" s="752"/>
    </row>
    <row r="3343" spans="1:19" s="753" customFormat="1" ht="24" customHeight="1">
      <c r="A3343" s="734"/>
      <c r="B3343" s="747" t="s">
        <v>484</v>
      </c>
      <c r="C3343" s="735" t="s">
        <v>485</v>
      </c>
      <c r="D3343" s="735"/>
      <c r="E3343" s="737">
        <f t="shared" si="800"/>
        <v>11</v>
      </c>
      <c r="F3343" s="738" t="s">
        <v>363</v>
      </c>
      <c r="G3343" s="739">
        <v>285</v>
      </c>
      <c r="H3343" s="748">
        <f t="shared" si="797"/>
        <v>3135</v>
      </c>
      <c r="I3343" s="741">
        <v>75</v>
      </c>
      <c r="J3343" s="749">
        <f t="shared" si="798"/>
        <v>825</v>
      </c>
      <c r="K3343" s="739">
        <f t="shared" si="799"/>
        <v>3960</v>
      </c>
      <c r="L3343" s="1093"/>
      <c r="M3343" s="752"/>
      <c r="N3343" s="744">
        <f t="shared" si="801"/>
        <v>11</v>
      </c>
      <c r="O3343" s="745">
        <v>0</v>
      </c>
      <c r="P3343" s="737">
        <v>11</v>
      </c>
      <c r="Q3343" s="752"/>
      <c r="R3343" s="752"/>
      <c r="S3343" s="752"/>
    </row>
    <row r="3344" spans="1:19" s="753" customFormat="1" ht="24" customHeight="1">
      <c r="A3344" s="734"/>
      <c r="B3344" s="747" t="s">
        <v>469</v>
      </c>
      <c r="C3344" s="735" t="s">
        <v>486</v>
      </c>
      <c r="D3344" s="735"/>
      <c r="E3344" s="737">
        <f t="shared" si="800"/>
        <v>1</v>
      </c>
      <c r="F3344" s="738" t="s">
        <v>363</v>
      </c>
      <c r="G3344" s="739">
        <v>552</v>
      </c>
      <c r="H3344" s="748">
        <f t="shared" si="797"/>
        <v>552</v>
      </c>
      <c r="I3344" s="741">
        <v>25</v>
      </c>
      <c r="J3344" s="749">
        <f t="shared" si="798"/>
        <v>25</v>
      </c>
      <c r="K3344" s="739">
        <f t="shared" si="799"/>
        <v>577</v>
      </c>
      <c r="L3344" s="1079"/>
      <c r="M3344" s="752"/>
      <c r="N3344" s="744">
        <f t="shared" si="801"/>
        <v>1</v>
      </c>
      <c r="O3344" s="745">
        <v>0</v>
      </c>
      <c r="P3344" s="737">
        <v>1</v>
      </c>
      <c r="Q3344" s="752"/>
      <c r="R3344" s="752"/>
      <c r="S3344" s="752"/>
    </row>
    <row r="3345" spans="1:19" s="753" customFormat="1" ht="24" customHeight="1">
      <c r="A3345" s="734"/>
      <c r="B3345" s="747" t="s">
        <v>469</v>
      </c>
      <c r="C3345" s="735" t="s">
        <v>507</v>
      </c>
      <c r="D3345" s="735"/>
      <c r="E3345" s="737">
        <f t="shared" si="800"/>
        <v>2</v>
      </c>
      <c r="F3345" s="738" t="s">
        <v>363</v>
      </c>
      <c r="G3345" s="739">
        <v>1650</v>
      </c>
      <c r="H3345" s="748">
        <f t="shared" si="797"/>
        <v>3300</v>
      </c>
      <c r="I3345" s="741">
        <v>70</v>
      </c>
      <c r="J3345" s="749">
        <f t="shared" si="798"/>
        <v>140</v>
      </c>
      <c r="K3345" s="739">
        <f t="shared" si="799"/>
        <v>3440</v>
      </c>
      <c r="L3345" s="1079"/>
      <c r="M3345" s="752"/>
      <c r="N3345" s="744">
        <f t="shared" si="801"/>
        <v>2</v>
      </c>
      <c r="O3345" s="745">
        <v>0</v>
      </c>
      <c r="P3345" s="737">
        <v>2</v>
      </c>
      <c r="Q3345" s="752"/>
      <c r="R3345" s="752"/>
      <c r="S3345" s="752"/>
    </row>
    <row r="3346" spans="1:19" s="753" customFormat="1" ht="24" customHeight="1">
      <c r="A3346" s="734"/>
      <c r="B3346" s="747" t="s">
        <v>469</v>
      </c>
      <c r="C3346" s="735" t="s">
        <v>508</v>
      </c>
      <c r="D3346" s="735"/>
      <c r="E3346" s="737">
        <f t="shared" si="800"/>
        <v>10</v>
      </c>
      <c r="F3346" s="738" t="s">
        <v>363</v>
      </c>
      <c r="G3346" s="739">
        <v>13500</v>
      </c>
      <c r="H3346" s="748">
        <f t="shared" si="797"/>
        <v>135000</v>
      </c>
      <c r="I3346" s="741">
        <v>750</v>
      </c>
      <c r="J3346" s="749">
        <f t="shared" si="798"/>
        <v>7500</v>
      </c>
      <c r="K3346" s="739">
        <f t="shared" si="799"/>
        <v>142500</v>
      </c>
      <c r="L3346" s="1079"/>
      <c r="M3346" s="752"/>
      <c r="N3346" s="744">
        <f t="shared" si="801"/>
        <v>10</v>
      </c>
      <c r="O3346" s="745">
        <v>0</v>
      </c>
      <c r="P3346" s="737">
        <v>10</v>
      </c>
      <c r="Q3346" s="752"/>
      <c r="R3346" s="752"/>
      <c r="S3346" s="752"/>
    </row>
    <row r="3347" spans="1:19" s="682" customFormat="1" ht="24" customHeight="1">
      <c r="A3347" s="734"/>
      <c r="B3347" s="747" t="s">
        <v>469</v>
      </c>
      <c r="C3347" s="735" t="s">
        <v>509</v>
      </c>
      <c r="D3347" s="735"/>
      <c r="E3347" s="737">
        <f t="shared" si="800"/>
        <v>1</v>
      </c>
      <c r="F3347" s="738" t="s">
        <v>363</v>
      </c>
      <c r="G3347" s="739">
        <v>14476</v>
      </c>
      <c r="H3347" s="748">
        <f t="shared" si="797"/>
        <v>14476</v>
      </c>
      <c r="I3347" s="741">
        <v>5367</v>
      </c>
      <c r="J3347" s="749">
        <f t="shared" si="798"/>
        <v>5367</v>
      </c>
      <c r="K3347" s="739">
        <f t="shared" si="799"/>
        <v>19843</v>
      </c>
      <c r="L3347" s="1079"/>
      <c r="M3347" s="679"/>
      <c r="N3347" s="744">
        <f t="shared" si="801"/>
        <v>1</v>
      </c>
      <c r="O3347" s="745">
        <v>0</v>
      </c>
      <c r="P3347" s="737">
        <v>1</v>
      </c>
      <c r="Q3347" s="679"/>
      <c r="R3347" s="679"/>
      <c r="S3347" s="679"/>
    </row>
    <row r="3348" spans="1:19" s="753" customFormat="1" ht="24" customHeight="1">
      <c r="A3348" s="734"/>
      <c r="B3348" s="747"/>
      <c r="C3348" s="735"/>
      <c r="D3348" s="907"/>
      <c r="E3348" s="737">
        <f t="shared" si="800"/>
        <v>0</v>
      </c>
      <c r="F3348" s="738"/>
      <c r="G3348" s="739">
        <v>0</v>
      </c>
      <c r="H3348" s="748">
        <f t="shared" si="797"/>
        <v>0</v>
      </c>
      <c r="I3348" s="741">
        <v>0</v>
      </c>
      <c r="J3348" s="749">
        <f t="shared" si="798"/>
        <v>0</v>
      </c>
      <c r="K3348" s="739">
        <f t="shared" si="799"/>
        <v>0</v>
      </c>
      <c r="L3348" s="1079"/>
      <c r="M3348" s="752"/>
      <c r="N3348" s="744">
        <f t="shared" si="801"/>
        <v>0</v>
      </c>
      <c r="O3348" s="745">
        <v>0</v>
      </c>
      <c r="P3348" s="737">
        <v>0</v>
      </c>
      <c r="Q3348" s="752"/>
      <c r="R3348" s="752"/>
      <c r="S3348" s="752"/>
    </row>
    <row r="3349" spans="1:19" s="753" customFormat="1" ht="24" customHeight="1">
      <c r="A3349" s="734"/>
      <c r="B3349" s="747" t="s">
        <v>469</v>
      </c>
      <c r="C3349" s="735" t="s">
        <v>510</v>
      </c>
      <c r="D3349" s="735"/>
      <c r="E3349" s="737">
        <f t="shared" si="800"/>
        <v>5.2</v>
      </c>
      <c r="F3349" s="738" t="s">
        <v>361</v>
      </c>
      <c r="G3349" s="739">
        <v>2694</v>
      </c>
      <c r="H3349" s="748">
        <f t="shared" si="797"/>
        <v>14008.800000000001</v>
      </c>
      <c r="I3349" s="741">
        <v>1288</v>
      </c>
      <c r="J3349" s="749">
        <f t="shared" si="798"/>
        <v>6697.6</v>
      </c>
      <c r="K3349" s="739">
        <f t="shared" si="799"/>
        <v>20706.400000000001</v>
      </c>
      <c r="L3349" s="1079"/>
      <c r="M3349" s="752"/>
      <c r="N3349" s="744">
        <f t="shared" si="801"/>
        <v>5.2</v>
      </c>
      <c r="O3349" s="745">
        <v>0</v>
      </c>
      <c r="P3349" s="737">
        <v>5.2</v>
      </c>
      <c r="Q3349" s="752"/>
      <c r="R3349" s="752"/>
      <c r="S3349" s="752"/>
    </row>
    <row r="3350" spans="1:19" s="753" customFormat="1" ht="24" customHeight="1">
      <c r="A3350" s="734"/>
      <c r="B3350" s="747"/>
      <c r="C3350" s="735" t="s">
        <v>511</v>
      </c>
      <c r="D3350" s="735"/>
      <c r="E3350" s="737">
        <f t="shared" si="800"/>
        <v>0</v>
      </c>
      <c r="F3350" s="738"/>
      <c r="G3350" s="739"/>
      <c r="H3350" s="748">
        <f t="shared" si="797"/>
        <v>0</v>
      </c>
      <c r="I3350" s="741"/>
      <c r="J3350" s="749">
        <f t="shared" si="798"/>
        <v>0</v>
      </c>
      <c r="K3350" s="739">
        <f t="shared" si="799"/>
        <v>0</v>
      </c>
      <c r="L3350" s="1079"/>
      <c r="M3350" s="752"/>
      <c r="N3350" s="744">
        <f t="shared" si="801"/>
        <v>0</v>
      </c>
      <c r="O3350" s="745">
        <v>0</v>
      </c>
      <c r="P3350" s="737">
        <v>0</v>
      </c>
      <c r="Q3350" s="752"/>
      <c r="R3350" s="752"/>
      <c r="S3350" s="752"/>
    </row>
    <row r="3351" spans="1:19" s="753" customFormat="1" ht="24" customHeight="1">
      <c r="A3351" s="734"/>
      <c r="B3351" s="747" t="s">
        <v>469</v>
      </c>
      <c r="C3351" s="735" t="s">
        <v>512</v>
      </c>
      <c r="D3351" s="735"/>
      <c r="E3351" s="737">
        <f t="shared" si="800"/>
        <v>5.2</v>
      </c>
      <c r="F3351" s="738" t="s">
        <v>361</v>
      </c>
      <c r="G3351" s="739">
        <v>3886</v>
      </c>
      <c r="H3351" s="748">
        <f t="shared" si="797"/>
        <v>20207.2</v>
      </c>
      <c r="I3351" s="741">
        <v>1238</v>
      </c>
      <c r="J3351" s="749">
        <f t="shared" si="798"/>
        <v>6437.6</v>
      </c>
      <c r="K3351" s="739">
        <f t="shared" si="799"/>
        <v>26644.800000000003</v>
      </c>
      <c r="L3351" s="1079"/>
      <c r="M3351" s="752"/>
      <c r="N3351" s="744">
        <f t="shared" si="801"/>
        <v>5.2</v>
      </c>
      <c r="O3351" s="745">
        <v>0</v>
      </c>
      <c r="P3351" s="737">
        <v>5.2</v>
      </c>
      <c r="Q3351" s="752"/>
      <c r="R3351" s="752"/>
      <c r="S3351" s="752"/>
    </row>
    <row r="3352" spans="1:19" s="753" customFormat="1" ht="24" customHeight="1">
      <c r="A3352" s="734"/>
      <c r="B3352" s="747"/>
      <c r="C3352" s="735" t="s">
        <v>513</v>
      </c>
      <c r="D3352" s="735"/>
      <c r="E3352" s="737">
        <f t="shared" si="800"/>
        <v>0</v>
      </c>
      <c r="F3352" s="738"/>
      <c r="G3352" s="739">
        <v>0</v>
      </c>
      <c r="H3352" s="748">
        <f t="shared" si="797"/>
        <v>0</v>
      </c>
      <c r="I3352" s="741">
        <v>0</v>
      </c>
      <c r="J3352" s="749">
        <f t="shared" si="798"/>
        <v>0</v>
      </c>
      <c r="K3352" s="739">
        <f t="shared" si="799"/>
        <v>0</v>
      </c>
      <c r="L3352" s="1079"/>
      <c r="M3352" s="752"/>
      <c r="N3352" s="744">
        <f t="shared" si="801"/>
        <v>0</v>
      </c>
      <c r="O3352" s="745">
        <v>0</v>
      </c>
      <c r="P3352" s="737">
        <v>0</v>
      </c>
      <c r="Q3352" s="752"/>
      <c r="R3352" s="752"/>
      <c r="S3352" s="752"/>
    </row>
    <row r="3353" spans="1:19" s="753" customFormat="1" ht="24" customHeight="1">
      <c r="A3353" s="734"/>
      <c r="B3353" s="747" t="s">
        <v>469</v>
      </c>
      <c r="C3353" s="735" t="s">
        <v>521</v>
      </c>
      <c r="D3353" s="735"/>
      <c r="E3353" s="737">
        <f t="shared" si="800"/>
        <v>5.2</v>
      </c>
      <c r="F3353" s="738" t="s">
        <v>361</v>
      </c>
      <c r="G3353" s="739">
        <v>1522</v>
      </c>
      <c r="H3353" s="748">
        <f t="shared" si="797"/>
        <v>7914.4000000000005</v>
      </c>
      <c r="I3353" s="741">
        <v>315</v>
      </c>
      <c r="J3353" s="749">
        <f t="shared" si="798"/>
        <v>1638</v>
      </c>
      <c r="K3353" s="739">
        <f t="shared" si="799"/>
        <v>9552.4000000000015</v>
      </c>
      <c r="L3353" s="1079"/>
      <c r="M3353" s="752"/>
      <c r="N3353" s="744">
        <f t="shared" si="801"/>
        <v>5.2</v>
      </c>
      <c r="O3353" s="745">
        <v>0</v>
      </c>
      <c r="P3353" s="737">
        <v>5.2</v>
      </c>
      <c r="Q3353" s="752"/>
      <c r="R3353" s="752"/>
      <c r="S3353" s="752"/>
    </row>
    <row r="3354" spans="1:19" s="753" customFormat="1" ht="24" customHeight="1">
      <c r="A3354" s="734"/>
      <c r="B3354" s="747"/>
      <c r="C3354" s="735"/>
      <c r="D3354" s="735"/>
      <c r="E3354" s="737">
        <f t="shared" si="800"/>
        <v>0</v>
      </c>
      <c r="F3354" s="738"/>
      <c r="G3354" s="739">
        <v>0</v>
      </c>
      <c r="H3354" s="748">
        <f t="shared" si="797"/>
        <v>0</v>
      </c>
      <c r="I3354" s="741">
        <v>0</v>
      </c>
      <c r="J3354" s="749">
        <f t="shared" si="798"/>
        <v>0</v>
      </c>
      <c r="K3354" s="739">
        <f t="shared" si="799"/>
        <v>0</v>
      </c>
      <c r="L3354" s="1079"/>
      <c r="M3354" s="752"/>
      <c r="N3354" s="744">
        <f t="shared" si="801"/>
        <v>0</v>
      </c>
      <c r="O3354" s="745">
        <v>0</v>
      </c>
      <c r="P3354" s="737">
        <v>0</v>
      </c>
      <c r="Q3354" s="752"/>
      <c r="R3354" s="752"/>
      <c r="S3354" s="752"/>
    </row>
    <row r="3355" spans="1:19" s="682" customFormat="1" ht="24" customHeight="1">
      <c r="A3355" s="734"/>
      <c r="B3355" s="747" t="s">
        <v>469</v>
      </c>
      <c r="C3355" s="735" t="s">
        <v>515</v>
      </c>
      <c r="D3355" s="735"/>
      <c r="E3355" s="737">
        <f t="shared" si="800"/>
        <v>0</v>
      </c>
      <c r="F3355" s="738" t="s">
        <v>363</v>
      </c>
      <c r="G3355" s="739">
        <v>5013</v>
      </c>
      <c r="H3355" s="748">
        <f t="shared" si="797"/>
        <v>0</v>
      </c>
      <c r="I3355" s="741">
        <v>2403</v>
      </c>
      <c r="J3355" s="749">
        <f t="shared" si="798"/>
        <v>0</v>
      </c>
      <c r="K3355" s="739">
        <f t="shared" si="799"/>
        <v>0</v>
      </c>
      <c r="L3355" s="1079"/>
      <c r="M3355" s="679"/>
      <c r="N3355" s="744">
        <f t="shared" si="801"/>
        <v>0</v>
      </c>
      <c r="O3355" s="745">
        <v>0</v>
      </c>
      <c r="P3355" s="737">
        <v>0</v>
      </c>
      <c r="Q3355" s="679"/>
      <c r="R3355" s="679"/>
      <c r="S3355" s="679"/>
    </row>
    <row r="3356" spans="1:19" s="682" customFormat="1" ht="24" customHeight="1">
      <c r="A3356" s="734"/>
      <c r="B3356" s="747"/>
      <c r="C3356" s="735" t="s">
        <v>516</v>
      </c>
      <c r="D3356" s="735"/>
      <c r="E3356" s="737">
        <f t="shared" si="800"/>
        <v>0</v>
      </c>
      <c r="F3356" s="738"/>
      <c r="G3356" s="739"/>
      <c r="H3356" s="748">
        <f t="shared" si="797"/>
        <v>0</v>
      </c>
      <c r="I3356" s="741"/>
      <c r="J3356" s="749">
        <f t="shared" si="798"/>
        <v>0</v>
      </c>
      <c r="K3356" s="739">
        <f t="shared" si="799"/>
        <v>0</v>
      </c>
      <c r="L3356" s="1079"/>
      <c r="M3356" s="679"/>
      <c r="N3356" s="744">
        <f t="shared" si="801"/>
        <v>0</v>
      </c>
      <c r="O3356" s="745">
        <v>0</v>
      </c>
      <c r="P3356" s="737">
        <v>0</v>
      </c>
      <c r="Q3356" s="679"/>
      <c r="R3356" s="679"/>
      <c r="S3356" s="679"/>
    </row>
    <row r="3357" spans="1:19" s="682" customFormat="1" ht="24" customHeight="1">
      <c r="A3357" s="734"/>
      <c r="B3357" s="747"/>
      <c r="C3357" s="735"/>
      <c r="D3357" s="735"/>
      <c r="E3357" s="737">
        <f t="shared" si="800"/>
        <v>0</v>
      </c>
      <c r="F3357" s="738"/>
      <c r="G3357" s="739"/>
      <c r="H3357" s="748">
        <f t="shared" si="797"/>
        <v>0</v>
      </c>
      <c r="I3357" s="741"/>
      <c r="J3357" s="749">
        <f t="shared" si="798"/>
        <v>0</v>
      </c>
      <c r="K3357" s="739">
        <f t="shared" si="799"/>
        <v>0</v>
      </c>
      <c r="L3357" s="1079"/>
      <c r="M3357" s="679"/>
      <c r="N3357" s="744">
        <f t="shared" si="801"/>
        <v>0</v>
      </c>
      <c r="O3357" s="745">
        <v>0</v>
      </c>
      <c r="P3357" s="737">
        <v>0</v>
      </c>
      <c r="Q3357" s="679"/>
      <c r="R3357" s="679"/>
      <c r="S3357" s="679"/>
    </row>
    <row r="3358" spans="1:19" s="756" customFormat="1" ht="24" customHeight="1">
      <c r="A3358" s="734"/>
      <c r="B3358" s="747" t="s">
        <v>469</v>
      </c>
      <c r="C3358" s="735" t="s">
        <v>517</v>
      </c>
      <c r="D3358" s="907"/>
      <c r="E3358" s="737">
        <f t="shared" si="800"/>
        <v>0</v>
      </c>
      <c r="F3358" s="738" t="s">
        <v>361</v>
      </c>
      <c r="G3358" s="739">
        <v>5075.5555555555557</v>
      </c>
      <c r="H3358" s="748">
        <f t="shared" si="797"/>
        <v>0</v>
      </c>
      <c r="I3358" s="741">
        <v>2545.7777777777778</v>
      </c>
      <c r="J3358" s="749">
        <f t="shared" si="798"/>
        <v>0</v>
      </c>
      <c r="K3358" s="739">
        <f t="shared" si="799"/>
        <v>0</v>
      </c>
      <c r="L3358" s="1079"/>
      <c r="M3358" s="755"/>
      <c r="N3358" s="744">
        <f t="shared" si="801"/>
        <v>0</v>
      </c>
      <c r="O3358" s="745">
        <v>0</v>
      </c>
      <c r="P3358" s="737">
        <v>0</v>
      </c>
      <c r="Q3358" s="755"/>
      <c r="R3358" s="755"/>
      <c r="S3358" s="755"/>
    </row>
    <row r="3359" spans="1:19" s="756" customFormat="1" ht="24" customHeight="1">
      <c r="A3359" s="734"/>
      <c r="B3359" s="747"/>
      <c r="C3359" s="735" t="s">
        <v>488</v>
      </c>
      <c r="D3359" s="907"/>
      <c r="E3359" s="737">
        <f t="shared" si="800"/>
        <v>0</v>
      </c>
      <c r="F3359" s="738"/>
      <c r="G3359" s="739">
        <v>0</v>
      </c>
      <c r="H3359" s="748">
        <f t="shared" si="797"/>
        <v>0</v>
      </c>
      <c r="I3359" s="741">
        <v>0</v>
      </c>
      <c r="J3359" s="749">
        <f t="shared" si="798"/>
        <v>0</v>
      </c>
      <c r="K3359" s="739">
        <f t="shared" si="799"/>
        <v>0</v>
      </c>
      <c r="L3359" s="1079"/>
      <c r="M3359" s="755"/>
      <c r="N3359" s="744">
        <f t="shared" si="801"/>
        <v>0</v>
      </c>
      <c r="O3359" s="745">
        <v>0</v>
      </c>
      <c r="P3359" s="737">
        <v>0</v>
      </c>
      <c r="Q3359" s="755"/>
      <c r="R3359" s="755"/>
      <c r="S3359" s="755"/>
    </row>
    <row r="3360" spans="1:19" s="753" customFormat="1" ht="24" customHeight="1">
      <c r="A3360" s="734"/>
      <c r="B3360" s="747" t="s">
        <v>469</v>
      </c>
      <c r="C3360" s="735" t="s">
        <v>518</v>
      </c>
      <c r="D3360" s="735"/>
      <c r="E3360" s="737">
        <f t="shared" si="800"/>
        <v>0</v>
      </c>
      <c r="F3360" s="738" t="s">
        <v>361</v>
      </c>
      <c r="G3360" s="739">
        <v>3886</v>
      </c>
      <c r="H3360" s="748">
        <f t="shared" ref="H3360:H3394" si="802">SUM(E3360*G3360)</f>
        <v>0</v>
      </c>
      <c r="I3360" s="741">
        <v>1238</v>
      </c>
      <c r="J3360" s="749">
        <f t="shared" ref="J3360:J3394" si="803">SUM(E3360*I3360)</f>
        <v>0</v>
      </c>
      <c r="K3360" s="739">
        <f t="shared" si="799"/>
        <v>0</v>
      </c>
      <c r="L3360" s="1079"/>
      <c r="M3360" s="752"/>
      <c r="N3360" s="744">
        <f t="shared" si="801"/>
        <v>0</v>
      </c>
      <c r="O3360" s="745">
        <v>0</v>
      </c>
      <c r="P3360" s="737">
        <v>0</v>
      </c>
      <c r="Q3360" s="752"/>
      <c r="R3360" s="752"/>
      <c r="S3360" s="752"/>
    </row>
    <row r="3361" spans="1:19" s="753" customFormat="1" ht="24" customHeight="1">
      <c r="A3361" s="734"/>
      <c r="B3361" s="747"/>
      <c r="C3361" s="735" t="s">
        <v>513</v>
      </c>
      <c r="D3361" s="735"/>
      <c r="E3361" s="737">
        <f t="shared" si="800"/>
        <v>0</v>
      </c>
      <c r="F3361" s="738"/>
      <c r="G3361" s="739">
        <v>0</v>
      </c>
      <c r="H3361" s="748">
        <f t="shared" si="802"/>
        <v>0</v>
      </c>
      <c r="I3361" s="741">
        <v>0</v>
      </c>
      <c r="J3361" s="749">
        <f t="shared" si="803"/>
        <v>0</v>
      </c>
      <c r="K3361" s="739">
        <f t="shared" si="799"/>
        <v>0</v>
      </c>
      <c r="L3361" s="1079"/>
      <c r="M3361" s="752"/>
      <c r="N3361" s="744">
        <f t="shared" si="801"/>
        <v>0</v>
      </c>
      <c r="O3361" s="745">
        <v>0</v>
      </c>
      <c r="P3361" s="737">
        <v>0</v>
      </c>
      <c r="Q3361" s="752"/>
      <c r="R3361" s="752"/>
      <c r="S3361" s="752"/>
    </row>
    <row r="3362" spans="1:19" s="682" customFormat="1" ht="24" customHeight="1">
      <c r="A3362" s="734"/>
      <c r="B3362" s="747"/>
      <c r="C3362" s="735"/>
      <c r="D3362" s="735"/>
      <c r="E3362" s="737">
        <f t="shared" si="800"/>
        <v>0</v>
      </c>
      <c r="F3362" s="738"/>
      <c r="G3362" s="739"/>
      <c r="H3362" s="748">
        <f t="shared" si="802"/>
        <v>0</v>
      </c>
      <c r="I3362" s="741"/>
      <c r="J3362" s="749">
        <f t="shared" si="803"/>
        <v>0</v>
      </c>
      <c r="K3362" s="739">
        <f t="shared" si="799"/>
        <v>0</v>
      </c>
      <c r="L3362" s="1079"/>
      <c r="M3362" s="679"/>
      <c r="N3362" s="744">
        <f t="shared" si="801"/>
        <v>0</v>
      </c>
      <c r="O3362" s="745">
        <v>0</v>
      </c>
      <c r="P3362" s="737">
        <v>0</v>
      </c>
      <c r="Q3362" s="679"/>
      <c r="R3362" s="679"/>
      <c r="S3362" s="679"/>
    </row>
    <row r="3363" spans="1:19" s="682" customFormat="1" ht="24" customHeight="1">
      <c r="A3363" s="734"/>
      <c r="B3363" s="747" t="s">
        <v>469</v>
      </c>
      <c r="C3363" s="735" t="s">
        <v>519</v>
      </c>
      <c r="D3363" s="735"/>
      <c r="E3363" s="737">
        <f t="shared" si="800"/>
        <v>1</v>
      </c>
      <c r="F3363" s="738" t="s">
        <v>363</v>
      </c>
      <c r="G3363" s="739">
        <v>800</v>
      </c>
      <c r="H3363" s="748">
        <f t="shared" si="802"/>
        <v>800</v>
      </c>
      <c r="I3363" s="741">
        <v>70</v>
      </c>
      <c r="J3363" s="749">
        <f t="shared" si="803"/>
        <v>70</v>
      </c>
      <c r="K3363" s="739">
        <f t="shared" si="799"/>
        <v>870</v>
      </c>
      <c r="L3363" s="1079"/>
      <c r="M3363" s="679"/>
      <c r="N3363" s="744">
        <f t="shared" si="801"/>
        <v>1</v>
      </c>
      <c r="O3363" s="745">
        <v>0</v>
      </c>
      <c r="P3363" s="737">
        <v>1</v>
      </c>
      <c r="Q3363" s="679"/>
      <c r="R3363" s="679"/>
      <c r="S3363" s="679"/>
    </row>
    <row r="3364" spans="1:19" s="682" customFormat="1" ht="24" customHeight="1">
      <c r="A3364" s="734"/>
      <c r="B3364" s="747" t="s">
        <v>469</v>
      </c>
      <c r="C3364" s="735" t="s">
        <v>520</v>
      </c>
      <c r="D3364" s="735"/>
      <c r="E3364" s="737">
        <f t="shared" si="800"/>
        <v>0</v>
      </c>
      <c r="F3364" s="738" t="s">
        <v>361</v>
      </c>
      <c r="G3364" s="739">
        <v>190</v>
      </c>
      <c r="H3364" s="748">
        <f t="shared" si="802"/>
        <v>0</v>
      </c>
      <c r="I3364" s="741">
        <v>75</v>
      </c>
      <c r="J3364" s="749">
        <f t="shared" si="803"/>
        <v>0</v>
      </c>
      <c r="K3364" s="739">
        <f t="shared" si="799"/>
        <v>0</v>
      </c>
      <c r="L3364" s="1079"/>
      <c r="M3364" s="679"/>
      <c r="N3364" s="744">
        <f t="shared" si="801"/>
        <v>0</v>
      </c>
      <c r="O3364" s="745">
        <v>0</v>
      </c>
      <c r="P3364" s="737">
        <v>0</v>
      </c>
      <c r="Q3364" s="679"/>
      <c r="R3364" s="679"/>
      <c r="S3364" s="679"/>
    </row>
    <row r="3365" spans="1:19" s="682" customFormat="1" ht="24" customHeight="1">
      <c r="A3365" s="734"/>
      <c r="B3365" s="747"/>
      <c r="C3365" s="735"/>
      <c r="D3365" s="735"/>
      <c r="E3365" s="737">
        <f t="shared" si="800"/>
        <v>0</v>
      </c>
      <c r="F3365" s="738"/>
      <c r="G3365" s="739"/>
      <c r="H3365" s="748">
        <f t="shared" si="802"/>
        <v>0</v>
      </c>
      <c r="I3365" s="741"/>
      <c r="J3365" s="749">
        <f t="shared" si="803"/>
        <v>0</v>
      </c>
      <c r="K3365" s="739">
        <f t="shared" si="799"/>
        <v>0</v>
      </c>
      <c r="L3365" s="1079"/>
      <c r="M3365" s="679"/>
      <c r="N3365" s="744">
        <f t="shared" si="801"/>
        <v>0</v>
      </c>
      <c r="O3365" s="745">
        <v>0</v>
      </c>
      <c r="P3365" s="737">
        <v>0</v>
      </c>
      <c r="Q3365" s="679"/>
      <c r="R3365" s="679"/>
      <c r="S3365" s="679"/>
    </row>
    <row r="3366" spans="1:19" s="753" customFormat="1" ht="24" customHeight="1">
      <c r="A3366" s="734"/>
      <c r="B3366" s="735" t="s">
        <v>1078</v>
      </c>
      <c r="C3366" s="735"/>
      <c r="D3366" s="735"/>
      <c r="E3366" s="737">
        <f t="shared" si="800"/>
        <v>0</v>
      </c>
      <c r="F3366" s="738"/>
      <c r="G3366" s="739">
        <v>0</v>
      </c>
      <c r="H3366" s="748">
        <f t="shared" si="802"/>
        <v>0</v>
      </c>
      <c r="I3366" s="741">
        <v>0</v>
      </c>
      <c r="J3366" s="749">
        <f t="shared" si="803"/>
        <v>0</v>
      </c>
      <c r="K3366" s="739">
        <f t="shared" si="799"/>
        <v>0</v>
      </c>
      <c r="L3366" s="1079"/>
      <c r="M3366" s="752"/>
      <c r="N3366" s="744">
        <f t="shared" si="801"/>
        <v>0</v>
      </c>
      <c r="O3366" s="745">
        <v>0</v>
      </c>
      <c r="P3366" s="737">
        <v>0</v>
      </c>
      <c r="Q3366" s="752"/>
      <c r="R3366" s="752"/>
      <c r="S3366" s="752"/>
    </row>
    <row r="3367" spans="1:19" s="753" customFormat="1" ht="24" customHeight="1">
      <c r="A3367" s="734"/>
      <c r="B3367" s="747" t="s">
        <v>469</v>
      </c>
      <c r="C3367" s="735" t="s">
        <v>522</v>
      </c>
      <c r="D3367" s="735"/>
      <c r="E3367" s="737">
        <f t="shared" si="800"/>
        <v>1</v>
      </c>
      <c r="F3367" s="738" t="s">
        <v>363</v>
      </c>
      <c r="G3367" s="739">
        <v>6832</v>
      </c>
      <c r="H3367" s="748">
        <f t="shared" si="802"/>
        <v>6832</v>
      </c>
      <c r="I3367" s="741">
        <v>450</v>
      </c>
      <c r="J3367" s="749">
        <f t="shared" si="803"/>
        <v>450</v>
      </c>
      <c r="K3367" s="739">
        <f t="shared" si="799"/>
        <v>7282</v>
      </c>
      <c r="L3367" s="1079"/>
      <c r="M3367" s="752"/>
      <c r="N3367" s="744">
        <f t="shared" si="801"/>
        <v>1</v>
      </c>
      <c r="O3367" s="745">
        <v>0</v>
      </c>
      <c r="P3367" s="737">
        <v>1</v>
      </c>
      <c r="Q3367" s="752"/>
      <c r="R3367" s="752"/>
      <c r="S3367" s="752"/>
    </row>
    <row r="3368" spans="1:19" s="753" customFormat="1" ht="24" customHeight="1">
      <c r="A3368" s="734"/>
      <c r="B3368" s="747" t="s">
        <v>469</v>
      </c>
      <c r="C3368" s="735" t="s">
        <v>498</v>
      </c>
      <c r="D3368" s="735"/>
      <c r="E3368" s="737">
        <f t="shared" si="800"/>
        <v>1</v>
      </c>
      <c r="F3368" s="738" t="s">
        <v>363</v>
      </c>
      <c r="G3368" s="739">
        <v>6640</v>
      </c>
      <c r="H3368" s="748">
        <f t="shared" si="802"/>
        <v>6640</v>
      </c>
      <c r="I3368" s="741">
        <v>200</v>
      </c>
      <c r="J3368" s="749">
        <f t="shared" si="803"/>
        <v>200</v>
      </c>
      <c r="K3368" s="739">
        <f t="shared" si="799"/>
        <v>6840</v>
      </c>
      <c r="L3368" s="1079"/>
      <c r="M3368" s="752"/>
      <c r="N3368" s="744">
        <f t="shared" si="801"/>
        <v>1</v>
      </c>
      <c r="O3368" s="745">
        <v>0</v>
      </c>
      <c r="P3368" s="737">
        <v>1</v>
      </c>
      <c r="Q3368" s="752"/>
      <c r="R3368" s="752"/>
      <c r="S3368" s="752"/>
    </row>
    <row r="3369" spans="1:19" s="753" customFormat="1" ht="24" customHeight="1">
      <c r="A3369" s="734"/>
      <c r="B3369" s="747" t="s">
        <v>469</v>
      </c>
      <c r="C3369" s="735" t="s">
        <v>476</v>
      </c>
      <c r="D3369" s="735"/>
      <c r="E3369" s="737">
        <f t="shared" si="800"/>
        <v>1</v>
      </c>
      <c r="F3369" s="738" t="s">
        <v>363</v>
      </c>
      <c r="G3369" s="739">
        <v>336</v>
      </c>
      <c r="H3369" s="748">
        <f t="shared" si="802"/>
        <v>336</v>
      </c>
      <c r="I3369" s="741">
        <v>0</v>
      </c>
      <c r="J3369" s="749">
        <f t="shared" si="803"/>
        <v>0</v>
      </c>
      <c r="K3369" s="739">
        <f t="shared" si="799"/>
        <v>336</v>
      </c>
      <c r="L3369" s="1079"/>
      <c r="M3369" s="752"/>
      <c r="N3369" s="744">
        <f t="shared" si="801"/>
        <v>1</v>
      </c>
      <c r="O3369" s="745">
        <v>0</v>
      </c>
      <c r="P3369" s="737">
        <v>1</v>
      </c>
      <c r="Q3369" s="752"/>
      <c r="R3369" s="752"/>
      <c r="S3369" s="752"/>
    </row>
    <row r="3370" spans="1:19" s="753" customFormat="1" ht="24" customHeight="1">
      <c r="A3370" s="734"/>
      <c r="B3370" s="747" t="s">
        <v>469</v>
      </c>
      <c r="C3370" s="735" t="s">
        <v>477</v>
      </c>
      <c r="D3370" s="735"/>
      <c r="E3370" s="737">
        <f t="shared" si="800"/>
        <v>1</v>
      </c>
      <c r="F3370" s="738" t="s">
        <v>363</v>
      </c>
      <c r="G3370" s="739">
        <v>736</v>
      </c>
      <c r="H3370" s="748">
        <f t="shared" si="802"/>
        <v>736</v>
      </c>
      <c r="I3370" s="741">
        <v>0</v>
      </c>
      <c r="J3370" s="749">
        <f t="shared" si="803"/>
        <v>0</v>
      </c>
      <c r="K3370" s="739">
        <f t="shared" si="799"/>
        <v>736</v>
      </c>
      <c r="L3370" s="1079"/>
      <c r="M3370" s="752"/>
      <c r="N3370" s="744">
        <f t="shared" si="801"/>
        <v>1</v>
      </c>
      <c r="O3370" s="745">
        <v>0</v>
      </c>
      <c r="P3370" s="737">
        <v>1</v>
      </c>
      <c r="Q3370" s="752"/>
      <c r="R3370" s="752"/>
      <c r="S3370" s="752"/>
    </row>
    <row r="3371" spans="1:19" s="753" customFormat="1" ht="24" customHeight="1">
      <c r="A3371" s="734"/>
      <c r="B3371" s="747" t="s">
        <v>469</v>
      </c>
      <c r="C3371" s="735" t="s">
        <v>478</v>
      </c>
      <c r="D3371" s="735"/>
      <c r="E3371" s="737">
        <f t="shared" si="800"/>
        <v>1</v>
      </c>
      <c r="F3371" s="738" t="s">
        <v>363</v>
      </c>
      <c r="G3371" s="739">
        <v>176</v>
      </c>
      <c r="H3371" s="748">
        <f t="shared" si="802"/>
        <v>176</v>
      </c>
      <c r="I3371" s="741">
        <v>0</v>
      </c>
      <c r="J3371" s="749">
        <f t="shared" si="803"/>
        <v>0</v>
      </c>
      <c r="K3371" s="739">
        <f t="shared" si="799"/>
        <v>176</v>
      </c>
      <c r="L3371" s="1079"/>
      <c r="M3371" s="752"/>
      <c r="N3371" s="744">
        <f t="shared" si="801"/>
        <v>1</v>
      </c>
      <c r="O3371" s="745">
        <v>0</v>
      </c>
      <c r="P3371" s="737">
        <v>1</v>
      </c>
      <c r="Q3371" s="752"/>
      <c r="R3371" s="752"/>
      <c r="S3371" s="752"/>
    </row>
    <row r="3372" spans="1:19" s="753" customFormat="1" ht="24" customHeight="1">
      <c r="A3372" s="734"/>
      <c r="B3372" s="747" t="s">
        <v>469</v>
      </c>
      <c r="C3372" s="735" t="s">
        <v>499</v>
      </c>
      <c r="D3372" s="735"/>
      <c r="E3372" s="737">
        <f t="shared" si="800"/>
        <v>1</v>
      </c>
      <c r="F3372" s="738" t="s">
        <v>363</v>
      </c>
      <c r="G3372" s="739">
        <v>216</v>
      </c>
      <c r="H3372" s="748">
        <f t="shared" si="802"/>
        <v>216</v>
      </c>
      <c r="I3372" s="741">
        <v>35</v>
      </c>
      <c r="J3372" s="749">
        <f t="shared" si="803"/>
        <v>35</v>
      </c>
      <c r="K3372" s="739">
        <f t="shared" si="799"/>
        <v>251</v>
      </c>
      <c r="L3372" s="1079"/>
      <c r="M3372" s="752"/>
      <c r="N3372" s="744">
        <f t="shared" si="801"/>
        <v>1</v>
      </c>
      <c r="O3372" s="745">
        <v>0</v>
      </c>
      <c r="P3372" s="737">
        <v>1</v>
      </c>
      <c r="Q3372" s="752"/>
      <c r="R3372" s="752"/>
      <c r="S3372" s="752"/>
    </row>
    <row r="3373" spans="1:19" s="753" customFormat="1" ht="24" customHeight="1">
      <c r="A3373" s="734"/>
      <c r="B3373" s="750"/>
      <c r="C3373" s="757"/>
      <c r="D3373" s="907"/>
      <c r="E3373" s="737">
        <f t="shared" si="800"/>
        <v>0</v>
      </c>
      <c r="F3373" s="738"/>
      <c r="G3373" s="739">
        <v>0</v>
      </c>
      <c r="H3373" s="748">
        <f t="shared" si="802"/>
        <v>0</v>
      </c>
      <c r="I3373" s="741">
        <v>0</v>
      </c>
      <c r="J3373" s="749">
        <f t="shared" si="803"/>
        <v>0</v>
      </c>
      <c r="K3373" s="739">
        <f t="shared" si="799"/>
        <v>0</v>
      </c>
      <c r="L3373" s="1079"/>
      <c r="M3373" s="752"/>
      <c r="N3373" s="744">
        <f t="shared" si="801"/>
        <v>0</v>
      </c>
      <c r="O3373" s="745">
        <v>0</v>
      </c>
      <c r="P3373" s="737">
        <v>0</v>
      </c>
      <c r="Q3373" s="752"/>
      <c r="R3373" s="752"/>
      <c r="S3373" s="752"/>
    </row>
    <row r="3374" spans="1:19" s="753" customFormat="1" ht="24" customHeight="1">
      <c r="A3374" s="734"/>
      <c r="B3374" s="747" t="s">
        <v>469</v>
      </c>
      <c r="C3374" s="735" t="s">
        <v>523</v>
      </c>
      <c r="D3374" s="735"/>
      <c r="E3374" s="737">
        <f t="shared" si="800"/>
        <v>1</v>
      </c>
      <c r="F3374" s="738" t="s">
        <v>363</v>
      </c>
      <c r="G3374" s="739">
        <v>6580</v>
      </c>
      <c r="H3374" s="748">
        <f t="shared" si="802"/>
        <v>6580</v>
      </c>
      <c r="I3374" s="741">
        <v>450</v>
      </c>
      <c r="J3374" s="749">
        <f t="shared" si="803"/>
        <v>450</v>
      </c>
      <c r="K3374" s="739">
        <f t="shared" si="799"/>
        <v>7030</v>
      </c>
      <c r="L3374" s="1079"/>
      <c r="M3374" s="752"/>
      <c r="N3374" s="744">
        <f t="shared" si="801"/>
        <v>1</v>
      </c>
      <c r="O3374" s="745">
        <v>0</v>
      </c>
      <c r="P3374" s="737">
        <v>1</v>
      </c>
      <c r="Q3374" s="752"/>
      <c r="R3374" s="752"/>
      <c r="S3374" s="752"/>
    </row>
    <row r="3375" spans="1:19" s="753" customFormat="1" ht="24" customHeight="1">
      <c r="A3375" s="734"/>
      <c r="B3375" s="747" t="s">
        <v>469</v>
      </c>
      <c r="C3375" s="735" t="s">
        <v>478</v>
      </c>
      <c r="D3375" s="735"/>
      <c r="E3375" s="737">
        <f t="shared" si="800"/>
        <v>1</v>
      </c>
      <c r="F3375" s="738" t="s">
        <v>363</v>
      </c>
      <c r="G3375" s="739">
        <v>176</v>
      </c>
      <c r="H3375" s="748">
        <f t="shared" si="802"/>
        <v>176</v>
      </c>
      <c r="I3375" s="741">
        <v>0</v>
      </c>
      <c r="J3375" s="749">
        <f t="shared" si="803"/>
        <v>0</v>
      </c>
      <c r="K3375" s="739">
        <f t="shared" si="799"/>
        <v>176</v>
      </c>
      <c r="L3375" s="1079"/>
      <c r="M3375" s="752"/>
      <c r="N3375" s="744">
        <f t="shared" si="801"/>
        <v>1</v>
      </c>
      <c r="O3375" s="745">
        <v>0</v>
      </c>
      <c r="P3375" s="737">
        <v>1</v>
      </c>
      <c r="Q3375" s="752"/>
      <c r="R3375" s="752"/>
      <c r="S3375" s="752"/>
    </row>
    <row r="3376" spans="1:19" s="753" customFormat="1" ht="24" customHeight="1">
      <c r="A3376" s="734"/>
      <c r="B3376" s="747" t="s">
        <v>469</v>
      </c>
      <c r="C3376" s="735" t="s">
        <v>482</v>
      </c>
      <c r="D3376" s="735"/>
      <c r="E3376" s="737">
        <f t="shared" si="800"/>
        <v>1</v>
      </c>
      <c r="F3376" s="738" t="s">
        <v>363</v>
      </c>
      <c r="G3376" s="739">
        <v>560</v>
      </c>
      <c r="H3376" s="748">
        <f t="shared" si="802"/>
        <v>560</v>
      </c>
      <c r="I3376" s="741">
        <v>35</v>
      </c>
      <c r="J3376" s="749">
        <f t="shared" si="803"/>
        <v>35</v>
      </c>
      <c r="K3376" s="739">
        <f t="shared" si="799"/>
        <v>595</v>
      </c>
      <c r="L3376" s="1079"/>
      <c r="M3376" s="752"/>
      <c r="N3376" s="744">
        <f t="shared" si="801"/>
        <v>1</v>
      </c>
      <c r="O3376" s="745">
        <v>0</v>
      </c>
      <c r="P3376" s="737">
        <v>1</v>
      </c>
      <c r="Q3376" s="752"/>
      <c r="R3376" s="752"/>
      <c r="S3376" s="752"/>
    </row>
    <row r="3377" spans="1:19" s="753" customFormat="1" ht="24" customHeight="1">
      <c r="A3377" s="734"/>
      <c r="B3377" s="747" t="s">
        <v>469</v>
      </c>
      <c r="C3377" s="735" t="s">
        <v>524</v>
      </c>
      <c r="D3377" s="735"/>
      <c r="E3377" s="737">
        <f t="shared" si="800"/>
        <v>1</v>
      </c>
      <c r="F3377" s="738" t="s">
        <v>363</v>
      </c>
      <c r="G3377" s="739">
        <v>216</v>
      </c>
      <c r="H3377" s="748">
        <f t="shared" si="802"/>
        <v>216</v>
      </c>
      <c r="I3377" s="741">
        <v>35</v>
      </c>
      <c r="J3377" s="749">
        <f t="shared" si="803"/>
        <v>35</v>
      </c>
      <c r="K3377" s="739">
        <f t="shared" si="799"/>
        <v>251</v>
      </c>
      <c r="L3377" s="1079"/>
      <c r="M3377" s="752"/>
      <c r="N3377" s="744">
        <f t="shared" si="801"/>
        <v>1</v>
      </c>
      <c r="O3377" s="745">
        <v>0</v>
      </c>
      <c r="P3377" s="737">
        <v>1</v>
      </c>
      <c r="Q3377" s="752"/>
      <c r="R3377" s="752"/>
      <c r="S3377" s="752"/>
    </row>
    <row r="3378" spans="1:19" s="753" customFormat="1" ht="24" customHeight="1">
      <c r="A3378" s="734"/>
      <c r="B3378" s="747"/>
      <c r="C3378" s="735"/>
      <c r="D3378" s="735"/>
      <c r="E3378" s="737">
        <f t="shared" si="800"/>
        <v>0</v>
      </c>
      <c r="F3378" s="738"/>
      <c r="G3378" s="739">
        <v>0</v>
      </c>
      <c r="H3378" s="748">
        <f t="shared" si="802"/>
        <v>0</v>
      </c>
      <c r="I3378" s="741">
        <v>0</v>
      </c>
      <c r="J3378" s="749">
        <f t="shared" si="803"/>
        <v>0</v>
      </c>
      <c r="K3378" s="739">
        <f t="shared" si="799"/>
        <v>0</v>
      </c>
      <c r="L3378" s="1079"/>
      <c r="M3378" s="752"/>
      <c r="N3378" s="744">
        <f t="shared" si="801"/>
        <v>0</v>
      </c>
      <c r="O3378" s="745">
        <v>0</v>
      </c>
      <c r="P3378" s="737">
        <v>0</v>
      </c>
      <c r="Q3378" s="752"/>
      <c r="R3378" s="752"/>
      <c r="S3378" s="752"/>
    </row>
    <row r="3379" spans="1:19" s="753" customFormat="1" ht="24" customHeight="1">
      <c r="A3379" s="734"/>
      <c r="B3379" s="747" t="s">
        <v>469</v>
      </c>
      <c r="C3379" s="735" t="s">
        <v>486</v>
      </c>
      <c r="D3379" s="735"/>
      <c r="E3379" s="737">
        <f t="shared" si="800"/>
        <v>1</v>
      </c>
      <c r="F3379" s="738" t="s">
        <v>363</v>
      </c>
      <c r="G3379" s="739">
        <v>552</v>
      </c>
      <c r="H3379" s="748">
        <f t="shared" si="802"/>
        <v>552</v>
      </c>
      <c r="I3379" s="741">
        <v>25</v>
      </c>
      <c r="J3379" s="749">
        <f t="shared" si="803"/>
        <v>25</v>
      </c>
      <c r="K3379" s="739">
        <f t="shared" si="799"/>
        <v>577</v>
      </c>
      <c r="L3379" s="1079"/>
      <c r="M3379" s="752"/>
      <c r="N3379" s="744">
        <f t="shared" si="801"/>
        <v>1</v>
      </c>
      <c r="O3379" s="745">
        <v>0</v>
      </c>
      <c r="P3379" s="737">
        <v>1</v>
      </c>
      <c r="Q3379" s="752"/>
      <c r="R3379" s="752"/>
      <c r="S3379" s="752"/>
    </row>
    <row r="3380" spans="1:19" s="753" customFormat="1" ht="24" customHeight="1">
      <c r="A3380" s="734"/>
      <c r="B3380" s="747" t="s">
        <v>484</v>
      </c>
      <c r="C3380" s="735" t="s">
        <v>485</v>
      </c>
      <c r="D3380" s="735"/>
      <c r="E3380" s="737">
        <f t="shared" si="800"/>
        <v>1</v>
      </c>
      <c r="F3380" s="738" t="s">
        <v>363</v>
      </c>
      <c r="G3380" s="739">
        <v>285</v>
      </c>
      <c r="H3380" s="748">
        <f t="shared" si="802"/>
        <v>285</v>
      </c>
      <c r="I3380" s="741">
        <v>75</v>
      </c>
      <c r="J3380" s="749">
        <f t="shared" si="803"/>
        <v>75</v>
      </c>
      <c r="K3380" s="739">
        <f t="shared" si="799"/>
        <v>360</v>
      </c>
      <c r="L3380" s="1093"/>
      <c r="M3380" s="752"/>
      <c r="N3380" s="744">
        <f t="shared" si="801"/>
        <v>1</v>
      </c>
      <c r="O3380" s="745">
        <v>0</v>
      </c>
      <c r="P3380" s="737">
        <v>1</v>
      </c>
      <c r="Q3380" s="752"/>
      <c r="R3380" s="752"/>
      <c r="S3380" s="752"/>
    </row>
    <row r="3381" spans="1:19" s="753" customFormat="1" ht="24" customHeight="1">
      <c r="A3381" s="734"/>
      <c r="B3381" s="747"/>
      <c r="C3381" s="735"/>
      <c r="D3381" s="735"/>
      <c r="E3381" s="737">
        <f t="shared" si="800"/>
        <v>0</v>
      </c>
      <c r="F3381" s="738"/>
      <c r="G3381" s="739">
        <v>0</v>
      </c>
      <c r="H3381" s="748">
        <f t="shared" si="802"/>
        <v>0</v>
      </c>
      <c r="I3381" s="741">
        <v>0</v>
      </c>
      <c r="J3381" s="749">
        <f t="shared" si="803"/>
        <v>0</v>
      </c>
      <c r="K3381" s="739">
        <f t="shared" si="799"/>
        <v>0</v>
      </c>
      <c r="L3381" s="1079"/>
      <c r="M3381" s="752"/>
      <c r="N3381" s="744">
        <f t="shared" si="801"/>
        <v>0</v>
      </c>
      <c r="O3381" s="745">
        <v>0</v>
      </c>
      <c r="P3381" s="737">
        <v>0</v>
      </c>
      <c r="Q3381" s="752"/>
      <c r="R3381" s="752"/>
      <c r="S3381" s="752"/>
    </row>
    <row r="3382" spans="1:19" s="753" customFormat="1" ht="24" customHeight="1">
      <c r="A3382" s="734"/>
      <c r="B3382" s="747" t="s">
        <v>469</v>
      </c>
      <c r="C3382" s="735" t="s">
        <v>507</v>
      </c>
      <c r="D3382" s="735"/>
      <c r="E3382" s="737">
        <f t="shared" si="800"/>
        <v>1</v>
      </c>
      <c r="F3382" s="738" t="s">
        <v>363</v>
      </c>
      <c r="G3382" s="739">
        <v>1650</v>
      </c>
      <c r="H3382" s="748">
        <f t="shared" si="802"/>
        <v>1650</v>
      </c>
      <c r="I3382" s="741">
        <v>70</v>
      </c>
      <c r="J3382" s="749">
        <f t="shared" si="803"/>
        <v>70</v>
      </c>
      <c r="K3382" s="739">
        <f t="shared" si="799"/>
        <v>1720</v>
      </c>
      <c r="L3382" s="1079"/>
      <c r="M3382" s="752"/>
      <c r="N3382" s="744">
        <f t="shared" si="801"/>
        <v>1</v>
      </c>
      <c r="O3382" s="745">
        <v>0</v>
      </c>
      <c r="P3382" s="737">
        <v>1</v>
      </c>
      <c r="Q3382" s="752"/>
      <c r="R3382" s="752"/>
      <c r="S3382" s="752"/>
    </row>
    <row r="3383" spans="1:19" s="753" customFormat="1" ht="24" customHeight="1">
      <c r="A3383" s="734"/>
      <c r="B3383" s="747" t="s">
        <v>469</v>
      </c>
      <c r="C3383" s="735" t="s">
        <v>525</v>
      </c>
      <c r="D3383" s="735"/>
      <c r="E3383" s="737">
        <f t="shared" si="800"/>
        <v>2</v>
      </c>
      <c r="F3383" s="738" t="s">
        <v>363</v>
      </c>
      <c r="G3383" s="739">
        <v>4160</v>
      </c>
      <c r="H3383" s="748">
        <f t="shared" si="802"/>
        <v>8320</v>
      </c>
      <c r="I3383" s="741">
        <v>105</v>
      </c>
      <c r="J3383" s="749">
        <f t="shared" si="803"/>
        <v>210</v>
      </c>
      <c r="K3383" s="739">
        <f t="shared" si="799"/>
        <v>8530</v>
      </c>
      <c r="L3383" s="1079"/>
      <c r="M3383" s="752"/>
      <c r="N3383" s="744">
        <f t="shared" si="801"/>
        <v>2</v>
      </c>
      <c r="O3383" s="745">
        <v>0</v>
      </c>
      <c r="P3383" s="737">
        <v>2</v>
      </c>
      <c r="Q3383" s="752"/>
      <c r="R3383" s="752"/>
      <c r="S3383" s="752"/>
    </row>
    <row r="3384" spans="1:19" s="753" customFormat="1" ht="24" customHeight="1">
      <c r="A3384" s="734"/>
      <c r="B3384" s="747" t="s">
        <v>469</v>
      </c>
      <c r="C3384" s="735" t="s">
        <v>526</v>
      </c>
      <c r="D3384" s="735"/>
      <c r="E3384" s="737">
        <f t="shared" si="800"/>
        <v>1</v>
      </c>
      <c r="F3384" s="738" t="s">
        <v>363</v>
      </c>
      <c r="G3384" s="739">
        <v>2533.5</v>
      </c>
      <c r="H3384" s="748">
        <f t="shared" si="802"/>
        <v>2533.5</v>
      </c>
      <c r="I3384" s="741">
        <v>105</v>
      </c>
      <c r="J3384" s="749">
        <f t="shared" si="803"/>
        <v>105</v>
      </c>
      <c r="K3384" s="739">
        <f t="shared" si="799"/>
        <v>2638.5</v>
      </c>
      <c r="L3384" s="1079"/>
      <c r="M3384" s="752"/>
      <c r="N3384" s="744">
        <f t="shared" si="801"/>
        <v>1</v>
      </c>
      <c r="O3384" s="745">
        <v>0</v>
      </c>
      <c r="P3384" s="737">
        <v>1</v>
      </c>
      <c r="Q3384" s="752"/>
      <c r="R3384" s="752"/>
      <c r="S3384" s="752"/>
    </row>
    <row r="3385" spans="1:19" s="753" customFormat="1" ht="24" customHeight="1">
      <c r="A3385" s="734"/>
      <c r="B3385" s="747"/>
      <c r="C3385" s="735"/>
      <c r="D3385" s="735"/>
      <c r="E3385" s="737">
        <f t="shared" si="800"/>
        <v>0</v>
      </c>
      <c r="F3385" s="738"/>
      <c r="G3385" s="739">
        <v>0</v>
      </c>
      <c r="H3385" s="748">
        <f t="shared" si="802"/>
        <v>0</v>
      </c>
      <c r="I3385" s="741">
        <v>0</v>
      </c>
      <c r="J3385" s="749">
        <f t="shared" si="803"/>
        <v>0</v>
      </c>
      <c r="K3385" s="739">
        <f t="shared" si="799"/>
        <v>0</v>
      </c>
      <c r="L3385" s="1079"/>
      <c r="M3385" s="752"/>
      <c r="N3385" s="744">
        <f t="shared" si="801"/>
        <v>0</v>
      </c>
      <c r="O3385" s="745">
        <v>0</v>
      </c>
      <c r="P3385" s="737">
        <v>0</v>
      </c>
      <c r="Q3385" s="752"/>
      <c r="R3385" s="752"/>
      <c r="S3385" s="752"/>
    </row>
    <row r="3386" spans="1:19" s="753" customFormat="1" ht="24" customHeight="1">
      <c r="A3386" s="734"/>
      <c r="B3386" s="747" t="s">
        <v>469</v>
      </c>
      <c r="C3386" s="735" t="s">
        <v>527</v>
      </c>
      <c r="D3386" s="735"/>
      <c r="E3386" s="737">
        <f t="shared" si="800"/>
        <v>1</v>
      </c>
      <c r="F3386" s="738" t="s">
        <v>363</v>
      </c>
      <c r="G3386" s="739">
        <v>2855</v>
      </c>
      <c r="H3386" s="748">
        <f t="shared" si="802"/>
        <v>2855</v>
      </c>
      <c r="I3386" s="741">
        <v>1432</v>
      </c>
      <c r="J3386" s="749">
        <f t="shared" si="803"/>
        <v>1432</v>
      </c>
      <c r="K3386" s="739">
        <f t="shared" si="799"/>
        <v>4287</v>
      </c>
      <c r="L3386" s="1079"/>
      <c r="M3386" s="752"/>
      <c r="N3386" s="744">
        <f t="shared" si="801"/>
        <v>1</v>
      </c>
      <c r="O3386" s="745">
        <v>0</v>
      </c>
      <c r="P3386" s="737">
        <v>1</v>
      </c>
      <c r="Q3386" s="752"/>
      <c r="R3386" s="752"/>
      <c r="S3386" s="752"/>
    </row>
    <row r="3387" spans="1:19" s="682" customFormat="1" ht="24" customHeight="1">
      <c r="A3387" s="734"/>
      <c r="B3387" s="747" t="s">
        <v>469</v>
      </c>
      <c r="C3387" s="735" t="s">
        <v>528</v>
      </c>
      <c r="D3387" s="735"/>
      <c r="E3387" s="737">
        <f t="shared" si="800"/>
        <v>0</v>
      </c>
      <c r="F3387" s="738" t="s">
        <v>363</v>
      </c>
      <c r="G3387" s="739">
        <v>9750</v>
      </c>
      <c r="H3387" s="748">
        <f t="shared" si="802"/>
        <v>0</v>
      </c>
      <c r="I3387" s="741">
        <v>105</v>
      </c>
      <c r="J3387" s="749">
        <f t="shared" si="803"/>
        <v>0</v>
      </c>
      <c r="K3387" s="739">
        <f t="shared" ref="K3387:K3394" si="804">SUM(H3387+J3387)</f>
        <v>0</v>
      </c>
      <c r="L3387" s="1079"/>
      <c r="M3387" s="679"/>
      <c r="N3387" s="744">
        <f t="shared" si="801"/>
        <v>0</v>
      </c>
      <c r="O3387" s="745">
        <v>0</v>
      </c>
      <c r="P3387" s="737">
        <v>0</v>
      </c>
      <c r="Q3387" s="679"/>
      <c r="R3387" s="679"/>
      <c r="S3387" s="679"/>
    </row>
    <row r="3388" spans="1:19" s="682" customFormat="1" ht="24" customHeight="1">
      <c r="A3388" s="734"/>
      <c r="B3388" s="747" t="s">
        <v>469</v>
      </c>
      <c r="C3388" s="735" t="s">
        <v>529</v>
      </c>
      <c r="D3388" s="735"/>
      <c r="E3388" s="737">
        <f t="shared" si="800"/>
        <v>0</v>
      </c>
      <c r="F3388" s="738" t="s">
        <v>363</v>
      </c>
      <c r="G3388" s="739">
        <v>5200</v>
      </c>
      <c r="H3388" s="748">
        <f t="shared" si="802"/>
        <v>0</v>
      </c>
      <c r="I3388" s="741">
        <v>70</v>
      </c>
      <c r="J3388" s="749">
        <f t="shared" si="803"/>
        <v>0</v>
      </c>
      <c r="K3388" s="739">
        <f t="shared" si="804"/>
        <v>0</v>
      </c>
      <c r="L3388" s="1079"/>
      <c r="M3388" s="679"/>
      <c r="N3388" s="744">
        <f t="shared" si="801"/>
        <v>0</v>
      </c>
      <c r="O3388" s="745">
        <v>0</v>
      </c>
      <c r="P3388" s="737">
        <v>0</v>
      </c>
      <c r="Q3388" s="679"/>
      <c r="R3388" s="679"/>
      <c r="S3388" s="679"/>
    </row>
    <row r="3389" spans="1:19" s="682" customFormat="1" ht="24" customHeight="1">
      <c r="A3389" s="734"/>
      <c r="B3389" s="747" t="s">
        <v>469</v>
      </c>
      <c r="C3389" s="735" t="s">
        <v>519</v>
      </c>
      <c r="D3389" s="735"/>
      <c r="E3389" s="737">
        <f t="shared" si="800"/>
        <v>1</v>
      </c>
      <c r="F3389" s="738" t="s">
        <v>363</v>
      </c>
      <c r="G3389" s="739">
        <v>800</v>
      </c>
      <c r="H3389" s="748">
        <f t="shared" si="802"/>
        <v>800</v>
      </c>
      <c r="I3389" s="741">
        <v>70</v>
      </c>
      <c r="J3389" s="749">
        <f t="shared" si="803"/>
        <v>70</v>
      </c>
      <c r="K3389" s="739">
        <f t="shared" si="804"/>
        <v>870</v>
      </c>
      <c r="L3389" s="1079"/>
      <c r="M3389" s="679"/>
      <c r="N3389" s="744">
        <f t="shared" si="801"/>
        <v>1</v>
      </c>
      <c r="O3389" s="745">
        <v>0</v>
      </c>
      <c r="P3389" s="737">
        <v>1</v>
      </c>
      <c r="Q3389" s="679"/>
      <c r="R3389" s="679"/>
      <c r="S3389" s="679"/>
    </row>
    <row r="3390" spans="1:19" s="682" customFormat="1" ht="24" customHeight="1">
      <c r="A3390" s="734"/>
      <c r="B3390" s="747" t="s">
        <v>469</v>
      </c>
      <c r="C3390" s="735" t="s">
        <v>520</v>
      </c>
      <c r="D3390" s="735"/>
      <c r="E3390" s="737">
        <f t="shared" ref="E3390:E3394" si="805">+N3390</f>
        <v>0</v>
      </c>
      <c r="F3390" s="738" t="s">
        <v>361</v>
      </c>
      <c r="G3390" s="739">
        <v>190</v>
      </c>
      <c r="H3390" s="748">
        <f t="shared" si="802"/>
        <v>0</v>
      </c>
      <c r="I3390" s="741">
        <v>75</v>
      </c>
      <c r="J3390" s="749">
        <f t="shared" si="803"/>
        <v>0</v>
      </c>
      <c r="K3390" s="739">
        <f t="shared" si="804"/>
        <v>0</v>
      </c>
      <c r="L3390" s="1079"/>
      <c r="M3390" s="679"/>
      <c r="N3390" s="744">
        <f t="shared" si="801"/>
        <v>0</v>
      </c>
      <c r="O3390" s="745">
        <v>0</v>
      </c>
      <c r="P3390" s="737">
        <v>0</v>
      </c>
      <c r="Q3390" s="679"/>
      <c r="R3390" s="679"/>
      <c r="S3390" s="679"/>
    </row>
    <row r="3391" spans="1:19" s="753" customFormat="1" ht="24" customHeight="1">
      <c r="A3391" s="734"/>
      <c r="B3391" s="747"/>
      <c r="C3391" s="735"/>
      <c r="D3391" s="735"/>
      <c r="E3391" s="737">
        <f t="shared" si="805"/>
        <v>0</v>
      </c>
      <c r="F3391" s="738"/>
      <c r="G3391" s="739">
        <v>0</v>
      </c>
      <c r="H3391" s="748">
        <f t="shared" si="802"/>
        <v>0</v>
      </c>
      <c r="I3391" s="741">
        <v>0</v>
      </c>
      <c r="J3391" s="749">
        <f t="shared" si="803"/>
        <v>0</v>
      </c>
      <c r="K3391" s="739">
        <f t="shared" si="804"/>
        <v>0</v>
      </c>
      <c r="L3391" s="1079"/>
      <c r="M3391" s="752"/>
      <c r="N3391" s="758">
        <f t="shared" si="801"/>
        <v>0</v>
      </c>
      <c r="O3391" s="745">
        <v>0</v>
      </c>
      <c r="P3391" s="759">
        <v>0</v>
      </c>
      <c r="Q3391" s="752"/>
      <c r="R3391" s="752"/>
      <c r="S3391" s="752"/>
    </row>
    <row r="3392" spans="1:19" s="753" customFormat="1" ht="24" customHeight="1">
      <c r="A3392" s="734"/>
      <c r="B3392" s="751" t="s">
        <v>1092</v>
      </c>
      <c r="C3392" s="735"/>
      <c r="D3392" s="735"/>
      <c r="E3392" s="737">
        <f t="shared" si="805"/>
        <v>0</v>
      </c>
      <c r="F3392" s="738"/>
      <c r="G3392" s="739">
        <v>0</v>
      </c>
      <c r="H3392" s="748">
        <f t="shared" si="802"/>
        <v>0</v>
      </c>
      <c r="I3392" s="741">
        <v>0</v>
      </c>
      <c r="J3392" s="749">
        <f t="shared" si="803"/>
        <v>0</v>
      </c>
      <c r="K3392" s="739">
        <f t="shared" si="804"/>
        <v>0</v>
      </c>
      <c r="L3392" s="1079"/>
      <c r="M3392" s="752"/>
      <c r="N3392" s="744">
        <f t="shared" si="801"/>
        <v>0</v>
      </c>
      <c r="O3392" s="745">
        <v>0</v>
      </c>
      <c r="P3392" s="737">
        <v>0</v>
      </c>
      <c r="Q3392" s="752"/>
      <c r="R3392" s="752"/>
      <c r="S3392" s="752"/>
    </row>
    <row r="3393" spans="1:19" s="753" customFormat="1" ht="24" customHeight="1">
      <c r="A3393" s="734"/>
      <c r="B3393" s="747" t="s">
        <v>469</v>
      </c>
      <c r="C3393" s="735" t="s">
        <v>486</v>
      </c>
      <c r="D3393" s="735"/>
      <c r="E3393" s="737">
        <f t="shared" si="805"/>
        <v>1</v>
      </c>
      <c r="F3393" s="738" t="s">
        <v>363</v>
      </c>
      <c r="G3393" s="739">
        <v>552</v>
      </c>
      <c r="H3393" s="748">
        <f t="shared" si="802"/>
        <v>552</v>
      </c>
      <c r="I3393" s="741">
        <v>25</v>
      </c>
      <c r="J3393" s="749">
        <f t="shared" si="803"/>
        <v>25</v>
      </c>
      <c r="K3393" s="739">
        <f t="shared" si="804"/>
        <v>577</v>
      </c>
      <c r="L3393" s="1079"/>
      <c r="M3393" s="752"/>
      <c r="N3393" s="744">
        <f t="shared" si="801"/>
        <v>1</v>
      </c>
      <c r="O3393" s="745">
        <v>0</v>
      </c>
      <c r="P3393" s="737">
        <v>1</v>
      </c>
      <c r="Q3393" s="752"/>
      <c r="R3393" s="752"/>
      <c r="S3393" s="752"/>
    </row>
    <row r="3394" spans="1:19" s="753" customFormat="1" ht="24" customHeight="1">
      <c r="A3394" s="734"/>
      <c r="B3394" s="747" t="s">
        <v>484</v>
      </c>
      <c r="C3394" s="735" t="s">
        <v>485</v>
      </c>
      <c r="D3394" s="735"/>
      <c r="E3394" s="737">
        <f t="shared" si="805"/>
        <v>1</v>
      </c>
      <c r="F3394" s="738" t="s">
        <v>363</v>
      </c>
      <c r="G3394" s="739">
        <v>285</v>
      </c>
      <c r="H3394" s="748">
        <f t="shared" si="802"/>
        <v>285</v>
      </c>
      <c r="I3394" s="741">
        <v>75</v>
      </c>
      <c r="J3394" s="749">
        <f t="shared" si="803"/>
        <v>75</v>
      </c>
      <c r="K3394" s="739">
        <f t="shared" si="804"/>
        <v>360</v>
      </c>
      <c r="L3394" s="1093"/>
      <c r="M3394" s="752"/>
      <c r="N3394" s="744">
        <f t="shared" si="801"/>
        <v>1</v>
      </c>
      <c r="O3394" s="745">
        <v>0</v>
      </c>
      <c r="P3394" s="737">
        <v>1</v>
      </c>
      <c r="Q3394" s="752"/>
      <c r="R3394" s="752"/>
      <c r="S3394" s="752"/>
    </row>
    <row r="3395" spans="1:19" s="753" customFormat="1" ht="24" customHeight="1">
      <c r="A3395" s="734"/>
      <c r="B3395" s="747"/>
      <c r="C3395" s="735"/>
      <c r="D3395" s="735"/>
      <c r="E3395" s="737"/>
      <c r="F3395" s="738"/>
      <c r="G3395" s="739"/>
      <c r="H3395" s="748"/>
      <c r="I3395" s="741"/>
      <c r="J3395" s="749"/>
      <c r="K3395" s="739"/>
      <c r="L3395" s="1093"/>
      <c r="M3395" s="752"/>
      <c r="N3395" s="744">
        <f t="shared" si="801"/>
        <v>0</v>
      </c>
      <c r="O3395" s="745">
        <v>0</v>
      </c>
      <c r="P3395" s="737">
        <v>0</v>
      </c>
      <c r="Q3395" s="752"/>
      <c r="R3395" s="752"/>
      <c r="S3395" s="752"/>
    </row>
    <row r="3396" spans="1:19" s="753" customFormat="1" ht="24" customHeight="1">
      <c r="A3396" s="734"/>
      <c r="B3396" s="747"/>
      <c r="C3396" s="735"/>
      <c r="D3396" s="735"/>
      <c r="E3396" s="737"/>
      <c r="F3396" s="738"/>
      <c r="G3396" s="739"/>
      <c r="H3396" s="748"/>
      <c r="I3396" s="741"/>
      <c r="J3396" s="749"/>
      <c r="K3396" s="739"/>
      <c r="L3396" s="1093"/>
      <c r="M3396" s="752"/>
      <c r="N3396" s="744"/>
      <c r="O3396" s="745"/>
      <c r="P3396" s="737"/>
      <c r="Q3396" s="752"/>
      <c r="R3396" s="752"/>
      <c r="S3396" s="752"/>
    </row>
    <row r="3397" spans="1:19" s="760" customFormat="1" ht="23.4">
      <c r="A3397" s="734" t="s">
        <v>762</v>
      </c>
      <c r="B3397" s="761" t="s">
        <v>537</v>
      </c>
      <c r="C3397" s="736"/>
      <c r="D3397" s="907"/>
      <c r="E3397" s="737"/>
      <c r="F3397" s="738"/>
      <c r="G3397" s="739">
        <v>0</v>
      </c>
      <c r="H3397" s="748">
        <f t="shared" ref="H3397:H3461" si="806">SUM(E3397*G3397)</f>
        <v>0</v>
      </c>
      <c r="I3397" s="741">
        <v>0</v>
      </c>
      <c r="J3397" s="749">
        <f t="shared" ref="J3397:J3439" si="807">SUM(E3397*I3397)</f>
        <v>0</v>
      </c>
      <c r="K3397" s="739">
        <f t="shared" ref="K3397:K3461" si="808">SUM(H3397+J3397)</f>
        <v>0</v>
      </c>
      <c r="L3397" s="1079"/>
      <c r="M3397" s="683"/>
      <c r="N3397" s="744">
        <f t="shared" si="801"/>
        <v>0</v>
      </c>
      <c r="O3397" s="745">
        <v>0</v>
      </c>
      <c r="P3397" s="737">
        <v>0</v>
      </c>
      <c r="Q3397" s="683"/>
      <c r="R3397" s="683"/>
      <c r="S3397" s="683"/>
    </row>
    <row r="3398" spans="1:19" s="753" customFormat="1" ht="24" customHeight="1">
      <c r="A3398" s="734"/>
      <c r="B3398" s="735" t="s">
        <v>1072</v>
      </c>
      <c r="C3398" s="736"/>
      <c r="D3398" s="907"/>
      <c r="E3398" s="737"/>
      <c r="F3398" s="738"/>
      <c r="G3398" s="739">
        <v>0</v>
      </c>
      <c r="H3398" s="748">
        <f t="shared" si="806"/>
        <v>0</v>
      </c>
      <c r="I3398" s="741">
        <v>0</v>
      </c>
      <c r="J3398" s="749">
        <f t="shared" si="807"/>
        <v>0</v>
      </c>
      <c r="K3398" s="739">
        <f t="shared" si="808"/>
        <v>0</v>
      </c>
      <c r="L3398" s="1079"/>
      <c r="M3398" s="752"/>
      <c r="N3398" s="744"/>
      <c r="O3398" s="745"/>
      <c r="P3398" s="737"/>
      <c r="Q3398" s="752"/>
      <c r="R3398" s="752"/>
      <c r="S3398" s="752"/>
    </row>
    <row r="3399" spans="1:19" s="753" customFormat="1" ht="24" customHeight="1">
      <c r="A3399" s="734"/>
      <c r="B3399" s="747" t="s">
        <v>469</v>
      </c>
      <c r="C3399" s="735" t="s">
        <v>497</v>
      </c>
      <c r="D3399" s="735"/>
      <c r="E3399" s="737">
        <f>+N3399</f>
        <v>4</v>
      </c>
      <c r="F3399" s="738" t="s">
        <v>363</v>
      </c>
      <c r="G3399" s="739">
        <v>1540</v>
      </c>
      <c r="H3399" s="748">
        <f t="shared" si="806"/>
        <v>6160</v>
      </c>
      <c r="I3399" s="741">
        <v>450</v>
      </c>
      <c r="J3399" s="749">
        <f t="shared" si="807"/>
        <v>1800</v>
      </c>
      <c r="K3399" s="739">
        <f t="shared" si="808"/>
        <v>7960</v>
      </c>
      <c r="L3399" s="1079"/>
      <c r="M3399" s="752"/>
      <c r="N3399" s="744">
        <f t="shared" ref="N3399:N3405" si="809">+(1+O3399)*P3399</f>
        <v>4</v>
      </c>
      <c r="O3399" s="745">
        <v>0</v>
      </c>
      <c r="P3399" s="737">
        <v>4</v>
      </c>
      <c r="Q3399" s="752"/>
      <c r="R3399" s="752"/>
      <c r="S3399" s="752"/>
    </row>
    <row r="3400" spans="1:19" s="753" customFormat="1" ht="24" customHeight="1">
      <c r="A3400" s="734"/>
      <c r="B3400" s="747" t="s">
        <v>469</v>
      </c>
      <c r="C3400" s="735" t="s">
        <v>498</v>
      </c>
      <c r="D3400" s="735"/>
      <c r="E3400" s="737">
        <f t="shared" ref="E3400:E3464" si="810">+N3400</f>
        <v>4</v>
      </c>
      <c r="F3400" s="738" t="s">
        <v>363</v>
      </c>
      <c r="G3400" s="739">
        <v>6640</v>
      </c>
      <c r="H3400" s="748">
        <f t="shared" si="806"/>
        <v>26560</v>
      </c>
      <c r="I3400" s="741">
        <v>200</v>
      </c>
      <c r="J3400" s="749">
        <f t="shared" si="807"/>
        <v>800</v>
      </c>
      <c r="K3400" s="739">
        <f t="shared" si="808"/>
        <v>27360</v>
      </c>
      <c r="L3400" s="1079"/>
      <c r="M3400" s="752"/>
      <c r="N3400" s="744">
        <f t="shared" si="809"/>
        <v>4</v>
      </c>
      <c r="O3400" s="745">
        <v>0</v>
      </c>
      <c r="P3400" s="737">
        <v>4</v>
      </c>
      <c r="Q3400" s="752"/>
      <c r="R3400" s="752"/>
      <c r="S3400" s="752"/>
    </row>
    <row r="3401" spans="1:19" s="753" customFormat="1" ht="24" customHeight="1">
      <c r="A3401" s="734"/>
      <c r="B3401" s="747" t="s">
        <v>469</v>
      </c>
      <c r="C3401" s="735" t="s">
        <v>496</v>
      </c>
      <c r="D3401" s="735"/>
      <c r="E3401" s="737">
        <f t="shared" si="810"/>
        <v>4</v>
      </c>
      <c r="F3401" s="738" t="s">
        <v>363</v>
      </c>
      <c r="G3401" s="739">
        <v>336</v>
      </c>
      <c r="H3401" s="748">
        <f t="shared" si="806"/>
        <v>1344</v>
      </c>
      <c r="I3401" s="741">
        <v>0</v>
      </c>
      <c r="J3401" s="749">
        <f t="shared" si="807"/>
        <v>0</v>
      </c>
      <c r="K3401" s="739">
        <f t="shared" si="808"/>
        <v>1344</v>
      </c>
      <c r="L3401" s="1079"/>
      <c r="M3401" s="752"/>
      <c r="N3401" s="744">
        <f t="shared" si="809"/>
        <v>4</v>
      </c>
      <c r="O3401" s="745">
        <v>0</v>
      </c>
      <c r="P3401" s="737">
        <v>4</v>
      </c>
      <c r="Q3401" s="752"/>
      <c r="R3401" s="752"/>
      <c r="S3401" s="752"/>
    </row>
    <row r="3402" spans="1:19" s="753" customFormat="1" ht="24" customHeight="1">
      <c r="A3402" s="734"/>
      <c r="B3402" s="747" t="s">
        <v>469</v>
      </c>
      <c r="C3402" s="735" t="s">
        <v>490</v>
      </c>
      <c r="D3402" s="735"/>
      <c r="E3402" s="737">
        <f t="shared" si="810"/>
        <v>4</v>
      </c>
      <c r="F3402" s="738" t="s">
        <v>363</v>
      </c>
      <c r="G3402" s="739">
        <v>736</v>
      </c>
      <c r="H3402" s="748">
        <f t="shared" si="806"/>
        <v>2944</v>
      </c>
      <c r="I3402" s="741">
        <v>0</v>
      </c>
      <c r="J3402" s="749">
        <f t="shared" si="807"/>
        <v>0</v>
      </c>
      <c r="K3402" s="739">
        <f t="shared" si="808"/>
        <v>2944</v>
      </c>
      <c r="L3402" s="1079"/>
      <c r="M3402" s="752"/>
      <c r="N3402" s="744">
        <f t="shared" si="809"/>
        <v>4</v>
      </c>
      <c r="O3402" s="745">
        <v>0</v>
      </c>
      <c r="P3402" s="737">
        <v>4</v>
      </c>
      <c r="Q3402" s="752"/>
      <c r="R3402" s="752"/>
      <c r="S3402" s="752"/>
    </row>
    <row r="3403" spans="1:19" s="753" customFormat="1" ht="24" customHeight="1">
      <c r="A3403" s="734"/>
      <c r="B3403" s="747" t="s">
        <v>469</v>
      </c>
      <c r="C3403" s="735" t="s">
        <v>478</v>
      </c>
      <c r="D3403" s="735"/>
      <c r="E3403" s="737">
        <f t="shared" si="810"/>
        <v>4</v>
      </c>
      <c r="F3403" s="738" t="s">
        <v>363</v>
      </c>
      <c r="G3403" s="739">
        <v>176</v>
      </c>
      <c r="H3403" s="748">
        <f t="shared" si="806"/>
        <v>704</v>
      </c>
      <c r="I3403" s="741">
        <v>0</v>
      </c>
      <c r="J3403" s="749">
        <f t="shared" si="807"/>
        <v>0</v>
      </c>
      <c r="K3403" s="739">
        <f t="shared" si="808"/>
        <v>704</v>
      </c>
      <c r="L3403" s="1079"/>
      <c r="M3403" s="752"/>
      <c r="N3403" s="744">
        <f t="shared" si="809"/>
        <v>4</v>
      </c>
      <c r="O3403" s="745">
        <v>0</v>
      </c>
      <c r="P3403" s="737">
        <v>4</v>
      </c>
      <c r="Q3403" s="752"/>
      <c r="R3403" s="752"/>
      <c r="S3403" s="752"/>
    </row>
    <row r="3404" spans="1:19" s="753" customFormat="1" ht="24" customHeight="1">
      <c r="A3404" s="734"/>
      <c r="B3404" s="747" t="s">
        <v>469</v>
      </c>
      <c r="C3404" s="735" t="s">
        <v>499</v>
      </c>
      <c r="D3404" s="735"/>
      <c r="E3404" s="737">
        <f t="shared" si="810"/>
        <v>4</v>
      </c>
      <c r="F3404" s="738" t="s">
        <v>363</v>
      </c>
      <c r="G3404" s="739">
        <v>216</v>
      </c>
      <c r="H3404" s="748">
        <f t="shared" si="806"/>
        <v>864</v>
      </c>
      <c r="I3404" s="741">
        <v>35</v>
      </c>
      <c r="J3404" s="749">
        <f t="shared" si="807"/>
        <v>140</v>
      </c>
      <c r="K3404" s="739">
        <f t="shared" si="808"/>
        <v>1004</v>
      </c>
      <c r="L3404" s="1079"/>
      <c r="M3404" s="752"/>
      <c r="N3404" s="744">
        <f t="shared" si="809"/>
        <v>4</v>
      </c>
      <c r="O3404" s="745">
        <v>0</v>
      </c>
      <c r="P3404" s="737">
        <v>4</v>
      </c>
      <c r="Q3404" s="752"/>
      <c r="R3404" s="752"/>
      <c r="S3404" s="752"/>
    </row>
    <row r="3405" spans="1:19" s="753" customFormat="1" ht="24" customHeight="1">
      <c r="A3405" s="734"/>
      <c r="B3405" s="750"/>
      <c r="C3405" s="736"/>
      <c r="D3405" s="907"/>
      <c r="E3405" s="737">
        <f t="shared" si="810"/>
        <v>0</v>
      </c>
      <c r="F3405" s="738"/>
      <c r="G3405" s="739">
        <v>0</v>
      </c>
      <c r="H3405" s="748">
        <f t="shared" si="806"/>
        <v>0</v>
      </c>
      <c r="I3405" s="741">
        <v>0</v>
      </c>
      <c r="J3405" s="749">
        <f t="shared" si="807"/>
        <v>0</v>
      </c>
      <c r="K3405" s="739">
        <f t="shared" si="808"/>
        <v>0</v>
      </c>
      <c r="L3405" s="1079"/>
      <c r="M3405" s="752"/>
      <c r="N3405" s="744">
        <f t="shared" si="809"/>
        <v>0</v>
      </c>
      <c r="O3405" s="745">
        <v>0</v>
      </c>
      <c r="P3405" s="737">
        <v>0</v>
      </c>
      <c r="Q3405" s="752"/>
      <c r="R3405" s="752"/>
      <c r="S3405" s="752"/>
    </row>
    <row r="3406" spans="1:19" s="753" customFormat="1" ht="24" customHeight="1">
      <c r="A3406" s="734"/>
      <c r="B3406" s="747" t="s">
        <v>469</v>
      </c>
      <c r="C3406" s="735" t="s">
        <v>492</v>
      </c>
      <c r="D3406" s="735"/>
      <c r="E3406" s="737">
        <f t="shared" si="810"/>
        <v>5</v>
      </c>
      <c r="F3406" s="738" t="s">
        <v>363</v>
      </c>
      <c r="G3406" s="739">
        <v>9375</v>
      </c>
      <c r="H3406" s="748">
        <f t="shared" si="806"/>
        <v>46875</v>
      </c>
      <c r="I3406" s="741">
        <v>450</v>
      </c>
      <c r="J3406" s="749">
        <f t="shared" si="807"/>
        <v>2250</v>
      </c>
      <c r="K3406" s="739">
        <f t="shared" si="808"/>
        <v>49125</v>
      </c>
      <c r="L3406" s="1079"/>
      <c r="M3406" s="752"/>
      <c r="N3406" s="744">
        <f>+(1+O3406)*P3406</f>
        <v>5</v>
      </c>
      <c r="O3406" s="745">
        <v>0</v>
      </c>
      <c r="P3406" s="737">
        <v>5</v>
      </c>
      <c r="Q3406" s="752"/>
      <c r="R3406" s="752"/>
      <c r="S3406" s="752"/>
    </row>
    <row r="3407" spans="1:19" s="753" customFormat="1" ht="24" customHeight="1">
      <c r="A3407" s="734"/>
      <c r="B3407" s="747" t="s">
        <v>469</v>
      </c>
      <c r="C3407" s="735" t="s">
        <v>500</v>
      </c>
      <c r="D3407" s="735"/>
      <c r="E3407" s="737">
        <f t="shared" si="810"/>
        <v>5</v>
      </c>
      <c r="F3407" s="738" t="s">
        <v>363</v>
      </c>
      <c r="G3407" s="739">
        <v>12752</v>
      </c>
      <c r="H3407" s="748">
        <f t="shared" si="806"/>
        <v>63760</v>
      </c>
      <c r="I3407" s="741">
        <v>0</v>
      </c>
      <c r="J3407" s="749">
        <f t="shared" si="807"/>
        <v>0</v>
      </c>
      <c r="K3407" s="739">
        <f t="shared" si="808"/>
        <v>63760</v>
      </c>
      <c r="L3407" s="1079"/>
      <c r="M3407" s="752"/>
      <c r="N3407" s="744">
        <f t="shared" ref="N3407:N3471" si="811">+(1+O3407)*P3407</f>
        <v>5</v>
      </c>
      <c r="O3407" s="745">
        <v>0</v>
      </c>
      <c r="P3407" s="737">
        <v>5</v>
      </c>
      <c r="Q3407" s="752"/>
      <c r="R3407" s="752"/>
      <c r="S3407" s="752"/>
    </row>
    <row r="3408" spans="1:19" s="753" customFormat="1" ht="24" customHeight="1">
      <c r="A3408" s="734"/>
      <c r="B3408" s="747" t="s">
        <v>469</v>
      </c>
      <c r="C3408" s="735" t="s">
        <v>501</v>
      </c>
      <c r="D3408" s="735"/>
      <c r="E3408" s="737">
        <v>0</v>
      </c>
      <c r="F3408" s="738" t="s">
        <v>363</v>
      </c>
      <c r="G3408" s="739">
        <v>1950</v>
      </c>
      <c r="H3408" s="748">
        <f t="shared" si="806"/>
        <v>0</v>
      </c>
      <c r="I3408" s="741">
        <v>35</v>
      </c>
      <c r="J3408" s="749">
        <f t="shared" si="807"/>
        <v>0</v>
      </c>
      <c r="K3408" s="739">
        <f t="shared" si="808"/>
        <v>0</v>
      </c>
      <c r="L3408" s="1079"/>
      <c r="M3408" s="752"/>
      <c r="N3408" s="744">
        <f t="shared" si="811"/>
        <v>5</v>
      </c>
      <c r="O3408" s="745">
        <v>0</v>
      </c>
      <c r="P3408" s="737">
        <v>5</v>
      </c>
      <c r="Q3408" s="752"/>
      <c r="R3408" s="752"/>
      <c r="S3408" s="752"/>
    </row>
    <row r="3409" spans="1:19" s="753" customFormat="1" ht="24" customHeight="1">
      <c r="A3409" s="734"/>
      <c r="B3409" s="747" t="s">
        <v>469</v>
      </c>
      <c r="C3409" s="735" t="s">
        <v>502</v>
      </c>
      <c r="D3409" s="735"/>
      <c r="E3409" s="737">
        <f t="shared" si="810"/>
        <v>5</v>
      </c>
      <c r="F3409" s="738" t="s">
        <v>363</v>
      </c>
      <c r="G3409" s="739">
        <v>216</v>
      </c>
      <c r="H3409" s="748">
        <f t="shared" si="806"/>
        <v>1080</v>
      </c>
      <c r="I3409" s="741">
        <v>35</v>
      </c>
      <c r="J3409" s="749">
        <f t="shared" si="807"/>
        <v>175</v>
      </c>
      <c r="K3409" s="739">
        <f t="shared" si="808"/>
        <v>1255</v>
      </c>
      <c r="L3409" s="1079"/>
      <c r="M3409" s="752"/>
      <c r="N3409" s="744">
        <f t="shared" si="811"/>
        <v>5</v>
      </c>
      <c r="O3409" s="745">
        <v>0</v>
      </c>
      <c r="P3409" s="737">
        <v>5</v>
      </c>
      <c r="Q3409" s="754"/>
      <c r="R3409" s="752"/>
      <c r="S3409" s="752"/>
    </row>
    <row r="3410" spans="1:19" s="753" customFormat="1" ht="24" customHeight="1">
      <c r="A3410" s="734"/>
      <c r="B3410" s="747"/>
      <c r="C3410" s="735"/>
      <c r="D3410" s="907"/>
      <c r="E3410" s="737">
        <f t="shared" si="810"/>
        <v>0</v>
      </c>
      <c r="F3410" s="738"/>
      <c r="G3410" s="739">
        <v>0</v>
      </c>
      <c r="H3410" s="748">
        <f t="shared" si="806"/>
        <v>0</v>
      </c>
      <c r="I3410" s="741">
        <v>0</v>
      </c>
      <c r="J3410" s="749">
        <f t="shared" si="807"/>
        <v>0</v>
      </c>
      <c r="K3410" s="739">
        <f t="shared" si="808"/>
        <v>0</v>
      </c>
      <c r="L3410" s="1079"/>
      <c r="M3410" s="752"/>
      <c r="N3410" s="744">
        <f t="shared" si="811"/>
        <v>0</v>
      </c>
      <c r="O3410" s="745">
        <v>0</v>
      </c>
      <c r="P3410" s="737">
        <v>0</v>
      </c>
      <c r="Q3410" s="752"/>
      <c r="R3410" s="752"/>
      <c r="S3410" s="752"/>
    </row>
    <row r="3411" spans="1:19" s="753" customFormat="1" ht="24" customHeight="1">
      <c r="A3411" s="734"/>
      <c r="B3411" s="747" t="s">
        <v>469</v>
      </c>
      <c r="C3411" s="735" t="s">
        <v>503</v>
      </c>
      <c r="D3411" s="735"/>
      <c r="E3411" s="737">
        <f t="shared" si="810"/>
        <v>8</v>
      </c>
      <c r="F3411" s="738" t="s">
        <v>363</v>
      </c>
      <c r="G3411" s="739">
        <v>3920</v>
      </c>
      <c r="H3411" s="748">
        <f t="shared" si="806"/>
        <v>31360</v>
      </c>
      <c r="I3411" s="741">
        <v>450</v>
      </c>
      <c r="J3411" s="749">
        <f t="shared" si="807"/>
        <v>3600</v>
      </c>
      <c r="K3411" s="739">
        <f t="shared" si="808"/>
        <v>34960</v>
      </c>
      <c r="L3411" s="1079"/>
      <c r="M3411" s="752"/>
      <c r="N3411" s="744">
        <f t="shared" si="811"/>
        <v>8</v>
      </c>
      <c r="O3411" s="745">
        <v>0</v>
      </c>
      <c r="P3411" s="737">
        <v>8</v>
      </c>
      <c r="Q3411" s="752"/>
      <c r="R3411" s="752"/>
      <c r="S3411" s="752"/>
    </row>
    <row r="3412" spans="1:19" s="753" customFormat="1" ht="24" customHeight="1">
      <c r="A3412" s="734"/>
      <c r="B3412" s="747" t="s">
        <v>469</v>
      </c>
      <c r="C3412" s="735" t="s">
        <v>504</v>
      </c>
      <c r="D3412" s="735"/>
      <c r="E3412" s="737">
        <f t="shared" si="810"/>
        <v>8</v>
      </c>
      <c r="F3412" s="738" t="s">
        <v>363</v>
      </c>
      <c r="G3412" s="739">
        <v>12752</v>
      </c>
      <c r="H3412" s="748">
        <f t="shared" si="806"/>
        <v>102016</v>
      </c>
      <c r="I3412" s="741">
        <v>0</v>
      </c>
      <c r="J3412" s="749">
        <f t="shared" si="807"/>
        <v>0</v>
      </c>
      <c r="K3412" s="739">
        <f t="shared" si="808"/>
        <v>102016</v>
      </c>
      <c r="L3412" s="1079"/>
      <c r="M3412" s="752"/>
      <c r="N3412" s="744">
        <f t="shared" si="811"/>
        <v>8</v>
      </c>
      <c r="O3412" s="745">
        <v>0</v>
      </c>
      <c r="P3412" s="737">
        <v>8</v>
      </c>
      <c r="Q3412" s="752"/>
      <c r="R3412" s="752"/>
      <c r="S3412" s="752"/>
    </row>
    <row r="3413" spans="1:19" s="682" customFormat="1" ht="24" customHeight="1">
      <c r="A3413" s="734"/>
      <c r="B3413" s="747" t="s">
        <v>469</v>
      </c>
      <c r="C3413" s="735" t="s">
        <v>505</v>
      </c>
      <c r="D3413" s="735"/>
      <c r="E3413" s="737">
        <f t="shared" si="810"/>
        <v>6</v>
      </c>
      <c r="F3413" s="738" t="s">
        <v>363</v>
      </c>
      <c r="G3413" s="739">
        <v>2280</v>
      </c>
      <c r="H3413" s="748">
        <f t="shared" si="806"/>
        <v>13680</v>
      </c>
      <c r="I3413" s="741">
        <v>300</v>
      </c>
      <c r="J3413" s="749">
        <f t="shared" si="807"/>
        <v>1800</v>
      </c>
      <c r="K3413" s="739">
        <f t="shared" si="808"/>
        <v>15480</v>
      </c>
      <c r="L3413" s="1079"/>
      <c r="M3413" s="679"/>
      <c r="N3413" s="744">
        <f t="shared" si="811"/>
        <v>6</v>
      </c>
      <c r="O3413" s="745">
        <v>0</v>
      </c>
      <c r="P3413" s="737">
        <v>6</v>
      </c>
      <c r="Q3413" s="679"/>
      <c r="R3413" s="679"/>
      <c r="S3413" s="679"/>
    </row>
    <row r="3414" spans="1:19" s="682" customFormat="1" ht="24" customHeight="1">
      <c r="A3414" s="734"/>
      <c r="B3414" s="747" t="s">
        <v>469</v>
      </c>
      <c r="C3414" s="735" t="s">
        <v>506</v>
      </c>
      <c r="D3414" s="735"/>
      <c r="E3414" s="737">
        <f t="shared" si="810"/>
        <v>0</v>
      </c>
      <c r="F3414" s="738" t="s">
        <v>363</v>
      </c>
      <c r="G3414" s="739">
        <v>6592</v>
      </c>
      <c r="H3414" s="748">
        <f t="shared" si="806"/>
        <v>0</v>
      </c>
      <c r="I3414" s="741">
        <v>140</v>
      </c>
      <c r="J3414" s="749">
        <f t="shared" si="807"/>
        <v>0</v>
      </c>
      <c r="K3414" s="739">
        <f t="shared" si="808"/>
        <v>0</v>
      </c>
      <c r="L3414" s="1079"/>
      <c r="M3414" s="679"/>
      <c r="N3414" s="744">
        <f t="shared" si="811"/>
        <v>0</v>
      </c>
      <c r="O3414" s="745">
        <v>0</v>
      </c>
      <c r="P3414" s="737">
        <v>0</v>
      </c>
      <c r="Q3414" s="679"/>
      <c r="R3414" s="679"/>
      <c r="S3414" s="679"/>
    </row>
    <row r="3415" spans="1:19" s="753" customFormat="1" ht="24" customHeight="1">
      <c r="A3415" s="734"/>
      <c r="B3415" s="747" t="s">
        <v>484</v>
      </c>
      <c r="C3415" s="735" t="s">
        <v>485</v>
      </c>
      <c r="D3415" s="735"/>
      <c r="E3415" s="737">
        <f t="shared" si="810"/>
        <v>7</v>
      </c>
      <c r="F3415" s="738" t="s">
        <v>363</v>
      </c>
      <c r="G3415" s="739">
        <v>285</v>
      </c>
      <c r="H3415" s="748">
        <f t="shared" si="806"/>
        <v>1995</v>
      </c>
      <c r="I3415" s="741">
        <v>75</v>
      </c>
      <c r="J3415" s="749">
        <f t="shared" si="807"/>
        <v>525</v>
      </c>
      <c r="K3415" s="739">
        <f t="shared" si="808"/>
        <v>2520</v>
      </c>
      <c r="L3415" s="1093"/>
      <c r="M3415" s="752"/>
      <c r="N3415" s="744">
        <f t="shared" si="811"/>
        <v>7</v>
      </c>
      <c r="O3415" s="745">
        <v>0</v>
      </c>
      <c r="P3415" s="737">
        <v>7</v>
      </c>
      <c r="Q3415" s="752"/>
      <c r="R3415" s="752"/>
      <c r="S3415" s="752"/>
    </row>
    <row r="3416" spans="1:19" s="753" customFormat="1" ht="24" customHeight="1">
      <c r="A3416" s="734"/>
      <c r="B3416" s="747" t="s">
        <v>469</v>
      </c>
      <c r="C3416" s="735" t="s">
        <v>486</v>
      </c>
      <c r="D3416" s="735"/>
      <c r="E3416" s="737">
        <f t="shared" si="810"/>
        <v>1</v>
      </c>
      <c r="F3416" s="738" t="s">
        <v>363</v>
      </c>
      <c r="G3416" s="739">
        <v>552</v>
      </c>
      <c r="H3416" s="748">
        <f t="shared" si="806"/>
        <v>552</v>
      </c>
      <c r="I3416" s="741">
        <v>25</v>
      </c>
      <c r="J3416" s="749">
        <f t="shared" si="807"/>
        <v>25</v>
      </c>
      <c r="K3416" s="739">
        <f t="shared" si="808"/>
        <v>577</v>
      </c>
      <c r="L3416" s="1079"/>
      <c r="M3416" s="752"/>
      <c r="N3416" s="744">
        <f t="shared" si="811"/>
        <v>1</v>
      </c>
      <c r="O3416" s="745">
        <v>0</v>
      </c>
      <c r="P3416" s="737">
        <v>1</v>
      </c>
      <c r="Q3416" s="752"/>
      <c r="R3416" s="752"/>
      <c r="S3416" s="752"/>
    </row>
    <row r="3417" spans="1:19" s="753" customFormat="1" ht="24" customHeight="1">
      <c r="A3417" s="734"/>
      <c r="B3417" s="747" t="s">
        <v>469</v>
      </c>
      <c r="C3417" s="735" t="s">
        <v>507</v>
      </c>
      <c r="D3417" s="735"/>
      <c r="E3417" s="737">
        <f t="shared" si="810"/>
        <v>1</v>
      </c>
      <c r="F3417" s="738" t="s">
        <v>363</v>
      </c>
      <c r="G3417" s="739">
        <v>1650</v>
      </c>
      <c r="H3417" s="748">
        <f t="shared" si="806"/>
        <v>1650</v>
      </c>
      <c r="I3417" s="741">
        <v>70</v>
      </c>
      <c r="J3417" s="749">
        <f t="shared" si="807"/>
        <v>70</v>
      </c>
      <c r="K3417" s="739">
        <f t="shared" si="808"/>
        <v>1720</v>
      </c>
      <c r="L3417" s="1079"/>
      <c r="M3417" s="752"/>
      <c r="N3417" s="744">
        <f t="shared" si="811"/>
        <v>1</v>
      </c>
      <c r="O3417" s="745">
        <v>0</v>
      </c>
      <c r="P3417" s="737">
        <v>1</v>
      </c>
      <c r="Q3417" s="752"/>
      <c r="R3417" s="752"/>
      <c r="S3417" s="752"/>
    </row>
    <row r="3418" spans="1:19" s="753" customFormat="1" ht="24" customHeight="1">
      <c r="A3418" s="734"/>
      <c r="B3418" s="747" t="s">
        <v>469</v>
      </c>
      <c r="C3418" s="735" t="s">
        <v>508</v>
      </c>
      <c r="D3418" s="735"/>
      <c r="E3418" s="737">
        <f t="shared" si="810"/>
        <v>5</v>
      </c>
      <c r="F3418" s="738" t="s">
        <v>363</v>
      </c>
      <c r="G3418" s="739">
        <v>13500</v>
      </c>
      <c r="H3418" s="748">
        <f t="shared" si="806"/>
        <v>67500</v>
      </c>
      <c r="I3418" s="741">
        <v>750</v>
      </c>
      <c r="J3418" s="749">
        <f t="shared" si="807"/>
        <v>3750</v>
      </c>
      <c r="K3418" s="739">
        <f t="shared" si="808"/>
        <v>71250</v>
      </c>
      <c r="L3418" s="1079"/>
      <c r="M3418" s="752"/>
      <c r="N3418" s="744">
        <f t="shared" si="811"/>
        <v>5</v>
      </c>
      <c r="O3418" s="745">
        <v>0</v>
      </c>
      <c r="P3418" s="737">
        <v>5</v>
      </c>
      <c r="Q3418" s="752"/>
      <c r="R3418" s="752"/>
      <c r="S3418" s="752"/>
    </row>
    <row r="3419" spans="1:19" s="682" customFormat="1" ht="24" customHeight="1">
      <c r="A3419" s="734"/>
      <c r="B3419" s="747" t="s">
        <v>469</v>
      </c>
      <c r="C3419" s="735" t="s">
        <v>509</v>
      </c>
      <c r="D3419" s="735"/>
      <c r="E3419" s="737">
        <f t="shared" si="810"/>
        <v>1</v>
      </c>
      <c r="F3419" s="738" t="s">
        <v>363</v>
      </c>
      <c r="G3419" s="739">
        <v>14476</v>
      </c>
      <c r="H3419" s="748">
        <f t="shared" si="806"/>
        <v>14476</v>
      </c>
      <c r="I3419" s="741">
        <v>5367</v>
      </c>
      <c r="J3419" s="749">
        <f t="shared" si="807"/>
        <v>5367</v>
      </c>
      <c r="K3419" s="739">
        <f t="shared" si="808"/>
        <v>19843</v>
      </c>
      <c r="L3419" s="1079"/>
      <c r="M3419" s="679"/>
      <c r="N3419" s="744">
        <f t="shared" si="811"/>
        <v>1</v>
      </c>
      <c r="O3419" s="745">
        <v>0</v>
      </c>
      <c r="P3419" s="737">
        <v>1</v>
      </c>
      <c r="Q3419" s="679"/>
      <c r="R3419" s="679"/>
      <c r="S3419" s="679"/>
    </row>
    <row r="3420" spans="1:19" s="682" customFormat="1" ht="24" customHeight="1">
      <c r="A3420" s="734"/>
      <c r="B3420" s="747"/>
      <c r="C3420" s="735"/>
      <c r="D3420" s="735"/>
      <c r="E3420" s="737"/>
      <c r="F3420" s="738"/>
      <c r="G3420" s="739"/>
      <c r="H3420" s="748"/>
      <c r="I3420" s="741"/>
      <c r="J3420" s="749"/>
      <c r="K3420" s="739"/>
      <c r="L3420" s="1079"/>
      <c r="M3420" s="679"/>
      <c r="N3420" s="744"/>
      <c r="O3420" s="745"/>
      <c r="P3420" s="737"/>
      <c r="Q3420" s="679"/>
      <c r="R3420" s="679"/>
      <c r="S3420" s="679"/>
    </row>
    <row r="3421" spans="1:19" s="753" customFormat="1" ht="24" customHeight="1">
      <c r="A3421" s="734"/>
      <c r="B3421" s="747" t="s">
        <v>469</v>
      </c>
      <c r="C3421" s="735" t="s">
        <v>510</v>
      </c>
      <c r="D3421" s="735"/>
      <c r="E3421" s="737">
        <f t="shared" si="810"/>
        <v>4.1500000000000004</v>
      </c>
      <c r="F3421" s="738" t="s">
        <v>361</v>
      </c>
      <c r="G3421" s="739">
        <v>2694</v>
      </c>
      <c r="H3421" s="748">
        <f t="shared" si="806"/>
        <v>11180.1</v>
      </c>
      <c r="I3421" s="741">
        <v>1288</v>
      </c>
      <c r="J3421" s="749">
        <f t="shared" si="807"/>
        <v>5345.2000000000007</v>
      </c>
      <c r="K3421" s="739">
        <f t="shared" si="808"/>
        <v>16525.300000000003</v>
      </c>
      <c r="L3421" s="1079"/>
      <c r="M3421" s="752"/>
      <c r="N3421" s="744">
        <f t="shared" si="811"/>
        <v>4.1500000000000004</v>
      </c>
      <c r="O3421" s="745">
        <v>0</v>
      </c>
      <c r="P3421" s="737">
        <v>4.1500000000000004</v>
      </c>
      <c r="Q3421" s="752"/>
      <c r="R3421" s="752"/>
      <c r="S3421" s="752"/>
    </row>
    <row r="3422" spans="1:19" s="753" customFormat="1" ht="24" customHeight="1">
      <c r="A3422" s="734"/>
      <c r="B3422" s="747"/>
      <c r="C3422" s="735" t="s">
        <v>511</v>
      </c>
      <c r="D3422" s="735"/>
      <c r="E3422" s="737">
        <f t="shared" si="810"/>
        <v>0</v>
      </c>
      <c r="F3422" s="738"/>
      <c r="G3422" s="739"/>
      <c r="H3422" s="748">
        <f t="shared" si="806"/>
        <v>0</v>
      </c>
      <c r="I3422" s="741"/>
      <c r="J3422" s="749">
        <f t="shared" si="807"/>
        <v>0</v>
      </c>
      <c r="K3422" s="739">
        <f t="shared" si="808"/>
        <v>0</v>
      </c>
      <c r="L3422" s="1079"/>
      <c r="M3422" s="752"/>
      <c r="N3422" s="744">
        <f t="shared" si="811"/>
        <v>0</v>
      </c>
      <c r="O3422" s="745">
        <v>0</v>
      </c>
      <c r="P3422" s="737">
        <v>0</v>
      </c>
      <c r="Q3422" s="752"/>
      <c r="R3422" s="752"/>
      <c r="S3422" s="752"/>
    </row>
    <row r="3423" spans="1:19" s="753" customFormat="1" ht="24" customHeight="1">
      <c r="A3423" s="734"/>
      <c r="B3423" s="747" t="s">
        <v>469</v>
      </c>
      <c r="C3423" s="735" t="s">
        <v>512</v>
      </c>
      <c r="D3423" s="735"/>
      <c r="E3423" s="737">
        <f t="shared" si="810"/>
        <v>4.1500000000000004</v>
      </c>
      <c r="F3423" s="738" t="s">
        <v>361</v>
      </c>
      <c r="G3423" s="739">
        <v>3886</v>
      </c>
      <c r="H3423" s="748">
        <f t="shared" si="806"/>
        <v>16126.900000000001</v>
      </c>
      <c r="I3423" s="741">
        <v>1238</v>
      </c>
      <c r="J3423" s="749">
        <f t="shared" si="807"/>
        <v>5137.7000000000007</v>
      </c>
      <c r="K3423" s="739">
        <f t="shared" si="808"/>
        <v>21264.600000000002</v>
      </c>
      <c r="L3423" s="1079"/>
      <c r="M3423" s="752"/>
      <c r="N3423" s="744">
        <f t="shared" si="811"/>
        <v>4.1500000000000004</v>
      </c>
      <c r="O3423" s="745">
        <v>0</v>
      </c>
      <c r="P3423" s="737">
        <v>4.1500000000000004</v>
      </c>
      <c r="Q3423" s="752"/>
      <c r="R3423" s="752"/>
      <c r="S3423" s="752"/>
    </row>
    <row r="3424" spans="1:19" s="753" customFormat="1" ht="24" customHeight="1">
      <c r="A3424" s="734"/>
      <c r="B3424" s="747"/>
      <c r="C3424" s="735" t="s">
        <v>513</v>
      </c>
      <c r="D3424" s="735"/>
      <c r="E3424" s="737">
        <f t="shared" si="810"/>
        <v>0</v>
      </c>
      <c r="F3424" s="738"/>
      <c r="G3424" s="739">
        <v>0</v>
      </c>
      <c r="H3424" s="748">
        <f t="shared" si="806"/>
        <v>0</v>
      </c>
      <c r="I3424" s="741">
        <v>0</v>
      </c>
      <c r="J3424" s="749">
        <f t="shared" si="807"/>
        <v>0</v>
      </c>
      <c r="K3424" s="739">
        <f t="shared" si="808"/>
        <v>0</v>
      </c>
      <c r="L3424" s="1079"/>
      <c r="M3424" s="752"/>
      <c r="N3424" s="744">
        <f t="shared" si="811"/>
        <v>0</v>
      </c>
      <c r="O3424" s="745">
        <v>0</v>
      </c>
      <c r="P3424" s="737">
        <v>0</v>
      </c>
      <c r="Q3424" s="752"/>
      <c r="R3424" s="752"/>
      <c r="S3424" s="752"/>
    </row>
    <row r="3425" spans="1:19" s="753" customFormat="1" ht="24" customHeight="1">
      <c r="A3425" s="734"/>
      <c r="B3425" s="747" t="s">
        <v>469</v>
      </c>
      <c r="C3425" s="735" t="s">
        <v>514</v>
      </c>
      <c r="D3425" s="735"/>
      <c r="E3425" s="737">
        <f t="shared" si="810"/>
        <v>7.1</v>
      </c>
      <c r="F3425" s="738" t="s">
        <v>361</v>
      </c>
      <c r="G3425" s="739">
        <v>1522</v>
      </c>
      <c r="H3425" s="748">
        <f t="shared" si="806"/>
        <v>10806.199999999999</v>
      </c>
      <c r="I3425" s="741">
        <v>315</v>
      </c>
      <c r="J3425" s="749">
        <f t="shared" si="807"/>
        <v>2236.5</v>
      </c>
      <c r="K3425" s="739">
        <f t="shared" si="808"/>
        <v>13042.699999999999</v>
      </c>
      <c r="L3425" s="1079"/>
      <c r="M3425" s="752"/>
      <c r="N3425" s="744">
        <f t="shared" si="811"/>
        <v>7.1</v>
      </c>
      <c r="O3425" s="745">
        <v>0</v>
      </c>
      <c r="P3425" s="737">
        <v>7.1</v>
      </c>
      <c r="Q3425" s="752"/>
      <c r="R3425" s="752"/>
      <c r="S3425" s="752"/>
    </row>
    <row r="3426" spans="1:19" s="753" customFormat="1" ht="24" customHeight="1">
      <c r="A3426" s="734"/>
      <c r="B3426" s="747"/>
      <c r="C3426" s="735"/>
      <c r="D3426" s="735"/>
      <c r="E3426" s="737">
        <f t="shared" si="810"/>
        <v>0</v>
      </c>
      <c r="F3426" s="738"/>
      <c r="G3426" s="739">
        <v>0</v>
      </c>
      <c r="H3426" s="748">
        <f t="shared" si="806"/>
        <v>0</v>
      </c>
      <c r="I3426" s="741">
        <v>0</v>
      </c>
      <c r="J3426" s="749">
        <f t="shared" si="807"/>
        <v>0</v>
      </c>
      <c r="K3426" s="739">
        <f t="shared" si="808"/>
        <v>0</v>
      </c>
      <c r="L3426" s="1079"/>
      <c r="M3426" s="752"/>
      <c r="N3426" s="744">
        <f t="shared" si="811"/>
        <v>0</v>
      </c>
      <c r="O3426" s="745">
        <v>0</v>
      </c>
      <c r="P3426" s="737">
        <v>0</v>
      </c>
      <c r="Q3426" s="752"/>
      <c r="R3426" s="752"/>
      <c r="S3426" s="752"/>
    </row>
    <row r="3427" spans="1:19" s="682" customFormat="1" ht="24" customHeight="1">
      <c r="A3427" s="734"/>
      <c r="B3427" s="747" t="s">
        <v>469</v>
      </c>
      <c r="C3427" s="735" t="s">
        <v>515</v>
      </c>
      <c r="D3427" s="735"/>
      <c r="E3427" s="737">
        <f t="shared" si="810"/>
        <v>1</v>
      </c>
      <c r="F3427" s="738" t="s">
        <v>363</v>
      </c>
      <c r="G3427" s="739">
        <v>5013</v>
      </c>
      <c r="H3427" s="748">
        <f t="shared" si="806"/>
        <v>5013</v>
      </c>
      <c r="I3427" s="741">
        <v>2403</v>
      </c>
      <c r="J3427" s="749">
        <f t="shared" si="807"/>
        <v>2403</v>
      </c>
      <c r="K3427" s="739">
        <f t="shared" si="808"/>
        <v>7416</v>
      </c>
      <c r="L3427" s="1079"/>
      <c r="M3427" s="679"/>
      <c r="N3427" s="744">
        <f t="shared" si="811"/>
        <v>1</v>
      </c>
      <c r="O3427" s="745">
        <v>0</v>
      </c>
      <c r="P3427" s="737">
        <v>1</v>
      </c>
      <c r="Q3427" s="679"/>
      <c r="R3427" s="679"/>
      <c r="S3427" s="679"/>
    </row>
    <row r="3428" spans="1:19" s="682" customFormat="1" ht="24" customHeight="1">
      <c r="A3428" s="734"/>
      <c r="B3428" s="747"/>
      <c r="C3428" s="735" t="s">
        <v>516</v>
      </c>
      <c r="D3428" s="735"/>
      <c r="E3428" s="737">
        <f t="shared" si="810"/>
        <v>0</v>
      </c>
      <c r="F3428" s="738"/>
      <c r="G3428" s="739"/>
      <c r="H3428" s="748">
        <f t="shared" si="806"/>
        <v>0</v>
      </c>
      <c r="I3428" s="741"/>
      <c r="J3428" s="749">
        <f t="shared" si="807"/>
        <v>0</v>
      </c>
      <c r="K3428" s="739">
        <f t="shared" si="808"/>
        <v>0</v>
      </c>
      <c r="L3428" s="1079"/>
      <c r="M3428" s="679"/>
      <c r="N3428" s="744">
        <f t="shared" si="811"/>
        <v>0</v>
      </c>
      <c r="O3428" s="745">
        <v>0</v>
      </c>
      <c r="P3428" s="737">
        <v>0</v>
      </c>
      <c r="Q3428" s="679"/>
      <c r="R3428" s="679"/>
      <c r="S3428" s="679"/>
    </row>
    <row r="3429" spans="1:19" s="682" customFormat="1" ht="24" customHeight="1">
      <c r="A3429" s="734"/>
      <c r="B3429" s="747"/>
      <c r="C3429" s="735"/>
      <c r="D3429" s="735"/>
      <c r="E3429" s="737">
        <f t="shared" si="810"/>
        <v>0</v>
      </c>
      <c r="F3429" s="738"/>
      <c r="G3429" s="739"/>
      <c r="H3429" s="748">
        <f t="shared" si="806"/>
        <v>0</v>
      </c>
      <c r="I3429" s="741"/>
      <c r="J3429" s="749">
        <f t="shared" si="807"/>
        <v>0</v>
      </c>
      <c r="K3429" s="739">
        <f t="shared" si="808"/>
        <v>0</v>
      </c>
      <c r="L3429" s="1079"/>
      <c r="M3429" s="679"/>
      <c r="N3429" s="744">
        <f t="shared" si="811"/>
        <v>0</v>
      </c>
      <c r="O3429" s="745">
        <v>0</v>
      </c>
      <c r="P3429" s="737">
        <v>0</v>
      </c>
      <c r="Q3429" s="679"/>
      <c r="R3429" s="679"/>
      <c r="S3429" s="679"/>
    </row>
    <row r="3430" spans="1:19" s="756" customFormat="1" ht="24" customHeight="1">
      <c r="A3430" s="734"/>
      <c r="B3430" s="747" t="s">
        <v>469</v>
      </c>
      <c r="C3430" s="735" t="s">
        <v>517</v>
      </c>
      <c r="D3430" s="907"/>
      <c r="E3430" s="737">
        <f t="shared" si="810"/>
        <v>0</v>
      </c>
      <c r="F3430" s="738" t="s">
        <v>361</v>
      </c>
      <c r="G3430" s="739">
        <v>5075.5555555555557</v>
      </c>
      <c r="H3430" s="748">
        <f t="shared" si="806"/>
        <v>0</v>
      </c>
      <c r="I3430" s="741">
        <v>2545.7777777777778</v>
      </c>
      <c r="J3430" s="749">
        <f t="shared" si="807"/>
        <v>0</v>
      </c>
      <c r="K3430" s="739">
        <f t="shared" si="808"/>
        <v>0</v>
      </c>
      <c r="L3430" s="1079"/>
      <c r="M3430" s="755"/>
      <c r="N3430" s="744">
        <f t="shared" si="811"/>
        <v>0</v>
      </c>
      <c r="O3430" s="745">
        <v>0</v>
      </c>
      <c r="P3430" s="737">
        <v>0</v>
      </c>
      <c r="Q3430" s="755"/>
      <c r="R3430" s="755"/>
      <c r="S3430" s="755"/>
    </row>
    <row r="3431" spans="1:19" s="756" customFormat="1" ht="24" customHeight="1">
      <c r="A3431" s="734"/>
      <c r="B3431" s="747"/>
      <c r="C3431" s="735" t="s">
        <v>488</v>
      </c>
      <c r="D3431" s="907"/>
      <c r="E3431" s="737">
        <f t="shared" si="810"/>
        <v>0</v>
      </c>
      <c r="F3431" s="738"/>
      <c r="G3431" s="739">
        <v>0</v>
      </c>
      <c r="H3431" s="748">
        <f t="shared" si="806"/>
        <v>0</v>
      </c>
      <c r="I3431" s="741">
        <v>0</v>
      </c>
      <c r="J3431" s="749">
        <f t="shared" si="807"/>
        <v>0</v>
      </c>
      <c r="K3431" s="739">
        <f t="shared" si="808"/>
        <v>0</v>
      </c>
      <c r="L3431" s="1079"/>
      <c r="M3431" s="755"/>
      <c r="N3431" s="744">
        <f t="shared" si="811"/>
        <v>0</v>
      </c>
      <c r="O3431" s="745">
        <v>0</v>
      </c>
      <c r="P3431" s="737">
        <v>0</v>
      </c>
      <c r="Q3431" s="755"/>
      <c r="R3431" s="755"/>
      <c r="S3431" s="755"/>
    </row>
    <row r="3432" spans="1:19" s="753" customFormat="1" ht="24" customHeight="1">
      <c r="A3432" s="734"/>
      <c r="B3432" s="747" t="s">
        <v>469</v>
      </c>
      <c r="C3432" s="735" t="s">
        <v>518</v>
      </c>
      <c r="D3432" s="735"/>
      <c r="E3432" s="737">
        <f t="shared" si="810"/>
        <v>0</v>
      </c>
      <c r="F3432" s="738" t="s">
        <v>361</v>
      </c>
      <c r="G3432" s="739">
        <v>3886</v>
      </c>
      <c r="H3432" s="748">
        <f t="shared" si="806"/>
        <v>0</v>
      </c>
      <c r="I3432" s="741">
        <v>1238</v>
      </c>
      <c r="J3432" s="749">
        <f t="shared" si="807"/>
        <v>0</v>
      </c>
      <c r="K3432" s="739">
        <f t="shared" si="808"/>
        <v>0</v>
      </c>
      <c r="L3432" s="1079"/>
      <c r="M3432" s="752"/>
      <c r="N3432" s="744">
        <f t="shared" si="811"/>
        <v>0</v>
      </c>
      <c r="O3432" s="745">
        <v>0</v>
      </c>
      <c r="P3432" s="737">
        <v>0</v>
      </c>
      <c r="Q3432" s="752"/>
      <c r="R3432" s="752"/>
      <c r="S3432" s="752"/>
    </row>
    <row r="3433" spans="1:19" s="753" customFormat="1" ht="24" customHeight="1">
      <c r="A3433" s="734"/>
      <c r="B3433" s="747"/>
      <c r="C3433" s="735" t="s">
        <v>513</v>
      </c>
      <c r="D3433" s="735"/>
      <c r="E3433" s="737">
        <f t="shared" si="810"/>
        <v>0</v>
      </c>
      <c r="F3433" s="738"/>
      <c r="G3433" s="739">
        <v>0</v>
      </c>
      <c r="H3433" s="748">
        <f t="shared" si="806"/>
        <v>0</v>
      </c>
      <c r="I3433" s="741">
        <v>0</v>
      </c>
      <c r="J3433" s="749">
        <f t="shared" si="807"/>
        <v>0</v>
      </c>
      <c r="K3433" s="739">
        <f t="shared" si="808"/>
        <v>0</v>
      </c>
      <c r="L3433" s="1079"/>
      <c r="M3433" s="752"/>
      <c r="N3433" s="744">
        <f t="shared" si="811"/>
        <v>0</v>
      </c>
      <c r="O3433" s="745">
        <v>0</v>
      </c>
      <c r="P3433" s="737">
        <v>0</v>
      </c>
      <c r="Q3433" s="752"/>
      <c r="R3433" s="752"/>
      <c r="S3433" s="752"/>
    </row>
    <row r="3434" spans="1:19" s="682" customFormat="1" ht="24" customHeight="1">
      <c r="A3434" s="734"/>
      <c r="B3434" s="747" t="s">
        <v>469</v>
      </c>
      <c r="C3434" s="735" t="s">
        <v>519</v>
      </c>
      <c r="D3434" s="735"/>
      <c r="E3434" s="737">
        <f t="shared" si="810"/>
        <v>1</v>
      </c>
      <c r="F3434" s="738" t="s">
        <v>363</v>
      </c>
      <c r="G3434" s="739">
        <v>800</v>
      </c>
      <c r="H3434" s="748">
        <f t="shared" si="806"/>
        <v>800</v>
      </c>
      <c r="I3434" s="741">
        <v>70</v>
      </c>
      <c r="J3434" s="749">
        <f t="shared" si="807"/>
        <v>70</v>
      </c>
      <c r="K3434" s="739">
        <f t="shared" si="808"/>
        <v>870</v>
      </c>
      <c r="L3434" s="1079"/>
      <c r="M3434" s="679"/>
      <c r="N3434" s="744">
        <f t="shared" si="811"/>
        <v>1</v>
      </c>
      <c r="O3434" s="745">
        <v>0</v>
      </c>
      <c r="P3434" s="737">
        <v>1</v>
      </c>
      <c r="Q3434" s="679"/>
      <c r="R3434" s="679"/>
      <c r="S3434" s="679"/>
    </row>
    <row r="3435" spans="1:19" s="682" customFormat="1" ht="24" customHeight="1">
      <c r="A3435" s="734"/>
      <c r="B3435" s="747" t="s">
        <v>469</v>
      </c>
      <c r="C3435" s="735" t="s">
        <v>520</v>
      </c>
      <c r="D3435" s="735"/>
      <c r="E3435" s="737">
        <f t="shared" si="810"/>
        <v>0</v>
      </c>
      <c r="F3435" s="738" t="s">
        <v>361</v>
      </c>
      <c r="G3435" s="739">
        <v>190</v>
      </c>
      <c r="H3435" s="748">
        <f t="shared" si="806"/>
        <v>0</v>
      </c>
      <c r="I3435" s="741">
        <v>75</v>
      </c>
      <c r="J3435" s="749">
        <f t="shared" si="807"/>
        <v>0</v>
      </c>
      <c r="K3435" s="739">
        <f t="shared" si="808"/>
        <v>0</v>
      </c>
      <c r="L3435" s="1079"/>
      <c r="M3435" s="679"/>
      <c r="N3435" s="744">
        <f t="shared" si="811"/>
        <v>0</v>
      </c>
      <c r="O3435" s="745">
        <v>0</v>
      </c>
      <c r="P3435" s="737">
        <v>0</v>
      </c>
      <c r="Q3435" s="679"/>
      <c r="R3435" s="679"/>
      <c r="S3435" s="679"/>
    </row>
    <row r="3436" spans="1:19" s="682" customFormat="1" ht="24" customHeight="1">
      <c r="A3436" s="734"/>
      <c r="B3436" s="747"/>
      <c r="C3436" s="735"/>
      <c r="D3436" s="735"/>
      <c r="E3436" s="737">
        <f t="shared" si="810"/>
        <v>0</v>
      </c>
      <c r="F3436" s="738"/>
      <c r="G3436" s="739"/>
      <c r="H3436" s="748">
        <f t="shared" si="806"/>
        <v>0</v>
      </c>
      <c r="I3436" s="741"/>
      <c r="J3436" s="749">
        <f t="shared" si="807"/>
        <v>0</v>
      </c>
      <c r="K3436" s="739">
        <f t="shared" si="808"/>
        <v>0</v>
      </c>
      <c r="L3436" s="1079"/>
      <c r="M3436" s="679"/>
      <c r="N3436" s="744">
        <f t="shared" si="811"/>
        <v>0</v>
      </c>
      <c r="O3436" s="745">
        <v>0</v>
      </c>
      <c r="P3436" s="737">
        <v>0</v>
      </c>
      <c r="Q3436" s="679"/>
      <c r="R3436" s="679"/>
      <c r="S3436" s="679"/>
    </row>
    <row r="3437" spans="1:19" s="753" customFormat="1" ht="24" customHeight="1">
      <c r="A3437" s="734"/>
      <c r="B3437" s="735" t="s">
        <v>1073</v>
      </c>
      <c r="C3437" s="735"/>
      <c r="D3437" s="907"/>
      <c r="E3437" s="737">
        <f t="shared" si="810"/>
        <v>0</v>
      </c>
      <c r="F3437" s="738"/>
      <c r="G3437" s="739">
        <v>0</v>
      </c>
      <c r="H3437" s="748">
        <f t="shared" si="806"/>
        <v>0</v>
      </c>
      <c r="I3437" s="741">
        <v>0</v>
      </c>
      <c r="J3437" s="749">
        <f t="shared" si="807"/>
        <v>0</v>
      </c>
      <c r="K3437" s="739">
        <f t="shared" si="808"/>
        <v>0</v>
      </c>
      <c r="L3437" s="1079"/>
      <c r="M3437" s="752"/>
      <c r="N3437" s="744">
        <f t="shared" si="811"/>
        <v>0</v>
      </c>
      <c r="O3437" s="745">
        <v>0</v>
      </c>
      <c r="P3437" s="737">
        <v>0</v>
      </c>
      <c r="Q3437" s="752"/>
      <c r="R3437" s="752"/>
      <c r="S3437" s="752"/>
    </row>
    <row r="3438" spans="1:19" s="753" customFormat="1" ht="24" customHeight="1">
      <c r="A3438" s="734"/>
      <c r="B3438" s="747" t="s">
        <v>469</v>
      </c>
      <c r="C3438" s="735" t="s">
        <v>497</v>
      </c>
      <c r="D3438" s="735"/>
      <c r="E3438" s="737">
        <f t="shared" si="810"/>
        <v>6</v>
      </c>
      <c r="F3438" s="738" t="s">
        <v>363</v>
      </c>
      <c r="G3438" s="739">
        <v>1540</v>
      </c>
      <c r="H3438" s="748">
        <f t="shared" si="806"/>
        <v>9240</v>
      </c>
      <c r="I3438" s="741">
        <v>450</v>
      </c>
      <c r="J3438" s="749">
        <f t="shared" si="807"/>
        <v>2700</v>
      </c>
      <c r="K3438" s="739">
        <f t="shared" si="808"/>
        <v>11940</v>
      </c>
      <c r="L3438" s="1079"/>
      <c r="M3438" s="752"/>
      <c r="N3438" s="744">
        <f t="shared" si="811"/>
        <v>6</v>
      </c>
      <c r="O3438" s="745">
        <v>0</v>
      </c>
      <c r="P3438" s="737">
        <v>6</v>
      </c>
      <c r="Q3438" s="752"/>
      <c r="R3438" s="752"/>
      <c r="S3438" s="752"/>
    </row>
    <row r="3439" spans="1:19" s="753" customFormat="1" ht="24" customHeight="1">
      <c r="A3439" s="734"/>
      <c r="B3439" s="747" t="s">
        <v>469</v>
      </c>
      <c r="C3439" s="735" t="s">
        <v>498</v>
      </c>
      <c r="D3439" s="735"/>
      <c r="E3439" s="737">
        <f t="shared" si="810"/>
        <v>6</v>
      </c>
      <c r="F3439" s="738" t="s">
        <v>363</v>
      </c>
      <c r="G3439" s="739">
        <v>6640</v>
      </c>
      <c r="H3439" s="748">
        <f t="shared" si="806"/>
        <v>39840</v>
      </c>
      <c r="I3439" s="741">
        <v>200</v>
      </c>
      <c r="J3439" s="749">
        <f t="shared" si="807"/>
        <v>1200</v>
      </c>
      <c r="K3439" s="739">
        <f t="shared" si="808"/>
        <v>41040</v>
      </c>
      <c r="L3439" s="1079"/>
      <c r="M3439" s="752"/>
      <c r="N3439" s="744">
        <f t="shared" si="811"/>
        <v>6</v>
      </c>
      <c r="O3439" s="745">
        <v>0</v>
      </c>
      <c r="P3439" s="737">
        <v>6</v>
      </c>
      <c r="Q3439" s="752"/>
      <c r="R3439" s="752"/>
      <c r="S3439" s="752"/>
    </row>
    <row r="3440" spans="1:19" s="753" customFormat="1" ht="24" customHeight="1">
      <c r="A3440" s="734"/>
      <c r="B3440" s="747" t="s">
        <v>469</v>
      </c>
      <c r="C3440" s="735" t="s">
        <v>476</v>
      </c>
      <c r="D3440" s="735"/>
      <c r="E3440" s="737">
        <f t="shared" si="810"/>
        <v>6</v>
      </c>
      <c r="F3440" s="738" t="s">
        <v>363</v>
      </c>
      <c r="G3440" s="739">
        <v>336</v>
      </c>
      <c r="H3440" s="748">
        <f t="shared" si="806"/>
        <v>2016</v>
      </c>
      <c r="I3440" s="741">
        <v>0</v>
      </c>
      <c r="J3440" s="749">
        <f t="shared" ref="J3440:J3498" si="812">SUM(E3440*I3440)</f>
        <v>0</v>
      </c>
      <c r="K3440" s="739">
        <f t="shared" si="808"/>
        <v>2016</v>
      </c>
      <c r="L3440" s="1079"/>
      <c r="M3440" s="752"/>
      <c r="N3440" s="744">
        <f t="shared" si="811"/>
        <v>6</v>
      </c>
      <c r="O3440" s="745">
        <v>0</v>
      </c>
      <c r="P3440" s="737">
        <v>6</v>
      </c>
      <c r="Q3440" s="752"/>
      <c r="R3440" s="752"/>
      <c r="S3440" s="752"/>
    </row>
    <row r="3441" spans="1:19" s="753" customFormat="1" ht="24" customHeight="1">
      <c r="A3441" s="734"/>
      <c r="B3441" s="747" t="s">
        <v>469</v>
      </c>
      <c r="C3441" s="735" t="s">
        <v>477</v>
      </c>
      <c r="D3441" s="735"/>
      <c r="E3441" s="737">
        <f t="shared" si="810"/>
        <v>6</v>
      </c>
      <c r="F3441" s="738" t="s">
        <v>363</v>
      </c>
      <c r="G3441" s="739">
        <v>736</v>
      </c>
      <c r="H3441" s="748">
        <f t="shared" si="806"/>
        <v>4416</v>
      </c>
      <c r="I3441" s="741">
        <v>0</v>
      </c>
      <c r="J3441" s="749">
        <f t="shared" si="812"/>
        <v>0</v>
      </c>
      <c r="K3441" s="739">
        <f t="shared" si="808"/>
        <v>4416</v>
      </c>
      <c r="L3441" s="1079"/>
      <c r="M3441" s="752"/>
      <c r="N3441" s="744">
        <f t="shared" si="811"/>
        <v>6</v>
      </c>
      <c r="O3441" s="745">
        <v>0</v>
      </c>
      <c r="P3441" s="737">
        <v>6</v>
      </c>
      <c r="Q3441" s="752"/>
      <c r="R3441" s="752"/>
      <c r="S3441" s="752"/>
    </row>
    <row r="3442" spans="1:19" s="753" customFormat="1" ht="24" customHeight="1">
      <c r="A3442" s="734"/>
      <c r="B3442" s="747" t="s">
        <v>469</v>
      </c>
      <c r="C3442" s="735" t="s">
        <v>478</v>
      </c>
      <c r="D3442" s="735"/>
      <c r="E3442" s="737">
        <f t="shared" si="810"/>
        <v>6</v>
      </c>
      <c r="F3442" s="738" t="s">
        <v>363</v>
      </c>
      <c r="G3442" s="739">
        <v>176</v>
      </c>
      <c r="H3442" s="748">
        <f t="shared" si="806"/>
        <v>1056</v>
      </c>
      <c r="I3442" s="741">
        <v>0</v>
      </c>
      <c r="J3442" s="749">
        <f t="shared" si="812"/>
        <v>0</v>
      </c>
      <c r="K3442" s="739">
        <f t="shared" si="808"/>
        <v>1056</v>
      </c>
      <c r="L3442" s="1079"/>
      <c r="M3442" s="752"/>
      <c r="N3442" s="744">
        <f t="shared" si="811"/>
        <v>6</v>
      </c>
      <c r="O3442" s="745">
        <v>0</v>
      </c>
      <c r="P3442" s="737">
        <v>6</v>
      </c>
      <c r="Q3442" s="752"/>
      <c r="R3442" s="752"/>
      <c r="S3442" s="752"/>
    </row>
    <row r="3443" spans="1:19" s="753" customFormat="1" ht="24" customHeight="1">
      <c r="A3443" s="734"/>
      <c r="B3443" s="747" t="s">
        <v>469</v>
      </c>
      <c r="C3443" s="735" t="s">
        <v>499</v>
      </c>
      <c r="D3443" s="735"/>
      <c r="E3443" s="737">
        <f t="shared" si="810"/>
        <v>6</v>
      </c>
      <c r="F3443" s="738" t="s">
        <v>363</v>
      </c>
      <c r="G3443" s="739">
        <v>216</v>
      </c>
      <c r="H3443" s="748">
        <f t="shared" si="806"/>
        <v>1296</v>
      </c>
      <c r="I3443" s="741">
        <v>35</v>
      </c>
      <c r="J3443" s="749">
        <f t="shared" si="812"/>
        <v>210</v>
      </c>
      <c r="K3443" s="739">
        <f t="shared" si="808"/>
        <v>1506</v>
      </c>
      <c r="L3443" s="1079"/>
      <c r="M3443" s="752"/>
      <c r="N3443" s="744">
        <f t="shared" si="811"/>
        <v>6</v>
      </c>
      <c r="O3443" s="745">
        <v>0</v>
      </c>
      <c r="P3443" s="737">
        <v>6</v>
      </c>
      <c r="Q3443" s="752"/>
      <c r="R3443" s="752"/>
      <c r="S3443" s="752"/>
    </row>
    <row r="3444" spans="1:19" s="753" customFormat="1" ht="24" customHeight="1">
      <c r="A3444" s="734"/>
      <c r="B3444" s="747"/>
      <c r="C3444" s="736"/>
      <c r="D3444" s="907"/>
      <c r="E3444" s="737">
        <f t="shared" si="810"/>
        <v>0</v>
      </c>
      <c r="F3444" s="738"/>
      <c r="G3444" s="739">
        <v>0</v>
      </c>
      <c r="H3444" s="748">
        <f t="shared" si="806"/>
        <v>0</v>
      </c>
      <c r="I3444" s="741">
        <v>0</v>
      </c>
      <c r="J3444" s="749">
        <f t="shared" si="812"/>
        <v>0</v>
      </c>
      <c r="K3444" s="739">
        <f t="shared" si="808"/>
        <v>0</v>
      </c>
      <c r="L3444" s="1079"/>
      <c r="M3444" s="752"/>
      <c r="N3444" s="744">
        <f t="shared" si="811"/>
        <v>0</v>
      </c>
      <c r="O3444" s="745">
        <v>0</v>
      </c>
      <c r="P3444" s="737">
        <v>0</v>
      </c>
      <c r="Q3444" s="752"/>
      <c r="R3444" s="752"/>
      <c r="S3444" s="752"/>
    </row>
    <row r="3445" spans="1:19" s="753" customFormat="1" ht="24" customHeight="1">
      <c r="A3445" s="734"/>
      <c r="B3445" s="747" t="s">
        <v>469</v>
      </c>
      <c r="C3445" s="735" t="s">
        <v>492</v>
      </c>
      <c r="D3445" s="735"/>
      <c r="E3445" s="737">
        <f t="shared" si="810"/>
        <v>10</v>
      </c>
      <c r="F3445" s="738" t="s">
        <v>363</v>
      </c>
      <c r="G3445" s="739">
        <v>9375</v>
      </c>
      <c r="H3445" s="748">
        <f t="shared" si="806"/>
        <v>93750</v>
      </c>
      <c r="I3445" s="741">
        <v>450</v>
      </c>
      <c r="J3445" s="749">
        <f t="shared" si="812"/>
        <v>4500</v>
      </c>
      <c r="K3445" s="739">
        <f t="shared" si="808"/>
        <v>98250</v>
      </c>
      <c r="L3445" s="1079"/>
      <c r="M3445" s="752"/>
      <c r="N3445" s="744">
        <f t="shared" si="811"/>
        <v>10</v>
      </c>
      <c r="O3445" s="745">
        <v>0</v>
      </c>
      <c r="P3445" s="737">
        <v>10</v>
      </c>
      <c r="Q3445" s="752"/>
      <c r="R3445" s="752"/>
      <c r="S3445" s="752"/>
    </row>
    <row r="3446" spans="1:19" s="753" customFormat="1" ht="24" customHeight="1">
      <c r="A3446" s="734"/>
      <c r="B3446" s="747" t="s">
        <v>469</v>
      </c>
      <c r="C3446" s="735" t="s">
        <v>500</v>
      </c>
      <c r="D3446" s="735"/>
      <c r="E3446" s="737">
        <f t="shared" si="810"/>
        <v>10</v>
      </c>
      <c r="F3446" s="738" t="s">
        <v>363</v>
      </c>
      <c r="G3446" s="739">
        <v>12752</v>
      </c>
      <c r="H3446" s="748">
        <f t="shared" si="806"/>
        <v>127520</v>
      </c>
      <c r="I3446" s="741">
        <v>0</v>
      </c>
      <c r="J3446" s="749">
        <f t="shared" si="812"/>
        <v>0</v>
      </c>
      <c r="K3446" s="739">
        <f t="shared" si="808"/>
        <v>127520</v>
      </c>
      <c r="L3446" s="1079"/>
      <c r="M3446" s="752"/>
      <c r="N3446" s="744">
        <f t="shared" si="811"/>
        <v>10</v>
      </c>
      <c r="O3446" s="745">
        <v>0</v>
      </c>
      <c r="P3446" s="737">
        <v>10</v>
      </c>
      <c r="Q3446" s="752"/>
      <c r="R3446" s="752"/>
      <c r="S3446" s="752"/>
    </row>
    <row r="3447" spans="1:19" s="753" customFormat="1" ht="24" customHeight="1">
      <c r="A3447" s="734"/>
      <c r="B3447" s="747" t="s">
        <v>469</v>
      </c>
      <c r="C3447" s="735" t="s">
        <v>501</v>
      </c>
      <c r="D3447" s="735"/>
      <c r="E3447" s="737">
        <v>0</v>
      </c>
      <c r="F3447" s="738" t="s">
        <v>363</v>
      </c>
      <c r="G3447" s="739">
        <v>1950</v>
      </c>
      <c r="H3447" s="748">
        <f t="shared" si="806"/>
        <v>0</v>
      </c>
      <c r="I3447" s="741">
        <v>35</v>
      </c>
      <c r="J3447" s="749">
        <f t="shared" si="812"/>
        <v>0</v>
      </c>
      <c r="K3447" s="739">
        <f t="shared" si="808"/>
        <v>0</v>
      </c>
      <c r="L3447" s="1079"/>
      <c r="M3447" s="752"/>
      <c r="N3447" s="744">
        <f t="shared" si="811"/>
        <v>10</v>
      </c>
      <c r="O3447" s="745">
        <v>0</v>
      </c>
      <c r="P3447" s="737">
        <v>10</v>
      </c>
      <c r="Q3447" s="752"/>
      <c r="R3447" s="752"/>
      <c r="S3447" s="752"/>
    </row>
    <row r="3448" spans="1:19" s="753" customFormat="1" ht="24" customHeight="1">
      <c r="A3448" s="734"/>
      <c r="B3448" s="747" t="s">
        <v>469</v>
      </c>
      <c r="C3448" s="735" t="s">
        <v>502</v>
      </c>
      <c r="D3448" s="735"/>
      <c r="E3448" s="737">
        <f t="shared" si="810"/>
        <v>10</v>
      </c>
      <c r="F3448" s="738" t="s">
        <v>363</v>
      </c>
      <c r="G3448" s="739">
        <v>216</v>
      </c>
      <c r="H3448" s="748">
        <f t="shared" si="806"/>
        <v>2160</v>
      </c>
      <c r="I3448" s="741">
        <v>35</v>
      </c>
      <c r="J3448" s="749">
        <f t="shared" si="812"/>
        <v>350</v>
      </c>
      <c r="K3448" s="739">
        <f t="shared" si="808"/>
        <v>2510</v>
      </c>
      <c r="L3448" s="1079"/>
      <c r="M3448" s="752"/>
      <c r="N3448" s="744">
        <f t="shared" si="811"/>
        <v>10</v>
      </c>
      <c r="O3448" s="745">
        <v>0</v>
      </c>
      <c r="P3448" s="737">
        <v>10</v>
      </c>
      <c r="Q3448" s="752"/>
      <c r="R3448" s="752"/>
      <c r="S3448" s="752"/>
    </row>
    <row r="3449" spans="1:19" s="753" customFormat="1" ht="24" customHeight="1">
      <c r="A3449" s="734"/>
      <c r="B3449" s="747"/>
      <c r="C3449" s="735"/>
      <c r="D3449" s="735"/>
      <c r="E3449" s="737">
        <f t="shared" si="810"/>
        <v>0</v>
      </c>
      <c r="F3449" s="738"/>
      <c r="G3449" s="739"/>
      <c r="H3449" s="748">
        <f t="shared" si="806"/>
        <v>0</v>
      </c>
      <c r="I3449" s="741"/>
      <c r="J3449" s="749">
        <f t="shared" si="812"/>
        <v>0</v>
      </c>
      <c r="K3449" s="739">
        <f t="shared" si="808"/>
        <v>0</v>
      </c>
      <c r="L3449" s="1079"/>
      <c r="M3449" s="752"/>
      <c r="N3449" s="744">
        <f t="shared" si="811"/>
        <v>0</v>
      </c>
      <c r="O3449" s="745">
        <v>0</v>
      </c>
      <c r="P3449" s="737">
        <v>0</v>
      </c>
      <c r="Q3449" s="752"/>
      <c r="R3449" s="752"/>
      <c r="S3449" s="752"/>
    </row>
    <row r="3450" spans="1:19" s="753" customFormat="1" ht="24" customHeight="1">
      <c r="A3450" s="734"/>
      <c r="B3450" s="747" t="s">
        <v>484</v>
      </c>
      <c r="C3450" s="735" t="s">
        <v>485</v>
      </c>
      <c r="D3450" s="735"/>
      <c r="E3450" s="737">
        <f t="shared" si="810"/>
        <v>7</v>
      </c>
      <c r="F3450" s="738" t="s">
        <v>363</v>
      </c>
      <c r="G3450" s="739">
        <v>285</v>
      </c>
      <c r="H3450" s="748">
        <f t="shared" si="806"/>
        <v>1995</v>
      </c>
      <c r="I3450" s="741">
        <v>75</v>
      </c>
      <c r="J3450" s="749">
        <f t="shared" si="812"/>
        <v>525</v>
      </c>
      <c r="K3450" s="739">
        <f t="shared" si="808"/>
        <v>2520</v>
      </c>
      <c r="L3450" s="1093"/>
      <c r="M3450" s="752"/>
      <c r="N3450" s="744">
        <f t="shared" si="811"/>
        <v>7</v>
      </c>
      <c r="O3450" s="745">
        <v>0</v>
      </c>
      <c r="P3450" s="737">
        <v>7</v>
      </c>
      <c r="Q3450" s="752"/>
      <c r="R3450" s="752"/>
      <c r="S3450" s="752"/>
    </row>
    <row r="3451" spans="1:19" s="753" customFormat="1" ht="24" customHeight="1">
      <c r="A3451" s="734"/>
      <c r="B3451" s="747" t="s">
        <v>469</v>
      </c>
      <c r="C3451" s="735" t="s">
        <v>486</v>
      </c>
      <c r="D3451" s="735"/>
      <c r="E3451" s="737">
        <f t="shared" si="810"/>
        <v>1</v>
      </c>
      <c r="F3451" s="738" t="s">
        <v>363</v>
      </c>
      <c r="G3451" s="739">
        <v>552</v>
      </c>
      <c r="H3451" s="748">
        <f t="shared" si="806"/>
        <v>552</v>
      </c>
      <c r="I3451" s="741">
        <v>25</v>
      </c>
      <c r="J3451" s="749">
        <f t="shared" si="812"/>
        <v>25</v>
      </c>
      <c r="K3451" s="739">
        <f t="shared" si="808"/>
        <v>577</v>
      </c>
      <c r="L3451" s="1079"/>
      <c r="M3451" s="752"/>
      <c r="N3451" s="744">
        <f t="shared" si="811"/>
        <v>1</v>
      </c>
      <c r="O3451" s="745">
        <v>0</v>
      </c>
      <c r="P3451" s="737">
        <v>1</v>
      </c>
      <c r="Q3451" s="752"/>
      <c r="R3451" s="752"/>
      <c r="S3451" s="752"/>
    </row>
    <row r="3452" spans="1:19" s="753" customFormat="1" ht="24" customHeight="1">
      <c r="A3452" s="734"/>
      <c r="B3452" s="747" t="s">
        <v>469</v>
      </c>
      <c r="C3452" s="735" t="s">
        <v>507</v>
      </c>
      <c r="D3452" s="735"/>
      <c r="E3452" s="737">
        <f t="shared" si="810"/>
        <v>1</v>
      </c>
      <c r="F3452" s="738" t="s">
        <v>363</v>
      </c>
      <c r="G3452" s="739">
        <v>1650</v>
      </c>
      <c r="H3452" s="748">
        <f t="shared" si="806"/>
        <v>1650</v>
      </c>
      <c r="I3452" s="741">
        <v>70</v>
      </c>
      <c r="J3452" s="749">
        <f t="shared" si="812"/>
        <v>70</v>
      </c>
      <c r="K3452" s="739">
        <f t="shared" si="808"/>
        <v>1720</v>
      </c>
      <c r="L3452" s="1079"/>
      <c r="M3452" s="752"/>
      <c r="N3452" s="744">
        <f t="shared" si="811"/>
        <v>1</v>
      </c>
      <c r="O3452" s="745">
        <v>0</v>
      </c>
      <c r="P3452" s="737">
        <v>1</v>
      </c>
      <c r="Q3452" s="752"/>
      <c r="R3452" s="752"/>
      <c r="S3452" s="752"/>
    </row>
    <row r="3453" spans="1:19" s="753" customFormat="1" ht="24" customHeight="1">
      <c r="A3453" s="734"/>
      <c r="B3453" s="747" t="s">
        <v>469</v>
      </c>
      <c r="C3453" s="735" t="s">
        <v>508</v>
      </c>
      <c r="D3453" s="735"/>
      <c r="E3453" s="737">
        <f t="shared" si="810"/>
        <v>10</v>
      </c>
      <c r="F3453" s="738" t="s">
        <v>363</v>
      </c>
      <c r="G3453" s="739">
        <v>13500</v>
      </c>
      <c r="H3453" s="748">
        <f t="shared" si="806"/>
        <v>135000</v>
      </c>
      <c r="I3453" s="741">
        <v>750</v>
      </c>
      <c r="J3453" s="749">
        <f t="shared" si="812"/>
        <v>7500</v>
      </c>
      <c r="K3453" s="739">
        <f t="shared" si="808"/>
        <v>142500</v>
      </c>
      <c r="L3453" s="1079"/>
      <c r="M3453" s="752"/>
      <c r="N3453" s="744">
        <f t="shared" si="811"/>
        <v>10</v>
      </c>
      <c r="O3453" s="745">
        <v>0</v>
      </c>
      <c r="P3453" s="737">
        <v>10</v>
      </c>
      <c r="Q3453" s="752"/>
      <c r="R3453" s="752"/>
      <c r="S3453" s="752"/>
    </row>
    <row r="3454" spans="1:19" s="682" customFormat="1" ht="24" customHeight="1">
      <c r="A3454" s="734"/>
      <c r="B3454" s="747" t="s">
        <v>469</v>
      </c>
      <c r="C3454" s="735" t="s">
        <v>509</v>
      </c>
      <c r="D3454" s="735"/>
      <c r="E3454" s="737">
        <f t="shared" si="810"/>
        <v>1</v>
      </c>
      <c r="F3454" s="738" t="s">
        <v>363</v>
      </c>
      <c r="G3454" s="739">
        <v>14476</v>
      </c>
      <c r="H3454" s="748">
        <f t="shared" si="806"/>
        <v>14476</v>
      </c>
      <c r="I3454" s="741">
        <v>5367</v>
      </c>
      <c r="J3454" s="749">
        <f t="shared" si="812"/>
        <v>5367</v>
      </c>
      <c r="K3454" s="739">
        <f t="shared" si="808"/>
        <v>19843</v>
      </c>
      <c r="L3454" s="1079"/>
      <c r="M3454" s="679"/>
      <c r="N3454" s="744">
        <f t="shared" si="811"/>
        <v>1</v>
      </c>
      <c r="O3454" s="745">
        <v>0</v>
      </c>
      <c r="P3454" s="737">
        <v>1</v>
      </c>
      <c r="Q3454" s="679"/>
      <c r="R3454" s="679"/>
      <c r="S3454" s="679"/>
    </row>
    <row r="3455" spans="1:19" s="753" customFormat="1" ht="24" customHeight="1">
      <c r="A3455" s="734"/>
      <c r="B3455" s="747"/>
      <c r="C3455" s="735"/>
      <c r="D3455" s="907"/>
      <c r="E3455" s="737">
        <f t="shared" si="810"/>
        <v>0</v>
      </c>
      <c r="F3455" s="738"/>
      <c r="G3455" s="739">
        <v>0</v>
      </c>
      <c r="H3455" s="748">
        <f t="shared" si="806"/>
        <v>0</v>
      </c>
      <c r="I3455" s="741">
        <v>0</v>
      </c>
      <c r="J3455" s="749">
        <f t="shared" si="812"/>
        <v>0</v>
      </c>
      <c r="K3455" s="739">
        <f t="shared" si="808"/>
        <v>0</v>
      </c>
      <c r="L3455" s="1079"/>
      <c r="M3455" s="752"/>
      <c r="N3455" s="744">
        <f t="shared" si="811"/>
        <v>0</v>
      </c>
      <c r="O3455" s="745">
        <v>0</v>
      </c>
      <c r="P3455" s="737">
        <v>0</v>
      </c>
      <c r="Q3455" s="752"/>
      <c r="R3455" s="752"/>
      <c r="S3455" s="752"/>
    </row>
    <row r="3456" spans="1:19" s="753" customFormat="1" ht="24" customHeight="1">
      <c r="A3456" s="734"/>
      <c r="B3456" s="747" t="s">
        <v>469</v>
      </c>
      <c r="C3456" s="735" t="s">
        <v>510</v>
      </c>
      <c r="D3456" s="735"/>
      <c r="E3456" s="737">
        <f t="shared" si="810"/>
        <v>5.8</v>
      </c>
      <c r="F3456" s="738" t="s">
        <v>361</v>
      </c>
      <c r="G3456" s="739">
        <v>2694</v>
      </c>
      <c r="H3456" s="748">
        <f t="shared" si="806"/>
        <v>15625.199999999999</v>
      </c>
      <c r="I3456" s="741">
        <v>1288</v>
      </c>
      <c r="J3456" s="749">
        <f t="shared" si="812"/>
        <v>7470.4</v>
      </c>
      <c r="K3456" s="739">
        <f t="shared" si="808"/>
        <v>23095.599999999999</v>
      </c>
      <c r="L3456" s="1079"/>
      <c r="M3456" s="752"/>
      <c r="N3456" s="744">
        <f t="shared" si="811"/>
        <v>5.8</v>
      </c>
      <c r="O3456" s="745">
        <v>0</v>
      </c>
      <c r="P3456" s="737">
        <v>5.8</v>
      </c>
      <c r="Q3456" s="752"/>
      <c r="R3456" s="752"/>
      <c r="S3456" s="752"/>
    </row>
    <row r="3457" spans="1:19" s="753" customFormat="1" ht="24" customHeight="1">
      <c r="A3457" s="734"/>
      <c r="B3457" s="747"/>
      <c r="C3457" s="735" t="s">
        <v>511</v>
      </c>
      <c r="D3457" s="735"/>
      <c r="E3457" s="737">
        <f t="shared" si="810"/>
        <v>0</v>
      </c>
      <c r="F3457" s="738"/>
      <c r="G3457" s="739"/>
      <c r="H3457" s="748">
        <f t="shared" si="806"/>
        <v>0</v>
      </c>
      <c r="I3457" s="741"/>
      <c r="J3457" s="749">
        <f t="shared" si="812"/>
        <v>0</v>
      </c>
      <c r="K3457" s="739">
        <f t="shared" si="808"/>
        <v>0</v>
      </c>
      <c r="L3457" s="1079"/>
      <c r="M3457" s="752"/>
      <c r="N3457" s="744">
        <f t="shared" si="811"/>
        <v>0</v>
      </c>
      <c r="O3457" s="745">
        <v>0</v>
      </c>
      <c r="P3457" s="737">
        <v>0</v>
      </c>
      <c r="Q3457" s="752"/>
      <c r="R3457" s="752"/>
      <c r="S3457" s="752"/>
    </row>
    <row r="3458" spans="1:19" s="753" customFormat="1" ht="24" customHeight="1">
      <c r="A3458" s="734"/>
      <c r="B3458" s="747" t="s">
        <v>469</v>
      </c>
      <c r="C3458" s="735" t="s">
        <v>512</v>
      </c>
      <c r="D3458" s="735"/>
      <c r="E3458" s="737">
        <f t="shared" si="810"/>
        <v>5.8</v>
      </c>
      <c r="F3458" s="738" t="s">
        <v>361</v>
      </c>
      <c r="G3458" s="739">
        <v>3886</v>
      </c>
      <c r="H3458" s="748">
        <f t="shared" si="806"/>
        <v>22538.799999999999</v>
      </c>
      <c r="I3458" s="741">
        <v>1238</v>
      </c>
      <c r="J3458" s="749">
        <f t="shared" si="812"/>
        <v>7180.4</v>
      </c>
      <c r="K3458" s="739">
        <f t="shared" si="808"/>
        <v>29719.199999999997</v>
      </c>
      <c r="L3458" s="1079"/>
      <c r="M3458" s="752"/>
      <c r="N3458" s="744">
        <f t="shared" si="811"/>
        <v>5.8</v>
      </c>
      <c r="O3458" s="745">
        <v>0</v>
      </c>
      <c r="P3458" s="737">
        <v>5.8</v>
      </c>
      <c r="Q3458" s="752"/>
      <c r="R3458" s="752"/>
      <c r="S3458" s="752"/>
    </row>
    <row r="3459" spans="1:19" s="753" customFormat="1" ht="24" customHeight="1">
      <c r="A3459" s="734"/>
      <c r="B3459" s="747"/>
      <c r="C3459" s="735" t="s">
        <v>513</v>
      </c>
      <c r="D3459" s="735"/>
      <c r="E3459" s="737">
        <f t="shared" si="810"/>
        <v>0</v>
      </c>
      <c r="F3459" s="738"/>
      <c r="G3459" s="739">
        <v>0</v>
      </c>
      <c r="H3459" s="748">
        <f t="shared" si="806"/>
        <v>0</v>
      </c>
      <c r="I3459" s="741">
        <v>0</v>
      </c>
      <c r="J3459" s="749">
        <f t="shared" si="812"/>
        <v>0</v>
      </c>
      <c r="K3459" s="739">
        <f t="shared" si="808"/>
        <v>0</v>
      </c>
      <c r="L3459" s="1079"/>
      <c r="M3459" s="752"/>
      <c r="N3459" s="744">
        <f t="shared" si="811"/>
        <v>0</v>
      </c>
      <c r="O3459" s="745">
        <v>0</v>
      </c>
      <c r="P3459" s="737">
        <v>0</v>
      </c>
      <c r="Q3459" s="752"/>
      <c r="R3459" s="752"/>
      <c r="S3459" s="752"/>
    </row>
    <row r="3460" spans="1:19" s="753" customFormat="1" ht="24" customHeight="1">
      <c r="A3460" s="734"/>
      <c r="B3460" s="747" t="s">
        <v>469</v>
      </c>
      <c r="C3460" s="735" t="s">
        <v>521</v>
      </c>
      <c r="D3460" s="735"/>
      <c r="E3460" s="737">
        <f t="shared" si="810"/>
        <v>9</v>
      </c>
      <c r="F3460" s="738" t="s">
        <v>361</v>
      </c>
      <c r="G3460" s="739">
        <v>1522</v>
      </c>
      <c r="H3460" s="748">
        <f t="shared" si="806"/>
        <v>13698</v>
      </c>
      <c r="I3460" s="741">
        <v>315</v>
      </c>
      <c r="J3460" s="749">
        <f t="shared" si="812"/>
        <v>2835</v>
      </c>
      <c r="K3460" s="739">
        <f t="shared" si="808"/>
        <v>16533</v>
      </c>
      <c r="L3460" s="1079"/>
      <c r="M3460" s="752"/>
      <c r="N3460" s="744">
        <f t="shared" si="811"/>
        <v>9</v>
      </c>
      <c r="O3460" s="745">
        <v>0</v>
      </c>
      <c r="P3460" s="737">
        <v>9</v>
      </c>
      <c r="Q3460" s="752"/>
      <c r="R3460" s="752"/>
      <c r="S3460" s="752"/>
    </row>
    <row r="3461" spans="1:19" s="753" customFormat="1" ht="24" customHeight="1">
      <c r="A3461" s="734"/>
      <c r="B3461" s="747"/>
      <c r="C3461" s="735"/>
      <c r="D3461" s="735"/>
      <c r="E3461" s="737">
        <f t="shared" si="810"/>
        <v>0</v>
      </c>
      <c r="F3461" s="738"/>
      <c r="G3461" s="739">
        <v>0</v>
      </c>
      <c r="H3461" s="748">
        <f t="shared" si="806"/>
        <v>0</v>
      </c>
      <c r="I3461" s="741">
        <v>0</v>
      </c>
      <c r="J3461" s="749">
        <f t="shared" si="812"/>
        <v>0</v>
      </c>
      <c r="K3461" s="739">
        <f t="shared" si="808"/>
        <v>0</v>
      </c>
      <c r="L3461" s="1079"/>
      <c r="M3461" s="752"/>
      <c r="N3461" s="744">
        <f t="shared" si="811"/>
        <v>0</v>
      </c>
      <c r="O3461" s="745">
        <v>0</v>
      </c>
      <c r="P3461" s="737">
        <v>0</v>
      </c>
      <c r="Q3461" s="752"/>
      <c r="R3461" s="752"/>
      <c r="S3461" s="752"/>
    </row>
    <row r="3462" spans="1:19" s="682" customFormat="1" ht="24" customHeight="1">
      <c r="A3462" s="734"/>
      <c r="B3462" s="747" t="s">
        <v>469</v>
      </c>
      <c r="C3462" s="735" t="s">
        <v>515</v>
      </c>
      <c r="D3462" s="735"/>
      <c r="E3462" s="737">
        <f t="shared" si="810"/>
        <v>1</v>
      </c>
      <c r="F3462" s="738" t="s">
        <v>363</v>
      </c>
      <c r="G3462" s="739">
        <v>5013</v>
      </c>
      <c r="H3462" s="748">
        <f t="shared" ref="H3462:H3498" si="813">SUM(E3462*G3462)</f>
        <v>5013</v>
      </c>
      <c r="I3462" s="741">
        <v>2403</v>
      </c>
      <c r="J3462" s="749">
        <f t="shared" si="812"/>
        <v>2403</v>
      </c>
      <c r="K3462" s="739">
        <f t="shared" ref="K3462:K3525" si="814">SUM(H3462+J3462)</f>
        <v>7416</v>
      </c>
      <c r="L3462" s="1079"/>
      <c r="M3462" s="679"/>
      <c r="N3462" s="744">
        <f t="shared" si="811"/>
        <v>1</v>
      </c>
      <c r="O3462" s="745">
        <v>0</v>
      </c>
      <c r="P3462" s="737">
        <v>1</v>
      </c>
      <c r="Q3462" s="679"/>
      <c r="R3462" s="679"/>
      <c r="S3462" s="679"/>
    </row>
    <row r="3463" spans="1:19" s="682" customFormat="1" ht="24" customHeight="1">
      <c r="A3463" s="734"/>
      <c r="B3463" s="747"/>
      <c r="C3463" s="735" t="s">
        <v>516</v>
      </c>
      <c r="D3463" s="735"/>
      <c r="E3463" s="737">
        <f t="shared" si="810"/>
        <v>0</v>
      </c>
      <c r="F3463" s="738"/>
      <c r="G3463" s="739"/>
      <c r="H3463" s="748">
        <f t="shared" si="813"/>
        <v>0</v>
      </c>
      <c r="I3463" s="741"/>
      <c r="J3463" s="749">
        <f t="shared" si="812"/>
        <v>0</v>
      </c>
      <c r="K3463" s="739">
        <f t="shared" si="814"/>
        <v>0</v>
      </c>
      <c r="L3463" s="1079"/>
      <c r="M3463" s="679"/>
      <c r="N3463" s="744">
        <f t="shared" si="811"/>
        <v>0</v>
      </c>
      <c r="O3463" s="745">
        <v>0</v>
      </c>
      <c r="P3463" s="737">
        <v>0</v>
      </c>
      <c r="Q3463" s="679"/>
      <c r="R3463" s="679"/>
      <c r="S3463" s="679"/>
    </row>
    <row r="3464" spans="1:19" s="682" customFormat="1" ht="24" customHeight="1">
      <c r="A3464" s="734"/>
      <c r="B3464" s="747"/>
      <c r="C3464" s="735"/>
      <c r="D3464" s="735"/>
      <c r="E3464" s="737">
        <f t="shared" si="810"/>
        <v>0</v>
      </c>
      <c r="F3464" s="738"/>
      <c r="G3464" s="739"/>
      <c r="H3464" s="748">
        <f t="shared" si="813"/>
        <v>0</v>
      </c>
      <c r="I3464" s="741"/>
      <c r="J3464" s="749">
        <f t="shared" si="812"/>
        <v>0</v>
      </c>
      <c r="K3464" s="739">
        <f t="shared" si="814"/>
        <v>0</v>
      </c>
      <c r="L3464" s="1079"/>
      <c r="M3464" s="679"/>
      <c r="N3464" s="744">
        <f t="shared" si="811"/>
        <v>0</v>
      </c>
      <c r="O3464" s="745">
        <v>0</v>
      </c>
      <c r="P3464" s="737">
        <v>0</v>
      </c>
      <c r="Q3464" s="679"/>
      <c r="R3464" s="679"/>
      <c r="S3464" s="679"/>
    </row>
    <row r="3465" spans="1:19" s="756" customFormat="1" ht="24" customHeight="1">
      <c r="A3465" s="734"/>
      <c r="B3465" s="747" t="s">
        <v>469</v>
      </c>
      <c r="C3465" s="735" t="s">
        <v>517</v>
      </c>
      <c r="D3465" s="907"/>
      <c r="E3465" s="737">
        <f t="shared" ref="E3465:E3528" si="815">+N3465</f>
        <v>0</v>
      </c>
      <c r="F3465" s="738" t="s">
        <v>361</v>
      </c>
      <c r="G3465" s="739">
        <v>5075.5555555555557</v>
      </c>
      <c r="H3465" s="748">
        <f t="shared" si="813"/>
        <v>0</v>
      </c>
      <c r="I3465" s="741">
        <v>2545.7777777777778</v>
      </c>
      <c r="J3465" s="749">
        <f t="shared" si="812"/>
        <v>0</v>
      </c>
      <c r="K3465" s="739">
        <f t="shared" si="814"/>
        <v>0</v>
      </c>
      <c r="L3465" s="1079"/>
      <c r="M3465" s="755"/>
      <c r="N3465" s="744">
        <f t="shared" si="811"/>
        <v>0</v>
      </c>
      <c r="O3465" s="745">
        <v>0</v>
      </c>
      <c r="P3465" s="737">
        <v>0</v>
      </c>
      <c r="Q3465" s="755"/>
      <c r="R3465" s="755"/>
      <c r="S3465" s="755"/>
    </row>
    <row r="3466" spans="1:19" s="756" customFormat="1" ht="24" customHeight="1">
      <c r="A3466" s="734"/>
      <c r="B3466" s="747"/>
      <c r="C3466" s="735" t="s">
        <v>488</v>
      </c>
      <c r="D3466" s="907"/>
      <c r="E3466" s="737">
        <f t="shared" si="815"/>
        <v>0</v>
      </c>
      <c r="F3466" s="738"/>
      <c r="G3466" s="739">
        <v>0</v>
      </c>
      <c r="H3466" s="748">
        <f t="shared" si="813"/>
        <v>0</v>
      </c>
      <c r="I3466" s="741">
        <v>0</v>
      </c>
      <c r="J3466" s="749">
        <f t="shared" si="812"/>
        <v>0</v>
      </c>
      <c r="K3466" s="739">
        <f t="shared" si="814"/>
        <v>0</v>
      </c>
      <c r="L3466" s="1079"/>
      <c r="M3466" s="755"/>
      <c r="N3466" s="744">
        <f t="shared" si="811"/>
        <v>0</v>
      </c>
      <c r="O3466" s="745">
        <v>0</v>
      </c>
      <c r="P3466" s="737">
        <v>0</v>
      </c>
      <c r="Q3466" s="755"/>
      <c r="R3466" s="755"/>
      <c r="S3466" s="755"/>
    </row>
    <row r="3467" spans="1:19" s="753" customFormat="1" ht="24" customHeight="1">
      <c r="A3467" s="734"/>
      <c r="B3467" s="747" t="s">
        <v>469</v>
      </c>
      <c r="C3467" s="735" t="s">
        <v>518</v>
      </c>
      <c r="D3467" s="735"/>
      <c r="E3467" s="737">
        <f t="shared" si="815"/>
        <v>0</v>
      </c>
      <c r="F3467" s="738" t="s">
        <v>361</v>
      </c>
      <c r="G3467" s="739">
        <v>3886</v>
      </c>
      <c r="H3467" s="748">
        <f t="shared" si="813"/>
        <v>0</v>
      </c>
      <c r="I3467" s="741">
        <v>1238</v>
      </c>
      <c r="J3467" s="749">
        <f t="shared" si="812"/>
        <v>0</v>
      </c>
      <c r="K3467" s="739">
        <f t="shared" si="814"/>
        <v>0</v>
      </c>
      <c r="L3467" s="1079"/>
      <c r="M3467" s="752"/>
      <c r="N3467" s="744">
        <f t="shared" si="811"/>
        <v>0</v>
      </c>
      <c r="O3467" s="745">
        <v>0</v>
      </c>
      <c r="P3467" s="737">
        <v>0</v>
      </c>
      <c r="Q3467" s="752"/>
      <c r="R3467" s="752"/>
      <c r="S3467" s="752"/>
    </row>
    <row r="3468" spans="1:19" s="753" customFormat="1" ht="24" customHeight="1">
      <c r="A3468" s="734"/>
      <c r="B3468" s="747"/>
      <c r="C3468" s="735" t="s">
        <v>513</v>
      </c>
      <c r="D3468" s="735"/>
      <c r="E3468" s="737">
        <f t="shared" si="815"/>
        <v>0</v>
      </c>
      <c r="F3468" s="738"/>
      <c r="G3468" s="739">
        <v>0</v>
      </c>
      <c r="H3468" s="748">
        <f t="shared" si="813"/>
        <v>0</v>
      </c>
      <c r="I3468" s="741">
        <v>0</v>
      </c>
      <c r="J3468" s="749">
        <f t="shared" si="812"/>
        <v>0</v>
      </c>
      <c r="K3468" s="739">
        <f t="shared" si="814"/>
        <v>0</v>
      </c>
      <c r="L3468" s="1079"/>
      <c r="M3468" s="752"/>
      <c r="N3468" s="744">
        <f t="shared" si="811"/>
        <v>0</v>
      </c>
      <c r="O3468" s="745">
        <v>0</v>
      </c>
      <c r="P3468" s="737">
        <v>0</v>
      </c>
      <c r="Q3468" s="752"/>
      <c r="R3468" s="752"/>
      <c r="S3468" s="752"/>
    </row>
    <row r="3469" spans="1:19" s="682" customFormat="1" ht="24" customHeight="1">
      <c r="A3469" s="734"/>
      <c r="B3469" s="747"/>
      <c r="C3469" s="735"/>
      <c r="D3469" s="735"/>
      <c r="E3469" s="737">
        <f t="shared" si="815"/>
        <v>0</v>
      </c>
      <c r="F3469" s="738"/>
      <c r="G3469" s="739"/>
      <c r="H3469" s="748">
        <f t="shared" si="813"/>
        <v>0</v>
      </c>
      <c r="I3469" s="741"/>
      <c r="J3469" s="749">
        <f t="shared" si="812"/>
        <v>0</v>
      </c>
      <c r="K3469" s="739">
        <f t="shared" si="814"/>
        <v>0</v>
      </c>
      <c r="L3469" s="1079"/>
      <c r="M3469" s="679"/>
      <c r="N3469" s="744">
        <f t="shared" si="811"/>
        <v>0</v>
      </c>
      <c r="O3469" s="745">
        <v>0</v>
      </c>
      <c r="P3469" s="737">
        <v>0</v>
      </c>
      <c r="Q3469" s="679"/>
      <c r="R3469" s="679"/>
      <c r="S3469" s="679"/>
    </row>
    <row r="3470" spans="1:19" s="682" customFormat="1" ht="24" customHeight="1">
      <c r="A3470" s="734"/>
      <c r="B3470" s="747" t="s">
        <v>469</v>
      </c>
      <c r="C3470" s="735" t="s">
        <v>519</v>
      </c>
      <c r="D3470" s="735"/>
      <c r="E3470" s="737">
        <f t="shared" si="815"/>
        <v>1</v>
      </c>
      <c r="F3470" s="738" t="s">
        <v>363</v>
      </c>
      <c r="G3470" s="739">
        <v>800</v>
      </c>
      <c r="H3470" s="748">
        <f t="shared" si="813"/>
        <v>800</v>
      </c>
      <c r="I3470" s="741">
        <v>70</v>
      </c>
      <c r="J3470" s="749">
        <f t="shared" si="812"/>
        <v>70</v>
      </c>
      <c r="K3470" s="739">
        <f t="shared" si="814"/>
        <v>870</v>
      </c>
      <c r="L3470" s="1079"/>
      <c r="M3470" s="679"/>
      <c r="N3470" s="744">
        <f t="shared" si="811"/>
        <v>1</v>
      </c>
      <c r="O3470" s="745">
        <v>0</v>
      </c>
      <c r="P3470" s="737">
        <v>1</v>
      </c>
      <c r="Q3470" s="679"/>
      <c r="R3470" s="679"/>
      <c r="S3470" s="679"/>
    </row>
    <row r="3471" spans="1:19" s="682" customFormat="1" ht="24" customHeight="1">
      <c r="A3471" s="734"/>
      <c r="B3471" s="747" t="s">
        <v>469</v>
      </c>
      <c r="C3471" s="735" t="s">
        <v>520</v>
      </c>
      <c r="D3471" s="735"/>
      <c r="E3471" s="737">
        <f t="shared" si="815"/>
        <v>0</v>
      </c>
      <c r="F3471" s="738" t="s">
        <v>361</v>
      </c>
      <c r="G3471" s="739">
        <v>190</v>
      </c>
      <c r="H3471" s="748">
        <f t="shared" si="813"/>
        <v>0</v>
      </c>
      <c r="I3471" s="741">
        <v>75</v>
      </c>
      <c r="J3471" s="749">
        <f t="shared" si="812"/>
        <v>0</v>
      </c>
      <c r="K3471" s="739">
        <f t="shared" si="814"/>
        <v>0</v>
      </c>
      <c r="L3471" s="1079"/>
      <c r="M3471" s="679"/>
      <c r="N3471" s="744">
        <f t="shared" si="811"/>
        <v>0</v>
      </c>
      <c r="O3471" s="745">
        <v>0</v>
      </c>
      <c r="P3471" s="737">
        <v>0</v>
      </c>
      <c r="Q3471" s="679"/>
      <c r="R3471" s="679"/>
      <c r="S3471" s="679"/>
    </row>
    <row r="3472" spans="1:19" s="682" customFormat="1" ht="24" customHeight="1">
      <c r="A3472" s="734"/>
      <c r="B3472" s="747"/>
      <c r="C3472" s="735"/>
      <c r="D3472" s="735"/>
      <c r="E3472" s="737">
        <f t="shared" si="815"/>
        <v>0</v>
      </c>
      <c r="F3472" s="738"/>
      <c r="G3472" s="739"/>
      <c r="H3472" s="748">
        <f t="shared" si="813"/>
        <v>0</v>
      </c>
      <c r="I3472" s="741"/>
      <c r="J3472" s="749">
        <f t="shared" si="812"/>
        <v>0</v>
      </c>
      <c r="K3472" s="739">
        <f t="shared" si="814"/>
        <v>0</v>
      </c>
      <c r="L3472" s="1079"/>
      <c r="M3472" s="679"/>
      <c r="N3472" s="744">
        <f t="shared" ref="N3472:N3535" si="816">+(1+O3472)*P3472</f>
        <v>0</v>
      </c>
      <c r="O3472" s="745">
        <v>0</v>
      </c>
      <c r="P3472" s="737">
        <v>0</v>
      </c>
      <c r="Q3472" s="679"/>
      <c r="R3472" s="679"/>
      <c r="S3472" s="679"/>
    </row>
    <row r="3473" spans="1:19" s="753" customFormat="1" ht="24" customHeight="1">
      <c r="A3473" s="734"/>
      <c r="B3473" s="735" t="s">
        <v>1074</v>
      </c>
      <c r="C3473" s="735"/>
      <c r="D3473" s="735"/>
      <c r="E3473" s="737">
        <f t="shared" si="815"/>
        <v>0</v>
      </c>
      <c r="F3473" s="738"/>
      <c r="G3473" s="739">
        <v>0</v>
      </c>
      <c r="H3473" s="748">
        <f t="shared" si="813"/>
        <v>0</v>
      </c>
      <c r="I3473" s="741">
        <v>0</v>
      </c>
      <c r="J3473" s="749">
        <f t="shared" si="812"/>
        <v>0</v>
      </c>
      <c r="K3473" s="739">
        <f t="shared" si="814"/>
        <v>0</v>
      </c>
      <c r="L3473" s="1079"/>
      <c r="M3473" s="752"/>
      <c r="N3473" s="744">
        <f t="shared" si="816"/>
        <v>0</v>
      </c>
      <c r="O3473" s="745">
        <v>0</v>
      </c>
      <c r="P3473" s="737">
        <v>0</v>
      </c>
      <c r="Q3473" s="752"/>
      <c r="R3473" s="752"/>
      <c r="S3473" s="752"/>
    </row>
    <row r="3474" spans="1:19" s="753" customFormat="1" ht="24" customHeight="1">
      <c r="A3474" s="734"/>
      <c r="B3474" s="747" t="s">
        <v>469</v>
      </c>
      <c r="C3474" s="735" t="s">
        <v>522</v>
      </c>
      <c r="D3474" s="735"/>
      <c r="E3474" s="737">
        <f t="shared" si="815"/>
        <v>1</v>
      </c>
      <c r="F3474" s="738" t="s">
        <v>363</v>
      </c>
      <c r="G3474" s="739">
        <v>6832</v>
      </c>
      <c r="H3474" s="748">
        <f t="shared" si="813"/>
        <v>6832</v>
      </c>
      <c r="I3474" s="741">
        <v>450</v>
      </c>
      <c r="J3474" s="749">
        <f t="shared" si="812"/>
        <v>450</v>
      </c>
      <c r="K3474" s="739">
        <f t="shared" si="814"/>
        <v>7282</v>
      </c>
      <c r="L3474" s="1079"/>
      <c r="M3474" s="752"/>
      <c r="N3474" s="744">
        <f t="shared" si="816"/>
        <v>1</v>
      </c>
      <c r="O3474" s="745">
        <v>0</v>
      </c>
      <c r="P3474" s="737">
        <v>1</v>
      </c>
      <c r="Q3474" s="752"/>
      <c r="R3474" s="752"/>
      <c r="S3474" s="752"/>
    </row>
    <row r="3475" spans="1:19" s="753" customFormat="1" ht="24" customHeight="1">
      <c r="A3475" s="734"/>
      <c r="B3475" s="747" t="s">
        <v>469</v>
      </c>
      <c r="C3475" s="735" t="s">
        <v>498</v>
      </c>
      <c r="D3475" s="735"/>
      <c r="E3475" s="737">
        <f t="shared" si="815"/>
        <v>1</v>
      </c>
      <c r="F3475" s="738" t="s">
        <v>363</v>
      </c>
      <c r="G3475" s="739">
        <v>6640</v>
      </c>
      <c r="H3475" s="748">
        <f t="shared" si="813"/>
        <v>6640</v>
      </c>
      <c r="I3475" s="741">
        <v>200</v>
      </c>
      <c r="J3475" s="749">
        <f t="shared" si="812"/>
        <v>200</v>
      </c>
      <c r="K3475" s="739">
        <f t="shared" si="814"/>
        <v>6840</v>
      </c>
      <c r="L3475" s="1079"/>
      <c r="M3475" s="752"/>
      <c r="N3475" s="744">
        <f t="shared" si="816"/>
        <v>1</v>
      </c>
      <c r="O3475" s="745">
        <v>0</v>
      </c>
      <c r="P3475" s="737">
        <v>1</v>
      </c>
      <c r="Q3475" s="752"/>
      <c r="R3475" s="752"/>
      <c r="S3475" s="752"/>
    </row>
    <row r="3476" spans="1:19" s="753" customFormat="1" ht="24" customHeight="1">
      <c r="A3476" s="734"/>
      <c r="B3476" s="747" t="s">
        <v>469</v>
      </c>
      <c r="C3476" s="735" t="s">
        <v>476</v>
      </c>
      <c r="D3476" s="735"/>
      <c r="E3476" s="737">
        <f t="shared" si="815"/>
        <v>1</v>
      </c>
      <c r="F3476" s="738" t="s">
        <v>363</v>
      </c>
      <c r="G3476" s="739">
        <v>336</v>
      </c>
      <c r="H3476" s="748">
        <f t="shared" si="813"/>
        <v>336</v>
      </c>
      <c r="I3476" s="741">
        <v>0</v>
      </c>
      <c r="J3476" s="749">
        <f t="shared" si="812"/>
        <v>0</v>
      </c>
      <c r="K3476" s="739">
        <f t="shared" si="814"/>
        <v>336</v>
      </c>
      <c r="L3476" s="1079"/>
      <c r="M3476" s="752"/>
      <c r="N3476" s="744">
        <f t="shared" si="816"/>
        <v>1</v>
      </c>
      <c r="O3476" s="745">
        <v>0</v>
      </c>
      <c r="P3476" s="737">
        <v>1</v>
      </c>
      <c r="Q3476" s="752"/>
      <c r="R3476" s="752"/>
      <c r="S3476" s="752"/>
    </row>
    <row r="3477" spans="1:19" s="753" customFormat="1" ht="24" customHeight="1">
      <c r="A3477" s="734"/>
      <c r="B3477" s="747" t="s">
        <v>469</v>
      </c>
      <c r="C3477" s="735" t="s">
        <v>477</v>
      </c>
      <c r="D3477" s="735"/>
      <c r="E3477" s="737">
        <f t="shared" si="815"/>
        <v>1</v>
      </c>
      <c r="F3477" s="738" t="s">
        <v>363</v>
      </c>
      <c r="G3477" s="739">
        <v>736</v>
      </c>
      <c r="H3477" s="748">
        <f t="shared" si="813"/>
        <v>736</v>
      </c>
      <c r="I3477" s="741">
        <v>0</v>
      </c>
      <c r="J3477" s="749">
        <f t="shared" si="812"/>
        <v>0</v>
      </c>
      <c r="K3477" s="739">
        <f t="shared" si="814"/>
        <v>736</v>
      </c>
      <c r="L3477" s="1079"/>
      <c r="M3477" s="752"/>
      <c r="N3477" s="744">
        <f t="shared" si="816"/>
        <v>1</v>
      </c>
      <c r="O3477" s="745">
        <v>0</v>
      </c>
      <c r="P3477" s="737">
        <v>1</v>
      </c>
      <c r="Q3477" s="752"/>
      <c r="R3477" s="752"/>
      <c r="S3477" s="752"/>
    </row>
    <row r="3478" spans="1:19" s="753" customFormat="1" ht="24" customHeight="1">
      <c r="A3478" s="734"/>
      <c r="B3478" s="747" t="s">
        <v>469</v>
      </c>
      <c r="C3478" s="735" t="s">
        <v>478</v>
      </c>
      <c r="D3478" s="735"/>
      <c r="E3478" s="737">
        <f t="shared" si="815"/>
        <v>1</v>
      </c>
      <c r="F3478" s="738" t="s">
        <v>363</v>
      </c>
      <c r="G3478" s="739">
        <v>176</v>
      </c>
      <c r="H3478" s="748">
        <f t="shared" si="813"/>
        <v>176</v>
      </c>
      <c r="I3478" s="741">
        <v>0</v>
      </c>
      <c r="J3478" s="749">
        <f t="shared" si="812"/>
        <v>0</v>
      </c>
      <c r="K3478" s="739">
        <f t="shared" si="814"/>
        <v>176</v>
      </c>
      <c r="L3478" s="1079"/>
      <c r="M3478" s="752"/>
      <c r="N3478" s="744">
        <f t="shared" si="816"/>
        <v>1</v>
      </c>
      <c r="O3478" s="745">
        <v>0</v>
      </c>
      <c r="P3478" s="737">
        <v>1</v>
      </c>
      <c r="Q3478" s="752"/>
      <c r="R3478" s="752"/>
      <c r="S3478" s="752"/>
    </row>
    <row r="3479" spans="1:19" s="753" customFormat="1" ht="24" customHeight="1">
      <c r="A3479" s="734"/>
      <c r="B3479" s="747" t="s">
        <v>469</v>
      </c>
      <c r="C3479" s="735" t="s">
        <v>499</v>
      </c>
      <c r="D3479" s="735"/>
      <c r="E3479" s="737">
        <f t="shared" si="815"/>
        <v>1</v>
      </c>
      <c r="F3479" s="738" t="s">
        <v>363</v>
      </c>
      <c r="G3479" s="739">
        <v>216</v>
      </c>
      <c r="H3479" s="748">
        <f t="shared" si="813"/>
        <v>216</v>
      </c>
      <c r="I3479" s="741">
        <v>35</v>
      </c>
      <c r="J3479" s="749">
        <f t="shared" si="812"/>
        <v>35</v>
      </c>
      <c r="K3479" s="739">
        <f t="shared" si="814"/>
        <v>251</v>
      </c>
      <c r="L3479" s="1079"/>
      <c r="M3479" s="752"/>
      <c r="N3479" s="744">
        <f t="shared" si="816"/>
        <v>1</v>
      </c>
      <c r="O3479" s="745">
        <v>0</v>
      </c>
      <c r="P3479" s="737">
        <v>1</v>
      </c>
      <c r="Q3479" s="752"/>
      <c r="R3479" s="752"/>
      <c r="S3479" s="752"/>
    </row>
    <row r="3480" spans="1:19" s="753" customFormat="1" ht="24" customHeight="1">
      <c r="A3480" s="734"/>
      <c r="B3480" s="750"/>
      <c r="C3480" s="757"/>
      <c r="D3480" s="907"/>
      <c r="E3480" s="737">
        <f t="shared" si="815"/>
        <v>0</v>
      </c>
      <c r="F3480" s="738"/>
      <c r="G3480" s="739">
        <v>0</v>
      </c>
      <c r="H3480" s="748">
        <f t="shared" si="813"/>
        <v>0</v>
      </c>
      <c r="I3480" s="741">
        <v>0</v>
      </c>
      <c r="J3480" s="749">
        <f t="shared" si="812"/>
        <v>0</v>
      </c>
      <c r="K3480" s="739">
        <f t="shared" si="814"/>
        <v>0</v>
      </c>
      <c r="L3480" s="1079"/>
      <c r="M3480" s="752"/>
      <c r="N3480" s="744">
        <f t="shared" si="816"/>
        <v>0</v>
      </c>
      <c r="O3480" s="745">
        <v>0</v>
      </c>
      <c r="P3480" s="737">
        <v>0</v>
      </c>
      <c r="Q3480" s="752"/>
      <c r="R3480" s="752"/>
      <c r="S3480" s="752"/>
    </row>
    <row r="3481" spans="1:19" s="753" customFormat="1" ht="24" customHeight="1">
      <c r="A3481" s="734"/>
      <c r="B3481" s="747" t="s">
        <v>469</v>
      </c>
      <c r="C3481" s="735" t="s">
        <v>523</v>
      </c>
      <c r="D3481" s="735"/>
      <c r="E3481" s="737">
        <f t="shared" si="815"/>
        <v>1</v>
      </c>
      <c r="F3481" s="738" t="s">
        <v>363</v>
      </c>
      <c r="G3481" s="739">
        <v>6580</v>
      </c>
      <c r="H3481" s="748">
        <f t="shared" si="813"/>
        <v>6580</v>
      </c>
      <c r="I3481" s="741">
        <v>450</v>
      </c>
      <c r="J3481" s="749">
        <f t="shared" si="812"/>
        <v>450</v>
      </c>
      <c r="K3481" s="739">
        <f t="shared" si="814"/>
        <v>7030</v>
      </c>
      <c r="L3481" s="1079"/>
      <c r="M3481" s="752"/>
      <c r="N3481" s="744">
        <f t="shared" si="816"/>
        <v>1</v>
      </c>
      <c r="O3481" s="745">
        <v>0</v>
      </c>
      <c r="P3481" s="737">
        <v>1</v>
      </c>
      <c r="Q3481" s="752"/>
      <c r="R3481" s="752"/>
      <c r="S3481" s="752"/>
    </row>
    <row r="3482" spans="1:19" s="753" customFormat="1" ht="24" customHeight="1">
      <c r="A3482" s="734"/>
      <c r="B3482" s="747" t="s">
        <v>469</v>
      </c>
      <c r="C3482" s="735" t="s">
        <v>478</v>
      </c>
      <c r="D3482" s="735"/>
      <c r="E3482" s="737">
        <f t="shared" si="815"/>
        <v>1</v>
      </c>
      <c r="F3482" s="738" t="s">
        <v>363</v>
      </c>
      <c r="G3482" s="739">
        <v>176</v>
      </c>
      <c r="H3482" s="748">
        <f t="shared" si="813"/>
        <v>176</v>
      </c>
      <c r="I3482" s="741">
        <v>0</v>
      </c>
      <c r="J3482" s="749">
        <f t="shared" si="812"/>
        <v>0</v>
      </c>
      <c r="K3482" s="739">
        <f t="shared" si="814"/>
        <v>176</v>
      </c>
      <c r="L3482" s="1079"/>
      <c r="M3482" s="752"/>
      <c r="N3482" s="744">
        <f t="shared" si="816"/>
        <v>1</v>
      </c>
      <c r="O3482" s="745">
        <v>0</v>
      </c>
      <c r="P3482" s="737">
        <v>1</v>
      </c>
      <c r="Q3482" s="752"/>
      <c r="R3482" s="752"/>
      <c r="S3482" s="752"/>
    </row>
    <row r="3483" spans="1:19" s="753" customFormat="1" ht="24" customHeight="1">
      <c r="A3483" s="734"/>
      <c r="B3483" s="747" t="s">
        <v>469</v>
      </c>
      <c r="C3483" s="735" t="s">
        <v>482</v>
      </c>
      <c r="D3483" s="735"/>
      <c r="E3483" s="737">
        <f t="shared" si="815"/>
        <v>1</v>
      </c>
      <c r="F3483" s="738" t="s">
        <v>363</v>
      </c>
      <c r="G3483" s="739">
        <v>560</v>
      </c>
      <c r="H3483" s="748">
        <f t="shared" si="813"/>
        <v>560</v>
      </c>
      <c r="I3483" s="741">
        <v>35</v>
      </c>
      <c r="J3483" s="749">
        <f t="shared" si="812"/>
        <v>35</v>
      </c>
      <c r="K3483" s="739">
        <f t="shared" si="814"/>
        <v>595</v>
      </c>
      <c r="L3483" s="1079"/>
      <c r="M3483" s="752"/>
      <c r="N3483" s="744">
        <f t="shared" si="816"/>
        <v>1</v>
      </c>
      <c r="O3483" s="745">
        <v>0</v>
      </c>
      <c r="P3483" s="737">
        <v>1</v>
      </c>
      <c r="Q3483" s="752"/>
      <c r="R3483" s="752"/>
      <c r="S3483" s="752"/>
    </row>
    <row r="3484" spans="1:19" s="753" customFormat="1" ht="24" customHeight="1">
      <c r="A3484" s="734"/>
      <c r="B3484" s="747" t="s">
        <v>469</v>
      </c>
      <c r="C3484" s="735" t="s">
        <v>524</v>
      </c>
      <c r="D3484" s="735"/>
      <c r="E3484" s="737">
        <f t="shared" si="815"/>
        <v>1</v>
      </c>
      <c r="F3484" s="738" t="s">
        <v>363</v>
      </c>
      <c r="G3484" s="739">
        <v>216</v>
      </c>
      <c r="H3484" s="748">
        <f t="shared" si="813"/>
        <v>216</v>
      </c>
      <c r="I3484" s="741">
        <v>35</v>
      </c>
      <c r="J3484" s="749">
        <f t="shared" si="812"/>
        <v>35</v>
      </c>
      <c r="K3484" s="739">
        <f t="shared" si="814"/>
        <v>251</v>
      </c>
      <c r="L3484" s="1079"/>
      <c r="M3484" s="752"/>
      <c r="N3484" s="744">
        <f t="shared" si="816"/>
        <v>1</v>
      </c>
      <c r="O3484" s="745">
        <v>0</v>
      </c>
      <c r="P3484" s="737">
        <v>1</v>
      </c>
      <c r="Q3484" s="752"/>
      <c r="R3484" s="752"/>
      <c r="S3484" s="752"/>
    </row>
    <row r="3485" spans="1:19" s="753" customFormat="1" ht="24" customHeight="1">
      <c r="A3485" s="734"/>
      <c r="B3485" s="747"/>
      <c r="C3485" s="735"/>
      <c r="D3485" s="735"/>
      <c r="E3485" s="737">
        <f t="shared" si="815"/>
        <v>0</v>
      </c>
      <c r="F3485" s="738"/>
      <c r="G3485" s="739">
        <v>0</v>
      </c>
      <c r="H3485" s="748">
        <f t="shared" si="813"/>
        <v>0</v>
      </c>
      <c r="I3485" s="741">
        <v>0</v>
      </c>
      <c r="J3485" s="749">
        <f t="shared" si="812"/>
        <v>0</v>
      </c>
      <c r="K3485" s="739">
        <f t="shared" si="814"/>
        <v>0</v>
      </c>
      <c r="L3485" s="1079"/>
      <c r="M3485" s="752"/>
      <c r="N3485" s="744">
        <f t="shared" si="816"/>
        <v>0</v>
      </c>
      <c r="O3485" s="745">
        <v>0</v>
      </c>
      <c r="P3485" s="737">
        <v>0</v>
      </c>
      <c r="Q3485" s="752"/>
      <c r="R3485" s="752"/>
      <c r="S3485" s="752"/>
    </row>
    <row r="3486" spans="1:19" s="753" customFormat="1" ht="24" customHeight="1">
      <c r="A3486" s="734"/>
      <c r="B3486" s="747" t="s">
        <v>469</v>
      </c>
      <c r="C3486" s="735" t="s">
        <v>486</v>
      </c>
      <c r="D3486" s="735"/>
      <c r="E3486" s="737">
        <f t="shared" si="815"/>
        <v>1</v>
      </c>
      <c r="F3486" s="738" t="s">
        <v>363</v>
      </c>
      <c r="G3486" s="739">
        <v>552</v>
      </c>
      <c r="H3486" s="748">
        <f t="shared" si="813"/>
        <v>552</v>
      </c>
      <c r="I3486" s="741">
        <v>25</v>
      </c>
      <c r="J3486" s="749">
        <f t="shared" si="812"/>
        <v>25</v>
      </c>
      <c r="K3486" s="739">
        <f t="shared" si="814"/>
        <v>577</v>
      </c>
      <c r="L3486" s="1079"/>
      <c r="M3486" s="752"/>
      <c r="N3486" s="744">
        <f t="shared" si="816"/>
        <v>1</v>
      </c>
      <c r="O3486" s="745">
        <v>0</v>
      </c>
      <c r="P3486" s="737">
        <v>1</v>
      </c>
      <c r="Q3486" s="752"/>
      <c r="R3486" s="752"/>
      <c r="S3486" s="752"/>
    </row>
    <row r="3487" spans="1:19" s="753" customFormat="1" ht="24" customHeight="1">
      <c r="A3487" s="734"/>
      <c r="B3487" s="747" t="s">
        <v>484</v>
      </c>
      <c r="C3487" s="735" t="s">
        <v>485</v>
      </c>
      <c r="D3487" s="735"/>
      <c r="E3487" s="737">
        <f t="shared" si="815"/>
        <v>1</v>
      </c>
      <c r="F3487" s="738" t="s">
        <v>363</v>
      </c>
      <c r="G3487" s="739">
        <v>285</v>
      </c>
      <c r="H3487" s="748">
        <f t="shared" si="813"/>
        <v>285</v>
      </c>
      <c r="I3487" s="741">
        <v>75</v>
      </c>
      <c r="J3487" s="749">
        <f t="shared" si="812"/>
        <v>75</v>
      </c>
      <c r="K3487" s="739">
        <f t="shared" si="814"/>
        <v>360</v>
      </c>
      <c r="L3487" s="1093"/>
      <c r="M3487" s="752"/>
      <c r="N3487" s="744">
        <f t="shared" si="816"/>
        <v>1</v>
      </c>
      <c r="O3487" s="745">
        <v>0</v>
      </c>
      <c r="P3487" s="737">
        <v>1</v>
      </c>
      <c r="Q3487" s="752"/>
      <c r="R3487" s="752"/>
      <c r="S3487" s="752"/>
    </row>
    <row r="3488" spans="1:19" s="753" customFormat="1" ht="24" customHeight="1">
      <c r="A3488" s="734"/>
      <c r="B3488" s="747"/>
      <c r="C3488" s="735"/>
      <c r="D3488" s="735"/>
      <c r="E3488" s="737">
        <f t="shared" si="815"/>
        <v>0</v>
      </c>
      <c r="F3488" s="738"/>
      <c r="G3488" s="739">
        <v>0</v>
      </c>
      <c r="H3488" s="748">
        <f t="shared" si="813"/>
        <v>0</v>
      </c>
      <c r="I3488" s="741">
        <v>0</v>
      </c>
      <c r="J3488" s="749">
        <f t="shared" si="812"/>
        <v>0</v>
      </c>
      <c r="K3488" s="739">
        <f t="shared" si="814"/>
        <v>0</v>
      </c>
      <c r="L3488" s="1079"/>
      <c r="M3488" s="752"/>
      <c r="N3488" s="744">
        <f t="shared" si="816"/>
        <v>0</v>
      </c>
      <c r="O3488" s="745">
        <v>0</v>
      </c>
      <c r="P3488" s="737">
        <v>0</v>
      </c>
      <c r="Q3488" s="752"/>
      <c r="R3488" s="752"/>
      <c r="S3488" s="752"/>
    </row>
    <row r="3489" spans="1:19" s="753" customFormat="1" ht="24" customHeight="1">
      <c r="A3489" s="734"/>
      <c r="B3489" s="747" t="s">
        <v>469</v>
      </c>
      <c r="C3489" s="735" t="s">
        <v>507</v>
      </c>
      <c r="D3489" s="735"/>
      <c r="E3489" s="737">
        <f t="shared" si="815"/>
        <v>1</v>
      </c>
      <c r="F3489" s="738" t="s">
        <v>363</v>
      </c>
      <c r="G3489" s="739">
        <v>1650</v>
      </c>
      <c r="H3489" s="748">
        <f t="shared" si="813"/>
        <v>1650</v>
      </c>
      <c r="I3489" s="741">
        <v>70</v>
      </c>
      <c r="J3489" s="749">
        <f t="shared" si="812"/>
        <v>70</v>
      </c>
      <c r="K3489" s="739">
        <f t="shared" si="814"/>
        <v>1720</v>
      </c>
      <c r="L3489" s="1079"/>
      <c r="M3489" s="752"/>
      <c r="N3489" s="744">
        <f t="shared" si="816"/>
        <v>1</v>
      </c>
      <c r="O3489" s="745">
        <v>0</v>
      </c>
      <c r="P3489" s="737">
        <v>1</v>
      </c>
      <c r="Q3489" s="752"/>
      <c r="R3489" s="752"/>
      <c r="S3489" s="752"/>
    </row>
    <row r="3490" spans="1:19" s="753" customFormat="1" ht="24" customHeight="1">
      <c r="A3490" s="734"/>
      <c r="B3490" s="747" t="s">
        <v>469</v>
      </c>
      <c r="C3490" s="735" t="s">
        <v>525</v>
      </c>
      <c r="D3490" s="735"/>
      <c r="E3490" s="737">
        <f t="shared" si="815"/>
        <v>2</v>
      </c>
      <c r="F3490" s="738" t="s">
        <v>363</v>
      </c>
      <c r="G3490" s="739">
        <v>4160</v>
      </c>
      <c r="H3490" s="748">
        <f t="shared" si="813"/>
        <v>8320</v>
      </c>
      <c r="I3490" s="741">
        <v>105</v>
      </c>
      <c r="J3490" s="749">
        <f t="shared" si="812"/>
        <v>210</v>
      </c>
      <c r="K3490" s="739">
        <f t="shared" si="814"/>
        <v>8530</v>
      </c>
      <c r="L3490" s="1079"/>
      <c r="M3490" s="752"/>
      <c r="N3490" s="744">
        <f t="shared" si="816"/>
        <v>2</v>
      </c>
      <c r="O3490" s="745">
        <v>0</v>
      </c>
      <c r="P3490" s="737">
        <v>2</v>
      </c>
      <c r="Q3490" s="752"/>
      <c r="R3490" s="752"/>
      <c r="S3490" s="752"/>
    </row>
    <row r="3491" spans="1:19" s="753" customFormat="1" ht="24" customHeight="1">
      <c r="A3491" s="734"/>
      <c r="B3491" s="747" t="s">
        <v>469</v>
      </c>
      <c r="C3491" s="735" t="s">
        <v>526</v>
      </c>
      <c r="D3491" s="735"/>
      <c r="E3491" s="737">
        <f t="shared" si="815"/>
        <v>1</v>
      </c>
      <c r="F3491" s="738" t="s">
        <v>363</v>
      </c>
      <c r="G3491" s="739">
        <v>2533.5</v>
      </c>
      <c r="H3491" s="748">
        <f t="shared" si="813"/>
        <v>2533.5</v>
      </c>
      <c r="I3491" s="741">
        <v>105</v>
      </c>
      <c r="J3491" s="749">
        <f t="shared" si="812"/>
        <v>105</v>
      </c>
      <c r="K3491" s="739">
        <f t="shared" si="814"/>
        <v>2638.5</v>
      </c>
      <c r="L3491" s="1079"/>
      <c r="M3491" s="752"/>
      <c r="N3491" s="744">
        <f t="shared" si="816"/>
        <v>1</v>
      </c>
      <c r="O3491" s="745">
        <v>0</v>
      </c>
      <c r="P3491" s="737">
        <v>1</v>
      </c>
      <c r="Q3491" s="752"/>
      <c r="R3491" s="752"/>
      <c r="S3491" s="752"/>
    </row>
    <row r="3492" spans="1:19" s="753" customFormat="1" ht="24" customHeight="1">
      <c r="A3492" s="734"/>
      <c r="B3492" s="747"/>
      <c r="C3492" s="735"/>
      <c r="D3492" s="735"/>
      <c r="E3492" s="737">
        <f t="shared" si="815"/>
        <v>0</v>
      </c>
      <c r="F3492" s="738"/>
      <c r="G3492" s="739">
        <v>0</v>
      </c>
      <c r="H3492" s="748">
        <f t="shared" si="813"/>
        <v>0</v>
      </c>
      <c r="I3492" s="741">
        <v>0</v>
      </c>
      <c r="J3492" s="749">
        <f t="shared" si="812"/>
        <v>0</v>
      </c>
      <c r="K3492" s="739">
        <f t="shared" si="814"/>
        <v>0</v>
      </c>
      <c r="L3492" s="1079"/>
      <c r="M3492" s="752"/>
      <c r="N3492" s="744">
        <f t="shared" si="816"/>
        <v>0</v>
      </c>
      <c r="O3492" s="745">
        <v>0</v>
      </c>
      <c r="P3492" s="737">
        <v>0</v>
      </c>
      <c r="Q3492" s="752"/>
      <c r="R3492" s="752"/>
      <c r="S3492" s="752"/>
    </row>
    <row r="3493" spans="1:19" s="753" customFormat="1" ht="24" customHeight="1">
      <c r="A3493" s="734"/>
      <c r="B3493" s="747" t="s">
        <v>469</v>
      </c>
      <c r="C3493" s="735" t="s">
        <v>527</v>
      </c>
      <c r="D3493" s="735"/>
      <c r="E3493" s="737">
        <f t="shared" si="815"/>
        <v>1</v>
      </c>
      <c r="F3493" s="738" t="s">
        <v>363</v>
      </c>
      <c r="G3493" s="739">
        <v>2855</v>
      </c>
      <c r="H3493" s="748">
        <f t="shared" si="813"/>
        <v>2855</v>
      </c>
      <c r="I3493" s="741">
        <v>1432</v>
      </c>
      <c r="J3493" s="749">
        <f t="shared" si="812"/>
        <v>1432</v>
      </c>
      <c r="K3493" s="739">
        <f t="shared" si="814"/>
        <v>4287</v>
      </c>
      <c r="L3493" s="1079"/>
      <c r="M3493" s="752"/>
      <c r="N3493" s="744">
        <f t="shared" si="816"/>
        <v>1</v>
      </c>
      <c r="O3493" s="745">
        <v>0</v>
      </c>
      <c r="P3493" s="737">
        <v>1</v>
      </c>
      <c r="Q3493" s="752"/>
      <c r="R3493" s="752"/>
      <c r="S3493" s="752"/>
    </row>
    <row r="3494" spans="1:19" s="682" customFormat="1" ht="24" customHeight="1">
      <c r="A3494" s="734"/>
      <c r="B3494" s="747" t="s">
        <v>469</v>
      </c>
      <c r="C3494" s="735" t="s">
        <v>528</v>
      </c>
      <c r="D3494" s="735"/>
      <c r="E3494" s="737">
        <f t="shared" si="815"/>
        <v>0</v>
      </c>
      <c r="F3494" s="738" t="s">
        <v>363</v>
      </c>
      <c r="G3494" s="739">
        <v>9750</v>
      </c>
      <c r="H3494" s="748">
        <f t="shared" si="813"/>
        <v>0</v>
      </c>
      <c r="I3494" s="741">
        <v>105</v>
      </c>
      <c r="J3494" s="749">
        <f t="shared" si="812"/>
        <v>0</v>
      </c>
      <c r="K3494" s="739">
        <f t="shared" si="814"/>
        <v>0</v>
      </c>
      <c r="L3494" s="1079"/>
      <c r="M3494" s="679"/>
      <c r="N3494" s="744">
        <f t="shared" si="816"/>
        <v>0</v>
      </c>
      <c r="O3494" s="745">
        <v>0</v>
      </c>
      <c r="P3494" s="737">
        <v>0</v>
      </c>
      <c r="Q3494" s="679"/>
      <c r="R3494" s="679"/>
      <c r="S3494" s="679"/>
    </row>
    <row r="3495" spans="1:19" s="682" customFormat="1" ht="24" customHeight="1">
      <c r="A3495" s="734"/>
      <c r="B3495" s="747" t="s">
        <v>469</v>
      </c>
      <c r="C3495" s="735" t="s">
        <v>529</v>
      </c>
      <c r="D3495" s="735"/>
      <c r="E3495" s="737">
        <f t="shared" si="815"/>
        <v>0</v>
      </c>
      <c r="F3495" s="738" t="s">
        <v>363</v>
      </c>
      <c r="G3495" s="739">
        <v>5200</v>
      </c>
      <c r="H3495" s="748">
        <f t="shared" si="813"/>
        <v>0</v>
      </c>
      <c r="I3495" s="741">
        <v>70</v>
      </c>
      <c r="J3495" s="749">
        <f t="shared" si="812"/>
        <v>0</v>
      </c>
      <c r="K3495" s="739">
        <f t="shared" si="814"/>
        <v>0</v>
      </c>
      <c r="L3495" s="1079"/>
      <c r="M3495" s="679"/>
      <c r="N3495" s="744">
        <f t="shared" si="816"/>
        <v>0</v>
      </c>
      <c r="O3495" s="745">
        <v>0</v>
      </c>
      <c r="P3495" s="737">
        <v>0</v>
      </c>
      <c r="Q3495" s="679"/>
      <c r="R3495" s="679"/>
      <c r="S3495" s="679"/>
    </row>
    <row r="3496" spans="1:19" s="682" customFormat="1" ht="24" customHeight="1">
      <c r="A3496" s="734"/>
      <c r="B3496" s="747" t="s">
        <v>469</v>
      </c>
      <c r="C3496" s="735" t="s">
        <v>519</v>
      </c>
      <c r="D3496" s="735"/>
      <c r="E3496" s="737">
        <f t="shared" si="815"/>
        <v>1</v>
      </c>
      <c r="F3496" s="738" t="s">
        <v>363</v>
      </c>
      <c r="G3496" s="739">
        <v>800</v>
      </c>
      <c r="H3496" s="748">
        <f t="shared" si="813"/>
        <v>800</v>
      </c>
      <c r="I3496" s="741">
        <v>70</v>
      </c>
      <c r="J3496" s="749">
        <f t="shared" si="812"/>
        <v>70</v>
      </c>
      <c r="K3496" s="739">
        <f t="shared" si="814"/>
        <v>870</v>
      </c>
      <c r="L3496" s="1079"/>
      <c r="M3496" s="679"/>
      <c r="N3496" s="744">
        <f t="shared" si="816"/>
        <v>1</v>
      </c>
      <c r="O3496" s="745">
        <v>0</v>
      </c>
      <c r="P3496" s="737">
        <v>1</v>
      </c>
      <c r="Q3496" s="679"/>
      <c r="R3496" s="679"/>
      <c r="S3496" s="679"/>
    </row>
    <row r="3497" spans="1:19" s="682" customFormat="1" ht="24" customHeight="1">
      <c r="A3497" s="734"/>
      <c r="B3497" s="747" t="s">
        <v>469</v>
      </c>
      <c r="C3497" s="735" t="s">
        <v>520</v>
      </c>
      <c r="D3497" s="735"/>
      <c r="E3497" s="737">
        <f t="shared" si="815"/>
        <v>0</v>
      </c>
      <c r="F3497" s="738" t="s">
        <v>361</v>
      </c>
      <c r="G3497" s="739">
        <v>190</v>
      </c>
      <c r="H3497" s="748">
        <f t="shared" si="813"/>
        <v>0</v>
      </c>
      <c r="I3497" s="741">
        <v>75</v>
      </c>
      <c r="J3497" s="749">
        <f t="shared" si="812"/>
        <v>0</v>
      </c>
      <c r="K3497" s="739">
        <f t="shared" si="814"/>
        <v>0</v>
      </c>
      <c r="L3497" s="1079"/>
      <c r="M3497" s="679"/>
      <c r="N3497" s="744">
        <f t="shared" si="816"/>
        <v>0</v>
      </c>
      <c r="O3497" s="745">
        <v>0</v>
      </c>
      <c r="P3497" s="737">
        <v>0</v>
      </c>
      <c r="Q3497" s="679"/>
      <c r="R3497" s="679"/>
      <c r="S3497" s="679"/>
    </row>
    <row r="3498" spans="1:19" s="753" customFormat="1" ht="24" customHeight="1">
      <c r="A3498" s="734"/>
      <c r="B3498" s="747"/>
      <c r="C3498" s="735"/>
      <c r="D3498" s="735"/>
      <c r="E3498" s="737">
        <f t="shared" si="815"/>
        <v>0</v>
      </c>
      <c r="F3498" s="738"/>
      <c r="G3498" s="739">
        <v>0</v>
      </c>
      <c r="H3498" s="748">
        <f t="shared" si="813"/>
        <v>0</v>
      </c>
      <c r="I3498" s="741">
        <v>0</v>
      </c>
      <c r="J3498" s="749">
        <f t="shared" si="812"/>
        <v>0</v>
      </c>
      <c r="K3498" s="739">
        <f t="shared" si="814"/>
        <v>0</v>
      </c>
      <c r="L3498" s="1079"/>
      <c r="M3498" s="752"/>
      <c r="N3498" s="758">
        <f t="shared" si="816"/>
        <v>0</v>
      </c>
      <c r="O3498" s="745">
        <v>0</v>
      </c>
      <c r="P3498" s="759"/>
      <c r="Q3498" s="752"/>
      <c r="R3498" s="752"/>
      <c r="S3498" s="752"/>
    </row>
    <row r="3499" spans="1:19" s="753" customFormat="1" ht="24" customHeight="1">
      <c r="A3499" s="734"/>
      <c r="B3499" s="735" t="s">
        <v>1075</v>
      </c>
      <c r="C3499" s="736"/>
      <c r="D3499" s="907"/>
      <c r="E3499" s="737">
        <f t="shared" si="815"/>
        <v>0</v>
      </c>
      <c r="F3499" s="738"/>
      <c r="G3499" s="739">
        <v>0</v>
      </c>
      <c r="H3499" s="748">
        <f t="shared" ref="H3499:H3566" si="817">SUM(E3499*G3499)</f>
        <v>0</v>
      </c>
      <c r="I3499" s="741">
        <v>0</v>
      </c>
      <c r="J3499" s="749">
        <f t="shared" ref="J3499:J3566" si="818">SUM(E3499*I3499)</f>
        <v>0</v>
      </c>
      <c r="K3499" s="739">
        <f t="shared" si="814"/>
        <v>0</v>
      </c>
      <c r="L3499" s="1079"/>
      <c r="M3499" s="752"/>
      <c r="N3499" s="744">
        <f t="shared" si="816"/>
        <v>0</v>
      </c>
      <c r="O3499" s="745">
        <v>0</v>
      </c>
      <c r="P3499" s="737">
        <v>0</v>
      </c>
      <c r="Q3499" s="752"/>
      <c r="R3499" s="752"/>
      <c r="S3499" s="752"/>
    </row>
    <row r="3500" spans="1:19" s="753" customFormat="1" ht="24" customHeight="1">
      <c r="A3500" s="734"/>
      <c r="B3500" s="747" t="s">
        <v>469</v>
      </c>
      <c r="C3500" s="735" t="s">
        <v>497</v>
      </c>
      <c r="D3500" s="735"/>
      <c r="E3500" s="737">
        <f t="shared" si="815"/>
        <v>4</v>
      </c>
      <c r="F3500" s="738" t="s">
        <v>363</v>
      </c>
      <c r="G3500" s="739">
        <v>1540</v>
      </c>
      <c r="H3500" s="748">
        <f t="shared" si="817"/>
        <v>6160</v>
      </c>
      <c r="I3500" s="741">
        <v>450</v>
      </c>
      <c r="J3500" s="749">
        <f t="shared" si="818"/>
        <v>1800</v>
      </c>
      <c r="K3500" s="739">
        <f t="shared" si="814"/>
        <v>7960</v>
      </c>
      <c r="L3500" s="1079"/>
      <c r="M3500" s="752"/>
      <c r="N3500" s="744">
        <f t="shared" si="816"/>
        <v>4</v>
      </c>
      <c r="O3500" s="745">
        <v>0</v>
      </c>
      <c r="P3500" s="737">
        <v>4</v>
      </c>
      <c r="Q3500" s="752"/>
      <c r="R3500" s="752"/>
      <c r="S3500" s="752"/>
    </row>
    <row r="3501" spans="1:19" s="753" customFormat="1" ht="24" customHeight="1">
      <c r="A3501" s="734"/>
      <c r="B3501" s="747" t="s">
        <v>469</v>
      </c>
      <c r="C3501" s="735" t="s">
        <v>498</v>
      </c>
      <c r="D3501" s="735"/>
      <c r="E3501" s="737">
        <f t="shared" si="815"/>
        <v>4</v>
      </c>
      <c r="F3501" s="738" t="s">
        <v>363</v>
      </c>
      <c r="G3501" s="739">
        <v>6640</v>
      </c>
      <c r="H3501" s="748">
        <f t="shared" si="817"/>
        <v>26560</v>
      </c>
      <c r="I3501" s="741">
        <v>200</v>
      </c>
      <c r="J3501" s="749">
        <f t="shared" si="818"/>
        <v>800</v>
      </c>
      <c r="K3501" s="739">
        <f t="shared" si="814"/>
        <v>27360</v>
      </c>
      <c r="L3501" s="1079"/>
      <c r="M3501" s="752"/>
      <c r="N3501" s="744">
        <f t="shared" si="816"/>
        <v>4</v>
      </c>
      <c r="O3501" s="745">
        <v>0</v>
      </c>
      <c r="P3501" s="737">
        <v>4</v>
      </c>
      <c r="Q3501" s="752"/>
      <c r="R3501" s="752"/>
      <c r="S3501" s="752"/>
    </row>
    <row r="3502" spans="1:19" s="753" customFormat="1" ht="24" customHeight="1">
      <c r="A3502" s="734"/>
      <c r="B3502" s="747" t="s">
        <v>469</v>
      </c>
      <c r="C3502" s="735" t="s">
        <v>496</v>
      </c>
      <c r="D3502" s="735"/>
      <c r="E3502" s="737">
        <f t="shared" si="815"/>
        <v>4</v>
      </c>
      <c r="F3502" s="738" t="s">
        <v>363</v>
      </c>
      <c r="G3502" s="739">
        <v>336</v>
      </c>
      <c r="H3502" s="748">
        <f t="shared" si="817"/>
        <v>1344</v>
      </c>
      <c r="I3502" s="741">
        <v>0</v>
      </c>
      <c r="J3502" s="749">
        <f t="shared" si="818"/>
        <v>0</v>
      </c>
      <c r="K3502" s="739">
        <f t="shared" si="814"/>
        <v>1344</v>
      </c>
      <c r="L3502" s="1079"/>
      <c r="M3502" s="752"/>
      <c r="N3502" s="744">
        <f t="shared" si="816"/>
        <v>4</v>
      </c>
      <c r="O3502" s="745">
        <v>0</v>
      </c>
      <c r="P3502" s="737">
        <v>4</v>
      </c>
      <c r="Q3502" s="752"/>
      <c r="R3502" s="752"/>
      <c r="S3502" s="752"/>
    </row>
    <row r="3503" spans="1:19" s="753" customFormat="1" ht="24" customHeight="1">
      <c r="A3503" s="734"/>
      <c r="B3503" s="747" t="s">
        <v>469</v>
      </c>
      <c r="C3503" s="735" t="s">
        <v>490</v>
      </c>
      <c r="D3503" s="735"/>
      <c r="E3503" s="737">
        <f t="shared" si="815"/>
        <v>4</v>
      </c>
      <c r="F3503" s="738" t="s">
        <v>363</v>
      </c>
      <c r="G3503" s="739">
        <v>736</v>
      </c>
      <c r="H3503" s="748">
        <f t="shared" si="817"/>
        <v>2944</v>
      </c>
      <c r="I3503" s="741">
        <v>0</v>
      </c>
      <c r="J3503" s="749">
        <f t="shared" si="818"/>
        <v>0</v>
      </c>
      <c r="K3503" s="739">
        <f t="shared" si="814"/>
        <v>2944</v>
      </c>
      <c r="L3503" s="1079"/>
      <c r="M3503" s="752"/>
      <c r="N3503" s="744">
        <f t="shared" si="816"/>
        <v>4</v>
      </c>
      <c r="O3503" s="745">
        <v>0</v>
      </c>
      <c r="P3503" s="737">
        <v>4</v>
      </c>
      <c r="Q3503" s="752"/>
      <c r="R3503" s="752"/>
      <c r="S3503" s="752"/>
    </row>
    <row r="3504" spans="1:19" s="753" customFormat="1" ht="24" customHeight="1">
      <c r="A3504" s="734"/>
      <c r="B3504" s="747" t="s">
        <v>469</v>
      </c>
      <c r="C3504" s="735" t="s">
        <v>478</v>
      </c>
      <c r="D3504" s="735"/>
      <c r="E3504" s="737">
        <f t="shared" si="815"/>
        <v>4</v>
      </c>
      <c r="F3504" s="738" t="s">
        <v>363</v>
      </c>
      <c r="G3504" s="739">
        <v>176</v>
      </c>
      <c r="H3504" s="748">
        <f t="shared" si="817"/>
        <v>704</v>
      </c>
      <c r="I3504" s="741">
        <v>0</v>
      </c>
      <c r="J3504" s="749">
        <f t="shared" si="818"/>
        <v>0</v>
      </c>
      <c r="K3504" s="739">
        <f t="shared" si="814"/>
        <v>704</v>
      </c>
      <c r="L3504" s="1079"/>
      <c r="M3504" s="752"/>
      <c r="N3504" s="744">
        <f t="shared" si="816"/>
        <v>4</v>
      </c>
      <c r="O3504" s="745">
        <v>0</v>
      </c>
      <c r="P3504" s="737">
        <v>4</v>
      </c>
      <c r="Q3504" s="752"/>
      <c r="R3504" s="752"/>
      <c r="S3504" s="752"/>
    </row>
    <row r="3505" spans="1:19" s="753" customFormat="1" ht="24" customHeight="1">
      <c r="A3505" s="734"/>
      <c r="B3505" s="747" t="s">
        <v>469</v>
      </c>
      <c r="C3505" s="735" t="s">
        <v>499</v>
      </c>
      <c r="D3505" s="735"/>
      <c r="E3505" s="737">
        <f t="shared" si="815"/>
        <v>4</v>
      </c>
      <c r="F3505" s="738" t="s">
        <v>363</v>
      </c>
      <c r="G3505" s="739">
        <v>216</v>
      </c>
      <c r="H3505" s="748">
        <f t="shared" si="817"/>
        <v>864</v>
      </c>
      <c r="I3505" s="741">
        <v>35</v>
      </c>
      <c r="J3505" s="749">
        <f t="shared" si="818"/>
        <v>140</v>
      </c>
      <c r="K3505" s="739">
        <f t="shared" si="814"/>
        <v>1004</v>
      </c>
      <c r="L3505" s="1079"/>
      <c r="M3505" s="752"/>
      <c r="N3505" s="744">
        <f t="shared" si="816"/>
        <v>4</v>
      </c>
      <c r="O3505" s="745">
        <v>0</v>
      </c>
      <c r="P3505" s="737">
        <v>4</v>
      </c>
      <c r="Q3505" s="752"/>
      <c r="R3505" s="752"/>
      <c r="S3505" s="752"/>
    </row>
    <row r="3506" spans="1:19" s="753" customFormat="1" ht="24" customHeight="1">
      <c r="A3506" s="734"/>
      <c r="B3506" s="750"/>
      <c r="C3506" s="736"/>
      <c r="D3506" s="907"/>
      <c r="E3506" s="737">
        <f t="shared" si="815"/>
        <v>0</v>
      </c>
      <c r="F3506" s="738"/>
      <c r="G3506" s="739">
        <v>0</v>
      </c>
      <c r="H3506" s="748">
        <f t="shared" si="817"/>
        <v>0</v>
      </c>
      <c r="I3506" s="741">
        <v>0</v>
      </c>
      <c r="J3506" s="749">
        <f t="shared" si="818"/>
        <v>0</v>
      </c>
      <c r="K3506" s="739">
        <f t="shared" si="814"/>
        <v>0</v>
      </c>
      <c r="L3506" s="1079"/>
      <c r="M3506" s="752"/>
      <c r="N3506" s="744">
        <f t="shared" si="816"/>
        <v>0</v>
      </c>
      <c r="O3506" s="745">
        <v>0</v>
      </c>
      <c r="P3506" s="737">
        <v>0</v>
      </c>
      <c r="Q3506" s="752"/>
      <c r="R3506" s="752"/>
      <c r="S3506" s="752"/>
    </row>
    <row r="3507" spans="1:19" s="753" customFormat="1" ht="24" customHeight="1">
      <c r="A3507" s="734"/>
      <c r="B3507" s="747" t="s">
        <v>469</v>
      </c>
      <c r="C3507" s="735" t="s">
        <v>492</v>
      </c>
      <c r="D3507" s="735"/>
      <c r="E3507" s="737">
        <f t="shared" si="815"/>
        <v>5</v>
      </c>
      <c r="F3507" s="738" t="s">
        <v>363</v>
      </c>
      <c r="G3507" s="739">
        <v>9375</v>
      </c>
      <c r="H3507" s="748">
        <f t="shared" si="817"/>
        <v>46875</v>
      </c>
      <c r="I3507" s="741">
        <v>450</v>
      </c>
      <c r="J3507" s="749">
        <f t="shared" si="818"/>
        <v>2250</v>
      </c>
      <c r="K3507" s="739">
        <f t="shared" si="814"/>
        <v>49125</v>
      </c>
      <c r="L3507" s="1079"/>
      <c r="M3507" s="752"/>
      <c r="N3507" s="744">
        <f t="shared" si="816"/>
        <v>5</v>
      </c>
      <c r="O3507" s="745">
        <v>0</v>
      </c>
      <c r="P3507" s="737">
        <v>5</v>
      </c>
      <c r="Q3507" s="752"/>
      <c r="R3507" s="752"/>
      <c r="S3507" s="752"/>
    </row>
    <row r="3508" spans="1:19" s="753" customFormat="1" ht="24" customHeight="1">
      <c r="A3508" s="734"/>
      <c r="B3508" s="747" t="s">
        <v>469</v>
      </c>
      <c r="C3508" s="735" t="s">
        <v>500</v>
      </c>
      <c r="D3508" s="735"/>
      <c r="E3508" s="737">
        <f t="shared" si="815"/>
        <v>5</v>
      </c>
      <c r="F3508" s="738" t="s">
        <v>363</v>
      </c>
      <c r="G3508" s="739">
        <v>12752</v>
      </c>
      <c r="H3508" s="748">
        <f t="shared" si="817"/>
        <v>63760</v>
      </c>
      <c r="I3508" s="741">
        <v>0</v>
      </c>
      <c r="J3508" s="749">
        <f t="shared" si="818"/>
        <v>0</v>
      </c>
      <c r="K3508" s="739">
        <f t="shared" si="814"/>
        <v>63760</v>
      </c>
      <c r="L3508" s="1079"/>
      <c r="M3508" s="752"/>
      <c r="N3508" s="744">
        <f t="shared" si="816"/>
        <v>5</v>
      </c>
      <c r="O3508" s="745">
        <v>0</v>
      </c>
      <c r="P3508" s="737">
        <v>5</v>
      </c>
      <c r="Q3508" s="752"/>
      <c r="R3508" s="752"/>
      <c r="S3508" s="752"/>
    </row>
    <row r="3509" spans="1:19" s="753" customFormat="1" ht="24" customHeight="1">
      <c r="A3509" s="734"/>
      <c r="B3509" s="747" t="s">
        <v>469</v>
      </c>
      <c r="C3509" s="735" t="s">
        <v>501</v>
      </c>
      <c r="D3509" s="735"/>
      <c r="E3509" s="737">
        <v>0</v>
      </c>
      <c r="F3509" s="738" t="s">
        <v>363</v>
      </c>
      <c r="G3509" s="739">
        <v>1950</v>
      </c>
      <c r="H3509" s="748">
        <f t="shared" si="817"/>
        <v>0</v>
      </c>
      <c r="I3509" s="741">
        <v>35</v>
      </c>
      <c r="J3509" s="749">
        <f t="shared" si="818"/>
        <v>0</v>
      </c>
      <c r="K3509" s="739">
        <f t="shared" si="814"/>
        <v>0</v>
      </c>
      <c r="L3509" s="1079"/>
      <c r="M3509" s="752"/>
      <c r="N3509" s="744">
        <f t="shared" si="816"/>
        <v>5</v>
      </c>
      <c r="O3509" s="745">
        <v>0</v>
      </c>
      <c r="P3509" s="737">
        <v>5</v>
      </c>
      <c r="Q3509" s="752"/>
      <c r="R3509" s="752"/>
      <c r="S3509" s="752"/>
    </row>
    <row r="3510" spans="1:19" s="753" customFormat="1" ht="24" customHeight="1">
      <c r="A3510" s="734"/>
      <c r="B3510" s="747" t="s">
        <v>469</v>
      </c>
      <c r="C3510" s="735" t="s">
        <v>502</v>
      </c>
      <c r="D3510" s="735"/>
      <c r="E3510" s="737">
        <f t="shared" si="815"/>
        <v>5</v>
      </c>
      <c r="F3510" s="738" t="s">
        <v>363</v>
      </c>
      <c r="G3510" s="739">
        <v>216</v>
      </c>
      <c r="H3510" s="748">
        <f t="shared" si="817"/>
        <v>1080</v>
      </c>
      <c r="I3510" s="741">
        <v>35</v>
      </c>
      <c r="J3510" s="749">
        <f t="shared" si="818"/>
        <v>175</v>
      </c>
      <c r="K3510" s="739">
        <f t="shared" si="814"/>
        <v>1255</v>
      </c>
      <c r="L3510" s="1079"/>
      <c r="M3510" s="752"/>
      <c r="N3510" s="744">
        <f t="shared" si="816"/>
        <v>5</v>
      </c>
      <c r="O3510" s="745">
        <v>0</v>
      </c>
      <c r="P3510" s="737">
        <v>5</v>
      </c>
      <c r="Q3510" s="752"/>
      <c r="R3510" s="752"/>
      <c r="S3510" s="752"/>
    </row>
    <row r="3511" spans="1:19" s="753" customFormat="1" ht="24" customHeight="1">
      <c r="A3511" s="734"/>
      <c r="B3511" s="747"/>
      <c r="C3511" s="735"/>
      <c r="D3511" s="907"/>
      <c r="E3511" s="737">
        <f t="shared" si="815"/>
        <v>0</v>
      </c>
      <c r="F3511" s="738"/>
      <c r="G3511" s="739">
        <v>0</v>
      </c>
      <c r="H3511" s="748">
        <f t="shared" si="817"/>
        <v>0</v>
      </c>
      <c r="I3511" s="741">
        <v>0</v>
      </c>
      <c r="J3511" s="749">
        <f t="shared" si="818"/>
        <v>0</v>
      </c>
      <c r="K3511" s="739">
        <f t="shared" si="814"/>
        <v>0</v>
      </c>
      <c r="L3511" s="1079"/>
      <c r="M3511" s="752"/>
      <c r="N3511" s="744">
        <f t="shared" si="816"/>
        <v>0</v>
      </c>
      <c r="O3511" s="745">
        <v>0</v>
      </c>
      <c r="P3511" s="737">
        <v>0</v>
      </c>
      <c r="Q3511" s="752"/>
      <c r="R3511" s="752"/>
      <c r="S3511" s="752"/>
    </row>
    <row r="3512" spans="1:19" s="753" customFormat="1" ht="24" customHeight="1">
      <c r="A3512" s="734"/>
      <c r="B3512" s="747" t="s">
        <v>469</v>
      </c>
      <c r="C3512" s="735" t="s">
        <v>503</v>
      </c>
      <c r="D3512" s="735"/>
      <c r="E3512" s="737">
        <f t="shared" si="815"/>
        <v>8</v>
      </c>
      <c r="F3512" s="738" t="s">
        <v>363</v>
      </c>
      <c r="G3512" s="739">
        <v>3920</v>
      </c>
      <c r="H3512" s="748">
        <f t="shared" si="817"/>
        <v>31360</v>
      </c>
      <c r="I3512" s="741">
        <v>450</v>
      </c>
      <c r="J3512" s="749">
        <f t="shared" si="818"/>
        <v>3600</v>
      </c>
      <c r="K3512" s="739">
        <f t="shared" si="814"/>
        <v>34960</v>
      </c>
      <c r="L3512" s="1079"/>
      <c r="M3512" s="752"/>
      <c r="N3512" s="744">
        <f t="shared" si="816"/>
        <v>8</v>
      </c>
      <c r="O3512" s="745">
        <v>0</v>
      </c>
      <c r="P3512" s="737">
        <v>8</v>
      </c>
      <c r="Q3512" s="752"/>
      <c r="R3512" s="752"/>
      <c r="S3512" s="752"/>
    </row>
    <row r="3513" spans="1:19" s="753" customFormat="1" ht="24" customHeight="1">
      <c r="A3513" s="734"/>
      <c r="B3513" s="747" t="s">
        <v>469</v>
      </c>
      <c r="C3513" s="735" t="s">
        <v>504</v>
      </c>
      <c r="D3513" s="735"/>
      <c r="E3513" s="737">
        <f t="shared" si="815"/>
        <v>8</v>
      </c>
      <c r="F3513" s="738" t="s">
        <v>363</v>
      </c>
      <c r="G3513" s="739">
        <v>12752</v>
      </c>
      <c r="H3513" s="748">
        <f t="shared" si="817"/>
        <v>102016</v>
      </c>
      <c r="I3513" s="741">
        <v>0</v>
      </c>
      <c r="J3513" s="749">
        <f t="shared" si="818"/>
        <v>0</v>
      </c>
      <c r="K3513" s="739">
        <f t="shared" si="814"/>
        <v>102016</v>
      </c>
      <c r="L3513" s="1079"/>
      <c r="M3513" s="752"/>
      <c r="N3513" s="744">
        <f t="shared" si="816"/>
        <v>8</v>
      </c>
      <c r="O3513" s="745">
        <v>0</v>
      </c>
      <c r="P3513" s="737">
        <v>8</v>
      </c>
      <c r="Q3513" s="752"/>
      <c r="R3513" s="752"/>
      <c r="S3513" s="752"/>
    </row>
    <row r="3514" spans="1:19" s="682" customFormat="1" ht="24" customHeight="1">
      <c r="A3514" s="734"/>
      <c r="B3514" s="747" t="s">
        <v>469</v>
      </c>
      <c r="C3514" s="735" t="s">
        <v>505</v>
      </c>
      <c r="D3514" s="735"/>
      <c r="E3514" s="737">
        <f t="shared" si="815"/>
        <v>6</v>
      </c>
      <c r="F3514" s="738" t="s">
        <v>363</v>
      </c>
      <c r="G3514" s="739">
        <v>2280</v>
      </c>
      <c r="H3514" s="748">
        <f t="shared" si="817"/>
        <v>13680</v>
      </c>
      <c r="I3514" s="741">
        <v>300</v>
      </c>
      <c r="J3514" s="749">
        <f t="shared" si="818"/>
        <v>1800</v>
      </c>
      <c r="K3514" s="739">
        <f t="shared" si="814"/>
        <v>15480</v>
      </c>
      <c r="L3514" s="1079"/>
      <c r="M3514" s="679"/>
      <c r="N3514" s="744">
        <f t="shared" si="816"/>
        <v>6</v>
      </c>
      <c r="O3514" s="745">
        <v>0</v>
      </c>
      <c r="P3514" s="737">
        <v>6</v>
      </c>
      <c r="Q3514" s="679"/>
      <c r="R3514" s="679"/>
      <c r="S3514" s="679"/>
    </row>
    <row r="3515" spans="1:19" s="682" customFormat="1" ht="24" customHeight="1">
      <c r="A3515" s="734"/>
      <c r="B3515" s="747" t="s">
        <v>469</v>
      </c>
      <c r="C3515" s="735" t="s">
        <v>506</v>
      </c>
      <c r="D3515" s="735"/>
      <c r="E3515" s="737">
        <f t="shared" si="815"/>
        <v>0</v>
      </c>
      <c r="F3515" s="738" t="s">
        <v>363</v>
      </c>
      <c r="G3515" s="739">
        <v>6592</v>
      </c>
      <c r="H3515" s="748">
        <f t="shared" si="817"/>
        <v>0</v>
      </c>
      <c r="I3515" s="741">
        <v>140</v>
      </c>
      <c r="J3515" s="749">
        <f t="shared" si="818"/>
        <v>0</v>
      </c>
      <c r="K3515" s="739">
        <f t="shared" si="814"/>
        <v>0</v>
      </c>
      <c r="L3515" s="1079"/>
      <c r="M3515" s="679"/>
      <c r="N3515" s="744">
        <f t="shared" si="816"/>
        <v>0</v>
      </c>
      <c r="O3515" s="745">
        <v>0</v>
      </c>
      <c r="P3515" s="737">
        <v>0</v>
      </c>
      <c r="Q3515" s="679"/>
      <c r="R3515" s="679"/>
      <c r="S3515" s="679"/>
    </row>
    <row r="3516" spans="1:19" s="753" customFormat="1" ht="24" customHeight="1">
      <c r="A3516" s="734"/>
      <c r="B3516" s="747" t="s">
        <v>484</v>
      </c>
      <c r="C3516" s="735" t="s">
        <v>485</v>
      </c>
      <c r="D3516" s="735"/>
      <c r="E3516" s="737">
        <f t="shared" si="815"/>
        <v>7</v>
      </c>
      <c r="F3516" s="738" t="s">
        <v>363</v>
      </c>
      <c r="G3516" s="739">
        <v>285</v>
      </c>
      <c r="H3516" s="748">
        <f t="shared" si="817"/>
        <v>1995</v>
      </c>
      <c r="I3516" s="741">
        <v>75</v>
      </c>
      <c r="J3516" s="749">
        <f t="shared" si="818"/>
        <v>525</v>
      </c>
      <c r="K3516" s="739">
        <f t="shared" si="814"/>
        <v>2520</v>
      </c>
      <c r="L3516" s="1093"/>
      <c r="M3516" s="752"/>
      <c r="N3516" s="744">
        <f t="shared" si="816"/>
        <v>7</v>
      </c>
      <c r="O3516" s="745">
        <v>0</v>
      </c>
      <c r="P3516" s="737">
        <v>7</v>
      </c>
      <c r="Q3516" s="752"/>
      <c r="R3516" s="752"/>
      <c r="S3516" s="752"/>
    </row>
    <row r="3517" spans="1:19" s="753" customFormat="1" ht="24" customHeight="1">
      <c r="A3517" s="734"/>
      <c r="B3517" s="747" t="s">
        <v>469</v>
      </c>
      <c r="C3517" s="735" t="s">
        <v>486</v>
      </c>
      <c r="D3517" s="735"/>
      <c r="E3517" s="737">
        <f t="shared" si="815"/>
        <v>1</v>
      </c>
      <c r="F3517" s="738" t="s">
        <v>363</v>
      </c>
      <c r="G3517" s="739">
        <v>552</v>
      </c>
      <c r="H3517" s="748">
        <f t="shared" si="817"/>
        <v>552</v>
      </c>
      <c r="I3517" s="741">
        <v>25</v>
      </c>
      <c r="J3517" s="749">
        <f t="shared" si="818"/>
        <v>25</v>
      </c>
      <c r="K3517" s="739">
        <f t="shared" si="814"/>
        <v>577</v>
      </c>
      <c r="L3517" s="1079"/>
      <c r="M3517" s="752"/>
      <c r="N3517" s="744">
        <f t="shared" si="816"/>
        <v>1</v>
      </c>
      <c r="O3517" s="745">
        <v>0</v>
      </c>
      <c r="P3517" s="737">
        <v>1</v>
      </c>
      <c r="Q3517" s="752"/>
      <c r="R3517" s="752"/>
      <c r="S3517" s="752"/>
    </row>
    <row r="3518" spans="1:19" s="753" customFormat="1" ht="24" customHeight="1">
      <c r="A3518" s="734"/>
      <c r="B3518" s="747" t="s">
        <v>469</v>
      </c>
      <c r="C3518" s="735" t="s">
        <v>507</v>
      </c>
      <c r="D3518" s="735"/>
      <c r="E3518" s="737">
        <f t="shared" si="815"/>
        <v>1</v>
      </c>
      <c r="F3518" s="738" t="s">
        <v>363</v>
      </c>
      <c r="G3518" s="739">
        <v>1650</v>
      </c>
      <c r="H3518" s="748">
        <f t="shared" si="817"/>
        <v>1650</v>
      </c>
      <c r="I3518" s="741">
        <v>70</v>
      </c>
      <c r="J3518" s="749">
        <f t="shared" si="818"/>
        <v>70</v>
      </c>
      <c r="K3518" s="739">
        <f t="shared" si="814"/>
        <v>1720</v>
      </c>
      <c r="L3518" s="1079"/>
      <c r="M3518" s="752"/>
      <c r="N3518" s="744">
        <f t="shared" si="816"/>
        <v>1</v>
      </c>
      <c r="O3518" s="745">
        <v>0</v>
      </c>
      <c r="P3518" s="737">
        <v>1</v>
      </c>
      <c r="Q3518" s="752"/>
      <c r="R3518" s="752"/>
      <c r="S3518" s="752"/>
    </row>
    <row r="3519" spans="1:19" s="753" customFormat="1" ht="24" customHeight="1">
      <c r="A3519" s="734"/>
      <c r="B3519" s="747" t="s">
        <v>469</v>
      </c>
      <c r="C3519" s="735" t="s">
        <v>508</v>
      </c>
      <c r="D3519" s="735"/>
      <c r="E3519" s="737">
        <f t="shared" si="815"/>
        <v>5</v>
      </c>
      <c r="F3519" s="738" t="s">
        <v>363</v>
      </c>
      <c r="G3519" s="739">
        <v>13500</v>
      </c>
      <c r="H3519" s="748">
        <f t="shared" si="817"/>
        <v>67500</v>
      </c>
      <c r="I3519" s="741">
        <v>750</v>
      </c>
      <c r="J3519" s="749">
        <f t="shared" si="818"/>
        <v>3750</v>
      </c>
      <c r="K3519" s="739">
        <f t="shared" si="814"/>
        <v>71250</v>
      </c>
      <c r="L3519" s="1079"/>
      <c r="M3519" s="752"/>
      <c r="N3519" s="744">
        <f t="shared" si="816"/>
        <v>5</v>
      </c>
      <c r="O3519" s="745">
        <v>0</v>
      </c>
      <c r="P3519" s="737">
        <v>5</v>
      </c>
      <c r="Q3519" s="752"/>
      <c r="R3519" s="752"/>
      <c r="S3519" s="752"/>
    </row>
    <row r="3520" spans="1:19" s="682" customFormat="1" ht="24" customHeight="1">
      <c r="A3520" s="734"/>
      <c r="B3520" s="747" t="s">
        <v>469</v>
      </c>
      <c r="C3520" s="735" t="s">
        <v>509</v>
      </c>
      <c r="D3520" s="735"/>
      <c r="E3520" s="737">
        <f t="shared" si="815"/>
        <v>1</v>
      </c>
      <c r="F3520" s="738" t="s">
        <v>363</v>
      </c>
      <c r="G3520" s="739">
        <v>14476</v>
      </c>
      <c r="H3520" s="748">
        <f t="shared" si="817"/>
        <v>14476</v>
      </c>
      <c r="I3520" s="741">
        <v>5367</v>
      </c>
      <c r="J3520" s="749">
        <f t="shared" si="818"/>
        <v>5367</v>
      </c>
      <c r="K3520" s="739">
        <f t="shared" si="814"/>
        <v>19843</v>
      </c>
      <c r="L3520" s="1079"/>
      <c r="M3520" s="679"/>
      <c r="N3520" s="744">
        <f t="shared" si="816"/>
        <v>1</v>
      </c>
      <c r="O3520" s="745">
        <v>0</v>
      </c>
      <c r="P3520" s="737">
        <v>1</v>
      </c>
      <c r="Q3520" s="679"/>
      <c r="R3520" s="679"/>
      <c r="S3520" s="679"/>
    </row>
    <row r="3521" spans="1:19" s="753" customFormat="1" ht="24" customHeight="1">
      <c r="A3521" s="734"/>
      <c r="B3521" s="747" t="s">
        <v>469</v>
      </c>
      <c r="C3521" s="735" t="s">
        <v>510</v>
      </c>
      <c r="D3521" s="735"/>
      <c r="E3521" s="737">
        <f t="shared" si="815"/>
        <v>4.1500000000000004</v>
      </c>
      <c r="F3521" s="738" t="s">
        <v>361</v>
      </c>
      <c r="G3521" s="739">
        <v>2694</v>
      </c>
      <c r="H3521" s="748">
        <f t="shared" si="817"/>
        <v>11180.1</v>
      </c>
      <c r="I3521" s="741">
        <v>1288</v>
      </c>
      <c r="J3521" s="749">
        <f t="shared" si="818"/>
        <v>5345.2000000000007</v>
      </c>
      <c r="K3521" s="739">
        <f t="shared" si="814"/>
        <v>16525.300000000003</v>
      </c>
      <c r="L3521" s="1079"/>
      <c r="M3521" s="752"/>
      <c r="N3521" s="744">
        <f t="shared" si="816"/>
        <v>4.1500000000000004</v>
      </c>
      <c r="O3521" s="745">
        <v>0</v>
      </c>
      <c r="P3521" s="737">
        <v>4.1500000000000004</v>
      </c>
      <c r="Q3521" s="752"/>
      <c r="R3521" s="752"/>
      <c r="S3521" s="752"/>
    </row>
    <row r="3522" spans="1:19" s="753" customFormat="1" ht="24" customHeight="1">
      <c r="A3522" s="734"/>
      <c r="B3522" s="747"/>
      <c r="C3522" s="735" t="s">
        <v>511</v>
      </c>
      <c r="D3522" s="735"/>
      <c r="E3522" s="737">
        <f t="shared" si="815"/>
        <v>0</v>
      </c>
      <c r="F3522" s="738"/>
      <c r="G3522" s="739"/>
      <c r="H3522" s="748">
        <f t="shared" si="817"/>
        <v>0</v>
      </c>
      <c r="I3522" s="741"/>
      <c r="J3522" s="749">
        <f t="shared" si="818"/>
        <v>0</v>
      </c>
      <c r="K3522" s="739">
        <f t="shared" si="814"/>
        <v>0</v>
      </c>
      <c r="L3522" s="1079"/>
      <c r="M3522" s="752"/>
      <c r="N3522" s="744">
        <f t="shared" si="816"/>
        <v>0</v>
      </c>
      <c r="O3522" s="745">
        <v>0</v>
      </c>
      <c r="P3522" s="737">
        <v>0</v>
      </c>
      <c r="Q3522" s="752"/>
      <c r="R3522" s="752"/>
      <c r="S3522" s="752"/>
    </row>
    <row r="3523" spans="1:19" s="753" customFormat="1" ht="24" customHeight="1">
      <c r="A3523" s="734"/>
      <c r="B3523" s="747" t="s">
        <v>469</v>
      </c>
      <c r="C3523" s="735" t="s">
        <v>512</v>
      </c>
      <c r="D3523" s="735"/>
      <c r="E3523" s="737">
        <f t="shared" si="815"/>
        <v>4.1500000000000004</v>
      </c>
      <c r="F3523" s="738" t="s">
        <v>361</v>
      </c>
      <c r="G3523" s="739">
        <v>3886</v>
      </c>
      <c r="H3523" s="748">
        <f t="shared" si="817"/>
        <v>16126.900000000001</v>
      </c>
      <c r="I3523" s="741">
        <v>1238</v>
      </c>
      <c r="J3523" s="749">
        <f t="shared" si="818"/>
        <v>5137.7000000000007</v>
      </c>
      <c r="K3523" s="739">
        <f t="shared" si="814"/>
        <v>21264.600000000002</v>
      </c>
      <c r="L3523" s="1079"/>
      <c r="M3523" s="752"/>
      <c r="N3523" s="744">
        <f t="shared" si="816"/>
        <v>4.1500000000000004</v>
      </c>
      <c r="O3523" s="745">
        <v>0</v>
      </c>
      <c r="P3523" s="737">
        <v>4.1500000000000004</v>
      </c>
      <c r="Q3523" s="752"/>
      <c r="R3523" s="752"/>
      <c r="S3523" s="752"/>
    </row>
    <row r="3524" spans="1:19" s="753" customFormat="1" ht="24" customHeight="1">
      <c r="A3524" s="734"/>
      <c r="B3524" s="747"/>
      <c r="C3524" s="735" t="s">
        <v>513</v>
      </c>
      <c r="D3524" s="735"/>
      <c r="E3524" s="737">
        <f t="shared" si="815"/>
        <v>0</v>
      </c>
      <c r="F3524" s="738"/>
      <c r="G3524" s="739">
        <v>0</v>
      </c>
      <c r="H3524" s="748">
        <f t="shared" si="817"/>
        <v>0</v>
      </c>
      <c r="I3524" s="741">
        <v>0</v>
      </c>
      <c r="J3524" s="749">
        <f t="shared" si="818"/>
        <v>0</v>
      </c>
      <c r="K3524" s="739">
        <f t="shared" si="814"/>
        <v>0</v>
      </c>
      <c r="L3524" s="1079"/>
      <c r="M3524" s="752"/>
      <c r="N3524" s="744">
        <f t="shared" si="816"/>
        <v>0</v>
      </c>
      <c r="O3524" s="745">
        <v>0</v>
      </c>
      <c r="P3524" s="737">
        <v>0</v>
      </c>
      <c r="Q3524" s="752"/>
      <c r="R3524" s="752"/>
      <c r="S3524" s="752"/>
    </row>
    <row r="3525" spans="1:19" s="753" customFormat="1" ht="24" customHeight="1">
      <c r="A3525" s="734"/>
      <c r="B3525" s="747" t="s">
        <v>469</v>
      </c>
      <c r="C3525" s="735" t="s">
        <v>514</v>
      </c>
      <c r="D3525" s="735"/>
      <c r="E3525" s="737">
        <f t="shared" si="815"/>
        <v>4.1500000000000004</v>
      </c>
      <c r="F3525" s="738" t="s">
        <v>361</v>
      </c>
      <c r="G3525" s="739">
        <v>1522</v>
      </c>
      <c r="H3525" s="748">
        <f t="shared" si="817"/>
        <v>6316.3</v>
      </c>
      <c r="I3525" s="741">
        <v>315</v>
      </c>
      <c r="J3525" s="749">
        <f t="shared" si="818"/>
        <v>1307.25</v>
      </c>
      <c r="K3525" s="739">
        <f t="shared" si="814"/>
        <v>7623.55</v>
      </c>
      <c r="L3525" s="1079"/>
      <c r="M3525" s="752"/>
      <c r="N3525" s="744">
        <f t="shared" si="816"/>
        <v>4.1500000000000004</v>
      </c>
      <c r="O3525" s="745">
        <v>0</v>
      </c>
      <c r="P3525" s="737">
        <v>4.1500000000000004</v>
      </c>
      <c r="Q3525" s="752"/>
      <c r="R3525" s="752"/>
      <c r="S3525" s="752"/>
    </row>
    <row r="3526" spans="1:19" s="753" customFormat="1" ht="24" customHeight="1">
      <c r="A3526" s="734"/>
      <c r="B3526" s="747"/>
      <c r="C3526" s="735"/>
      <c r="D3526" s="735"/>
      <c r="E3526" s="737">
        <f t="shared" si="815"/>
        <v>0</v>
      </c>
      <c r="F3526" s="738"/>
      <c r="G3526" s="739">
        <v>0</v>
      </c>
      <c r="H3526" s="748">
        <f t="shared" si="817"/>
        <v>0</v>
      </c>
      <c r="I3526" s="741">
        <v>0</v>
      </c>
      <c r="J3526" s="749">
        <f t="shared" si="818"/>
        <v>0</v>
      </c>
      <c r="K3526" s="739">
        <f t="shared" ref="K3526:K3593" si="819">SUM(H3526+J3526)</f>
        <v>0</v>
      </c>
      <c r="L3526" s="1079"/>
      <c r="M3526" s="752"/>
      <c r="N3526" s="744">
        <f t="shared" si="816"/>
        <v>0</v>
      </c>
      <c r="O3526" s="745">
        <v>0</v>
      </c>
      <c r="P3526" s="737">
        <v>0</v>
      </c>
      <c r="Q3526" s="752"/>
      <c r="R3526" s="752"/>
      <c r="S3526" s="752"/>
    </row>
    <row r="3527" spans="1:19" s="682" customFormat="1" ht="24" customHeight="1">
      <c r="A3527" s="734"/>
      <c r="B3527" s="747" t="s">
        <v>469</v>
      </c>
      <c r="C3527" s="735" t="s">
        <v>515</v>
      </c>
      <c r="D3527" s="735"/>
      <c r="E3527" s="737">
        <f t="shared" si="815"/>
        <v>1</v>
      </c>
      <c r="F3527" s="738" t="s">
        <v>363</v>
      </c>
      <c r="G3527" s="739">
        <v>5013</v>
      </c>
      <c r="H3527" s="748">
        <f t="shared" si="817"/>
        <v>5013</v>
      </c>
      <c r="I3527" s="741">
        <v>2403</v>
      </c>
      <c r="J3527" s="749">
        <f t="shared" si="818"/>
        <v>2403</v>
      </c>
      <c r="K3527" s="739">
        <f t="shared" si="819"/>
        <v>7416</v>
      </c>
      <c r="L3527" s="1079"/>
      <c r="M3527" s="679"/>
      <c r="N3527" s="744">
        <f t="shared" si="816"/>
        <v>1</v>
      </c>
      <c r="O3527" s="745">
        <v>0</v>
      </c>
      <c r="P3527" s="737">
        <v>1</v>
      </c>
      <c r="Q3527" s="679"/>
      <c r="R3527" s="679"/>
      <c r="S3527" s="679"/>
    </row>
    <row r="3528" spans="1:19" s="682" customFormat="1" ht="24" customHeight="1">
      <c r="A3528" s="734"/>
      <c r="B3528" s="747"/>
      <c r="C3528" s="735" t="s">
        <v>516</v>
      </c>
      <c r="D3528" s="735"/>
      <c r="E3528" s="737">
        <f t="shared" si="815"/>
        <v>0</v>
      </c>
      <c r="F3528" s="738"/>
      <c r="G3528" s="739"/>
      <c r="H3528" s="748">
        <f t="shared" si="817"/>
        <v>0</v>
      </c>
      <c r="I3528" s="741"/>
      <c r="J3528" s="749">
        <f t="shared" si="818"/>
        <v>0</v>
      </c>
      <c r="K3528" s="739">
        <f t="shared" si="819"/>
        <v>0</v>
      </c>
      <c r="L3528" s="1079"/>
      <c r="M3528" s="679"/>
      <c r="N3528" s="744">
        <f t="shared" si="816"/>
        <v>0</v>
      </c>
      <c r="O3528" s="745">
        <v>0</v>
      </c>
      <c r="P3528" s="737">
        <v>0</v>
      </c>
      <c r="Q3528" s="679"/>
      <c r="R3528" s="679"/>
      <c r="S3528" s="679"/>
    </row>
    <row r="3529" spans="1:19" s="682" customFormat="1" ht="24" customHeight="1">
      <c r="A3529" s="734"/>
      <c r="B3529" s="747"/>
      <c r="C3529" s="735"/>
      <c r="D3529" s="735"/>
      <c r="E3529" s="737">
        <f t="shared" ref="E3529:E3596" si="820">+N3529</f>
        <v>0</v>
      </c>
      <c r="F3529" s="738"/>
      <c r="G3529" s="739"/>
      <c r="H3529" s="748">
        <f t="shared" si="817"/>
        <v>0</v>
      </c>
      <c r="I3529" s="741"/>
      <c r="J3529" s="749">
        <f t="shared" si="818"/>
        <v>0</v>
      </c>
      <c r="K3529" s="739">
        <f t="shared" si="819"/>
        <v>0</v>
      </c>
      <c r="L3529" s="1079"/>
      <c r="M3529" s="679"/>
      <c r="N3529" s="744">
        <f t="shared" si="816"/>
        <v>0</v>
      </c>
      <c r="O3529" s="745">
        <v>0</v>
      </c>
      <c r="P3529" s="737">
        <v>0</v>
      </c>
      <c r="Q3529" s="679"/>
      <c r="R3529" s="679"/>
      <c r="S3529" s="679"/>
    </row>
    <row r="3530" spans="1:19" s="756" customFormat="1" ht="24" customHeight="1">
      <c r="A3530" s="734"/>
      <c r="B3530" s="747" t="s">
        <v>469</v>
      </c>
      <c r="C3530" s="735" t="s">
        <v>517</v>
      </c>
      <c r="D3530" s="907"/>
      <c r="E3530" s="737">
        <f t="shared" si="820"/>
        <v>0</v>
      </c>
      <c r="F3530" s="738" t="s">
        <v>361</v>
      </c>
      <c r="G3530" s="739">
        <v>5075.5555555555557</v>
      </c>
      <c r="H3530" s="748">
        <f t="shared" si="817"/>
        <v>0</v>
      </c>
      <c r="I3530" s="741">
        <v>2545.7777777777778</v>
      </c>
      <c r="J3530" s="749">
        <f t="shared" si="818"/>
        <v>0</v>
      </c>
      <c r="K3530" s="739">
        <f t="shared" si="819"/>
        <v>0</v>
      </c>
      <c r="L3530" s="1079"/>
      <c r="M3530" s="755"/>
      <c r="N3530" s="744">
        <f t="shared" si="816"/>
        <v>0</v>
      </c>
      <c r="O3530" s="745">
        <v>0</v>
      </c>
      <c r="P3530" s="737">
        <v>0</v>
      </c>
      <c r="Q3530" s="755"/>
      <c r="R3530" s="755"/>
      <c r="S3530" s="755"/>
    </row>
    <row r="3531" spans="1:19" s="756" customFormat="1" ht="24" customHeight="1">
      <c r="A3531" s="734"/>
      <c r="B3531" s="747"/>
      <c r="C3531" s="735" t="s">
        <v>488</v>
      </c>
      <c r="D3531" s="907"/>
      <c r="E3531" s="737">
        <f t="shared" si="820"/>
        <v>0</v>
      </c>
      <c r="F3531" s="738"/>
      <c r="G3531" s="739">
        <v>0</v>
      </c>
      <c r="H3531" s="748">
        <f t="shared" si="817"/>
        <v>0</v>
      </c>
      <c r="I3531" s="741">
        <v>0</v>
      </c>
      <c r="J3531" s="749">
        <f t="shared" si="818"/>
        <v>0</v>
      </c>
      <c r="K3531" s="739">
        <f t="shared" si="819"/>
        <v>0</v>
      </c>
      <c r="L3531" s="1079"/>
      <c r="M3531" s="755"/>
      <c r="N3531" s="744">
        <f t="shared" si="816"/>
        <v>0</v>
      </c>
      <c r="O3531" s="745">
        <v>0</v>
      </c>
      <c r="P3531" s="737">
        <v>0</v>
      </c>
      <c r="Q3531" s="755"/>
      <c r="R3531" s="755"/>
      <c r="S3531" s="755"/>
    </row>
    <row r="3532" spans="1:19" s="753" customFormat="1" ht="24" customHeight="1">
      <c r="A3532" s="734"/>
      <c r="B3532" s="747" t="s">
        <v>469</v>
      </c>
      <c r="C3532" s="735" t="s">
        <v>518</v>
      </c>
      <c r="D3532" s="735"/>
      <c r="E3532" s="737">
        <f t="shared" si="820"/>
        <v>0</v>
      </c>
      <c r="F3532" s="738" t="s">
        <v>361</v>
      </c>
      <c r="G3532" s="739">
        <v>3886</v>
      </c>
      <c r="H3532" s="748">
        <f t="shared" si="817"/>
        <v>0</v>
      </c>
      <c r="I3532" s="741">
        <v>1238</v>
      </c>
      <c r="J3532" s="749">
        <f t="shared" si="818"/>
        <v>0</v>
      </c>
      <c r="K3532" s="739">
        <f t="shared" si="819"/>
        <v>0</v>
      </c>
      <c r="L3532" s="1079"/>
      <c r="M3532" s="752"/>
      <c r="N3532" s="744">
        <f t="shared" si="816"/>
        <v>0</v>
      </c>
      <c r="O3532" s="745">
        <v>0</v>
      </c>
      <c r="P3532" s="737">
        <v>0</v>
      </c>
      <c r="Q3532" s="752"/>
      <c r="R3532" s="752"/>
      <c r="S3532" s="752"/>
    </row>
    <row r="3533" spans="1:19" s="753" customFormat="1" ht="24" customHeight="1">
      <c r="A3533" s="734"/>
      <c r="B3533" s="747"/>
      <c r="C3533" s="735" t="s">
        <v>513</v>
      </c>
      <c r="D3533" s="735"/>
      <c r="E3533" s="737">
        <f t="shared" si="820"/>
        <v>0</v>
      </c>
      <c r="F3533" s="738"/>
      <c r="G3533" s="739">
        <v>0</v>
      </c>
      <c r="H3533" s="748">
        <f t="shared" si="817"/>
        <v>0</v>
      </c>
      <c r="I3533" s="741">
        <v>0</v>
      </c>
      <c r="J3533" s="749">
        <f t="shared" si="818"/>
        <v>0</v>
      </c>
      <c r="K3533" s="739">
        <f t="shared" si="819"/>
        <v>0</v>
      </c>
      <c r="L3533" s="1079"/>
      <c r="M3533" s="752"/>
      <c r="N3533" s="744">
        <f t="shared" si="816"/>
        <v>0</v>
      </c>
      <c r="O3533" s="745">
        <v>0</v>
      </c>
      <c r="P3533" s="737">
        <v>0</v>
      </c>
      <c r="Q3533" s="752"/>
      <c r="R3533" s="752"/>
      <c r="S3533" s="752"/>
    </row>
    <row r="3534" spans="1:19" s="682" customFormat="1" ht="24" customHeight="1">
      <c r="A3534" s="734"/>
      <c r="B3534" s="747" t="s">
        <v>469</v>
      </c>
      <c r="C3534" s="735" t="s">
        <v>519</v>
      </c>
      <c r="D3534" s="735"/>
      <c r="E3534" s="737">
        <f t="shared" si="820"/>
        <v>1</v>
      </c>
      <c r="F3534" s="738" t="s">
        <v>363</v>
      </c>
      <c r="G3534" s="739">
        <v>800</v>
      </c>
      <c r="H3534" s="748">
        <f t="shared" si="817"/>
        <v>800</v>
      </c>
      <c r="I3534" s="741">
        <v>70</v>
      </c>
      <c r="J3534" s="749">
        <f t="shared" si="818"/>
        <v>70</v>
      </c>
      <c r="K3534" s="739">
        <f t="shared" si="819"/>
        <v>870</v>
      </c>
      <c r="L3534" s="1079"/>
      <c r="M3534" s="679"/>
      <c r="N3534" s="744">
        <f t="shared" si="816"/>
        <v>1</v>
      </c>
      <c r="O3534" s="745">
        <v>0</v>
      </c>
      <c r="P3534" s="737">
        <v>1</v>
      </c>
      <c r="Q3534" s="679"/>
      <c r="R3534" s="679"/>
      <c r="S3534" s="679"/>
    </row>
    <row r="3535" spans="1:19" s="682" customFormat="1" ht="24" customHeight="1">
      <c r="A3535" s="734"/>
      <c r="B3535" s="747" t="s">
        <v>469</v>
      </c>
      <c r="C3535" s="735" t="s">
        <v>520</v>
      </c>
      <c r="D3535" s="735"/>
      <c r="E3535" s="737">
        <f t="shared" si="820"/>
        <v>0</v>
      </c>
      <c r="F3535" s="738" t="s">
        <v>361</v>
      </c>
      <c r="G3535" s="739">
        <v>190</v>
      </c>
      <c r="H3535" s="748">
        <f t="shared" si="817"/>
        <v>0</v>
      </c>
      <c r="I3535" s="741">
        <v>75</v>
      </c>
      <c r="J3535" s="749">
        <f t="shared" si="818"/>
        <v>0</v>
      </c>
      <c r="K3535" s="739">
        <f t="shared" si="819"/>
        <v>0</v>
      </c>
      <c r="L3535" s="1079"/>
      <c r="M3535" s="679"/>
      <c r="N3535" s="744">
        <f t="shared" si="816"/>
        <v>0</v>
      </c>
      <c r="O3535" s="745">
        <v>0</v>
      </c>
      <c r="P3535" s="737">
        <v>0</v>
      </c>
      <c r="Q3535" s="679"/>
      <c r="R3535" s="679"/>
      <c r="S3535" s="679"/>
    </row>
    <row r="3536" spans="1:19" s="682" customFormat="1" ht="24" customHeight="1">
      <c r="A3536" s="734"/>
      <c r="B3536" s="747"/>
      <c r="C3536" s="735"/>
      <c r="D3536" s="735"/>
      <c r="E3536" s="737">
        <f t="shared" si="820"/>
        <v>0</v>
      </c>
      <c r="F3536" s="738"/>
      <c r="G3536" s="739"/>
      <c r="H3536" s="748">
        <f t="shared" si="817"/>
        <v>0</v>
      </c>
      <c r="I3536" s="741"/>
      <c r="J3536" s="749">
        <f t="shared" si="818"/>
        <v>0</v>
      </c>
      <c r="K3536" s="739">
        <f t="shared" si="819"/>
        <v>0</v>
      </c>
      <c r="L3536" s="1079"/>
      <c r="M3536" s="679"/>
      <c r="N3536" s="744">
        <f t="shared" ref="N3536:N3603" si="821">+(1+O3536)*P3536</f>
        <v>0</v>
      </c>
      <c r="O3536" s="745">
        <v>0</v>
      </c>
      <c r="P3536" s="737">
        <v>0</v>
      </c>
      <c r="Q3536" s="679"/>
      <c r="R3536" s="679"/>
      <c r="S3536" s="679"/>
    </row>
    <row r="3537" spans="1:19" s="753" customFormat="1" ht="24" customHeight="1">
      <c r="A3537" s="734"/>
      <c r="B3537" s="735" t="s">
        <v>1077</v>
      </c>
      <c r="C3537" s="735"/>
      <c r="D3537" s="907"/>
      <c r="E3537" s="737">
        <f t="shared" si="820"/>
        <v>0</v>
      </c>
      <c r="F3537" s="738"/>
      <c r="G3537" s="739">
        <v>0</v>
      </c>
      <c r="H3537" s="748">
        <f t="shared" si="817"/>
        <v>0</v>
      </c>
      <c r="I3537" s="741">
        <v>0</v>
      </c>
      <c r="J3537" s="749">
        <f t="shared" si="818"/>
        <v>0</v>
      </c>
      <c r="K3537" s="739">
        <f t="shared" si="819"/>
        <v>0</v>
      </c>
      <c r="L3537" s="1079"/>
      <c r="M3537" s="752"/>
      <c r="N3537" s="744">
        <f t="shared" si="821"/>
        <v>0</v>
      </c>
      <c r="O3537" s="745">
        <v>0</v>
      </c>
      <c r="P3537" s="737">
        <v>0</v>
      </c>
      <c r="Q3537" s="752"/>
      <c r="R3537" s="752"/>
      <c r="S3537" s="752"/>
    </row>
    <row r="3538" spans="1:19" s="753" customFormat="1" ht="24" customHeight="1">
      <c r="A3538" s="734"/>
      <c r="B3538" s="747" t="s">
        <v>469</v>
      </c>
      <c r="C3538" s="735" t="s">
        <v>497</v>
      </c>
      <c r="D3538" s="735"/>
      <c r="E3538" s="737">
        <f t="shared" si="820"/>
        <v>6</v>
      </c>
      <c r="F3538" s="738" t="s">
        <v>363</v>
      </c>
      <c r="G3538" s="739">
        <v>1540</v>
      </c>
      <c r="H3538" s="748">
        <f t="shared" si="817"/>
        <v>9240</v>
      </c>
      <c r="I3538" s="741">
        <v>450</v>
      </c>
      <c r="J3538" s="749">
        <f t="shared" si="818"/>
        <v>2700</v>
      </c>
      <c r="K3538" s="739">
        <f t="shared" si="819"/>
        <v>11940</v>
      </c>
      <c r="L3538" s="1079"/>
      <c r="M3538" s="752"/>
      <c r="N3538" s="744">
        <f t="shared" si="821"/>
        <v>6</v>
      </c>
      <c r="O3538" s="745">
        <v>0</v>
      </c>
      <c r="P3538" s="737">
        <v>6</v>
      </c>
      <c r="Q3538" s="752"/>
      <c r="R3538" s="752"/>
      <c r="S3538" s="752"/>
    </row>
    <row r="3539" spans="1:19" s="753" customFormat="1" ht="24" customHeight="1">
      <c r="A3539" s="734"/>
      <c r="B3539" s="747" t="s">
        <v>469</v>
      </c>
      <c r="C3539" s="735" t="s">
        <v>498</v>
      </c>
      <c r="D3539" s="735"/>
      <c r="E3539" s="737">
        <f t="shared" si="820"/>
        <v>6</v>
      </c>
      <c r="F3539" s="738" t="s">
        <v>363</v>
      </c>
      <c r="G3539" s="739">
        <v>6640</v>
      </c>
      <c r="H3539" s="748">
        <f t="shared" si="817"/>
        <v>39840</v>
      </c>
      <c r="I3539" s="741">
        <v>200</v>
      </c>
      <c r="J3539" s="749">
        <f t="shared" si="818"/>
        <v>1200</v>
      </c>
      <c r="K3539" s="739">
        <f t="shared" si="819"/>
        <v>41040</v>
      </c>
      <c r="L3539" s="1079"/>
      <c r="M3539" s="752"/>
      <c r="N3539" s="744">
        <f t="shared" si="821"/>
        <v>6</v>
      </c>
      <c r="O3539" s="745">
        <v>0</v>
      </c>
      <c r="P3539" s="737">
        <v>6</v>
      </c>
      <c r="Q3539" s="752"/>
      <c r="R3539" s="752"/>
      <c r="S3539" s="752"/>
    </row>
    <row r="3540" spans="1:19" s="753" customFormat="1" ht="24" customHeight="1">
      <c r="A3540" s="734"/>
      <c r="B3540" s="747" t="s">
        <v>469</v>
      </c>
      <c r="C3540" s="735" t="s">
        <v>476</v>
      </c>
      <c r="D3540" s="735"/>
      <c r="E3540" s="737">
        <f t="shared" si="820"/>
        <v>6</v>
      </c>
      <c r="F3540" s="738" t="s">
        <v>363</v>
      </c>
      <c r="G3540" s="739">
        <v>336</v>
      </c>
      <c r="H3540" s="748">
        <f t="shared" si="817"/>
        <v>2016</v>
      </c>
      <c r="I3540" s="741">
        <v>0</v>
      </c>
      <c r="J3540" s="749">
        <f t="shared" si="818"/>
        <v>0</v>
      </c>
      <c r="K3540" s="739">
        <f t="shared" si="819"/>
        <v>2016</v>
      </c>
      <c r="L3540" s="1079"/>
      <c r="M3540" s="752"/>
      <c r="N3540" s="744">
        <f t="shared" si="821"/>
        <v>6</v>
      </c>
      <c r="O3540" s="745">
        <v>0</v>
      </c>
      <c r="P3540" s="737">
        <v>6</v>
      </c>
      <c r="Q3540" s="752"/>
      <c r="R3540" s="752"/>
      <c r="S3540" s="752"/>
    </row>
    <row r="3541" spans="1:19" s="753" customFormat="1" ht="24" customHeight="1">
      <c r="A3541" s="734"/>
      <c r="B3541" s="747" t="s">
        <v>469</v>
      </c>
      <c r="C3541" s="735" t="s">
        <v>477</v>
      </c>
      <c r="D3541" s="735"/>
      <c r="E3541" s="737">
        <f t="shared" si="820"/>
        <v>6</v>
      </c>
      <c r="F3541" s="738" t="s">
        <v>363</v>
      </c>
      <c r="G3541" s="739">
        <v>736</v>
      </c>
      <c r="H3541" s="748">
        <f t="shared" si="817"/>
        <v>4416</v>
      </c>
      <c r="I3541" s="741">
        <v>0</v>
      </c>
      <c r="J3541" s="749">
        <f t="shared" si="818"/>
        <v>0</v>
      </c>
      <c r="K3541" s="739">
        <f t="shared" si="819"/>
        <v>4416</v>
      </c>
      <c r="L3541" s="1079"/>
      <c r="M3541" s="752"/>
      <c r="N3541" s="744">
        <f t="shared" si="821"/>
        <v>6</v>
      </c>
      <c r="O3541" s="745">
        <v>0</v>
      </c>
      <c r="P3541" s="737">
        <v>6</v>
      </c>
      <c r="Q3541" s="752"/>
      <c r="R3541" s="752"/>
      <c r="S3541" s="752"/>
    </row>
    <row r="3542" spans="1:19" s="753" customFormat="1" ht="24" customHeight="1">
      <c r="A3542" s="734"/>
      <c r="B3542" s="747" t="s">
        <v>469</v>
      </c>
      <c r="C3542" s="735" t="s">
        <v>478</v>
      </c>
      <c r="D3542" s="735"/>
      <c r="E3542" s="737">
        <f t="shared" si="820"/>
        <v>6</v>
      </c>
      <c r="F3542" s="738" t="s">
        <v>363</v>
      </c>
      <c r="G3542" s="739">
        <v>176</v>
      </c>
      <c r="H3542" s="748">
        <f t="shared" si="817"/>
        <v>1056</v>
      </c>
      <c r="I3542" s="741">
        <v>0</v>
      </c>
      <c r="J3542" s="749">
        <f t="shared" si="818"/>
        <v>0</v>
      </c>
      <c r="K3542" s="739">
        <f t="shared" si="819"/>
        <v>1056</v>
      </c>
      <c r="L3542" s="1079"/>
      <c r="M3542" s="752"/>
      <c r="N3542" s="744">
        <f t="shared" si="821"/>
        <v>6</v>
      </c>
      <c r="O3542" s="745">
        <v>0</v>
      </c>
      <c r="P3542" s="737">
        <v>6</v>
      </c>
      <c r="Q3542" s="752"/>
      <c r="R3542" s="752"/>
      <c r="S3542" s="752"/>
    </row>
    <row r="3543" spans="1:19" s="753" customFormat="1" ht="24" customHeight="1">
      <c r="A3543" s="734"/>
      <c r="B3543" s="747" t="s">
        <v>469</v>
      </c>
      <c r="C3543" s="735" t="s">
        <v>499</v>
      </c>
      <c r="D3543" s="735"/>
      <c r="E3543" s="737">
        <f t="shared" si="820"/>
        <v>6</v>
      </c>
      <c r="F3543" s="738" t="s">
        <v>363</v>
      </c>
      <c r="G3543" s="739">
        <v>216</v>
      </c>
      <c r="H3543" s="748">
        <f t="shared" si="817"/>
        <v>1296</v>
      </c>
      <c r="I3543" s="741">
        <v>35</v>
      </c>
      <c r="J3543" s="749">
        <f t="shared" si="818"/>
        <v>210</v>
      </c>
      <c r="K3543" s="739">
        <f t="shared" si="819"/>
        <v>1506</v>
      </c>
      <c r="L3543" s="1079"/>
      <c r="M3543" s="752"/>
      <c r="N3543" s="744">
        <f t="shared" si="821"/>
        <v>6</v>
      </c>
      <c r="O3543" s="745">
        <v>0</v>
      </c>
      <c r="P3543" s="737">
        <v>6</v>
      </c>
      <c r="Q3543" s="752"/>
      <c r="R3543" s="752"/>
      <c r="S3543" s="752"/>
    </row>
    <row r="3544" spans="1:19" s="753" customFormat="1" ht="24" customHeight="1">
      <c r="A3544" s="734"/>
      <c r="B3544" s="747"/>
      <c r="C3544" s="736"/>
      <c r="D3544" s="907"/>
      <c r="E3544" s="737">
        <f t="shared" si="820"/>
        <v>0</v>
      </c>
      <c r="F3544" s="738"/>
      <c r="G3544" s="739">
        <v>0</v>
      </c>
      <c r="H3544" s="748">
        <f t="shared" si="817"/>
        <v>0</v>
      </c>
      <c r="I3544" s="741">
        <v>0</v>
      </c>
      <c r="J3544" s="749">
        <f t="shared" si="818"/>
        <v>0</v>
      </c>
      <c r="K3544" s="739">
        <f t="shared" si="819"/>
        <v>0</v>
      </c>
      <c r="L3544" s="1079"/>
      <c r="M3544" s="752"/>
      <c r="N3544" s="744">
        <f t="shared" si="821"/>
        <v>0</v>
      </c>
      <c r="O3544" s="745">
        <v>0</v>
      </c>
      <c r="P3544" s="737">
        <v>0</v>
      </c>
      <c r="Q3544" s="752"/>
      <c r="R3544" s="752"/>
      <c r="S3544" s="752"/>
    </row>
    <row r="3545" spans="1:19" s="753" customFormat="1" ht="24" customHeight="1">
      <c r="A3545" s="734"/>
      <c r="B3545" s="747" t="s">
        <v>469</v>
      </c>
      <c r="C3545" s="735" t="s">
        <v>492</v>
      </c>
      <c r="D3545" s="735"/>
      <c r="E3545" s="737">
        <f t="shared" si="820"/>
        <v>10</v>
      </c>
      <c r="F3545" s="738" t="s">
        <v>363</v>
      </c>
      <c r="G3545" s="739">
        <v>9375</v>
      </c>
      <c r="H3545" s="748">
        <f t="shared" si="817"/>
        <v>93750</v>
      </c>
      <c r="I3545" s="741">
        <v>450</v>
      </c>
      <c r="J3545" s="749">
        <f t="shared" si="818"/>
        <v>4500</v>
      </c>
      <c r="K3545" s="739">
        <f t="shared" si="819"/>
        <v>98250</v>
      </c>
      <c r="L3545" s="1079"/>
      <c r="M3545" s="752"/>
      <c r="N3545" s="744">
        <f t="shared" si="821"/>
        <v>10</v>
      </c>
      <c r="O3545" s="745">
        <v>0</v>
      </c>
      <c r="P3545" s="737">
        <v>10</v>
      </c>
      <c r="Q3545" s="752"/>
      <c r="R3545" s="752"/>
      <c r="S3545" s="752"/>
    </row>
    <row r="3546" spans="1:19" s="753" customFormat="1" ht="24" customHeight="1">
      <c r="A3546" s="734"/>
      <c r="B3546" s="747" t="s">
        <v>469</v>
      </c>
      <c r="C3546" s="735" t="s">
        <v>500</v>
      </c>
      <c r="D3546" s="735"/>
      <c r="E3546" s="737">
        <f t="shared" si="820"/>
        <v>10</v>
      </c>
      <c r="F3546" s="738" t="s">
        <v>363</v>
      </c>
      <c r="G3546" s="739">
        <v>12752</v>
      </c>
      <c r="H3546" s="748">
        <f t="shared" si="817"/>
        <v>127520</v>
      </c>
      <c r="I3546" s="741">
        <v>0</v>
      </c>
      <c r="J3546" s="749">
        <f t="shared" si="818"/>
        <v>0</v>
      </c>
      <c r="K3546" s="739">
        <f t="shared" si="819"/>
        <v>127520</v>
      </c>
      <c r="L3546" s="1079"/>
      <c r="M3546" s="752"/>
      <c r="N3546" s="744">
        <f t="shared" si="821"/>
        <v>10</v>
      </c>
      <c r="O3546" s="745">
        <v>0</v>
      </c>
      <c r="P3546" s="737">
        <v>10</v>
      </c>
      <c r="Q3546" s="752"/>
      <c r="R3546" s="752"/>
      <c r="S3546" s="752"/>
    </row>
    <row r="3547" spans="1:19" s="753" customFormat="1" ht="24" customHeight="1">
      <c r="A3547" s="734"/>
      <c r="B3547" s="747" t="s">
        <v>469</v>
      </c>
      <c r="C3547" s="735" t="s">
        <v>501</v>
      </c>
      <c r="D3547" s="735"/>
      <c r="E3547" s="737">
        <v>0</v>
      </c>
      <c r="F3547" s="738" t="s">
        <v>363</v>
      </c>
      <c r="G3547" s="739">
        <v>1950</v>
      </c>
      <c r="H3547" s="748">
        <f t="shared" si="817"/>
        <v>0</v>
      </c>
      <c r="I3547" s="741">
        <v>35</v>
      </c>
      <c r="J3547" s="749">
        <f t="shared" si="818"/>
        <v>0</v>
      </c>
      <c r="K3547" s="739">
        <f t="shared" si="819"/>
        <v>0</v>
      </c>
      <c r="L3547" s="1079"/>
      <c r="M3547" s="752"/>
      <c r="N3547" s="744">
        <f t="shared" si="821"/>
        <v>10</v>
      </c>
      <c r="O3547" s="745">
        <v>0</v>
      </c>
      <c r="P3547" s="737">
        <v>10</v>
      </c>
      <c r="Q3547" s="752"/>
      <c r="R3547" s="752"/>
      <c r="S3547" s="752"/>
    </row>
    <row r="3548" spans="1:19" s="753" customFormat="1" ht="24" customHeight="1">
      <c r="A3548" s="734"/>
      <c r="B3548" s="747" t="s">
        <v>469</v>
      </c>
      <c r="C3548" s="735" t="s">
        <v>502</v>
      </c>
      <c r="D3548" s="735"/>
      <c r="E3548" s="737">
        <f t="shared" si="820"/>
        <v>10</v>
      </c>
      <c r="F3548" s="738" t="s">
        <v>363</v>
      </c>
      <c r="G3548" s="739">
        <v>216</v>
      </c>
      <c r="H3548" s="748">
        <f t="shared" si="817"/>
        <v>2160</v>
      </c>
      <c r="I3548" s="741">
        <v>35</v>
      </c>
      <c r="J3548" s="749">
        <f t="shared" si="818"/>
        <v>350</v>
      </c>
      <c r="K3548" s="739">
        <f t="shared" si="819"/>
        <v>2510</v>
      </c>
      <c r="L3548" s="1079"/>
      <c r="M3548" s="752"/>
      <c r="N3548" s="744">
        <f t="shared" si="821"/>
        <v>10</v>
      </c>
      <c r="O3548" s="745">
        <v>0</v>
      </c>
      <c r="P3548" s="737">
        <v>10</v>
      </c>
      <c r="Q3548" s="752"/>
      <c r="R3548" s="752"/>
      <c r="S3548" s="752"/>
    </row>
    <row r="3549" spans="1:19" s="753" customFormat="1" ht="24" customHeight="1">
      <c r="A3549" s="734"/>
      <c r="B3549" s="747"/>
      <c r="C3549" s="735"/>
      <c r="D3549" s="735"/>
      <c r="E3549" s="737">
        <f t="shared" si="820"/>
        <v>0</v>
      </c>
      <c r="F3549" s="738"/>
      <c r="G3549" s="739"/>
      <c r="H3549" s="748">
        <f t="shared" si="817"/>
        <v>0</v>
      </c>
      <c r="I3549" s="741"/>
      <c r="J3549" s="749">
        <f t="shared" si="818"/>
        <v>0</v>
      </c>
      <c r="K3549" s="739">
        <f t="shared" si="819"/>
        <v>0</v>
      </c>
      <c r="L3549" s="1079"/>
      <c r="M3549" s="752"/>
      <c r="N3549" s="744">
        <f t="shared" si="821"/>
        <v>0</v>
      </c>
      <c r="O3549" s="745">
        <v>0</v>
      </c>
      <c r="P3549" s="737">
        <v>0</v>
      </c>
      <c r="Q3549" s="752"/>
      <c r="R3549" s="752"/>
      <c r="S3549" s="752"/>
    </row>
    <row r="3550" spans="1:19" s="753" customFormat="1" ht="24" customHeight="1">
      <c r="A3550" s="734"/>
      <c r="B3550" s="747" t="s">
        <v>484</v>
      </c>
      <c r="C3550" s="735" t="s">
        <v>485</v>
      </c>
      <c r="D3550" s="735"/>
      <c r="E3550" s="737">
        <f t="shared" si="820"/>
        <v>11</v>
      </c>
      <c r="F3550" s="738" t="s">
        <v>363</v>
      </c>
      <c r="G3550" s="739">
        <v>285</v>
      </c>
      <c r="H3550" s="748">
        <f t="shared" si="817"/>
        <v>3135</v>
      </c>
      <c r="I3550" s="741">
        <v>75</v>
      </c>
      <c r="J3550" s="749">
        <f t="shared" si="818"/>
        <v>825</v>
      </c>
      <c r="K3550" s="739">
        <f t="shared" si="819"/>
        <v>3960</v>
      </c>
      <c r="L3550" s="1093"/>
      <c r="M3550" s="752"/>
      <c r="N3550" s="744">
        <f t="shared" si="821"/>
        <v>11</v>
      </c>
      <c r="O3550" s="745">
        <v>0</v>
      </c>
      <c r="P3550" s="737">
        <v>11</v>
      </c>
      <c r="Q3550" s="752"/>
      <c r="R3550" s="752"/>
      <c r="S3550" s="752"/>
    </row>
    <row r="3551" spans="1:19" s="753" customFormat="1" ht="24" customHeight="1">
      <c r="A3551" s="734"/>
      <c r="B3551" s="747" t="s">
        <v>469</v>
      </c>
      <c r="C3551" s="735" t="s">
        <v>486</v>
      </c>
      <c r="D3551" s="735"/>
      <c r="E3551" s="737">
        <f t="shared" si="820"/>
        <v>1</v>
      </c>
      <c r="F3551" s="738" t="s">
        <v>363</v>
      </c>
      <c r="G3551" s="739">
        <v>552</v>
      </c>
      <c r="H3551" s="748">
        <f t="shared" si="817"/>
        <v>552</v>
      </c>
      <c r="I3551" s="741">
        <v>25</v>
      </c>
      <c r="J3551" s="749">
        <f t="shared" si="818"/>
        <v>25</v>
      </c>
      <c r="K3551" s="739">
        <f t="shared" si="819"/>
        <v>577</v>
      </c>
      <c r="L3551" s="1079"/>
      <c r="M3551" s="752"/>
      <c r="N3551" s="744">
        <f t="shared" si="821"/>
        <v>1</v>
      </c>
      <c r="O3551" s="745">
        <v>0</v>
      </c>
      <c r="P3551" s="737">
        <v>1</v>
      </c>
      <c r="Q3551" s="752"/>
      <c r="R3551" s="752"/>
      <c r="S3551" s="752"/>
    </row>
    <row r="3552" spans="1:19" s="753" customFormat="1" ht="24" customHeight="1">
      <c r="A3552" s="734"/>
      <c r="B3552" s="747" t="s">
        <v>469</v>
      </c>
      <c r="C3552" s="735" t="s">
        <v>507</v>
      </c>
      <c r="D3552" s="735"/>
      <c r="E3552" s="737">
        <f t="shared" si="820"/>
        <v>2</v>
      </c>
      <c r="F3552" s="738" t="s">
        <v>363</v>
      </c>
      <c r="G3552" s="739">
        <v>1650</v>
      </c>
      <c r="H3552" s="748">
        <f t="shared" si="817"/>
        <v>3300</v>
      </c>
      <c r="I3552" s="741">
        <v>70</v>
      </c>
      <c r="J3552" s="749">
        <f t="shared" si="818"/>
        <v>140</v>
      </c>
      <c r="K3552" s="739">
        <f t="shared" si="819"/>
        <v>3440</v>
      </c>
      <c r="L3552" s="1079"/>
      <c r="M3552" s="752"/>
      <c r="N3552" s="744">
        <f t="shared" si="821"/>
        <v>2</v>
      </c>
      <c r="O3552" s="745">
        <v>0</v>
      </c>
      <c r="P3552" s="737">
        <v>2</v>
      </c>
      <c r="Q3552" s="752"/>
      <c r="R3552" s="752"/>
      <c r="S3552" s="752"/>
    </row>
    <row r="3553" spans="1:19" s="753" customFormat="1" ht="24" customHeight="1">
      <c r="A3553" s="734"/>
      <c r="B3553" s="747" t="s">
        <v>469</v>
      </c>
      <c r="C3553" s="735" t="s">
        <v>508</v>
      </c>
      <c r="D3553" s="735"/>
      <c r="E3553" s="737">
        <f t="shared" si="820"/>
        <v>10</v>
      </c>
      <c r="F3553" s="738" t="s">
        <v>363</v>
      </c>
      <c r="G3553" s="739">
        <v>13500</v>
      </c>
      <c r="H3553" s="748">
        <f t="shared" si="817"/>
        <v>135000</v>
      </c>
      <c r="I3553" s="741">
        <v>750</v>
      </c>
      <c r="J3553" s="749">
        <f t="shared" si="818"/>
        <v>7500</v>
      </c>
      <c r="K3553" s="739">
        <f t="shared" si="819"/>
        <v>142500</v>
      </c>
      <c r="L3553" s="1079"/>
      <c r="M3553" s="752"/>
      <c r="N3553" s="744">
        <f t="shared" si="821"/>
        <v>10</v>
      </c>
      <c r="O3553" s="745">
        <v>0</v>
      </c>
      <c r="P3553" s="737">
        <v>10</v>
      </c>
      <c r="Q3553" s="752"/>
      <c r="R3553" s="752"/>
      <c r="S3553" s="752"/>
    </row>
    <row r="3554" spans="1:19" s="682" customFormat="1" ht="24" customHeight="1">
      <c r="A3554" s="734"/>
      <c r="B3554" s="747" t="s">
        <v>469</v>
      </c>
      <c r="C3554" s="735" t="s">
        <v>509</v>
      </c>
      <c r="D3554" s="735"/>
      <c r="E3554" s="737">
        <f t="shared" si="820"/>
        <v>1</v>
      </c>
      <c r="F3554" s="738" t="s">
        <v>363</v>
      </c>
      <c r="G3554" s="739">
        <v>14476</v>
      </c>
      <c r="H3554" s="748">
        <f t="shared" si="817"/>
        <v>14476</v>
      </c>
      <c r="I3554" s="741">
        <v>5367</v>
      </c>
      <c r="J3554" s="749">
        <f t="shared" si="818"/>
        <v>5367</v>
      </c>
      <c r="K3554" s="739">
        <f t="shared" si="819"/>
        <v>19843</v>
      </c>
      <c r="L3554" s="1079"/>
      <c r="M3554" s="679"/>
      <c r="N3554" s="744">
        <f t="shared" si="821"/>
        <v>1</v>
      </c>
      <c r="O3554" s="745">
        <v>0</v>
      </c>
      <c r="P3554" s="737">
        <v>1</v>
      </c>
      <c r="Q3554" s="679"/>
      <c r="R3554" s="679"/>
      <c r="S3554" s="679"/>
    </row>
    <row r="3555" spans="1:19" s="753" customFormat="1" ht="24" customHeight="1">
      <c r="A3555" s="734"/>
      <c r="B3555" s="747"/>
      <c r="C3555" s="735"/>
      <c r="D3555" s="907"/>
      <c r="E3555" s="737">
        <f t="shared" si="820"/>
        <v>0</v>
      </c>
      <c r="F3555" s="738"/>
      <c r="G3555" s="739">
        <v>0</v>
      </c>
      <c r="H3555" s="748">
        <f t="shared" si="817"/>
        <v>0</v>
      </c>
      <c r="I3555" s="741">
        <v>0</v>
      </c>
      <c r="J3555" s="749">
        <f t="shared" si="818"/>
        <v>0</v>
      </c>
      <c r="K3555" s="739">
        <f t="shared" si="819"/>
        <v>0</v>
      </c>
      <c r="L3555" s="1079"/>
      <c r="M3555" s="752"/>
      <c r="N3555" s="744">
        <f t="shared" si="821"/>
        <v>0</v>
      </c>
      <c r="O3555" s="745">
        <v>0</v>
      </c>
      <c r="P3555" s="737">
        <v>0</v>
      </c>
      <c r="Q3555" s="752"/>
      <c r="R3555" s="752"/>
      <c r="S3555" s="752"/>
    </row>
    <row r="3556" spans="1:19" s="753" customFormat="1" ht="24" customHeight="1">
      <c r="A3556" s="734"/>
      <c r="B3556" s="747" t="s">
        <v>469</v>
      </c>
      <c r="C3556" s="735" t="s">
        <v>510</v>
      </c>
      <c r="D3556" s="735"/>
      <c r="E3556" s="737">
        <f t="shared" si="820"/>
        <v>5.2</v>
      </c>
      <c r="F3556" s="738" t="s">
        <v>361</v>
      </c>
      <c r="G3556" s="739">
        <v>2694</v>
      </c>
      <c r="H3556" s="748">
        <f t="shared" si="817"/>
        <v>14008.800000000001</v>
      </c>
      <c r="I3556" s="741">
        <v>1288</v>
      </c>
      <c r="J3556" s="749">
        <f t="shared" si="818"/>
        <v>6697.6</v>
      </c>
      <c r="K3556" s="739">
        <f t="shared" si="819"/>
        <v>20706.400000000001</v>
      </c>
      <c r="L3556" s="1079"/>
      <c r="M3556" s="752"/>
      <c r="N3556" s="744">
        <f t="shared" si="821"/>
        <v>5.2</v>
      </c>
      <c r="O3556" s="745">
        <v>0</v>
      </c>
      <c r="P3556" s="737">
        <v>5.2</v>
      </c>
      <c r="Q3556" s="752"/>
      <c r="R3556" s="752"/>
      <c r="S3556" s="752"/>
    </row>
    <row r="3557" spans="1:19" s="753" customFormat="1" ht="24" customHeight="1">
      <c r="A3557" s="734"/>
      <c r="B3557" s="747"/>
      <c r="C3557" s="735" t="s">
        <v>511</v>
      </c>
      <c r="D3557" s="735"/>
      <c r="E3557" s="737">
        <f t="shared" si="820"/>
        <v>0</v>
      </c>
      <c r="F3557" s="738"/>
      <c r="G3557" s="739"/>
      <c r="H3557" s="748">
        <f t="shared" si="817"/>
        <v>0</v>
      </c>
      <c r="I3557" s="741"/>
      <c r="J3557" s="749">
        <f t="shared" si="818"/>
        <v>0</v>
      </c>
      <c r="K3557" s="739">
        <f t="shared" si="819"/>
        <v>0</v>
      </c>
      <c r="L3557" s="1079"/>
      <c r="M3557" s="752"/>
      <c r="N3557" s="744">
        <f t="shared" si="821"/>
        <v>0</v>
      </c>
      <c r="O3557" s="745">
        <v>0</v>
      </c>
      <c r="P3557" s="737">
        <v>0</v>
      </c>
      <c r="Q3557" s="752"/>
      <c r="R3557" s="752"/>
      <c r="S3557" s="752"/>
    </row>
    <row r="3558" spans="1:19" s="753" customFormat="1" ht="24" customHeight="1">
      <c r="A3558" s="734"/>
      <c r="B3558" s="747" t="s">
        <v>469</v>
      </c>
      <c r="C3558" s="735" t="s">
        <v>512</v>
      </c>
      <c r="D3558" s="735"/>
      <c r="E3558" s="737">
        <f t="shared" si="820"/>
        <v>5.2</v>
      </c>
      <c r="F3558" s="738" t="s">
        <v>361</v>
      </c>
      <c r="G3558" s="739">
        <v>3886</v>
      </c>
      <c r="H3558" s="748">
        <f t="shared" si="817"/>
        <v>20207.2</v>
      </c>
      <c r="I3558" s="741">
        <v>1238</v>
      </c>
      <c r="J3558" s="749">
        <f t="shared" si="818"/>
        <v>6437.6</v>
      </c>
      <c r="K3558" s="739">
        <f t="shared" si="819"/>
        <v>26644.800000000003</v>
      </c>
      <c r="L3558" s="1079"/>
      <c r="M3558" s="752"/>
      <c r="N3558" s="744">
        <f t="shared" si="821"/>
        <v>5.2</v>
      </c>
      <c r="O3558" s="745">
        <v>0</v>
      </c>
      <c r="P3558" s="737">
        <v>5.2</v>
      </c>
      <c r="Q3558" s="752"/>
      <c r="R3558" s="752"/>
      <c r="S3558" s="752"/>
    </row>
    <row r="3559" spans="1:19" s="753" customFormat="1" ht="24" customHeight="1">
      <c r="A3559" s="734"/>
      <c r="B3559" s="747"/>
      <c r="C3559" s="735" t="s">
        <v>513</v>
      </c>
      <c r="D3559" s="735"/>
      <c r="E3559" s="737">
        <f t="shared" si="820"/>
        <v>0</v>
      </c>
      <c r="F3559" s="738"/>
      <c r="G3559" s="739">
        <v>0</v>
      </c>
      <c r="H3559" s="748">
        <f t="shared" si="817"/>
        <v>0</v>
      </c>
      <c r="I3559" s="741">
        <v>0</v>
      </c>
      <c r="J3559" s="749">
        <f t="shared" si="818"/>
        <v>0</v>
      </c>
      <c r="K3559" s="739">
        <f t="shared" si="819"/>
        <v>0</v>
      </c>
      <c r="L3559" s="1079"/>
      <c r="M3559" s="752"/>
      <c r="N3559" s="744">
        <f t="shared" si="821"/>
        <v>0</v>
      </c>
      <c r="O3559" s="745">
        <v>0</v>
      </c>
      <c r="P3559" s="737">
        <v>0</v>
      </c>
      <c r="Q3559" s="752"/>
      <c r="R3559" s="752"/>
      <c r="S3559" s="752"/>
    </row>
    <row r="3560" spans="1:19" s="753" customFormat="1" ht="24" customHeight="1">
      <c r="A3560" s="734"/>
      <c r="B3560" s="747" t="s">
        <v>469</v>
      </c>
      <c r="C3560" s="735" t="s">
        <v>521</v>
      </c>
      <c r="D3560" s="735"/>
      <c r="E3560" s="737">
        <f t="shared" si="820"/>
        <v>5.2</v>
      </c>
      <c r="F3560" s="738" t="s">
        <v>361</v>
      </c>
      <c r="G3560" s="739">
        <v>1522</v>
      </c>
      <c r="H3560" s="748">
        <f t="shared" si="817"/>
        <v>7914.4000000000005</v>
      </c>
      <c r="I3560" s="741">
        <v>315</v>
      </c>
      <c r="J3560" s="749">
        <f t="shared" si="818"/>
        <v>1638</v>
      </c>
      <c r="K3560" s="739">
        <f t="shared" si="819"/>
        <v>9552.4000000000015</v>
      </c>
      <c r="L3560" s="1079"/>
      <c r="M3560" s="752"/>
      <c r="N3560" s="744">
        <f t="shared" si="821"/>
        <v>5.2</v>
      </c>
      <c r="O3560" s="745">
        <v>0</v>
      </c>
      <c r="P3560" s="737">
        <v>5.2</v>
      </c>
      <c r="Q3560" s="752"/>
      <c r="R3560" s="752"/>
      <c r="S3560" s="752"/>
    </row>
    <row r="3561" spans="1:19" s="753" customFormat="1" ht="24" customHeight="1">
      <c r="A3561" s="734"/>
      <c r="B3561" s="747"/>
      <c r="C3561" s="735"/>
      <c r="D3561" s="735"/>
      <c r="E3561" s="737">
        <f t="shared" si="820"/>
        <v>0</v>
      </c>
      <c r="F3561" s="738"/>
      <c r="G3561" s="739">
        <v>0</v>
      </c>
      <c r="H3561" s="748">
        <f t="shared" si="817"/>
        <v>0</v>
      </c>
      <c r="I3561" s="741">
        <v>0</v>
      </c>
      <c r="J3561" s="749">
        <f t="shared" si="818"/>
        <v>0</v>
      </c>
      <c r="K3561" s="739">
        <f t="shared" si="819"/>
        <v>0</v>
      </c>
      <c r="L3561" s="1079"/>
      <c r="M3561" s="752"/>
      <c r="N3561" s="744">
        <f t="shared" si="821"/>
        <v>0</v>
      </c>
      <c r="O3561" s="745">
        <v>0</v>
      </c>
      <c r="P3561" s="737">
        <v>0</v>
      </c>
      <c r="Q3561" s="752"/>
      <c r="R3561" s="752"/>
      <c r="S3561" s="752"/>
    </row>
    <row r="3562" spans="1:19" s="682" customFormat="1" ht="24" customHeight="1">
      <c r="A3562" s="734"/>
      <c r="B3562" s="747" t="s">
        <v>469</v>
      </c>
      <c r="C3562" s="735" t="s">
        <v>515</v>
      </c>
      <c r="D3562" s="735"/>
      <c r="E3562" s="737">
        <f t="shared" si="820"/>
        <v>0</v>
      </c>
      <c r="F3562" s="738" t="s">
        <v>363</v>
      </c>
      <c r="G3562" s="739">
        <v>5013</v>
      </c>
      <c r="H3562" s="748">
        <f t="shared" si="817"/>
        <v>0</v>
      </c>
      <c r="I3562" s="741">
        <v>2403</v>
      </c>
      <c r="J3562" s="749">
        <f t="shared" si="818"/>
        <v>0</v>
      </c>
      <c r="K3562" s="739">
        <f t="shared" si="819"/>
        <v>0</v>
      </c>
      <c r="L3562" s="1079"/>
      <c r="M3562" s="679"/>
      <c r="N3562" s="744">
        <f t="shared" si="821"/>
        <v>0</v>
      </c>
      <c r="O3562" s="745">
        <v>0</v>
      </c>
      <c r="P3562" s="737">
        <v>0</v>
      </c>
      <c r="Q3562" s="679"/>
      <c r="R3562" s="679"/>
      <c r="S3562" s="679"/>
    </row>
    <row r="3563" spans="1:19" s="682" customFormat="1" ht="24" customHeight="1">
      <c r="A3563" s="734"/>
      <c r="B3563" s="747"/>
      <c r="C3563" s="735" t="s">
        <v>516</v>
      </c>
      <c r="D3563" s="735"/>
      <c r="E3563" s="737">
        <f t="shared" si="820"/>
        <v>0</v>
      </c>
      <c r="F3563" s="738"/>
      <c r="G3563" s="739"/>
      <c r="H3563" s="748">
        <f t="shared" si="817"/>
        <v>0</v>
      </c>
      <c r="I3563" s="741"/>
      <c r="J3563" s="749">
        <f t="shared" si="818"/>
        <v>0</v>
      </c>
      <c r="K3563" s="739">
        <f t="shared" si="819"/>
        <v>0</v>
      </c>
      <c r="L3563" s="1079"/>
      <c r="M3563" s="679"/>
      <c r="N3563" s="744">
        <f t="shared" si="821"/>
        <v>0</v>
      </c>
      <c r="O3563" s="745">
        <v>0</v>
      </c>
      <c r="P3563" s="737">
        <v>0</v>
      </c>
      <c r="Q3563" s="679"/>
      <c r="R3563" s="679"/>
      <c r="S3563" s="679"/>
    </row>
    <row r="3564" spans="1:19" s="682" customFormat="1" ht="24" customHeight="1">
      <c r="A3564" s="734"/>
      <c r="B3564" s="747"/>
      <c r="C3564" s="735"/>
      <c r="D3564" s="735"/>
      <c r="E3564" s="737">
        <f t="shared" si="820"/>
        <v>0</v>
      </c>
      <c r="F3564" s="738"/>
      <c r="G3564" s="739"/>
      <c r="H3564" s="748">
        <f t="shared" si="817"/>
        <v>0</v>
      </c>
      <c r="I3564" s="741"/>
      <c r="J3564" s="749">
        <f t="shared" si="818"/>
        <v>0</v>
      </c>
      <c r="K3564" s="739">
        <f t="shared" si="819"/>
        <v>0</v>
      </c>
      <c r="L3564" s="1079"/>
      <c r="M3564" s="679"/>
      <c r="N3564" s="744">
        <f t="shared" si="821"/>
        <v>0</v>
      </c>
      <c r="O3564" s="745">
        <v>0</v>
      </c>
      <c r="P3564" s="737">
        <v>0</v>
      </c>
      <c r="Q3564" s="679"/>
      <c r="R3564" s="679"/>
      <c r="S3564" s="679"/>
    </row>
    <row r="3565" spans="1:19" s="756" customFormat="1" ht="24" customHeight="1">
      <c r="A3565" s="734"/>
      <c r="B3565" s="747" t="s">
        <v>469</v>
      </c>
      <c r="C3565" s="735" t="s">
        <v>517</v>
      </c>
      <c r="D3565" s="907"/>
      <c r="E3565" s="737">
        <f t="shared" si="820"/>
        <v>0</v>
      </c>
      <c r="F3565" s="738" t="s">
        <v>361</v>
      </c>
      <c r="G3565" s="739">
        <v>5075.5555555555557</v>
      </c>
      <c r="H3565" s="748">
        <f t="shared" si="817"/>
        <v>0</v>
      </c>
      <c r="I3565" s="741">
        <v>2545.7777777777778</v>
      </c>
      <c r="J3565" s="749">
        <f t="shared" si="818"/>
        <v>0</v>
      </c>
      <c r="K3565" s="739">
        <f t="shared" si="819"/>
        <v>0</v>
      </c>
      <c r="L3565" s="1079"/>
      <c r="M3565" s="755"/>
      <c r="N3565" s="744">
        <f t="shared" si="821"/>
        <v>0</v>
      </c>
      <c r="O3565" s="745">
        <v>0</v>
      </c>
      <c r="P3565" s="737">
        <v>0</v>
      </c>
      <c r="Q3565" s="755"/>
      <c r="R3565" s="755"/>
      <c r="S3565" s="755"/>
    </row>
    <row r="3566" spans="1:19" s="756" customFormat="1" ht="24" customHeight="1">
      <c r="A3566" s="734"/>
      <c r="B3566" s="747"/>
      <c r="C3566" s="735" t="s">
        <v>488</v>
      </c>
      <c r="D3566" s="907"/>
      <c r="E3566" s="737">
        <f t="shared" si="820"/>
        <v>0</v>
      </c>
      <c r="F3566" s="738"/>
      <c r="G3566" s="739">
        <v>0</v>
      </c>
      <c r="H3566" s="748">
        <f t="shared" si="817"/>
        <v>0</v>
      </c>
      <c r="I3566" s="741">
        <v>0</v>
      </c>
      <c r="J3566" s="749">
        <f t="shared" si="818"/>
        <v>0</v>
      </c>
      <c r="K3566" s="739">
        <f t="shared" si="819"/>
        <v>0</v>
      </c>
      <c r="L3566" s="1079"/>
      <c r="M3566" s="755"/>
      <c r="N3566" s="744">
        <f t="shared" si="821"/>
        <v>0</v>
      </c>
      <c r="O3566" s="745">
        <v>0</v>
      </c>
      <c r="P3566" s="737">
        <v>0</v>
      </c>
      <c r="Q3566" s="755"/>
      <c r="R3566" s="755"/>
      <c r="S3566" s="755"/>
    </row>
    <row r="3567" spans="1:19" s="753" customFormat="1" ht="24" customHeight="1">
      <c r="A3567" s="734"/>
      <c r="B3567" s="747" t="s">
        <v>469</v>
      </c>
      <c r="C3567" s="735" t="s">
        <v>518</v>
      </c>
      <c r="D3567" s="735"/>
      <c r="E3567" s="737">
        <f t="shared" si="820"/>
        <v>0</v>
      </c>
      <c r="F3567" s="738" t="s">
        <v>361</v>
      </c>
      <c r="G3567" s="739">
        <v>3886</v>
      </c>
      <c r="H3567" s="748">
        <f t="shared" ref="H3567:H3630" si="822">SUM(E3567*G3567)</f>
        <v>0</v>
      </c>
      <c r="I3567" s="741">
        <v>1238</v>
      </c>
      <c r="J3567" s="749">
        <f t="shared" ref="J3567:J3630" si="823">SUM(E3567*I3567)</f>
        <v>0</v>
      </c>
      <c r="K3567" s="739">
        <f t="shared" si="819"/>
        <v>0</v>
      </c>
      <c r="L3567" s="1079"/>
      <c r="M3567" s="752"/>
      <c r="N3567" s="744">
        <f t="shared" si="821"/>
        <v>0</v>
      </c>
      <c r="O3567" s="745">
        <v>0</v>
      </c>
      <c r="P3567" s="737">
        <v>0</v>
      </c>
      <c r="Q3567" s="752"/>
      <c r="R3567" s="752"/>
      <c r="S3567" s="752"/>
    </row>
    <row r="3568" spans="1:19" s="753" customFormat="1" ht="24" customHeight="1">
      <c r="A3568" s="734"/>
      <c r="B3568" s="747"/>
      <c r="C3568" s="735" t="s">
        <v>513</v>
      </c>
      <c r="D3568" s="735"/>
      <c r="E3568" s="737">
        <f t="shared" si="820"/>
        <v>0</v>
      </c>
      <c r="F3568" s="738"/>
      <c r="G3568" s="739">
        <v>0</v>
      </c>
      <c r="H3568" s="748">
        <f t="shared" si="822"/>
        <v>0</v>
      </c>
      <c r="I3568" s="741">
        <v>0</v>
      </c>
      <c r="J3568" s="749">
        <f t="shared" si="823"/>
        <v>0</v>
      </c>
      <c r="K3568" s="739">
        <f t="shared" si="819"/>
        <v>0</v>
      </c>
      <c r="L3568" s="1079"/>
      <c r="M3568" s="752"/>
      <c r="N3568" s="744">
        <f t="shared" si="821"/>
        <v>0</v>
      </c>
      <c r="O3568" s="745">
        <v>0</v>
      </c>
      <c r="P3568" s="737">
        <v>0</v>
      </c>
      <c r="Q3568" s="752"/>
      <c r="R3568" s="752"/>
      <c r="S3568" s="752"/>
    </row>
    <row r="3569" spans="1:19" s="682" customFormat="1" ht="24" customHeight="1">
      <c r="A3569" s="734"/>
      <c r="B3569" s="747"/>
      <c r="C3569" s="735"/>
      <c r="D3569" s="735"/>
      <c r="E3569" s="737">
        <f t="shared" si="820"/>
        <v>0</v>
      </c>
      <c r="F3569" s="738"/>
      <c r="G3569" s="739"/>
      <c r="H3569" s="748">
        <f t="shared" si="822"/>
        <v>0</v>
      </c>
      <c r="I3569" s="741"/>
      <c r="J3569" s="749">
        <f t="shared" si="823"/>
        <v>0</v>
      </c>
      <c r="K3569" s="739">
        <f t="shared" si="819"/>
        <v>0</v>
      </c>
      <c r="L3569" s="1079"/>
      <c r="M3569" s="679"/>
      <c r="N3569" s="744">
        <f t="shared" si="821"/>
        <v>0</v>
      </c>
      <c r="O3569" s="745">
        <v>0</v>
      </c>
      <c r="P3569" s="737">
        <v>0</v>
      </c>
      <c r="Q3569" s="679"/>
      <c r="R3569" s="679"/>
      <c r="S3569" s="679"/>
    </row>
    <row r="3570" spans="1:19" s="682" customFormat="1" ht="24" customHeight="1">
      <c r="A3570" s="734"/>
      <c r="B3570" s="747" t="s">
        <v>469</v>
      </c>
      <c r="C3570" s="735" t="s">
        <v>519</v>
      </c>
      <c r="D3570" s="735"/>
      <c r="E3570" s="737">
        <f t="shared" si="820"/>
        <v>1</v>
      </c>
      <c r="F3570" s="738" t="s">
        <v>363</v>
      </c>
      <c r="G3570" s="739">
        <v>800</v>
      </c>
      <c r="H3570" s="748">
        <f t="shared" si="822"/>
        <v>800</v>
      </c>
      <c r="I3570" s="741">
        <v>70</v>
      </c>
      <c r="J3570" s="749">
        <f t="shared" si="823"/>
        <v>70</v>
      </c>
      <c r="K3570" s="739">
        <f t="shared" si="819"/>
        <v>870</v>
      </c>
      <c r="L3570" s="1079"/>
      <c r="M3570" s="679"/>
      <c r="N3570" s="744">
        <f t="shared" si="821"/>
        <v>1</v>
      </c>
      <c r="O3570" s="745">
        <v>0</v>
      </c>
      <c r="P3570" s="737">
        <v>1</v>
      </c>
      <c r="Q3570" s="679"/>
      <c r="R3570" s="679"/>
      <c r="S3570" s="679"/>
    </row>
    <row r="3571" spans="1:19" s="682" customFormat="1" ht="24" customHeight="1">
      <c r="A3571" s="734"/>
      <c r="B3571" s="747" t="s">
        <v>469</v>
      </c>
      <c r="C3571" s="735" t="s">
        <v>520</v>
      </c>
      <c r="D3571" s="735"/>
      <c r="E3571" s="737">
        <f t="shared" si="820"/>
        <v>0</v>
      </c>
      <c r="F3571" s="738" t="s">
        <v>361</v>
      </c>
      <c r="G3571" s="739">
        <v>190</v>
      </c>
      <c r="H3571" s="748">
        <f t="shared" si="822"/>
        <v>0</v>
      </c>
      <c r="I3571" s="741">
        <v>75</v>
      </c>
      <c r="J3571" s="749">
        <f t="shared" si="823"/>
        <v>0</v>
      </c>
      <c r="K3571" s="739">
        <f t="shared" si="819"/>
        <v>0</v>
      </c>
      <c r="L3571" s="1079"/>
      <c r="M3571" s="679"/>
      <c r="N3571" s="744">
        <f t="shared" si="821"/>
        <v>0</v>
      </c>
      <c r="O3571" s="745">
        <v>0</v>
      </c>
      <c r="P3571" s="737">
        <v>0</v>
      </c>
      <c r="Q3571" s="679"/>
      <c r="R3571" s="679"/>
      <c r="S3571" s="679"/>
    </row>
    <row r="3572" spans="1:19" s="682" customFormat="1" ht="24" customHeight="1">
      <c r="A3572" s="734"/>
      <c r="B3572" s="747"/>
      <c r="C3572" s="735"/>
      <c r="D3572" s="735"/>
      <c r="E3572" s="737">
        <f t="shared" si="820"/>
        <v>0</v>
      </c>
      <c r="F3572" s="738"/>
      <c r="G3572" s="739"/>
      <c r="H3572" s="748">
        <f t="shared" si="822"/>
        <v>0</v>
      </c>
      <c r="I3572" s="741"/>
      <c r="J3572" s="749">
        <f t="shared" si="823"/>
        <v>0</v>
      </c>
      <c r="K3572" s="739">
        <f t="shared" si="819"/>
        <v>0</v>
      </c>
      <c r="L3572" s="1079"/>
      <c r="M3572" s="679"/>
      <c r="N3572" s="744">
        <f t="shared" si="821"/>
        <v>0</v>
      </c>
      <c r="O3572" s="745">
        <v>0</v>
      </c>
      <c r="P3572" s="737">
        <v>0</v>
      </c>
      <c r="Q3572" s="679"/>
      <c r="R3572" s="679"/>
      <c r="S3572" s="679"/>
    </row>
    <row r="3573" spans="1:19" s="753" customFormat="1" ht="24" customHeight="1">
      <c r="A3573" s="734"/>
      <c r="B3573" s="735" t="s">
        <v>1078</v>
      </c>
      <c r="C3573" s="735"/>
      <c r="D3573" s="735"/>
      <c r="E3573" s="737">
        <f t="shared" si="820"/>
        <v>0</v>
      </c>
      <c r="F3573" s="738"/>
      <c r="G3573" s="739">
        <v>0</v>
      </c>
      <c r="H3573" s="748">
        <f t="shared" si="822"/>
        <v>0</v>
      </c>
      <c r="I3573" s="741">
        <v>0</v>
      </c>
      <c r="J3573" s="749">
        <f t="shared" si="823"/>
        <v>0</v>
      </c>
      <c r="K3573" s="739">
        <f t="shared" si="819"/>
        <v>0</v>
      </c>
      <c r="L3573" s="1079"/>
      <c r="M3573" s="752"/>
      <c r="N3573" s="744">
        <f t="shared" si="821"/>
        <v>0</v>
      </c>
      <c r="O3573" s="745">
        <v>0</v>
      </c>
      <c r="P3573" s="737">
        <v>0</v>
      </c>
      <c r="Q3573" s="752"/>
      <c r="R3573" s="752"/>
      <c r="S3573" s="752"/>
    </row>
    <row r="3574" spans="1:19" s="753" customFormat="1" ht="24" customHeight="1">
      <c r="A3574" s="734"/>
      <c r="B3574" s="747" t="s">
        <v>469</v>
      </c>
      <c r="C3574" s="735" t="s">
        <v>522</v>
      </c>
      <c r="D3574" s="735"/>
      <c r="E3574" s="737">
        <f t="shared" si="820"/>
        <v>1</v>
      </c>
      <c r="F3574" s="738" t="s">
        <v>363</v>
      </c>
      <c r="G3574" s="739">
        <v>6832</v>
      </c>
      <c r="H3574" s="748">
        <f t="shared" si="822"/>
        <v>6832</v>
      </c>
      <c r="I3574" s="741">
        <v>450</v>
      </c>
      <c r="J3574" s="749">
        <f t="shared" si="823"/>
        <v>450</v>
      </c>
      <c r="K3574" s="739">
        <f t="shared" si="819"/>
        <v>7282</v>
      </c>
      <c r="L3574" s="1079"/>
      <c r="M3574" s="752"/>
      <c r="N3574" s="744">
        <f t="shared" si="821"/>
        <v>1</v>
      </c>
      <c r="O3574" s="745">
        <v>0</v>
      </c>
      <c r="P3574" s="737">
        <v>1</v>
      </c>
      <c r="Q3574" s="752"/>
      <c r="R3574" s="752"/>
      <c r="S3574" s="752"/>
    </row>
    <row r="3575" spans="1:19" s="753" customFormat="1" ht="24" customHeight="1">
      <c r="A3575" s="734"/>
      <c r="B3575" s="747" t="s">
        <v>469</v>
      </c>
      <c r="C3575" s="735" t="s">
        <v>498</v>
      </c>
      <c r="D3575" s="735"/>
      <c r="E3575" s="737">
        <f t="shared" si="820"/>
        <v>1</v>
      </c>
      <c r="F3575" s="738" t="s">
        <v>363</v>
      </c>
      <c r="G3575" s="739">
        <v>6640</v>
      </c>
      <c r="H3575" s="748">
        <f t="shared" si="822"/>
        <v>6640</v>
      </c>
      <c r="I3575" s="741">
        <v>200</v>
      </c>
      <c r="J3575" s="749">
        <f t="shared" si="823"/>
        <v>200</v>
      </c>
      <c r="K3575" s="739">
        <f t="shared" si="819"/>
        <v>6840</v>
      </c>
      <c r="L3575" s="1079"/>
      <c r="M3575" s="752"/>
      <c r="N3575" s="744">
        <f t="shared" si="821"/>
        <v>1</v>
      </c>
      <c r="O3575" s="745">
        <v>0</v>
      </c>
      <c r="P3575" s="737">
        <v>1</v>
      </c>
      <c r="Q3575" s="752"/>
      <c r="R3575" s="752"/>
      <c r="S3575" s="752"/>
    </row>
    <row r="3576" spans="1:19" s="753" customFormat="1" ht="24" customHeight="1">
      <c r="A3576" s="734"/>
      <c r="B3576" s="747" t="s">
        <v>469</v>
      </c>
      <c r="C3576" s="735" t="s">
        <v>476</v>
      </c>
      <c r="D3576" s="735"/>
      <c r="E3576" s="737">
        <f t="shared" si="820"/>
        <v>1</v>
      </c>
      <c r="F3576" s="738" t="s">
        <v>363</v>
      </c>
      <c r="G3576" s="739">
        <v>336</v>
      </c>
      <c r="H3576" s="748">
        <f t="shared" si="822"/>
        <v>336</v>
      </c>
      <c r="I3576" s="741">
        <v>0</v>
      </c>
      <c r="J3576" s="749">
        <f t="shared" si="823"/>
        <v>0</v>
      </c>
      <c r="K3576" s="739">
        <f t="shared" si="819"/>
        <v>336</v>
      </c>
      <c r="L3576" s="1079"/>
      <c r="M3576" s="752"/>
      <c r="N3576" s="744">
        <f t="shared" si="821"/>
        <v>1</v>
      </c>
      <c r="O3576" s="745">
        <v>0</v>
      </c>
      <c r="P3576" s="737">
        <v>1</v>
      </c>
      <c r="Q3576" s="752"/>
      <c r="R3576" s="752"/>
      <c r="S3576" s="752"/>
    </row>
    <row r="3577" spans="1:19" s="753" customFormat="1" ht="24" customHeight="1">
      <c r="A3577" s="734"/>
      <c r="B3577" s="747" t="s">
        <v>469</v>
      </c>
      <c r="C3577" s="735" t="s">
        <v>477</v>
      </c>
      <c r="D3577" s="735"/>
      <c r="E3577" s="737">
        <f t="shared" si="820"/>
        <v>1</v>
      </c>
      <c r="F3577" s="738" t="s">
        <v>363</v>
      </c>
      <c r="G3577" s="739">
        <v>736</v>
      </c>
      <c r="H3577" s="748">
        <f t="shared" si="822"/>
        <v>736</v>
      </c>
      <c r="I3577" s="741">
        <v>0</v>
      </c>
      <c r="J3577" s="749">
        <f t="shared" si="823"/>
        <v>0</v>
      </c>
      <c r="K3577" s="739">
        <f t="shared" si="819"/>
        <v>736</v>
      </c>
      <c r="L3577" s="1079"/>
      <c r="M3577" s="752"/>
      <c r="N3577" s="744">
        <f t="shared" si="821"/>
        <v>1</v>
      </c>
      <c r="O3577" s="745">
        <v>0</v>
      </c>
      <c r="P3577" s="737">
        <v>1</v>
      </c>
      <c r="Q3577" s="752"/>
      <c r="R3577" s="752"/>
      <c r="S3577" s="752"/>
    </row>
    <row r="3578" spans="1:19" s="753" customFormat="1" ht="24" customHeight="1">
      <c r="A3578" s="734"/>
      <c r="B3578" s="747" t="s">
        <v>469</v>
      </c>
      <c r="C3578" s="735" t="s">
        <v>478</v>
      </c>
      <c r="D3578" s="735"/>
      <c r="E3578" s="737">
        <f t="shared" si="820"/>
        <v>1</v>
      </c>
      <c r="F3578" s="738" t="s">
        <v>363</v>
      </c>
      <c r="G3578" s="739">
        <v>176</v>
      </c>
      <c r="H3578" s="748">
        <f t="shared" si="822"/>
        <v>176</v>
      </c>
      <c r="I3578" s="741">
        <v>0</v>
      </c>
      <c r="J3578" s="749">
        <f t="shared" si="823"/>
        <v>0</v>
      </c>
      <c r="K3578" s="739">
        <f t="shared" si="819"/>
        <v>176</v>
      </c>
      <c r="L3578" s="1079"/>
      <c r="M3578" s="752"/>
      <c r="N3578" s="744">
        <f t="shared" si="821"/>
        <v>1</v>
      </c>
      <c r="O3578" s="745">
        <v>0</v>
      </c>
      <c r="P3578" s="737">
        <v>1</v>
      </c>
      <c r="Q3578" s="752"/>
      <c r="R3578" s="752"/>
      <c r="S3578" s="752"/>
    </row>
    <row r="3579" spans="1:19" s="753" customFormat="1" ht="24" customHeight="1">
      <c r="A3579" s="734"/>
      <c r="B3579" s="747" t="s">
        <v>469</v>
      </c>
      <c r="C3579" s="735" t="s">
        <v>499</v>
      </c>
      <c r="D3579" s="735"/>
      <c r="E3579" s="737">
        <f t="shared" si="820"/>
        <v>1</v>
      </c>
      <c r="F3579" s="738" t="s">
        <v>363</v>
      </c>
      <c r="G3579" s="739">
        <v>216</v>
      </c>
      <c r="H3579" s="748">
        <f t="shared" si="822"/>
        <v>216</v>
      </c>
      <c r="I3579" s="741">
        <v>35</v>
      </c>
      <c r="J3579" s="749">
        <f t="shared" si="823"/>
        <v>35</v>
      </c>
      <c r="K3579" s="739">
        <f t="shared" si="819"/>
        <v>251</v>
      </c>
      <c r="L3579" s="1079"/>
      <c r="M3579" s="752"/>
      <c r="N3579" s="744">
        <f t="shared" si="821"/>
        <v>1</v>
      </c>
      <c r="O3579" s="745">
        <v>0</v>
      </c>
      <c r="P3579" s="737">
        <v>1</v>
      </c>
      <c r="Q3579" s="752"/>
      <c r="R3579" s="752"/>
      <c r="S3579" s="752"/>
    </row>
    <row r="3580" spans="1:19" s="753" customFormat="1" ht="24" customHeight="1">
      <c r="A3580" s="734"/>
      <c r="B3580" s="750"/>
      <c r="C3580" s="757"/>
      <c r="D3580" s="907"/>
      <c r="E3580" s="737">
        <f t="shared" si="820"/>
        <v>0</v>
      </c>
      <c r="F3580" s="738"/>
      <c r="G3580" s="739">
        <v>0</v>
      </c>
      <c r="H3580" s="748">
        <f t="shared" si="822"/>
        <v>0</v>
      </c>
      <c r="I3580" s="741">
        <v>0</v>
      </c>
      <c r="J3580" s="749">
        <f t="shared" si="823"/>
        <v>0</v>
      </c>
      <c r="K3580" s="739">
        <f t="shared" si="819"/>
        <v>0</v>
      </c>
      <c r="L3580" s="1079"/>
      <c r="M3580" s="752"/>
      <c r="N3580" s="744">
        <f t="shared" si="821"/>
        <v>0</v>
      </c>
      <c r="O3580" s="745">
        <v>0</v>
      </c>
      <c r="P3580" s="737">
        <v>0</v>
      </c>
      <c r="Q3580" s="752"/>
      <c r="R3580" s="752"/>
      <c r="S3580" s="752"/>
    </row>
    <row r="3581" spans="1:19" s="753" customFormat="1" ht="24" customHeight="1">
      <c r="A3581" s="734"/>
      <c r="B3581" s="747" t="s">
        <v>469</v>
      </c>
      <c r="C3581" s="735" t="s">
        <v>523</v>
      </c>
      <c r="D3581" s="735"/>
      <c r="E3581" s="737">
        <f t="shared" si="820"/>
        <v>1</v>
      </c>
      <c r="F3581" s="738" t="s">
        <v>363</v>
      </c>
      <c r="G3581" s="739">
        <v>6580</v>
      </c>
      <c r="H3581" s="748">
        <f t="shared" si="822"/>
        <v>6580</v>
      </c>
      <c r="I3581" s="741">
        <v>450</v>
      </c>
      <c r="J3581" s="749">
        <f t="shared" si="823"/>
        <v>450</v>
      </c>
      <c r="K3581" s="739">
        <f t="shared" si="819"/>
        <v>7030</v>
      </c>
      <c r="L3581" s="1079"/>
      <c r="M3581" s="752"/>
      <c r="N3581" s="744">
        <f t="shared" si="821"/>
        <v>1</v>
      </c>
      <c r="O3581" s="745">
        <v>0</v>
      </c>
      <c r="P3581" s="737">
        <v>1</v>
      </c>
      <c r="Q3581" s="752"/>
      <c r="R3581" s="752"/>
      <c r="S3581" s="752"/>
    </row>
    <row r="3582" spans="1:19" s="753" customFormat="1" ht="24" customHeight="1">
      <c r="A3582" s="734"/>
      <c r="B3582" s="747" t="s">
        <v>469</v>
      </c>
      <c r="C3582" s="735" t="s">
        <v>478</v>
      </c>
      <c r="D3582" s="735"/>
      <c r="E3582" s="737">
        <f t="shared" si="820"/>
        <v>1</v>
      </c>
      <c r="F3582" s="738" t="s">
        <v>363</v>
      </c>
      <c r="G3582" s="739">
        <v>176</v>
      </c>
      <c r="H3582" s="748">
        <f t="shared" si="822"/>
        <v>176</v>
      </c>
      <c r="I3582" s="741">
        <v>0</v>
      </c>
      <c r="J3582" s="749">
        <f t="shared" si="823"/>
        <v>0</v>
      </c>
      <c r="K3582" s="739">
        <f t="shared" si="819"/>
        <v>176</v>
      </c>
      <c r="L3582" s="1079"/>
      <c r="M3582" s="752"/>
      <c r="N3582" s="744">
        <f t="shared" si="821"/>
        <v>1</v>
      </c>
      <c r="O3582" s="745">
        <v>0</v>
      </c>
      <c r="P3582" s="737">
        <v>1</v>
      </c>
      <c r="Q3582" s="752"/>
      <c r="R3582" s="752"/>
      <c r="S3582" s="752"/>
    </row>
    <row r="3583" spans="1:19" s="753" customFormat="1" ht="24" customHeight="1">
      <c r="A3583" s="734"/>
      <c r="B3583" s="747" t="s">
        <v>469</v>
      </c>
      <c r="C3583" s="735" t="s">
        <v>482</v>
      </c>
      <c r="D3583" s="735"/>
      <c r="E3583" s="737">
        <f t="shared" si="820"/>
        <v>1</v>
      </c>
      <c r="F3583" s="738" t="s">
        <v>363</v>
      </c>
      <c r="G3583" s="739">
        <v>560</v>
      </c>
      <c r="H3583" s="748">
        <f t="shared" si="822"/>
        <v>560</v>
      </c>
      <c r="I3583" s="741">
        <v>35</v>
      </c>
      <c r="J3583" s="749">
        <f t="shared" si="823"/>
        <v>35</v>
      </c>
      <c r="K3583" s="739">
        <f t="shared" si="819"/>
        <v>595</v>
      </c>
      <c r="L3583" s="1079"/>
      <c r="M3583" s="752"/>
      <c r="N3583" s="744">
        <f t="shared" si="821"/>
        <v>1</v>
      </c>
      <c r="O3583" s="745">
        <v>0</v>
      </c>
      <c r="P3583" s="737">
        <v>1</v>
      </c>
      <c r="Q3583" s="752"/>
      <c r="R3583" s="752"/>
      <c r="S3583" s="752"/>
    </row>
    <row r="3584" spans="1:19" s="753" customFormat="1" ht="24" customHeight="1">
      <c r="A3584" s="734"/>
      <c r="B3584" s="747" t="s">
        <v>469</v>
      </c>
      <c r="C3584" s="735" t="s">
        <v>524</v>
      </c>
      <c r="D3584" s="735"/>
      <c r="E3584" s="737">
        <f t="shared" si="820"/>
        <v>1</v>
      </c>
      <c r="F3584" s="738" t="s">
        <v>363</v>
      </c>
      <c r="G3584" s="739">
        <v>216</v>
      </c>
      <c r="H3584" s="748">
        <f t="shared" si="822"/>
        <v>216</v>
      </c>
      <c r="I3584" s="741">
        <v>35</v>
      </c>
      <c r="J3584" s="749">
        <f t="shared" si="823"/>
        <v>35</v>
      </c>
      <c r="K3584" s="739">
        <f t="shared" si="819"/>
        <v>251</v>
      </c>
      <c r="L3584" s="1079"/>
      <c r="M3584" s="752"/>
      <c r="N3584" s="744">
        <f t="shared" si="821"/>
        <v>1</v>
      </c>
      <c r="O3584" s="745">
        <v>0</v>
      </c>
      <c r="P3584" s="737">
        <v>1</v>
      </c>
      <c r="Q3584" s="752"/>
      <c r="R3584" s="752"/>
      <c r="S3584" s="752"/>
    </row>
    <row r="3585" spans="1:19" s="753" customFormat="1" ht="24" customHeight="1">
      <c r="A3585" s="734"/>
      <c r="B3585" s="747"/>
      <c r="C3585" s="735"/>
      <c r="D3585" s="735"/>
      <c r="E3585" s="737">
        <f t="shared" si="820"/>
        <v>0</v>
      </c>
      <c r="F3585" s="738"/>
      <c r="G3585" s="739">
        <v>0</v>
      </c>
      <c r="H3585" s="748">
        <f t="shared" si="822"/>
        <v>0</v>
      </c>
      <c r="I3585" s="741">
        <v>0</v>
      </c>
      <c r="J3585" s="749">
        <f t="shared" si="823"/>
        <v>0</v>
      </c>
      <c r="K3585" s="739">
        <f t="shared" si="819"/>
        <v>0</v>
      </c>
      <c r="L3585" s="1079"/>
      <c r="M3585" s="752"/>
      <c r="N3585" s="744">
        <f t="shared" si="821"/>
        <v>0</v>
      </c>
      <c r="O3585" s="745">
        <v>0</v>
      </c>
      <c r="P3585" s="737">
        <v>0</v>
      </c>
      <c r="Q3585" s="752"/>
      <c r="R3585" s="752"/>
      <c r="S3585" s="752"/>
    </row>
    <row r="3586" spans="1:19" s="753" customFormat="1" ht="24" customHeight="1">
      <c r="A3586" s="734"/>
      <c r="B3586" s="747" t="s">
        <v>469</v>
      </c>
      <c r="C3586" s="735" t="s">
        <v>486</v>
      </c>
      <c r="D3586" s="735"/>
      <c r="E3586" s="737">
        <f t="shared" si="820"/>
        <v>1</v>
      </c>
      <c r="F3586" s="738" t="s">
        <v>363</v>
      </c>
      <c r="G3586" s="739">
        <v>552</v>
      </c>
      <c r="H3586" s="748">
        <f t="shared" si="822"/>
        <v>552</v>
      </c>
      <c r="I3586" s="741">
        <v>25</v>
      </c>
      <c r="J3586" s="749">
        <f t="shared" si="823"/>
        <v>25</v>
      </c>
      <c r="K3586" s="739">
        <f t="shared" si="819"/>
        <v>577</v>
      </c>
      <c r="L3586" s="1079"/>
      <c r="M3586" s="752"/>
      <c r="N3586" s="744">
        <f t="shared" si="821"/>
        <v>1</v>
      </c>
      <c r="O3586" s="745">
        <v>0</v>
      </c>
      <c r="P3586" s="737">
        <v>1</v>
      </c>
      <c r="Q3586" s="752"/>
      <c r="R3586" s="752"/>
      <c r="S3586" s="752"/>
    </row>
    <row r="3587" spans="1:19" s="753" customFormat="1" ht="24" customHeight="1">
      <c r="A3587" s="734"/>
      <c r="B3587" s="747" t="s">
        <v>484</v>
      </c>
      <c r="C3587" s="735" t="s">
        <v>485</v>
      </c>
      <c r="D3587" s="735"/>
      <c r="E3587" s="737">
        <f t="shared" si="820"/>
        <v>1</v>
      </c>
      <c r="F3587" s="738" t="s">
        <v>363</v>
      </c>
      <c r="G3587" s="739">
        <v>285</v>
      </c>
      <c r="H3587" s="748">
        <f t="shared" si="822"/>
        <v>285</v>
      </c>
      <c r="I3587" s="741">
        <v>75</v>
      </c>
      <c r="J3587" s="749">
        <f t="shared" si="823"/>
        <v>75</v>
      </c>
      <c r="K3587" s="739">
        <f t="shared" si="819"/>
        <v>360</v>
      </c>
      <c r="L3587" s="1093"/>
      <c r="M3587" s="752"/>
      <c r="N3587" s="744">
        <f t="shared" si="821"/>
        <v>1</v>
      </c>
      <c r="O3587" s="745">
        <v>0</v>
      </c>
      <c r="P3587" s="737">
        <v>1</v>
      </c>
      <c r="Q3587" s="752"/>
      <c r="R3587" s="752"/>
      <c r="S3587" s="752"/>
    </row>
    <row r="3588" spans="1:19" s="753" customFormat="1" ht="24" customHeight="1">
      <c r="A3588" s="734"/>
      <c r="B3588" s="747"/>
      <c r="C3588" s="735"/>
      <c r="D3588" s="735"/>
      <c r="E3588" s="737">
        <f t="shared" si="820"/>
        <v>0</v>
      </c>
      <c r="F3588" s="738"/>
      <c r="G3588" s="739">
        <v>0</v>
      </c>
      <c r="H3588" s="748">
        <f t="shared" si="822"/>
        <v>0</v>
      </c>
      <c r="I3588" s="741">
        <v>0</v>
      </c>
      <c r="J3588" s="749">
        <f t="shared" si="823"/>
        <v>0</v>
      </c>
      <c r="K3588" s="739">
        <f t="shared" si="819"/>
        <v>0</v>
      </c>
      <c r="L3588" s="1079"/>
      <c r="M3588" s="752"/>
      <c r="N3588" s="744">
        <f t="shared" si="821"/>
        <v>0</v>
      </c>
      <c r="O3588" s="745">
        <v>0</v>
      </c>
      <c r="P3588" s="737">
        <v>0</v>
      </c>
      <c r="Q3588" s="752"/>
      <c r="R3588" s="752"/>
      <c r="S3588" s="752"/>
    </row>
    <row r="3589" spans="1:19" s="753" customFormat="1" ht="24" customHeight="1">
      <c r="A3589" s="734"/>
      <c r="B3589" s="747" t="s">
        <v>469</v>
      </c>
      <c r="C3589" s="735" t="s">
        <v>507</v>
      </c>
      <c r="D3589" s="735"/>
      <c r="E3589" s="737">
        <f t="shared" si="820"/>
        <v>1</v>
      </c>
      <c r="F3589" s="738" t="s">
        <v>363</v>
      </c>
      <c r="G3589" s="739">
        <v>1650</v>
      </c>
      <c r="H3589" s="748">
        <f t="shared" si="822"/>
        <v>1650</v>
      </c>
      <c r="I3589" s="741">
        <v>70</v>
      </c>
      <c r="J3589" s="749">
        <f t="shared" si="823"/>
        <v>70</v>
      </c>
      <c r="K3589" s="739">
        <f t="shared" si="819"/>
        <v>1720</v>
      </c>
      <c r="L3589" s="1079"/>
      <c r="M3589" s="752"/>
      <c r="N3589" s="744">
        <f t="shared" si="821"/>
        <v>1</v>
      </c>
      <c r="O3589" s="745">
        <v>0</v>
      </c>
      <c r="P3589" s="737">
        <v>1</v>
      </c>
      <c r="Q3589" s="752"/>
      <c r="R3589" s="752"/>
      <c r="S3589" s="752"/>
    </row>
    <row r="3590" spans="1:19" s="753" customFormat="1" ht="24" customHeight="1">
      <c r="A3590" s="734"/>
      <c r="B3590" s="747" t="s">
        <v>469</v>
      </c>
      <c r="C3590" s="735" t="s">
        <v>525</v>
      </c>
      <c r="D3590" s="735"/>
      <c r="E3590" s="737">
        <f t="shared" si="820"/>
        <v>2</v>
      </c>
      <c r="F3590" s="738" t="s">
        <v>363</v>
      </c>
      <c r="G3590" s="739">
        <v>4160</v>
      </c>
      <c r="H3590" s="748">
        <f t="shared" si="822"/>
        <v>8320</v>
      </c>
      <c r="I3590" s="741">
        <v>105</v>
      </c>
      <c r="J3590" s="749">
        <f t="shared" si="823"/>
        <v>210</v>
      </c>
      <c r="K3590" s="739">
        <f t="shared" si="819"/>
        <v>8530</v>
      </c>
      <c r="L3590" s="1079"/>
      <c r="M3590" s="752"/>
      <c r="N3590" s="744">
        <f t="shared" si="821"/>
        <v>2</v>
      </c>
      <c r="O3590" s="745">
        <v>0</v>
      </c>
      <c r="P3590" s="737">
        <v>2</v>
      </c>
      <c r="Q3590" s="752"/>
      <c r="R3590" s="752"/>
      <c r="S3590" s="752"/>
    </row>
    <row r="3591" spans="1:19" s="753" customFormat="1" ht="24" customHeight="1">
      <c r="A3591" s="734"/>
      <c r="B3591" s="747" t="s">
        <v>469</v>
      </c>
      <c r="C3591" s="735" t="s">
        <v>526</v>
      </c>
      <c r="D3591" s="735"/>
      <c r="E3591" s="737">
        <f t="shared" si="820"/>
        <v>1</v>
      </c>
      <c r="F3591" s="738" t="s">
        <v>363</v>
      </c>
      <c r="G3591" s="739">
        <v>2533.5</v>
      </c>
      <c r="H3591" s="748">
        <f t="shared" si="822"/>
        <v>2533.5</v>
      </c>
      <c r="I3591" s="741">
        <v>105</v>
      </c>
      <c r="J3591" s="749">
        <f t="shared" si="823"/>
        <v>105</v>
      </c>
      <c r="K3591" s="739">
        <f t="shared" si="819"/>
        <v>2638.5</v>
      </c>
      <c r="L3591" s="1079"/>
      <c r="M3591" s="752"/>
      <c r="N3591" s="744">
        <f t="shared" si="821"/>
        <v>1</v>
      </c>
      <c r="O3591" s="745">
        <v>0</v>
      </c>
      <c r="P3591" s="737">
        <v>1</v>
      </c>
      <c r="Q3591" s="752"/>
      <c r="R3591" s="752"/>
      <c r="S3591" s="752"/>
    </row>
    <row r="3592" spans="1:19" s="753" customFormat="1" ht="24" customHeight="1">
      <c r="A3592" s="734"/>
      <c r="B3592" s="747"/>
      <c r="C3592" s="735"/>
      <c r="D3592" s="735"/>
      <c r="E3592" s="737">
        <f t="shared" si="820"/>
        <v>0</v>
      </c>
      <c r="F3592" s="738"/>
      <c r="G3592" s="739">
        <v>0</v>
      </c>
      <c r="H3592" s="748">
        <f t="shared" si="822"/>
        <v>0</v>
      </c>
      <c r="I3592" s="741">
        <v>0</v>
      </c>
      <c r="J3592" s="749">
        <f t="shared" si="823"/>
        <v>0</v>
      </c>
      <c r="K3592" s="739">
        <f t="shared" si="819"/>
        <v>0</v>
      </c>
      <c r="L3592" s="1079"/>
      <c r="M3592" s="752"/>
      <c r="N3592" s="744">
        <f t="shared" si="821"/>
        <v>0</v>
      </c>
      <c r="O3592" s="745">
        <v>0</v>
      </c>
      <c r="P3592" s="737">
        <v>0</v>
      </c>
      <c r="Q3592" s="752"/>
      <c r="R3592" s="752"/>
      <c r="S3592" s="752"/>
    </row>
    <row r="3593" spans="1:19" s="753" customFormat="1" ht="24" customHeight="1">
      <c r="A3593" s="734"/>
      <c r="B3593" s="747" t="s">
        <v>469</v>
      </c>
      <c r="C3593" s="735" t="s">
        <v>527</v>
      </c>
      <c r="D3593" s="735"/>
      <c r="E3593" s="737">
        <f t="shared" si="820"/>
        <v>1</v>
      </c>
      <c r="F3593" s="738" t="s">
        <v>363</v>
      </c>
      <c r="G3593" s="739">
        <v>2855</v>
      </c>
      <c r="H3593" s="748">
        <f t="shared" si="822"/>
        <v>2855</v>
      </c>
      <c r="I3593" s="741">
        <v>1432</v>
      </c>
      <c r="J3593" s="749">
        <f t="shared" si="823"/>
        <v>1432</v>
      </c>
      <c r="K3593" s="739">
        <f t="shared" si="819"/>
        <v>4287</v>
      </c>
      <c r="L3593" s="1079"/>
      <c r="M3593" s="752"/>
      <c r="N3593" s="744">
        <f t="shared" si="821"/>
        <v>1</v>
      </c>
      <c r="O3593" s="745">
        <v>0</v>
      </c>
      <c r="P3593" s="737">
        <v>1</v>
      </c>
      <c r="Q3593" s="752"/>
      <c r="R3593" s="752"/>
      <c r="S3593" s="752"/>
    </row>
    <row r="3594" spans="1:19" s="682" customFormat="1" ht="24" customHeight="1">
      <c r="A3594" s="734"/>
      <c r="B3594" s="747" t="s">
        <v>469</v>
      </c>
      <c r="C3594" s="735" t="s">
        <v>528</v>
      </c>
      <c r="D3594" s="735"/>
      <c r="E3594" s="737">
        <f t="shared" si="820"/>
        <v>0</v>
      </c>
      <c r="F3594" s="738" t="s">
        <v>363</v>
      </c>
      <c r="G3594" s="739">
        <v>9750</v>
      </c>
      <c r="H3594" s="748">
        <f t="shared" si="822"/>
        <v>0</v>
      </c>
      <c r="I3594" s="741">
        <v>105</v>
      </c>
      <c r="J3594" s="749">
        <f t="shared" si="823"/>
        <v>0</v>
      </c>
      <c r="K3594" s="739">
        <f t="shared" ref="K3594:K3657" si="824">SUM(H3594+J3594)</f>
        <v>0</v>
      </c>
      <c r="L3594" s="1079"/>
      <c r="M3594" s="679"/>
      <c r="N3594" s="744">
        <f t="shared" si="821"/>
        <v>0</v>
      </c>
      <c r="O3594" s="745">
        <v>0</v>
      </c>
      <c r="P3594" s="737">
        <v>0</v>
      </c>
      <c r="Q3594" s="679"/>
      <c r="R3594" s="679"/>
      <c r="S3594" s="679"/>
    </row>
    <row r="3595" spans="1:19" s="682" customFormat="1" ht="24" customHeight="1">
      <c r="A3595" s="734"/>
      <c r="B3595" s="747" t="s">
        <v>469</v>
      </c>
      <c r="C3595" s="735" t="s">
        <v>529</v>
      </c>
      <c r="D3595" s="735"/>
      <c r="E3595" s="737">
        <f t="shared" si="820"/>
        <v>0</v>
      </c>
      <c r="F3595" s="738" t="s">
        <v>363</v>
      </c>
      <c r="G3595" s="739">
        <v>5200</v>
      </c>
      <c r="H3595" s="748">
        <f t="shared" si="822"/>
        <v>0</v>
      </c>
      <c r="I3595" s="741">
        <v>70</v>
      </c>
      <c r="J3595" s="749">
        <f t="shared" si="823"/>
        <v>0</v>
      </c>
      <c r="K3595" s="739">
        <f t="shared" si="824"/>
        <v>0</v>
      </c>
      <c r="L3595" s="1079"/>
      <c r="M3595" s="679"/>
      <c r="N3595" s="744">
        <f t="shared" si="821"/>
        <v>0</v>
      </c>
      <c r="O3595" s="745">
        <v>0</v>
      </c>
      <c r="P3595" s="737">
        <v>0</v>
      </c>
      <c r="Q3595" s="679"/>
      <c r="R3595" s="679"/>
      <c r="S3595" s="679"/>
    </row>
    <row r="3596" spans="1:19" s="682" customFormat="1" ht="24" customHeight="1">
      <c r="A3596" s="734"/>
      <c r="B3596" s="747" t="s">
        <v>469</v>
      </c>
      <c r="C3596" s="735" t="s">
        <v>519</v>
      </c>
      <c r="D3596" s="735"/>
      <c r="E3596" s="737">
        <f t="shared" si="820"/>
        <v>1</v>
      </c>
      <c r="F3596" s="738" t="s">
        <v>363</v>
      </c>
      <c r="G3596" s="739">
        <v>800</v>
      </c>
      <c r="H3596" s="748">
        <f t="shared" si="822"/>
        <v>800</v>
      </c>
      <c r="I3596" s="741">
        <v>70</v>
      </c>
      <c r="J3596" s="749">
        <f t="shared" si="823"/>
        <v>70</v>
      </c>
      <c r="K3596" s="739">
        <f t="shared" si="824"/>
        <v>870</v>
      </c>
      <c r="L3596" s="1079"/>
      <c r="M3596" s="679"/>
      <c r="N3596" s="744">
        <f t="shared" si="821"/>
        <v>1</v>
      </c>
      <c r="O3596" s="745">
        <v>0</v>
      </c>
      <c r="P3596" s="737">
        <v>1</v>
      </c>
      <c r="Q3596" s="679"/>
      <c r="R3596" s="679"/>
      <c r="S3596" s="679"/>
    </row>
    <row r="3597" spans="1:19" s="682" customFormat="1" ht="24" customHeight="1">
      <c r="A3597" s="734"/>
      <c r="B3597" s="747" t="s">
        <v>469</v>
      </c>
      <c r="C3597" s="735" t="s">
        <v>520</v>
      </c>
      <c r="D3597" s="735"/>
      <c r="E3597" s="737">
        <f t="shared" ref="E3597:E3601" si="825">+N3597</f>
        <v>0</v>
      </c>
      <c r="F3597" s="738" t="s">
        <v>361</v>
      </c>
      <c r="G3597" s="739">
        <v>190</v>
      </c>
      <c r="H3597" s="748">
        <f t="shared" si="822"/>
        <v>0</v>
      </c>
      <c r="I3597" s="741">
        <v>75</v>
      </c>
      <c r="J3597" s="749">
        <f t="shared" si="823"/>
        <v>0</v>
      </c>
      <c r="K3597" s="739">
        <f t="shared" si="824"/>
        <v>0</v>
      </c>
      <c r="L3597" s="1079"/>
      <c r="M3597" s="679"/>
      <c r="N3597" s="744">
        <f t="shared" si="821"/>
        <v>0</v>
      </c>
      <c r="O3597" s="745">
        <v>0</v>
      </c>
      <c r="P3597" s="737">
        <v>0</v>
      </c>
      <c r="Q3597" s="679"/>
      <c r="R3597" s="679"/>
      <c r="S3597" s="679"/>
    </row>
    <row r="3598" spans="1:19" s="753" customFormat="1" ht="24" customHeight="1">
      <c r="A3598" s="734"/>
      <c r="B3598" s="747"/>
      <c r="C3598" s="735"/>
      <c r="D3598" s="735"/>
      <c r="E3598" s="737">
        <f t="shared" si="825"/>
        <v>0</v>
      </c>
      <c r="F3598" s="738"/>
      <c r="G3598" s="739">
        <v>0</v>
      </c>
      <c r="H3598" s="748">
        <f t="shared" si="822"/>
        <v>0</v>
      </c>
      <c r="I3598" s="741">
        <v>0</v>
      </c>
      <c r="J3598" s="749">
        <f t="shared" si="823"/>
        <v>0</v>
      </c>
      <c r="K3598" s="739">
        <f t="shared" si="824"/>
        <v>0</v>
      </c>
      <c r="L3598" s="1079"/>
      <c r="M3598" s="752"/>
      <c r="N3598" s="758">
        <f t="shared" si="821"/>
        <v>0</v>
      </c>
      <c r="O3598" s="745">
        <v>0</v>
      </c>
      <c r="P3598" s="759">
        <v>0</v>
      </c>
      <c r="Q3598" s="752"/>
      <c r="R3598" s="752"/>
      <c r="S3598" s="752"/>
    </row>
    <row r="3599" spans="1:19" s="753" customFormat="1" ht="24" customHeight="1">
      <c r="A3599" s="734"/>
      <c r="B3599" s="751" t="s">
        <v>1092</v>
      </c>
      <c r="C3599" s="735"/>
      <c r="D3599" s="735"/>
      <c r="E3599" s="737">
        <f t="shared" si="825"/>
        <v>0</v>
      </c>
      <c r="F3599" s="738"/>
      <c r="G3599" s="739">
        <v>0</v>
      </c>
      <c r="H3599" s="748">
        <f t="shared" si="822"/>
        <v>0</v>
      </c>
      <c r="I3599" s="741">
        <v>0</v>
      </c>
      <c r="J3599" s="749">
        <f t="shared" si="823"/>
        <v>0</v>
      </c>
      <c r="K3599" s="739">
        <f t="shared" si="824"/>
        <v>0</v>
      </c>
      <c r="L3599" s="1079"/>
      <c r="M3599" s="752"/>
      <c r="N3599" s="744">
        <f t="shared" si="821"/>
        <v>0</v>
      </c>
      <c r="O3599" s="745">
        <v>0</v>
      </c>
      <c r="P3599" s="737">
        <v>0</v>
      </c>
      <c r="Q3599" s="752"/>
      <c r="R3599" s="752"/>
      <c r="S3599" s="752"/>
    </row>
    <row r="3600" spans="1:19" s="753" customFormat="1" ht="24" customHeight="1">
      <c r="A3600" s="734"/>
      <c r="B3600" s="747" t="s">
        <v>469</v>
      </c>
      <c r="C3600" s="735" t="s">
        <v>486</v>
      </c>
      <c r="D3600" s="735"/>
      <c r="E3600" s="737">
        <f t="shared" si="825"/>
        <v>1</v>
      </c>
      <c r="F3600" s="738" t="s">
        <v>363</v>
      </c>
      <c r="G3600" s="739">
        <v>552</v>
      </c>
      <c r="H3600" s="748">
        <f t="shared" si="822"/>
        <v>552</v>
      </c>
      <c r="I3600" s="741">
        <v>25</v>
      </c>
      <c r="J3600" s="749">
        <f t="shared" si="823"/>
        <v>25</v>
      </c>
      <c r="K3600" s="739">
        <f t="shared" si="824"/>
        <v>577</v>
      </c>
      <c r="L3600" s="1079"/>
      <c r="M3600" s="752"/>
      <c r="N3600" s="744">
        <f t="shared" si="821"/>
        <v>1</v>
      </c>
      <c r="O3600" s="745">
        <v>0</v>
      </c>
      <c r="P3600" s="737">
        <v>1</v>
      </c>
      <c r="Q3600" s="752"/>
      <c r="R3600" s="752"/>
      <c r="S3600" s="752"/>
    </row>
    <row r="3601" spans="1:19" s="753" customFormat="1" ht="24" customHeight="1">
      <c r="A3601" s="734"/>
      <c r="B3601" s="747" t="s">
        <v>484</v>
      </c>
      <c r="C3601" s="735" t="s">
        <v>485</v>
      </c>
      <c r="D3601" s="735"/>
      <c r="E3601" s="737">
        <f t="shared" si="825"/>
        <v>1</v>
      </c>
      <c r="F3601" s="738" t="s">
        <v>363</v>
      </c>
      <c r="G3601" s="739">
        <v>285</v>
      </c>
      <c r="H3601" s="748">
        <f t="shared" si="822"/>
        <v>285</v>
      </c>
      <c r="I3601" s="741">
        <v>75</v>
      </c>
      <c r="J3601" s="749">
        <f t="shared" si="823"/>
        <v>75</v>
      </c>
      <c r="K3601" s="739">
        <f t="shared" si="824"/>
        <v>360</v>
      </c>
      <c r="L3601" s="1093"/>
      <c r="M3601" s="752"/>
      <c r="N3601" s="744">
        <f t="shared" si="821"/>
        <v>1</v>
      </c>
      <c r="O3601" s="745">
        <v>0</v>
      </c>
      <c r="P3601" s="737">
        <v>1</v>
      </c>
      <c r="Q3601" s="752"/>
      <c r="R3601" s="752"/>
      <c r="S3601" s="752"/>
    </row>
    <row r="3602" spans="1:19" s="763" customFormat="1" ht="24" customHeight="1">
      <c r="A3602" s="734"/>
      <c r="B3602" s="747"/>
      <c r="C3602" s="735"/>
      <c r="D3602" s="735"/>
      <c r="E3602" s="737"/>
      <c r="F3602" s="738"/>
      <c r="G3602" s="739">
        <v>0</v>
      </c>
      <c r="H3602" s="748">
        <f t="shared" si="822"/>
        <v>0</v>
      </c>
      <c r="I3602" s="741">
        <v>0</v>
      </c>
      <c r="J3602" s="749">
        <f t="shared" si="823"/>
        <v>0</v>
      </c>
      <c r="K3602" s="739">
        <f t="shared" si="824"/>
        <v>0</v>
      </c>
      <c r="L3602" s="1079"/>
      <c r="M3602" s="762"/>
      <c r="N3602" s="744">
        <f t="shared" si="821"/>
        <v>0</v>
      </c>
      <c r="O3602" s="745">
        <v>0</v>
      </c>
      <c r="P3602" s="737">
        <v>0</v>
      </c>
      <c r="Q3602" s="762"/>
      <c r="R3602" s="762"/>
      <c r="S3602" s="762"/>
    </row>
    <row r="3603" spans="1:19" s="760" customFormat="1" ht="23.4">
      <c r="A3603" s="734" t="s">
        <v>763</v>
      </c>
      <c r="B3603" s="761" t="s">
        <v>538</v>
      </c>
      <c r="C3603" s="736"/>
      <c r="D3603" s="907"/>
      <c r="E3603" s="737"/>
      <c r="F3603" s="738"/>
      <c r="G3603" s="739">
        <v>0</v>
      </c>
      <c r="H3603" s="748">
        <f t="shared" si="822"/>
        <v>0</v>
      </c>
      <c r="I3603" s="741">
        <v>0</v>
      </c>
      <c r="J3603" s="749">
        <f t="shared" si="823"/>
        <v>0</v>
      </c>
      <c r="K3603" s="739">
        <f t="shared" si="824"/>
        <v>0</v>
      </c>
      <c r="L3603" s="1079"/>
      <c r="M3603" s="683"/>
      <c r="N3603" s="744">
        <f t="shared" si="821"/>
        <v>0</v>
      </c>
      <c r="O3603" s="745">
        <v>0</v>
      </c>
      <c r="P3603" s="737">
        <v>0</v>
      </c>
      <c r="Q3603" s="683"/>
      <c r="R3603" s="683"/>
      <c r="S3603" s="683"/>
    </row>
    <row r="3604" spans="1:19" s="753" customFormat="1" ht="24" customHeight="1">
      <c r="A3604" s="734"/>
      <c r="B3604" s="735" t="s">
        <v>1072</v>
      </c>
      <c r="C3604" s="736"/>
      <c r="D3604" s="907"/>
      <c r="E3604" s="737"/>
      <c r="F3604" s="738"/>
      <c r="G3604" s="739">
        <v>0</v>
      </c>
      <c r="H3604" s="748">
        <f t="shared" si="822"/>
        <v>0</v>
      </c>
      <c r="I3604" s="741">
        <v>0</v>
      </c>
      <c r="J3604" s="749">
        <f t="shared" si="823"/>
        <v>0</v>
      </c>
      <c r="K3604" s="739">
        <f t="shared" si="824"/>
        <v>0</v>
      </c>
      <c r="L3604" s="1079"/>
      <c r="M3604" s="752"/>
      <c r="N3604" s="744"/>
      <c r="O3604" s="745"/>
      <c r="P3604" s="737"/>
      <c r="Q3604" s="752"/>
      <c r="R3604" s="752"/>
      <c r="S3604" s="752"/>
    </row>
    <row r="3605" spans="1:19" s="753" customFormat="1" ht="24" customHeight="1">
      <c r="A3605" s="734"/>
      <c r="B3605" s="747" t="s">
        <v>469</v>
      </c>
      <c r="C3605" s="735" t="s">
        <v>497</v>
      </c>
      <c r="D3605" s="735"/>
      <c r="E3605" s="737">
        <f>+N3605</f>
        <v>4</v>
      </c>
      <c r="F3605" s="738" t="s">
        <v>363</v>
      </c>
      <c r="G3605" s="739">
        <v>1540</v>
      </c>
      <c r="H3605" s="748">
        <f t="shared" si="822"/>
        <v>6160</v>
      </c>
      <c r="I3605" s="741">
        <v>450</v>
      </c>
      <c r="J3605" s="749">
        <f t="shared" si="823"/>
        <v>1800</v>
      </c>
      <c r="K3605" s="739">
        <f t="shared" si="824"/>
        <v>7960</v>
      </c>
      <c r="L3605" s="1079"/>
      <c r="M3605" s="752"/>
      <c r="N3605" s="744">
        <f t="shared" ref="N3605:N3611" si="826">+(1+O3605)*P3605</f>
        <v>4</v>
      </c>
      <c r="O3605" s="745">
        <v>0</v>
      </c>
      <c r="P3605" s="737">
        <v>4</v>
      </c>
      <c r="Q3605" s="752"/>
      <c r="R3605" s="752"/>
      <c r="S3605" s="752"/>
    </row>
    <row r="3606" spans="1:19" s="753" customFormat="1" ht="24" customHeight="1">
      <c r="A3606" s="734"/>
      <c r="B3606" s="747" t="s">
        <v>469</v>
      </c>
      <c r="C3606" s="735" t="s">
        <v>498</v>
      </c>
      <c r="D3606" s="735"/>
      <c r="E3606" s="737">
        <f t="shared" ref="E3606:E3669" si="827">+N3606</f>
        <v>4</v>
      </c>
      <c r="F3606" s="738" t="s">
        <v>363</v>
      </c>
      <c r="G3606" s="739">
        <v>6640</v>
      </c>
      <c r="H3606" s="748">
        <f t="shared" si="822"/>
        <v>26560</v>
      </c>
      <c r="I3606" s="741">
        <v>200</v>
      </c>
      <c r="J3606" s="749">
        <f t="shared" si="823"/>
        <v>800</v>
      </c>
      <c r="K3606" s="739">
        <f t="shared" si="824"/>
        <v>27360</v>
      </c>
      <c r="L3606" s="1079"/>
      <c r="M3606" s="752"/>
      <c r="N3606" s="744">
        <f t="shared" si="826"/>
        <v>4</v>
      </c>
      <c r="O3606" s="745">
        <v>0</v>
      </c>
      <c r="P3606" s="737">
        <v>4</v>
      </c>
      <c r="Q3606" s="752"/>
      <c r="R3606" s="752"/>
      <c r="S3606" s="752"/>
    </row>
    <row r="3607" spans="1:19" s="753" customFormat="1" ht="24" customHeight="1">
      <c r="A3607" s="734"/>
      <c r="B3607" s="747" t="s">
        <v>469</v>
      </c>
      <c r="C3607" s="735" t="s">
        <v>496</v>
      </c>
      <c r="D3607" s="735"/>
      <c r="E3607" s="737">
        <f t="shared" si="827"/>
        <v>4</v>
      </c>
      <c r="F3607" s="738" t="s">
        <v>363</v>
      </c>
      <c r="G3607" s="739">
        <v>336</v>
      </c>
      <c r="H3607" s="748">
        <f t="shared" si="822"/>
        <v>1344</v>
      </c>
      <c r="I3607" s="741">
        <v>0</v>
      </c>
      <c r="J3607" s="749">
        <f t="shared" si="823"/>
        <v>0</v>
      </c>
      <c r="K3607" s="739">
        <f t="shared" si="824"/>
        <v>1344</v>
      </c>
      <c r="L3607" s="1079"/>
      <c r="M3607" s="752"/>
      <c r="N3607" s="744">
        <f t="shared" si="826"/>
        <v>4</v>
      </c>
      <c r="O3607" s="745">
        <v>0</v>
      </c>
      <c r="P3607" s="737">
        <v>4</v>
      </c>
      <c r="Q3607" s="752"/>
      <c r="R3607" s="752"/>
      <c r="S3607" s="752"/>
    </row>
    <row r="3608" spans="1:19" s="753" customFormat="1" ht="24" customHeight="1">
      <c r="A3608" s="734"/>
      <c r="B3608" s="747" t="s">
        <v>469</v>
      </c>
      <c r="C3608" s="735" t="s">
        <v>490</v>
      </c>
      <c r="D3608" s="735"/>
      <c r="E3608" s="737">
        <f t="shared" si="827"/>
        <v>4</v>
      </c>
      <c r="F3608" s="738" t="s">
        <v>363</v>
      </c>
      <c r="G3608" s="739">
        <v>736</v>
      </c>
      <c r="H3608" s="748">
        <f t="shared" si="822"/>
        <v>2944</v>
      </c>
      <c r="I3608" s="741">
        <v>0</v>
      </c>
      <c r="J3608" s="749">
        <f t="shared" si="823"/>
        <v>0</v>
      </c>
      <c r="K3608" s="739">
        <f t="shared" si="824"/>
        <v>2944</v>
      </c>
      <c r="L3608" s="1079"/>
      <c r="M3608" s="752"/>
      <c r="N3608" s="744">
        <f t="shared" si="826"/>
        <v>4</v>
      </c>
      <c r="O3608" s="745">
        <v>0</v>
      </c>
      <c r="P3608" s="737">
        <v>4</v>
      </c>
      <c r="Q3608" s="752"/>
      <c r="R3608" s="752"/>
      <c r="S3608" s="752"/>
    </row>
    <row r="3609" spans="1:19" s="753" customFormat="1" ht="24" customHeight="1">
      <c r="A3609" s="734"/>
      <c r="B3609" s="747" t="s">
        <v>469</v>
      </c>
      <c r="C3609" s="735" t="s">
        <v>478</v>
      </c>
      <c r="D3609" s="735"/>
      <c r="E3609" s="737">
        <f t="shared" si="827"/>
        <v>4</v>
      </c>
      <c r="F3609" s="738" t="s">
        <v>363</v>
      </c>
      <c r="G3609" s="739">
        <v>176</v>
      </c>
      <c r="H3609" s="748">
        <f t="shared" si="822"/>
        <v>704</v>
      </c>
      <c r="I3609" s="741">
        <v>0</v>
      </c>
      <c r="J3609" s="749">
        <f t="shared" si="823"/>
        <v>0</v>
      </c>
      <c r="K3609" s="739">
        <f t="shared" si="824"/>
        <v>704</v>
      </c>
      <c r="L3609" s="1079"/>
      <c r="M3609" s="752"/>
      <c r="N3609" s="744">
        <f t="shared" si="826"/>
        <v>4</v>
      </c>
      <c r="O3609" s="745">
        <v>0</v>
      </c>
      <c r="P3609" s="737">
        <v>4</v>
      </c>
      <c r="Q3609" s="752"/>
      <c r="R3609" s="752"/>
      <c r="S3609" s="752"/>
    </row>
    <row r="3610" spans="1:19" s="753" customFormat="1" ht="24" customHeight="1">
      <c r="A3610" s="734"/>
      <c r="B3610" s="747" t="s">
        <v>469</v>
      </c>
      <c r="C3610" s="735" t="s">
        <v>499</v>
      </c>
      <c r="D3610" s="735"/>
      <c r="E3610" s="737">
        <f t="shared" si="827"/>
        <v>4</v>
      </c>
      <c r="F3610" s="738" t="s">
        <v>363</v>
      </c>
      <c r="G3610" s="739">
        <v>216</v>
      </c>
      <c r="H3610" s="748">
        <f t="shared" si="822"/>
        <v>864</v>
      </c>
      <c r="I3610" s="741">
        <v>35</v>
      </c>
      <c r="J3610" s="749">
        <f t="shared" si="823"/>
        <v>140</v>
      </c>
      <c r="K3610" s="739">
        <f t="shared" si="824"/>
        <v>1004</v>
      </c>
      <c r="L3610" s="1079"/>
      <c r="M3610" s="752"/>
      <c r="N3610" s="744">
        <f t="shared" si="826"/>
        <v>4</v>
      </c>
      <c r="O3610" s="745">
        <v>0</v>
      </c>
      <c r="P3610" s="737">
        <v>4</v>
      </c>
      <c r="Q3610" s="752"/>
      <c r="R3610" s="752"/>
      <c r="S3610" s="752"/>
    </row>
    <row r="3611" spans="1:19" s="753" customFormat="1" ht="24" customHeight="1">
      <c r="A3611" s="734"/>
      <c r="B3611" s="750"/>
      <c r="C3611" s="736"/>
      <c r="D3611" s="907"/>
      <c r="E3611" s="737">
        <f t="shared" si="827"/>
        <v>0</v>
      </c>
      <c r="F3611" s="738"/>
      <c r="G3611" s="739">
        <v>0</v>
      </c>
      <c r="H3611" s="748">
        <f t="shared" si="822"/>
        <v>0</v>
      </c>
      <c r="I3611" s="741">
        <v>0</v>
      </c>
      <c r="J3611" s="749">
        <f t="shared" si="823"/>
        <v>0</v>
      </c>
      <c r="K3611" s="739">
        <f t="shared" si="824"/>
        <v>0</v>
      </c>
      <c r="L3611" s="1079"/>
      <c r="M3611" s="752"/>
      <c r="N3611" s="744">
        <f t="shared" si="826"/>
        <v>0</v>
      </c>
      <c r="O3611" s="745">
        <v>0</v>
      </c>
      <c r="P3611" s="737">
        <v>0</v>
      </c>
      <c r="Q3611" s="752"/>
      <c r="R3611" s="752"/>
      <c r="S3611" s="752"/>
    </row>
    <row r="3612" spans="1:19" s="753" customFormat="1" ht="24" customHeight="1">
      <c r="A3612" s="734"/>
      <c r="B3612" s="747" t="s">
        <v>469</v>
      </c>
      <c r="C3612" s="735" t="s">
        <v>492</v>
      </c>
      <c r="D3612" s="735"/>
      <c r="E3612" s="737">
        <f t="shared" si="827"/>
        <v>5</v>
      </c>
      <c r="F3612" s="738" t="s">
        <v>363</v>
      </c>
      <c r="G3612" s="739">
        <v>9375</v>
      </c>
      <c r="H3612" s="748">
        <f t="shared" si="822"/>
        <v>46875</v>
      </c>
      <c r="I3612" s="741">
        <v>450</v>
      </c>
      <c r="J3612" s="749">
        <f t="shared" si="823"/>
        <v>2250</v>
      </c>
      <c r="K3612" s="739">
        <f t="shared" si="824"/>
        <v>49125</v>
      </c>
      <c r="L3612" s="1079"/>
      <c r="M3612" s="752"/>
      <c r="N3612" s="744">
        <f>+(1+O3612)*P3612</f>
        <v>5</v>
      </c>
      <c r="O3612" s="745">
        <v>0</v>
      </c>
      <c r="P3612" s="737">
        <v>5</v>
      </c>
      <c r="Q3612" s="752"/>
      <c r="R3612" s="752"/>
      <c r="S3612" s="752"/>
    </row>
    <row r="3613" spans="1:19" s="753" customFormat="1" ht="24" customHeight="1">
      <c r="A3613" s="734"/>
      <c r="B3613" s="747" t="s">
        <v>469</v>
      </c>
      <c r="C3613" s="735" t="s">
        <v>500</v>
      </c>
      <c r="D3613" s="735"/>
      <c r="E3613" s="737">
        <f t="shared" si="827"/>
        <v>5</v>
      </c>
      <c r="F3613" s="738" t="s">
        <v>363</v>
      </c>
      <c r="G3613" s="739">
        <v>12752</v>
      </c>
      <c r="H3613" s="748">
        <f t="shared" si="822"/>
        <v>63760</v>
      </c>
      <c r="I3613" s="741">
        <v>0</v>
      </c>
      <c r="J3613" s="749">
        <f t="shared" si="823"/>
        <v>0</v>
      </c>
      <c r="K3613" s="739">
        <f t="shared" si="824"/>
        <v>63760</v>
      </c>
      <c r="L3613" s="1079"/>
      <c r="M3613" s="752"/>
      <c r="N3613" s="744">
        <f t="shared" ref="N3613:N3676" si="828">+(1+O3613)*P3613</f>
        <v>5</v>
      </c>
      <c r="O3613" s="745">
        <v>0</v>
      </c>
      <c r="P3613" s="737">
        <v>5</v>
      </c>
      <c r="Q3613" s="752"/>
      <c r="R3613" s="752"/>
      <c r="S3613" s="752"/>
    </row>
    <row r="3614" spans="1:19" s="753" customFormat="1" ht="24" customHeight="1">
      <c r="A3614" s="734"/>
      <c r="B3614" s="747" t="s">
        <v>469</v>
      </c>
      <c r="C3614" s="735" t="s">
        <v>501</v>
      </c>
      <c r="D3614" s="735"/>
      <c r="E3614" s="737">
        <v>0</v>
      </c>
      <c r="F3614" s="738" t="s">
        <v>363</v>
      </c>
      <c r="G3614" s="739">
        <v>1950</v>
      </c>
      <c r="H3614" s="748">
        <f t="shared" si="822"/>
        <v>0</v>
      </c>
      <c r="I3614" s="741">
        <v>35</v>
      </c>
      <c r="J3614" s="749">
        <f t="shared" si="823"/>
        <v>0</v>
      </c>
      <c r="K3614" s="739">
        <f t="shared" si="824"/>
        <v>0</v>
      </c>
      <c r="L3614" s="1079"/>
      <c r="M3614" s="752"/>
      <c r="N3614" s="744">
        <f t="shared" si="828"/>
        <v>5</v>
      </c>
      <c r="O3614" s="745">
        <v>0</v>
      </c>
      <c r="P3614" s="737">
        <v>5</v>
      </c>
      <c r="Q3614" s="752"/>
      <c r="R3614" s="752"/>
      <c r="S3614" s="752"/>
    </row>
    <row r="3615" spans="1:19" s="753" customFormat="1" ht="24" customHeight="1">
      <c r="A3615" s="734"/>
      <c r="B3615" s="747" t="s">
        <v>469</v>
      </c>
      <c r="C3615" s="735" t="s">
        <v>502</v>
      </c>
      <c r="D3615" s="735"/>
      <c r="E3615" s="737">
        <f t="shared" si="827"/>
        <v>5</v>
      </c>
      <c r="F3615" s="738" t="s">
        <v>363</v>
      </c>
      <c r="G3615" s="739">
        <v>216</v>
      </c>
      <c r="H3615" s="748">
        <f t="shared" si="822"/>
        <v>1080</v>
      </c>
      <c r="I3615" s="741">
        <v>35</v>
      </c>
      <c r="J3615" s="749">
        <f t="shared" si="823"/>
        <v>175</v>
      </c>
      <c r="K3615" s="739">
        <f t="shared" si="824"/>
        <v>1255</v>
      </c>
      <c r="L3615" s="1079"/>
      <c r="M3615" s="752"/>
      <c r="N3615" s="744">
        <f t="shared" si="828"/>
        <v>5</v>
      </c>
      <c r="O3615" s="745">
        <v>0</v>
      </c>
      <c r="P3615" s="737">
        <v>5</v>
      </c>
      <c r="Q3615" s="754"/>
      <c r="R3615" s="752"/>
      <c r="S3615" s="752"/>
    </row>
    <row r="3616" spans="1:19" s="753" customFormat="1" ht="24" customHeight="1">
      <c r="A3616" s="734"/>
      <c r="B3616" s="747"/>
      <c r="C3616" s="735"/>
      <c r="D3616" s="907"/>
      <c r="E3616" s="737">
        <f t="shared" si="827"/>
        <v>0</v>
      </c>
      <c r="F3616" s="738"/>
      <c r="G3616" s="739">
        <v>0</v>
      </c>
      <c r="H3616" s="748">
        <f t="shared" si="822"/>
        <v>0</v>
      </c>
      <c r="I3616" s="741">
        <v>0</v>
      </c>
      <c r="J3616" s="749">
        <f t="shared" si="823"/>
        <v>0</v>
      </c>
      <c r="K3616" s="739">
        <f t="shared" si="824"/>
        <v>0</v>
      </c>
      <c r="L3616" s="1079"/>
      <c r="M3616" s="752"/>
      <c r="N3616" s="744">
        <f t="shared" si="828"/>
        <v>0</v>
      </c>
      <c r="O3616" s="745">
        <v>0</v>
      </c>
      <c r="P3616" s="737">
        <v>0</v>
      </c>
      <c r="Q3616" s="752"/>
      <c r="R3616" s="752"/>
      <c r="S3616" s="752"/>
    </row>
    <row r="3617" spans="1:19" s="753" customFormat="1" ht="24" customHeight="1">
      <c r="A3617" s="734"/>
      <c r="B3617" s="747" t="s">
        <v>469</v>
      </c>
      <c r="C3617" s="735" t="s">
        <v>503</v>
      </c>
      <c r="D3617" s="735"/>
      <c r="E3617" s="737">
        <f t="shared" si="827"/>
        <v>8</v>
      </c>
      <c r="F3617" s="738" t="s">
        <v>363</v>
      </c>
      <c r="G3617" s="739">
        <v>3920</v>
      </c>
      <c r="H3617" s="748">
        <f t="shared" si="822"/>
        <v>31360</v>
      </c>
      <c r="I3617" s="741">
        <v>450</v>
      </c>
      <c r="J3617" s="749">
        <f t="shared" si="823"/>
        <v>3600</v>
      </c>
      <c r="K3617" s="739">
        <f t="shared" si="824"/>
        <v>34960</v>
      </c>
      <c r="L3617" s="1079"/>
      <c r="M3617" s="752"/>
      <c r="N3617" s="744">
        <f t="shared" si="828"/>
        <v>8</v>
      </c>
      <c r="O3617" s="745">
        <v>0</v>
      </c>
      <c r="P3617" s="737">
        <v>8</v>
      </c>
      <c r="Q3617" s="752"/>
      <c r="R3617" s="752"/>
      <c r="S3617" s="752"/>
    </row>
    <row r="3618" spans="1:19" s="753" customFormat="1" ht="24" customHeight="1">
      <c r="A3618" s="734"/>
      <c r="B3618" s="747" t="s">
        <v>469</v>
      </c>
      <c r="C3618" s="735" t="s">
        <v>504</v>
      </c>
      <c r="D3618" s="735"/>
      <c r="E3618" s="737">
        <f t="shared" si="827"/>
        <v>8</v>
      </c>
      <c r="F3618" s="738" t="s">
        <v>363</v>
      </c>
      <c r="G3618" s="739">
        <v>12752</v>
      </c>
      <c r="H3618" s="748">
        <f t="shared" si="822"/>
        <v>102016</v>
      </c>
      <c r="I3618" s="741">
        <v>0</v>
      </c>
      <c r="J3618" s="749">
        <f t="shared" si="823"/>
        <v>0</v>
      </c>
      <c r="K3618" s="739">
        <f t="shared" si="824"/>
        <v>102016</v>
      </c>
      <c r="L3618" s="1079"/>
      <c r="M3618" s="752"/>
      <c r="N3618" s="744">
        <f t="shared" si="828"/>
        <v>8</v>
      </c>
      <c r="O3618" s="745">
        <v>0</v>
      </c>
      <c r="P3618" s="737">
        <v>8</v>
      </c>
      <c r="Q3618" s="752"/>
      <c r="R3618" s="752"/>
      <c r="S3618" s="752"/>
    </row>
    <row r="3619" spans="1:19" s="682" customFormat="1" ht="24" customHeight="1">
      <c r="A3619" s="734"/>
      <c r="B3619" s="747" t="s">
        <v>469</v>
      </c>
      <c r="C3619" s="735" t="s">
        <v>505</v>
      </c>
      <c r="D3619" s="735"/>
      <c r="E3619" s="737">
        <f t="shared" si="827"/>
        <v>6</v>
      </c>
      <c r="F3619" s="738" t="s">
        <v>363</v>
      </c>
      <c r="G3619" s="739">
        <v>2280</v>
      </c>
      <c r="H3619" s="748">
        <f t="shared" si="822"/>
        <v>13680</v>
      </c>
      <c r="I3619" s="741">
        <v>300</v>
      </c>
      <c r="J3619" s="749">
        <f t="shared" si="823"/>
        <v>1800</v>
      </c>
      <c r="K3619" s="739">
        <f t="shared" si="824"/>
        <v>15480</v>
      </c>
      <c r="L3619" s="1079"/>
      <c r="M3619" s="679"/>
      <c r="N3619" s="744">
        <f t="shared" si="828"/>
        <v>6</v>
      </c>
      <c r="O3619" s="745">
        <v>0</v>
      </c>
      <c r="P3619" s="737">
        <v>6</v>
      </c>
      <c r="Q3619" s="679"/>
      <c r="R3619" s="679"/>
      <c r="S3619" s="679"/>
    </row>
    <row r="3620" spans="1:19" s="682" customFormat="1" ht="24" customHeight="1">
      <c r="A3620" s="734"/>
      <c r="B3620" s="747" t="s">
        <v>469</v>
      </c>
      <c r="C3620" s="735" t="s">
        <v>506</v>
      </c>
      <c r="D3620" s="735"/>
      <c r="E3620" s="737">
        <f t="shared" si="827"/>
        <v>0</v>
      </c>
      <c r="F3620" s="738" t="s">
        <v>363</v>
      </c>
      <c r="G3620" s="739">
        <v>6592</v>
      </c>
      <c r="H3620" s="748">
        <f t="shared" si="822"/>
        <v>0</v>
      </c>
      <c r="I3620" s="741">
        <v>140</v>
      </c>
      <c r="J3620" s="749">
        <f t="shared" si="823"/>
        <v>0</v>
      </c>
      <c r="K3620" s="739">
        <f t="shared" si="824"/>
        <v>0</v>
      </c>
      <c r="L3620" s="1079"/>
      <c r="M3620" s="679"/>
      <c r="N3620" s="744">
        <f t="shared" si="828"/>
        <v>0</v>
      </c>
      <c r="O3620" s="745">
        <v>0</v>
      </c>
      <c r="P3620" s="737">
        <v>0</v>
      </c>
      <c r="Q3620" s="679"/>
      <c r="R3620" s="679"/>
      <c r="S3620" s="679"/>
    </row>
    <row r="3621" spans="1:19" s="753" customFormat="1" ht="24" customHeight="1">
      <c r="A3621" s="734"/>
      <c r="B3621" s="747" t="s">
        <v>484</v>
      </c>
      <c r="C3621" s="735" t="s">
        <v>485</v>
      </c>
      <c r="D3621" s="735"/>
      <c r="E3621" s="737">
        <f t="shared" si="827"/>
        <v>7</v>
      </c>
      <c r="F3621" s="738" t="s">
        <v>363</v>
      </c>
      <c r="G3621" s="739">
        <v>285</v>
      </c>
      <c r="H3621" s="748">
        <f t="shared" si="822"/>
        <v>1995</v>
      </c>
      <c r="I3621" s="741">
        <v>75</v>
      </c>
      <c r="J3621" s="749">
        <f t="shared" si="823"/>
        <v>525</v>
      </c>
      <c r="K3621" s="739">
        <f t="shared" si="824"/>
        <v>2520</v>
      </c>
      <c r="L3621" s="1093"/>
      <c r="M3621" s="752"/>
      <c r="N3621" s="744">
        <f t="shared" si="828"/>
        <v>7</v>
      </c>
      <c r="O3621" s="745">
        <v>0</v>
      </c>
      <c r="P3621" s="737">
        <v>7</v>
      </c>
      <c r="Q3621" s="752"/>
      <c r="R3621" s="752"/>
      <c r="S3621" s="752"/>
    </row>
    <row r="3622" spans="1:19" s="753" customFormat="1" ht="24" customHeight="1">
      <c r="A3622" s="734"/>
      <c r="B3622" s="747" t="s">
        <v>469</v>
      </c>
      <c r="C3622" s="735" t="s">
        <v>486</v>
      </c>
      <c r="D3622" s="735"/>
      <c r="E3622" s="737">
        <f t="shared" si="827"/>
        <v>1</v>
      </c>
      <c r="F3622" s="738" t="s">
        <v>363</v>
      </c>
      <c r="G3622" s="739">
        <v>552</v>
      </c>
      <c r="H3622" s="748">
        <f t="shared" si="822"/>
        <v>552</v>
      </c>
      <c r="I3622" s="741">
        <v>25</v>
      </c>
      <c r="J3622" s="749">
        <f t="shared" si="823"/>
        <v>25</v>
      </c>
      <c r="K3622" s="739">
        <f t="shared" si="824"/>
        <v>577</v>
      </c>
      <c r="L3622" s="1079"/>
      <c r="M3622" s="752"/>
      <c r="N3622" s="744">
        <f t="shared" si="828"/>
        <v>1</v>
      </c>
      <c r="O3622" s="745">
        <v>0</v>
      </c>
      <c r="P3622" s="737">
        <v>1</v>
      </c>
      <c r="Q3622" s="752"/>
      <c r="R3622" s="752"/>
      <c r="S3622" s="752"/>
    </row>
    <row r="3623" spans="1:19" s="753" customFormat="1" ht="24" customHeight="1">
      <c r="A3623" s="734"/>
      <c r="B3623" s="747" t="s">
        <v>469</v>
      </c>
      <c r="C3623" s="735" t="s">
        <v>507</v>
      </c>
      <c r="D3623" s="735"/>
      <c r="E3623" s="737">
        <f t="shared" si="827"/>
        <v>1</v>
      </c>
      <c r="F3623" s="738" t="s">
        <v>363</v>
      </c>
      <c r="G3623" s="739">
        <v>1650</v>
      </c>
      <c r="H3623" s="748">
        <f t="shared" si="822"/>
        <v>1650</v>
      </c>
      <c r="I3623" s="741">
        <v>70</v>
      </c>
      <c r="J3623" s="749">
        <f t="shared" si="823"/>
        <v>70</v>
      </c>
      <c r="K3623" s="739">
        <f t="shared" si="824"/>
        <v>1720</v>
      </c>
      <c r="L3623" s="1079"/>
      <c r="M3623" s="752"/>
      <c r="N3623" s="744">
        <f t="shared" si="828"/>
        <v>1</v>
      </c>
      <c r="O3623" s="745">
        <v>0</v>
      </c>
      <c r="P3623" s="737">
        <v>1</v>
      </c>
      <c r="Q3623" s="752"/>
      <c r="R3623" s="752"/>
      <c r="S3623" s="752"/>
    </row>
    <row r="3624" spans="1:19" s="753" customFormat="1" ht="24" customHeight="1">
      <c r="A3624" s="734"/>
      <c r="B3624" s="747" t="s">
        <v>469</v>
      </c>
      <c r="C3624" s="735" t="s">
        <v>508</v>
      </c>
      <c r="D3624" s="735"/>
      <c r="E3624" s="737">
        <f t="shared" si="827"/>
        <v>5</v>
      </c>
      <c r="F3624" s="738" t="s">
        <v>363</v>
      </c>
      <c r="G3624" s="739">
        <v>13500</v>
      </c>
      <c r="H3624" s="748">
        <f t="shared" si="822"/>
        <v>67500</v>
      </c>
      <c r="I3624" s="741">
        <v>750</v>
      </c>
      <c r="J3624" s="749">
        <f t="shared" si="823"/>
        <v>3750</v>
      </c>
      <c r="K3624" s="739">
        <f t="shared" si="824"/>
        <v>71250</v>
      </c>
      <c r="L3624" s="1079"/>
      <c r="M3624" s="752"/>
      <c r="N3624" s="744">
        <f t="shared" si="828"/>
        <v>5</v>
      </c>
      <c r="O3624" s="745">
        <v>0</v>
      </c>
      <c r="P3624" s="737">
        <v>5</v>
      </c>
      <c r="Q3624" s="752"/>
      <c r="R3624" s="752"/>
      <c r="S3624" s="752"/>
    </row>
    <row r="3625" spans="1:19" s="682" customFormat="1" ht="24" customHeight="1">
      <c r="A3625" s="734"/>
      <c r="B3625" s="747" t="s">
        <v>469</v>
      </c>
      <c r="C3625" s="735" t="s">
        <v>509</v>
      </c>
      <c r="D3625" s="735"/>
      <c r="E3625" s="737">
        <f t="shared" si="827"/>
        <v>1</v>
      </c>
      <c r="F3625" s="738" t="s">
        <v>363</v>
      </c>
      <c r="G3625" s="739">
        <v>14476</v>
      </c>
      <c r="H3625" s="748">
        <f t="shared" si="822"/>
        <v>14476</v>
      </c>
      <c r="I3625" s="741">
        <v>5367</v>
      </c>
      <c r="J3625" s="749">
        <f t="shared" si="823"/>
        <v>5367</v>
      </c>
      <c r="K3625" s="739">
        <f t="shared" si="824"/>
        <v>19843</v>
      </c>
      <c r="L3625" s="1079"/>
      <c r="M3625" s="679"/>
      <c r="N3625" s="744">
        <f t="shared" si="828"/>
        <v>1</v>
      </c>
      <c r="O3625" s="745">
        <v>0</v>
      </c>
      <c r="P3625" s="737">
        <v>1</v>
      </c>
      <c r="Q3625" s="679"/>
      <c r="R3625" s="679"/>
      <c r="S3625" s="679"/>
    </row>
    <row r="3626" spans="1:19" s="753" customFormat="1" ht="24" customHeight="1">
      <c r="A3626" s="734"/>
      <c r="B3626" s="747" t="s">
        <v>469</v>
      </c>
      <c r="C3626" s="735" t="s">
        <v>510</v>
      </c>
      <c r="D3626" s="735"/>
      <c r="E3626" s="737">
        <f t="shared" si="827"/>
        <v>4.1500000000000004</v>
      </c>
      <c r="F3626" s="738" t="s">
        <v>361</v>
      </c>
      <c r="G3626" s="739">
        <v>2694</v>
      </c>
      <c r="H3626" s="748">
        <f t="shared" si="822"/>
        <v>11180.1</v>
      </c>
      <c r="I3626" s="741">
        <v>1288</v>
      </c>
      <c r="J3626" s="749">
        <f t="shared" si="823"/>
        <v>5345.2000000000007</v>
      </c>
      <c r="K3626" s="739">
        <f t="shared" si="824"/>
        <v>16525.300000000003</v>
      </c>
      <c r="L3626" s="1079"/>
      <c r="M3626" s="752"/>
      <c r="N3626" s="744">
        <f t="shared" si="828"/>
        <v>4.1500000000000004</v>
      </c>
      <c r="O3626" s="745">
        <v>0</v>
      </c>
      <c r="P3626" s="737">
        <v>4.1500000000000004</v>
      </c>
      <c r="Q3626" s="752"/>
      <c r="R3626" s="752"/>
      <c r="S3626" s="752"/>
    </row>
    <row r="3627" spans="1:19" s="753" customFormat="1" ht="24" customHeight="1">
      <c r="A3627" s="734"/>
      <c r="B3627" s="747"/>
      <c r="C3627" s="735" t="s">
        <v>511</v>
      </c>
      <c r="D3627" s="735"/>
      <c r="E3627" s="737">
        <f t="shared" si="827"/>
        <v>0</v>
      </c>
      <c r="F3627" s="738"/>
      <c r="G3627" s="739"/>
      <c r="H3627" s="748">
        <f t="shared" si="822"/>
        <v>0</v>
      </c>
      <c r="I3627" s="741"/>
      <c r="J3627" s="749">
        <f t="shared" si="823"/>
        <v>0</v>
      </c>
      <c r="K3627" s="739">
        <f t="shared" si="824"/>
        <v>0</v>
      </c>
      <c r="L3627" s="1079"/>
      <c r="M3627" s="752"/>
      <c r="N3627" s="744">
        <f t="shared" si="828"/>
        <v>0</v>
      </c>
      <c r="O3627" s="745">
        <v>0</v>
      </c>
      <c r="P3627" s="737">
        <v>0</v>
      </c>
      <c r="Q3627" s="752"/>
      <c r="R3627" s="752"/>
      <c r="S3627" s="752"/>
    </row>
    <row r="3628" spans="1:19" s="753" customFormat="1" ht="24" customHeight="1">
      <c r="A3628" s="734"/>
      <c r="B3628" s="747" t="s">
        <v>469</v>
      </c>
      <c r="C3628" s="735" t="s">
        <v>512</v>
      </c>
      <c r="D3628" s="735"/>
      <c r="E3628" s="737">
        <f t="shared" si="827"/>
        <v>4.1500000000000004</v>
      </c>
      <c r="F3628" s="738" t="s">
        <v>361</v>
      </c>
      <c r="G3628" s="739">
        <v>3886</v>
      </c>
      <c r="H3628" s="748">
        <f t="shared" si="822"/>
        <v>16126.900000000001</v>
      </c>
      <c r="I3628" s="741">
        <v>1238</v>
      </c>
      <c r="J3628" s="749">
        <f t="shared" si="823"/>
        <v>5137.7000000000007</v>
      </c>
      <c r="K3628" s="739">
        <f t="shared" si="824"/>
        <v>21264.600000000002</v>
      </c>
      <c r="L3628" s="1079"/>
      <c r="M3628" s="752"/>
      <c r="N3628" s="744">
        <f t="shared" si="828"/>
        <v>4.1500000000000004</v>
      </c>
      <c r="O3628" s="745">
        <v>0</v>
      </c>
      <c r="P3628" s="737">
        <v>4.1500000000000004</v>
      </c>
      <c r="Q3628" s="752"/>
      <c r="R3628" s="752"/>
      <c r="S3628" s="752"/>
    </row>
    <row r="3629" spans="1:19" s="753" customFormat="1" ht="24" customHeight="1">
      <c r="A3629" s="734"/>
      <c r="B3629" s="747"/>
      <c r="C3629" s="735" t="s">
        <v>513</v>
      </c>
      <c r="D3629" s="735"/>
      <c r="E3629" s="737">
        <f t="shared" si="827"/>
        <v>0</v>
      </c>
      <c r="F3629" s="738"/>
      <c r="G3629" s="739">
        <v>0</v>
      </c>
      <c r="H3629" s="748">
        <f t="shared" si="822"/>
        <v>0</v>
      </c>
      <c r="I3629" s="741">
        <v>0</v>
      </c>
      <c r="J3629" s="749">
        <f t="shared" si="823"/>
        <v>0</v>
      </c>
      <c r="K3629" s="739">
        <f t="shared" si="824"/>
        <v>0</v>
      </c>
      <c r="L3629" s="1079"/>
      <c r="M3629" s="752"/>
      <c r="N3629" s="744">
        <f t="shared" si="828"/>
        <v>0</v>
      </c>
      <c r="O3629" s="745">
        <v>0</v>
      </c>
      <c r="P3629" s="737">
        <v>0</v>
      </c>
      <c r="Q3629" s="752"/>
      <c r="R3629" s="752"/>
      <c r="S3629" s="752"/>
    </row>
    <row r="3630" spans="1:19" s="753" customFormat="1" ht="24" customHeight="1">
      <c r="A3630" s="734"/>
      <c r="B3630" s="747" t="s">
        <v>469</v>
      </c>
      <c r="C3630" s="735" t="s">
        <v>514</v>
      </c>
      <c r="D3630" s="735"/>
      <c r="E3630" s="737">
        <f t="shared" si="827"/>
        <v>7.1</v>
      </c>
      <c r="F3630" s="738" t="s">
        <v>361</v>
      </c>
      <c r="G3630" s="739">
        <v>1522</v>
      </c>
      <c r="H3630" s="748">
        <f t="shared" si="822"/>
        <v>10806.199999999999</v>
      </c>
      <c r="I3630" s="741">
        <v>315</v>
      </c>
      <c r="J3630" s="749">
        <f t="shared" si="823"/>
        <v>2236.5</v>
      </c>
      <c r="K3630" s="739">
        <f t="shared" si="824"/>
        <v>13042.699999999999</v>
      </c>
      <c r="L3630" s="1079"/>
      <c r="M3630" s="752"/>
      <c r="N3630" s="744">
        <f t="shared" si="828"/>
        <v>7.1</v>
      </c>
      <c r="O3630" s="745">
        <v>0</v>
      </c>
      <c r="P3630" s="737">
        <v>7.1</v>
      </c>
      <c r="Q3630" s="752"/>
      <c r="R3630" s="752"/>
      <c r="S3630" s="752"/>
    </row>
    <row r="3631" spans="1:19" s="753" customFormat="1" ht="24" customHeight="1">
      <c r="A3631" s="734"/>
      <c r="B3631" s="747"/>
      <c r="C3631" s="735"/>
      <c r="D3631" s="735"/>
      <c r="E3631" s="737">
        <f t="shared" si="827"/>
        <v>0</v>
      </c>
      <c r="F3631" s="738"/>
      <c r="G3631" s="739">
        <v>0</v>
      </c>
      <c r="H3631" s="748">
        <f t="shared" ref="H3631:H3666" si="829">SUM(E3631*G3631)</f>
        <v>0</v>
      </c>
      <c r="I3631" s="741">
        <v>0</v>
      </c>
      <c r="J3631" s="749">
        <f t="shared" ref="J3631:J3694" si="830">SUM(E3631*I3631)</f>
        <v>0</v>
      </c>
      <c r="K3631" s="739">
        <f t="shared" si="824"/>
        <v>0</v>
      </c>
      <c r="L3631" s="1079"/>
      <c r="M3631" s="752"/>
      <c r="N3631" s="744">
        <f t="shared" si="828"/>
        <v>0</v>
      </c>
      <c r="O3631" s="745">
        <v>0</v>
      </c>
      <c r="P3631" s="737">
        <v>0</v>
      </c>
      <c r="Q3631" s="752"/>
      <c r="R3631" s="752"/>
      <c r="S3631" s="752"/>
    </row>
    <row r="3632" spans="1:19" s="682" customFormat="1" ht="24" customHeight="1">
      <c r="A3632" s="734"/>
      <c r="B3632" s="747" t="s">
        <v>469</v>
      </c>
      <c r="C3632" s="735" t="s">
        <v>515</v>
      </c>
      <c r="D3632" s="735"/>
      <c r="E3632" s="737">
        <f t="shared" si="827"/>
        <v>1</v>
      </c>
      <c r="F3632" s="738" t="s">
        <v>363</v>
      </c>
      <c r="G3632" s="739">
        <v>5013</v>
      </c>
      <c r="H3632" s="748">
        <f t="shared" si="829"/>
        <v>5013</v>
      </c>
      <c r="I3632" s="741">
        <v>2403</v>
      </c>
      <c r="J3632" s="749">
        <f t="shared" si="830"/>
        <v>2403</v>
      </c>
      <c r="K3632" s="739">
        <f t="shared" si="824"/>
        <v>7416</v>
      </c>
      <c r="L3632" s="1079"/>
      <c r="M3632" s="679"/>
      <c r="N3632" s="744">
        <f t="shared" si="828"/>
        <v>1</v>
      </c>
      <c r="O3632" s="745">
        <v>0</v>
      </c>
      <c r="P3632" s="737">
        <v>1</v>
      </c>
      <c r="Q3632" s="679"/>
      <c r="R3632" s="679"/>
      <c r="S3632" s="679"/>
    </row>
    <row r="3633" spans="1:19" s="682" customFormat="1" ht="24" customHeight="1">
      <c r="A3633" s="734"/>
      <c r="B3633" s="747"/>
      <c r="C3633" s="735" t="s">
        <v>516</v>
      </c>
      <c r="D3633" s="735"/>
      <c r="E3633" s="737">
        <f t="shared" si="827"/>
        <v>0</v>
      </c>
      <c r="F3633" s="738"/>
      <c r="G3633" s="739"/>
      <c r="H3633" s="748">
        <f t="shared" si="829"/>
        <v>0</v>
      </c>
      <c r="I3633" s="741"/>
      <c r="J3633" s="749">
        <f t="shared" si="830"/>
        <v>0</v>
      </c>
      <c r="K3633" s="739">
        <f t="shared" si="824"/>
        <v>0</v>
      </c>
      <c r="L3633" s="1079"/>
      <c r="M3633" s="679"/>
      <c r="N3633" s="744">
        <f t="shared" si="828"/>
        <v>0</v>
      </c>
      <c r="O3633" s="745">
        <v>0</v>
      </c>
      <c r="P3633" s="737">
        <v>0</v>
      </c>
      <c r="Q3633" s="679"/>
      <c r="R3633" s="679"/>
      <c r="S3633" s="679"/>
    </row>
    <row r="3634" spans="1:19" s="682" customFormat="1" ht="24" customHeight="1">
      <c r="A3634" s="734"/>
      <c r="B3634" s="747"/>
      <c r="C3634" s="735"/>
      <c r="D3634" s="735"/>
      <c r="E3634" s="737">
        <f t="shared" si="827"/>
        <v>0</v>
      </c>
      <c r="F3634" s="738"/>
      <c r="G3634" s="739"/>
      <c r="H3634" s="748">
        <f t="shared" si="829"/>
        <v>0</v>
      </c>
      <c r="I3634" s="741"/>
      <c r="J3634" s="749">
        <f t="shared" si="830"/>
        <v>0</v>
      </c>
      <c r="K3634" s="739">
        <f t="shared" si="824"/>
        <v>0</v>
      </c>
      <c r="L3634" s="1079"/>
      <c r="M3634" s="679"/>
      <c r="N3634" s="744">
        <f t="shared" si="828"/>
        <v>0</v>
      </c>
      <c r="O3634" s="745">
        <v>0</v>
      </c>
      <c r="P3634" s="737">
        <v>0</v>
      </c>
      <c r="Q3634" s="679"/>
      <c r="R3634" s="679"/>
      <c r="S3634" s="679"/>
    </row>
    <row r="3635" spans="1:19" s="756" customFormat="1" ht="24" customHeight="1">
      <c r="A3635" s="734"/>
      <c r="B3635" s="747" t="s">
        <v>469</v>
      </c>
      <c r="C3635" s="735" t="s">
        <v>517</v>
      </c>
      <c r="D3635" s="907"/>
      <c r="E3635" s="737">
        <f t="shared" si="827"/>
        <v>0</v>
      </c>
      <c r="F3635" s="738" t="s">
        <v>361</v>
      </c>
      <c r="G3635" s="739">
        <v>5075.5555555555557</v>
      </c>
      <c r="H3635" s="748">
        <f t="shared" si="829"/>
        <v>0</v>
      </c>
      <c r="I3635" s="741">
        <v>2545.7777777777778</v>
      </c>
      <c r="J3635" s="749">
        <f t="shared" si="830"/>
        <v>0</v>
      </c>
      <c r="K3635" s="739">
        <f t="shared" si="824"/>
        <v>0</v>
      </c>
      <c r="L3635" s="1079"/>
      <c r="M3635" s="755"/>
      <c r="N3635" s="744">
        <f t="shared" si="828"/>
        <v>0</v>
      </c>
      <c r="O3635" s="745">
        <v>0</v>
      </c>
      <c r="P3635" s="737">
        <v>0</v>
      </c>
      <c r="Q3635" s="755"/>
      <c r="R3635" s="755"/>
      <c r="S3635" s="755"/>
    </row>
    <row r="3636" spans="1:19" s="756" customFormat="1" ht="24" customHeight="1">
      <c r="A3636" s="734"/>
      <c r="B3636" s="747"/>
      <c r="C3636" s="735" t="s">
        <v>488</v>
      </c>
      <c r="D3636" s="907"/>
      <c r="E3636" s="737">
        <f t="shared" si="827"/>
        <v>0</v>
      </c>
      <c r="F3636" s="738"/>
      <c r="G3636" s="739">
        <v>0</v>
      </c>
      <c r="H3636" s="748">
        <f t="shared" si="829"/>
        <v>0</v>
      </c>
      <c r="I3636" s="741">
        <v>0</v>
      </c>
      <c r="J3636" s="749">
        <f t="shared" si="830"/>
        <v>0</v>
      </c>
      <c r="K3636" s="739">
        <f t="shared" si="824"/>
        <v>0</v>
      </c>
      <c r="L3636" s="1079"/>
      <c r="M3636" s="755"/>
      <c r="N3636" s="744">
        <f t="shared" si="828"/>
        <v>0</v>
      </c>
      <c r="O3636" s="745">
        <v>0</v>
      </c>
      <c r="P3636" s="737">
        <v>0</v>
      </c>
      <c r="Q3636" s="755"/>
      <c r="R3636" s="755"/>
      <c r="S3636" s="755"/>
    </row>
    <row r="3637" spans="1:19" s="753" customFormat="1" ht="24" customHeight="1">
      <c r="A3637" s="734"/>
      <c r="B3637" s="747" t="s">
        <v>469</v>
      </c>
      <c r="C3637" s="735" t="s">
        <v>518</v>
      </c>
      <c r="D3637" s="735"/>
      <c r="E3637" s="737">
        <f t="shared" si="827"/>
        <v>0</v>
      </c>
      <c r="F3637" s="738" t="s">
        <v>361</v>
      </c>
      <c r="G3637" s="739">
        <v>3886</v>
      </c>
      <c r="H3637" s="748">
        <f t="shared" si="829"/>
        <v>0</v>
      </c>
      <c r="I3637" s="741">
        <v>1238</v>
      </c>
      <c r="J3637" s="749">
        <f t="shared" si="830"/>
        <v>0</v>
      </c>
      <c r="K3637" s="739">
        <f t="shared" si="824"/>
        <v>0</v>
      </c>
      <c r="L3637" s="1079"/>
      <c r="M3637" s="752"/>
      <c r="N3637" s="744">
        <f t="shared" si="828"/>
        <v>0</v>
      </c>
      <c r="O3637" s="745">
        <v>0</v>
      </c>
      <c r="P3637" s="737">
        <v>0</v>
      </c>
      <c r="Q3637" s="752"/>
      <c r="R3637" s="752"/>
      <c r="S3637" s="752"/>
    </row>
    <row r="3638" spans="1:19" s="753" customFormat="1" ht="24" customHeight="1">
      <c r="A3638" s="734"/>
      <c r="B3638" s="747"/>
      <c r="C3638" s="735" t="s">
        <v>513</v>
      </c>
      <c r="D3638" s="735"/>
      <c r="E3638" s="737">
        <f t="shared" si="827"/>
        <v>0</v>
      </c>
      <c r="F3638" s="738"/>
      <c r="G3638" s="739">
        <v>0</v>
      </c>
      <c r="H3638" s="748">
        <f t="shared" si="829"/>
        <v>0</v>
      </c>
      <c r="I3638" s="741">
        <v>0</v>
      </c>
      <c r="J3638" s="749">
        <f t="shared" si="830"/>
        <v>0</v>
      </c>
      <c r="K3638" s="739">
        <f t="shared" si="824"/>
        <v>0</v>
      </c>
      <c r="L3638" s="1079"/>
      <c r="M3638" s="752"/>
      <c r="N3638" s="744">
        <f t="shared" si="828"/>
        <v>0</v>
      </c>
      <c r="O3638" s="745">
        <v>0</v>
      </c>
      <c r="P3638" s="737">
        <v>0</v>
      </c>
      <c r="Q3638" s="752"/>
      <c r="R3638" s="752"/>
      <c r="S3638" s="752"/>
    </row>
    <row r="3639" spans="1:19" s="682" customFormat="1" ht="24" customHeight="1">
      <c r="A3639" s="734"/>
      <c r="B3639" s="747" t="s">
        <v>469</v>
      </c>
      <c r="C3639" s="735" t="s">
        <v>519</v>
      </c>
      <c r="D3639" s="735"/>
      <c r="E3639" s="737">
        <f t="shared" si="827"/>
        <v>1</v>
      </c>
      <c r="F3639" s="738" t="s">
        <v>363</v>
      </c>
      <c r="G3639" s="739">
        <v>800</v>
      </c>
      <c r="H3639" s="748">
        <f t="shared" si="829"/>
        <v>800</v>
      </c>
      <c r="I3639" s="741">
        <v>70</v>
      </c>
      <c r="J3639" s="749">
        <f t="shared" si="830"/>
        <v>70</v>
      </c>
      <c r="K3639" s="739">
        <f t="shared" si="824"/>
        <v>870</v>
      </c>
      <c r="L3639" s="1079"/>
      <c r="M3639" s="679"/>
      <c r="N3639" s="744">
        <f t="shared" si="828"/>
        <v>1</v>
      </c>
      <c r="O3639" s="745">
        <v>0</v>
      </c>
      <c r="P3639" s="737">
        <v>1</v>
      </c>
      <c r="Q3639" s="679"/>
      <c r="R3639" s="679"/>
      <c r="S3639" s="679"/>
    </row>
    <row r="3640" spans="1:19" s="682" customFormat="1" ht="24" customHeight="1">
      <c r="A3640" s="734"/>
      <c r="B3640" s="747" t="s">
        <v>469</v>
      </c>
      <c r="C3640" s="735" t="s">
        <v>520</v>
      </c>
      <c r="D3640" s="735"/>
      <c r="E3640" s="737">
        <f t="shared" si="827"/>
        <v>0</v>
      </c>
      <c r="F3640" s="738" t="s">
        <v>361</v>
      </c>
      <c r="G3640" s="739">
        <v>190</v>
      </c>
      <c r="H3640" s="748">
        <f t="shared" si="829"/>
        <v>0</v>
      </c>
      <c r="I3640" s="741">
        <v>75</v>
      </c>
      <c r="J3640" s="749">
        <f t="shared" si="830"/>
        <v>0</v>
      </c>
      <c r="K3640" s="739">
        <f t="shared" si="824"/>
        <v>0</v>
      </c>
      <c r="L3640" s="1079"/>
      <c r="M3640" s="679"/>
      <c r="N3640" s="744">
        <f t="shared" si="828"/>
        <v>0</v>
      </c>
      <c r="O3640" s="745">
        <v>0</v>
      </c>
      <c r="P3640" s="737">
        <v>0</v>
      </c>
      <c r="Q3640" s="679"/>
      <c r="R3640" s="679"/>
      <c r="S3640" s="679"/>
    </row>
    <row r="3641" spans="1:19" s="682" customFormat="1" ht="24" customHeight="1">
      <c r="A3641" s="734"/>
      <c r="B3641" s="747"/>
      <c r="C3641" s="735"/>
      <c r="D3641" s="735"/>
      <c r="E3641" s="737">
        <f t="shared" si="827"/>
        <v>0</v>
      </c>
      <c r="F3641" s="738"/>
      <c r="G3641" s="739"/>
      <c r="H3641" s="748">
        <f t="shared" si="829"/>
        <v>0</v>
      </c>
      <c r="I3641" s="741"/>
      <c r="J3641" s="749">
        <f t="shared" si="830"/>
        <v>0</v>
      </c>
      <c r="K3641" s="739">
        <f t="shared" si="824"/>
        <v>0</v>
      </c>
      <c r="L3641" s="1079"/>
      <c r="M3641" s="679"/>
      <c r="N3641" s="744">
        <f t="shared" si="828"/>
        <v>0</v>
      </c>
      <c r="O3641" s="745">
        <v>0</v>
      </c>
      <c r="P3641" s="737">
        <v>0</v>
      </c>
      <c r="Q3641" s="679"/>
      <c r="R3641" s="679"/>
      <c r="S3641" s="679"/>
    </row>
    <row r="3642" spans="1:19" s="753" customFormat="1" ht="24" customHeight="1">
      <c r="A3642" s="734"/>
      <c r="B3642" s="735" t="s">
        <v>1073</v>
      </c>
      <c r="C3642" s="735"/>
      <c r="D3642" s="907"/>
      <c r="E3642" s="737">
        <f t="shared" si="827"/>
        <v>0</v>
      </c>
      <c r="F3642" s="738"/>
      <c r="G3642" s="739">
        <v>0</v>
      </c>
      <c r="H3642" s="748">
        <f t="shared" si="829"/>
        <v>0</v>
      </c>
      <c r="I3642" s="741">
        <v>0</v>
      </c>
      <c r="J3642" s="749">
        <f t="shared" si="830"/>
        <v>0</v>
      </c>
      <c r="K3642" s="739">
        <f t="shared" si="824"/>
        <v>0</v>
      </c>
      <c r="L3642" s="1079"/>
      <c r="M3642" s="752"/>
      <c r="N3642" s="744">
        <f t="shared" si="828"/>
        <v>0</v>
      </c>
      <c r="O3642" s="745">
        <v>0</v>
      </c>
      <c r="P3642" s="737">
        <v>0</v>
      </c>
      <c r="Q3642" s="752"/>
      <c r="R3642" s="752"/>
      <c r="S3642" s="752"/>
    </row>
    <row r="3643" spans="1:19" s="753" customFormat="1" ht="24" customHeight="1">
      <c r="A3643" s="734"/>
      <c r="B3643" s="747" t="s">
        <v>469</v>
      </c>
      <c r="C3643" s="735" t="s">
        <v>497</v>
      </c>
      <c r="D3643" s="735"/>
      <c r="E3643" s="737">
        <f t="shared" si="827"/>
        <v>6</v>
      </c>
      <c r="F3643" s="738" t="s">
        <v>363</v>
      </c>
      <c r="G3643" s="739">
        <v>1540</v>
      </c>
      <c r="H3643" s="748">
        <f t="shared" si="829"/>
        <v>9240</v>
      </c>
      <c r="I3643" s="741">
        <v>450</v>
      </c>
      <c r="J3643" s="749">
        <f t="shared" si="830"/>
        <v>2700</v>
      </c>
      <c r="K3643" s="739">
        <f t="shared" si="824"/>
        <v>11940</v>
      </c>
      <c r="L3643" s="1079"/>
      <c r="M3643" s="752"/>
      <c r="N3643" s="744">
        <f t="shared" si="828"/>
        <v>6</v>
      </c>
      <c r="O3643" s="745">
        <v>0</v>
      </c>
      <c r="P3643" s="737">
        <v>6</v>
      </c>
      <c r="Q3643" s="752"/>
      <c r="R3643" s="752"/>
      <c r="S3643" s="752"/>
    </row>
    <row r="3644" spans="1:19" s="753" customFormat="1" ht="24" customHeight="1">
      <c r="A3644" s="734"/>
      <c r="B3644" s="747" t="s">
        <v>469</v>
      </c>
      <c r="C3644" s="735" t="s">
        <v>498</v>
      </c>
      <c r="D3644" s="735"/>
      <c r="E3644" s="737">
        <f t="shared" si="827"/>
        <v>6</v>
      </c>
      <c r="F3644" s="738" t="s">
        <v>363</v>
      </c>
      <c r="G3644" s="739">
        <v>6640</v>
      </c>
      <c r="H3644" s="748">
        <f t="shared" si="829"/>
        <v>39840</v>
      </c>
      <c r="I3644" s="741">
        <v>200</v>
      </c>
      <c r="J3644" s="749">
        <f t="shared" si="830"/>
        <v>1200</v>
      </c>
      <c r="K3644" s="739">
        <f t="shared" si="824"/>
        <v>41040</v>
      </c>
      <c r="L3644" s="1079"/>
      <c r="M3644" s="752"/>
      <c r="N3644" s="744">
        <f t="shared" si="828"/>
        <v>6</v>
      </c>
      <c r="O3644" s="745">
        <v>0</v>
      </c>
      <c r="P3644" s="737">
        <v>6</v>
      </c>
      <c r="Q3644" s="752"/>
      <c r="R3644" s="752"/>
      <c r="S3644" s="752"/>
    </row>
    <row r="3645" spans="1:19" s="753" customFormat="1" ht="24" customHeight="1">
      <c r="A3645" s="734"/>
      <c r="B3645" s="747" t="s">
        <v>469</v>
      </c>
      <c r="C3645" s="735" t="s">
        <v>476</v>
      </c>
      <c r="D3645" s="735"/>
      <c r="E3645" s="737">
        <f t="shared" si="827"/>
        <v>6</v>
      </c>
      <c r="F3645" s="738" t="s">
        <v>363</v>
      </c>
      <c r="G3645" s="739">
        <v>336</v>
      </c>
      <c r="H3645" s="748">
        <f t="shared" si="829"/>
        <v>2016</v>
      </c>
      <c r="I3645" s="741">
        <v>0</v>
      </c>
      <c r="J3645" s="749">
        <f t="shared" si="830"/>
        <v>0</v>
      </c>
      <c r="K3645" s="739">
        <f t="shared" si="824"/>
        <v>2016</v>
      </c>
      <c r="L3645" s="1079"/>
      <c r="M3645" s="752"/>
      <c r="N3645" s="744">
        <f t="shared" si="828"/>
        <v>6</v>
      </c>
      <c r="O3645" s="745">
        <v>0</v>
      </c>
      <c r="P3645" s="737">
        <v>6</v>
      </c>
      <c r="Q3645" s="752"/>
      <c r="R3645" s="752"/>
      <c r="S3645" s="752"/>
    </row>
    <row r="3646" spans="1:19" s="753" customFormat="1" ht="24" customHeight="1">
      <c r="A3646" s="734"/>
      <c r="B3646" s="747" t="s">
        <v>469</v>
      </c>
      <c r="C3646" s="735" t="s">
        <v>477</v>
      </c>
      <c r="D3646" s="735"/>
      <c r="E3646" s="737">
        <f t="shared" si="827"/>
        <v>6</v>
      </c>
      <c r="F3646" s="738" t="s">
        <v>363</v>
      </c>
      <c r="G3646" s="739">
        <v>736</v>
      </c>
      <c r="H3646" s="748">
        <f t="shared" si="829"/>
        <v>4416</v>
      </c>
      <c r="I3646" s="741">
        <v>0</v>
      </c>
      <c r="J3646" s="749">
        <f t="shared" si="830"/>
        <v>0</v>
      </c>
      <c r="K3646" s="739">
        <f t="shared" si="824"/>
        <v>4416</v>
      </c>
      <c r="L3646" s="1079"/>
      <c r="M3646" s="752"/>
      <c r="N3646" s="744">
        <f t="shared" si="828"/>
        <v>6</v>
      </c>
      <c r="O3646" s="745">
        <v>0</v>
      </c>
      <c r="P3646" s="737">
        <v>6</v>
      </c>
      <c r="Q3646" s="752"/>
      <c r="R3646" s="752"/>
      <c r="S3646" s="752"/>
    </row>
    <row r="3647" spans="1:19" s="753" customFormat="1" ht="24" customHeight="1">
      <c r="A3647" s="734"/>
      <c r="B3647" s="747" t="s">
        <v>469</v>
      </c>
      <c r="C3647" s="735" t="s">
        <v>478</v>
      </c>
      <c r="D3647" s="735"/>
      <c r="E3647" s="737">
        <f t="shared" si="827"/>
        <v>6</v>
      </c>
      <c r="F3647" s="738" t="s">
        <v>363</v>
      </c>
      <c r="G3647" s="739">
        <v>176</v>
      </c>
      <c r="H3647" s="748">
        <f t="shared" si="829"/>
        <v>1056</v>
      </c>
      <c r="I3647" s="741">
        <v>0</v>
      </c>
      <c r="J3647" s="749">
        <f t="shared" si="830"/>
        <v>0</v>
      </c>
      <c r="K3647" s="739">
        <f t="shared" si="824"/>
        <v>1056</v>
      </c>
      <c r="L3647" s="1079"/>
      <c r="M3647" s="752"/>
      <c r="N3647" s="744">
        <f t="shared" si="828"/>
        <v>6</v>
      </c>
      <c r="O3647" s="745">
        <v>0</v>
      </c>
      <c r="P3647" s="737">
        <v>6</v>
      </c>
      <c r="Q3647" s="752"/>
      <c r="R3647" s="752"/>
      <c r="S3647" s="752"/>
    </row>
    <row r="3648" spans="1:19" s="753" customFormat="1" ht="24" customHeight="1">
      <c r="A3648" s="734"/>
      <c r="B3648" s="747" t="s">
        <v>469</v>
      </c>
      <c r="C3648" s="735" t="s">
        <v>499</v>
      </c>
      <c r="D3648" s="735"/>
      <c r="E3648" s="737">
        <f t="shared" si="827"/>
        <v>6</v>
      </c>
      <c r="F3648" s="738" t="s">
        <v>363</v>
      </c>
      <c r="G3648" s="739">
        <v>216</v>
      </c>
      <c r="H3648" s="748">
        <f t="shared" si="829"/>
        <v>1296</v>
      </c>
      <c r="I3648" s="741">
        <v>35</v>
      </c>
      <c r="J3648" s="749">
        <f t="shared" si="830"/>
        <v>210</v>
      </c>
      <c r="K3648" s="739">
        <f t="shared" si="824"/>
        <v>1506</v>
      </c>
      <c r="L3648" s="1079"/>
      <c r="M3648" s="752"/>
      <c r="N3648" s="744">
        <f t="shared" si="828"/>
        <v>6</v>
      </c>
      <c r="O3648" s="745">
        <v>0</v>
      </c>
      <c r="P3648" s="737">
        <v>6</v>
      </c>
      <c r="Q3648" s="752"/>
      <c r="R3648" s="752"/>
      <c r="S3648" s="752"/>
    </row>
    <row r="3649" spans="1:19" s="753" customFormat="1" ht="24" customHeight="1">
      <c r="A3649" s="734"/>
      <c r="B3649" s="747"/>
      <c r="C3649" s="736"/>
      <c r="D3649" s="907"/>
      <c r="E3649" s="737">
        <f t="shared" si="827"/>
        <v>0</v>
      </c>
      <c r="F3649" s="738"/>
      <c r="G3649" s="739">
        <v>0</v>
      </c>
      <c r="H3649" s="748">
        <f t="shared" si="829"/>
        <v>0</v>
      </c>
      <c r="I3649" s="741">
        <v>0</v>
      </c>
      <c r="J3649" s="749">
        <f t="shared" si="830"/>
        <v>0</v>
      </c>
      <c r="K3649" s="739">
        <f t="shared" si="824"/>
        <v>0</v>
      </c>
      <c r="L3649" s="1079"/>
      <c r="M3649" s="752"/>
      <c r="N3649" s="744">
        <f t="shared" si="828"/>
        <v>0</v>
      </c>
      <c r="O3649" s="745">
        <v>0</v>
      </c>
      <c r="P3649" s="737">
        <v>0</v>
      </c>
      <c r="Q3649" s="752"/>
      <c r="R3649" s="752"/>
      <c r="S3649" s="752"/>
    </row>
    <row r="3650" spans="1:19" s="753" customFormat="1" ht="24" customHeight="1">
      <c r="A3650" s="734"/>
      <c r="B3650" s="747" t="s">
        <v>469</v>
      </c>
      <c r="C3650" s="735" t="s">
        <v>492</v>
      </c>
      <c r="D3650" s="735"/>
      <c r="E3650" s="737">
        <f t="shared" si="827"/>
        <v>10</v>
      </c>
      <c r="F3650" s="738" t="s">
        <v>363</v>
      </c>
      <c r="G3650" s="739">
        <v>9375</v>
      </c>
      <c r="H3650" s="748">
        <f t="shared" si="829"/>
        <v>93750</v>
      </c>
      <c r="I3650" s="741">
        <v>450</v>
      </c>
      <c r="J3650" s="749">
        <f t="shared" si="830"/>
        <v>4500</v>
      </c>
      <c r="K3650" s="739">
        <f t="shared" si="824"/>
        <v>98250</v>
      </c>
      <c r="L3650" s="1079"/>
      <c r="M3650" s="752"/>
      <c r="N3650" s="744">
        <f t="shared" si="828"/>
        <v>10</v>
      </c>
      <c r="O3650" s="745">
        <v>0</v>
      </c>
      <c r="P3650" s="737">
        <v>10</v>
      </c>
      <c r="Q3650" s="752"/>
      <c r="R3650" s="752"/>
      <c r="S3650" s="752"/>
    </row>
    <row r="3651" spans="1:19" s="753" customFormat="1" ht="24" customHeight="1">
      <c r="A3651" s="734"/>
      <c r="B3651" s="747" t="s">
        <v>469</v>
      </c>
      <c r="C3651" s="735" t="s">
        <v>500</v>
      </c>
      <c r="D3651" s="735"/>
      <c r="E3651" s="737">
        <f t="shared" si="827"/>
        <v>10</v>
      </c>
      <c r="F3651" s="738" t="s">
        <v>363</v>
      </c>
      <c r="G3651" s="739">
        <v>12752</v>
      </c>
      <c r="H3651" s="748">
        <f t="shared" si="829"/>
        <v>127520</v>
      </c>
      <c r="I3651" s="741">
        <v>0</v>
      </c>
      <c r="J3651" s="749">
        <f t="shared" si="830"/>
        <v>0</v>
      </c>
      <c r="K3651" s="739">
        <f t="shared" si="824"/>
        <v>127520</v>
      </c>
      <c r="L3651" s="1079"/>
      <c r="M3651" s="752"/>
      <c r="N3651" s="744">
        <f t="shared" si="828"/>
        <v>10</v>
      </c>
      <c r="O3651" s="745">
        <v>0</v>
      </c>
      <c r="P3651" s="737">
        <v>10</v>
      </c>
      <c r="Q3651" s="752"/>
      <c r="R3651" s="752"/>
      <c r="S3651" s="752"/>
    </row>
    <row r="3652" spans="1:19" s="753" customFormat="1" ht="24" customHeight="1">
      <c r="A3652" s="734"/>
      <c r="B3652" s="747" t="s">
        <v>469</v>
      </c>
      <c r="C3652" s="735" t="s">
        <v>501</v>
      </c>
      <c r="D3652" s="735"/>
      <c r="E3652" s="737">
        <v>0</v>
      </c>
      <c r="F3652" s="738" t="s">
        <v>363</v>
      </c>
      <c r="G3652" s="739">
        <v>1950</v>
      </c>
      <c r="H3652" s="748">
        <f t="shared" si="829"/>
        <v>0</v>
      </c>
      <c r="I3652" s="741">
        <v>35</v>
      </c>
      <c r="J3652" s="749">
        <f t="shared" si="830"/>
        <v>0</v>
      </c>
      <c r="K3652" s="739">
        <f t="shared" si="824"/>
        <v>0</v>
      </c>
      <c r="L3652" s="1079"/>
      <c r="M3652" s="752"/>
      <c r="N3652" s="744">
        <f t="shared" si="828"/>
        <v>10</v>
      </c>
      <c r="O3652" s="745">
        <v>0</v>
      </c>
      <c r="P3652" s="737">
        <v>10</v>
      </c>
      <c r="Q3652" s="752"/>
      <c r="R3652" s="752"/>
      <c r="S3652" s="752"/>
    </row>
    <row r="3653" spans="1:19" s="753" customFormat="1" ht="24" customHeight="1">
      <c r="A3653" s="734"/>
      <c r="B3653" s="747" t="s">
        <v>469</v>
      </c>
      <c r="C3653" s="735" t="s">
        <v>502</v>
      </c>
      <c r="D3653" s="735"/>
      <c r="E3653" s="737">
        <f t="shared" si="827"/>
        <v>10</v>
      </c>
      <c r="F3653" s="738" t="s">
        <v>363</v>
      </c>
      <c r="G3653" s="739">
        <v>216</v>
      </c>
      <c r="H3653" s="748">
        <f t="shared" si="829"/>
        <v>2160</v>
      </c>
      <c r="I3653" s="741">
        <v>35</v>
      </c>
      <c r="J3653" s="749">
        <f t="shared" si="830"/>
        <v>350</v>
      </c>
      <c r="K3653" s="739">
        <f t="shared" si="824"/>
        <v>2510</v>
      </c>
      <c r="L3653" s="1079"/>
      <c r="M3653" s="752"/>
      <c r="N3653" s="744">
        <f t="shared" si="828"/>
        <v>10</v>
      </c>
      <c r="O3653" s="745">
        <v>0</v>
      </c>
      <c r="P3653" s="737">
        <v>10</v>
      </c>
      <c r="Q3653" s="752"/>
      <c r="R3653" s="752"/>
      <c r="S3653" s="752"/>
    </row>
    <row r="3654" spans="1:19" s="753" customFormat="1" ht="24" customHeight="1">
      <c r="A3654" s="734"/>
      <c r="B3654" s="747"/>
      <c r="C3654" s="735"/>
      <c r="D3654" s="735"/>
      <c r="E3654" s="737">
        <f t="shared" si="827"/>
        <v>0</v>
      </c>
      <c r="F3654" s="738"/>
      <c r="G3654" s="739"/>
      <c r="H3654" s="748">
        <f t="shared" si="829"/>
        <v>0</v>
      </c>
      <c r="I3654" s="741"/>
      <c r="J3654" s="749">
        <f t="shared" si="830"/>
        <v>0</v>
      </c>
      <c r="K3654" s="739">
        <f t="shared" si="824"/>
        <v>0</v>
      </c>
      <c r="L3654" s="1079"/>
      <c r="M3654" s="752"/>
      <c r="N3654" s="744">
        <f t="shared" si="828"/>
        <v>0</v>
      </c>
      <c r="O3654" s="745">
        <v>0</v>
      </c>
      <c r="P3654" s="737">
        <v>0</v>
      </c>
      <c r="Q3654" s="752"/>
      <c r="R3654" s="752"/>
      <c r="S3654" s="752"/>
    </row>
    <row r="3655" spans="1:19" s="753" customFormat="1" ht="24" customHeight="1">
      <c r="A3655" s="734"/>
      <c r="B3655" s="747" t="s">
        <v>484</v>
      </c>
      <c r="C3655" s="735" t="s">
        <v>485</v>
      </c>
      <c r="D3655" s="735"/>
      <c r="E3655" s="737">
        <f t="shared" si="827"/>
        <v>7</v>
      </c>
      <c r="F3655" s="738" t="s">
        <v>363</v>
      </c>
      <c r="G3655" s="739">
        <v>285</v>
      </c>
      <c r="H3655" s="748">
        <f t="shared" si="829"/>
        <v>1995</v>
      </c>
      <c r="I3655" s="741">
        <v>75</v>
      </c>
      <c r="J3655" s="749">
        <f t="shared" si="830"/>
        <v>525</v>
      </c>
      <c r="K3655" s="739">
        <f t="shared" si="824"/>
        <v>2520</v>
      </c>
      <c r="L3655" s="1093"/>
      <c r="M3655" s="752"/>
      <c r="N3655" s="744">
        <f t="shared" si="828"/>
        <v>7</v>
      </c>
      <c r="O3655" s="745">
        <v>0</v>
      </c>
      <c r="P3655" s="737">
        <v>7</v>
      </c>
      <c r="Q3655" s="752"/>
      <c r="R3655" s="752"/>
      <c r="S3655" s="752"/>
    </row>
    <row r="3656" spans="1:19" s="753" customFormat="1" ht="24" customHeight="1">
      <c r="A3656" s="734"/>
      <c r="B3656" s="747" t="s">
        <v>469</v>
      </c>
      <c r="C3656" s="735" t="s">
        <v>486</v>
      </c>
      <c r="D3656" s="735"/>
      <c r="E3656" s="737">
        <f t="shared" si="827"/>
        <v>1</v>
      </c>
      <c r="F3656" s="738" t="s">
        <v>363</v>
      </c>
      <c r="G3656" s="739">
        <v>552</v>
      </c>
      <c r="H3656" s="748">
        <f t="shared" si="829"/>
        <v>552</v>
      </c>
      <c r="I3656" s="741">
        <v>25</v>
      </c>
      <c r="J3656" s="749">
        <f t="shared" si="830"/>
        <v>25</v>
      </c>
      <c r="K3656" s="739">
        <f t="shared" si="824"/>
        <v>577</v>
      </c>
      <c r="L3656" s="1079"/>
      <c r="M3656" s="752"/>
      <c r="N3656" s="744">
        <f t="shared" si="828"/>
        <v>1</v>
      </c>
      <c r="O3656" s="745">
        <v>0</v>
      </c>
      <c r="P3656" s="737">
        <v>1</v>
      </c>
      <c r="Q3656" s="752"/>
      <c r="R3656" s="752"/>
      <c r="S3656" s="752"/>
    </row>
    <row r="3657" spans="1:19" s="753" customFormat="1" ht="24" customHeight="1">
      <c r="A3657" s="734"/>
      <c r="B3657" s="747" t="s">
        <v>469</v>
      </c>
      <c r="C3657" s="735" t="s">
        <v>507</v>
      </c>
      <c r="D3657" s="735"/>
      <c r="E3657" s="737">
        <f t="shared" si="827"/>
        <v>1</v>
      </c>
      <c r="F3657" s="738" t="s">
        <v>363</v>
      </c>
      <c r="G3657" s="739">
        <v>1650</v>
      </c>
      <c r="H3657" s="748">
        <f t="shared" si="829"/>
        <v>1650</v>
      </c>
      <c r="I3657" s="741">
        <v>70</v>
      </c>
      <c r="J3657" s="749">
        <f t="shared" si="830"/>
        <v>70</v>
      </c>
      <c r="K3657" s="739">
        <f t="shared" si="824"/>
        <v>1720</v>
      </c>
      <c r="L3657" s="1079"/>
      <c r="M3657" s="752"/>
      <c r="N3657" s="744">
        <f t="shared" si="828"/>
        <v>1</v>
      </c>
      <c r="O3657" s="745">
        <v>0</v>
      </c>
      <c r="P3657" s="737">
        <v>1</v>
      </c>
      <c r="Q3657" s="752"/>
      <c r="R3657" s="752"/>
      <c r="S3657" s="752"/>
    </row>
    <row r="3658" spans="1:19" s="753" customFormat="1" ht="24" customHeight="1">
      <c r="A3658" s="734"/>
      <c r="B3658" s="747" t="s">
        <v>469</v>
      </c>
      <c r="C3658" s="735" t="s">
        <v>508</v>
      </c>
      <c r="D3658" s="735"/>
      <c r="E3658" s="737">
        <f t="shared" si="827"/>
        <v>10</v>
      </c>
      <c r="F3658" s="738" t="s">
        <v>363</v>
      </c>
      <c r="G3658" s="739">
        <v>13500</v>
      </c>
      <c r="H3658" s="748">
        <f t="shared" si="829"/>
        <v>135000</v>
      </c>
      <c r="I3658" s="741">
        <v>750</v>
      </c>
      <c r="J3658" s="749">
        <f t="shared" si="830"/>
        <v>7500</v>
      </c>
      <c r="K3658" s="739">
        <f t="shared" ref="K3658:K3721" si="831">SUM(H3658+J3658)</f>
        <v>142500</v>
      </c>
      <c r="L3658" s="1079"/>
      <c r="M3658" s="752"/>
      <c r="N3658" s="744">
        <f t="shared" si="828"/>
        <v>10</v>
      </c>
      <c r="O3658" s="745">
        <v>0</v>
      </c>
      <c r="P3658" s="737">
        <v>10</v>
      </c>
      <c r="Q3658" s="752"/>
      <c r="R3658" s="752"/>
      <c r="S3658" s="752"/>
    </row>
    <row r="3659" spans="1:19" s="682" customFormat="1" ht="24" customHeight="1">
      <c r="A3659" s="734"/>
      <c r="B3659" s="747" t="s">
        <v>469</v>
      </c>
      <c r="C3659" s="735" t="s">
        <v>509</v>
      </c>
      <c r="D3659" s="735"/>
      <c r="E3659" s="737">
        <f t="shared" si="827"/>
        <v>1</v>
      </c>
      <c r="F3659" s="738" t="s">
        <v>363</v>
      </c>
      <c r="G3659" s="739">
        <v>14476</v>
      </c>
      <c r="H3659" s="748">
        <f t="shared" si="829"/>
        <v>14476</v>
      </c>
      <c r="I3659" s="741">
        <v>5367</v>
      </c>
      <c r="J3659" s="749">
        <f t="shared" si="830"/>
        <v>5367</v>
      </c>
      <c r="K3659" s="739">
        <f t="shared" si="831"/>
        <v>19843</v>
      </c>
      <c r="L3659" s="1079"/>
      <c r="M3659" s="679"/>
      <c r="N3659" s="744">
        <f t="shared" si="828"/>
        <v>1</v>
      </c>
      <c r="O3659" s="745">
        <v>0</v>
      </c>
      <c r="P3659" s="737">
        <v>1</v>
      </c>
      <c r="Q3659" s="679"/>
      <c r="R3659" s="679"/>
      <c r="S3659" s="679"/>
    </row>
    <row r="3660" spans="1:19" s="753" customFormat="1" ht="24" customHeight="1">
      <c r="A3660" s="734"/>
      <c r="B3660" s="747"/>
      <c r="C3660" s="735"/>
      <c r="D3660" s="907"/>
      <c r="E3660" s="737">
        <f t="shared" si="827"/>
        <v>0</v>
      </c>
      <c r="F3660" s="738"/>
      <c r="G3660" s="739">
        <v>0</v>
      </c>
      <c r="H3660" s="748">
        <f t="shared" si="829"/>
        <v>0</v>
      </c>
      <c r="I3660" s="741">
        <v>0</v>
      </c>
      <c r="J3660" s="749">
        <f t="shared" si="830"/>
        <v>0</v>
      </c>
      <c r="K3660" s="739">
        <f t="shared" si="831"/>
        <v>0</v>
      </c>
      <c r="L3660" s="1079"/>
      <c r="M3660" s="752"/>
      <c r="N3660" s="744">
        <f t="shared" si="828"/>
        <v>0</v>
      </c>
      <c r="O3660" s="745">
        <v>0</v>
      </c>
      <c r="P3660" s="737">
        <v>0</v>
      </c>
      <c r="Q3660" s="752"/>
      <c r="R3660" s="752"/>
      <c r="S3660" s="752"/>
    </row>
    <row r="3661" spans="1:19" s="753" customFormat="1" ht="24" customHeight="1">
      <c r="A3661" s="734"/>
      <c r="B3661" s="747" t="s">
        <v>469</v>
      </c>
      <c r="C3661" s="735" t="s">
        <v>510</v>
      </c>
      <c r="D3661" s="735"/>
      <c r="E3661" s="737">
        <f t="shared" si="827"/>
        <v>5.8</v>
      </c>
      <c r="F3661" s="738" t="s">
        <v>361</v>
      </c>
      <c r="G3661" s="739">
        <v>2694</v>
      </c>
      <c r="H3661" s="748">
        <f t="shared" si="829"/>
        <v>15625.199999999999</v>
      </c>
      <c r="I3661" s="741">
        <v>1288</v>
      </c>
      <c r="J3661" s="749">
        <f t="shared" si="830"/>
        <v>7470.4</v>
      </c>
      <c r="K3661" s="739">
        <f t="shared" si="831"/>
        <v>23095.599999999999</v>
      </c>
      <c r="L3661" s="1079"/>
      <c r="M3661" s="752"/>
      <c r="N3661" s="744">
        <f t="shared" si="828"/>
        <v>5.8</v>
      </c>
      <c r="O3661" s="745">
        <v>0</v>
      </c>
      <c r="P3661" s="737">
        <v>5.8</v>
      </c>
      <c r="Q3661" s="752"/>
      <c r="R3661" s="752"/>
      <c r="S3661" s="752"/>
    </row>
    <row r="3662" spans="1:19" s="753" customFormat="1" ht="24" customHeight="1">
      <c r="A3662" s="734"/>
      <c r="B3662" s="747"/>
      <c r="C3662" s="735" t="s">
        <v>511</v>
      </c>
      <c r="D3662" s="735"/>
      <c r="E3662" s="737">
        <f t="shared" si="827"/>
        <v>0</v>
      </c>
      <c r="F3662" s="738"/>
      <c r="G3662" s="739"/>
      <c r="H3662" s="748">
        <f t="shared" si="829"/>
        <v>0</v>
      </c>
      <c r="I3662" s="741"/>
      <c r="J3662" s="749">
        <f t="shared" si="830"/>
        <v>0</v>
      </c>
      <c r="K3662" s="739">
        <f t="shared" si="831"/>
        <v>0</v>
      </c>
      <c r="L3662" s="1079"/>
      <c r="M3662" s="752"/>
      <c r="N3662" s="744">
        <f t="shared" si="828"/>
        <v>0</v>
      </c>
      <c r="O3662" s="745">
        <v>0</v>
      </c>
      <c r="P3662" s="737">
        <v>0</v>
      </c>
      <c r="Q3662" s="752"/>
      <c r="R3662" s="752"/>
      <c r="S3662" s="752"/>
    </row>
    <row r="3663" spans="1:19" s="753" customFormat="1" ht="24" customHeight="1">
      <c r="A3663" s="734"/>
      <c r="B3663" s="747" t="s">
        <v>469</v>
      </c>
      <c r="C3663" s="735" t="s">
        <v>512</v>
      </c>
      <c r="D3663" s="735"/>
      <c r="E3663" s="737">
        <f t="shared" si="827"/>
        <v>5.8</v>
      </c>
      <c r="F3663" s="738" t="s">
        <v>361</v>
      </c>
      <c r="G3663" s="739">
        <v>3886</v>
      </c>
      <c r="H3663" s="748">
        <f t="shared" si="829"/>
        <v>22538.799999999999</v>
      </c>
      <c r="I3663" s="741">
        <v>1238</v>
      </c>
      <c r="J3663" s="749">
        <f t="shared" si="830"/>
        <v>7180.4</v>
      </c>
      <c r="K3663" s="739">
        <f t="shared" si="831"/>
        <v>29719.199999999997</v>
      </c>
      <c r="L3663" s="1079"/>
      <c r="M3663" s="752"/>
      <c r="N3663" s="744">
        <f t="shared" si="828"/>
        <v>5.8</v>
      </c>
      <c r="O3663" s="745">
        <v>0</v>
      </c>
      <c r="P3663" s="737">
        <v>5.8</v>
      </c>
      <c r="Q3663" s="752"/>
      <c r="R3663" s="752"/>
      <c r="S3663" s="752"/>
    </row>
    <row r="3664" spans="1:19" s="753" customFormat="1" ht="24" customHeight="1">
      <c r="A3664" s="734"/>
      <c r="B3664" s="747"/>
      <c r="C3664" s="735" t="s">
        <v>513</v>
      </c>
      <c r="D3664" s="735"/>
      <c r="E3664" s="737">
        <f t="shared" si="827"/>
        <v>0</v>
      </c>
      <c r="F3664" s="738"/>
      <c r="G3664" s="739">
        <v>0</v>
      </c>
      <c r="H3664" s="748">
        <f t="shared" si="829"/>
        <v>0</v>
      </c>
      <c r="I3664" s="741">
        <v>0</v>
      </c>
      <c r="J3664" s="749">
        <f t="shared" si="830"/>
        <v>0</v>
      </c>
      <c r="K3664" s="739">
        <f t="shared" si="831"/>
        <v>0</v>
      </c>
      <c r="L3664" s="1079"/>
      <c r="M3664" s="752"/>
      <c r="N3664" s="744">
        <f t="shared" si="828"/>
        <v>0</v>
      </c>
      <c r="O3664" s="745">
        <v>0</v>
      </c>
      <c r="P3664" s="737">
        <v>0</v>
      </c>
      <c r="Q3664" s="752"/>
      <c r="R3664" s="752"/>
      <c r="S3664" s="752"/>
    </row>
    <row r="3665" spans="1:19" s="753" customFormat="1" ht="24" customHeight="1">
      <c r="A3665" s="734"/>
      <c r="B3665" s="747" t="s">
        <v>469</v>
      </c>
      <c r="C3665" s="735" t="s">
        <v>521</v>
      </c>
      <c r="D3665" s="735"/>
      <c r="E3665" s="737">
        <f t="shared" si="827"/>
        <v>9</v>
      </c>
      <c r="F3665" s="738" t="s">
        <v>361</v>
      </c>
      <c r="G3665" s="739">
        <v>1522</v>
      </c>
      <c r="H3665" s="748">
        <f t="shared" si="829"/>
        <v>13698</v>
      </c>
      <c r="I3665" s="741">
        <v>315</v>
      </c>
      <c r="J3665" s="749">
        <f t="shared" si="830"/>
        <v>2835</v>
      </c>
      <c r="K3665" s="739">
        <f t="shared" si="831"/>
        <v>16533</v>
      </c>
      <c r="L3665" s="1079"/>
      <c r="M3665" s="752"/>
      <c r="N3665" s="744">
        <f t="shared" si="828"/>
        <v>9</v>
      </c>
      <c r="O3665" s="745">
        <v>0</v>
      </c>
      <c r="P3665" s="737">
        <v>9</v>
      </c>
      <c r="Q3665" s="752"/>
      <c r="R3665" s="752"/>
      <c r="S3665" s="752"/>
    </row>
    <row r="3666" spans="1:19" s="753" customFormat="1" ht="24" customHeight="1">
      <c r="A3666" s="734"/>
      <c r="B3666" s="747"/>
      <c r="C3666" s="735"/>
      <c r="D3666" s="735"/>
      <c r="E3666" s="737">
        <f t="shared" si="827"/>
        <v>0</v>
      </c>
      <c r="F3666" s="738"/>
      <c r="G3666" s="739">
        <v>0</v>
      </c>
      <c r="H3666" s="748">
        <f t="shared" si="829"/>
        <v>0</v>
      </c>
      <c r="I3666" s="741">
        <v>0</v>
      </c>
      <c r="J3666" s="749">
        <f t="shared" si="830"/>
        <v>0</v>
      </c>
      <c r="K3666" s="739">
        <f t="shared" si="831"/>
        <v>0</v>
      </c>
      <c r="L3666" s="1079"/>
      <c r="M3666" s="752"/>
      <c r="N3666" s="744">
        <f t="shared" si="828"/>
        <v>0</v>
      </c>
      <c r="O3666" s="745">
        <v>0</v>
      </c>
      <c r="P3666" s="737">
        <v>0</v>
      </c>
      <c r="Q3666" s="752"/>
      <c r="R3666" s="752"/>
      <c r="S3666" s="752"/>
    </row>
    <row r="3667" spans="1:19" s="682" customFormat="1" ht="24" customHeight="1">
      <c r="A3667" s="734"/>
      <c r="B3667" s="747" t="s">
        <v>469</v>
      </c>
      <c r="C3667" s="735" t="s">
        <v>515</v>
      </c>
      <c r="D3667" s="735"/>
      <c r="E3667" s="737">
        <f t="shared" si="827"/>
        <v>1</v>
      </c>
      <c r="F3667" s="738" t="s">
        <v>363</v>
      </c>
      <c r="G3667" s="739">
        <v>5013</v>
      </c>
      <c r="H3667" s="748">
        <f t="shared" ref="H3667:H3730" si="832">SUM(E3667*G3667)</f>
        <v>5013</v>
      </c>
      <c r="I3667" s="741">
        <v>2403</v>
      </c>
      <c r="J3667" s="749">
        <f t="shared" si="830"/>
        <v>2403</v>
      </c>
      <c r="K3667" s="739">
        <f t="shared" si="831"/>
        <v>7416</v>
      </c>
      <c r="L3667" s="1079"/>
      <c r="M3667" s="679"/>
      <c r="N3667" s="744">
        <f t="shared" si="828"/>
        <v>1</v>
      </c>
      <c r="O3667" s="745">
        <v>0</v>
      </c>
      <c r="P3667" s="737">
        <v>1</v>
      </c>
      <c r="Q3667" s="679"/>
      <c r="R3667" s="679"/>
      <c r="S3667" s="679"/>
    </row>
    <row r="3668" spans="1:19" s="682" customFormat="1" ht="24" customHeight="1">
      <c r="A3668" s="734"/>
      <c r="B3668" s="747"/>
      <c r="C3668" s="735" t="s">
        <v>516</v>
      </c>
      <c r="D3668" s="735"/>
      <c r="E3668" s="737">
        <f t="shared" si="827"/>
        <v>0</v>
      </c>
      <c r="F3668" s="738"/>
      <c r="G3668" s="739"/>
      <c r="H3668" s="748">
        <f t="shared" si="832"/>
        <v>0</v>
      </c>
      <c r="I3668" s="741"/>
      <c r="J3668" s="749">
        <f t="shared" si="830"/>
        <v>0</v>
      </c>
      <c r="K3668" s="739">
        <f t="shared" si="831"/>
        <v>0</v>
      </c>
      <c r="L3668" s="1079"/>
      <c r="M3668" s="679"/>
      <c r="N3668" s="744">
        <f t="shared" si="828"/>
        <v>0</v>
      </c>
      <c r="O3668" s="745">
        <v>0</v>
      </c>
      <c r="P3668" s="737">
        <v>0</v>
      </c>
      <c r="Q3668" s="679"/>
      <c r="R3668" s="679"/>
      <c r="S3668" s="679"/>
    </row>
    <row r="3669" spans="1:19" s="682" customFormat="1" ht="24" customHeight="1">
      <c r="A3669" s="734"/>
      <c r="B3669" s="747"/>
      <c r="C3669" s="735"/>
      <c r="D3669" s="735"/>
      <c r="E3669" s="737">
        <f t="shared" si="827"/>
        <v>0</v>
      </c>
      <c r="F3669" s="738"/>
      <c r="G3669" s="739"/>
      <c r="H3669" s="748">
        <f t="shared" si="832"/>
        <v>0</v>
      </c>
      <c r="I3669" s="741"/>
      <c r="J3669" s="749">
        <f t="shared" si="830"/>
        <v>0</v>
      </c>
      <c r="K3669" s="739">
        <f t="shared" si="831"/>
        <v>0</v>
      </c>
      <c r="L3669" s="1079"/>
      <c r="M3669" s="679"/>
      <c r="N3669" s="744">
        <f t="shared" si="828"/>
        <v>0</v>
      </c>
      <c r="O3669" s="745">
        <v>0</v>
      </c>
      <c r="P3669" s="737">
        <v>0</v>
      </c>
      <c r="Q3669" s="679"/>
      <c r="R3669" s="679"/>
      <c r="S3669" s="679"/>
    </row>
    <row r="3670" spans="1:19" s="756" customFormat="1" ht="24" customHeight="1">
      <c r="A3670" s="734"/>
      <c r="B3670" s="747" t="s">
        <v>469</v>
      </c>
      <c r="C3670" s="735" t="s">
        <v>517</v>
      </c>
      <c r="D3670" s="907"/>
      <c r="E3670" s="737">
        <f t="shared" ref="E3670:E3734" si="833">+N3670</f>
        <v>0</v>
      </c>
      <c r="F3670" s="738" t="s">
        <v>361</v>
      </c>
      <c r="G3670" s="739">
        <v>5075.5555555555557</v>
      </c>
      <c r="H3670" s="748">
        <f t="shared" si="832"/>
        <v>0</v>
      </c>
      <c r="I3670" s="741">
        <v>2545.7777777777778</v>
      </c>
      <c r="J3670" s="749">
        <f t="shared" si="830"/>
        <v>0</v>
      </c>
      <c r="K3670" s="739">
        <f t="shared" si="831"/>
        <v>0</v>
      </c>
      <c r="L3670" s="1079"/>
      <c r="M3670" s="755"/>
      <c r="N3670" s="744">
        <f t="shared" si="828"/>
        <v>0</v>
      </c>
      <c r="O3670" s="745">
        <v>0</v>
      </c>
      <c r="P3670" s="737">
        <v>0</v>
      </c>
      <c r="Q3670" s="755"/>
      <c r="R3670" s="755"/>
      <c r="S3670" s="755"/>
    </row>
    <row r="3671" spans="1:19" s="756" customFormat="1" ht="24" customHeight="1">
      <c r="A3671" s="734"/>
      <c r="B3671" s="747"/>
      <c r="C3671" s="735" t="s">
        <v>488</v>
      </c>
      <c r="D3671" s="907"/>
      <c r="E3671" s="737">
        <f t="shared" si="833"/>
        <v>0</v>
      </c>
      <c r="F3671" s="738"/>
      <c r="G3671" s="739">
        <v>0</v>
      </c>
      <c r="H3671" s="748">
        <f t="shared" si="832"/>
        <v>0</v>
      </c>
      <c r="I3671" s="741">
        <v>0</v>
      </c>
      <c r="J3671" s="749">
        <f t="shared" si="830"/>
        <v>0</v>
      </c>
      <c r="K3671" s="739">
        <f t="shared" si="831"/>
        <v>0</v>
      </c>
      <c r="L3671" s="1079"/>
      <c r="M3671" s="755"/>
      <c r="N3671" s="744">
        <f t="shared" si="828"/>
        <v>0</v>
      </c>
      <c r="O3671" s="745">
        <v>0</v>
      </c>
      <c r="P3671" s="737">
        <v>0</v>
      </c>
      <c r="Q3671" s="755"/>
      <c r="R3671" s="755"/>
      <c r="S3671" s="755"/>
    </row>
    <row r="3672" spans="1:19" s="753" customFormat="1" ht="24" customHeight="1">
      <c r="A3672" s="734"/>
      <c r="B3672" s="747" t="s">
        <v>469</v>
      </c>
      <c r="C3672" s="735" t="s">
        <v>518</v>
      </c>
      <c r="D3672" s="735"/>
      <c r="E3672" s="737">
        <f t="shared" si="833"/>
        <v>0</v>
      </c>
      <c r="F3672" s="738" t="s">
        <v>361</v>
      </c>
      <c r="G3672" s="739">
        <v>3886</v>
      </c>
      <c r="H3672" s="748">
        <f t="shared" si="832"/>
        <v>0</v>
      </c>
      <c r="I3672" s="741">
        <v>1238</v>
      </c>
      <c r="J3672" s="749">
        <f t="shared" si="830"/>
        <v>0</v>
      </c>
      <c r="K3672" s="739">
        <f t="shared" si="831"/>
        <v>0</v>
      </c>
      <c r="L3672" s="1079"/>
      <c r="M3672" s="752"/>
      <c r="N3672" s="744">
        <f t="shared" si="828"/>
        <v>0</v>
      </c>
      <c r="O3672" s="745">
        <v>0</v>
      </c>
      <c r="P3672" s="737">
        <v>0</v>
      </c>
      <c r="Q3672" s="752"/>
      <c r="R3672" s="752"/>
      <c r="S3672" s="752"/>
    </row>
    <row r="3673" spans="1:19" s="753" customFormat="1" ht="24" customHeight="1">
      <c r="A3673" s="734"/>
      <c r="B3673" s="747"/>
      <c r="C3673" s="735" t="s">
        <v>513</v>
      </c>
      <c r="D3673" s="735"/>
      <c r="E3673" s="737">
        <f t="shared" si="833"/>
        <v>0</v>
      </c>
      <c r="F3673" s="738"/>
      <c r="G3673" s="739">
        <v>0</v>
      </c>
      <c r="H3673" s="748">
        <f t="shared" si="832"/>
        <v>0</v>
      </c>
      <c r="I3673" s="741">
        <v>0</v>
      </c>
      <c r="J3673" s="749">
        <f t="shared" si="830"/>
        <v>0</v>
      </c>
      <c r="K3673" s="739">
        <f t="shared" si="831"/>
        <v>0</v>
      </c>
      <c r="L3673" s="1079"/>
      <c r="M3673" s="752"/>
      <c r="N3673" s="744">
        <f t="shared" si="828"/>
        <v>0</v>
      </c>
      <c r="O3673" s="745">
        <v>0</v>
      </c>
      <c r="P3673" s="737">
        <v>0</v>
      </c>
      <c r="Q3673" s="752"/>
      <c r="R3673" s="752"/>
      <c r="S3673" s="752"/>
    </row>
    <row r="3674" spans="1:19" s="682" customFormat="1" ht="24" customHeight="1">
      <c r="A3674" s="734"/>
      <c r="B3674" s="747"/>
      <c r="C3674" s="735"/>
      <c r="D3674" s="735"/>
      <c r="E3674" s="737">
        <f t="shared" si="833"/>
        <v>0</v>
      </c>
      <c r="F3674" s="738"/>
      <c r="G3674" s="739"/>
      <c r="H3674" s="748">
        <f t="shared" si="832"/>
        <v>0</v>
      </c>
      <c r="I3674" s="741"/>
      <c r="J3674" s="749">
        <f t="shared" si="830"/>
        <v>0</v>
      </c>
      <c r="K3674" s="739">
        <f t="shared" si="831"/>
        <v>0</v>
      </c>
      <c r="L3674" s="1079"/>
      <c r="M3674" s="679"/>
      <c r="N3674" s="744">
        <f t="shared" si="828"/>
        <v>0</v>
      </c>
      <c r="O3674" s="745">
        <v>0</v>
      </c>
      <c r="P3674" s="737">
        <v>0</v>
      </c>
      <c r="Q3674" s="679"/>
      <c r="R3674" s="679"/>
      <c r="S3674" s="679"/>
    </row>
    <row r="3675" spans="1:19" s="682" customFormat="1" ht="24" customHeight="1">
      <c r="A3675" s="734"/>
      <c r="B3675" s="747" t="s">
        <v>469</v>
      </c>
      <c r="C3675" s="735" t="s">
        <v>519</v>
      </c>
      <c r="D3675" s="735"/>
      <c r="E3675" s="737">
        <f t="shared" si="833"/>
        <v>1</v>
      </c>
      <c r="F3675" s="738" t="s">
        <v>363</v>
      </c>
      <c r="G3675" s="739">
        <v>800</v>
      </c>
      <c r="H3675" s="748">
        <f t="shared" si="832"/>
        <v>800</v>
      </c>
      <c r="I3675" s="741">
        <v>70</v>
      </c>
      <c r="J3675" s="749">
        <f t="shared" si="830"/>
        <v>70</v>
      </c>
      <c r="K3675" s="739">
        <f t="shared" si="831"/>
        <v>870</v>
      </c>
      <c r="L3675" s="1079"/>
      <c r="M3675" s="679"/>
      <c r="N3675" s="744">
        <f t="shared" si="828"/>
        <v>1</v>
      </c>
      <c r="O3675" s="745">
        <v>0</v>
      </c>
      <c r="P3675" s="737">
        <v>1</v>
      </c>
      <c r="Q3675" s="679"/>
      <c r="R3675" s="679"/>
      <c r="S3675" s="679"/>
    </row>
    <row r="3676" spans="1:19" s="682" customFormat="1" ht="24" customHeight="1">
      <c r="A3676" s="734"/>
      <c r="B3676" s="747" t="s">
        <v>469</v>
      </c>
      <c r="C3676" s="735" t="s">
        <v>520</v>
      </c>
      <c r="D3676" s="735"/>
      <c r="E3676" s="737">
        <f t="shared" si="833"/>
        <v>0</v>
      </c>
      <c r="F3676" s="738" t="s">
        <v>361</v>
      </c>
      <c r="G3676" s="739">
        <v>190</v>
      </c>
      <c r="H3676" s="748">
        <f t="shared" si="832"/>
        <v>0</v>
      </c>
      <c r="I3676" s="741">
        <v>75</v>
      </c>
      <c r="J3676" s="749">
        <f t="shared" si="830"/>
        <v>0</v>
      </c>
      <c r="K3676" s="739">
        <f t="shared" si="831"/>
        <v>0</v>
      </c>
      <c r="L3676" s="1079"/>
      <c r="M3676" s="679"/>
      <c r="N3676" s="744">
        <f t="shared" si="828"/>
        <v>0</v>
      </c>
      <c r="O3676" s="745">
        <v>0</v>
      </c>
      <c r="P3676" s="737">
        <v>0</v>
      </c>
      <c r="Q3676" s="679"/>
      <c r="R3676" s="679"/>
      <c r="S3676" s="679"/>
    </row>
    <row r="3677" spans="1:19" s="682" customFormat="1" ht="24" customHeight="1">
      <c r="A3677" s="734"/>
      <c r="B3677" s="747"/>
      <c r="C3677" s="735"/>
      <c r="D3677" s="735"/>
      <c r="E3677" s="737">
        <f t="shared" si="833"/>
        <v>0</v>
      </c>
      <c r="F3677" s="738"/>
      <c r="G3677" s="739"/>
      <c r="H3677" s="748">
        <f t="shared" si="832"/>
        <v>0</v>
      </c>
      <c r="I3677" s="741"/>
      <c r="J3677" s="749">
        <f t="shared" si="830"/>
        <v>0</v>
      </c>
      <c r="K3677" s="739">
        <f t="shared" si="831"/>
        <v>0</v>
      </c>
      <c r="L3677" s="1079"/>
      <c r="M3677" s="679"/>
      <c r="N3677" s="744">
        <f t="shared" ref="N3677:N3741" si="834">+(1+O3677)*P3677</f>
        <v>0</v>
      </c>
      <c r="O3677" s="745">
        <v>0</v>
      </c>
      <c r="P3677" s="737">
        <v>0</v>
      </c>
      <c r="Q3677" s="679"/>
      <c r="R3677" s="679"/>
      <c r="S3677" s="679"/>
    </row>
    <row r="3678" spans="1:19" s="753" customFormat="1" ht="24" customHeight="1">
      <c r="A3678" s="734"/>
      <c r="B3678" s="735" t="s">
        <v>1074</v>
      </c>
      <c r="C3678" s="735"/>
      <c r="D3678" s="735"/>
      <c r="E3678" s="737">
        <f t="shared" si="833"/>
        <v>0</v>
      </c>
      <c r="F3678" s="738"/>
      <c r="G3678" s="739">
        <v>0</v>
      </c>
      <c r="H3678" s="748">
        <f t="shared" si="832"/>
        <v>0</v>
      </c>
      <c r="I3678" s="741">
        <v>0</v>
      </c>
      <c r="J3678" s="749">
        <f t="shared" si="830"/>
        <v>0</v>
      </c>
      <c r="K3678" s="739">
        <f t="shared" si="831"/>
        <v>0</v>
      </c>
      <c r="L3678" s="1079"/>
      <c r="M3678" s="752"/>
      <c r="N3678" s="744">
        <f t="shared" si="834"/>
        <v>0</v>
      </c>
      <c r="O3678" s="745">
        <v>0</v>
      </c>
      <c r="P3678" s="737">
        <v>0</v>
      </c>
      <c r="Q3678" s="752"/>
      <c r="R3678" s="752"/>
      <c r="S3678" s="752"/>
    </row>
    <row r="3679" spans="1:19" s="753" customFormat="1" ht="24" customHeight="1">
      <c r="A3679" s="734"/>
      <c r="B3679" s="747" t="s">
        <v>469</v>
      </c>
      <c r="C3679" s="735" t="s">
        <v>522</v>
      </c>
      <c r="D3679" s="735"/>
      <c r="E3679" s="737">
        <f t="shared" si="833"/>
        <v>1</v>
      </c>
      <c r="F3679" s="738" t="s">
        <v>363</v>
      </c>
      <c r="G3679" s="739">
        <v>6832</v>
      </c>
      <c r="H3679" s="748">
        <f t="shared" si="832"/>
        <v>6832</v>
      </c>
      <c r="I3679" s="741">
        <v>450</v>
      </c>
      <c r="J3679" s="749">
        <f t="shared" si="830"/>
        <v>450</v>
      </c>
      <c r="K3679" s="739">
        <f t="shared" si="831"/>
        <v>7282</v>
      </c>
      <c r="L3679" s="1079"/>
      <c r="M3679" s="752"/>
      <c r="N3679" s="744">
        <f t="shared" si="834"/>
        <v>1</v>
      </c>
      <c r="O3679" s="745">
        <v>0</v>
      </c>
      <c r="P3679" s="737">
        <v>1</v>
      </c>
      <c r="Q3679" s="752"/>
      <c r="R3679" s="752"/>
      <c r="S3679" s="752"/>
    </row>
    <row r="3680" spans="1:19" s="753" customFormat="1" ht="24" customHeight="1">
      <c r="A3680" s="734"/>
      <c r="B3680" s="747" t="s">
        <v>469</v>
      </c>
      <c r="C3680" s="735" t="s">
        <v>498</v>
      </c>
      <c r="D3680" s="735"/>
      <c r="E3680" s="737">
        <f t="shared" si="833"/>
        <v>1</v>
      </c>
      <c r="F3680" s="738" t="s">
        <v>363</v>
      </c>
      <c r="G3680" s="739">
        <v>6640</v>
      </c>
      <c r="H3680" s="748">
        <f t="shared" si="832"/>
        <v>6640</v>
      </c>
      <c r="I3680" s="741">
        <v>200</v>
      </c>
      <c r="J3680" s="749">
        <f t="shared" si="830"/>
        <v>200</v>
      </c>
      <c r="K3680" s="739">
        <f t="shared" si="831"/>
        <v>6840</v>
      </c>
      <c r="L3680" s="1079"/>
      <c r="M3680" s="752"/>
      <c r="N3680" s="744">
        <f t="shared" si="834"/>
        <v>1</v>
      </c>
      <c r="O3680" s="745">
        <v>0</v>
      </c>
      <c r="P3680" s="737">
        <v>1</v>
      </c>
      <c r="Q3680" s="752"/>
      <c r="R3680" s="752"/>
      <c r="S3680" s="752"/>
    </row>
    <row r="3681" spans="1:19" s="753" customFormat="1" ht="24" customHeight="1">
      <c r="A3681" s="734"/>
      <c r="B3681" s="747" t="s">
        <v>469</v>
      </c>
      <c r="C3681" s="735" t="s">
        <v>476</v>
      </c>
      <c r="D3681" s="735"/>
      <c r="E3681" s="737">
        <f t="shared" si="833"/>
        <v>1</v>
      </c>
      <c r="F3681" s="738" t="s">
        <v>363</v>
      </c>
      <c r="G3681" s="739">
        <v>336</v>
      </c>
      <c r="H3681" s="748">
        <f t="shared" si="832"/>
        <v>336</v>
      </c>
      <c r="I3681" s="741">
        <v>0</v>
      </c>
      <c r="J3681" s="749">
        <f t="shared" si="830"/>
        <v>0</v>
      </c>
      <c r="K3681" s="739">
        <f t="shared" si="831"/>
        <v>336</v>
      </c>
      <c r="L3681" s="1079"/>
      <c r="M3681" s="752"/>
      <c r="N3681" s="744">
        <f t="shared" si="834"/>
        <v>1</v>
      </c>
      <c r="O3681" s="745">
        <v>0</v>
      </c>
      <c r="P3681" s="737">
        <v>1</v>
      </c>
      <c r="Q3681" s="752"/>
      <c r="R3681" s="752"/>
      <c r="S3681" s="752"/>
    </row>
    <row r="3682" spans="1:19" s="753" customFormat="1" ht="24" customHeight="1">
      <c r="A3682" s="734"/>
      <c r="B3682" s="747" t="s">
        <v>469</v>
      </c>
      <c r="C3682" s="735" t="s">
        <v>477</v>
      </c>
      <c r="D3682" s="735"/>
      <c r="E3682" s="737">
        <f t="shared" si="833"/>
        <v>1</v>
      </c>
      <c r="F3682" s="738" t="s">
        <v>363</v>
      </c>
      <c r="G3682" s="739">
        <v>736</v>
      </c>
      <c r="H3682" s="748">
        <f t="shared" si="832"/>
        <v>736</v>
      </c>
      <c r="I3682" s="741">
        <v>0</v>
      </c>
      <c r="J3682" s="749">
        <f t="shared" si="830"/>
        <v>0</v>
      </c>
      <c r="K3682" s="739">
        <f t="shared" si="831"/>
        <v>736</v>
      </c>
      <c r="L3682" s="1079"/>
      <c r="M3682" s="752"/>
      <c r="N3682" s="744">
        <f t="shared" si="834"/>
        <v>1</v>
      </c>
      <c r="O3682" s="745">
        <v>0</v>
      </c>
      <c r="P3682" s="737">
        <v>1</v>
      </c>
      <c r="Q3682" s="752"/>
      <c r="R3682" s="752"/>
      <c r="S3682" s="752"/>
    </row>
    <row r="3683" spans="1:19" s="753" customFormat="1" ht="24" customHeight="1">
      <c r="A3683" s="734"/>
      <c r="B3683" s="747" t="s">
        <v>469</v>
      </c>
      <c r="C3683" s="735" t="s">
        <v>478</v>
      </c>
      <c r="D3683" s="735"/>
      <c r="E3683" s="737">
        <f t="shared" si="833"/>
        <v>1</v>
      </c>
      <c r="F3683" s="738" t="s">
        <v>363</v>
      </c>
      <c r="G3683" s="739">
        <v>176</v>
      </c>
      <c r="H3683" s="748">
        <f t="shared" si="832"/>
        <v>176</v>
      </c>
      <c r="I3683" s="741">
        <v>0</v>
      </c>
      <c r="J3683" s="749">
        <f t="shared" si="830"/>
        <v>0</v>
      </c>
      <c r="K3683" s="739">
        <f t="shared" si="831"/>
        <v>176</v>
      </c>
      <c r="L3683" s="1079"/>
      <c r="M3683" s="752"/>
      <c r="N3683" s="744">
        <f t="shared" si="834"/>
        <v>1</v>
      </c>
      <c r="O3683" s="745">
        <v>0</v>
      </c>
      <c r="P3683" s="737">
        <v>1</v>
      </c>
      <c r="Q3683" s="752"/>
      <c r="R3683" s="752"/>
      <c r="S3683" s="752"/>
    </row>
    <row r="3684" spans="1:19" s="753" customFormat="1" ht="24" customHeight="1">
      <c r="A3684" s="734"/>
      <c r="B3684" s="747" t="s">
        <v>469</v>
      </c>
      <c r="C3684" s="735" t="s">
        <v>499</v>
      </c>
      <c r="D3684" s="735"/>
      <c r="E3684" s="737">
        <f t="shared" si="833"/>
        <v>1</v>
      </c>
      <c r="F3684" s="738" t="s">
        <v>363</v>
      </c>
      <c r="G3684" s="739">
        <v>216</v>
      </c>
      <c r="H3684" s="748">
        <f t="shared" si="832"/>
        <v>216</v>
      </c>
      <c r="I3684" s="741">
        <v>35</v>
      </c>
      <c r="J3684" s="749">
        <f t="shared" si="830"/>
        <v>35</v>
      </c>
      <c r="K3684" s="739">
        <f t="shared" si="831"/>
        <v>251</v>
      </c>
      <c r="L3684" s="1079"/>
      <c r="M3684" s="752"/>
      <c r="N3684" s="744">
        <f t="shared" si="834"/>
        <v>1</v>
      </c>
      <c r="O3684" s="745">
        <v>0</v>
      </c>
      <c r="P3684" s="737">
        <v>1</v>
      </c>
      <c r="Q3684" s="752"/>
      <c r="R3684" s="752"/>
      <c r="S3684" s="752"/>
    </row>
    <row r="3685" spans="1:19" s="753" customFormat="1" ht="24" customHeight="1">
      <c r="A3685" s="734"/>
      <c r="B3685" s="750"/>
      <c r="C3685" s="757"/>
      <c r="D3685" s="907"/>
      <c r="E3685" s="737">
        <f t="shared" si="833"/>
        <v>0</v>
      </c>
      <c r="F3685" s="738"/>
      <c r="G3685" s="739">
        <v>0</v>
      </c>
      <c r="H3685" s="748">
        <f t="shared" si="832"/>
        <v>0</v>
      </c>
      <c r="I3685" s="741">
        <v>0</v>
      </c>
      <c r="J3685" s="749">
        <f t="shared" si="830"/>
        <v>0</v>
      </c>
      <c r="K3685" s="739">
        <f t="shared" si="831"/>
        <v>0</v>
      </c>
      <c r="L3685" s="1079"/>
      <c r="M3685" s="752"/>
      <c r="N3685" s="744">
        <f t="shared" si="834"/>
        <v>0</v>
      </c>
      <c r="O3685" s="745">
        <v>0</v>
      </c>
      <c r="P3685" s="737">
        <v>0</v>
      </c>
      <c r="Q3685" s="752"/>
      <c r="R3685" s="752"/>
      <c r="S3685" s="752"/>
    </row>
    <row r="3686" spans="1:19" s="753" customFormat="1" ht="24" customHeight="1">
      <c r="A3686" s="734"/>
      <c r="B3686" s="747" t="s">
        <v>469</v>
      </c>
      <c r="C3686" s="735" t="s">
        <v>523</v>
      </c>
      <c r="D3686" s="735"/>
      <c r="E3686" s="737">
        <f t="shared" si="833"/>
        <v>1</v>
      </c>
      <c r="F3686" s="738" t="s">
        <v>363</v>
      </c>
      <c r="G3686" s="739">
        <v>6580</v>
      </c>
      <c r="H3686" s="748">
        <f t="shared" si="832"/>
        <v>6580</v>
      </c>
      <c r="I3686" s="741">
        <v>450</v>
      </c>
      <c r="J3686" s="749">
        <f t="shared" si="830"/>
        <v>450</v>
      </c>
      <c r="K3686" s="739">
        <f t="shared" si="831"/>
        <v>7030</v>
      </c>
      <c r="L3686" s="1079"/>
      <c r="M3686" s="752"/>
      <c r="N3686" s="744">
        <f t="shared" si="834"/>
        <v>1</v>
      </c>
      <c r="O3686" s="745">
        <v>0</v>
      </c>
      <c r="P3686" s="737">
        <v>1</v>
      </c>
      <c r="Q3686" s="752"/>
      <c r="R3686" s="752"/>
      <c r="S3686" s="752"/>
    </row>
    <row r="3687" spans="1:19" s="753" customFormat="1" ht="24" customHeight="1">
      <c r="A3687" s="734"/>
      <c r="B3687" s="747" t="s">
        <v>469</v>
      </c>
      <c r="C3687" s="735" t="s">
        <v>478</v>
      </c>
      <c r="D3687" s="735"/>
      <c r="E3687" s="737">
        <f t="shared" si="833"/>
        <v>1</v>
      </c>
      <c r="F3687" s="738" t="s">
        <v>363</v>
      </c>
      <c r="G3687" s="739">
        <v>176</v>
      </c>
      <c r="H3687" s="748">
        <f t="shared" si="832"/>
        <v>176</v>
      </c>
      <c r="I3687" s="741">
        <v>0</v>
      </c>
      <c r="J3687" s="749">
        <f t="shared" si="830"/>
        <v>0</v>
      </c>
      <c r="K3687" s="739">
        <f t="shared" si="831"/>
        <v>176</v>
      </c>
      <c r="L3687" s="1079"/>
      <c r="M3687" s="752"/>
      <c r="N3687" s="744">
        <f t="shared" si="834"/>
        <v>1</v>
      </c>
      <c r="O3687" s="745">
        <v>0</v>
      </c>
      <c r="P3687" s="737">
        <v>1</v>
      </c>
      <c r="Q3687" s="752"/>
      <c r="R3687" s="752"/>
      <c r="S3687" s="752"/>
    </row>
    <row r="3688" spans="1:19" s="753" customFormat="1" ht="24" customHeight="1">
      <c r="A3688" s="734"/>
      <c r="B3688" s="747" t="s">
        <v>469</v>
      </c>
      <c r="C3688" s="735" t="s">
        <v>482</v>
      </c>
      <c r="D3688" s="735"/>
      <c r="E3688" s="737">
        <f t="shared" si="833"/>
        <v>1</v>
      </c>
      <c r="F3688" s="738" t="s">
        <v>363</v>
      </c>
      <c r="G3688" s="739">
        <v>560</v>
      </c>
      <c r="H3688" s="748">
        <f t="shared" si="832"/>
        <v>560</v>
      </c>
      <c r="I3688" s="741">
        <v>35</v>
      </c>
      <c r="J3688" s="749">
        <f t="shared" si="830"/>
        <v>35</v>
      </c>
      <c r="K3688" s="739">
        <f t="shared" si="831"/>
        <v>595</v>
      </c>
      <c r="L3688" s="1079"/>
      <c r="M3688" s="752"/>
      <c r="N3688" s="744">
        <f t="shared" si="834"/>
        <v>1</v>
      </c>
      <c r="O3688" s="745">
        <v>0</v>
      </c>
      <c r="P3688" s="737">
        <v>1</v>
      </c>
      <c r="Q3688" s="752"/>
      <c r="R3688" s="752"/>
      <c r="S3688" s="752"/>
    </row>
    <row r="3689" spans="1:19" s="753" customFormat="1" ht="24" customHeight="1">
      <c r="A3689" s="734"/>
      <c r="B3689" s="747" t="s">
        <v>469</v>
      </c>
      <c r="C3689" s="735" t="s">
        <v>524</v>
      </c>
      <c r="D3689" s="735"/>
      <c r="E3689" s="737">
        <f t="shared" si="833"/>
        <v>1</v>
      </c>
      <c r="F3689" s="738" t="s">
        <v>363</v>
      </c>
      <c r="G3689" s="739">
        <v>216</v>
      </c>
      <c r="H3689" s="748">
        <f t="shared" si="832"/>
        <v>216</v>
      </c>
      <c r="I3689" s="741">
        <v>35</v>
      </c>
      <c r="J3689" s="749">
        <f t="shared" si="830"/>
        <v>35</v>
      </c>
      <c r="K3689" s="739">
        <f t="shared" si="831"/>
        <v>251</v>
      </c>
      <c r="L3689" s="1079"/>
      <c r="M3689" s="752"/>
      <c r="N3689" s="744">
        <f t="shared" si="834"/>
        <v>1</v>
      </c>
      <c r="O3689" s="745">
        <v>0</v>
      </c>
      <c r="P3689" s="737">
        <v>1</v>
      </c>
      <c r="Q3689" s="752"/>
      <c r="R3689" s="752"/>
      <c r="S3689" s="752"/>
    </row>
    <row r="3690" spans="1:19" s="753" customFormat="1" ht="24" customHeight="1">
      <c r="A3690" s="734"/>
      <c r="B3690" s="747"/>
      <c r="C3690" s="735"/>
      <c r="D3690" s="735"/>
      <c r="E3690" s="737">
        <f t="shared" si="833"/>
        <v>0</v>
      </c>
      <c r="F3690" s="738"/>
      <c r="G3690" s="739">
        <v>0</v>
      </c>
      <c r="H3690" s="748">
        <f t="shared" si="832"/>
        <v>0</v>
      </c>
      <c r="I3690" s="741">
        <v>0</v>
      </c>
      <c r="J3690" s="749">
        <f t="shared" si="830"/>
        <v>0</v>
      </c>
      <c r="K3690" s="739">
        <f t="shared" si="831"/>
        <v>0</v>
      </c>
      <c r="L3690" s="1079"/>
      <c r="M3690" s="752"/>
      <c r="N3690" s="744">
        <f t="shared" si="834"/>
        <v>0</v>
      </c>
      <c r="O3690" s="745">
        <v>0</v>
      </c>
      <c r="P3690" s="737">
        <v>0</v>
      </c>
      <c r="Q3690" s="752"/>
      <c r="R3690" s="752"/>
      <c r="S3690" s="752"/>
    </row>
    <row r="3691" spans="1:19" s="753" customFormat="1" ht="24" customHeight="1">
      <c r="A3691" s="734"/>
      <c r="B3691" s="747" t="s">
        <v>469</v>
      </c>
      <c r="C3691" s="735" t="s">
        <v>486</v>
      </c>
      <c r="D3691" s="735"/>
      <c r="E3691" s="737">
        <f t="shared" si="833"/>
        <v>1</v>
      </c>
      <c r="F3691" s="738" t="s">
        <v>363</v>
      </c>
      <c r="G3691" s="739">
        <v>552</v>
      </c>
      <c r="H3691" s="748">
        <f t="shared" si="832"/>
        <v>552</v>
      </c>
      <c r="I3691" s="741">
        <v>25</v>
      </c>
      <c r="J3691" s="749">
        <f t="shared" si="830"/>
        <v>25</v>
      </c>
      <c r="K3691" s="739">
        <f t="shared" si="831"/>
        <v>577</v>
      </c>
      <c r="L3691" s="1079"/>
      <c r="M3691" s="752"/>
      <c r="N3691" s="744">
        <f t="shared" si="834"/>
        <v>1</v>
      </c>
      <c r="O3691" s="745">
        <v>0</v>
      </c>
      <c r="P3691" s="737">
        <v>1</v>
      </c>
      <c r="Q3691" s="752"/>
      <c r="R3691" s="752"/>
      <c r="S3691" s="752"/>
    </row>
    <row r="3692" spans="1:19" s="753" customFormat="1" ht="24" customHeight="1">
      <c r="A3692" s="734"/>
      <c r="B3692" s="747" t="s">
        <v>484</v>
      </c>
      <c r="C3692" s="735" t="s">
        <v>485</v>
      </c>
      <c r="D3692" s="735"/>
      <c r="E3692" s="737">
        <f t="shared" si="833"/>
        <v>1</v>
      </c>
      <c r="F3692" s="738" t="s">
        <v>363</v>
      </c>
      <c r="G3692" s="739">
        <v>285</v>
      </c>
      <c r="H3692" s="748">
        <f t="shared" si="832"/>
        <v>285</v>
      </c>
      <c r="I3692" s="741">
        <v>75</v>
      </c>
      <c r="J3692" s="749">
        <f t="shared" si="830"/>
        <v>75</v>
      </c>
      <c r="K3692" s="739">
        <f t="shared" si="831"/>
        <v>360</v>
      </c>
      <c r="L3692" s="1093"/>
      <c r="M3692" s="752"/>
      <c r="N3692" s="744">
        <f t="shared" si="834"/>
        <v>1</v>
      </c>
      <c r="O3692" s="745">
        <v>0</v>
      </c>
      <c r="P3692" s="737">
        <v>1</v>
      </c>
      <c r="Q3692" s="752"/>
      <c r="R3692" s="752"/>
      <c r="S3692" s="752"/>
    </row>
    <row r="3693" spans="1:19" s="753" customFormat="1" ht="24" customHeight="1">
      <c r="A3693" s="734"/>
      <c r="B3693" s="747"/>
      <c r="C3693" s="735"/>
      <c r="D3693" s="735"/>
      <c r="E3693" s="737">
        <f t="shared" si="833"/>
        <v>0</v>
      </c>
      <c r="F3693" s="738"/>
      <c r="G3693" s="739">
        <v>0</v>
      </c>
      <c r="H3693" s="748">
        <f t="shared" si="832"/>
        <v>0</v>
      </c>
      <c r="I3693" s="741">
        <v>0</v>
      </c>
      <c r="J3693" s="749">
        <f t="shared" si="830"/>
        <v>0</v>
      </c>
      <c r="K3693" s="739">
        <f t="shared" si="831"/>
        <v>0</v>
      </c>
      <c r="L3693" s="1079"/>
      <c r="M3693" s="752"/>
      <c r="N3693" s="744">
        <f t="shared" si="834"/>
        <v>0</v>
      </c>
      <c r="O3693" s="745">
        <v>0</v>
      </c>
      <c r="P3693" s="737">
        <v>0</v>
      </c>
      <c r="Q3693" s="752"/>
      <c r="R3693" s="752"/>
      <c r="S3693" s="752"/>
    </row>
    <row r="3694" spans="1:19" s="753" customFormat="1" ht="24" customHeight="1">
      <c r="A3694" s="734"/>
      <c r="B3694" s="747" t="s">
        <v>469</v>
      </c>
      <c r="C3694" s="735" t="s">
        <v>507</v>
      </c>
      <c r="D3694" s="735"/>
      <c r="E3694" s="737">
        <f t="shared" si="833"/>
        <v>1</v>
      </c>
      <c r="F3694" s="738" t="s">
        <v>363</v>
      </c>
      <c r="G3694" s="739">
        <v>1650</v>
      </c>
      <c r="H3694" s="748">
        <f t="shared" si="832"/>
        <v>1650</v>
      </c>
      <c r="I3694" s="741">
        <v>70</v>
      </c>
      <c r="J3694" s="749">
        <f t="shared" si="830"/>
        <v>70</v>
      </c>
      <c r="K3694" s="739">
        <f t="shared" si="831"/>
        <v>1720</v>
      </c>
      <c r="L3694" s="1079"/>
      <c r="M3694" s="752"/>
      <c r="N3694" s="744">
        <f t="shared" si="834"/>
        <v>1</v>
      </c>
      <c r="O3694" s="745">
        <v>0</v>
      </c>
      <c r="P3694" s="737">
        <v>1</v>
      </c>
      <c r="Q3694" s="752"/>
      <c r="R3694" s="752"/>
      <c r="S3694" s="752"/>
    </row>
    <row r="3695" spans="1:19" s="753" customFormat="1" ht="24" customHeight="1">
      <c r="A3695" s="734"/>
      <c r="B3695" s="747" t="s">
        <v>469</v>
      </c>
      <c r="C3695" s="735" t="s">
        <v>525</v>
      </c>
      <c r="D3695" s="735"/>
      <c r="E3695" s="737">
        <f t="shared" si="833"/>
        <v>2</v>
      </c>
      <c r="F3695" s="738" t="s">
        <v>363</v>
      </c>
      <c r="G3695" s="739">
        <v>4160</v>
      </c>
      <c r="H3695" s="748">
        <f t="shared" si="832"/>
        <v>8320</v>
      </c>
      <c r="I3695" s="741">
        <v>105</v>
      </c>
      <c r="J3695" s="749">
        <f t="shared" ref="J3695:J3759" si="835">SUM(E3695*I3695)</f>
        <v>210</v>
      </c>
      <c r="K3695" s="739">
        <f t="shared" si="831"/>
        <v>8530</v>
      </c>
      <c r="L3695" s="1079"/>
      <c r="M3695" s="752"/>
      <c r="N3695" s="744">
        <f t="shared" si="834"/>
        <v>2</v>
      </c>
      <c r="O3695" s="745">
        <v>0</v>
      </c>
      <c r="P3695" s="737">
        <v>2</v>
      </c>
      <c r="Q3695" s="752"/>
      <c r="R3695" s="752"/>
      <c r="S3695" s="752"/>
    </row>
    <row r="3696" spans="1:19" s="753" customFormat="1" ht="24" customHeight="1">
      <c r="A3696" s="734"/>
      <c r="B3696" s="747" t="s">
        <v>469</v>
      </c>
      <c r="C3696" s="735" t="s">
        <v>526</v>
      </c>
      <c r="D3696" s="735"/>
      <c r="E3696" s="737">
        <f t="shared" si="833"/>
        <v>1</v>
      </c>
      <c r="F3696" s="738" t="s">
        <v>363</v>
      </c>
      <c r="G3696" s="739">
        <v>2533.5</v>
      </c>
      <c r="H3696" s="748">
        <f t="shared" si="832"/>
        <v>2533.5</v>
      </c>
      <c r="I3696" s="741">
        <v>105</v>
      </c>
      <c r="J3696" s="749">
        <f t="shared" si="835"/>
        <v>105</v>
      </c>
      <c r="K3696" s="739">
        <f t="shared" si="831"/>
        <v>2638.5</v>
      </c>
      <c r="L3696" s="1079"/>
      <c r="M3696" s="752"/>
      <c r="N3696" s="744">
        <f t="shared" si="834"/>
        <v>1</v>
      </c>
      <c r="O3696" s="745">
        <v>0</v>
      </c>
      <c r="P3696" s="737">
        <v>1</v>
      </c>
      <c r="Q3696" s="752"/>
      <c r="R3696" s="752"/>
      <c r="S3696" s="752"/>
    </row>
    <row r="3697" spans="1:19" s="753" customFormat="1" ht="24" customHeight="1">
      <c r="A3697" s="734"/>
      <c r="B3697" s="747"/>
      <c r="C3697" s="735"/>
      <c r="D3697" s="735"/>
      <c r="E3697" s="737">
        <f t="shared" si="833"/>
        <v>0</v>
      </c>
      <c r="F3697" s="738"/>
      <c r="G3697" s="739">
        <v>0</v>
      </c>
      <c r="H3697" s="748">
        <f t="shared" si="832"/>
        <v>0</v>
      </c>
      <c r="I3697" s="741">
        <v>0</v>
      </c>
      <c r="J3697" s="749">
        <f t="shared" si="835"/>
        <v>0</v>
      </c>
      <c r="K3697" s="739">
        <f t="shared" si="831"/>
        <v>0</v>
      </c>
      <c r="L3697" s="1079"/>
      <c r="M3697" s="752"/>
      <c r="N3697" s="744">
        <f t="shared" si="834"/>
        <v>0</v>
      </c>
      <c r="O3697" s="745">
        <v>0</v>
      </c>
      <c r="P3697" s="737">
        <v>0</v>
      </c>
      <c r="Q3697" s="752"/>
      <c r="R3697" s="752"/>
      <c r="S3697" s="752"/>
    </row>
    <row r="3698" spans="1:19" s="753" customFormat="1" ht="24" customHeight="1">
      <c r="A3698" s="734"/>
      <c r="B3698" s="747" t="s">
        <v>469</v>
      </c>
      <c r="C3698" s="735" t="s">
        <v>527</v>
      </c>
      <c r="D3698" s="735"/>
      <c r="E3698" s="737">
        <f t="shared" si="833"/>
        <v>1</v>
      </c>
      <c r="F3698" s="738" t="s">
        <v>363</v>
      </c>
      <c r="G3698" s="739">
        <v>2855</v>
      </c>
      <c r="H3698" s="748">
        <f t="shared" si="832"/>
        <v>2855</v>
      </c>
      <c r="I3698" s="741">
        <v>1432</v>
      </c>
      <c r="J3698" s="749">
        <f t="shared" si="835"/>
        <v>1432</v>
      </c>
      <c r="K3698" s="739">
        <f t="shared" si="831"/>
        <v>4287</v>
      </c>
      <c r="L3698" s="1079"/>
      <c r="M3698" s="752"/>
      <c r="N3698" s="744">
        <f t="shared" si="834"/>
        <v>1</v>
      </c>
      <c r="O3698" s="745">
        <v>0</v>
      </c>
      <c r="P3698" s="737">
        <v>1</v>
      </c>
      <c r="Q3698" s="752"/>
      <c r="R3698" s="752"/>
      <c r="S3698" s="752"/>
    </row>
    <row r="3699" spans="1:19" s="682" customFormat="1" ht="24" customHeight="1">
      <c r="A3699" s="734"/>
      <c r="B3699" s="747" t="s">
        <v>469</v>
      </c>
      <c r="C3699" s="735" t="s">
        <v>528</v>
      </c>
      <c r="D3699" s="735"/>
      <c r="E3699" s="737">
        <f t="shared" si="833"/>
        <v>0</v>
      </c>
      <c r="F3699" s="738" t="s">
        <v>363</v>
      </c>
      <c r="G3699" s="739">
        <v>9750</v>
      </c>
      <c r="H3699" s="748">
        <f t="shared" si="832"/>
        <v>0</v>
      </c>
      <c r="I3699" s="741">
        <v>105</v>
      </c>
      <c r="J3699" s="749">
        <f t="shared" si="835"/>
        <v>0</v>
      </c>
      <c r="K3699" s="739">
        <f t="shared" si="831"/>
        <v>0</v>
      </c>
      <c r="L3699" s="1079"/>
      <c r="M3699" s="679"/>
      <c r="N3699" s="744">
        <f t="shared" si="834"/>
        <v>0</v>
      </c>
      <c r="O3699" s="745">
        <v>0</v>
      </c>
      <c r="P3699" s="737">
        <v>0</v>
      </c>
      <c r="Q3699" s="679"/>
      <c r="R3699" s="679"/>
      <c r="S3699" s="679"/>
    </row>
    <row r="3700" spans="1:19" s="682" customFormat="1" ht="24" customHeight="1">
      <c r="A3700" s="734"/>
      <c r="B3700" s="747" t="s">
        <v>469</v>
      </c>
      <c r="C3700" s="735" t="s">
        <v>529</v>
      </c>
      <c r="D3700" s="735"/>
      <c r="E3700" s="737">
        <f t="shared" si="833"/>
        <v>0</v>
      </c>
      <c r="F3700" s="738" t="s">
        <v>363</v>
      </c>
      <c r="G3700" s="739">
        <v>5200</v>
      </c>
      <c r="H3700" s="748">
        <f t="shared" si="832"/>
        <v>0</v>
      </c>
      <c r="I3700" s="741">
        <v>70</v>
      </c>
      <c r="J3700" s="749">
        <f t="shared" si="835"/>
        <v>0</v>
      </c>
      <c r="K3700" s="739">
        <f t="shared" si="831"/>
        <v>0</v>
      </c>
      <c r="L3700" s="1079"/>
      <c r="M3700" s="679"/>
      <c r="N3700" s="744">
        <f t="shared" si="834"/>
        <v>0</v>
      </c>
      <c r="O3700" s="745">
        <v>0</v>
      </c>
      <c r="P3700" s="737">
        <v>0</v>
      </c>
      <c r="Q3700" s="679"/>
      <c r="R3700" s="679"/>
      <c r="S3700" s="679"/>
    </row>
    <row r="3701" spans="1:19" s="682" customFormat="1" ht="24" customHeight="1">
      <c r="A3701" s="734"/>
      <c r="B3701" s="747" t="s">
        <v>469</v>
      </c>
      <c r="C3701" s="735" t="s">
        <v>519</v>
      </c>
      <c r="D3701" s="735"/>
      <c r="E3701" s="737">
        <f t="shared" si="833"/>
        <v>1</v>
      </c>
      <c r="F3701" s="738" t="s">
        <v>363</v>
      </c>
      <c r="G3701" s="739">
        <v>800</v>
      </c>
      <c r="H3701" s="748">
        <f t="shared" si="832"/>
        <v>800</v>
      </c>
      <c r="I3701" s="741">
        <v>70</v>
      </c>
      <c r="J3701" s="749">
        <f t="shared" si="835"/>
        <v>70</v>
      </c>
      <c r="K3701" s="739">
        <f t="shared" si="831"/>
        <v>870</v>
      </c>
      <c r="L3701" s="1079"/>
      <c r="M3701" s="679"/>
      <c r="N3701" s="744">
        <f t="shared" si="834"/>
        <v>1</v>
      </c>
      <c r="O3701" s="745">
        <v>0</v>
      </c>
      <c r="P3701" s="737">
        <v>1</v>
      </c>
      <c r="Q3701" s="679"/>
      <c r="R3701" s="679"/>
      <c r="S3701" s="679"/>
    </row>
    <row r="3702" spans="1:19" s="682" customFormat="1" ht="24" customHeight="1">
      <c r="A3702" s="734"/>
      <c r="B3702" s="747" t="s">
        <v>469</v>
      </c>
      <c r="C3702" s="735" t="s">
        <v>520</v>
      </c>
      <c r="D3702" s="735"/>
      <c r="E3702" s="737">
        <f t="shared" si="833"/>
        <v>0</v>
      </c>
      <c r="F3702" s="738" t="s">
        <v>361</v>
      </c>
      <c r="G3702" s="739">
        <v>190</v>
      </c>
      <c r="H3702" s="748">
        <f t="shared" si="832"/>
        <v>0</v>
      </c>
      <c r="I3702" s="741">
        <v>75</v>
      </c>
      <c r="J3702" s="749">
        <f t="shared" si="835"/>
        <v>0</v>
      </c>
      <c r="K3702" s="739">
        <f t="shared" si="831"/>
        <v>0</v>
      </c>
      <c r="L3702" s="1079"/>
      <c r="M3702" s="679"/>
      <c r="N3702" s="744">
        <f t="shared" si="834"/>
        <v>0</v>
      </c>
      <c r="O3702" s="745">
        <v>0</v>
      </c>
      <c r="P3702" s="737">
        <v>0</v>
      </c>
      <c r="Q3702" s="679"/>
      <c r="R3702" s="679"/>
      <c r="S3702" s="679"/>
    </row>
    <row r="3703" spans="1:19" s="753" customFormat="1" ht="24" customHeight="1">
      <c r="A3703" s="734"/>
      <c r="B3703" s="747"/>
      <c r="C3703" s="735"/>
      <c r="D3703" s="735"/>
      <c r="E3703" s="737">
        <f t="shared" si="833"/>
        <v>0</v>
      </c>
      <c r="F3703" s="738"/>
      <c r="G3703" s="739">
        <v>0</v>
      </c>
      <c r="H3703" s="748">
        <f t="shared" si="832"/>
        <v>0</v>
      </c>
      <c r="I3703" s="741">
        <v>0</v>
      </c>
      <c r="J3703" s="749">
        <f t="shared" si="835"/>
        <v>0</v>
      </c>
      <c r="K3703" s="739">
        <f t="shared" si="831"/>
        <v>0</v>
      </c>
      <c r="L3703" s="1079"/>
      <c r="M3703" s="752"/>
      <c r="N3703" s="758">
        <f t="shared" si="834"/>
        <v>0</v>
      </c>
      <c r="O3703" s="745">
        <v>0</v>
      </c>
      <c r="P3703" s="759"/>
      <c r="Q3703" s="752"/>
      <c r="R3703" s="752"/>
      <c r="S3703" s="752"/>
    </row>
    <row r="3704" spans="1:19" s="753" customFormat="1" ht="24" customHeight="1">
      <c r="A3704" s="734"/>
      <c r="B3704" s="735" t="s">
        <v>1075</v>
      </c>
      <c r="C3704" s="736"/>
      <c r="D3704" s="907"/>
      <c r="E3704" s="737">
        <f t="shared" si="833"/>
        <v>0</v>
      </c>
      <c r="F3704" s="738"/>
      <c r="G3704" s="739">
        <v>0</v>
      </c>
      <c r="H3704" s="748">
        <f t="shared" si="832"/>
        <v>0</v>
      </c>
      <c r="I3704" s="741">
        <v>0</v>
      </c>
      <c r="J3704" s="749">
        <f t="shared" si="835"/>
        <v>0</v>
      </c>
      <c r="K3704" s="739">
        <f t="shared" si="831"/>
        <v>0</v>
      </c>
      <c r="L3704" s="1079"/>
      <c r="M3704" s="752"/>
      <c r="N3704" s="744">
        <f t="shared" si="834"/>
        <v>0</v>
      </c>
      <c r="O3704" s="745">
        <v>0</v>
      </c>
      <c r="P3704" s="737">
        <v>0</v>
      </c>
      <c r="Q3704" s="752"/>
      <c r="R3704" s="752"/>
      <c r="S3704" s="752"/>
    </row>
    <row r="3705" spans="1:19" s="753" customFormat="1" ht="24" customHeight="1">
      <c r="A3705" s="734"/>
      <c r="B3705" s="747" t="s">
        <v>469</v>
      </c>
      <c r="C3705" s="735" t="s">
        <v>497</v>
      </c>
      <c r="D3705" s="735"/>
      <c r="E3705" s="737">
        <f t="shared" si="833"/>
        <v>4</v>
      </c>
      <c r="F3705" s="738" t="s">
        <v>363</v>
      </c>
      <c r="G3705" s="739">
        <v>1540</v>
      </c>
      <c r="H3705" s="748">
        <f t="shared" si="832"/>
        <v>6160</v>
      </c>
      <c r="I3705" s="741">
        <v>450</v>
      </c>
      <c r="J3705" s="749">
        <f t="shared" si="835"/>
        <v>1800</v>
      </c>
      <c r="K3705" s="739">
        <f t="shared" si="831"/>
        <v>7960</v>
      </c>
      <c r="L3705" s="1079"/>
      <c r="M3705" s="752"/>
      <c r="N3705" s="744">
        <f t="shared" si="834"/>
        <v>4</v>
      </c>
      <c r="O3705" s="745">
        <v>0</v>
      </c>
      <c r="P3705" s="737">
        <v>4</v>
      </c>
      <c r="Q3705" s="752"/>
      <c r="R3705" s="752"/>
      <c r="S3705" s="752"/>
    </row>
    <row r="3706" spans="1:19" s="753" customFormat="1" ht="24" customHeight="1">
      <c r="A3706" s="734"/>
      <c r="B3706" s="747" t="s">
        <v>469</v>
      </c>
      <c r="C3706" s="735" t="s">
        <v>498</v>
      </c>
      <c r="D3706" s="735"/>
      <c r="E3706" s="737">
        <f t="shared" si="833"/>
        <v>4</v>
      </c>
      <c r="F3706" s="738" t="s">
        <v>363</v>
      </c>
      <c r="G3706" s="739">
        <v>6640</v>
      </c>
      <c r="H3706" s="748">
        <f t="shared" si="832"/>
        <v>26560</v>
      </c>
      <c r="I3706" s="741">
        <v>200</v>
      </c>
      <c r="J3706" s="749">
        <f t="shared" si="835"/>
        <v>800</v>
      </c>
      <c r="K3706" s="739">
        <f t="shared" si="831"/>
        <v>27360</v>
      </c>
      <c r="L3706" s="1079"/>
      <c r="M3706" s="752"/>
      <c r="N3706" s="744">
        <f t="shared" si="834"/>
        <v>4</v>
      </c>
      <c r="O3706" s="745">
        <v>0</v>
      </c>
      <c r="P3706" s="737">
        <v>4</v>
      </c>
      <c r="Q3706" s="752"/>
      <c r="R3706" s="752"/>
      <c r="S3706" s="752"/>
    </row>
    <row r="3707" spans="1:19" s="753" customFormat="1" ht="24" customHeight="1">
      <c r="A3707" s="734"/>
      <c r="B3707" s="747" t="s">
        <v>469</v>
      </c>
      <c r="C3707" s="735" t="s">
        <v>496</v>
      </c>
      <c r="D3707" s="735"/>
      <c r="E3707" s="737">
        <f t="shared" si="833"/>
        <v>4</v>
      </c>
      <c r="F3707" s="738" t="s">
        <v>363</v>
      </c>
      <c r="G3707" s="739">
        <v>336</v>
      </c>
      <c r="H3707" s="748">
        <f t="shared" si="832"/>
        <v>1344</v>
      </c>
      <c r="I3707" s="741">
        <v>0</v>
      </c>
      <c r="J3707" s="749">
        <f t="shared" si="835"/>
        <v>0</v>
      </c>
      <c r="K3707" s="739">
        <f t="shared" si="831"/>
        <v>1344</v>
      </c>
      <c r="L3707" s="1079"/>
      <c r="M3707" s="752"/>
      <c r="N3707" s="744">
        <f t="shared" si="834"/>
        <v>4</v>
      </c>
      <c r="O3707" s="745">
        <v>0</v>
      </c>
      <c r="P3707" s="737">
        <v>4</v>
      </c>
      <c r="Q3707" s="752"/>
      <c r="R3707" s="752"/>
      <c r="S3707" s="752"/>
    </row>
    <row r="3708" spans="1:19" s="753" customFormat="1" ht="24" customHeight="1">
      <c r="A3708" s="734"/>
      <c r="B3708" s="747" t="s">
        <v>469</v>
      </c>
      <c r="C3708" s="735" t="s">
        <v>490</v>
      </c>
      <c r="D3708" s="735"/>
      <c r="E3708" s="737">
        <f t="shared" si="833"/>
        <v>4</v>
      </c>
      <c r="F3708" s="738" t="s">
        <v>363</v>
      </c>
      <c r="G3708" s="739">
        <v>736</v>
      </c>
      <c r="H3708" s="748">
        <f t="shared" si="832"/>
        <v>2944</v>
      </c>
      <c r="I3708" s="741">
        <v>0</v>
      </c>
      <c r="J3708" s="749">
        <f t="shared" si="835"/>
        <v>0</v>
      </c>
      <c r="K3708" s="739">
        <f t="shared" si="831"/>
        <v>2944</v>
      </c>
      <c r="L3708" s="1079"/>
      <c r="M3708" s="752"/>
      <c r="N3708" s="744">
        <f t="shared" si="834"/>
        <v>4</v>
      </c>
      <c r="O3708" s="745">
        <v>0</v>
      </c>
      <c r="P3708" s="737">
        <v>4</v>
      </c>
      <c r="Q3708" s="752"/>
      <c r="R3708" s="752"/>
      <c r="S3708" s="752"/>
    </row>
    <row r="3709" spans="1:19" s="753" customFormat="1" ht="24" customHeight="1">
      <c r="A3709" s="734"/>
      <c r="B3709" s="747" t="s">
        <v>469</v>
      </c>
      <c r="C3709" s="735" t="s">
        <v>478</v>
      </c>
      <c r="D3709" s="735"/>
      <c r="E3709" s="737">
        <f t="shared" si="833"/>
        <v>4</v>
      </c>
      <c r="F3709" s="738" t="s">
        <v>363</v>
      </c>
      <c r="G3709" s="739">
        <v>176</v>
      </c>
      <c r="H3709" s="748">
        <f t="shared" si="832"/>
        <v>704</v>
      </c>
      <c r="I3709" s="741">
        <v>0</v>
      </c>
      <c r="J3709" s="749">
        <f t="shared" si="835"/>
        <v>0</v>
      </c>
      <c r="K3709" s="739">
        <f t="shared" si="831"/>
        <v>704</v>
      </c>
      <c r="L3709" s="1079"/>
      <c r="M3709" s="752"/>
      <c r="N3709" s="744">
        <f t="shared" si="834"/>
        <v>4</v>
      </c>
      <c r="O3709" s="745">
        <v>0</v>
      </c>
      <c r="P3709" s="737">
        <v>4</v>
      </c>
      <c r="Q3709" s="752"/>
      <c r="R3709" s="752"/>
      <c r="S3709" s="752"/>
    </row>
    <row r="3710" spans="1:19" s="753" customFormat="1" ht="24" customHeight="1">
      <c r="A3710" s="734"/>
      <c r="B3710" s="747" t="s">
        <v>469</v>
      </c>
      <c r="C3710" s="735" t="s">
        <v>499</v>
      </c>
      <c r="D3710" s="735"/>
      <c r="E3710" s="737">
        <f t="shared" si="833"/>
        <v>4</v>
      </c>
      <c r="F3710" s="738" t="s">
        <v>363</v>
      </c>
      <c r="G3710" s="739">
        <v>216</v>
      </c>
      <c r="H3710" s="748">
        <f t="shared" si="832"/>
        <v>864</v>
      </c>
      <c r="I3710" s="741">
        <v>35</v>
      </c>
      <c r="J3710" s="749">
        <f t="shared" si="835"/>
        <v>140</v>
      </c>
      <c r="K3710" s="739">
        <f t="shared" si="831"/>
        <v>1004</v>
      </c>
      <c r="L3710" s="1079"/>
      <c r="M3710" s="752"/>
      <c r="N3710" s="744">
        <f t="shared" si="834"/>
        <v>4</v>
      </c>
      <c r="O3710" s="745">
        <v>0</v>
      </c>
      <c r="P3710" s="737">
        <v>4</v>
      </c>
      <c r="Q3710" s="752"/>
      <c r="R3710" s="752"/>
      <c r="S3710" s="752"/>
    </row>
    <row r="3711" spans="1:19" s="753" customFormat="1" ht="24" customHeight="1">
      <c r="A3711" s="734"/>
      <c r="B3711" s="750"/>
      <c r="C3711" s="736"/>
      <c r="D3711" s="907"/>
      <c r="E3711" s="737">
        <f t="shared" si="833"/>
        <v>0</v>
      </c>
      <c r="F3711" s="738"/>
      <c r="G3711" s="739">
        <v>0</v>
      </c>
      <c r="H3711" s="748">
        <f t="shared" si="832"/>
        <v>0</v>
      </c>
      <c r="I3711" s="741">
        <v>0</v>
      </c>
      <c r="J3711" s="749">
        <f t="shared" si="835"/>
        <v>0</v>
      </c>
      <c r="K3711" s="739">
        <f t="shared" si="831"/>
        <v>0</v>
      </c>
      <c r="L3711" s="1079"/>
      <c r="M3711" s="752"/>
      <c r="N3711" s="744">
        <f t="shared" si="834"/>
        <v>0</v>
      </c>
      <c r="O3711" s="745">
        <v>0</v>
      </c>
      <c r="P3711" s="737">
        <v>0</v>
      </c>
      <c r="Q3711" s="752"/>
      <c r="R3711" s="752"/>
      <c r="S3711" s="752"/>
    </row>
    <row r="3712" spans="1:19" s="753" customFormat="1" ht="24" customHeight="1">
      <c r="A3712" s="734"/>
      <c r="B3712" s="747" t="s">
        <v>469</v>
      </c>
      <c r="C3712" s="735" t="s">
        <v>492</v>
      </c>
      <c r="D3712" s="735"/>
      <c r="E3712" s="737">
        <f t="shared" si="833"/>
        <v>5</v>
      </c>
      <c r="F3712" s="738" t="s">
        <v>363</v>
      </c>
      <c r="G3712" s="739">
        <v>9375</v>
      </c>
      <c r="H3712" s="748">
        <f t="shared" si="832"/>
        <v>46875</v>
      </c>
      <c r="I3712" s="741">
        <v>450</v>
      </c>
      <c r="J3712" s="749">
        <f t="shared" si="835"/>
        <v>2250</v>
      </c>
      <c r="K3712" s="739">
        <f t="shared" si="831"/>
        <v>49125</v>
      </c>
      <c r="L3712" s="1079"/>
      <c r="M3712" s="752"/>
      <c r="N3712" s="744">
        <f t="shared" si="834"/>
        <v>5</v>
      </c>
      <c r="O3712" s="745">
        <v>0</v>
      </c>
      <c r="P3712" s="737">
        <v>5</v>
      </c>
      <c r="Q3712" s="752"/>
      <c r="R3712" s="752"/>
      <c r="S3712" s="752"/>
    </row>
    <row r="3713" spans="1:19" s="753" customFormat="1" ht="24" customHeight="1">
      <c r="A3713" s="734"/>
      <c r="B3713" s="747" t="s">
        <v>469</v>
      </c>
      <c r="C3713" s="735" t="s">
        <v>500</v>
      </c>
      <c r="D3713" s="735"/>
      <c r="E3713" s="737">
        <f t="shared" si="833"/>
        <v>5</v>
      </c>
      <c r="F3713" s="738" t="s">
        <v>363</v>
      </c>
      <c r="G3713" s="739">
        <v>12752</v>
      </c>
      <c r="H3713" s="748">
        <f t="shared" si="832"/>
        <v>63760</v>
      </c>
      <c r="I3713" s="741">
        <v>0</v>
      </c>
      <c r="J3713" s="749">
        <f t="shared" si="835"/>
        <v>0</v>
      </c>
      <c r="K3713" s="739">
        <f t="shared" si="831"/>
        <v>63760</v>
      </c>
      <c r="L3713" s="1079"/>
      <c r="M3713" s="752"/>
      <c r="N3713" s="744">
        <f t="shared" si="834"/>
        <v>5</v>
      </c>
      <c r="O3713" s="745">
        <v>0</v>
      </c>
      <c r="P3713" s="737">
        <v>5</v>
      </c>
      <c r="Q3713" s="752"/>
      <c r="R3713" s="752"/>
      <c r="S3713" s="752"/>
    </row>
    <row r="3714" spans="1:19" s="753" customFormat="1" ht="24" customHeight="1">
      <c r="A3714" s="734"/>
      <c r="B3714" s="747" t="s">
        <v>469</v>
      </c>
      <c r="C3714" s="735" t="s">
        <v>501</v>
      </c>
      <c r="D3714" s="735"/>
      <c r="E3714" s="737">
        <v>0</v>
      </c>
      <c r="F3714" s="738" t="s">
        <v>363</v>
      </c>
      <c r="G3714" s="739">
        <v>1950</v>
      </c>
      <c r="H3714" s="748">
        <f t="shared" si="832"/>
        <v>0</v>
      </c>
      <c r="I3714" s="741">
        <v>35</v>
      </c>
      <c r="J3714" s="749">
        <f t="shared" si="835"/>
        <v>0</v>
      </c>
      <c r="K3714" s="739">
        <f t="shared" si="831"/>
        <v>0</v>
      </c>
      <c r="L3714" s="1079"/>
      <c r="M3714" s="752"/>
      <c r="N3714" s="744">
        <f t="shared" si="834"/>
        <v>5</v>
      </c>
      <c r="O3714" s="745">
        <v>0</v>
      </c>
      <c r="P3714" s="737">
        <v>5</v>
      </c>
      <c r="Q3714" s="752"/>
      <c r="R3714" s="752"/>
      <c r="S3714" s="752"/>
    </row>
    <row r="3715" spans="1:19" s="753" customFormat="1" ht="24" customHeight="1">
      <c r="A3715" s="734"/>
      <c r="B3715" s="747" t="s">
        <v>469</v>
      </c>
      <c r="C3715" s="735" t="s">
        <v>502</v>
      </c>
      <c r="D3715" s="735"/>
      <c r="E3715" s="737">
        <f t="shared" si="833"/>
        <v>5</v>
      </c>
      <c r="F3715" s="738" t="s">
        <v>363</v>
      </c>
      <c r="G3715" s="739">
        <v>216</v>
      </c>
      <c r="H3715" s="748">
        <f t="shared" si="832"/>
        <v>1080</v>
      </c>
      <c r="I3715" s="741">
        <v>35</v>
      </c>
      <c r="J3715" s="749">
        <f t="shared" si="835"/>
        <v>175</v>
      </c>
      <c r="K3715" s="739">
        <f t="shared" si="831"/>
        <v>1255</v>
      </c>
      <c r="L3715" s="1079"/>
      <c r="M3715" s="752"/>
      <c r="N3715" s="744">
        <f t="shared" si="834"/>
        <v>5</v>
      </c>
      <c r="O3715" s="745">
        <v>0</v>
      </c>
      <c r="P3715" s="737">
        <v>5</v>
      </c>
      <c r="Q3715" s="752"/>
      <c r="R3715" s="752"/>
      <c r="S3715" s="752"/>
    </row>
    <row r="3716" spans="1:19" s="753" customFormat="1" ht="24" customHeight="1">
      <c r="A3716" s="734"/>
      <c r="B3716" s="747"/>
      <c r="C3716" s="735"/>
      <c r="D3716" s="907"/>
      <c r="E3716" s="737">
        <f t="shared" si="833"/>
        <v>0</v>
      </c>
      <c r="F3716" s="738"/>
      <c r="G3716" s="739">
        <v>0</v>
      </c>
      <c r="H3716" s="748">
        <f t="shared" si="832"/>
        <v>0</v>
      </c>
      <c r="I3716" s="741">
        <v>0</v>
      </c>
      <c r="J3716" s="749">
        <f t="shared" si="835"/>
        <v>0</v>
      </c>
      <c r="K3716" s="739">
        <f t="shared" si="831"/>
        <v>0</v>
      </c>
      <c r="L3716" s="1079"/>
      <c r="M3716" s="752"/>
      <c r="N3716" s="744">
        <f t="shared" si="834"/>
        <v>0</v>
      </c>
      <c r="O3716" s="745">
        <v>0</v>
      </c>
      <c r="P3716" s="737">
        <v>0</v>
      </c>
      <c r="Q3716" s="752"/>
      <c r="R3716" s="752"/>
      <c r="S3716" s="752"/>
    </row>
    <row r="3717" spans="1:19" s="753" customFormat="1" ht="24" customHeight="1">
      <c r="A3717" s="734"/>
      <c r="B3717" s="747" t="s">
        <v>469</v>
      </c>
      <c r="C3717" s="735" t="s">
        <v>503</v>
      </c>
      <c r="D3717" s="735"/>
      <c r="E3717" s="737">
        <f t="shared" si="833"/>
        <v>8</v>
      </c>
      <c r="F3717" s="738" t="s">
        <v>363</v>
      </c>
      <c r="G3717" s="739">
        <v>3920</v>
      </c>
      <c r="H3717" s="748">
        <f t="shared" si="832"/>
        <v>31360</v>
      </c>
      <c r="I3717" s="741">
        <v>450</v>
      </c>
      <c r="J3717" s="749">
        <f t="shared" si="835"/>
        <v>3600</v>
      </c>
      <c r="K3717" s="739">
        <f t="shared" si="831"/>
        <v>34960</v>
      </c>
      <c r="L3717" s="1079"/>
      <c r="M3717" s="752"/>
      <c r="N3717" s="744">
        <f t="shared" si="834"/>
        <v>8</v>
      </c>
      <c r="O3717" s="745">
        <v>0</v>
      </c>
      <c r="P3717" s="737">
        <v>8</v>
      </c>
      <c r="Q3717" s="752"/>
      <c r="R3717" s="752"/>
      <c r="S3717" s="752"/>
    </row>
    <row r="3718" spans="1:19" s="753" customFormat="1" ht="24" customHeight="1">
      <c r="A3718" s="734"/>
      <c r="B3718" s="747" t="s">
        <v>469</v>
      </c>
      <c r="C3718" s="735" t="s">
        <v>504</v>
      </c>
      <c r="D3718" s="735"/>
      <c r="E3718" s="737">
        <f t="shared" si="833"/>
        <v>8</v>
      </c>
      <c r="F3718" s="738" t="s">
        <v>363</v>
      </c>
      <c r="G3718" s="739">
        <v>12752</v>
      </c>
      <c r="H3718" s="748">
        <f t="shared" si="832"/>
        <v>102016</v>
      </c>
      <c r="I3718" s="741">
        <v>0</v>
      </c>
      <c r="J3718" s="749">
        <f t="shared" si="835"/>
        <v>0</v>
      </c>
      <c r="K3718" s="739">
        <f t="shared" si="831"/>
        <v>102016</v>
      </c>
      <c r="L3718" s="1079"/>
      <c r="M3718" s="752"/>
      <c r="N3718" s="744">
        <f t="shared" si="834"/>
        <v>8</v>
      </c>
      <c r="O3718" s="745">
        <v>0</v>
      </c>
      <c r="P3718" s="737">
        <v>8</v>
      </c>
      <c r="Q3718" s="752"/>
      <c r="R3718" s="752"/>
      <c r="S3718" s="752"/>
    </row>
    <row r="3719" spans="1:19" s="682" customFormat="1" ht="24" customHeight="1">
      <c r="A3719" s="734"/>
      <c r="B3719" s="747" t="s">
        <v>469</v>
      </c>
      <c r="C3719" s="735" t="s">
        <v>505</v>
      </c>
      <c r="D3719" s="735"/>
      <c r="E3719" s="737">
        <f t="shared" si="833"/>
        <v>6</v>
      </c>
      <c r="F3719" s="738" t="s">
        <v>363</v>
      </c>
      <c r="G3719" s="739">
        <v>2280</v>
      </c>
      <c r="H3719" s="748">
        <f t="shared" si="832"/>
        <v>13680</v>
      </c>
      <c r="I3719" s="741">
        <v>300</v>
      </c>
      <c r="J3719" s="749">
        <f t="shared" si="835"/>
        <v>1800</v>
      </c>
      <c r="K3719" s="739">
        <f t="shared" si="831"/>
        <v>15480</v>
      </c>
      <c r="L3719" s="1079"/>
      <c r="M3719" s="679"/>
      <c r="N3719" s="744">
        <f t="shared" si="834"/>
        <v>6</v>
      </c>
      <c r="O3719" s="745">
        <v>0</v>
      </c>
      <c r="P3719" s="737">
        <v>6</v>
      </c>
      <c r="Q3719" s="679"/>
      <c r="R3719" s="679"/>
      <c r="S3719" s="679"/>
    </row>
    <row r="3720" spans="1:19" s="682" customFormat="1" ht="24" customHeight="1">
      <c r="A3720" s="734"/>
      <c r="B3720" s="747" t="s">
        <v>469</v>
      </c>
      <c r="C3720" s="735" t="s">
        <v>506</v>
      </c>
      <c r="D3720" s="735"/>
      <c r="E3720" s="737">
        <f t="shared" si="833"/>
        <v>0</v>
      </c>
      <c r="F3720" s="738" t="s">
        <v>363</v>
      </c>
      <c r="G3720" s="739">
        <v>6592</v>
      </c>
      <c r="H3720" s="748">
        <f t="shared" si="832"/>
        <v>0</v>
      </c>
      <c r="I3720" s="741">
        <v>140</v>
      </c>
      <c r="J3720" s="749">
        <f t="shared" si="835"/>
        <v>0</v>
      </c>
      <c r="K3720" s="739">
        <f t="shared" si="831"/>
        <v>0</v>
      </c>
      <c r="L3720" s="1079"/>
      <c r="M3720" s="679"/>
      <c r="N3720" s="744">
        <f t="shared" si="834"/>
        <v>0</v>
      </c>
      <c r="O3720" s="745">
        <v>0</v>
      </c>
      <c r="P3720" s="737">
        <v>0</v>
      </c>
      <c r="Q3720" s="679"/>
      <c r="R3720" s="679"/>
      <c r="S3720" s="679"/>
    </row>
    <row r="3721" spans="1:19" s="753" customFormat="1" ht="24" customHeight="1">
      <c r="A3721" s="734"/>
      <c r="B3721" s="747" t="s">
        <v>484</v>
      </c>
      <c r="C3721" s="735" t="s">
        <v>485</v>
      </c>
      <c r="D3721" s="735"/>
      <c r="E3721" s="737">
        <f t="shared" si="833"/>
        <v>7</v>
      </c>
      <c r="F3721" s="738" t="s">
        <v>363</v>
      </c>
      <c r="G3721" s="739">
        <v>285</v>
      </c>
      <c r="H3721" s="748">
        <f t="shared" si="832"/>
        <v>1995</v>
      </c>
      <c r="I3721" s="741">
        <v>75</v>
      </c>
      <c r="J3721" s="749">
        <f t="shared" si="835"/>
        <v>525</v>
      </c>
      <c r="K3721" s="739">
        <f t="shared" si="831"/>
        <v>2520</v>
      </c>
      <c r="L3721" s="1093"/>
      <c r="M3721" s="752"/>
      <c r="N3721" s="744">
        <f t="shared" si="834"/>
        <v>7</v>
      </c>
      <c r="O3721" s="745">
        <v>0</v>
      </c>
      <c r="P3721" s="737">
        <v>7</v>
      </c>
      <c r="Q3721" s="752"/>
      <c r="R3721" s="752"/>
      <c r="S3721" s="752"/>
    </row>
    <row r="3722" spans="1:19" s="753" customFormat="1" ht="24" customHeight="1">
      <c r="A3722" s="734"/>
      <c r="B3722" s="747" t="s">
        <v>469</v>
      </c>
      <c r="C3722" s="735" t="s">
        <v>486</v>
      </c>
      <c r="D3722" s="735"/>
      <c r="E3722" s="737">
        <f t="shared" si="833"/>
        <v>1</v>
      </c>
      <c r="F3722" s="738" t="s">
        <v>363</v>
      </c>
      <c r="G3722" s="739">
        <v>552</v>
      </c>
      <c r="H3722" s="748">
        <f t="shared" si="832"/>
        <v>552</v>
      </c>
      <c r="I3722" s="741">
        <v>25</v>
      </c>
      <c r="J3722" s="749">
        <f t="shared" si="835"/>
        <v>25</v>
      </c>
      <c r="K3722" s="739">
        <f t="shared" ref="K3722:K3792" si="836">SUM(H3722+J3722)</f>
        <v>577</v>
      </c>
      <c r="L3722" s="1079"/>
      <c r="M3722" s="752"/>
      <c r="N3722" s="744">
        <f t="shared" si="834"/>
        <v>1</v>
      </c>
      <c r="O3722" s="745">
        <v>0</v>
      </c>
      <c r="P3722" s="737">
        <v>1</v>
      </c>
      <c r="Q3722" s="752"/>
      <c r="R3722" s="752"/>
      <c r="S3722" s="752"/>
    </row>
    <row r="3723" spans="1:19" s="753" customFormat="1" ht="24" customHeight="1">
      <c r="A3723" s="734"/>
      <c r="B3723" s="747" t="s">
        <v>469</v>
      </c>
      <c r="C3723" s="735" t="s">
        <v>507</v>
      </c>
      <c r="D3723" s="735"/>
      <c r="E3723" s="737">
        <f t="shared" si="833"/>
        <v>1</v>
      </c>
      <c r="F3723" s="738" t="s">
        <v>363</v>
      </c>
      <c r="G3723" s="739">
        <v>1650</v>
      </c>
      <c r="H3723" s="748">
        <f t="shared" si="832"/>
        <v>1650</v>
      </c>
      <c r="I3723" s="741">
        <v>70</v>
      </c>
      <c r="J3723" s="749">
        <f t="shared" si="835"/>
        <v>70</v>
      </c>
      <c r="K3723" s="739">
        <f t="shared" si="836"/>
        <v>1720</v>
      </c>
      <c r="L3723" s="1079"/>
      <c r="M3723" s="752"/>
      <c r="N3723" s="744">
        <f t="shared" si="834"/>
        <v>1</v>
      </c>
      <c r="O3723" s="745">
        <v>0</v>
      </c>
      <c r="P3723" s="737">
        <v>1</v>
      </c>
      <c r="Q3723" s="752"/>
      <c r="R3723" s="752"/>
      <c r="S3723" s="752"/>
    </row>
    <row r="3724" spans="1:19" s="753" customFormat="1" ht="24" customHeight="1">
      <c r="A3724" s="734"/>
      <c r="B3724" s="747" t="s">
        <v>469</v>
      </c>
      <c r="C3724" s="735" t="s">
        <v>508</v>
      </c>
      <c r="D3724" s="735"/>
      <c r="E3724" s="737">
        <f t="shared" si="833"/>
        <v>5</v>
      </c>
      <c r="F3724" s="738" t="s">
        <v>363</v>
      </c>
      <c r="G3724" s="739">
        <v>13500</v>
      </c>
      <c r="H3724" s="748">
        <f t="shared" si="832"/>
        <v>67500</v>
      </c>
      <c r="I3724" s="741">
        <v>750</v>
      </c>
      <c r="J3724" s="749">
        <f t="shared" si="835"/>
        <v>3750</v>
      </c>
      <c r="K3724" s="739">
        <f t="shared" si="836"/>
        <v>71250</v>
      </c>
      <c r="L3724" s="1079"/>
      <c r="M3724" s="752"/>
      <c r="N3724" s="744">
        <f t="shared" si="834"/>
        <v>5</v>
      </c>
      <c r="O3724" s="745">
        <v>0</v>
      </c>
      <c r="P3724" s="737">
        <v>5</v>
      </c>
      <c r="Q3724" s="752"/>
      <c r="R3724" s="752"/>
      <c r="S3724" s="752"/>
    </row>
    <row r="3725" spans="1:19" s="682" customFormat="1" ht="24" customHeight="1">
      <c r="A3725" s="734"/>
      <c r="B3725" s="747" t="s">
        <v>469</v>
      </c>
      <c r="C3725" s="735" t="s">
        <v>509</v>
      </c>
      <c r="D3725" s="735"/>
      <c r="E3725" s="737">
        <f t="shared" si="833"/>
        <v>1</v>
      </c>
      <c r="F3725" s="738" t="s">
        <v>363</v>
      </c>
      <c r="G3725" s="739">
        <v>14476</v>
      </c>
      <c r="H3725" s="748">
        <f t="shared" si="832"/>
        <v>14476</v>
      </c>
      <c r="I3725" s="741">
        <v>5367</v>
      </c>
      <c r="J3725" s="749">
        <f t="shared" si="835"/>
        <v>5367</v>
      </c>
      <c r="K3725" s="739">
        <f t="shared" si="836"/>
        <v>19843</v>
      </c>
      <c r="L3725" s="1079"/>
      <c r="M3725" s="679"/>
      <c r="N3725" s="744">
        <f t="shared" si="834"/>
        <v>1</v>
      </c>
      <c r="O3725" s="745">
        <v>0</v>
      </c>
      <c r="P3725" s="737">
        <v>1</v>
      </c>
      <c r="Q3725" s="679"/>
      <c r="R3725" s="679"/>
      <c r="S3725" s="679"/>
    </row>
    <row r="3726" spans="1:19" s="753" customFormat="1" ht="24" customHeight="1">
      <c r="A3726" s="734"/>
      <c r="B3726" s="747" t="s">
        <v>469</v>
      </c>
      <c r="C3726" s="735" t="s">
        <v>510</v>
      </c>
      <c r="D3726" s="735"/>
      <c r="E3726" s="737">
        <f t="shared" si="833"/>
        <v>4.1500000000000004</v>
      </c>
      <c r="F3726" s="738" t="s">
        <v>361</v>
      </c>
      <c r="G3726" s="739">
        <v>2694</v>
      </c>
      <c r="H3726" s="748">
        <f t="shared" si="832"/>
        <v>11180.1</v>
      </c>
      <c r="I3726" s="741">
        <v>1288</v>
      </c>
      <c r="J3726" s="749">
        <f t="shared" si="835"/>
        <v>5345.2000000000007</v>
      </c>
      <c r="K3726" s="739">
        <f t="shared" si="836"/>
        <v>16525.300000000003</v>
      </c>
      <c r="L3726" s="1079"/>
      <c r="M3726" s="752"/>
      <c r="N3726" s="744">
        <f t="shared" si="834"/>
        <v>4.1500000000000004</v>
      </c>
      <c r="O3726" s="745">
        <v>0</v>
      </c>
      <c r="P3726" s="737">
        <v>4.1500000000000004</v>
      </c>
      <c r="Q3726" s="752"/>
      <c r="R3726" s="752"/>
      <c r="S3726" s="752"/>
    </row>
    <row r="3727" spans="1:19" s="753" customFormat="1" ht="24" customHeight="1">
      <c r="A3727" s="734"/>
      <c r="B3727" s="747"/>
      <c r="C3727" s="735" t="s">
        <v>511</v>
      </c>
      <c r="D3727" s="735"/>
      <c r="E3727" s="737">
        <f t="shared" si="833"/>
        <v>0</v>
      </c>
      <c r="F3727" s="738"/>
      <c r="G3727" s="739"/>
      <c r="H3727" s="748">
        <f t="shared" si="832"/>
        <v>0</v>
      </c>
      <c r="I3727" s="741"/>
      <c r="J3727" s="749">
        <f t="shared" si="835"/>
        <v>0</v>
      </c>
      <c r="K3727" s="739">
        <f t="shared" si="836"/>
        <v>0</v>
      </c>
      <c r="L3727" s="1079"/>
      <c r="M3727" s="752"/>
      <c r="N3727" s="744">
        <f t="shared" si="834"/>
        <v>0</v>
      </c>
      <c r="O3727" s="745">
        <v>0</v>
      </c>
      <c r="P3727" s="737">
        <v>0</v>
      </c>
      <c r="Q3727" s="752"/>
      <c r="R3727" s="752"/>
      <c r="S3727" s="752"/>
    </row>
    <row r="3728" spans="1:19" s="753" customFormat="1" ht="24" customHeight="1">
      <c r="A3728" s="734"/>
      <c r="B3728" s="747" t="s">
        <v>469</v>
      </c>
      <c r="C3728" s="735" t="s">
        <v>512</v>
      </c>
      <c r="D3728" s="735"/>
      <c r="E3728" s="737">
        <f t="shared" si="833"/>
        <v>4.1500000000000004</v>
      </c>
      <c r="F3728" s="738" t="s">
        <v>361</v>
      </c>
      <c r="G3728" s="739">
        <v>3886</v>
      </c>
      <c r="H3728" s="748">
        <f t="shared" si="832"/>
        <v>16126.900000000001</v>
      </c>
      <c r="I3728" s="741">
        <v>1238</v>
      </c>
      <c r="J3728" s="749">
        <f t="shared" si="835"/>
        <v>5137.7000000000007</v>
      </c>
      <c r="K3728" s="739">
        <f t="shared" si="836"/>
        <v>21264.600000000002</v>
      </c>
      <c r="L3728" s="1079"/>
      <c r="M3728" s="752"/>
      <c r="N3728" s="744">
        <f t="shared" si="834"/>
        <v>4.1500000000000004</v>
      </c>
      <c r="O3728" s="745">
        <v>0</v>
      </c>
      <c r="P3728" s="737">
        <v>4.1500000000000004</v>
      </c>
      <c r="Q3728" s="752"/>
      <c r="R3728" s="752"/>
      <c r="S3728" s="752"/>
    </row>
    <row r="3729" spans="1:19" s="753" customFormat="1" ht="24" customHeight="1">
      <c r="A3729" s="734"/>
      <c r="B3729" s="747"/>
      <c r="C3729" s="735" t="s">
        <v>513</v>
      </c>
      <c r="D3729" s="735"/>
      <c r="E3729" s="737">
        <f t="shared" si="833"/>
        <v>0</v>
      </c>
      <c r="F3729" s="738"/>
      <c r="G3729" s="739">
        <v>0</v>
      </c>
      <c r="H3729" s="748">
        <f t="shared" si="832"/>
        <v>0</v>
      </c>
      <c r="I3729" s="741">
        <v>0</v>
      </c>
      <c r="J3729" s="749">
        <f t="shared" si="835"/>
        <v>0</v>
      </c>
      <c r="K3729" s="739">
        <f t="shared" si="836"/>
        <v>0</v>
      </c>
      <c r="L3729" s="1079"/>
      <c r="M3729" s="752"/>
      <c r="N3729" s="744">
        <f t="shared" si="834"/>
        <v>0</v>
      </c>
      <c r="O3729" s="745">
        <v>0</v>
      </c>
      <c r="P3729" s="737">
        <v>0</v>
      </c>
      <c r="Q3729" s="752"/>
      <c r="R3729" s="752"/>
      <c r="S3729" s="752"/>
    </row>
    <row r="3730" spans="1:19" s="753" customFormat="1" ht="24" customHeight="1">
      <c r="A3730" s="734"/>
      <c r="B3730" s="747" t="s">
        <v>469</v>
      </c>
      <c r="C3730" s="735" t="s">
        <v>514</v>
      </c>
      <c r="D3730" s="735"/>
      <c r="E3730" s="737">
        <f t="shared" si="833"/>
        <v>4.1500000000000004</v>
      </c>
      <c r="F3730" s="738" t="s">
        <v>361</v>
      </c>
      <c r="G3730" s="739">
        <v>1522</v>
      </c>
      <c r="H3730" s="748">
        <f t="shared" si="832"/>
        <v>6316.3</v>
      </c>
      <c r="I3730" s="741">
        <v>315</v>
      </c>
      <c r="J3730" s="749">
        <f t="shared" si="835"/>
        <v>1307.25</v>
      </c>
      <c r="K3730" s="739">
        <f t="shared" si="836"/>
        <v>7623.55</v>
      </c>
      <c r="L3730" s="1079"/>
      <c r="M3730" s="752"/>
      <c r="N3730" s="744">
        <f t="shared" si="834"/>
        <v>4.1500000000000004</v>
      </c>
      <c r="O3730" s="745">
        <v>0</v>
      </c>
      <c r="P3730" s="737">
        <v>4.1500000000000004</v>
      </c>
      <c r="Q3730" s="752"/>
      <c r="R3730" s="752"/>
      <c r="S3730" s="752"/>
    </row>
    <row r="3731" spans="1:19" s="753" customFormat="1" ht="24" customHeight="1">
      <c r="A3731" s="734"/>
      <c r="B3731" s="747"/>
      <c r="C3731" s="735"/>
      <c r="D3731" s="735"/>
      <c r="E3731" s="737"/>
      <c r="F3731" s="738"/>
      <c r="G3731" s="739"/>
      <c r="H3731" s="748"/>
      <c r="I3731" s="741"/>
      <c r="J3731" s="749"/>
      <c r="K3731" s="739"/>
      <c r="L3731" s="1079"/>
      <c r="M3731" s="752"/>
      <c r="N3731" s="744"/>
      <c r="O3731" s="745"/>
      <c r="P3731" s="737"/>
      <c r="Q3731" s="752"/>
      <c r="R3731" s="752"/>
      <c r="S3731" s="752"/>
    </row>
    <row r="3732" spans="1:19" s="753" customFormat="1" ht="24" customHeight="1">
      <c r="A3732" s="734"/>
      <c r="B3732" s="747"/>
      <c r="C3732" s="735"/>
      <c r="D3732" s="735"/>
      <c r="E3732" s="737">
        <f t="shared" si="833"/>
        <v>0</v>
      </c>
      <c r="F3732" s="738"/>
      <c r="G3732" s="739">
        <v>0</v>
      </c>
      <c r="H3732" s="748">
        <f t="shared" ref="H3732:H3800" si="837">SUM(E3732*G3732)</f>
        <v>0</v>
      </c>
      <c r="I3732" s="741">
        <v>0</v>
      </c>
      <c r="J3732" s="749">
        <f t="shared" si="835"/>
        <v>0</v>
      </c>
      <c r="K3732" s="739">
        <f t="shared" si="836"/>
        <v>0</v>
      </c>
      <c r="L3732" s="1079"/>
      <c r="M3732" s="752"/>
      <c r="N3732" s="744">
        <f t="shared" si="834"/>
        <v>0</v>
      </c>
      <c r="O3732" s="745">
        <v>0</v>
      </c>
      <c r="P3732" s="737">
        <v>0</v>
      </c>
      <c r="Q3732" s="752"/>
      <c r="R3732" s="752"/>
      <c r="S3732" s="752"/>
    </row>
    <row r="3733" spans="1:19" s="682" customFormat="1" ht="24" customHeight="1">
      <c r="A3733" s="734"/>
      <c r="B3733" s="747" t="s">
        <v>469</v>
      </c>
      <c r="C3733" s="735" t="s">
        <v>515</v>
      </c>
      <c r="D3733" s="735"/>
      <c r="E3733" s="737">
        <f t="shared" si="833"/>
        <v>1</v>
      </c>
      <c r="F3733" s="738" t="s">
        <v>363</v>
      </c>
      <c r="G3733" s="739">
        <v>5013</v>
      </c>
      <c r="H3733" s="748">
        <f t="shared" si="837"/>
        <v>5013</v>
      </c>
      <c r="I3733" s="741">
        <v>2403</v>
      </c>
      <c r="J3733" s="749">
        <f t="shared" si="835"/>
        <v>2403</v>
      </c>
      <c r="K3733" s="739">
        <f t="shared" si="836"/>
        <v>7416</v>
      </c>
      <c r="L3733" s="1079"/>
      <c r="M3733" s="679"/>
      <c r="N3733" s="744">
        <f t="shared" si="834"/>
        <v>1</v>
      </c>
      <c r="O3733" s="745">
        <v>0</v>
      </c>
      <c r="P3733" s="737">
        <v>1</v>
      </c>
      <c r="Q3733" s="679"/>
      <c r="R3733" s="679"/>
      <c r="S3733" s="679"/>
    </row>
    <row r="3734" spans="1:19" s="682" customFormat="1" ht="24" customHeight="1">
      <c r="A3734" s="734"/>
      <c r="B3734" s="747"/>
      <c r="C3734" s="735" t="s">
        <v>516</v>
      </c>
      <c r="D3734" s="735"/>
      <c r="E3734" s="737">
        <f t="shared" si="833"/>
        <v>0</v>
      </c>
      <c r="F3734" s="738"/>
      <c r="G3734" s="739"/>
      <c r="H3734" s="748">
        <f t="shared" si="837"/>
        <v>0</v>
      </c>
      <c r="I3734" s="741"/>
      <c r="J3734" s="749">
        <f t="shared" si="835"/>
        <v>0</v>
      </c>
      <c r="K3734" s="739">
        <f t="shared" si="836"/>
        <v>0</v>
      </c>
      <c r="L3734" s="1079"/>
      <c r="M3734" s="679"/>
      <c r="N3734" s="744">
        <f t="shared" si="834"/>
        <v>0</v>
      </c>
      <c r="O3734" s="745">
        <v>0</v>
      </c>
      <c r="P3734" s="737">
        <v>0</v>
      </c>
      <c r="Q3734" s="679"/>
      <c r="R3734" s="679"/>
      <c r="S3734" s="679"/>
    </row>
    <row r="3735" spans="1:19" s="682" customFormat="1" ht="24" customHeight="1">
      <c r="A3735" s="734"/>
      <c r="B3735" s="747"/>
      <c r="C3735" s="735"/>
      <c r="D3735" s="735"/>
      <c r="E3735" s="737">
        <f t="shared" ref="E3735:E3804" si="838">+N3735</f>
        <v>0</v>
      </c>
      <c r="F3735" s="738"/>
      <c r="G3735" s="739"/>
      <c r="H3735" s="748">
        <f t="shared" si="837"/>
        <v>0</v>
      </c>
      <c r="I3735" s="741"/>
      <c r="J3735" s="749">
        <f t="shared" si="835"/>
        <v>0</v>
      </c>
      <c r="K3735" s="739">
        <f t="shared" si="836"/>
        <v>0</v>
      </c>
      <c r="L3735" s="1079"/>
      <c r="M3735" s="679"/>
      <c r="N3735" s="744">
        <f t="shared" si="834"/>
        <v>0</v>
      </c>
      <c r="O3735" s="745">
        <v>0</v>
      </c>
      <c r="P3735" s="737">
        <v>0</v>
      </c>
      <c r="Q3735" s="679"/>
      <c r="R3735" s="679"/>
      <c r="S3735" s="679"/>
    </row>
    <row r="3736" spans="1:19" s="756" customFormat="1" ht="24" customHeight="1">
      <c r="A3736" s="734"/>
      <c r="B3736" s="747" t="s">
        <v>469</v>
      </c>
      <c r="C3736" s="735" t="s">
        <v>517</v>
      </c>
      <c r="D3736" s="907"/>
      <c r="E3736" s="737">
        <f t="shared" si="838"/>
        <v>0</v>
      </c>
      <c r="F3736" s="738" t="s">
        <v>361</v>
      </c>
      <c r="G3736" s="739">
        <v>5075.5555555555557</v>
      </c>
      <c r="H3736" s="748">
        <f t="shared" si="837"/>
        <v>0</v>
      </c>
      <c r="I3736" s="741">
        <v>2545.7777777777778</v>
      </c>
      <c r="J3736" s="749">
        <f t="shared" si="835"/>
        <v>0</v>
      </c>
      <c r="K3736" s="739">
        <f t="shared" si="836"/>
        <v>0</v>
      </c>
      <c r="L3736" s="1079"/>
      <c r="M3736" s="755"/>
      <c r="N3736" s="744">
        <f t="shared" si="834"/>
        <v>0</v>
      </c>
      <c r="O3736" s="745">
        <v>0</v>
      </c>
      <c r="P3736" s="737">
        <v>0</v>
      </c>
      <c r="Q3736" s="755"/>
      <c r="R3736" s="755"/>
      <c r="S3736" s="755"/>
    </row>
    <row r="3737" spans="1:19" s="756" customFormat="1" ht="24" customHeight="1">
      <c r="A3737" s="734"/>
      <c r="B3737" s="747"/>
      <c r="C3737" s="735" t="s">
        <v>488</v>
      </c>
      <c r="D3737" s="907"/>
      <c r="E3737" s="737">
        <f t="shared" si="838"/>
        <v>0</v>
      </c>
      <c r="F3737" s="738"/>
      <c r="G3737" s="739">
        <v>0</v>
      </c>
      <c r="H3737" s="748">
        <f t="shared" si="837"/>
        <v>0</v>
      </c>
      <c r="I3737" s="741">
        <v>0</v>
      </c>
      <c r="J3737" s="749">
        <f t="shared" si="835"/>
        <v>0</v>
      </c>
      <c r="K3737" s="739">
        <f t="shared" si="836"/>
        <v>0</v>
      </c>
      <c r="L3737" s="1079"/>
      <c r="M3737" s="755"/>
      <c r="N3737" s="744">
        <f t="shared" si="834"/>
        <v>0</v>
      </c>
      <c r="O3737" s="745">
        <v>0</v>
      </c>
      <c r="P3737" s="737">
        <v>0</v>
      </c>
      <c r="Q3737" s="755"/>
      <c r="R3737" s="755"/>
      <c r="S3737" s="755"/>
    </row>
    <row r="3738" spans="1:19" s="753" customFormat="1" ht="24" customHeight="1">
      <c r="A3738" s="734"/>
      <c r="B3738" s="747" t="s">
        <v>469</v>
      </c>
      <c r="C3738" s="735" t="s">
        <v>518</v>
      </c>
      <c r="D3738" s="735"/>
      <c r="E3738" s="737">
        <f t="shared" si="838"/>
        <v>0</v>
      </c>
      <c r="F3738" s="738" t="s">
        <v>361</v>
      </c>
      <c r="G3738" s="739">
        <v>3886</v>
      </c>
      <c r="H3738" s="748">
        <f t="shared" si="837"/>
        <v>0</v>
      </c>
      <c r="I3738" s="741">
        <v>1238</v>
      </c>
      <c r="J3738" s="749">
        <f t="shared" si="835"/>
        <v>0</v>
      </c>
      <c r="K3738" s="739">
        <f t="shared" si="836"/>
        <v>0</v>
      </c>
      <c r="L3738" s="1079"/>
      <c r="M3738" s="752"/>
      <c r="N3738" s="744">
        <f t="shared" si="834"/>
        <v>0</v>
      </c>
      <c r="O3738" s="745">
        <v>0</v>
      </c>
      <c r="P3738" s="737">
        <v>0</v>
      </c>
      <c r="Q3738" s="752"/>
      <c r="R3738" s="752"/>
      <c r="S3738" s="752"/>
    </row>
    <row r="3739" spans="1:19" s="753" customFormat="1" ht="24" customHeight="1">
      <c r="A3739" s="734"/>
      <c r="B3739" s="747"/>
      <c r="C3739" s="735" t="s">
        <v>513</v>
      </c>
      <c r="D3739" s="735"/>
      <c r="E3739" s="737">
        <f t="shared" si="838"/>
        <v>0</v>
      </c>
      <c r="F3739" s="738"/>
      <c r="G3739" s="739">
        <v>0</v>
      </c>
      <c r="H3739" s="748">
        <f t="shared" si="837"/>
        <v>0</v>
      </c>
      <c r="I3739" s="741">
        <v>0</v>
      </c>
      <c r="J3739" s="749">
        <f t="shared" si="835"/>
        <v>0</v>
      </c>
      <c r="K3739" s="739">
        <f t="shared" si="836"/>
        <v>0</v>
      </c>
      <c r="L3739" s="1079"/>
      <c r="M3739" s="752"/>
      <c r="N3739" s="744">
        <f t="shared" si="834"/>
        <v>0</v>
      </c>
      <c r="O3739" s="745">
        <v>0</v>
      </c>
      <c r="P3739" s="737">
        <v>0</v>
      </c>
      <c r="Q3739" s="752"/>
      <c r="R3739" s="752"/>
      <c r="S3739" s="752"/>
    </row>
    <row r="3740" spans="1:19" s="682" customFormat="1" ht="24" customHeight="1">
      <c r="A3740" s="734"/>
      <c r="B3740" s="747" t="s">
        <v>469</v>
      </c>
      <c r="C3740" s="735" t="s">
        <v>519</v>
      </c>
      <c r="D3740" s="735"/>
      <c r="E3740" s="737">
        <f t="shared" si="838"/>
        <v>1</v>
      </c>
      <c r="F3740" s="738" t="s">
        <v>363</v>
      </c>
      <c r="G3740" s="739">
        <v>800</v>
      </c>
      <c r="H3740" s="748">
        <f t="shared" si="837"/>
        <v>800</v>
      </c>
      <c r="I3740" s="741">
        <v>70</v>
      </c>
      <c r="J3740" s="749">
        <f t="shared" si="835"/>
        <v>70</v>
      </c>
      <c r="K3740" s="739">
        <f t="shared" si="836"/>
        <v>870</v>
      </c>
      <c r="L3740" s="1079"/>
      <c r="M3740" s="679"/>
      <c r="N3740" s="744">
        <f t="shared" si="834"/>
        <v>1</v>
      </c>
      <c r="O3740" s="745">
        <v>0</v>
      </c>
      <c r="P3740" s="737">
        <v>1</v>
      </c>
      <c r="Q3740" s="679"/>
      <c r="R3740" s="679"/>
      <c r="S3740" s="679"/>
    </row>
    <row r="3741" spans="1:19" s="682" customFormat="1" ht="24" customHeight="1">
      <c r="A3741" s="734"/>
      <c r="B3741" s="747" t="s">
        <v>469</v>
      </c>
      <c r="C3741" s="735" t="s">
        <v>520</v>
      </c>
      <c r="D3741" s="735"/>
      <c r="E3741" s="737">
        <f t="shared" si="838"/>
        <v>0</v>
      </c>
      <c r="F3741" s="738" t="s">
        <v>361</v>
      </c>
      <c r="G3741" s="739">
        <v>190</v>
      </c>
      <c r="H3741" s="748">
        <f t="shared" si="837"/>
        <v>0</v>
      </c>
      <c r="I3741" s="741">
        <v>75</v>
      </c>
      <c r="J3741" s="749">
        <f t="shared" si="835"/>
        <v>0</v>
      </c>
      <c r="K3741" s="739">
        <f t="shared" si="836"/>
        <v>0</v>
      </c>
      <c r="L3741" s="1079"/>
      <c r="M3741" s="679"/>
      <c r="N3741" s="744">
        <f t="shared" si="834"/>
        <v>0</v>
      </c>
      <c r="O3741" s="745">
        <v>0</v>
      </c>
      <c r="P3741" s="737">
        <v>0</v>
      </c>
      <c r="Q3741" s="679"/>
      <c r="R3741" s="679"/>
      <c r="S3741" s="679"/>
    </row>
    <row r="3742" spans="1:19" s="682" customFormat="1" ht="24" customHeight="1">
      <c r="A3742" s="734"/>
      <c r="B3742" s="747"/>
      <c r="C3742" s="735"/>
      <c r="D3742" s="735"/>
      <c r="E3742" s="737">
        <f t="shared" si="838"/>
        <v>0</v>
      </c>
      <c r="F3742" s="738"/>
      <c r="G3742" s="739"/>
      <c r="H3742" s="748">
        <f t="shared" si="837"/>
        <v>0</v>
      </c>
      <c r="I3742" s="741"/>
      <c r="J3742" s="749">
        <f t="shared" si="835"/>
        <v>0</v>
      </c>
      <c r="K3742" s="739">
        <f t="shared" si="836"/>
        <v>0</v>
      </c>
      <c r="L3742" s="1079"/>
      <c r="M3742" s="679"/>
      <c r="N3742" s="744">
        <f t="shared" ref="N3742:N3811" si="839">+(1+O3742)*P3742</f>
        <v>0</v>
      </c>
      <c r="O3742" s="745">
        <v>0</v>
      </c>
      <c r="P3742" s="737">
        <v>0</v>
      </c>
      <c r="Q3742" s="679"/>
      <c r="R3742" s="679"/>
      <c r="S3742" s="679"/>
    </row>
    <row r="3743" spans="1:19" s="753" customFormat="1" ht="24" customHeight="1">
      <c r="A3743" s="734"/>
      <c r="B3743" s="735" t="s">
        <v>1077</v>
      </c>
      <c r="C3743" s="735"/>
      <c r="D3743" s="907"/>
      <c r="E3743" s="737">
        <f t="shared" si="838"/>
        <v>0</v>
      </c>
      <c r="F3743" s="738"/>
      <c r="G3743" s="739">
        <v>0</v>
      </c>
      <c r="H3743" s="748">
        <f t="shared" si="837"/>
        <v>0</v>
      </c>
      <c r="I3743" s="741">
        <v>0</v>
      </c>
      <c r="J3743" s="749">
        <f t="shared" si="835"/>
        <v>0</v>
      </c>
      <c r="K3743" s="739">
        <f t="shared" si="836"/>
        <v>0</v>
      </c>
      <c r="L3743" s="1079"/>
      <c r="M3743" s="752"/>
      <c r="N3743" s="744">
        <f t="shared" si="839"/>
        <v>0</v>
      </c>
      <c r="O3743" s="745">
        <v>0</v>
      </c>
      <c r="P3743" s="737">
        <v>0</v>
      </c>
      <c r="Q3743" s="752"/>
      <c r="R3743" s="752"/>
      <c r="S3743" s="752"/>
    </row>
    <row r="3744" spans="1:19" s="753" customFormat="1" ht="24" customHeight="1">
      <c r="A3744" s="734"/>
      <c r="B3744" s="747" t="s">
        <v>469</v>
      </c>
      <c r="C3744" s="735" t="s">
        <v>497</v>
      </c>
      <c r="D3744" s="735"/>
      <c r="E3744" s="737">
        <f t="shared" si="838"/>
        <v>6</v>
      </c>
      <c r="F3744" s="738" t="s">
        <v>363</v>
      </c>
      <c r="G3744" s="739">
        <v>1540</v>
      </c>
      <c r="H3744" s="748">
        <f t="shared" si="837"/>
        <v>9240</v>
      </c>
      <c r="I3744" s="741">
        <v>450</v>
      </c>
      <c r="J3744" s="749">
        <f t="shared" si="835"/>
        <v>2700</v>
      </c>
      <c r="K3744" s="739">
        <f t="shared" si="836"/>
        <v>11940</v>
      </c>
      <c r="L3744" s="1079"/>
      <c r="M3744" s="752"/>
      <c r="N3744" s="744">
        <f t="shared" si="839"/>
        <v>6</v>
      </c>
      <c r="O3744" s="745">
        <v>0</v>
      </c>
      <c r="P3744" s="737">
        <v>6</v>
      </c>
      <c r="Q3744" s="752"/>
      <c r="R3744" s="752"/>
      <c r="S3744" s="752"/>
    </row>
    <row r="3745" spans="1:19" s="753" customFormat="1" ht="24" customHeight="1">
      <c r="A3745" s="734"/>
      <c r="B3745" s="747" t="s">
        <v>469</v>
      </c>
      <c r="C3745" s="735" t="s">
        <v>498</v>
      </c>
      <c r="D3745" s="735"/>
      <c r="E3745" s="737">
        <f t="shared" si="838"/>
        <v>6</v>
      </c>
      <c r="F3745" s="738" t="s">
        <v>363</v>
      </c>
      <c r="G3745" s="739">
        <v>6640</v>
      </c>
      <c r="H3745" s="748">
        <f t="shared" si="837"/>
        <v>39840</v>
      </c>
      <c r="I3745" s="741">
        <v>200</v>
      </c>
      <c r="J3745" s="749">
        <f t="shared" si="835"/>
        <v>1200</v>
      </c>
      <c r="K3745" s="739">
        <f t="shared" si="836"/>
        <v>41040</v>
      </c>
      <c r="L3745" s="1079"/>
      <c r="M3745" s="752"/>
      <c r="N3745" s="744">
        <f t="shared" si="839"/>
        <v>6</v>
      </c>
      <c r="O3745" s="745">
        <v>0</v>
      </c>
      <c r="P3745" s="737">
        <v>6</v>
      </c>
      <c r="Q3745" s="752"/>
      <c r="R3745" s="752"/>
      <c r="S3745" s="752"/>
    </row>
    <row r="3746" spans="1:19" s="753" customFormat="1" ht="24" customHeight="1">
      <c r="A3746" s="734"/>
      <c r="B3746" s="747" t="s">
        <v>469</v>
      </c>
      <c r="C3746" s="735" t="s">
        <v>476</v>
      </c>
      <c r="D3746" s="735"/>
      <c r="E3746" s="737">
        <f t="shared" si="838"/>
        <v>6</v>
      </c>
      <c r="F3746" s="738" t="s">
        <v>363</v>
      </c>
      <c r="G3746" s="739">
        <v>336</v>
      </c>
      <c r="H3746" s="748">
        <f t="shared" si="837"/>
        <v>2016</v>
      </c>
      <c r="I3746" s="741">
        <v>0</v>
      </c>
      <c r="J3746" s="749">
        <f t="shared" si="835"/>
        <v>0</v>
      </c>
      <c r="K3746" s="739">
        <f t="shared" si="836"/>
        <v>2016</v>
      </c>
      <c r="L3746" s="1079"/>
      <c r="M3746" s="752"/>
      <c r="N3746" s="744">
        <f t="shared" si="839"/>
        <v>6</v>
      </c>
      <c r="O3746" s="745">
        <v>0</v>
      </c>
      <c r="P3746" s="737">
        <v>6</v>
      </c>
      <c r="Q3746" s="752"/>
      <c r="R3746" s="752"/>
      <c r="S3746" s="752"/>
    </row>
    <row r="3747" spans="1:19" s="753" customFormat="1" ht="24" customHeight="1">
      <c r="A3747" s="734"/>
      <c r="B3747" s="747" t="s">
        <v>469</v>
      </c>
      <c r="C3747" s="735" t="s">
        <v>477</v>
      </c>
      <c r="D3747" s="735"/>
      <c r="E3747" s="737">
        <f t="shared" si="838"/>
        <v>6</v>
      </c>
      <c r="F3747" s="738" t="s">
        <v>363</v>
      </c>
      <c r="G3747" s="739">
        <v>736</v>
      </c>
      <c r="H3747" s="748">
        <f t="shared" si="837"/>
        <v>4416</v>
      </c>
      <c r="I3747" s="741">
        <v>0</v>
      </c>
      <c r="J3747" s="749">
        <f t="shared" si="835"/>
        <v>0</v>
      </c>
      <c r="K3747" s="739">
        <f t="shared" si="836"/>
        <v>4416</v>
      </c>
      <c r="L3747" s="1079"/>
      <c r="M3747" s="752"/>
      <c r="N3747" s="744">
        <f t="shared" si="839"/>
        <v>6</v>
      </c>
      <c r="O3747" s="745">
        <v>0</v>
      </c>
      <c r="P3747" s="737">
        <v>6</v>
      </c>
      <c r="Q3747" s="752"/>
      <c r="R3747" s="752"/>
      <c r="S3747" s="752"/>
    </row>
    <row r="3748" spans="1:19" s="753" customFormat="1" ht="24" customHeight="1">
      <c r="A3748" s="734"/>
      <c r="B3748" s="747" t="s">
        <v>469</v>
      </c>
      <c r="C3748" s="735" t="s">
        <v>478</v>
      </c>
      <c r="D3748" s="735"/>
      <c r="E3748" s="737">
        <f t="shared" si="838"/>
        <v>6</v>
      </c>
      <c r="F3748" s="738" t="s">
        <v>363</v>
      </c>
      <c r="G3748" s="739">
        <v>176</v>
      </c>
      <c r="H3748" s="748">
        <f t="shared" si="837"/>
        <v>1056</v>
      </c>
      <c r="I3748" s="741">
        <v>0</v>
      </c>
      <c r="J3748" s="749">
        <f t="shared" si="835"/>
        <v>0</v>
      </c>
      <c r="K3748" s="739">
        <f t="shared" si="836"/>
        <v>1056</v>
      </c>
      <c r="L3748" s="1079"/>
      <c r="M3748" s="752"/>
      <c r="N3748" s="744">
        <f t="shared" si="839"/>
        <v>6</v>
      </c>
      <c r="O3748" s="745">
        <v>0</v>
      </c>
      <c r="P3748" s="737">
        <v>6</v>
      </c>
      <c r="Q3748" s="752"/>
      <c r="R3748" s="752"/>
      <c r="S3748" s="752"/>
    </row>
    <row r="3749" spans="1:19" s="753" customFormat="1" ht="24" customHeight="1">
      <c r="A3749" s="734"/>
      <c r="B3749" s="747" t="s">
        <v>469</v>
      </c>
      <c r="C3749" s="735" t="s">
        <v>499</v>
      </c>
      <c r="D3749" s="735"/>
      <c r="E3749" s="737">
        <f t="shared" si="838"/>
        <v>6</v>
      </c>
      <c r="F3749" s="738" t="s">
        <v>363</v>
      </c>
      <c r="G3749" s="739">
        <v>216</v>
      </c>
      <c r="H3749" s="748">
        <f t="shared" si="837"/>
        <v>1296</v>
      </c>
      <c r="I3749" s="741">
        <v>35</v>
      </c>
      <c r="J3749" s="749">
        <f t="shared" si="835"/>
        <v>210</v>
      </c>
      <c r="K3749" s="739">
        <f t="shared" si="836"/>
        <v>1506</v>
      </c>
      <c r="L3749" s="1079"/>
      <c r="M3749" s="752"/>
      <c r="N3749" s="744">
        <f t="shared" si="839"/>
        <v>6</v>
      </c>
      <c r="O3749" s="745">
        <v>0</v>
      </c>
      <c r="P3749" s="737">
        <v>6</v>
      </c>
      <c r="Q3749" s="752"/>
      <c r="R3749" s="752"/>
      <c r="S3749" s="752"/>
    </row>
    <row r="3750" spans="1:19" s="753" customFormat="1" ht="24" customHeight="1">
      <c r="A3750" s="734"/>
      <c r="B3750" s="747"/>
      <c r="C3750" s="736"/>
      <c r="D3750" s="907"/>
      <c r="E3750" s="737">
        <f t="shared" si="838"/>
        <v>0</v>
      </c>
      <c r="F3750" s="738"/>
      <c r="G3750" s="739">
        <v>0</v>
      </c>
      <c r="H3750" s="748">
        <f t="shared" si="837"/>
        <v>0</v>
      </c>
      <c r="I3750" s="741">
        <v>0</v>
      </c>
      <c r="J3750" s="749">
        <f t="shared" si="835"/>
        <v>0</v>
      </c>
      <c r="K3750" s="739">
        <f t="shared" si="836"/>
        <v>0</v>
      </c>
      <c r="L3750" s="1079"/>
      <c r="M3750" s="752"/>
      <c r="N3750" s="744">
        <f t="shared" si="839"/>
        <v>0</v>
      </c>
      <c r="O3750" s="745">
        <v>0</v>
      </c>
      <c r="P3750" s="737">
        <v>0</v>
      </c>
      <c r="Q3750" s="752"/>
      <c r="R3750" s="752"/>
      <c r="S3750" s="752"/>
    </row>
    <row r="3751" spans="1:19" s="753" customFormat="1" ht="24" customHeight="1">
      <c r="A3751" s="734"/>
      <c r="B3751" s="747" t="s">
        <v>469</v>
      </c>
      <c r="C3751" s="735" t="s">
        <v>492</v>
      </c>
      <c r="D3751" s="735"/>
      <c r="E3751" s="737">
        <f t="shared" si="838"/>
        <v>10</v>
      </c>
      <c r="F3751" s="738" t="s">
        <v>363</v>
      </c>
      <c r="G3751" s="739">
        <v>9375</v>
      </c>
      <c r="H3751" s="748">
        <f t="shared" si="837"/>
        <v>93750</v>
      </c>
      <c r="I3751" s="741">
        <v>450</v>
      </c>
      <c r="J3751" s="749">
        <f t="shared" si="835"/>
        <v>4500</v>
      </c>
      <c r="K3751" s="739">
        <f t="shared" si="836"/>
        <v>98250</v>
      </c>
      <c r="L3751" s="1079"/>
      <c r="M3751" s="752"/>
      <c r="N3751" s="744">
        <f t="shared" si="839"/>
        <v>10</v>
      </c>
      <c r="O3751" s="745">
        <v>0</v>
      </c>
      <c r="P3751" s="737">
        <v>10</v>
      </c>
      <c r="Q3751" s="752"/>
      <c r="R3751" s="752"/>
      <c r="S3751" s="752"/>
    </row>
    <row r="3752" spans="1:19" s="753" customFormat="1" ht="24" customHeight="1">
      <c r="A3752" s="734"/>
      <c r="B3752" s="747" t="s">
        <v>469</v>
      </c>
      <c r="C3752" s="735" t="s">
        <v>500</v>
      </c>
      <c r="D3752" s="735"/>
      <c r="E3752" s="737">
        <f t="shared" si="838"/>
        <v>10</v>
      </c>
      <c r="F3752" s="738" t="s">
        <v>363</v>
      </c>
      <c r="G3752" s="739">
        <v>12752</v>
      </c>
      <c r="H3752" s="748">
        <f t="shared" si="837"/>
        <v>127520</v>
      </c>
      <c r="I3752" s="741">
        <v>0</v>
      </c>
      <c r="J3752" s="749">
        <f t="shared" si="835"/>
        <v>0</v>
      </c>
      <c r="K3752" s="739">
        <f t="shared" si="836"/>
        <v>127520</v>
      </c>
      <c r="L3752" s="1079"/>
      <c r="M3752" s="752"/>
      <c r="N3752" s="744">
        <f t="shared" si="839"/>
        <v>10</v>
      </c>
      <c r="O3752" s="745">
        <v>0</v>
      </c>
      <c r="P3752" s="737">
        <v>10</v>
      </c>
      <c r="Q3752" s="752"/>
      <c r="R3752" s="752"/>
      <c r="S3752" s="752"/>
    </row>
    <row r="3753" spans="1:19" s="753" customFormat="1" ht="24" customHeight="1">
      <c r="A3753" s="734"/>
      <c r="B3753" s="747" t="s">
        <v>469</v>
      </c>
      <c r="C3753" s="735" t="s">
        <v>501</v>
      </c>
      <c r="D3753" s="735"/>
      <c r="E3753" s="737">
        <v>0</v>
      </c>
      <c r="F3753" s="738" t="s">
        <v>363</v>
      </c>
      <c r="G3753" s="739">
        <v>1950</v>
      </c>
      <c r="H3753" s="748">
        <f t="shared" si="837"/>
        <v>0</v>
      </c>
      <c r="I3753" s="741">
        <v>35</v>
      </c>
      <c r="J3753" s="749">
        <f t="shared" si="835"/>
        <v>0</v>
      </c>
      <c r="K3753" s="739">
        <f t="shared" si="836"/>
        <v>0</v>
      </c>
      <c r="L3753" s="1079"/>
      <c r="M3753" s="752"/>
      <c r="N3753" s="744">
        <f t="shared" si="839"/>
        <v>10</v>
      </c>
      <c r="O3753" s="745">
        <v>0</v>
      </c>
      <c r="P3753" s="737">
        <v>10</v>
      </c>
      <c r="Q3753" s="752"/>
      <c r="R3753" s="752"/>
      <c r="S3753" s="752"/>
    </row>
    <row r="3754" spans="1:19" s="753" customFormat="1" ht="24" customHeight="1">
      <c r="A3754" s="734"/>
      <c r="B3754" s="747" t="s">
        <v>469</v>
      </c>
      <c r="C3754" s="735" t="s">
        <v>502</v>
      </c>
      <c r="D3754" s="735"/>
      <c r="E3754" s="737">
        <f t="shared" si="838"/>
        <v>10</v>
      </c>
      <c r="F3754" s="738" t="s">
        <v>363</v>
      </c>
      <c r="G3754" s="739">
        <v>216</v>
      </c>
      <c r="H3754" s="748">
        <f t="shared" si="837"/>
        <v>2160</v>
      </c>
      <c r="I3754" s="741">
        <v>35</v>
      </c>
      <c r="J3754" s="749">
        <f t="shared" si="835"/>
        <v>350</v>
      </c>
      <c r="K3754" s="739">
        <f t="shared" si="836"/>
        <v>2510</v>
      </c>
      <c r="L3754" s="1079"/>
      <c r="M3754" s="752"/>
      <c r="N3754" s="744">
        <f t="shared" si="839"/>
        <v>10</v>
      </c>
      <c r="O3754" s="745">
        <v>0</v>
      </c>
      <c r="P3754" s="737">
        <v>10</v>
      </c>
      <c r="Q3754" s="752"/>
      <c r="R3754" s="752"/>
      <c r="S3754" s="752"/>
    </row>
    <row r="3755" spans="1:19" s="753" customFormat="1" ht="24" customHeight="1">
      <c r="A3755" s="734"/>
      <c r="B3755" s="747"/>
      <c r="C3755" s="735"/>
      <c r="D3755" s="735"/>
      <c r="E3755" s="737">
        <f t="shared" si="838"/>
        <v>0</v>
      </c>
      <c r="F3755" s="738"/>
      <c r="G3755" s="739"/>
      <c r="H3755" s="748">
        <f t="shared" si="837"/>
        <v>0</v>
      </c>
      <c r="I3755" s="741"/>
      <c r="J3755" s="749">
        <f t="shared" si="835"/>
        <v>0</v>
      </c>
      <c r="K3755" s="739">
        <f t="shared" si="836"/>
        <v>0</v>
      </c>
      <c r="L3755" s="1079"/>
      <c r="M3755" s="752"/>
      <c r="N3755" s="744">
        <f t="shared" si="839"/>
        <v>0</v>
      </c>
      <c r="O3755" s="745">
        <v>0</v>
      </c>
      <c r="P3755" s="737">
        <v>0</v>
      </c>
      <c r="Q3755" s="752"/>
      <c r="R3755" s="752"/>
      <c r="S3755" s="752"/>
    </row>
    <row r="3756" spans="1:19" s="753" customFormat="1" ht="24" customHeight="1">
      <c r="A3756" s="734"/>
      <c r="B3756" s="747" t="s">
        <v>484</v>
      </c>
      <c r="C3756" s="735" t="s">
        <v>485</v>
      </c>
      <c r="D3756" s="735"/>
      <c r="E3756" s="737">
        <f t="shared" si="838"/>
        <v>11</v>
      </c>
      <c r="F3756" s="738" t="s">
        <v>363</v>
      </c>
      <c r="G3756" s="739">
        <v>285</v>
      </c>
      <c r="H3756" s="748">
        <f t="shared" si="837"/>
        <v>3135</v>
      </c>
      <c r="I3756" s="741">
        <v>75</v>
      </c>
      <c r="J3756" s="749">
        <f t="shared" si="835"/>
        <v>825</v>
      </c>
      <c r="K3756" s="739">
        <f t="shared" si="836"/>
        <v>3960</v>
      </c>
      <c r="L3756" s="1093"/>
      <c r="M3756" s="752"/>
      <c r="N3756" s="744">
        <f t="shared" si="839"/>
        <v>11</v>
      </c>
      <c r="O3756" s="745">
        <v>0</v>
      </c>
      <c r="P3756" s="737">
        <v>11</v>
      </c>
      <c r="Q3756" s="752"/>
      <c r="R3756" s="752"/>
      <c r="S3756" s="752"/>
    </row>
    <row r="3757" spans="1:19" s="753" customFormat="1" ht="24" customHeight="1">
      <c r="A3757" s="734"/>
      <c r="B3757" s="747" t="s">
        <v>469</v>
      </c>
      <c r="C3757" s="735" t="s">
        <v>486</v>
      </c>
      <c r="D3757" s="735"/>
      <c r="E3757" s="737">
        <f t="shared" si="838"/>
        <v>1</v>
      </c>
      <c r="F3757" s="738" t="s">
        <v>363</v>
      </c>
      <c r="G3757" s="739">
        <v>552</v>
      </c>
      <c r="H3757" s="748">
        <f t="shared" si="837"/>
        <v>552</v>
      </c>
      <c r="I3757" s="741">
        <v>25</v>
      </c>
      <c r="J3757" s="749">
        <f t="shared" si="835"/>
        <v>25</v>
      </c>
      <c r="K3757" s="739">
        <f t="shared" si="836"/>
        <v>577</v>
      </c>
      <c r="L3757" s="1079"/>
      <c r="M3757" s="752"/>
      <c r="N3757" s="744">
        <f t="shared" si="839"/>
        <v>1</v>
      </c>
      <c r="O3757" s="745">
        <v>0</v>
      </c>
      <c r="P3757" s="737">
        <v>1</v>
      </c>
      <c r="Q3757" s="752"/>
      <c r="R3757" s="752"/>
      <c r="S3757" s="752"/>
    </row>
    <row r="3758" spans="1:19" s="753" customFormat="1" ht="24" customHeight="1">
      <c r="A3758" s="734"/>
      <c r="B3758" s="747" t="s">
        <v>469</v>
      </c>
      <c r="C3758" s="735" t="s">
        <v>507</v>
      </c>
      <c r="D3758" s="735"/>
      <c r="E3758" s="737">
        <f t="shared" si="838"/>
        <v>2</v>
      </c>
      <c r="F3758" s="738" t="s">
        <v>363</v>
      </c>
      <c r="G3758" s="739">
        <v>1650</v>
      </c>
      <c r="H3758" s="748">
        <f t="shared" si="837"/>
        <v>3300</v>
      </c>
      <c r="I3758" s="741">
        <v>70</v>
      </c>
      <c r="J3758" s="749">
        <f t="shared" si="835"/>
        <v>140</v>
      </c>
      <c r="K3758" s="739">
        <f t="shared" si="836"/>
        <v>3440</v>
      </c>
      <c r="L3758" s="1079"/>
      <c r="M3758" s="752"/>
      <c r="N3758" s="744">
        <f t="shared" si="839"/>
        <v>2</v>
      </c>
      <c r="O3758" s="745">
        <v>0</v>
      </c>
      <c r="P3758" s="737">
        <v>2</v>
      </c>
      <c r="Q3758" s="752"/>
      <c r="R3758" s="752"/>
      <c r="S3758" s="752"/>
    </row>
    <row r="3759" spans="1:19" s="753" customFormat="1" ht="24" customHeight="1">
      <c r="A3759" s="734"/>
      <c r="B3759" s="747" t="s">
        <v>469</v>
      </c>
      <c r="C3759" s="735" t="s">
        <v>508</v>
      </c>
      <c r="D3759" s="735"/>
      <c r="E3759" s="737">
        <f t="shared" si="838"/>
        <v>10</v>
      </c>
      <c r="F3759" s="738" t="s">
        <v>363</v>
      </c>
      <c r="G3759" s="739">
        <v>13500</v>
      </c>
      <c r="H3759" s="748">
        <f t="shared" si="837"/>
        <v>135000</v>
      </c>
      <c r="I3759" s="741">
        <v>750</v>
      </c>
      <c r="J3759" s="749">
        <f t="shared" si="835"/>
        <v>7500</v>
      </c>
      <c r="K3759" s="739">
        <f t="shared" si="836"/>
        <v>142500</v>
      </c>
      <c r="L3759" s="1079"/>
      <c r="M3759" s="752"/>
      <c r="N3759" s="744">
        <f t="shared" si="839"/>
        <v>10</v>
      </c>
      <c r="O3759" s="745">
        <v>0</v>
      </c>
      <c r="P3759" s="737">
        <v>10</v>
      </c>
      <c r="Q3759" s="752"/>
      <c r="R3759" s="752"/>
      <c r="S3759" s="752"/>
    </row>
    <row r="3760" spans="1:19" s="682" customFormat="1" ht="24" customHeight="1">
      <c r="A3760" s="734"/>
      <c r="B3760" s="747" t="s">
        <v>469</v>
      </c>
      <c r="C3760" s="735" t="s">
        <v>509</v>
      </c>
      <c r="D3760" s="735"/>
      <c r="E3760" s="737">
        <f t="shared" si="838"/>
        <v>1</v>
      </c>
      <c r="F3760" s="738" t="s">
        <v>363</v>
      </c>
      <c r="G3760" s="739">
        <v>14476</v>
      </c>
      <c r="H3760" s="748">
        <f t="shared" si="837"/>
        <v>14476</v>
      </c>
      <c r="I3760" s="741">
        <v>5367</v>
      </c>
      <c r="J3760" s="749">
        <f t="shared" ref="J3760:J3809" si="840">SUM(E3760*I3760)</f>
        <v>5367</v>
      </c>
      <c r="K3760" s="739">
        <f t="shared" si="836"/>
        <v>19843</v>
      </c>
      <c r="L3760" s="1079"/>
      <c r="M3760" s="679"/>
      <c r="N3760" s="744">
        <f t="shared" si="839"/>
        <v>1</v>
      </c>
      <c r="O3760" s="745">
        <v>0</v>
      </c>
      <c r="P3760" s="737">
        <v>1</v>
      </c>
      <c r="Q3760" s="679"/>
      <c r="R3760" s="679"/>
      <c r="S3760" s="679"/>
    </row>
    <row r="3761" spans="1:19" s="753" customFormat="1" ht="24" customHeight="1">
      <c r="A3761" s="734"/>
      <c r="B3761" s="747"/>
      <c r="C3761" s="735"/>
      <c r="D3761" s="907"/>
      <c r="E3761" s="737">
        <f t="shared" si="838"/>
        <v>0</v>
      </c>
      <c r="F3761" s="738"/>
      <c r="G3761" s="739">
        <v>0</v>
      </c>
      <c r="H3761" s="748">
        <f t="shared" si="837"/>
        <v>0</v>
      </c>
      <c r="I3761" s="741">
        <v>0</v>
      </c>
      <c r="J3761" s="749">
        <f t="shared" si="840"/>
        <v>0</v>
      </c>
      <c r="K3761" s="739">
        <f t="shared" si="836"/>
        <v>0</v>
      </c>
      <c r="L3761" s="1079"/>
      <c r="M3761" s="752"/>
      <c r="N3761" s="744">
        <f t="shared" si="839"/>
        <v>0</v>
      </c>
      <c r="O3761" s="745">
        <v>0</v>
      </c>
      <c r="P3761" s="737">
        <v>0</v>
      </c>
      <c r="Q3761" s="752"/>
      <c r="R3761" s="752"/>
      <c r="S3761" s="752"/>
    </row>
    <row r="3762" spans="1:19" s="753" customFormat="1" ht="24" customHeight="1">
      <c r="A3762" s="734"/>
      <c r="B3762" s="747" t="s">
        <v>469</v>
      </c>
      <c r="C3762" s="735" t="s">
        <v>510</v>
      </c>
      <c r="D3762" s="735"/>
      <c r="E3762" s="737">
        <f t="shared" si="838"/>
        <v>5.2</v>
      </c>
      <c r="F3762" s="738" t="s">
        <v>361</v>
      </c>
      <c r="G3762" s="739">
        <v>2694</v>
      </c>
      <c r="H3762" s="748">
        <f t="shared" si="837"/>
        <v>14008.800000000001</v>
      </c>
      <c r="I3762" s="741">
        <v>1288</v>
      </c>
      <c r="J3762" s="749">
        <f t="shared" si="840"/>
        <v>6697.6</v>
      </c>
      <c r="K3762" s="739">
        <f t="shared" si="836"/>
        <v>20706.400000000001</v>
      </c>
      <c r="L3762" s="1079"/>
      <c r="M3762" s="752"/>
      <c r="N3762" s="744">
        <f t="shared" si="839"/>
        <v>5.2</v>
      </c>
      <c r="O3762" s="745">
        <v>0</v>
      </c>
      <c r="P3762" s="737">
        <v>5.2</v>
      </c>
      <c r="Q3762" s="752"/>
      <c r="R3762" s="752"/>
      <c r="S3762" s="752"/>
    </row>
    <row r="3763" spans="1:19" s="753" customFormat="1" ht="24" customHeight="1">
      <c r="A3763" s="734"/>
      <c r="B3763" s="747"/>
      <c r="C3763" s="735" t="s">
        <v>511</v>
      </c>
      <c r="D3763" s="735"/>
      <c r="E3763" s="737">
        <f t="shared" si="838"/>
        <v>0</v>
      </c>
      <c r="F3763" s="738"/>
      <c r="G3763" s="739"/>
      <c r="H3763" s="748">
        <f t="shared" si="837"/>
        <v>0</v>
      </c>
      <c r="I3763" s="741"/>
      <c r="J3763" s="749">
        <f t="shared" si="840"/>
        <v>0</v>
      </c>
      <c r="K3763" s="739">
        <f t="shared" si="836"/>
        <v>0</v>
      </c>
      <c r="L3763" s="1079"/>
      <c r="M3763" s="752"/>
      <c r="N3763" s="744">
        <f t="shared" si="839"/>
        <v>0</v>
      </c>
      <c r="O3763" s="745">
        <v>0</v>
      </c>
      <c r="P3763" s="737">
        <v>0</v>
      </c>
      <c r="Q3763" s="752"/>
      <c r="R3763" s="752"/>
      <c r="S3763" s="752"/>
    </row>
    <row r="3764" spans="1:19" s="753" customFormat="1" ht="24" customHeight="1">
      <c r="A3764" s="734"/>
      <c r="B3764" s="747" t="s">
        <v>469</v>
      </c>
      <c r="C3764" s="735" t="s">
        <v>512</v>
      </c>
      <c r="D3764" s="735"/>
      <c r="E3764" s="737">
        <f t="shared" si="838"/>
        <v>5.2</v>
      </c>
      <c r="F3764" s="738" t="s">
        <v>361</v>
      </c>
      <c r="G3764" s="739">
        <v>3886</v>
      </c>
      <c r="H3764" s="748">
        <f t="shared" si="837"/>
        <v>20207.2</v>
      </c>
      <c r="I3764" s="741">
        <v>1238</v>
      </c>
      <c r="J3764" s="749">
        <f t="shared" si="840"/>
        <v>6437.6</v>
      </c>
      <c r="K3764" s="739">
        <f t="shared" si="836"/>
        <v>26644.800000000003</v>
      </c>
      <c r="L3764" s="1079"/>
      <c r="M3764" s="752"/>
      <c r="N3764" s="744">
        <f t="shared" si="839"/>
        <v>5.2</v>
      </c>
      <c r="O3764" s="745">
        <v>0</v>
      </c>
      <c r="P3764" s="737">
        <v>5.2</v>
      </c>
      <c r="Q3764" s="752"/>
      <c r="R3764" s="752"/>
      <c r="S3764" s="752"/>
    </row>
    <row r="3765" spans="1:19" s="753" customFormat="1" ht="24" customHeight="1">
      <c r="A3765" s="734"/>
      <c r="B3765" s="747"/>
      <c r="C3765" s="735" t="s">
        <v>513</v>
      </c>
      <c r="D3765" s="735"/>
      <c r="E3765" s="737">
        <f t="shared" si="838"/>
        <v>0</v>
      </c>
      <c r="F3765" s="738"/>
      <c r="G3765" s="739">
        <v>0</v>
      </c>
      <c r="H3765" s="748">
        <f t="shared" si="837"/>
        <v>0</v>
      </c>
      <c r="I3765" s="741">
        <v>0</v>
      </c>
      <c r="J3765" s="749">
        <f t="shared" si="840"/>
        <v>0</v>
      </c>
      <c r="K3765" s="739">
        <f t="shared" si="836"/>
        <v>0</v>
      </c>
      <c r="L3765" s="1079"/>
      <c r="M3765" s="752"/>
      <c r="N3765" s="744">
        <f t="shared" si="839"/>
        <v>0</v>
      </c>
      <c r="O3765" s="745">
        <v>0</v>
      </c>
      <c r="P3765" s="737">
        <v>0</v>
      </c>
      <c r="Q3765" s="752"/>
      <c r="R3765" s="752"/>
      <c r="S3765" s="752"/>
    </row>
    <row r="3766" spans="1:19" s="753" customFormat="1" ht="24" customHeight="1">
      <c r="A3766" s="734"/>
      <c r="B3766" s="747" t="s">
        <v>469</v>
      </c>
      <c r="C3766" s="735" t="s">
        <v>521</v>
      </c>
      <c r="D3766" s="735"/>
      <c r="E3766" s="737">
        <f t="shared" si="838"/>
        <v>5.2</v>
      </c>
      <c r="F3766" s="738" t="s">
        <v>361</v>
      </c>
      <c r="G3766" s="739">
        <v>1522</v>
      </c>
      <c r="H3766" s="748">
        <f t="shared" si="837"/>
        <v>7914.4000000000005</v>
      </c>
      <c r="I3766" s="741">
        <v>315</v>
      </c>
      <c r="J3766" s="749">
        <f t="shared" si="840"/>
        <v>1638</v>
      </c>
      <c r="K3766" s="739">
        <f t="shared" si="836"/>
        <v>9552.4000000000015</v>
      </c>
      <c r="L3766" s="1079"/>
      <c r="M3766" s="752"/>
      <c r="N3766" s="744">
        <f t="shared" si="839"/>
        <v>5.2</v>
      </c>
      <c r="O3766" s="745">
        <v>0</v>
      </c>
      <c r="P3766" s="737">
        <v>5.2</v>
      </c>
      <c r="Q3766" s="752"/>
      <c r="R3766" s="752"/>
      <c r="S3766" s="752"/>
    </row>
    <row r="3767" spans="1:19" s="753" customFormat="1" ht="24" customHeight="1">
      <c r="A3767" s="734"/>
      <c r="B3767" s="747"/>
      <c r="C3767" s="735"/>
      <c r="D3767" s="735"/>
      <c r="E3767" s="737">
        <f t="shared" si="838"/>
        <v>0</v>
      </c>
      <c r="F3767" s="738"/>
      <c r="G3767" s="739">
        <v>0</v>
      </c>
      <c r="H3767" s="748">
        <f t="shared" si="837"/>
        <v>0</v>
      </c>
      <c r="I3767" s="741">
        <v>0</v>
      </c>
      <c r="J3767" s="749">
        <f t="shared" si="840"/>
        <v>0</v>
      </c>
      <c r="K3767" s="739">
        <f t="shared" si="836"/>
        <v>0</v>
      </c>
      <c r="L3767" s="1079"/>
      <c r="M3767" s="752"/>
      <c r="N3767" s="744">
        <f t="shared" si="839"/>
        <v>0</v>
      </c>
      <c r="O3767" s="745">
        <v>0</v>
      </c>
      <c r="P3767" s="737">
        <v>0</v>
      </c>
      <c r="Q3767" s="752"/>
      <c r="R3767" s="752"/>
      <c r="S3767" s="752"/>
    </row>
    <row r="3768" spans="1:19" s="682" customFormat="1" ht="24" customHeight="1">
      <c r="A3768" s="734"/>
      <c r="B3768" s="747" t="s">
        <v>469</v>
      </c>
      <c r="C3768" s="735" t="s">
        <v>515</v>
      </c>
      <c r="D3768" s="735"/>
      <c r="E3768" s="737">
        <f t="shared" si="838"/>
        <v>0</v>
      </c>
      <c r="F3768" s="738" t="s">
        <v>363</v>
      </c>
      <c r="G3768" s="739">
        <v>5013</v>
      </c>
      <c r="H3768" s="748">
        <f t="shared" si="837"/>
        <v>0</v>
      </c>
      <c r="I3768" s="741">
        <v>2403</v>
      </c>
      <c r="J3768" s="749">
        <f t="shared" si="840"/>
        <v>0</v>
      </c>
      <c r="K3768" s="739">
        <f t="shared" si="836"/>
        <v>0</v>
      </c>
      <c r="L3768" s="1079"/>
      <c r="M3768" s="679"/>
      <c r="N3768" s="744">
        <f t="shared" si="839"/>
        <v>0</v>
      </c>
      <c r="O3768" s="745">
        <v>0</v>
      </c>
      <c r="P3768" s="737">
        <v>0</v>
      </c>
      <c r="Q3768" s="679"/>
      <c r="R3768" s="679"/>
      <c r="S3768" s="679"/>
    </row>
    <row r="3769" spans="1:19" s="682" customFormat="1" ht="24" customHeight="1">
      <c r="A3769" s="734"/>
      <c r="B3769" s="747"/>
      <c r="C3769" s="735" t="s">
        <v>516</v>
      </c>
      <c r="D3769" s="735"/>
      <c r="E3769" s="737">
        <f t="shared" si="838"/>
        <v>0</v>
      </c>
      <c r="F3769" s="738"/>
      <c r="G3769" s="739"/>
      <c r="H3769" s="748">
        <f t="shared" si="837"/>
        <v>0</v>
      </c>
      <c r="I3769" s="741"/>
      <c r="J3769" s="749">
        <f t="shared" si="840"/>
        <v>0</v>
      </c>
      <c r="K3769" s="739">
        <f t="shared" si="836"/>
        <v>0</v>
      </c>
      <c r="L3769" s="1079"/>
      <c r="M3769" s="679"/>
      <c r="N3769" s="744">
        <f t="shared" si="839"/>
        <v>0</v>
      </c>
      <c r="O3769" s="745">
        <v>0</v>
      </c>
      <c r="P3769" s="737">
        <v>0</v>
      </c>
      <c r="Q3769" s="679"/>
      <c r="R3769" s="679"/>
      <c r="S3769" s="679"/>
    </row>
    <row r="3770" spans="1:19" s="682" customFormat="1" ht="24" customHeight="1">
      <c r="A3770" s="734"/>
      <c r="B3770" s="747"/>
      <c r="C3770" s="735"/>
      <c r="D3770" s="735"/>
      <c r="E3770" s="737">
        <f t="shared" si="838"/>
        <v>0</v>
      </c>
      <c r="F3770" s="738"/>
      <c r="G3770" s="739"/>
      <c r="H3770" s="748">
        <f t="shared" si="837"/>
        <v>0</v>
      </c>
      <c r="I3770" s="741"/>
      <c r="J3770" s="749">
        <f t="shared" si="840"/>
        <v>0</v>
      </c>
      <c r="K3770" s="739">
        <f t="shared" si="836"/>
        <v>0</v>
      </c>
      <c r="L3770" s="1079"/>
      <c r="M3770" s="679"/>
      <c r="N3770" s="744">
        <f t="shared" si="839"/>
        <v>0</v>
      </c>
      <c r="O3770" s="745">
        <v>0</v>
      </c>
      <c r="P3770" s="737">
        <v>0</v>
      </c>
      <c r="Q3770" s="679"/>
      <c r="R3770" s="679"/>
      <c r="S3770" s="679"/>
    </row>
    <row r="3771" spans="1:19" s="756" customFormat="1" ht="24" customHeight="1">
      <c r="A3771" s="734"/>
      <c r="B3771" s="747" t="s">
        <v>469</v>
      </c>
      <c r="C3771" s="735" t="s">
        <v>517</v>
      </c>
      <c r="D3771" s="907"/>
      <c r="E3771" s="737">
        <f t="shared" si="838"/>
        <v>0</v>
      </c>
      <c r="F3771" s="738" t="s">
        <v>361</v>
      </c>
      <c r="G3771" s="739">
        <v>5075.5555555555557</v>
      </c>
      <c r="H3771" s="748">
        <f t="shared" si="837"/>
        <v>0</v>
      </c>
      <c r="I3771" s="741">
        <v>2545.7777777777778</v>
      </c>
      <c r="J3771" s="749">
        <f t="shared" si="840"/>
        <v>0</v>
      </c>
      <c r="K3771" s="739">
        <f t="shared" si="836"/>
        <v>0</v>
      </c>
      <c r="L3771" s="1079"/>
      <c r="M3771" s="755"/>
      <c r="N3771" s="744">
        <f t="shared" si="839"/>
        <v>0</v>
      </c>
      <c r="O3771" s="745">
        <v>0</v>
      </c>
      <c r="P3771" s="737">
        <v>0</v>
      </c>
      <c r="Q3771" s="755"/>
      <c r="R3771" s="755"/>
      <c r="S3771" s="755"/>
    </row>
    <row r="3772" spans="1:19" s="756" customFormat="1" ht="24" customHeight="1">
      <c r="A3772" s="734"/>
      <c r="B3772" s="747"/>
      <c r="C3772" s="735" t="s">
        <v>488</v>
      </c>
      <c r="D3772" s="907"/>
      <c r="E3772" s="737">
        <f t="shared" si="838"/>
        <v>0</v>
      </c>
      <c r="F3772" s="738"/>
      <c r="G3772" s="739">
        <v>0</v>
      </c>
      <c r="H3772" s="748">
        <f t="shared" si="837"/>
        <v>0</v>
      </c>
      <c r="I3772" s="741">
        <v>0</v>
      </c>
      <c r="J3772" s="749">
        <f t="shared" si="840"/>
        <v>0</v>
      </c>
      <c r="K3772" s="739">
        <f t="shared" si="836"/>
        <v>0</v>
      </c>
      <c r="L3772" s="1079"/>
      <c r="M3772" s="755"/>
      <c r="N3772" s="744">
        <f t="shared" si="839"/>
        <v>0</v>
      </c>
      <c r="O3772" s="745">
        <v>0</v>
      </c>
      <c r="P3772" s="737">
        <v>0</v>
      </c>
      <c r="Q3772" s="755"/>
      <c r="R3772" s="755"/>
      <c r="S3772" s="755"/>
    </row>
    <row r="3773" spans="1:19" s="753" customFormat="1" ht="24" customHeight="1">
      <c r="A3773" s="734"/>
      <c r="B3773" s="747" t="s">
        <v>469</v>
      </c>
      <c r="C3773" s="735" t="s">
        <v>518</v>
      </c>
      <c r="D3773" s="735"/>
      <c r="E3773" s="737">
        <f t="shared" si="838"/>
        <v>0</v>
      </c>
      <c r="F3773" s="738" t="s">
        <v>361</v>
      </c>
      <c r="G3773" s="739">
        <v>3886</v>
      </c>
      <c r="H3773" s="748">
        <f t="shared" si="837"/>
        <v>0</v>
      </c>
      <c r="I3773" s="741">
        <v>1238</v>
      </c>
      <c r="J3773" s="749">
        <f t="shared" si="840"/>
        <v>0</v>
      </c>
      <c r="K3773" s="739">
        <f t="shared" si="836"/>
        <v>0</v>
      </c>
      <c r="L3773" s="1079"/>
      <c r="M3773" s="752"/>
      <c r="N3773" s="744">
        <f t="shared" si="839"/>
        <v>0</v>
      </c>
      <c r="O3773" s="745">
        <v>0</v>
      </c>
      <c r="P3773" s="737">
        <v>0</v>
      </c>
      <c r="Q3773" s="752"/>
      <c r="R3773" s="752"/>
      <c r="S3773" s="752"/>
    </row>
    <row r="3774" spans="1:19" s="753" customFormat="1" ht="24" customHeight="1">
      <c r="A3774" s="734"/>
      <c r="B3774" s="747"/>
      <c r="C3774" s="735" t="s">
        <v>513</v>
      </c>
      <c r="D3774" s="735"/>
      <c r="E3774" s="737">
        <f t="shared" si="838"/>
        <v>0</v>
      </c>
      <c r="F3774" s="738"/>
      <c r="G3774" s="739">
        <v>0</v>
      </c>
      <c r="H3774" s="748">
        <f t="shared" si="837"/>
        <v>0</v>
      </c>
      <c r="I3774" s="741">
        <v>0</v>
      </c>
      <c r="J3774" s="749">
        <f t="shared" si="840"/>
        <v>0</v>
      </c>
      <c r="K3774" s="739">
        <f t="shared" si="836"/>
        <v>0</v>
      </c>
      <c r="L3774" s="1079"/>
      <c r="M3774" s="752"/>
      <c r="N3774" s="744">
        <f t="shared" si="839"/>
        <v>0</v>
      </c>
      <c r="O3774" s="745">
        <v>0</v>
      </c>
      <c r="P3774" s="737">
        <v>0</v>
      </c>
      <c r="Q3774" s="752"/>
      <c r="R3774" s="752"/>
      <c r="S3774" s="752"/>
    </row>
    <row r="3775" spans="1:19" s="682" customFormat="1" ht="24" customHeight="1">
      <c r="A3775" s="734"/>
      <c r="B3775" s="747"/>
      <c r="C3775" s="735"/>
      <c r="D3775" s="735"/>
      <c r="E3775" s="737">
        <f t="shared" si="838"/>
        <v>0</v>
      </c>
      <c r="F3775" s="738"/>
      <c r="G3775" s="739"/>
      <c r="H3775" s="748">
        <f t="shared" si="837"/>
        <v>0</v>
      </c>
      <c r="I3775" s="741"/>
      <c r="J3775" s="749">
        <f t="shared" si="840"/>
        <v>0</v>
      </c>
      <c r="K3775" s="739">
        <f t="shared" si="836"/>
        <v>0</v>
      </c>
      <c r="L3775" s="1079"/>
      <c r="M3775" s="679"/>
      <c r="N3775" s="744">
        <f t="shared" si="839"/>
        <v>0</v>
      </c>
      <c r="O3775" s="745">
        <v>0</v>
      </c>
      <c r="P3775" s="737">
        <v>0</v>
      </c>
      <c r="Q3775" s="679"/>
      <c r="R3775" s="679"/>
      <c r="S3775" s="679"/>
    </row>
    <row r="3776" spans="1:19" s="682" customFormat="1" ht="24" customHeight="1">
      <c r="A3776" s="734"/>
      <c r="B3776" s="747" t="s">
        <v>469</v>
      </c>
      <c r="C3776" s="735" t="s">
        <v>519</v>
      </c>
      <c r="D3776" s="735"/>
      <c r="E3776" s="737">
        <f t="shared" si="838"/>
        <v>1</v>
      </c>
      <c r="F3776" s="738" t="s">
        <v>363</v>
      </c>
      <c r="G3776" s="739">
        <v>800</v>
      </c>
      <c r="H3776" s="748">
        <f t="shared" si="837"/>
        <v>800</v>
      </c>
      <c r="I3776" s="741">
        <v>70</v>
      </c>
      <c r="J3776" s="749">
        <f t="shared" si="840"/>
        <v>70</v>
      </c>
      <c r="K3776" s="739">
        <f t="shared" si="836"/>
        <v>870</v>
      </c>
      <c r="L3776" s="1079"/>
      <c r="M3776" s="679"/>
      <c r="N3776" s="744">
        <f t="shared" si="839"/>
        <v>1</v>
      </c>
      <c r="O3776" s="745">
        <v>0</v>
      </c>
      <c r="P3776" s="737">
        <v>1</v>
      </c>
      <c r="Q3776" s="679"/>
      <c r="R3776" s="679"/>
      <c r="S3776" s="679"/>
    </row>
    <row r="3777" spans="1:19" s="682" customFormat="1" ht="24" customHeight="1">
      <c r="A3777" s="734"/>
      <c r="B3777" s="747" t="s">
        <v>469</v>
      </c>
      <c r="C3777" s="735" t="s">
        <v>520</v>
      </c>
      <c r="D3777" s="735"/>
      <c r="E3777" s="737">
        <f t="shared" si="838"/>
        <v>0</v>
      </c>
      <c r="F3777" s="738" t="s">
        <v>361</v>
      </c>
      <c r="G3777" s="739">
        <v>190</v>
      </c>
      <c r="H3777" s="748">
        <f t="shared" si="837"/>
        <v>0</v>
      </c>
      <c r="I3777" s="741">
        <v>75</v>
      </c>
      <c r="J3777" s="749">
        <f t="shared" si="840"/>
        <v>0</v>
      </c>
      <c r="K3777" s="739">
        <f t="shared" si="836"/>
        <v>0</v>
      </c>
      <c r="L3777" s="1079"/>
      <c r="M3777" s="679"/>
      <c r="N3777" s="744">
        <f t="shared" si="839"/>
        <v>0</v>
      </c>
      <c r="O3777" s="745">
        <v>0</v>
      </c>
      <c r="P3777" s="737">
        <v>0</v>
      </c>
      <c r="Q3777" s="679"/>
      <c r="R3777" s="679"/>
      <c r="S3777" s="679"/>
    </row>
    <row r="3778" spans="1:19" s="682" customFormat="1" ht="24" customHeight="1">
      <c r="A3778" s="734"/>
      <c r="B3778" s="747"/>
      <c r="C3778" s="735"/>
      <c r="D3778" s="735"/>
      <c r="E3778" s="737">
        <f t="shared" si="838"/>
        <v>0</v>
      </c>
      <c r="F3778" s="738"/>
      <c r="G3778" s="739"/>
      <c r="H3778" s="748">
        <f t="shared" si="837"/>
        <v>0</v>
      </c>
      <c r="I3778" s="741"/>
      <c r="J3778" s="749">
        <f t="shared" si="840"/>
        <v>0</v>
      </c>
      <c r="K3778" s="739">
        <f t="shared" si="836"/>
        <v>0</v>
      </c>
      <c r="L3778" s="1079"/>
      <c r="M3778" s="679"/>
      <c r="N3778" s="744">
        <f t="shared" si="839"/>
        <v>0</v>
      </c>
      <c r="O3778" s="745">
        <v>0</v>
      </c>
      <c r="P3778" s="737">
        <v>0</v>
      </c>
      <c r="Q3778" s="679"/>
      <c r="R3778" s="679"/>
      <c r="S3778" s="679"/>
    </row>
    <row r="3779" spans="1:19" s="682" customFormat="1" ht="24" customHeight="1">
      <c r="A3779" s="734"/>
      <c r="B3779" s="747"/>
      <c r="C3779" s="735"/>
      <c r="D3779" s="735"/>
      <c r="E3779" s="737"/>
      <c r="F3779" s="738"/>
      <c r="G3779" s="739"/>
      <c r="H3779" s="748"/>
      <c r="I3779" s="741"/>
      <c r="J3779" s="749"/>
      <c r="K3779" s="739"/>
      <c r="L3779" s="1079"/>
      <c r="M3779" s="679"/>
      <c r="N3779" s="744"/>
      <c r="O3779" s="745"/>
      <c r="P3779" s="737"/>
      <c r="Q3779" s="679"/>
      <c r="R3779" s="679"/>
      <c r="S3779" s="679"/>
    </row>
    <row r="3780" spans="1:19" s="682" customFormat="1" ht="24" customHeight="1">
      <c r="A3780" s="734"/>
      <c r="B3780" s="747"/>
      <c r="C3780" s="735"/>
      <c r="D3780" s="735"/>
      <c r="E3780" s="737"/>
      <c r="F3780" s="738"/>
      <c r="G3780" s="739"/>
      <c r="H3780" s="748"/>
      <c r="I3780" s="741"/>
      <c r="J3780" s="749"/>
      <c r="K3780" s="739"/>
      <c r="L3780" s="1079"/>
      <c r="M3780" s="679"/>
      <c r="N3780" s="744"/>
      <c r="O3780" s="745"/>
      <c r="P3780" s="737"/>
      <c r="Q3780" s="679"/>
      <c r="R3780" s="679"/>
      <c r="S3780" s="679"/>
    </row>
    <row r="3781" spans="1:19" s="753" customFormat="1" ht="24" customHeight="1">
      <c r="A3781" s="734"/>
      <c r="B3781" s="735" t="s">
        <v>1078</v>
      </c>
      <c r="C3781" s="735"/>
      <c r="D3781" s="735"/>
      <c r="E3781" s="737">
        <f t="shared" si="838"/>
        <v>0</v>
      </c>
      <c r="F3781" s="738"/>
      <c r="G3781" s="739">
        <v>0</v>
      </c>
      <c r="H3781" s="748">
        <f t="shared" si="837"/>
        <v>0</v>
      </c>
      <c r="I3781" s="741">
        <v>0</v>
      </c>
      <c r="J3781" s="749">
        <f t="shared" si="840"/>
        <v>0</v>
      </c>
      <c r="K3781" s="739">
        <f t="shared" si="836"/>
        <v>0</v>
      </c>
      <c r="L3781" s="1079"/>
      <c r="M3781" s="752"/>
      <c r="N3781" s="744">
        <f t="shared" si="839"/>
        <v>0</v>
      </c>
      <c r="O3781" s="745">
        <v>0</v>
      </c>
      <c r="P3781" s="737">
        <v>0</v>
      </c>
      <c r="Q3781" s="752"/>
      <c r="R3781" s="752"/>
      <c r="S3781" s="752"/>
    </row>
    <row r="3782" spans="1:19" s="753" customFormat="1" ht="24" customHeight="1">
      <c r="A3782" s="734"/>
      <c r="B3782" s="747" t="s">
        <v>469</v>
      </c>
      <c r="C3782" s="735" t="s">
        <v>522</v>
      </c>
      <c r="D3782" s="735"/>
      <c r="E3782" s="737">
        <f t="shared" si="838"/>
        <v>1</v>
      </c>
      <c r="F3782" s="738" t="s">
        <v>363</v>
      </c>
      <c r="G3782" s="739">
        <v>6832</v>
      </c>
      <c r="H3782" s="748">
        <f t="shared" si="837"/>
        <v>6832</v>
      </c>
      <c r="I3782" s="741">
        <v>450</v>
      </c>
      <c r="J3782" s="749">
        <f t="shared" si="840"/>
        <v>450</v>
      </c>
      <c r="K3782" s="739">
        <f t="shared" si="836"/>
        <v>7282</v>
      </c>
      <c r="L3782" s="1079"/>
      <c r="M3782" s="752"/>
      <c r="N3782" s="744">
        <f t="shared" si="839"/>
        <v>1</v>
      </c>
      <c r="O3782" s="745">
        <v>0</v>
      </c>
      <c r="P3782" s="737">
        <v>1</v>
      </c>
      <c r="Q3782" s="752"/>
      <c r="R3782" s="752"/>
      <c r="S3782" s="752"/>
    </row>
    <row r="3783" spans="1:19" s="753" customFormat="1" ht="24" customHeight="1">
      <c r="A3783" s="734"/>
      <c r="B3783" s="747" t="s">
        <v>469</v>
      </c>
      <c r="C3783" s="735" t="s">
        <v>498</v>
      </c>
      <c r="D3783" s="735"/>
      <c r="E3783" s="737">
        <f t="shared" si="838"/>
        <v>1</v>
      </c>
      <c r="F3783" s="738" t="s">
        <v>363</v>
      </c>
      <c r="G3783" s="739">
        <v>6640</v>
      </c>
      <c r="H3783" s="748">
        <f t="shared" si="837"/>
        <v>6640</v>
      </c>
      <c r="I3783" s="741">
        <v>200</v>
      </c>
      <c r="J3783" s="749">
        <f t="shared" si="840"/>
        <v>200</v>
      </c>
      <c r="K3783" s="739">
        <f t="shared" si="836"/>
        <v>6840</v>
      </c>
      <c r="L3783" s="1079"/>
      <c r="M3783" s="752"/>
      <c r="N3783" s="744">
        <f t="shared" si="839"/>
        <v>1</v>
      </c>
      <c r="O3783" s="745">
        <v>0</v>
      </c>
      <c r="P3783" s="737">
        <v>1</v>
      </c>
      <c r="Q3783" s="752"/>
      <c r="R3783" s="752"/>
      <c r="S3783" s="752"/>
    </row>
    <row r="3784" spans="1:19" s="753" customFormat="1" ht="24" customHeight="1">
      <c r="A3784" s="734"/>
      <c r="B3784" s="747" t="s">
        <v>469</v>
      </c>
      <c r="C3784" s="735" t="s">
        <v>476</v>
      </c>
      <c r="D3784" s="735"/>
      <c r="E3784" s="737">
        <f t="shared" si="838"/>
        <v>1</v>
      </c>
      <c r="F3784" s="738" t="s">
        <v>363</v>
      </c>
      <c r="G3784" s="739">
        <v>336</v>
      </c>
      <c r="H3784" s="748">
        <f t="shared" si="837"/>
        <v>336</v>
      </c>
      <c r="I3784" s="741">
        <v>0</v>
      </c>
      <c r="J3784" s="749">
        <f t="shared" si="840"/>
        <v>0</v>
      </c>
      <c r="K3784" s="739">
        <f t="shared" si="836"/>
        <v>336</v>
      </c>
      <c r="L3784" s="1079"/>
      <c r="M3784" s="752"/>
      <c r="N3784" s="744">
        <f t="shared" si="839"/>
        <v>1</v>
      </c>
      <c r="O3784" s="745">
        <v>0</v>
      </c>
      <c r="P3784" s="737">
        <v>1</v>
      </c>
      <c r="Q3784" s="752"/>
      <c r="R3784" s="752"/>
      <c r="S3784" s="752"/>
    </row>
    <row r="3785" spans="1:19" s="753" customFormat="1" ht="24" customHeight="1">
      <c r="A3785" s="734"/>
      <c r="B3785" s="747" t="s">
        <v>469</v>
      </c>
      <c r="C3785" s="735" t="s">
        <v>477</v>
      </c>
      <c r="D3785" s="735"/>
      <c r="E3785" s="737">
        <f t="shared" si="838"/>
        <v>1</v>
      </c>
      <c r="F3785" s="738" t="s">
        <v>363</v>
      </c>
      <c r="G3785" s="739">
        <v>736</v>
      </c>
      <c r="H3785" s="748">
        <f t="shared" si="837"/>
        <v>736</v>
      </c>
      <c r="I3785" s="741">
        <v>0</v>
      </c>
      <c r="J3785" s="749">
        <f t="shared" si="840"/>
        <v>0</v>
      </c>
      <c r="K3785" s="739">
        <f t="shared" si="836"/>
        <v>736</v>
      </c>
      <c r="L3785" s="1079"/>
      <c r="M3785" s="752"/>
      <c r="N3785" s="744">
        <f t="shared" si="839"/>
        <v>1</v>
      </c>
      <c r="O3785" s="745">
        <v>0</v>
      </c>
      <c r="P3785" s="737">
        <v>1</v>
      </c>
      <c r="Q3785" s="752"/>
      <c r="R3785" s="752"/>
      <c r="S3785" s="752"/>
    </row>
    <row r="3786" spans="1:19" s="753" customFormat="1" ht="24" customHeight="1">
      <c r="A3786" s="734"/>
      <c r="B3786" s="747" t="s">
        <v>469</v>
      </c>
      <c r="C3786" s="735" t="s">
        <v>478</v>
      </c>
      <c r="D3786" s="735"/>
      <c r="E3786" s="737">
        <f t="shared" si="838"/>
        <v>1</v>
      </c>
      <c r="F3786" s="738" t="s">
        <v>363</v>
      </c>
      <c r="G3786" s="739">
        <v>176</v>
      </c>
      <c r="H3786" s="748">
        <f t="shared" si="837"/>
        <v>176</v>
      </c>
      <c r="I3786" s="741">
        <v>0</v>
      </c>
      <c r="J3786" s="749">
        <f t="shared" si="840"/>
        <v>0</v>
      </c>
      <c r="K3786" s="739">
        <f t="shared" si="836"/>
        <v>176</v>
      </c>
      <c r="L3786" s="1079"/>
      <c r="M3786" s="752"/>
      <c r="N3786" s="744">
        <f t="shared" si="839"/>
        <v>1</v>
      </c>
      <c r="O3786" s="745">
        <v>0</v>
      </c>
      <c r="P3786" s="737">
        <v>1</v>
      </c>
      <c r="Q3786" s="752"/>
      <c r="R3786" s="752"/>
      <c r="S3786" s="752"/>
    </row>
    <row r="3787" spans="1:19" s="753" customFormat="1" ht="24" customHeight="1">
      <c r="A3787" s="734"/>
      <c r="B3787" s="747" t="s">
        <v>469</v>
      </c>
      <c r="C3787" s="735" t="s">
        <v>499</v>
      </c>
      <c r="D3787" s="735"/>
      <c r="E3787" s="737">
        <f t="shared" si="838"/>
        <v>1</v>
      </c>
      <c r="F3787" s="738" t="s">
        <v>363</v>
      </c>
      <c r="G3787" s="739">
        <v>216</v>
      </c>
      <c r="H3787" s="748">
        <f t="shared" si="837"/>
        <v>216</v>
      </c>
      <c r="I3787" s="741">
        <v>35</v>
      </c>
      <c r="J3787" s="749">
        <f t="shared" si="840"/>
        <v>35</v>
      </c>
      <c r="K3787" s="739">
        <f t="shared" si="836"/>
        <v>251</v>
      </c>
      <c r="L3787" s="1079"/>
      <c r="M3787" s="752"/>
      <c r="N3787" s="744">
        <f t="shared" si="839"/>
        <v>1</v>
      </c>
      <c r="O3787" s="745">
        <v>0</v>
      </c>
      <c r="P3787" s="737">
        <v>1</v>
      </c>
      <c r="Q3787" s="752"/>
      <c r="R3787" s="752"/>
      <c r="S3787" s="752"/>
    </row>
    <row r="3788" spans="1:19" s="753" customFormat="1" ht="24" customHeight="1">
      <c r="A3788" s="734"/>
      <c r="B3788" s="750"/>
      <c r="C3788" s="757"/>
      <c r="D3788" s="907"/>
      <c r="E3788" s="737">
        <f t="shared" si="838"/>
        <v>0</v>
      </c>
      <c r="F3788" s="738"/>
      <c r="G3788" s="739">
        <v>0</v>
      </c>
      <c r="H3788" s="748">
        <f t="shared" si="837"/>
        <v>0</v>
      </c>
      <c r="I3788" s="741">
        <v>0</v>
      </c>
      <c r="J3788" s="749">
        <f t="shared" si="840"/>
        <v>0</v>
      </c>
      <c r="K3788" s="739">
        <f t="shared" si="836"/>
        <v>0</v>
      </c>
      <c r="L3788" s="1079"/>
      <c r="M3788" s="752"/>
      <c r="N3788" s="744">
        <f t="shared" si="839"/>
        <v>0</v>
      </c>
      <c r="O3788" s="745">
        <v>0</v>
      </c>
      <c r="P3788" s="737">
        <v>0</v>
      </c>
      <c r="Q3788" s="752"/>
      <c r="R3788" s="752"/>
      <c r="S3788" s="752"/>
    </row>
    <row r="3789" spans="1:19" s="753" customFormat="1" ht="24" customHeight="1">
      <c r="A3789" s="734"/>
      <c r="B3789" s="747" t="s">
        <v>469</v>
      </c>
      <c r="C3789" s="735" t="s">
        <v>523</v>
      </c>
      <c r="D3789" s="735"/>
      <c r="E3789" s="737">
        <f t="shared" si="838"/>
        <v>1</v>
      </c>
      <c r="F3789" s="738" t="s">
        <v>363</v>
      </c>
      <c r="G3789" s="739">
        <v>6580</v>
      </c>
      <c r="H3789" s="748">
        <f t="shared" si="837"/>
        <v>6580</v>
      </c>
      <c r="I3789" s="741">
        <v>450</v>
      </c>
      <c r="J3789" s="749">
        <f t="shared" si="840"/>
        <v>450</v>
      </c>
      <c r="K3789" s="739">
        <f t="shared" si="836"/>
        <v>7030</v>
      </c>
      <c r="L3789" s="1079"/>
      <c r="M3789" s="752"/>
      <c r="N3789" s="744">
        <f t="shared" si="839"/>
        <v>1</v>
      </c>
      <c r="O3789" s="745">
        <v>0</v>
      </c>
      <c r="P3789" s="737">
        <v>1</v>
      </c>
      <c r="Q3789" s="752"/>
      <c r="R3789" s="752"/>
      <c r="S3789" s="752"/>
    </row>
    <row r="3790" spans="1:19" s="753" customFormat="1" ht="24" customHeight="1">
      <c r="A3790" s="734"/>
      <c r="B3790" s="747" t="s">
        <v>469</v>
      </c>
      <c r="C3790" s="735" t="s">
        <v>478</v>
      </c>
      <c r="D3790" s="735"/>
      <c r="E3790" s="737">
        <f t="shared" si="838"/>
        <v>1</v>
      </c>
      <c r="F3790" s="738" t="s">
        <v>363</v>
      </c>
      <c r="G3790" s="739">
        <v>176</v>
      </c>
      <c r="H3790" s="748">
        <f t="shared" si="837"/>
        <v>176</v>
      </c>
      <c r="I3790" s="741">
        <v>0</v>
      </c>
      <c r="J3790" s="749">
        <f t="shared" si="840"/>
        <v>0</v>
      </c>
      <c r="K3790" s="739">
        <f t="shared" si="836"/>
        <v>176</v>
      </c>
      <c r="L3790" s="1079"/>
      <c r="M3790" s="752"/>
      <c r="N3790" s="744">
        <f t="shared" si="839"/>
        <v>1</v>
      </c>
      <c r="O3790" s="745">
        <v>0</v>
      </c>
      <c r="P3790" s="737">
        <v>1</v>
      </c>
      <c r="Q3790" s="752"/>
      <c r="R3790" s="752"/>
      <c r="S3790" s="752"/>
    </row>
    <row r="3791" spans="1:19" s="753" customFormat="1" ht="24" customHeight="1">
      <c r="A3791" s="734"/>
      <c r="B3791" s="747" t="s">
        <v>469</v>
      </c>
      <c r="C3791" s="735" t="s">
        <v>482</v>
      </c>
      <c r="D3791" s="735"/>
      <c r="E3791" s="737">
        <f t="shared" si="838"/>
        <v>1</v>
      </c>
      <c r="F3791" s="738" t="s">
        <v>363</v>
      </c>
      <c r="G3791" s="739">
        <v>560</v>
      </c>
      <c r="H3791" s="748">
        <f t="shared" si="837"/>
        <v>560</v>
      </c>
      <c r="I3791" s="741">
        <v>35</v>
      </c>
      <c r="J3791" s="749">
        <f t="shared" si="840"/>
        <v>35</v>
      </c>
      <c r="K3791" s="739">
        <f t="shared" si="836"/>
        <v>595</v>
      </c>
      <c r="L3791" s="1079"/>
      <c r="M3791" s="752"/>
      <c r="N3791" s="744">
        <f t="shared" si="839"/>
        <v>1</v>
      </c>
      <c r="O3791" s="745">
        <v>0</v>
      </c>
      <c r="P3791" s="737">
        <v>1</v>
      </c>
      <c r="Q3791" s="752"/>
      <c r="R3791" s="752"/>
      <c r="S3791" s="752"/>
    </row>
    <row r="3792" spans="1:19" s="753" customFormat="1" ht="24" customHeight="1">
      <c r="A3792" s="734"/>
      <c r="B3792" s="747" t="s">
        <v>469</v>
      </c>
      <c r="C3792" s="735" t="s">
        <v>524</v>
      </c>
      <c r="D3792" s="735"/>
      <c r="E3792" s="737">
        <f t="shared" si="838"/>
        <v>1</v>
      </c>
      <c r="F3792" s="738" t="s">
        <v>363</v>
      </c>
      <c r="G3792" s="739">
        <v>216</v>
      </c>
      <c r="H3792" s="748">
        <f t="shared" si="837"/>
        <v>216</v>
      </c>
      <c r="I3792" s="741">
        <v>35</v>
      </c>
      <c r="J3792" s="749">
        <f t="shared" si="840"/>
        <v>35</v>
      </c>
      <c r="K3792" s="739">
        <f t="shared" si="836"/>
        <v>251</v>
      </c>
      <c r="L3792" s="1079"/>
      <c r="M3792" s="752"/>
      <c r="N3792" s="744">
        <f t="shared" si="839"/>
        <v>1</v>
      </c>
      <c r="O3792" s="745">
        <v>0</v>
      </c>
      <c r="P3792" s="737">
        <v>1</v>
      </c>
      <c r="Q3792" s="752"/>
      <c r="R3792" s="752"/>
      <c r="S3792" s="752"/>
    </row>
    <row r="3793" spans="1:19" s="753" customFormat="1" ht="24" customHeight="1">
      <c r="A3793" s="734"/>
      <c r="B3793" s="747"/>
      <c r="C3793" s="735"/>
      <c r="D3793" s="735"/>
      <c r="E3793" s="737">
        <f t="shared" si="838"/>
        <v>0</v>
      </c>
      <c r="F3793" s="738"/>
      <c r="G3793" s="739">
        <v>0</v>
      </c>
      <c r="H3793" s="748">
        <f t="shared" si="837"/>
        <v>0</v>
      </c>
      <c r="I3793" s="741">
        <v>0</v>
      </c>
      <c r="J3793" s="749">
        <f t="shared" si="840"/>
        <v>0</v>
      </c>
      <c r="K3793" s="739">
        <f t="shared" ref="K3793:K3809" si="841">SUM(H3793+J3793)</f>
        <v>0</v>
      </c>
      <c r="L3793" s="1079"/>
      <c r="M3793" s="752"/>
      <c r="N3793" s="744">
        <f t="shared" si="839"/>
        <v>0</v>
      </c>
      <c r="O3793" s="745">
        <v>0</v>
      </c>
      <c r="P3793" s="737">
        <v>0</v>
      </c>
      <c r="Q3793" s="752"/>
      <c r="R3793" s="752"/>
      <c r="S3793" s="752"/>
    </row>
    <row r="3794" spans="1:19" s="753" customFormat="1" ht="24" customHeight="1">
      <c r="A3794" s="734"/>
      <c r="B3794" s="747" t="s">
        <v>469</v>
      </c>
      <c r="C3794" s="735" t="s">
        <v>486</v>
      </c>
      <c r="D3794" s="735"/>
      <c r="E3794" s="737">
        <f t="shared" si="838"/>
        <v>1</v>
      </c>
      <c r="F3794" s="738" t="s">
        <v>363</v>
      </c>
      <c r="G3794" s="739">
        <v>552</v>
      </c>
      <c r="H3794" s="748">
        <f t="shared" si="837"/>
        <v>552</v>
      </c>
      <c r="I3794" s="741">
        <v>25</v>
      </c>
      <c r="J3794" s="749">
        <f t="shared" si="840"/>
        <v>25</v>
      </c>
      <c r="K3794" s="739">
        <f t="shared" si="841"/>
        <v>577</v>
      </c>
      <c r="L3794" s="1079"/>
      <c r="M3794" s="752"/>
      <c r="N3794" s="744">
        <f t="shared" si="839"/>
        <v>1</v>
      </c>
      <c r="O3794" s="745">
        <v>0</v>
      </c>
      <c r="P3794" s="737">
        <v>1</v>
      </c>
      <c r="Q3794" s="752"/>
      <c r="R3794" s="752"/>
      <c r="S3794" s="752"/>
    </row>
    <row r="3795" spans="1:19" s="753" customFormat="1" ht="24" customHeight="1">
      <c r="A3795" s="734"/>
      <c r="B3795" s="747" t="s">
        <v>484</v>
      </c>
      <c r="C3795" s="735" t="s">
        <v>485</v>
      </c>
      <c r="D3795" s="735"/>
      <c r="E3795" s="737">
        <f t="shared" si="838"/>
        <v>1</v>
      </c>
      <c r="F3795" s="738" t="s">
        <v>363</v>
      </c>
      <c r="G3795" s="739">
        <v>285</v>
      </c>
      <c r="H3795" s="748">
        <f t="shared" si="837"/>
        <v>285</v>
      </c>
      <c r="I3795" s="741">
        <v>75</v>
      </c>
      <c r="J3795" s="749">
        <f t="shared" si="840"/>
        <v>75</v>
      </c>
      <c r="K3795" s="739">
        <f t="shared" si="841"/>
        <v>360</v>
      </c>
      <c r="L3795" s="1093"/>
      <c r="M3795" s="752"/>
      <c r="N3795" s="744">
        <f t="shared" si="839"/>
        <v>1</v>
      </c>
      <c r="O3795" s="745">
        <v>0</v>
      </c>
      <c r="P3795" s="737">
        <v>1</v>
      </c>
      <c r="Q3795" s="752"/>
      <c r="R3795" s="752"/>
      <c r="S3795" s="752"/>
    </row>
    <row r="3796" spans="1:19" s="753" customFormat="1" ht="24" customHeight="1">
      <c r="A3796" s="734"/>
      <c r="B3796" s="747"/>
      <c r="C3796" s="735"/>
      <c r="D3796" s="735"/>
      <c r="E3796" s="737">
        <f t="shared" si="838"/>
        <v>0</v>
      </c>
      <c r="F3796" s="738"/>
      <c r="G3796" s="739">
        <v>0</v>
      </c>
      <c r="H3796" s="748">
        <f t="shared" si="837"/>
        <v>0</v>
      </c>
      <c r="I3796" s="741">
        <v>0</v>
      </c>
      <c r="J3796" s="749">
        <f t="shared" si="840"/>
        <v>0</v>
      </c>
      <c r="K3796" s="739">
        <f t="shared" si="841"/>
        <v>0</v>
      </c>
      <c r="L3796" s="1079"/>
      <c r="M3796" s="752"/>
      <c r="N3796" s="744">
        <f t="shared" si="839"/>
        <v>0</v>
      </c>
      <c r="O3796" s="745">
        <v>0</v>
      </c>
      <c r="P3796" s="737">
        <v>0</v>
      </c>
      <c r="Q3796" s="752"/>
      <c r="R3796" s="752"/>
      <c r="S3796" s="752"/>
    </row>
    <row r="3797" spans="1:19" s="753" customFormat="1" ht="24" customHeight="1">
      <c r="A3797" s="734"/>
      <c r="B3797" s="747" t="s">
        <v>469</v>
      </c>
      <c r="C3797" s="735" t="s">
        <v>507</v>
      </c>
      <c r="D3797" s="735"/>
      <c r="E3797" s="737">
        <f t="shared" si="838"/>
        <v>1</v>
      </c>
      <c r="F3797" s="738" t="s">
        <v>363</v>
      </c>
      <c r="G3797" s="739">
        <v>1650</v>
      </c>
      <c r="H3797" s="748">
        <f t="shared" si="837"/>
        <v>1650</v>
      </c>
      <c r="I3797" s="741">
        <v>70</v>
      </c>
      <c r="J3797" s="749">
        <f t="shared" si="840"/>
        <v>70</v>
      </c>
      <c r="K3797" s="739">
        <f t="shared" si="841"/>
        <v>1720</v>
      </c>
      <c r="L3797" s="1079"/>
      <c r="M3797" s="752"/>
      <c r="N3797" s="744">
        <f t="shared" si="839"/>
        <v>1</v>
      </c>
      <c r="O3797" s="745">
        <v>0</v>
      </c>
      <c r="P3797" s="737">
        <v>1</v>
      </c>
      <c r="Q3797" s="752"/>
      <c r="R3797" s="752"/>
      <c r="S3797" s="752"/>
    </row>
    <row r="3798" spans="1:19" s="753" customFormat="1" ht="24" customHeight="1">
      <c r="A3798" s="734"/>
      <c r="B3798" s="747" t="s">
        <v>469</v>
      </c>
      <c r="C3798" s="735" t="s">
        <v>525</v>
      </c>
      <c r="D3798" s="735"/>
      <c r="E3798" s="737">
        <f t="shared" si="838"/>
        <v>2</v>
      </c>
      <c r="F3798" s="738" t="s">
        <v>363</v>
      </c>
      <c r="G3798" s="739">
        <v>4160</v>
      </c>
      <c r="H3798" s="748">
        <f t="shared" si="837"/>
        <v>8320</v>
      </c>
      <c r="I3798" s="741">
        <v>105</v>
      </c>
      <c r="J3798" s="749">
        <f t="shared" si="840"/>
        <v>210</v>
      </c>
      <c r="K3798" s="739">
        <f t="shared" si="841"/>
        <v>8530</v>
      </c>
      <c r="L3798" s="1079"/>
      <c r="M3798" s="752"/>
      <c r="N3798" s="744">
        <f t="shared" si="839"/>
        <v>2</v>
      </c>
      <c r="O3798" s="745">
        <v>0</v>
      </c>
      <c r="P3798" s="737">
        <v>2</v>
      </c>
      <c r="Q3798" s="752"/>
      <c r="R3798" s="752"/>
      <c r="S3798" s="752"/>
    </row>
    <row r="3799" spans="1:19" s="753" customFormat="1" ht="24" customHeight="1">
      <c r="A3799" s="734"/>
      <c r="B3799" s="747" t="s">
        <v>469</v>
      </c>
      <c r="C3799" s="735" t="s">
        <v>526</v>
      </c>
      <c r="D3799" s="735"/>
      <c r="E3799" s="737">
        <f t="shared" si="838"/>
        <v>1</v>
      </c>
      <c r="F3799" s="738" t="s">
        <v>363</v>
      </c>
      <c r="G3799" s="739">
        <v>2533.5</v>
      </c>
      <c r="H3799" s="748">
        <f t="shared" si="837"/>
        <v>2533.5</v>
      </c>
      <c r="I3799" s="741">
        <v>105</v>
      </c>
      <c r="J3799" s="749">
        <f t="shared" si="840"/>
        <v>105</v>
      </c>
      <c r="K3799" s="739">
        <f t="shared" si="841"/>
        <v>2638.5</v>
      </c>
      <c r="L3799" s="1079"/>
      <c r="M3799" s="752"/>
      <c r="N3799" s="744">
        <f t="shared" si="839"/>
        <v>1</v>
      </c>
      <c r="O3799" s="745">
        <v>0</v>
      </c>
      <c r="P3799" s="737">
        <v>1</v>
      </c>
      <c r="Q3799" s="752"/>
      <c r="R3799" s="752"/>
      <c r="S3799" s="752"/>
    </row>
    <row r="3800" spans="1:19" s="753" customFormat="1" ht="24" customHeight="1">
      <c r="A3800" s="734"/>
      <c r="B3800" s="747"/>
      <c r="C3800" s="735"/>
      <c r="D3800" s="735"/>
      <c r="E3800" s="737">
        <f t="shared" si="838"/>
        <v>0</v>
      </c>
      <c r="F3800" s="738"/>
      <c r="G3800" s="739">
        <v>0</v>
      </c>
      <c r="H3800" s="748">
        <f t="shared" si="837"/>
        <v>0</v>
      </c>
      <c r="I3800" s="741">
        <v>0</v>
      </c>
      <c r="J3800" s="749">
        <f t="shared" si="840"/>
        <v>0</v>
      </c>
      <c r="K3800" s="739">
        <f t="shared" si="841"/>
        <v>0</v>
      </c>
      <c r="L3800" s="1079"/>
      <c r="M3800" s="752"/>
      <c r="N3800" s="744">
        <f t="shared" si="839"/>
        <v>0</v>
      </c>
      <c r="O3800" s="745">
        <v>0</v>
      </c>
      <c r="P3800" s="737">
        <v>0</v>
      </c>
      <c r="Q3800" s="752"/>
      <c r="R3800" s="752"/>
      <c r="S3800" s="752"/>
    </row>
    <row r="3801" spans="1:19" s="753" customFormat="1" ht="24" customHeight="1">
      <c r="A3801" s="734"/>
      <c r="B3801" s="747" t="s">
        <v>469</v>
      </c>
      <c r="C3801" s="735" t="s">
        <v>527</v>
      </c>
      <c r="D3801" s="735"/>
      <c r="E3801" s="737">
        <f t="shared" si="838"/>
        <v>1</v>
      </c>
      <c r="F3801" s="738" t="s">
        <v>363</v>
      </c>
      <c r="G3801" s="739">
        <v>2855</v>
      </c>
      <c r="H3801" s="748">
        <f t="shared" ref="H3801:H3809" si="842">SUM(E3801*G3801)</f>
        <v>2855</v>
      </c>
      <c r="I3801" s="741">
        <v>1432</v>
      </c>
      <c r="J3801" s="749">
        <f t="shared" si="840"/>
        <v>1432</v>
      </c>
      <c r="K3801" s="739">
        <f t="shared" si="841"/>
        <v>4287</v>
      </c>
      <c r="L3801" s="1079"/>
      <c r="M3801" s="752"/>
      <c r="N3801" s="744">
        <f t="shared" si="839"/>
        <v>1</v>
      </c>
      <c r="O3801" s="745">
        <v>0</v>
      </c>
      <c r="P3801" s="737">
        <v>1</v>
      </c>
      <c r="Q3801" s="752"/>
      <c r="R3801" s="752"/>
      <c r="S3801" s="752"/>
    </row>
    <row r="3802" spans="1:19" s="682" customFormat="1" ht="24" customHeight="1">
      <c r="A3802" s="734"/>
      <c r="B3802" s="747" t="s">
        <v>469</v>
      </c>
      <c r="C3802" s="735" t="s">
        <v>528</v>
      </c>
      <c r="D3802" s="735"/>
      <c r="E3802" s="737">
        <f t="shared" si="838"/>
        <v>0</v>
      </c>
      <c r="F3802" s="738" t="s">
        <v>363</v>
      </c>
      <c r="G3802" s="739">
        <v>9750</v>
      </c>
      <c r="H3802" s="748">
        <f t="shared" si="842"/>
        <v>0</v>
      </c>
      <c r="I3802" s="741">
        <v>105</v>
      </c>
      <c r="J3802" s="749">
        <f t="shared" si="840"/>
        <v>0</v>
      </c>
      <c r="K3802" s="739">
        <f t="shared" si="841"/>
        <v>0</v>
      </c>
      <c r="L3802" s="1079"/>
      <c r="M3802" s="679"/>
      <c r="N3802" s="744">
        <f t="shared" si="839"/>
        <v>0</v>
      </c>
      <c r="O3802" s="745">
        <v>0</v>
      </c>
      <c r="P3802" s="737">
        <v>0</v>
      </c>
      <c r="Q3802" s="679"/>
      <c r="R3802" s="679"/>
      <c r="S3802" s="679"/>
    </row>
    <row r="3803" spans="1:19" s="682" customFormat="1" ht="24" customHeight="1">
      <c r="A3803" s="734"/>
      <c r="B3803" s="747" t="s">
        <v>469</v>
      </c>
      <c r="C3803" s="735" t="s">
        <v>529</v>
      </c>
      <c r="D3803" s="735"/>
      <c r="E3803" s="737">
        <f t="shared" si="838"/>
        <v>0</v>
      </c>
      <c r="F3803" s="738" t="s">
        <v>363</v>
      </c>
      <c r="G3803" s="739">
        <v>5200</v>
      </c>
      <c r="H3803" s="748">
        <f t="shared" si="842"/>
        <v>0</v>
      </c>
      <c r="I3803" s="741">
        <v>70</v>
      </c>
      <c r="J3803" s="749">
        <f t="shared" si="840"/>
        <v>0</v>
      </c>
      <c r="K3803" s="739">
        <f t="shared" si="841"/>
        <v>0</v>
      </c>
      <c r="L3803" s="1079"/>
      <c r="M3803" s="679"/>
      <c r="N3803" s="744">
        <f t="shared" si="839"/>
        <v>0</v>
      </c>
      <c r="O3803" s="745">
        <v>0</v>
      </c>
      <c r="P3803" s="737">
        <v>0</v>
      </c>
      <c r="Q3803" s="679"/>
      <c r="R3803" s="679"/>
      <c r="S3803" s="679"/>
    </row>
    <row r="3804" spans="1:19" s="682" customFormat="1" ht="24" customHeight="1">
      <c r="A3804" s="734"/>
      <c r="B3804" s="747" t="s">
        <v>469</v>
      </c>
      <c r="C3804" s="735" t="s">
        <v>519</v>
      </c>
      <c r="D3804" s="735"/>
      <c r="E3804" s="737">
        <f t="shared" si="838"/>
        <v>1</v>
      </c>
      <c r="F3804" s="738" t="s">
        <v>363</v>
      </c>
      <c r="G3804" s="739">
        <v>800</v>
      </c>
      <c r="H3804" s="748">
        <f t="shared" si="842"/>
        <v>800</v>
      </c>
      <c r="I3804" s="741">
        <v>70</v>
      </c>
      <c r="J3804" s="749">
        <f t="shared" si="840"/>
        <v>70</v>
      </c>
      <c r="K3804" s="739">
        <f t="shared" si="841"/>
        <v>870</v>
      </c>
      <c r="L3804" s="1079"/>
      <c r="M3804" s="679"/>
      <c r="N3804" s="744">
        <f t="shared" si="839"/>
        <v>1</v>
      </c>
      <c r="O3804" s="745">
        <v>0</v>
      </c>
      <c r="P3804" s="737">
        <v>1</v>
      </c>
      <c r="Q3804" s="679"/>
      <c r="R3804" s="679"/>
      <c r="S3804" s="679"/>
    </row>
    <row r="3805" spans="1:19" s="682" customFormat="1" ht="24" customHeight="1">
      <c r="A3805" s="734"/>
      <c r="B3805" s="747" t="s">
        <v>469</v>
      </c>
      <c r="C3805" s="735" t="s">
        <v>520</v>
      </c>
      <c r="D3805" s="735"/>
      <c r="E3805" s="737">
        <f t="shared" ref="E3805:E3809" si="843">+N3805</f>
        <v>0</v>
      </c>
      <c r="F3805" s="738" t="s">
        <v>361</v>
      </c>
      <c r="G3805" s="739">
        <v>190</v>
      </c>
      <c r="H3805" s="748">
        <f t="shared" si="842"/>
        <v>0</v>
      </c>
      <c r="I3805" s="741">
        <v>75</v>
      </c>
      <c r="J3805" s="749">
        <f t="shared" si="840"/>
        <v>0</v>
      </c>
      <c r="K3805" s="739">
        <f t="shared" si="841"/>
        <v>0</v>
      </c>
      <c r="L3805" s="1079"/>
      <c r="M3805" s="679"/>
      <c r="N3805" s="744">
        <f t="shared" si="839"/>
        <v>0</v>
      </c>
      <c r="O3805" s="745">
        <v>0</v>
      </c>
      <c r="P3805" s="737">
        <v>0</v>
      </c>
      <c r="Q3805" s="679"/>
      <c r="R3805" s="679"/>
      <c r="S3805" s="679"/>
    </row>
    <row r="3806" spans="1:19" s="753" customFormat="1" ht="24" customHeight="1">
      <c r="A3806" s="734"/>
      <c r="B3806" s="747"/>
      <c r="C3806" s="735"/>
      <c r="D3806" s="735"/>
      <c r="E3806" s="737">
        <f t="shared" si="843"/>
        <v>0</v>
      </c>
      <c r="F3806" s="738"/>
      <c r="G3806" s="739">
        <v>0</v>
      </c>
      <c r="H3806" s="748">
        <f t="shared" si="842"/>
        <v>0</v>
      </c>
      <c r="I3806" s="741">
        <v>0</v>
      </c>
      <c r="J3806" s="749">
        <f t="shared" si="840"/>
        <v>0</v>
      </c>
      <c r="K3806" s="739">
        <f t="shared" si="841"/>
        <v>0</v>
      </c>
      <c r="L3806" s="1079"/>
      <c r="M3806" s="752"/>
      <c r="N3806" s="758">
        <f t="shared" si="839"/>
        <v>0</v>
      </c>
      <c r="O3806" s="745">
        <v>0</v>
      </c>
      <c r="P3806" s="759">
        <v>0</v>
      </c>
      <c r="Q3806" s="752"/>
      <c r="R3806" s="752"/>
      <c r="S3806" s="752"/>
    </row>
    <row r="3807" spans="1:19" s="753" customFormat="1" ht="24" customHeight="1">
      <c r="A3807" s="734"/>
      <c r="B3807" s="751" t="s">
        <v>1092</v>
      </c>
      <c r="C3807" s="735"/>
      <c r="D3807" s="735"/>
      <c r="E3807" s="737">
        <f t="shared" si="843"/>
        <v>0</v>
      </c>
      <c r="F3807" s="738"/>
      <c r="G3807" s="739">
        <v>0</v>
      </c>
      <c r="H3807" s="748">
        <f t="shared" si="842"/>
        <v>0</v>
      </c>
      <c r="I3807" s="741">
        <v>0</v>
      </c>
      <c r="J3807" s="749">
        <f t="shared" si="840"/>
        <v>0</v>
      </c>
      <c r="K3807" s="739">
        <f t="shared" si="841"/>
        <v>0</v>
      </c>
      <c r="L3807" s="1079"/>
      <c r="M3807" s="752"/>
      <c r="N3807" s="744">
        <f t="shared" si="839"/>
        <v>0</v>
      </c>
      <c r="O3807" s="745">
        <v>0</v>
      </c>
      <c r="P3807" s="737">
        <v>0</v>
      </c>
      <c r="Q3807" s="752"/>
      <c r="R3807" s="752"/>
      <c r="S3807" s="752"/>
    </row>
    <row r="3808" spans="1:19" s="753" customFormat="1" ht="24" customHeight="1">
      <c r="A3808" s="734"/>
      <c r="B3808" s="747" t="s">
        <v>469</v>
      </c>
      <c r="C3808" s="735" t="s">
        <v>486</v>
      </c>
      <c r="D3808" s="735"/>
      <c r="E3808" s="737">
        <f t="shared" si="843"/>
        <v>1</v>
      </c>
      <c r="F3808" s="738" t="s">
        <v>363</v>
      </c>
      <c r="G3808" s="739">
        <v>552</v>
      </c>
      <c r="H3808" s="748">
        <f t="shared" si="842"/>
        <v>552</v>
      </c>
      <c r="I3808" s="741">
        <v>25</v>
      </c>
      <c r="J3808" s="749">
        <f t="shared" si="840"/>
        <v>25</v>
      </c>
      <c r="K3808" s="739">
        <f t="shared" si="841"/>
        <v>577</v>
      </c>
      <c r="L3808" s="1079"/>
      <c r="M3808" s="752"/>
      <c r="N3808" s="744">
        <f t="shared" si="839"/>
        <v>1</v>
      </c>
      <c r="O3808" s="745">
        <v>0</v>
      </c>
      <c r="P3808" s="737">
        <v>1</v>
      </c>
      <c r="Q3808" s="752"/>
      <c r="R3808" s="752"/>
      <c r="S3808" s="752"/>
    </row>
    <row r="3809" spans="1:19" s="753" customFormat="1" ht="24" customHeight="1">
      <c r="A3809" s="734"/>
      <c r="B3809" s="747" t="s">
        <v>484</v>
      </c>
      <c r="C3809" s="735" t="s">
        <v>485</v>
      </c>
      <c r="D3809" s="735"/>
      <c r="E3809" s="737">
        <f t="shared" si="843"/>
        <v>1</v>
      </c>
      <c r="F3809" s="738" t="s">
        <v>363</v>
      </c>
      <c r="G3809" s="739">
        <v>285</v>
      </c>
      <c r="H3809" s="748">
        <f t="shared" si="842"/>
        <v>285</v>
      </c>
      <c r="I3809" s="741">
        <v>75</v>
      </c>
      <c r="J3809" s="749">
        <f t="shared" si="840"/>
        <v>75</v>
      </c>
      <c r="K3809" s="739">
        <f t="shared" si="841"/>
        <v>360</v>
      </c>
      <c r="L3809" s="1093"/>
      <c r="M3809" s="752"/>
      <c r="N3809" s="744">
        <f t="shared" si="839"/>
        <v>1</v>
      </c>
      <c r="O3809" s="745">
        <v>0</v>
      </c>
      <c r="P3809" s="737">
        <v>1</v>
      </c>
      <c r="Q3809" s="752"/>
      <c r="R3809" s="752"/>
      <c r="S3809" s="752"/>
    </row>
    <row r="3810" spans="1:19" s="753" customFormat="1" ht="24" customHeight="1">
      <c r="A3810" s="734"/>
      <c r="B3810" s="747"/>
      <c r="C3810" s="735"/>
      <c r="D3810" s="735"/>
      <c r="E3810" s="737"/>
      <c r="F3810" s="738"/>
      <c r="G3810" s="739"/>
      <c r="H3810" s="748"/>
      <c r="I3810" s="741"/>
      <c r="J3810" s="749"/>
      <c r="K3810" s="739"/>
      <c r="L3810" s="1093"/>
      <c r="M3810" s="752"/>
      <c r="N3810" s="744">
        <f t="shared" si="839"/>
        <v>0</v>
      </c>
      <c r="O3810" s="745">
        <v>0</v>
      </c>
      <c r="P3810" s="737">
        <v>0</v>
      </c>
      <c r="Q3810" s="752"/>
      <c r="R3810" s="752"/>
      <c r="S3810" s="752"/>
    </row>
    <row r="3811" spans="1:19" s="760" customFormat="1" ht="23.4">
      <c r="A3811" s="734" t="s">
        <v>764</v>
      </c>
      <c r="B3811" s="761" t="s">
        <v>539</v>
      </c>
      <c r="C3811" s="736"/>
      <c r="D3811" s="907"/>
      <c r="E3811" s="737"/>
      <c r="F3811" s="738"/>
      <c r="G3811" s="739">
        <v>0</v>
      </c>
      <c r="H3811" s="748">
        <f t="shared" ref="H3811:H3874" si="844">SUM(E3811*G3811)</f>
        <v>0</v>
      </c>
      <c r="I3811" s="741">
        <v>0</v>
      </c>
      <c r="J3811" s="749">
        <f t="shared" ref="J3811:J3874" si="845">SUM(E3811*I3811)</f>
        <v>0</v>
      </c>
      <c r="K3811" s="739">
        <f t="shared" ref="K3811:K3852" si="846">SUM(H3811+J3811)</f>
        <v>0</v>
      </c>
      <c r="L3811" s="1079"/>
      <c r="M3811" s="683"/>
      <c r="N3811" s="744">
        <f t="shared" si="839"/>
        <v>0</v>
      </c>
      <c r="O3811" s="745">
        <v>0</v>
      </c>
      <c r="P3811" s="737">
        <v>0</v>
      </c>
      <c r="Q3811" s="683"/>
      <c r="R3811" s="683"/>
      <c r="S3811" s="683"/>
    </row>
    <row r="3812" spans="1:19" s="753" customFormat="1" ht="24" customHeight="1">
      <c r="A3812" s="734"/>
      <c r="B3812" s="735" t="s">
        <v>1072</v>
      </c>
      <c r="C3812" s="736"/>
      <c r="D3812" s="907"/>
      <c r="E3812" s="737"/>
      <c r="F3812" s="738"/>
      <c r="G3812" s="739">
        <v>0</v>
      </c>
      <c r="H3812" s="748">
        <f t="shared" si="844"/>
        <v>0</v>
      </c>
      <c r="I3812" s="741">
        <v>0</v>
      </c>
      <c r="J3812" s="749">
        <f t="shared" si="845"/>
        <v>0</v>
      </c>
      <c r="K3812" s="739">
        <f t="shared" si="846"/>
        <v>0</v>
      </c>
      <c r="L3812" s="1079"/>
      <c r="M3812" s="752"/>
      <c r="N3812" s="744"/>
      <c r="O3812" s="745"/>
      <c r="P3812" s="737"/>
      <c r="Q3812" s="752"/>
      <c r="R3812" s="752"/>
      <c r="S3812" s="752"/>
    </row>
    <row r="3813" spans="1:19" s="753" customFormat="1" ht="24" customHeight="1">
      <c r="A3813" s="734"/>
      <c r="B3813" s="747" t="s">
        <v>469</v>
      </c>
      <c r="C3813" s="735" t="s">
        <v>497</v>
      </c>
      <c r="D3813" s="735"/>
      <c r="E3813" s="737">
        <f>+N3813</f>
        <v>4</v>
      </c>
      <c r="F3813" s="738" t="s">
        <v>363</v>
      </c>
      <c r="G3813" s="739">
        <v>1540</v>
      </c>
      <c r="H3813" s="748">
        <f t="shared" si="844"/>
        <v>6160</v>
      </c>
      <c r="I3813" s="741">
        <v>450</v>
      </c>
      <c r="J3813" s="749">
        <f t="shared" si="845"/>
        <v>1800</v>
      </c>
      <c r="K3813" s="739">
        <f t="shared" si="846"/>
        <v>7960</v>
      </c>
      <c r="L3813" s="1079"/>
      <c r="M3813" s="752"/>
      <c r="N3813" s="744">
        <f t="shared" ref="N3813:N3819" si="847">+(1+O3813)*P3813</f>
        <v>4</v>
      </c>
      <c r="O3813" s="745">
        <v>0</v>
      </c>
      <c r="P3813" s="737">
        <v>4</v>
      </c>
      <c r="Q3813" s="752"/>
      <c r="R3813" s="752"/>
      <c r="S3813" s="752"/>
    </row>
    <row r="3814" spans="1:19" s="753" customFormat="1" ht="24" customHeight="1">
      <c r="A3814" s="734"/>
      <c r="B3814" s="747" t="s">
        <v>469</v>
      </c>
      <c r="C3814" s="735" t="s">
        <v>498</v>
      </c>
      <c r="D3814" s="735"/>
      <c r="E3814" s="737">
        <f t="shared" ref="E3814:E3877" si="848">+N3814</f>
        <v>4</v>
      </c>
      <c r="F3814" s="738" t="s">
        <v>363</v>
      </c>
      <c r="G3814" s="739">
        <v>6640</v>
      </c>
      <c r="H3814" s="748">
        <f t="shared" si="844"/>
        <v>26560</v>
      </c>
      <c r="I3814" s="741">
        <v>200</v>
      </c>
      <c r="J3814" s="749">
        <f t="shared" si="845"/>
        <v>800</v>
      </c>
      <c r="K3814" s="739">
        <f t="shared" si="846"/>
        <v>27360</v>
      </c>
      <c r="L3814" s="1079"/>
      <c r="M3814" s="752"/>
      <c r="N3814" s="744">
        <f t="shared" si="847"/>
        <v>4</v>
      </c>
      <c r="O3814" s="745">
        <v>0</v>
      </c>
      <c r="P3814" s="737">
        <v>4</v>
      </c>
      <c r="Q3814" s="752"/>
      <c r="R3814" s="752"/>
      <c r="S3814" s="752"/>
    </row>
    <row r="3815" spans="1:19" s="753" customFormat="1" ht="24" customHeight="1">
      <c r="A3815" s="734"/>
      <c r="B3815" s="747" t="s">
        <v>469</v>
      </c>
      <c r="C3815" s="735" t="s">
        <v>496</v>
      </c>
      <c r="D3815" s="735"/>
      <c r="E3815" s="737">
        <f t="shared" si="848"/>
        <v>4</v>
      </c>
      <c r="F3815" s="738" t="s">
        <v>363</v>
      </c>
      <c r="G3815" s="739">
        <v>336</v>
      </c>
      <c r="H3815" s="748">
        <f t="shared" si="844"/>
        <v>1344</v>
      </c>
      <c r="I3815" s="741">
        <v>0</v>
      </c>
      <c r="J3815" s="749">
        <f t="shared" si="845"/>
        <v>0</v>
      </c>
      <c r="K3815" s="739">
        <f t="shared" si="846"/>
        <v>1344</v>
      </c>
      <c r="L3815" s="1079"/>
      <c r="M3815" s="752"/>
      <c r="N3815" s="744">
        <f t="shared" si="847"/>
        <v>4</v>
      </c>
      <c r="O3815" s="745">
        <v>0</v>
      </c>
      <c r="P3815" s="737">
        <v>4</v>
      </c>
      <c r="Q3815" s="752"/>
      <c r="R3815" s="752"/>
      <c r="S3815" s="752"/>
    </row>
    <row r="3816" spans="1:19" s="753" customFormat="1" ht="24" customHeight="1">
      <c r="A3816" s="734"/>
      <c r="B3816" s="747" t="s">
        <v>469</v>
      </c>
      <c r="C3816" s="735" t="s">
        <v>490</v>
      </c>
      <c r="D3816" s="735"/>
      <c r="E3816" s="737">
        <f t="shared" si="848"/>
        <v>4</v>
      </c>
      <c r="F3816" s="738" t="s">
        <v>363</v>
      </c>
      <c r="G3816" s="739">
        <v>736</v>
      </c>
      <c r="H3816" s="748">
        <f t="shared" si="844"/>
        <v>2944</v>
      </c>
      <c r="I3816" s="741">
        <v>0</v>
      </c>
      <c r="J3816" s="749">
        <f t="shared" si="845"/>
        <v>0</v>
      </c>
      <c r="K3816" s="739">
        <f t="shared" si="846"/>
        <v>2944</v>
      </c>
      <c r="L3816" s="1079"/>
      <c r="M3816" s="752"/>
      <c r="N3816" s="744">
        <f t="shared" si="847"/>
        <v>4</v>
      </c>
      <c r="O3816" s="745">
        <v>0</v>
      </c>
      <c r="P3816" s="737">
        <v>4</v>
      </c>
      <c r="Q3816" s="752"/>
      <c r="R3816" s="752"/>
      <c r="S3816" s="752"/>
    </row>
    <row r="3817" spans="1:19" s="753" customFormat="1" ht="24" customHeight="1">
      <c r="A3817" s="734"/>
      <c r="B3817" s="747" t="s">
        <v>469</v>
      </c>
      <c r="C3817" s="735" t="s">
        <v>478</v>
      </c>
      <c r="D3817" s="735"/>
      <c r="E3817" s="737">
        <f t="shared" si="848"/>
        <v>4</v>
      </c>
      <c r="F3817" s="738" t="s">
        <v>363</v>
      </c>
      <c r="G3817" s="739">
        <v>176</v>
      </c>
      <c r="H3817" s="748">
        <f t="shared" si="844"/>
        <v>704</v>
      </c>
      <c r="I3817" s="741">
        <v>0</v>
      </c>
      <c r="J3817" s="749">
        <f t="shared" si="845"/>
        <v>0</v>
      </c>
      <c r="K3817" s="739">
        <f t="shared" si="846"/>
        <v>704</v>
      </c>
      <c r="L3817" s="1079"/>
      <c r="M3817" s="752"/>
      <c r="N3817" s="744">
        <f t="shared" si="847"/>
        <v>4</v>
      </c>
      <c r="O3817" s="745">
        <v>0</v>
      </c>
      <c r="P3817" s="737">
        <v>4</v>
      </c>
      <c r="Q3817" s="752"/>
      <c r="R3817" s="752"/>
      <c r="S3817" s="752"/>
    </row>
    <row r="3818" spans="1:19" s="753" customFormat="1" ht="24" customHeight="1">
      <c r="A3818" s="734"/>
      <c r="B3818" s="747" t="s">
        <v>469</v>
      </c>
      <c r="C3818" s="735" t="s">
        <v>499</v>
      </c>
      <c r="D3818" s="735"/>
      <c r="E3818" s="737">
        <f t="shared" si="848"/>
        <v>4</v>
      </c>
      <c r="F3818" s="738" t="s">
        <v>363</v>
      </c>
      <c r="G3818" s="739">
        <v>216</v>
      </c>
      <c r="H3818" s="748">
        <f t="shared" si="844"/>
        <v>864</v>
      </c>
      <c r="I3818" s="741">
        <v>35</v>
      </c>
      <c r="J3818" s="749">
        <f t="shared" si="845"/>
        <v>140</v>
      </c>
      <c r="K3818" s="739">
        <f t="shared" si="846"/>
        <v>1004</v>
      </c>
      <c r="L3818" s="1079"/>
      <c r="M3818" s="752"/>
      <c r="N3818" s="744">
        <f t="shared" si="847"/>
        <v>4</v>
      </c>
      <c r="O3818" s="745">
        <v>0</v>
      </c>
      <c r="P3818" s="737">
        <v>4</v>
      </c>
      <c r="Q3818" s="752"/>
      <c r="R3818" s="752"/>
      <c r="S3818" s="752"/>
    </row>
    <row r="3819" spans="1:19" s="753" customFormat="1" ht="24" customHeight="1">
      <c r="A3819" s="734"/>
      <c r="B3819" s="750"/>
      <c r="C3819" s="736"/>
      <c r="D3819" s="907"/>
      <c r="E3819" s="737">
        <f t="shared" si="848"/>
        <v>0</v>
      </c>
      <c r="F3819" s="738"/>
      <c r="G3819" s="739">
        <v>0</v>
      </c>
      <c r="H3819" s="748">
        <f t="shared" si="844"/>
        <v>0</v>
      </c>
      <c r="I3819" s="741">
        <v>0</v>
      </c>
      <c r="J3819" s="749">
        <f t="shared" si="845"/>
        <v>0</v>
      </c>
      <c r="K3819" s="739">
        <f t="shared" si="846"/>
        <v>0</v>
      </c>
      <c r="L3819" s="1079"/>
      <c r="M3819" s="752"/>
      <c r="N3819" s="744">
        <f t="shared" si="847"/>
        <v>0</v>
      </c>
      <c r="O3819" s="745">
        <v>0</v>
      </c>
      <c r="P3819" s="737">
        <v>0</v>
      </c>
      <c r="Q3819" s="752"/>
      <c r="R3819" s="752"/>
      <c r="S3819" s="752"/>
    </row>
    <row r="3820" spans="1:19" s="753" customFormat="1" ht="24" customHeight="1">
      <c r="A3820" s="734"/>
      <c r="B3820" s="747" t="s">
        <v>469</v>
      </c>
      <c r="C3820" s="735" t="s">
        <v>492</v>
      </c>
      <c r="D3820" s="735"/>
      <c r="E3820" s="737">
        <f t="shared" si="848"/>
        <v>5</v>
      </c>
      <c r="F3820" s="738" t="s">
        <v>363</v>
      </c>
      <c r="G3820" s="739">
        <v>9375</v>
      </c>
      <c r="H3820" s="748">
        <f t="shared" si="844"/>
        <v>46875</v>
      </c>
      <c r="I3820" s="741">
        <v>450</v>
      </c>
      <c r="J3820" s="749">
        <f t="shared" si="845"/>
        <v>2250</v>
      </c>
      <c r="K3820" s="739">
        <f t="shared" si="846"/>
        <v>49125</v>
      </c>
      <c r="L3820" s="1079"/>
      <c r="M3820" s="752"/>
      <c r="N3820" s="744">
        <f>+(1+O3820)*P3820</f>
        <v>5</v>
      </c>
      <c r="O3820" s="745">
        <v>0</v>
      </c>
      <c r="P3820" s="737">
        <v>5</v>
      </c>
      <c r="Q3820" s="752"/>
      <c r="R3820" s="752"/>
      <c r="S3820" s="752"/>
    </row>
    <row r="3821" spans="1:19" s="753" customFormat="1" ht="24" customHeight="1">
      <c r="A3821" s="734"/>
      <c r="B3821" s="747" t="s">
        <v>469</v>
      </c>
      <c r="C3821" s="735" t="s">
        <v>500</v>
      </c>
      <c r="D3821" s="735"/>
      <c r="E3821" s="737">
        <f t="shared" si="848"/>
        <v>5</v>
      </c>
      <c r="F3821" s="738" t="s">
        <v>363</v>
      </c>
      <c r="G3821" s="739">
        <v>12752</v>
      </c>
      <c r="H3821" s="748">
        <f t="shared" si="844"/>
        <v>63760</v>
      </c>
      <c r="I3821" s="741">
        <v>0</v>
      </c>
      <c r="J3821" s="749">
        <f t="shared" si="845"/>
        <v>0</v>
      </c>
      <c r="K3821" s="739">
        <f t="shared" si="846"/>
        <v>63760</v>
      </c>
      <c r="L3821" s="1079"/>
      <c r="M3821" s="752"/>
      <c r="N3821" s="744">
        <f t="shared" ref="N3821:N3884" si="849">+(1+O3821)*P3821</f>
        <v>5</v>
      </c>
      <c r="O3821" s="745">
        <v>0</v>
      </c>
      <c r="P3821" s="737">
        <v>5</v>
      </c>
      <c r="Q3821" s="752"/>
      <c r="R3821" s="752"/>
      <c r="S3821" s="752"/>
    </row>
    <row r="3822" spans="1:19" s="753" customFormat="1" ht="24" customHeight="1">
      <c r="A3822" s="734"/>
      <c r="B3822" s="747" t="s">
        <v>469</v>
      </c>
      <c r="C3822" s="735" t="s">
        <v>501</v>
      </c>
      <c r="D3822" s="735"/>
      <c r="E3822" s="737">
        <v>0</v>
      </c>
      <c r="F3822" s="738" t="s">
        <v>363</v>
      </c>
      <c r="G3822" s="739">
        <v>1950</v>
      </c>
      <c r="H3822" s="748">
        <f t="shared" si="844"/>
        <v>0</v>
      </c>
      <c r="I3822" s="741">
        <v>35</v>
      </c>
      <c r="J3822" s="749">
        <f t="shared" si="845"/>
        <v>0</v>
      </c>
      <c r="K3822" s="739">
        <f t="shared" si="846"/>
        <v>0</v>
      </c>
      <c r="L3822" s="1079"/>
      <c r="M3822" s="752"/>
      <c r="N3822" s="744">
        <f t="shared" si="849"/>
        <v>5</v>
      </c>
      <c r="O3822" s="745">
        <v>0</v>
      </c>
      <c r="P3822" s="737">
        <v>5</v>
      </c>
      <c r="Q3822" s="752"/>
      <c r="R3822" s="752"/>
      <c r="S3822" s="752"/>
    </row>
    <row r="3823" spans="1:19" s="753" customFormat="1" ht="24" customHeight="1">
      <c r="A3823" s="734"/>
      <c r="B3823" s="747" t="s">
        <v>469</v>
      </c>
      <c r="C3823" s="735" t="s">
        <v>502</v>
      </c>
      <c r="D3823" s="735"/>
      <c r="E3823" s="737">
        <f t="shared" si="848"/>
        <v>5</v>
      </c>
      <c r="F3823" s="738" t="s">
        <v>363</v>
      </c>
      <c r="G3823" s="739">
        <v>216</v>
      </c>
      <c r="H3823" s="748">
        <f t="shared" si="844"/>
        <v>1080</v>
      </c>
      <c r="I3823" s="741">
        <v>35</v>
      </c>
      <c r="J3823" s="749">
        <f t="shared" si="845"/>
        <v>175</v>
      </c>
      <c r="K3823" s="739">
        <f t="shared" si="846"/>
        <v>1255</v>
      </c>
      <c r="L3823" s="1079"/>
      <c r="M3823" s="752"/>
      <c r="N3823" s="744">
        <f t="shared" si="849"/>
        <v>5</v>
      </c>
      <c r="O3823" s="745">
        <v>0</v>
      </c>
      <c r="P3823" s="737">
        <v>5</v>
      </c>
      <c r="Q3823" s="754"/>
      <c r="R3823" s="752"/>
      <c r="S3823" s="752"/>
    </row>
    <row r="3824" spans="1:19" s="753" customFormat="1" ht="24" customHeight="1">
      <c r="A3824" s="734"/>
      <c r="B3824" s="747"/>
      <c r="C3824" s="735"/>
      <c r="D3824" s="907"/>
      <c r="E3824" s="737">
        <f t="shared" si="848"/>
        <v>0</v>
      </c>
      <c r="F3824" s="738"/>
      <c r="G3824" s="739">
        <v>0</v>
      </c>
      <c r="H3824" s="748">
        <f t="shared" si="844"/>
        <v>0</v>
      </c>
      <c r="I3824" s="741">
        <v>0</v>
      </c>
      <c r="J3824" s="749">
        <f t="shared" si="845"/>
        <v>0</v>
      </c>
      <c r="K3824" s="739">
        <f t="shared" si="846"/>
        <v>0</v>
      </c>
      <c r="L3824" s="1079"/>
      <c r="M3824" s="752"/>
      <c r="N3824" s="744">
        <f t="shared" si="849"/>
        <v>0</v>
      </c>
      <c r="O3824" s="745">
        <v>0</v>
      </c>
      <c r="P3824" s="737">
        <v>0</v>
      </c>
      <c r="Q3824" s="752"/>
      <c r="R3824" s="752"/>
      <c r="S3824" s="752"/>
    </row>
    <row r="3825" spans="1:19" s="753" customFormat="1" ht="24" customHeight="1">
      <c r="A3825" s="734"/>
      <c r="B3825" s="747" t="s">
        <v>469</v>
      </c>
      <c r="C3825" s="735" t="s">
        <v>503</v>
      </c>
      <c r="D3825" s="735"/>
      <c r="E3825" s="737">
        <f t="shared" si="848"/>
        <v>8</v>
      </c>
      <c r="F3825" s="738" t="s">
        <v>363</v>
      </c>
      <c r="G3825" s="739">
        <v>3920</v>
      </c>
      <c r="H3825" s="748">
        <f t="shared" si="844"/>
        <v>31360</v>
      </c>
      <c r="I3825" s="741">
        <v>450</v>
      </c>
      <c r="J3825" s="749">
        <f t="shared" si="845"/>
        <v>3600</v>
      </c>
      <c r="K3825" s="739">
        <f t="shared" si="846"/>
        <v>34960</v>
      </c>
      <c r="L3825" s="1079"/>
      <c r="M3825" s="752"/>
      <c r="N3825" s="744">
        <f t="shared" si="849"/>
        <v>8</v>
      </c>
      <c r="O3825" s="745">
        <v>0</v>
      </c>
      <c r="P3825" s="737">
        <v>8</v>
      </c>
      <c r="Q3825" s="752"/>
      <c r="R3825" s="752"/>
      <c r="S3825" s="752"/>
    </row>
    <row r="3826" spans="1:19" s="753" customFormat="1" ht="24" customHeight="1">
      <c r="A3826" s="734"/>
      <c r="B3826" s="747" t="s">
        <v>469</v>
      </c>
      <c r="C3826" s="735" t="s">
        <v>504</v>
      </c>
      <c r="D3826" s="735"/>
      <c r="E3826" s="737">
        <f t="shared" si="848"/>
        <v>8</v>
      </c>
      <c r="F3826" s="738" t="s">
        <v>363</v>
      </c>
      <c r="G3826" s="739">
        <v>12752</v>
      </c>
      <c r="H3826" s="748">
        <f t="shared" si="844"/>
        <v>102016</v>
      </c>
      <c r="I3826" s="741">
        <v>0</v>
      </c>
      <c r="J3826" s="749">
        <f t="shared" si="845"/>
        <v>0</v>
      </c>
      <c r="K3826" s="739">
        <f t="shared" si="846"/>
        <v>102016</v>
      </c>
      <c r="L3826" s="1079"/>
      <c r="M3826" s="752"/>
      <c r="N3826" s="744">
        <f t="shared" si="849"/>
        <v>8</v>
      </c>
      <c r="O3826" s="745">
        <v>0</v>
      </c>
      <c r="P3826" s="737">
        <v>8</v>
      </c>
      <c r="Q3826" s="752"/>
      <c r="R3826" s="752"/>
      <c r="S3826" s="752"/>
    </row>
    <row r="3827" spans="1:19" s="682" customFormat="1" ht="24" customHeight="1">
      <c r="A3827" s="734"/>
      <c r="B3827" s="747" t="s">
        <v>469</v>
      </c>
      <c r="C3827" s="735" t="s">
        <v>505</v>
      </c>
      <c r="D3827" s="735"/>
      <c r="E3827" s="737">
        <f t="shared" si="848"/>
        <v>6</v>
      </c>
      <c r="F3827" s="738" t="s">
        <v>363</v>
      </c>
      <c r="G3827" s="739">
        <v>2280</v>
      </c>
      <c r="H3827" s="748">
        <f t="shared" si="844"/>
        <v>13680</v>
      </c>
      <c r="I3827" s="741">
        <v>300</v>
      </c>
      <c r="J3827" s="749">
        <f t="shared" si="845"/>
        <v>1800</v>
      </c>
      <c r="K3827" s="739">
        <f t="shared" si="846"/>
        <v>15480</v>
      </c>
      <c r="L3827" s="1079"/>
      <c r="M3827" s="679"/>
      <c r="N3827" s="744">
        <f t="shared" si="849"/>
        <v>6</v>
      </c>
      <c r="O3827" s="745">
        <v>0</v>
      </c>
      <c r="P3827" s="737">
        <v>6</v>
      </c>
      <c r="Q3827" s="679"/>
      <c r="R3827" s="679"/>
      <c r="S3827" s="679"/>
    </row>
    <row r="3828" spans="1:19" s="682" customFormat="1" ht="24" customHeight="1">
      <c r="A3828" s="734"/>
      <c r="B3828" s="747" t="s">
        <v>469</v>
      </c>
      <c r="C3828" s="735" t="s">
        <v>506</v>
      </c>
      <c r="D3828" s="735"/>
      <c r="E3828" s="737">
        <f t="shared" si="848"/>
        <v>0</v>
      </c>
      <c r="F3828" s="738" t="s">
        <v>363</v>
      </c>
      <c r="G3828" s="739">
        <v>6592</v>
      </c>
      <c r="H3828" s="748">
        <f t="shared" si="844"/>
        <v>0</v>
      </c>
      <c r="I3828" s="741">
        <v>140</v>
      </c>
      <c r="J3828" s="749">
        <f t="shared" si="845"/>
        <v>0</v>
      </c>
      <c r="K3828" s="739">
        <f t="shared" si="846"/>
        <v>0</v>
      </c>
      <c r="L3828" s="1079"/>
      <c r="M3828" s="679"/>
      <c r="N3828" s="744">
        <f t="shared" si="849"/>
        <v>0</v>
      </c>
      <c r="O3828" s="745">
        <v>0</v>
      </c>
      <c r="P3828" s="737">
        <v>0</v>
      </c>
      <c r="Q3828" s="679"/>
      <c r="R3828" s="679"/>
      <c r="S3828" s="679"/>
    </row>
    <row r="3829" spans="1:19" s="753" customFormat="1" ht="24" customHeight="1">
      <c r="A3829" s="734"/>
      <c r="B3829" s="747" t="s">
        <v>484</v>
      </c>
      <c r="C3829" s="735" t="s">
        <v>485</v>
      </c>
      <c r="D3829" s="735"/>
      <c r="E3829" s="737">
        <f t="shared" si="848"/>
        <v>7</v>
      </c>
      <c r="F3829" s="738" t="s">
        <v>363</v>
      </c>
      <c r="G3829" s="739">
        <v>285</v>
      </c>
      <c r="H3829" s="748">
        <f t="shared" si="844"/>
        <v>1995</v>
      </c>
      <c r="I3829" s="741">
        <v>75</v>
      </c>
      <c r="J3829" s="749">
        <f t="shared" si="845"/>
        <v>525</v>
      </c>
      <c r="K3829" s="739">
        <f t="shared" si="846"/>
        <v>2520</v>
      </c>
      <c r="L3829" s="1093"/>
      <c r="M3829" s="752"/>
      <c r="N3829" s="744">
        <f t="shared" si="849"/>
        <v>7</v>
      </c>
      <c r="O3829" s="745">
        <v>0</v>
      </c>
      <c r="P3829" s="737">
        <v>7</v>
      </c>
      <c r="Q3829" s="752"/>
      <c r="R3829" s="752"/>
      <c r="S3829" s="752"/>
    </row>
    <row r="3830" spans="1:19" s="753" customFormat="1" ht="24" customHeight="1">
      <c r="A3830" s="734"/>
      <c r="B3830" s="747" t="s">
        <v>469</v>
      </c>
      <c r="C3830" s="735" t="s">
        <v>486</v>
      </c>
      <c r="D3830" s="735"/>
      <c r="E3830" s="737">
        <f t="shared" si="848"/>
        <v>1</v>
      </c>
      <c r="F3830" s="738" t="s">
        <v>363</v>
      </c>
      <c r="G3830" s="739">
        <v>552</v>
      </c>
      <c r="H3830" s="748">
        <f t="shared" si="844"/>
        <v>552</v>
      </c>
      <c r="I3830" s="741">
        <v>25</v>
      </c>
      <c r="J3830" s="749">
        <f t="shared" si="845"/>
        <v>25</v>
      </c>
      <c r="K3830" s="739">
        <f t="shared" si="846"/>
        <v>577</v>
      </c>
      <c r="L3830" s="1079"/>
      <c r="M3830" s="752"/>
      <c r="N3830" s="744">
        <f t="shared" si="849"/>
        <v>1</v>
      </c>
      <c r="O3830" s="745">
        <v>0</v>
      </c>
      <c r="P3830" s="737">
        <v>1</v>
      </c>
      <c r="Q3830" s="752"/>
      <c r="R3830" s="752"/>
      <c r="S3830" s="752"/>
    </row>
    <row r="3831" spans="1:19" s="753" customFormat="1" ht="24" customHeight="1">
      <c r="A3831" s="734"/>
      <c r="B3831" s="747" t="s">
        <v>469</v>
      </c>
      <c r="C3831" s="735" t="s">
        <v>507</v>
      </c>
      <c r="D3831" s="735"/>
      <c r="E3831" s="737">
        <f t="shared" si="848"/>
        <v>1</v>
      </c>
      <c r="F3831" s="738" t="s">
        <v>363</v>
      </c>
      <c r="G3831" s="739">
        <v>1650</v>
      </c>
      <c r="H3831" s="748">
        <f t="shared" si="844"/>
        <v>1650</v>
      </c>
      <c r="I3831" s="741">
        <v>70</v>
      </c>
      <c r="J3831" s="749">
        <f t="shared" si="845"/>
        <v>70</v>
      </c>
      <c r="K3831" s="739">
        <f t="shared" si="846"/>
        <v>1720</v>
      </c>
      <c r="L3831" s="1079"/>
      <c r="M3831" s="752"/>
      <c r="N3831" s="744">
        <f t="shared" si="849"/>
        <v>1</v>
      </c>
      <c r="O3831" s="745">
        <v>0</v>
      </c>
      <c r="P3831" s="737">
        <v>1</v>
      </c>
      <c r="Q3831" s="752"/>
      <c r="R3831" s="752"/>
      <c r="S3831" s="752"/>
    </row>
    <row r="3832" spans="1:19" s="753" customFormat="1" ht="24" customHeight="1">
      <c r="A3832" s="734"/>
      <c r="B3832" s="747" t="s">
        <v>469</v>
      </c>
      <c r="C3832" s="735" t="s">
        <v>508</v>
      </c>
      <c r="D3832" s="735"/>
      <c r="E3832" s="737">
        <f t="shared" si="848"/>
        <v>5</v>
      </c>
      <c r="F3832" s="738" t="s">
        <v>363</v>
      </c>
      <c r="G3832" s="739">
        <v>13500</v>
      </c>
      <c r="H3832" s="748">
        <f t="shared" si="844"/>
        <v>67500</v>
      </c>
      <c r="I3832" s="741">
        <v>750</v>
      </c>
      <c r="J3832" s="749">
        <f t="shared" si="845"/>
        <v>3750</v>
      </c>
      <c r="K3832" s="739">
        <f t="shared" si="846"/>
        <v>71250</v>
      </c>
      <c r="L3832" s="1079"/>
      <c r="M3832" s="752"/>
      <c r="N3832" s="744">
        <f t="shared" si="849"/>
        <v>5</v>
      </c>
      <c r="O3832" s="745">
        <v>0</v>
      </c>
      <c r="P3832" s="737">
        <v>5</v>
      </c>
      <c r="Q3832" s="752"/>
      <c r="R3832" s="752"/>
      <c r="S3832" s="752"/>
    </row>
    <row r="3833" spans="1:19" s="682" customFormat="1" ht="24" customHeight="1">
      <c r="A3833" s="734"/>
      <c r="B3833" s="747" t="s">
        <v>469</v>
      </c>
      <c r="C3833" s="735" t="s">
        <v>509</v>
      </c>
      <c r="D3833" s="735"/>
      <c r="E3833" s="737">
        <f t="shared" si="848"/>
        <v>1</v>
      </c>
      <c r="F3833" s="738" t="s">
        <v>363</v>
      </c>
      <c r="G3833" s="739">
        <v>14476</v>
      </c>
      <c r="H3833" s="748">
        <f t="shared" si="844"/>
        <v>14476</v>
      </c>
      <c r="I3833" s="741">
        <v>5367</v>
      </c>
      <c r="J3833" s="749">
        <f t="shared" si="845"/>
        <v>5367</v>
      </c>
      <c r="K3833" s="739">
        <f t="shared" si="846"/>
        <v>19843</v>
      </c>
      <c r="L3833" s="1079"/>
      <c r="M3833" s="679"/>
      <c r="N3833" s="744">
        <f t="shared" si="849"/>
        <v>1</v>
      </c>
      <c r="O3833" s="745">
        <v>0</v>
      </c>
      <c r="P3833" s="737">
        <v>1</v>
      </c>
      <c r="Q3833" s="679"/>
      <c r="R3833" s="679"/>
      <c r="S3833" s="679"/>
    </row>
    <row r="3834" spans="1:19" s="753" customFormat="1" ht="24" customHeight="1">
      <c r="A3834" s="734"/>
      <c r="B3834" s="747" t="s">
        <v>469</v>
      </c>
      <c r="C3834" s="735" t="s">
        <v>510</v>
      </c>
      <c r="D3834" s="735"/>
      <c r="E3834" s="737">
        <f t="shared" si="848"/>
        <v>4.1500000000000004</v>
      </c>
      <c r="F3834" s="738" t="s">
        <v>361</v>
      </c>
      <c r="G3834" s="739">
        <v>2694</v>
      </c>
      <c r="H3834" s="748">
        <f t="shared" si="844"/>
        <v>11180.1</v>
      </c>
      <c r="I3834" s="741">
        <v>1288</v>
      </c>
      <c r="J3834" s="749">
        <f t="shared" si="845"/>
        <v>5345.2000000000007</v>
      </c>
      <c r="K3834" s="739">
        <f t="shared" si="846"/>
        <v>16525.300000000003</v>
      </c>
      <c r="L3834" s="1079"/>
      <c r="M3834" s="752"/>
      <c r="N3834" s="744">
        <f t="shared" si="849"/>
        <v>4.1500000000000004</v>
      </c>
      <c r="O3834" s="745">
        <v>0</v>
      </c>
      <c r="P3834" s="737">
        <v>4.1500000000000004</v>
      </c>
      <c r="Q3834" s="752"/>
      <c r="R3834" s="752"/>
      <c r="S3834" s="752"/>
    </row>
    <row r="3835" spans="1:19" s="753" customFormat="1" ht="24" customHeight="1">
      <c r="A3835" s="734"/>
      <c r="B3835" s="747"/>
      <c r="C3835" s="735" t="s">
        <v>511</v>
      </c>
      <c r="D3835" s="735"/>
      <c r="E3835" s="737">
        <f t="shared" si="848"/>
        <v>0</v>
      </c>
      <c r="F3835" s="738"/>
      <c r="G3835" s="739"/>
      <c r="H3835" s="748">
        <f t="shared" si="844"/>
        <v>0</v>
      </c>
      <c r="I3835" s="741"/>
      <c r="J3835" s="749">
        <f t="shared" si="845"/>
        <v>0</v>
      </c>
      <c r="K3835" s="739">
        <f t="shared" si="846"/>
        <v>0</v>
      </c>
      <c r="L3835" s="1079"/>
      <c r="M3835" s="752"/>
      <c r="N3835" s="744">
        <f t="shared" si="849"/>
        <v>0</v>
      </c>
      <c r="O3835" s="745">
        <v>0</v>
      </c>
      <c r="P3835" s="737">
        <v>0</v>
      </c>
      <c r="Q3835" s="752"/>
      <c r="R3835" s="752"/>
      <c r="S3835" s="752"/>
    </row>
    <row r="3836" spans="1:19" s="753" customFormat="1" ht="24" customHeight="1">
      <c r="A3836" s="734"/>
      <c r="B3836" s="747" t="s">
        <v>469</v>
      </c>
      <c r="C3836" s="735" t="s">
        <v>512</v>
      </c>
      <c r="D3836" s="735"/>
      <c r="E3836" s="737">
        <f t="shared" si="848"/>
        <v>4.1500000000000004</v>
      </c>
      <c r="F3836" s="738" t="s">
        <v>361</v>
      </c>
      <c r="G3836" s="739">
        <v>3886</v>
      </c>
      <c r="H3836" s="748">
        <f t="shared" si="844"/>
        <v>16126.900000000001</v>
      </c>
      <c r="I3836" s="741">
        <v>1238</v>
      </c>
      <c r="J3836" s="749">
        <f t="shared" si="845"/>
        <v>5137.7000000000007</v>
      </c>
      <c r="K3836" s="739">
        <f t="shared" si="846"/>
        <v>21264.600000000002</v>
      </c>
      <c r="L3836" s="1079"/>
      <c r="M3836" s="752"/>
      <c r="N3836" s="744">
        <f t="shared" si="849"/>
        <v>4.1500000000000004</v>
      </c>
      <c r="O3836" s="745">
        <v>0</v>
      </c>
      <c r="P3836" s="737">
        <v>4.1500000000000004</v>
      </c>
      <c r="Q3836" s="752"/>
      <c r="R3836" s="752"/>
      <c r="S3836" s="752"/>
    </row>
    <row r="3837" spans="1:19" s="753" customFormat="1" ht="24" customHeight="1">
      <c r="A3837" s="734"/>
      <c r="B3837" s="747"/>
      <c r="C3837" s="735" t="s">
        <v>513</v>
      </c>
      <c r="D3837" s="735"/>
      <c r="E3837" s="737">
        <f t="shared" si="848"/>
        <v>0</v>
      </c>
      <c r="F3837" s="738"/>
      <c r="G3837" s="739">
        <v>0</v>
      </c>
      <c r="H3837" s="748">
        <f t="shared" si="844"/>
        <v>0</v>
      </c>
      <c r="I3837" s="741">
        <v>0</v>
      </c>
      <c r="J3837" s="749">
        <f t="shared" si="845"/>
        <v>0</v>
      </c>
      <c r="K3837" s="739">
        <f t="shared" si="846"/>
        <v>0</v>
      </c>
      <c r="L3837" s="1079"/>
      <c r="M3837" s="752"/>
      <c r="N3837" s="744">
        <f t="shared" si="849"/>
        <v>0</v>
      </c>
      <c r="O3837" s="745">
        <v>0</v>
      </c>
      <c r="P3837" s="737">
        <v>0</v>
      </c>
      <c r="Q3837" s="752"/>
      <c r="R3837" s="752"/>
      <c r="S3837" s="752"/>
    </row>
    <row r="3838" spans="1:19" s="753" customFormat="1" ht="24" customHeight="1">
      <c r="A3838" s="734"/>
      <c r="B3838" s="747" t="s">
        <v>469</v>
      </c>
      <c r="C3838" s="735" t="s">
        <v>514</v>
      </c>
      <c r="D3838" s="735"/>
      <c r="E3838" s="737">
        <f t="shared" si="848"/>
        <v>7.1</v>
      </c>
      <c r="F3838" s="738" t="s">
        <v>361</v>
      </c>
      <c r="G3838" s="739">
        <v>1522</v>
      </c>
      <c r="H3838" s="748">
        <f t="shared" si="844"/>
        <v>10806.199999999999</v>
      </c>
      <c r="I3838" s="741">
        <v>315</v>
      </c>
      <c r="J3838" s="749">
        <f t="shared" si="845"/>
        <v>2236.5</v>
      </c>
      <c r="K3838" s="739">
        <f t="shared" si="846"/>
        <v>13042.699999999999</v>
      </c>
      <c r="L3838" s="1079"/>
      <c r="M3838" s="752"/>
      <c r="N3838" s="744">
        <f t="shared" si="849"/>
        <v>7.1</v>
      </c>
      <c r="O3838" s="745">
        <v>0</v>
      </c>
      <c r="P3838" s="737">
        <v>7.1</v>
      </c>
      <c r="Q3838" s="752"/>
      <c r="R3838" s="752"/>
      <c r="S3838" s="752"/>
    </row>
    <row r="3839" spans="1:19" s="753" customFormat="1" ht="24" customHeight="1">
      <c r="A3839" s="734"/>
      <c r="B3839" s="747"/>
      <c r="C3839" s="735"/>
      <c r="D3839" s="735"/>
      <c r="E3839" s="737">
        <f t="shared" si="848"/>
        <v>0</v>
      </c>
      <c r="F3839" s="738"/>
      <c r="G3839" s="739">
        <v>0</v>
      </c>
      <c r="H3839" s="748">
        <f t="shared" si="844"/>
        <v>0</v>
      </c>
      <c r="I3839" s="741">
        <v>0</v>
      </c>
      <c r="J3839" s="749">
        <f t="shared" si="845"/>
        <v>0</v>
      </c>
      <c r="K3839" s="739">
        <f t="shared" si="846"/>
        <v>0</v>
      </c>
      <c r="L3839" s="1079"/>
      <c r="M3839" s="752"/>
      <c r="N3839" s="744">
        <f t="shared" si="849"/>
        <v>0</v>
      </c>
      <c r="O3839" s="745">
        <v>0</v>
      </c>
      <c r="P3839" s="737">
        <v>0</v>
      </c>
      <c r="Q3839" s="752"/>
      <c r="R3839" s="752"/>
      <c r="S3839" s="752"/>
    </row>
    <row r="3840" spans="1:19" s="682" customFormat="1" ht="24" customHeight="1">
      <c r="A3840" s="734"/>
      <c r="B3840" s="747" t="s">
        <v>469</v>
      </c>
      <c r="C3840" s="735" t="s">
        <v>515</v>
      </c>
      <c r="D3840" s="735"/>
      <c r="E3840" s="737">
        <f t="shared" si="848"/>
        <v>1</v>
      </c>
      <c r="F3840" s="738" t="s">
        <v>363</v>
      </c>
      <c r="G3840" s="739">
        <v>5013</v>
      </c>
      <c r="H3840" s="748">
        <f t="shared" si="844"/>
        <v>5013</v>
      </c>
      <c r="I3840" s="741">
        <v>2403</v>
      </c>
      <c r="J3840" s="749">
        <f t="shared" si="845"/>
        <v>2403</v>
      </c>
      <c r="K3840" s="739">
        <f t="shared" si="846"/>
        <v>7416</v>
      </c>
      <c r="L3840" s="1079"/>
      <c r="M3840" s="679"/>
      <c r="N3840" s="744">
        <f t="shared" si="849"/>
        <v>1</v>
      </c>
      <c r="O3840" s="745">
        <v>0</v>
      </c>
      <c r="P3840" s="737">
        <v>1</v>
      </c>
      <c r="Q3840" s="679"/>
      <c r="R3840" s="679"/>
      <c r="S3840" s="679"/>
    </row>
    <row r="3841" spans="1:19" s="682" customFormat="1" ht="24" customHeight="1">
      <c r="A3841" s="734"/>
      <c r="B3841" s="747"/>
      <c r="C3841" s="735" t="s">
        <v>516</v>
      </c>
      <c r="D3841" s="735"/>
      <c r="E3841" s="737">
        <f t="shared" si="848"/>
        <v>0</v>
      </c>
      <c r="F3841" s="738"/>
      <c r="G3841" s="739"/>
      <c r="H3841" s="748">
        <f t="shared" si="844"/>
        <v>0</v>
      </c>
      <c r="I3841" s="741"/>
      <c r="J3841" s="749">
        <f t="shared" si="845"/>
        <v>0</v>
      </c>
      <c r="K3841" s="739">
        <f t="shared" si="846"/>
        <v>0</v>
      </c>
      <c r="L3841" s="1079"/>
      <c r="M3841" s="679"/>
      <c r="N3841" s="744">
        <f t="shared" si="849"/>
        <v>0</v>
      </c>
      <c r="O3841" s="745">
        <v>0</v>
      </c>
      <c r="P3841" s="737">
        <v>0</v>
      </c>
      <c r="Q3841" s="679"/>
      <c r="R3841" s="679"/>
      <c r="S3841" s="679"/>
    </row>
    <row r="3842" spans="1:19" s="682" customFormat="1" ht="24" customHeight="1">
      <c r="A3842" s="734"/>
      <c r="B3842" s="747"/>
      <c r="C3842" s="735"/>
      <c r="D3842" s="735"/>
      <c r="E3842" s="737">
        <f t="shared" si="848"/>
        <v>0</v>
      </c>
      <c r="F3842" s="738"/>
      <c r="G3842" s="739"/>
      <c r="H3842" s="748">
        <f t="shared" si="844"/>
        <v>0</v>
      </c>
      <c r="I3842" s="741"/>
      <c r="J3842" s="749">
        <f t="shared" si="845"/>
        <v>0</v>
      </c>
      <c r="K3842" s="739">
        <f t="shared" si="846"/>
        <v>0</v>
      </c>
      <c r="L3842" s="1079"/>
      <c r="M3842" s="679"/>
      <c r="N3842" s="744">
        <f t="shared" si="849"/>
        <v>0</v>
      </c>
      <c r="O3842" s="745">
        <v>0</v>
      </c>
      <c r="P3842" s="737">
        <v>0</v>
      </c>
      <c r="Q3842" s="679"/>
      <c r="R3842" s="679"/>
      <c r="S3842" s="679"/>
    </row>
    <row r="3843" spans="1:19" s="756" customFormat="1" ht="24" customHeight="1">
      <c r="A3843" s="734"/>
      <c r="B3843" s="747" t="s">
        <v>469</v>
      </c>
      <c r="C3843" s="735" t="s">
        <v>517</v>
      </c>
      <c r="D3843" s="907"/>
      <c r="E3843" s="737">
        <f t="shared" si="848"/>
        <v>0</v>
      </c>
      <c r="F3843" s="738" t="s">
        <v>361</v>
      </c>
      <c r="G3843" s="739">
        <v>5075.5555555555557</v>
      </c>
      <c r="H3843" s="748">
        <f t="shared" si="844"/>
        <v>0</v>
      </c>
      <c r="I3843" s="741">
        <v>2545.7777777777778</v>
      </c>
      <c r="J3843" s="749">
        <f t="shared" si="845"/>
        <v>0</v>
      </c>
      <c r="K3843" s="739">
        <f t="shared" si="846"/>
        <v>0</v>
      </c>
      <c r="L3843" s="1079"/>
      <c r="M3843" s="755"/>
      <c r="N3843" s="744">
        <f t="shared" si="849"/>
        <v>0</v>
      </c>
      <c r="O3843" s="745">
        <v>0</v>
      </c>
      <c r="P3843" s="737">
        <v>0</v>
      </c>
      <c r="Q3843" s="755"/>
      <c r="R3843" s="755"/>
      <c r="S3843" s="755"/>
    </row>
    <row r="3844" spans="1:19" s="756" customFormat="1" ht="24" customHeight="1">
      <c r="A3844" s="734"/>
      <c r="B3844" s="747"/>
      <c r="C3844" s="735" t="s">
        <v>488</v>
      </c>
      <c r="D3844" s="907"/>
      <c r="E3844" s="737">
        <f t="shared" si="848"/>
        <v>0</v>
      </c>
      <c r="F3844" s="738"/>
      <c r="G3844" s="739">
        <v>0</v>
      </c>
      <c r="H3844" s="748">
        <f t="shared" si="844"/>
        <v>0</v>
      </c>
      <c r="I3844" s="741">
        <v>0</v>
      </c>
      <c r="J3844" s="749">
        <f t="shared" si="845"/>
        <v>0</v>
      </c>
      <c r="K3844" s="739">
        <f t="shared" si="846"/>
        <v>0</v>
      </c>
      <c r="L3844" s="1079"/>
      <c r="M3844" s="755"/>
      <c r="N3844" s="744">
        <f t="shared" si="849"/>
        <v>0</v>
      </c>
      <c r="O3844" s="745">
        <v>0</v>
      </c>
      <c r="P3844" s="737">
        <v>0</v>
      </c>
      <c r="Q3844" s="755"/>
      <c r="R3844" s="755"/>
      <c r="S3844" s="755"/>
    </row>
    <row r="3845" spans="1:19" s="753" customFormat="1" ht="24" customHeight="1">
      <c r="A3845" s="734"/>
      <c r="B3845" s="747" t="s">
        <v>469</v>
      </c>
      <c r="C3845" s="735" t="s">
        <v>518</v>
      </c>
      <c r="D3845" s="735"/>
      <c r="E3845" s="737">
        <f t="shared" si="848"/>
        <v>0</v>
      </c>
      <c r="F3845" s="738" t="s">
        <v>361</v>
      </c>
      <c r="G3845" s="739">
        <v>3886</v>
      </c>
      <c r="H3845" s="748">
        <f t="shared" si="844"/>
        <v>0</v>
      </c>
      <c r="I3845" s="741">
        <v>1238</v>
      </c>
      <c r="J3845" s="749">
        <f t="shared" si="845"/>
        <v>0</v>
      </c>
      <c r="K3845" s="739">
        <f t="shared" si="846"/>
        <v>0</v>
      </c>
      <c r="L3845" s="1079"/>
      <c r="M3845" s="752"/>
      <c r="N3845" s="744">
        <f t="shared" si="849"/>
        <v>0</v>
      </c>
      <c r="O3845" s="745">
        <v>0</v>
      </c>
      <c r="P3845" s="737">
        <v>0</v>
      </c>
      <c r="Q3845" s="752"/>
      <c r="R3845" s="752"/>
      <c r="S3845" s="752"/>
    </row>
    <row r="3846" spans="1:19" s="753" customFormat="1" ht="24" customHeight="1">
      <c r="A3846" s="734"/>
      <c r="B3846" s="747"/>
      <c r="C3846" s="735" t="s">
        <v>513</v>
      </c>
      <c r="D3846" s="735"/>
      <c r="E3846" s="737">
        <f t="shared" si="848"/>
        <v>0</v>
      </c>
      <c r="F3846" s="738"/>
      <c r="G3846" s="739">
        <v>0</v>
      </c>
      <c r="H3846" s="748">
        <f t="shared" si="844"/>
        <v>0</v>
      </c>
      <c r="I3846" s="741">
        <v>0</v>
      </c>
      <c r="J3846" s="749">
        <f t="shared" si="845"/>
        <v>0</v>
      </c>
      <c r="K3846" s="739">
        <f t="shared" si="846"/>
        <v>0</v>
      </c>
      <c r="L3846" s="1079"/>
      <c r="M3846" s="752"/>
      <c r="N3846" s="744">
        <f t="shared" si="849"/>
        <v>0</v>
      </c>
      <c r="O3846" s="745">
        <v>0</v>
      </c>
      <c r="P3846" s="737">
        <v>0</v>
      </c>
      <c r="Q3846" s="752"/>
      <c r="R3846" s="752"/>
      <c r="S3846" s="752"/>
    </row>
    <row r="3847" spans="1:19" s="682" customFormat="1" ht="24" customHeight="1">
      <c r="A3847" s="734"/>
      <c r="B3847" s="747" t="s">
        <v>469</v>
      </c>
      <c r="C3847" s="735" t="s">
        <v>519</v>
      </c>
      <c r="D3847" s="735"/>
      <c r="E3847" s="737">
        <f t="shared" si="848"/>
        <v>1</v>
      </c>
      <c r="F3847" s="738" t="s">
        <v>363</v>
      </c>
      <c r="G3847" s="739">
        <v>800</v>
      </c>
      <c r="H3847" s="748">
        <f t="shared" si="844"/>
        <v>800</v>
      </c>
      <c r="I3847" s="741">
        <v>70</v>
      </c>
      <c r="J3847" s="749">
        <f t="shared" si="845"/>
        <v>70</v>
      </c>
      <c r="K3847" s="739">
        <f t="shared" si="846"/>
        <v>870</v>
      </c>
      <c r="L3847" s="1079"/>
      <c r="M3847" s="679"/>
      <c r="N3847" s="744">
        <f t="shared" si="849"/>
        <v>1</v>
      </c>
      <c r="O3847" s="745">
        <v>0</v>
      </c>
      <c r="P3847" s="737">
        <v>1</v>
      </c>
      <c r="Q3847" s="679"/>
      <c r="R3847" s="679"/>
      <c r="S3847" s="679"/>
    </row>
    <row r="3848" spans="1:19" s="682" customFormat="1" ht="24" customHeight="1">
      <c r="A3848" s="734"/>
      <c r="B3848" s="747" t="s">
        <v>469</v>
      </c>
      <c r="C3848" s="735" t="s">
        <v>520</v>
      </c>
      <c r="D3848" s="735"/>
      <c r="E3848" s="737">
        <f t="shared" si="848"/>
        <v>0</v>
      </c>
      <c r="F3848" s="738" t="s">
        <v>361</v>
      </c>
      <c r="G3848" s="739">
        <v>190</v>
      </c>
      <c r="H3848" s="748">
        <f t="shared" si="844"/>
        <v>0</v>
      </c>
      <c r="I3848" s="741">
        <v>75</v>
      </c>
      <c r="J3848" s="749">
        <f t="shared" si="845"/>
        <v>0</v>
      </c>
      <c r="K3848" s="739">
        <f t="shared" si="846"/>
        <v>0</v>
      </c>
      <c r="L3848" s="1079"/>
      <c r="M3848" s="679"/>
      <c r="N3848" s="744">
        <f t="shared" si="849"/>
        <v>0</v>
      </c>
      <c r="O3848" s="745">
        <v>0</v>
      </c>
      <c r="P3848" s="737">
        <v>0</v>
      </c>
      <c r="Q3848" s="679"/>
      <c r="R3848" s="679"/>
      <c r="S3848" s="679"/>
    </row>
    <row r="3849" spans="1:19" s="682" customFormat="1" ht="24" customHeight="1">
      <c r="A3849" s="734"/>
      <c r="B3849" s="747"/>
      <c r="C3849" s="735"/>
      <c r="D3849" s="735"/>
      <c r="E3849" s="737">
        <f t="shared" si="848"/>
        <v>0</v>
      </c>
      <c r="F3849" s="738"/>
      <c r="G3849" s="739"/>
      <c r="H3849" s="748">
        <f t="shared" si="844"/>
        <v>0</v>
      </c>
      <c r="I3849" s="741"/>
      <c r="J3849" s="749">
        <f t="shared" si="845"/>
        <v>0</v>
      </c>
      <c r="K3849" s="739">
        <f t="shared" si="846"/>
        <v>0</v>
      </c>
      <c r="L3849" s="1079"/>
      <c r="M3849" s="679"/>
      <c r="N3849" s="744">
        <f t="shared" si="849"/>
        <v>0</v>
      </c>
      <c r="O3849" s="745">
        <v>0</v>
      </c>
      <c r="P3849" s="737">
        <v>0</v>
      </c>
      <c r="Q3849" s="679"/>
      <c r="R3849" s="679"/>
      <c r="S3849" s="679"/>
    </row>
    <row r="3850" spans="1:19" s="753" customFormat="1" ht="24" customHeight="1">
      <c r="A3850" s="734"/>
      <c r="B3850" s="735" t="s">
        <v>1073</v>
      </c>
      <c r="C3850" s="735"/>
      <c r="D3850" s="907"/>
      <c r="E3850" s="737">
        <f t="shared" si="848"/>
        <v>0</v>
      </c>
      <c r="F3850" s="738"/>
      <c r="G3850" s="739">
        <v>0</v>
      </c>
      <c r="H3850" s="748">
        <f t="shared" si="844"/>
        <v>0</v>
      </c>
      <c r="I3850" s="741">
        <v>0</v>
      </c>
      <c r="J3850" s="749">
        <f t="shared" si="845"/>
        <v>0</v>
      </c>
      <c r="K3850" s="739">
        <f t="shared" si="846"/>
        <v>0</v>
      </c>
      <c r="L3850" s="1079"/>
      <c r="M3850" s="752"/>
      <c r="N3850" s="744">
        <f t="shared" si="849"/>
        <v>0</v>
      </c>
      <c r="O3850" s="745">
        <v>0</v>
      </c>
      <c r="P3850" s="737">
        <v>0</v>
      </c>
      <c r="Q3850" s="752"/>
      <c r="R3850" s="752"/>
      <c r="S3850" s="752"/>
    </row>
    <row r="3851" spans="1:19" s="753" customFormat="1" ht="24" customHeight="1">
      <c r="A3851" s="734"/>
      <c r="B3851" s="747" t="s">
        <v>469</v>
      </c>
      <c r="C3851" s="735" t="s">
        <v>497</v>
      </c>
      <c r="D3851" s="735"/>
      <c r="E3851" s="737">
        <f t="shared" si="848"/>
        <v>6</v>
      </c>
      <c r="F3851" s="738" t="s">
        <v>363</v>
      </c>
      <c r="G3851" s="739">
        <v>1540</v>
      </c>
      <c r="H3851" s="748">
        <f t="shared" si="844"/>
        <v>9240</v>
      </c>
      <c r="I3851" s="741">
        <v>450</v>
      </c>
      <c r="J3851" s="749">
        <f t="shared" si="845"/>
        <v>2700</v>
      </c>
      <c r="K3851" s="739">
        <f t="shared" si="846"/>
        <v>11940</v>
      </c>
      <c r="L3851" s="1079"/>
      <c r="M3851" s="752"/>
      <c r="N3851" s="744">
        <f t="shared" si="849"/>
        <v>6</v>
      </c>
      <c r="O3851" s="745">
        <v>0</v>
      </c>
      <c r="P3851" s="737">
        <v>6</v>
      </c>
      <c r="Q3851" s="752"/>
      <c r="R3851" s="752"/>
      <c r="S3851" s="752"/>
    </row>
    <row r="3852" spans="1:19" s="753" customFormat="1" ht="24" customHeight="1">
      <c r="A3852" s="734"/>
      <c r="B3852" s="747" t="s">
        <v>469</v>
      </c>
      <c r="C3852" s="735" t="s">
        <v>498</v>
      </c>
      <c r="D3852" s="735"/>
      <c r="E3852" s="737">
        <f t="shared" si="848"/>
        <v>6</v>
      </c>
      <c r="F3852" s="738" t="s">
        <v>363</v>
      </c>
      <c r="G3852" s="739">
        <v>6640</v>
      </c>
      <c r="H3852" s="748">
        <f t="shared" si="844"/>
        <v>39840</v>
      </c>
      <c r="I3852" s="741">
        <v>200</v>
      </c>
      <c r="J3852" s="749">
        <f t="shared" si="845"/>
        <v>1200</v>
      </c>
      <c r="K3852" s="739">
        <f t="shared" si="846"/>
        <v>41040</v>
      </c>
      <c r="L3852" s="1079"/>
      <c r="M3852" s="752"/>
      <c r="N3852" s="744">
        <f t="shared" si="849"/>
        <v>6</v>
      </c>
      <c r="O3852" s="745">
        <v>0</v>
      </c>
      <c r="P3852" s="737">
        <v>6</v>
      </c>
      <c r="Q3852" s="752"/>
      <c r="R3852" s="752"/>
      <c r="S3852" s="752"/>
    </row>
    <row r="3853" spans="1:19" s="753" customFormat="1" ht="24" customHeight="1">
      <c r="A3853" s="734"/>
      <c r="B3853" s="747" t="s">
        <v>469</v>
      </c>
      <c r="C3853" s="735" t="s">
        <v>476</v>
      </c>
      <c r="D3853" s="735"/>
      <c r="E3853" s="737">
        <f t="shared" si="848"/>
        <v>6</v>
      </c>
      <c r="F3853" s="738" t="s">
        <v>363</v>
      </c>
      <c r="G3853" s="739">
        <v>336</v>
      </c>
      <c r="H3853" s="748">
        <f t="shared" si="844"/>
        <v>2016</v>
      </c>
      <c r="I3853" s="741">
        <v>0</v>
      </c>
      <c r="J3853" s="749">
        <f t="shared" si="845"/>
        <v>0</v>
      </c>
      <c r="K3853" s="739">
        <f t="shared" ref="K3853:K3911" si="850">SUM(H3853+J3853)</f>
        <v>2016</v>
      </c>
      <c r="L3853" s="1079"/>
      <c r="M3853" s="752"/>
      <c r="N3853" s="744">
        <f t="shared" si="849"/>
        <v>6</v>
      </c>
      <c r="O3853" s="745">
        <v>0</v>
      </c>
      <c r="P3853" s="737">
        <v>6</v>
      </c>
      <c r="Q3853" s="752"/>
      <c r="R3853" s="752"/>
      <c r="S3853" s="752"/>
    </row>
    <row r="3854" spans="1:19" s="753" customFormat="1" ht="24" customHeight="1">
      <c r="A3854" s="734"/>
      <c r="B3854" s="747" t="s">
        <v>469</v>
      </c>
      <c r="C3854" s="735" t="s">
        <v>477</v>
      </c>
      <c r="D3854" s="735"/>
      <c r="E3854" s="737">
        <f t="shared" si="848"/>
        <v>6</v>
      </c>
      <c r="F3854" s="738" t="s">
        <v>363</v>
      </c>
      <c r="G3854" s="739">
        <v>736</v>
      </c>
      <c r="H3854" s="748">
        <f t="shared" si="844"/>
        <v>4416</v>
      </c>
      <c r="I3854" s="741">
        <v>0</v>
      </c>
      <c r="J3854" s="749">
        <f t="shared" si="845"/>
        <v>0</v>
      </c>
      <c r="K3854" s="739">
        <f t="shared" si="850"/>
        <v>4416</v>
      </c>
      <c r="L3854" s="1079"/>
      <c r="M3854" s="752"/>
      <c r="N3854" s="744">
        <f t="shared" si="849"/>
        <v>6</v>
      </c>
      <c r="O3854" s="745">
        <v>0</v>
      </c>
      <c r="P3854" s="737">
        <v>6</v>
      </c>
      <c r="Q3854" s="752"/>
      <c r="R3854" s="752"/>
      <c r="S3854" s="752"/>
    </row>
    <row r="3855" spans="1:19" s="753" customFormat="1" ht="24" customHeight="1">
      <c r="A3855" s="734"/>
      <c r="B3855" s="747" t="s">
        <v>469</v>
      </c>
      <c r="C3855" s="735" t="s">
        <v>478</v>
      </c>
      <c r="D3855" s="735"/>
      <c r="E3855" s="737">
        <f t="shared" si="848"/>
        <v>6</v>
      </c>
      <c r="F3855" s="738" t="s">
        <v>363</v>
      </c>
      <c r="G3855" s="739">
        <v>176</v>
      </c>
      <c r="H3855" s="748">
        <f t="shared" si="844"/>
        <v>1056</v>
      </c>
      <c r="I3855" s="741">
        <v>0</v>
      </c>
      <c r="J3855" s="749">
        <f t="shared" si="845"/>
        <v>0</v>
      </c>
      <c r="K3855" s="739">
        <f t="shared" si="850"/>
        <v>1056</v>
      </c>
      <c r="L3855" s="1079"/>
      <c r="M3855" s="752"/>
      <c r="N3855" s="744">
        <f t="shared" si="849"/>
        <v>6</v>
      </c>
      <c r="O3855" s="745">
        <v>0</v>
      </c>
      <c r="P3855" s="737">
        <v>6</v>
      </c>
      <c r="Q3855" s="752"/>
      <c r="R3855" s="752"/>
      <c r="S3855" s="752"/>
    </row>
    <row r="3856" spans="1:19" s="753" customFormat="1" ht="24" customHeight="1">
      <c r="A3856" s="734"/>
      <c r="B3856" s="747" t="s">
        <v>469</v>
      </c>
      <c r="C3856" s="735" t="s">
        <v>499</v>
      </c>
      <c r="D3856" s="735"/>
      <c r="E3856" s="737">
        <f t="shared" si="848"/>
        <v>6</v>
      </c>
      <c r="F3856" s="738" t="s">
        <v>363</v>
      </c>
      <c r="G3856" s="739">
        <v>216</v>
      </c>
      <c r="H3856" s="748">
        <f t="shared" si="844"/>
        <v>1296</v>
      </c>
      <c r="I3856" s="741">
        <v>35</v>
      </c>
      <c r="J3856" s="749">
        <f t="shared" si="845"/>
        <v>210</v>
      </c>
      <c r="K3856" s="739">
        <f t="shared" si="850"/>
        <v>1506</v>
      </c>
      <c r="L3856" s="1079"/>
      <c r="M3856" s="752"/>
      <c r="N3856" s="744">
        <f t="shared" si="849"/>
        <v>6</v>
      </c>
      <c r="O3856" s="745">
        <v>0</v>
      </c>
      <c r="P3856" s="737">
        <v>6</v>
      </c>
      <c r="Q3856" s="752"/>
      <c r="R3856" s="752"/>
      <c r="S3856" s="752"/>
    </row>
    <row r="3857" spans="1:19" s="753" customFormat="1" ht="24" customHeight="1">
      <c r="A3857" s="734"/>
      <c r="B3857" s="747"/>
      <c r="C3857" s="736"/>
      <c r="D3857" s="907"/>
      <c r="E3857" s="737">
        <f t="shared" si="848"/>
        <v>0</v>
      </c>
      <c r="F3857" s="738"/>
      <c r="G3857" s="739">
        <v>0</v>
      </c>
      <c r="H3857" s="748">
        <f t="shared" si="844"/>
        <v>0</v>
      </c>
      <c r="I3857" s="741">
        <v>0</v>
      </c>
      <c r="J3857" s="749">
        <f t="shared" si="845"/>
        <v>0</v>
      </c>
      <c r="K3857" s="739">
        <f t="shared" si="850"/>
        <v>0</v>
      </c>
      <c r="L3857" s="1079"/>
      <c r="M3857" s="752"/>
      <c r="N3857" s="744">
        <f t="shared" si="849"/>
        <v>0</v>
      </c>
      <c r="O3857" s="745">
        <v>0</v>
      </c>
      <c r="P3857" s="737">
        <v>0</v>
      </c>
      <c r="Q3857" s="752"/>
      <c r="R3857" s="752"/>
      <c r="S3857" s="752"/>
    </row>
    <row r="3858" spans="1:19" s="753" customFormat="1" ht="24" customHeight="1">
      <c r="A3858" s="734"/>
      <c r="B3858" s="747" t="s">
        <v>469</v>
      </c>
      <c r="C3858" s="735" t="s">
        <v>492</v>
      </c>
      <c r="D3858" s="735"/>
      <c r="E3858" s="737">
        <f t="shared" si="848"/>
        <v>10</v>
      </c>
      <c r="F3858" s="738" t="s">
        <v>363</v>
      </c>
      <c r="G3858" s="739">
        <v>9375</v>
      </c>
      <c r="H3858" s="748">
        <f t="shared" si="844"/>
        <v>93750</v>
      </c>
      <c r="I3858" s="741">
        <v>450</v>
      </c>
      <c r="J3858" s="749">
        <f t="shared" si="845"/>
        <v>4500</v>
      </c>
      <c r="K3858" s="739">
        <f t="shared" si="850"/>
        <v>98250</v>
      </c>
      <c r="L3858" s="1079"/>
      <c r="M3858" s="752"/>
      <c r="N3858" s="744">
        <f t="shared" si="849"/>
        <v>10</v>
      </c>
      <c r="O3858" s="745">
        <v>0</v>
      </c>
      <c r="P3858" s="737">
        <v>10</v>
      </c>
      <c r="Q3858" s="752"/>
      <c r="R3858" s="752"/>
      <c r="S3858" s="752"/>
    </row>
    <row r="3859" spans="1:19" s="753" customFormat="1" ht="24" customHeight="1">
      <c r="A3859" s="734"/>
      <c r="B3859" s="747" t="s">
        <v>469</v>
      </c>
      <c r="C3859" s="735" t="s">
        <v>500</v>
      </c>
      <c r="D3859" s="735"/>
      <c r="E3859" s="737">
        <f t="shared" si="848"/>
        <v>10</v>
      </c>
      <c r="F3859" s="738" t="s">
        <v>363</v>
      </c>
      <c r="G3859" s="739">
        <v>12752</v>
      </c>
      <c r="H3859" s="748">
        <f t="shared" si="844"/>
        <v>127520</v>
      </c>
      <c r="I3859" s="741">
        <v>0</v>
      </c>
      <c r="J3859" s="749">
        <f t="shared" si="845"/>
        <v>0</v>
      </c>
      <c r="K3859" s="739">
        <f t="shared" si="850"/>
        <v>127520</v>
      </c>
      <c r="L3859" s="1079"/>
      <c r="M3859" s="752"/>
      <c r="N3859" s="744">
        <f t="shared" si="849"/>
        <v>10</v>
      </c>
      <c r="O3859" s="745">
        <v>0</v>
      </c>
      <c r="P3859" s="737">
        <v>10</v>
      </c>
      <c r="Q3859" s="752"/>
      <c r="R3859" s="752"/>
      <c r="S3859" s="752"/>
    </row>
    <row r="3860" spans="1:19" s="753" customFormat="1" ht="24" customHeight="1">
      <c r="A3860" s="734"/>
      <c r="B3860" s="747" t="s">
        <v>469</v>
      </c>
      <c r="C3860" s="735" t="s">
        <v>501</v>
      </c>
      <c r="D3860" s="735"/>
      <c r="E3860" s="737">
        <v>0</v>
      </c>
      <c r="F3860" s="738" t="s">
        <v>363</v>
      </c>
      <c r="G3860" s="739">
        <v>1950</v>
      </c>
      <c r="H3860" s="748">
        <f t="shared" si="844"/>
        <v>0</v>
      </c>
      <c r="I3860" s="741">
        <v>35</v>
      </c>
      <c r="J3860" s="749">
        <f t="shared" si="845"/>
        <v>0</v>
      </c>
      <c r="K3860" s="739">
        <f t="shared" si="850"/>
        <v>0</v>
      </c>
      <c r="L3860" s="1079"/>
      <c r="M3860" s="752"/>
      <c r="N3860" s="744">
        <f t="shared" si="849"/>
        <v>10</v>
      </c>
      <c r="O3860" s="745">
        <v>0</v>
      </c>
      <c r="P3860" s="737">
        <v>10</v>
      </c>
      <c r="Q3860" s="752"/>
      <c r="R3860" s="752"/>
      <c r="S3860" s="752"/>
    </row>
    <row r="3861" spans="1:19" s="753" customFormat="1" ht="24" customHeight="1">
      <c r="A3861" s="734"/>
      <c r="B3861" s="747" t="s">
        <v>469</v>
      </c>
      <c r="C3861" s="735" t="s">
        <v>502</v>
      </c>
      <c r="D3861" s="735"/>
      <c r="E3861" s="737">
        <f t="shared" si="848"/>
        <v>10</v>
      </c>
      <c r="F3861" s="738" t="s">
        <v>363</v>
      </c>
      <c r="G3861" s="739">
        <v>216</v>
      </c>
      <c r="H3861" s="748">
        <f t="shared" si="844"/>
        <v>2160</v>
      </c>
      <c r="I3861" s="741">
        <v>35</v>
      </c>
      <c r="J3861" s="749">
        <f t="shared" si="845"/>
        <v>350</v>
      </c>
      <c r="K3861" s="739">
        <f t="shared" si="850"/>
        <v>2510</v>
      </c>
      <c r="L3861" s="1079"/>
      <c r="M3861" s="752"/>
      <c r="N3861" s="744">
        <f t="shared" si="849"/>
        <v>10</v>
      </c>
      <c r="O3861" s="745">
        <v>0</v>
      </c>
      <c r="P3861" s="737">
        <v>10</v>
      </c>
      <c r="Q3861" s="752"/>
      <c r="R3861" s="752"/>
      <c r="S3861" s="752"/>
    </row>
    <row r="3862" spans="1:19" s="753" customFormat="1" ht="24" customHeight="1">
      <c r="A3862" s="734"/>
      <c r="B3862" s="747"/>
      <c r="C3862" s="735"/>
      <c r="D3862" s="735"/>
      <c r="E3862" s="737">
        <f t="shared" si="848"/>
        <v>0</v>
      </c>
      <c r="F3862" s="738"/>
      <c r="G3862" s="739"/>
      <c r="H3862" s="748">
        <f t="shared" si="844"/>
        <v>0</v>
      </c>
      <c r="I3862" s="741"/>
      <c r="J3862" s="749">
        <f t="shared" si="845"/>
        <v>0</v>
      </c>
      <c r="K3862" s="739">
        <f t="shared" si="850"/>
        <v>0</v>
      </c>
      <c r="L3862" s="1079"/>
      <c r="M3862" s="752"/>
      <c r="N3862" s="744">
        <f t="shared" si="849"/>
        <v>0</v>
      </c>
      <c r="O3862" s="745">
        <v>0</v>
      </c>
      <c r="P3862" s="737">
        <v>0</v>
      </c>
      <c r="Q3862" s="752"/>
      <c r="R3862" s="752"/>
      <c r="S3862" s="752"/>
    </row>
    <row r="3863" spans="1:19" s="753" customFormat="1" ht="24" customHeight="1">
      <c r="A3863" s="734"/>
      <c r="B3863" s="747" t="s">
        <v>484</v>
      </c>
      <c r="C3863" s="735" t="s">
        <v>485</v>
      </c>
      <c r="D3863" s="735"/>
      <c r="E3863" s="737">
        <f t="shared" si="848"/>
        <v>7</v>
      </c>
      <c r="F3863" s="738" t="s">
        <v>363</v>
      </c>
      <c r="G3863" s="739">
        <v>285</v>
      </c>
      <c r="H3863" s="748">
        <f t="shared" si="844"/>
        <v>1995</v>
      </c>
      <c r="I3863" s="741">
        <v>75</v>
      </c>
      <c r="J3863" s="749">
        <f t="shared" si="845"/>
        <v>525</v>
      </c>
      <c r="K3863" s="739">
        <f t="shared" si="850"/>
        <v>2520</v>
      </c>
      <c r="L3863" s="1093"/>
      <c r="M3863" s="752"/>
      <c r="N3863" s="744">
        <f t="shared" si="849"/>
        <v>7</v>
      </c>
      <c r="O3863" s="745">
        <v>0</v>
      </c>
      <c r="P3863" s="737">
        <v>7</v>
      </c>
      <c r="Q3863" s="752"/>
      <c r="R3863" s="752"/>
      <c r="S3863" s="752"/>
    </row>
    <row r="3864" spans="1:19" s="753" customFormat="1" ht="24" customHeight="1">
      <c r="A3864" s="734"/>
      <c r="B3864" s="747" t="s">
        <v>469</v>
      </c>
      <c r="C3864" s="735" t="s">
        <v>486</v>
      </c>
      <c r="D3864" s="735"/>
      <c r="E3864" s="737">
        <f t="shared" si="848"/>
        <v>1</v>
      </c>
      <c r="F3864" s="738" t="s">
        <v>363</v>
      </c>
      <c r="G3864" s="739">
        <v>552</v>
      </c>
      <c r="H3864" s="748">
        <f t="shared" si="844"/>
        <v>552</v>
      </c>
      <c r="I3864" s="741">
        <v>25</v>
      </c>
      <c r="J3864" s="749">
        <f t="shared" si="845"/>
        <v>25</v>
      </c>
      <c r="K3864" s="739">
        <f t="shared" si="850"/>
        <v>577</v>
      </c>
      <c r="L3864" s="1079"/>
      <c r="M3864" s="752"/>
      <c r="N3864" s="744">
        <f t="shared" si="849"/>
        <v>1</v>
      </c>
      <c r="O3864" s="745">
        <v>0</v>
      </c>
      <c r="P3864" s="737">
        <v>1</v>
      </c>
      <c r="Q3864" s="752"/>
      <c r="R3864" s="752"/>
      <c r="S3864" s="752"/>
    </row>
    <row r="3865" spans="1:19" s="753" customFormat="1" ht="24" customHeight="1">
      <c r="A3865" s="734"/>
      <c r="B3865" s="747" t="s">
        <v>469</v>
      </c>
      <c r="C3865" s="735" t="s">
        <v>507</v>
      </c>
      <c r="D3865" s="735"/>
      <c r="E3865" s="737">
        <f t="shared" si="848"/>
        <v>1</v>
      </c>
      <c r="F3865" s="738" t="s">
        <v>363</v>
      </c>
      <c r="G3865" s="739">
        <v>1650</v>
      </c>
      <c r="H3865" s="748">
        <f t="shared" si="844"/>
        <v>1650</v>
      </c>
      <c r="I3865" s="741">
        <v>70</v>
      </c>
      <c r="J3865" s="749">
        <f t="shared" si="845"/>
        <v>70</v>
      </c>
      <c r="K3865" s="739">
        <f t="shared" si="850"/>
        <v>1720</v>
      </c>
      <c r="L3865" s="1079"/>
      <c r="M3865" s="752"/>
      <c r="N3865" s="744">
        <f t="shared" si="849"/>
        <v>1</v>
      </c>
      <c r="O3865" s="745">
        <v>0</v>
      </c>
      <c r="P3865" s="737">
        <v>1</v>
      </c>
      <c r="Q3865" s="752"/>
      <c r="R3865" s="752"/>
      <c r="S3865" s="752"/>
    </row>
    <row r="3866" spans="1:19" s="753" customFormat="1" ht="24" customHeight="1">
      <c r="A3866" s="734"/>
      <c r="B3866" s="747" t="s">
        <v>469</v>
      </c>
      <c r="C3866" s="735" t="s">
        <v>508</v>
      </c>
      <c r="D3866" s="735"/>
      <c r="E3866" s="737">
        <f t="shared" si="848"/>
        <v>10</v>
      </c>
      <c r="F3866" s="738" t="s">
        <v>363</v>
      </c>
      <c r="G3866" s="739">
        <v>13500</v>
      </c>
      <c r="H3866" s="748">
        <f t="shared" si="844"/>
        <v>135000</v>
      </c>
      <c r="I3866" s="741">
        <v>750</v>
      </c>
      <c r="J3866" s="749">
        <f t="shared" si="845"/>
        <v>7500</v>
      </c>
      <c r="K3866" s="739">
        <f t="shared" si="850"/>
        <v>142500</v>
      </c>
      <c r="L3866" s="1079"/>
      <c r="M3866" s="752"/>
      <c r="N3866" s="744">
        <f t="shared" si="849"/>
        <v>10</v>
      </c>
      <c r="O3866" s="745">
        <v>0</v>
      </c>
      <c r="P3866" s="737">
        <v>10</v>
      </c>
      <c r="Q3866" s="752"/>
      <c r="R3866" s="752"/>
      <c r="S3866" s="752"/>
    </row>
    <row r="3867" spans="1:19" s="682" customFormat="1" ht="24" customHeight="1">
      <c r="A3867" s="734"/>
      <c r="B3867" s="747" t="s">
        <v>469</v>
      </c>
      <c r="C3867" s="735" t="s">
        <v>509</v>
      </c>
      <c r="D3867" s="735"/>
      <c r="E3867" s="737">
        <f t="shared" si="848"/>
        <v>1</v>
      </c>
      <c r="F3867" s="738" t="s">
        <v>363</v>
      </c>
      <c r="G3867" s="739">
        <v>14476</v>
      </c>
      <c r="H3867" s="748">
        <f t="shared" si="844"/>
        <v>14476</v>
      </c>
      <c r="I3867" s="741">
        <v>5367</v>
      </c>
      <c r="J3867" s="749">
        <f t="shared" si="845"/>
        <v>5367</v>
      </c>
      <c r="K3867" s="739">
        <f t="shared" si="850"/>
        <v>19843</v>
      </c>
      <c r="L3867" s="1079"/>
      <c r="M3867" s="679"/>
      <c r="N3867" s="744">
        <f t="shared" si="849"/>
        <v>1</v>
      </c>
      <c r="O3867" s="745">
        <v>0</v>
      </c>
      <c r="P3867" s="737">
        <v>1</v>
      </c>
      <c r="Q3867" s="679"/>
      <c r="R3867" s="679"/>
      <c r="S3867" s="679"/>
    </row>
    <row r="3868" spans="1:19" s="753" customFormat="1" ht="24" customHeight="1">
      <c r="A3868" s="734"/>
      <c r="B3868" s="747"/>
      <c r="C3868" s="735"/>
      <c r="D3868" s="907"/>
      <c r="E3868" s="737">
        <f t="shared" si="848"/>
        <v>0</v>
      </c>
      <c r="F3868" s="738"/>
      <c r="G3868" s="739">
        <v>0</v>
      </c>
      <c r="H3868" s="748">
        <f t="shared" si="844"/>
        <v>0</v>
      </c>
      <c r="I3868" s="741">
        <v>0</v>
      </c>
      <c r="J3868" s="749">
        <f t="shared" si="845"/>
        <v>0</v>
      </c>
      <c r="K3868" s="739">
        <f t="shared" si="850"/>
        <v>0</v>
      </c>
      <c r="L3868" s="1079"/>
      <c r="M3868" s="752"/>
      <c r="N3868" s="744">
        <f t="shared" si="849"/>
        <v>0</v>
      </c>
      <c r="O3868" s="745">
        <v>0</v>
      </c>
      <c r="P3868" s="737">
        <v>0</v>
      </c>
      <c r="Q3868" s="752"/>
      <c r="R3868" s="752"/>
      <c r="S3868" s="752"/>
    </row>
    <row r="3869" spans="1:19" s="753" customFormat="1" ht="24" customHeight="1">
      <c r="A3869" s="734"/>
      <c r="B3869" s="747" t="s">
        <v>469</v>
      </c>
      <c r="C3869" s="735" t="s">
        <v>510</v>
      </c>
      <c r="D3869" s="735"/>
      <c r="E3869" s="737">
        <f t="shared" si="848"/>
        <v>5.8</v>
      </c>
      <c r="F3869" s="738" t="s">
        <v>361</v>
      </c>
      <c r="G3869" s="739">
        <v>2694</v>
      </c>
      <c r="H3869" s="748">
        <f t="shared" si="844"/>
        <v>15625.199999999999</v>
      </c>
      <c r="I3869" s="741">
        <v>1288</v>
      </c>
      <c r="J3869" s="749">
        <f t="shared" si="845"/>
        <v>7470.4</v>
      </c>
      <c r="K3869" s="739">
        <f t="shared" si="850"/>
        <v>23095.599999999999</v>
      </c>
      <c r="L3869" s="1079"/>
      <c r="M3869" s="752"/>
      <c r="N3869" s="744">
        <f t="shared" si="849"/>
        <v>5.8</v>
      </c>
      <c r="O3869" s="745">
        <v>0</v>
      </c>
      <c r="P3869" s="737">
        <v>5.8</v>
      </c>
      <c r="Q3869" s="752"/>
      <c r="R3869" s="752"/>
      <c r="S3869" s="752"/>
    </row>
    <row r="3870" spans="1:19" s="753" customFormat="1" ht="24" customHeight="1">
      <c r="A3870" s="734"/>
      <c r="B3870" s="747"/>
      <c r="C3870" s="735" t="s">
        <v>511</v>
      </c>
      <c r="D3870" s="735"/>
      <c r="E3870" s="737">
        <f t="shared" si="848"/>
        <v>0</v>
      </c>
      <c r="F3870" s="738"/>
      <c r="G3870" s="739"/>
      <c r="H3870" s="748">
        <f t="shared" si="844"/>
        <v>0</v>
      </c>
      <c r="I3870" s="741"/>
      <c r="J3870" s="749">
        <f t="shared" si="845"/>
        <v>0</v>
      </c>
      <c r="K3870" s="739">
        <f t="shared" si="850"/>
        <v>0</v>
      </c>
      <c r="L3870" s="1079"/>
      <c r="M3870" s="752"/>
      <c r="N3870" s="744">
        <f t="shared" si="849"/>
        <v>0</v>
      </c>
      <c r="O3870" s="745">
        <v>0</v>
      </c>
      <c r="P3870" s="737">
        <v>0</v>
      </c>
      <c r="Q3870" s="752"/>
      <c r="R3870" s="752"/>
      <c r="S3870" s="752"/>
    </row>
    <row r="3871" spans="1:19" s="753" customFormat="1" ht="24" customHeight="1">
      <c r="A3871" s="734"/>
      <c r="B3871" s="747" t="s">
        <v>469</v>
      </c>
      <c r="C3871" s="735" t="s">
        <v>512</v>
      </c>
      <c r="D3871" s="735"/>
      <c r="E3871" s="737">
        <f t="shared" si="848"/>
        <v>5.8</v>
      </c>
      <c r="F3871" s="738" t="s">
        <v>361</v>
      </c>
      <c r="G3871" s="739">
        <v>3886</v>
      </c>
      <c r="H3871" s="748">
        <f t="shared" si="844"/>
        <v>22538.799999999999</v>
      </c>
      <c r="I3871" s="741">
        <v>1238</v>
      </c>
      <c r="J3871" s="749">
        <f t="shared" si="845"/>
        <v>7180.4</v>
      </c>
      <c r="K3871" s="739">
        <f t="shared" si="850"/>
        <v>29719.199999999997</v>
      </c>
      <c r="L3871" s="1079"/>
      <c r="M3871" s="752"/>
      <c r="N3871" s="744">
        <f t="shared" si="849"/>
        <v>5.8</v>
      </c>
      <c r="O3871" s="745">
        <v>0</v>
      </c>
      <c r="P3871" s="737">
        <v>5.8</v>
      </c>
      <c r="Q3871" s="752"/>
      <c r="R3871" s="752"/>
      <c r="S3871" s="752"/>
    </row>
    <row r="3872" spans="1:19" s="753" customFormat="1" ht="24" customHeight="1">
      <c r="A3872" s="734"/>
      <c r="B3872" s="747"/>
      <c r="C3872" s="735" t="s">
        <v>513</v>
      </c>
      <c r="D3872" s="735"/>
      <c r="E3872" s="737">
        <f t="shared" si="848"/>
        <v>0</v>
      </c>
      <c r="F3872" s="738"/>
      <c r="G3872" s="739">
        <v>0</v>
      </c>
      <c r="H3872" s="748">
        <f t="shared" si="844"/>
        <v>0</v>
      </c>
      <c r="I3872" s="741">
        <v>0</v>
      </c>
      <c r="J3872" s="749">
        <f t="shared" si="845"/>
        <v>0</v>
      </c>
      <c r="K3872" s="739">
        <f t="shared" si="850"/>
        <v>0</v>
      </c>
      <c r="L3872" s="1079"/>
      <c r="M3872" s="752"/>
      <c r="N3872" s="744">
        <f t="shared" si="849"/>
        <v>0</v>
      </c>
      <c r="O3872" s="745">
        <v>0</v>
      </c>
      <c r="P3872" s="737">
        <v>0</v>
      </c>
      <c r="Q3872" s="752"/>
      <c r="R3872" s="752"/>
      <c r="S3872" s="752"/>
    </row>
    <row r="3873" spans="1:19" s="753" customFormat="1" ht="24" customHeight="1">
      <c r="A3873" s="734"/>
      <c r="B3873" s="747" t="s">
        <v>469</v>
      </c>
      <c r="C3873" s="735" t="s">
        <v>521</v>
      </c>
      <c r="D3873" s="735"/>
      <c r="E3873" s="737">
        <f t="shared" si="848"/>
        <v>9</v>
      </c>
      <c r="F3873" s="738" t="s">
        <v>361</v>
      </c>
      <c r="G3873" s="739">
        <v>1522</v>
      </c>
      <c r="H3873" s="748">
        <f t="shared" si="844"/>
        <v>13698</v>
      </c>
      <c r="I3873" s="741">
        <v>315</v>
      </c>
      <c r="J3873" s="749">
        <f t="shared" si="845"/>
        <v>2835</v>
      </c>
      <c r="K3873" s="739">
        <f t="shared" si="850"/>
        <v>16533</v>
      </c>
      <c r="L3873" s="1079"/>
      <c r="M3873" s="752"/>
      <c r="N3873" s="744">
        <f t="shared" si="849"/>
        <v>9</v>
      </c>
      <c r="O3873" s="745">
        <v>0</v>
      </c>
      <c r="P3873" s="737">
        <v>9</v>
      </c>
      <c r="Q3873" s="752"/>
      <c r="R3873" s="752"/>
      <c r="S3873" s="752"/>
    </row>
    <row r="3874" spans="1:19" s="753" customFormat="1" ht="24" customHeight="1">
      <c r="A3874" s="734"/>
      <c r="B3874" s="747"/>
      <c r="C3874" s="735"/>
      <c r="D3874" s="735"/>
      <c r="E3874" s="737">
        <f t="shared" si="848"/>
        <v>0</v>
      </c>
      <c r="F3874" s="738"/>
      <c r="G3874" s="739">
        <v>0</v>
      </c>
      <c r="H3874" s="748">
        <f t="shared" si="844"/>
        <v>0</v>
      </c>
      <c r="I3874" s="741">
        <v>0</v>
      </c>
      <c r="J3874" s="749">
        <f t="shared" si="845"/>
        <v>0</v>
      </c>
      <c r="K3874" s="739">
        <f t="shared" si="850"/>
        <v>0</v>
      </c>
      <c r="L3874" s="1079"/>
      <c r="M3874" s="752"/>
      <c r="N3874" s="744">
        <f t="shared" si="849"/>
        <v>0</v>
      </c>
      <c r="O3874" s="745">
        <v>0</v>
      </c>
      <c r="P3874" s="737">
        <v>0</v>
      </c>
      <c r="Q3874" s="752"/>
      <c r="R3874" s="752"/>
      <c r="S3874" s="752"/>
    </row>
    <row r="3875" spans="1:19" s="682" customFormat="1" ht="24" customHeight="1">
      <c r="A3875" s="734"/>
      <c r="B3875" s="747" t="s">
        <v>469</v>
      </c>
      <c r="C3875" s="735" t="s">
        <v>515</v>
      </c>
      <c r="D3875" s="735"/>
      <c r="E3875" s="737">
        <f t="shared" si="848"/>
        <v>1</v>
      </c>
      <c r="F3875" s="738" t="s">
        <v>363</v>
      </c>
      <c r="G3875" s="739">
        <v>5013</v>
      </c>
      <c r="H3875" s="748">
        <f t="shared" ref="H3875:H3911" si="851">SUM(E3875*G3875)</f>
        <v>5013</v>
      </c>
      <c r="I3875" s="741">
        <v>2403</v>
      </c>
      <c r="J3875" s="749">
        <f t="shared" ref="J3875:J3938" si="852">SUM(E3875*I3875)</f>
        <v>2403</v>
      </c>
      <c r="K3875" s="739">
        <f t="shared" si="850"/>
        <v>7416</v>
      </c>
      <c r="L3875" s="1079"/>
      <c r="M3875" s="679"/>
      <c r="N3875" s="744">
        <f t="shared" si="849"/>
        <v>1</v>
      </c>
      <c r="O3875" s="745">
        <v>0</v>
      </c>
      <c r="P3875" s="737">
        <v>1</v>
      </c>
      <c r="Q3875" s="679"/>
      <c r="R3875" s="679"/>
      <c r="S3875" s="679"/>
    </row>
    <row r="3876" spans="1:19" s="682" customFormat="1" ht="24" customHeight="1">
      <c r="A3876" s="734"/>
      <c r="B3876" s="747"/>
      <c r="C3876" s="735" t="s">
        <v>516</v>
      </c>
      <c r="D3876" s="735"/>
      <c r="E3876" s="737">
        <f t="shared" si="848"/>
        <v>0</v>
      </c>
      <c r="F3876" s="738"/>
      <c r="G3876" s="739"/>
      <c r="H3876" s="748">
        <f t="shared" si="851"/>
        <v>0</v>
      </c>
      <c r="I3876" s="741"/>
      <c r="J3876" s="749">
        <f t="shared" si="852"/>
        <v>0</v>
      </c>
      <c r="K3876" s="739">
        <f t="shared" si="850"/>
        <v>0</v>
      </c>
      <c r="L3876" s="1079"/>
      <c r="M3876" s="679"/>
      <c r="N3876" s="744">
        <f t="shared" si="849"/>
        <v>0</v>
      </c>
      <c r="O3876" s="745">
        <v>0</v>
      </c>
      <c r="P3876" s="737">
        <v>0</v>
      </c>
      <c r="Q3876" s="679"/>
      <c r="R3876" s="679"/>
      <c r="S3876" s="679"/>
    </row>
    <row r="3877" spans="1:19" s="682" customFormat="1" ht="24" customHeight="1">
      <c r="A3877" s="734"/>
      <c r="B3877" s="747"/>
      <c r="C3877" s="735"/>
      <c r="D3877" s="735"/>
      <c r="E3877" s="737">
        <f t="shared" si="848"/>
        <v>0</v>
      </c>
      <c r="F3877" s="738"/>
      <c r="G3877" s="739"/>
      <c r="H3877" s="748">
        <f t="shared" si="851"/>
        <v>0</v>
      </c>
      <c r="I3877" s="741"/>
      <c r="J3877" s="749">
        <f t="shared" si="852"/>
        <v>0</v>
      </c>
      <c r="K3877" s="739">
        <f t="shared" si="850"/>
        <v>0</v>
      </c>
      <c r="L3877" s="1079"/>
      <c r="M3877" s="679"/>
      <c r="N3877" s="744">
        <f t="shared" si="849"/>
        <v>0</v>
      </c>
      <c r="O3877" s="745">
        <v>0</v>
      </c>
      <c r="P3877" s="737">
        <v>0</v>
      </c>
      <c r="Q3877" s="679"/>
      <c r="R3877" s="679"/>
      <c r="S3877" s="679"/>
    </row>
    <row r="3878" spans="1:19" s="756" customFormat="1" ht="24" customHeight="1">
      <c r="A3878" s="734"/>
      <c r="B3878" s="747" t="s">
        <v>469</v>
      </c>
      <c r="C3878" s="735" t="s">
        <v>517</v>
      </c>
      <c r="D3878" s="907"/>
      <c r="E3878" s="737">
        <f t="shared" ref="E3878:E3941" si="853">+N3878</f>
        <v>0</v>
      </c>
      <c r="F3878" s="738" t="s">
        <v>361</v>
      </c>
      <c r="G3878" s="739">
        <v>5075.5555555555557</v>
      </c>
      <c r="H3878" s="748">
        <f t="shared" si="851"/>
        <v>0</v>
      </c>
      <c r="I3878" s="741">
        <v>2545.7777777777778</v>
      </c>
      <c r="J3878" s="749">
        <f t="shared" si="852"/>
        <v>0</v>
      </c>
      <c r="K3878" s="739">
        <f t="shared" si="850"/>
        <v>0</v>
      </c>
      <c r="L3878" s="1079"/>
      <c r="M3878" s="755"/>
      <c r="N3878" s="744">
        <f t="shared" si="849"/>
        <v>0</v>
      </c>
      <c r="O3878" s="745">
        <v>0</v>
      </c>
      <c r="P3878" s="737">
        <v>0</v>
      </c>
      <c r="Q3878" s="755"/>
      <c r="R3878" s="755"/>
      <c r="S3878" s="755"/>
    </row>
    <row r="3879" spans="1:19" s="756" customFormat="1" ht="24" customHeight="1">
      <c r="A3879" s="734"/>
      <c r="B3879" s="747"/>
      <c r="C3879" s="735" t="s">
        <v>488</v>
      </c>
      <c r="D3879" s="907"/>
      <c r="E3879" s="737">
        <f t="shared" si="853"/>
        <v>0</v>
      </c>
      <c r="F3879" s="738"/>
      <c r="G3879" s="739">
        <v>0</v>
      </c>
      <c r="H3879" s="748">
        <f t="shared" si="851"/>
        <v>0</v>
      </c>
      <c r="I3879" s="741">
        <v>0</v>
      </c>
      <c r="J3879" s="749">
        <f t="shared" si="852"/>
        <v>0</v>
      </c>
      <c r="K3879" s="739">
        <f t="shared" si="850"/>
        <v>0</v>
      </c>
      <c r="L3879" s="1079"/>
      <c r="M3879" s="755"/>
      <c r="N3879" s="744">
        <f t="shared" si="849"/>
        <v>0</v>
      </c>
      <c r="O3879" s="745">
        <v>0</v>
      </c>
      <c r="P3879" s="737">
        <v>0</v>
      </c>
      <c r="Q3879" s="755"/>
      <c r="R3879" s="755"/>
      <c r="S3879" s="755"/>
    </row>
    <row r="3880" spans="1:19" s="753" customFormat="1" ht="24" customHeight="1">
      <c r="A3880" s="734"/>
      <c r="B3880" s="747" t="s">
        <v>469</v>
      </c>
      <c r="C3880" s="735" t="s">
        <v>518</v>
      </c>
      <c r="D3880" s="735"/>
      <c r="E3880" s="737">
        <f t="shared" si="853"/>
        <v>0</v>
      </c>
      <c r="F3880" s="738" t="s">
        <v>361</v>
      </c>
      <c r="G3880" s="739">
        <v>3886</v>
      </c>
      <c r="H3880" s="748">
        <f t="shared" si="851"/>
        <v>0</v>
      </c>
      <c r="I3880" s="741">
        <v>1238</v>
      </c>
      <c r="J3880" s="749">
        <f t="shared" si="852"/>
        <v>0</v>
      </c>
      <c r="K3880" s="739">
        <f t="shared" si="850"/>
        <v>0</v>
      </c>
      <c r="L3880" s="1079"/>
      <c r="M3880" s="752"/>
      <c r="N3880" s="744">
        <f t="shared" si="849"/>
        <v>0</v>
      </c>
      <c r="O3880" s="745">
        <v>0</v>
      </c>
      <c r="P3880" s="737">
        <v>0</v>
      </c>
      <c r="Q3880" s="752"/>
      <c r="R3880" s="752"/>
      <c r="S3880" s="752"/>
    </row>
    <row r="3881" spans="1:19" s="753" customFormat="1" ht="24" customHeight="1">
      <c r="A3881" s="734"/>
      <c r="B3881" s="747"/>
      <c r="C3881" s="735" t="s">
        <v>513</v>
      </c>
      <c r="D3881" s="735"/>
      <c r="E3881" s="737">
        <f t="shared" si="853"/>
        <v>0</v>
      </c>
      <c r="F3881" s="738"/>
      <c r="G3881" s="739">
        <v>0</v>
      </c>
      <c r="H3881" s="748">
        <f t="shared" si="851"/>
        <v>0</v>
      </c>
      <c r="I3881" s="741">
        <v>0</v>
      </c>
      <c r="J3881" s="749">
        <f t="shared" si="852"/>
        <v>0</v>
      </c>
      <c r="K3881" s="739">
        <f t="shared" si="850"/>
        <v>0</v>
      </c>
      <c r="L3881" s="1079"/>
      <c r="M3881" s="752"/>
      <c r="N3881" s="744">
        <f t="shared" si="849"/>
        <v>0</v>
      </c>
      <c r="O3881" s="745">
        <v>0</v>
      </c>
      <c r="P3881" s="737">
        <v>0</v>
      </c>
      <c r="Q3881" s="752"/>
      <c r="R3881" s="752"/>
      <c r="S3881" s="752"/>
    </row>
    <row r="3882" spans="1:19" s="682" customFormat="1" ht="24" customHeight="1">
      <c r="A3882" s="734"/>
      <c r="B3882" s="747"/>
      <c r="C3882" s="735"/>
      <c r="D3882" s="735"/>
      <c r="E3882" s="737">
        <f t="shared" si="853"/>
        <v>0</v>
      </c>
      <c r="F3882" s="738"/>
      <c r="G3882" s="739"/>
      <c r="H3882" s="748">
        <f t="shared" si="851"/>
        <v>0</v>
      </c>
      <c r="I3882" s="741"/>
      <c r="J3882" s="749">
        <f t="shared" si="852"/>
        <v>0</v>
      </c>
      <c r="K3882" s="739">
        <f t="shared" si="850"/>
        <v>0</v>
      </c>
      <c r="L3882" s="1079"/>
      <c r="M3882" s="679"/>
      <c r="N3882" s="744">
        <f t="shared" si="849"/>
        <v>0</v>
      </c>
      <c r="O3882" s="745">
        <v>0</v>
      </c>
      <c r="P3882" s="737">
        <v>0</v>
      </c>
      <c r="Q3882" s="679"/>
      <c r="R3882" s="679"/>
      <c r="S3882" s="679"/>
    </row>
    <row r="3883" spans="1:19" s="682" customFormat="1" ht="24" customHeight="1">
      <c r="A3883" s="734"/>
      <c r="B3883" s="747" t="s">
        <v>469</v>
      </c>
      <c r="C3883" s="735" t="s">
        <v>519</v>
      </c>
      <c r="D3883" s="735"/>
      <c r="E3883" s="737">
        <f t="shared" si="853"/>
        <v>1</v>
      </c>
      <c r="F3883" s="738" t="s">
        <v>363</v>
      </c>
      <c r="G3883" s="739">
        <v>800</v>
      </c>
      <c r="H3883" s="748">
        <f t="shared" si="851"/>
        <v>800</v>
      </c>
      <c r="I3883" s="741">
        <v>70</v>
      </c>
      <c r="J3883" s="749">
        <f t="shared" si="852"/>
        <v>70</v>
      </c>
      <c r="K3883" s="739">
        <f t="shared" si="850"/>
        <v>870</v>
      </c>
      <c r="L3883" s="1079"/>
      <c r="M3883" s="679"/>
      <c r="N3883" s="744">
        <f t="shared" si="849"/>
        <v>1</v>
      </c>
      <c r="O3883" s="745">
        <v>0</v>
      </c>
      <c r="P3883" s="737">
        <v>1</v>
      </c>
      <c r="Q3883" s="679"/>
      <c r="R3883" s="679"/>
      <c r="S3883" s="679"/>
    </row>
    <row r="3884" spans="1:19" s="682" customFormat="1" ht="24" customHeight="1">
      <c r="A3884" s="734"/>
      <c r="B3884" s="747" t="s">
        <v>469</v>
      </c>
      <c r="C3884" s="735" t="s">
        <v>520</v>
      </c>
      <c r="D3884" s="735"/>
      <c r="E3884" s="737">
        <f t="shared" si="853"/>
        <v>0</v>
      </c>
      <c r="F3884" s="738" t="s">
        <v>361</v>
      </c>
      <c r="G3884" s="739">
        <v>190</v>
      </c>
      <c r="H3884" s="748">
        <f t="shared" si="851"/>
        <v>0</v>
      </c>
      <c r="I3884" s="741">
        <v>75</v>
      </c>
      <c r="J3884" s="749">
        <f t="shared" si="852"/>
        <v>0</v>
      </c>
      <c r="K3884" s="739">
        <f t="shared" si="850"/>
        <v>0</v>
      </c>
      <c r="L3884" s="1079"/>
      <c r="M3884" s="679"/>
      <c r="N3884" s="744">
        <f t="shared" si="849"/>
        <v>0</v>
      </c>
      <c r="O3884" s="745">
        <v>0</v>
      </c>
      <c r="P3884" s="737">
        <v>0</v>
      </c>
      <c r="Q3884" s="679"/>
      <c r="R3884" s="679"/>
      <c r="S3884" s="679"/>
    </row>
    <row r="3885" spans="1:19" s="682" customFormat="1" ht="24" customHeight="1">
      <c r="A3885" s="734"/>
      <c r="B3885" s="747"/>
      <c r="C3885" s="735"/>
      <c r="D3885" s="735"/>
      <c r="E3885" s="737">
        <f t="shared" si="853"/>
        <v>0</v>
      </c>
      <c r="F3885" s="738"/>
      <c r="G3885" s="739"/>
      <c r="H3885" s="748">
        <f t="shared" si="851"/>
        <v>0</v>
      </c>
      <c r="I3885" s="741"/>
      <c r="J3885" s="749">
        <f t="shared" si="852"/>
        <v>0</v>
      </c>
      <c r="K3885" s="739">
        <f t="shared" si="850"/>
        <v>0</v>
      </c>
      <c r="L3885" s="1079"/>
      <c r="M3885" s="679"/>
      <c r="N3885" s="744">
        <f t="shared" ref="N3885:N3948" si="854">+(1+O3885)*P3885</f>
        <v>0</v>
      </c>
      <c r="O3885" s="745">
        <v>0</v>
      </c>
      <c r="P3885" s="737">
        <v>0</v>
      </c>
      <c r="Q3885" s="679"/>
      <c r="R3885" s="679"/>
      <c r="S3885" s="679"/>
    </row>
    <row r="3886" spans="1:19" s="753" customFormat="1" ht="24" customHeight="1">
      <c r="A3886" s="734"/>
      <c r="B3886" s="735" t="s">
        <v>1074</v>
      </c>
      <c r="C3886" s="735"/>
      <c r="D3886" s="735"/>
      <c r="E3886" s="737">
        <f t="shared" si="853"/>
        <v>0</v>
      </c>
      <c r="F3886" s="738"/>
      <c r="G3886" s="739">
        <v>0</v>
      </c>
      <c r="H3886" s="748">
        <f t="shared" si="851"/>
        <v>0</v>
      </c>
      <c r="I3886" s="741">
        <v>0</v>
      </c>
      <c r="J3886" s="749">
        <f t="shared" si="852"/>
        <v>0</v>
      </c>
      <c r="K3886" s="739">
        <f t="shared" si="850"/>
        <v>0</v>
      </c>
      <c r="L3886" s="1079"/>
      <c r="M3886" s="752"/>
      <c r="N3886" s="744">
        <f t="shared" si="854"/>
        <v>0</v>
      </c>
      <c r="O3886" s="745">
        <v>0</v>
      </c>
      <c r="P3886" s="737">
        <v>0</v>
      </c>
      <c r="Q3886" s="752"/>
      <c r="R3886" s="752"/>
      <c r="S3886" s="752"/>
    </row>
    <row r="3887" spans="1:19" s="753" customFormat="1" ht="24" customHeight="1">
      <c r="A3887" s="734"/>
      <c r="B3887" s="747" t="s">
        <v>469</v>
      </c>
      <c r="C3887" s="735" t="s">
        <v>522</v>
      </c>
      <c r="D3887" s="735"/>
      <c r="E3887" s="737">
        <f t="shared" si="853"/>
        <v>1</v>
      </c>
      <c r="F3887" s="738" t="s">
        <v>363</v>
      </c>
      <c r="G3887" s="739">
        <v>6832</v>
      </c>
      <c r="H3887" s="748">
        <f t="shared" si="851"/>
        <v>6832</v>
      </c>
      <c r="I3887" s="741">
        <v>450</v>
      </c>
      <c r="J3887" s="749">
        <f t="shared" si="852"/>
        <v>450</v>
      </c>
      <c r="K3887" s="739">
        <f t="shared" si="850"/>
        <v>7282</v>
      </c>
      <c r="L3887" s="1079"/>
      <c r="M3887" s="752"/>
      <c r="N3887" s="744">
        <f t="shared" si="854"/>
        <v>1</v>
      </c>
      <c r="O3887" s="745">
        <v>0</v>
      </c>
      <c r="P3887" s="737">
        <v>1</v>
      </c>
      <c r="Q3887" s="752"/>
      <c r="R3887" s="752"/>
      <c r="S3887" s="752"/>
    </row>
    <row r="3888" spans="1:19" s="753" customFormat="1" ht="24" customHeight="1">
      <c r="A3888" s="734"/>
      <c r="B3888" s="747" t="s">
        <v>469</v>
      </c>
      <c r="C3888" s="735" t="s">
        <v>498</v>
      </c>
      <c r="D3888" s="735"/>
      <c r="E3888" s="737">
        <f t="shared" si="853"/>
        <v>1</v>
      </c>
      <c r="F3888" s="738" t="s">
        <v>363</v>
      </c>
      <c r="G3888" s="739">
        <v>6640</v>
      </c>
      <c r="H3888" s="748">
        <f t="shared" si="851"/>
        <v>6640</v>
      </c>
      <c r="I3888" s="741">
        <v>200</v>
      </c>
      <c r="J3888" s="749">
        <f t="shared" si="852"/>
        <v>200</v>
      </c>
      <c r="K3888" s="739">
        <f t="shared" si="850"/>
        <v>6840</v>
      </c>
      <c r="L3888" s="1079"/>
      <c r="M3888" s="752"/>
      <c r="N3888" s="744">
        <f t="shared" si="854"/>
        <v>1</v>
      </c>
      <c r="O3888" s="745">
        <v>0</v>
      </c>
      <c r="P3888" s="737">
        <v>1</v>
      </c>
      <c r="Q3888" s="752"/>
      <c r="R3888" s="752"/>
      <c r="S3888" s="752"/>
    </row>
    <row r="3889" spans="1:19" s="753" customFormat="1" ht="24" customHeight="1">
      <c r="A3889" s="734"/>
      <c r="B3889" s="747" t="s">
        <v>469</v>
      </c>
      <c r="C3889" s="735" t="s">
        <v>476</v>
      </c>
      <c r="D3889" s="735"/>
      <c r="E3889" s="737">
        <f t="shared" si="853"/>
        <v>1</v>
      </c>
      <c r="F3889" s="738" t="s">
        <v>363</v>
      </c>
      <c r="G3889" s="739">
        <v>336</v>
      </c>
      <c r="H3889" s="748">
        <f t="shared" si="851"/>
        <v>336</v>
      </c>
      <c r="I3889" s="741">
        <v>0</v>
      </c>
      <c r="J3889" s="749">
        <f t="shared" si="852"/>
        <v>0</v>
      </c>
      <c r="K3889" s="739">
        <f t="shared" si="850"/>
        <v>336</v>
      </c>
      <c r="L3889" s="1079"/>
      <c r="M3889" s="752"/>
      <c r="N3889" s="744">
        <f t="shared" si="854"/>
        <v>1</v>
      </c>
      <c r="O3889" s="745">
        <v>0</v>
      </c>
      <c r="P3889" s="737">
        <v>1</v>
      </c>
      <c r="Q3889" s="752"/>
      <c r="R3889" s="752"/>
      <c r="S3889" s="752"/>
    </row>
    <row r="3890" spans="1:19" s="753" customFormat="1" ht="24" customHeight="1">
      <c r="A3890" s="734"/>
      <c r="B3890" s="747" t="s">
        <v>469</v>
      </c>
      <c r="C3890" s="735" t="s">
        <v>477</v>
      </c>
      <c r="D3890" s="735"/>
      <c r="E3890" s="737">
        <f t="shared" si="853"/>
        <v>1</v>
      </c>
      <c r="F3890" s="738" t="s">
        <v>363</v>
      </c>
      <c r="G3890" s="739">
        <v>736</v>
      </c>
      <c r="H3890" s="748">
        <f t="shared" si="851"/>
        <v>736</v>
      </c>
      <c r="I3890" s="741">
        <v>0</v>
      </c>
      <c r="J3890" s="749">
        <f t="shared" si="852"/>
        <v>0</v>
      </c>
      <c r="K3890" s="739">
        <f t="shared" si="850"/>
        <v>736</v>
      </c>
      <c r="L3890" s="1079"/>
      <c r="M3890" s="752"/>
      <c r="N3890" s="744">
        <f t="shared" si="854"/>
        <v>1</v>
      </c>
      <c r="O3890" s="745">
        <v>0</v>
      </c>
      <c r="P3890" s="737">
        <v>1</v>
      </c>
      <c r="Q3890" s="752"/>
      <c r="R3890" s="752"/>
      <c r="S3890" s="752"/>
    </row>
    <row r="3891" spans="1:19" s="753" customFormat="1" ht="24" customHeight="1">
      <c r="A3891" s="734"/>
      <c r="B3891" s="747" t="s">
        <v>469</v>
      </c>
      <c r="C3891" s="735" t="s">
        <v>478</v>
      </c>
      <c r="D3891" s="735"/>
      <c r="E3891" s="737">
        <f t="shared" si="853"/>
        <v>1</v>
      </c>
      <c r="F3891" s="738" t="s">
        <v>363</v>
      </c>
      <c r="G3891" s="739">
        <v>176</v>
      </c>
      <c r="H3891" s="748">
        <f t="shared" si="851"/>
        <v>176</v>
      </c>
      <c r="I3891" s="741">
        <v>0</v>
      </c>
      <c r="J3891" s="749">
        <f t="shared" si="852"/>
        <v>0</v>
      </c>
      <c r="K3891" s="739">
        <f t="shared" si="850"/>
        <v>176</v>
      </c>
      <c r="L3891" s="1079"/>
      <c r="M3891" s="752"/>
      <c r="N3891" s="744">
        <f t="shared" si="854"/>
        <v>1</v>
      </c>
      <c r="O3891" s="745">
        <v>0</v>
      </c>
      <c r="P3891" s="737">
        <v>1</v>
      </c>
      <c r="Q3891" s="752"/>
      <c r="R3891" s="752"/>
      <c r="S3891" s="752"/>
    </row>
    <row r="3892" spans="1:19" s="753" customFormat="1" ht="24" customHeight="1">
      <c r="A3892" s="734"/>
      <c r="B3892" s="747" t="s">
        <v>469</v>
      </c>
      <c r="C3892" s="735" t="s">
        <v>499</v>
      </c>
      <c r="D3892" s="735"/>
      <c r="E3892" s="737">
        <f t="shared" si="853"/>
        <v>1</v>
      </c>
      <c r="F3892" s="738" t="s">
        <v>363</v>
      </c>
      <c r="G3892" s="739">
        <v>216</v>
      </c>
      <c r="H3892" s="748">
        <f t="shared" si="851"/>
        <v>216</v>
      </c>
      <c r="I3892" s="741">
        <v>35</v>
      </c>
      <c r="J3892" s="749">
        <f t="shared" si="852"/>
        <v>35</v>
      </c>
      <c r="K3892" s="739">
        <f t="shared" si="850"/>
        <v>251</v>
      </c>
      <c r="L3892" s="1079"/>
      <c r="M3892" s="752"/>
      <c r="N3892" s="744">
        <f t="shared" si="854"/>
        <v>1</v>
      </c>
      <c r="O3892" s="745">
        <v>0</v>
      </c>
      <c r="P3892" s="737">
        <v>1</v>
      </c>
      <c r="Q3892" s="752"/>
      <c r="R3892" s="752"/>
      <c r="S3892" s="752"/>
    </row>
    <row r="3893" spans="1:19" s="753" customFormat="1" ht="24" customHeight="1">
      <c r="A3893" s="734"/>
      <c r="B3893" s="750"/>
      <c r="C3893" s="757"/>
      <c r="D3893" s="907"/>
      <c r="E3893" s="737">
        <f t="shared" si="853"/>
        <v>0</v>
      </c>
      <c r="F3893" s="738"/>
      <c r="G3893" s="739">
        <v>0</v>
      </c>
      <c r="H3893" s="748">
        <f t="shared" si="851"/>
        <v>0</v>
      </c>
      <c r="I3893" s="741">
        <v>0</v>
      </c>
      <c r="J3893" s="749">
        <f t="shared" si="852"/>
        <v>0</v>
      </c>
      <c r="K3893" s="739">
        <f t="shared" si="850"/>
        <v>0</v>
      </c>
      <c r="L3893" s="1079"/>
      <c r="M3893" s="752"/>
      <c r="N3893" s="744">
        <f t="shared" si="854"/>
        <v>0</v>
      </c>
      <c r="O3893" s="745">
        <v>0</v>
      </c>
      <c r="P3893" s="737">
        <v>0</v>
      </c>
      <c r="Q3893" s="752"/>
      <c r="R3893" s="752"/>
      <c r="S3893" s="752"/>
    </row>
    <row r="3894" spans="1:19" s="753" customFormat="1" ht="24" customHeight="1">
      <c r="A3894" s="734"/>
      <c r="B3894" s="747" t="s">
        <v>469</v>
      </c>
      <c r="C3894" s="735" t="s">
        <v>523</v>
      </c>
      <c r="D3894" s="735"/>
      <c r="E3894" s="737">
        <f t="shared" si="853"/>
        <v>1</v>
      </c>
      <c r="F3894" s="738" t="s">
        <v>363</v>
      </c>
      <c r="G3894" s="739">
        <v>6580</v>
      </c>
      <c r="H3894" s="748">
        <f t="shared" si="851"/>
        <v>6580</v>
      </c>
      <c r="I3894" s="741">
        <v>450</v>
      </c>
      <c r="J3894" s="749">
        <f t="shared" si="852"/>
        <v>450</v>
      </c>
      <c r="K3894" s="739">
        <f t="shared" si="850"/>
        <v>7030</v>
      </c>
      <c r="L3894" s="1079"/>
      <c r="M3894" s="752"/>
      <c r="N3894" s="744">
        <f t="shared" si="854"/>
        <v>1</v>
      </c>
      <c r="O3894" s="745">
        <v>0</v>
      </c>
      <c r="P3894" s="737">
        <v>1</v>
      </c>
      <c r="Q3894" s="752"/>
      <c r="R3894" s="752"/>
      <c r="S3894" s="752"/>
    </row>
    <row r="3895" spans="1:19" s="753" customFormat="1" ht="24" customHeight="1">
      <c r="A3895" s="734"/>
      <c r="B3895" s="747" t="s">
        <v>469</v>
      </c>
      <c r="C3895" s="735" t="s">
        <v>478</v>
      </c>
      <c r="D3895" s="735"/>
      <c r="E3895" s="737">
        <f t="shared" si="853"/>
        <v>1</v>
      </c>
      <c r="F3895" s="738" t="s">
        <v>363</v>
      </c>
      <c r="G3895" s="739">
        <v>176</v>
      </c>
      <c r="H3895" s="748">
        <f t="shared" si="851"/>
        <v>176</v>
      </c>
      <c r="I3895" s="741">
        <v>0</v>
      </c>
      <c r="J3895" s="749">
        <f t="shared" si="852"/>
        <v>0</v>
      </c>
      <c r="K3895" s="739">
        <f t="shared" si="850"/>
        <v>176</v>
      </c>
      <c r="L3895" s="1079"/>
      <c r="M3895" s="752"/>
      <c r="N3895" s="744">
        <f t="shared" si="854"/>
        <v>1</v>
      </c>
      <c r="O3895" s="745">
        <v>0</v>
      </c>
      <c r="P3895" s="737">
        <v>1</v>
      </c>
      <c r="Q3895" s="752"/>
      <c r="R3895" s="752"/>
      <c r="S3895" s="752"/>
    </row>
    <row r="3896" spans="1:19" s="753" customFormat="1" ht="24" customHeight="1">
      <c r="A3896" s="734"/>
      <c r="B3896" s="747" t="s">
        <v>469</v>
      </c>
      <c r="C3896" s="735" t="s">
        <v>482</v>
      </c>
      <c r="D3896" s="735"/>
      <c r="E3896" s="737">
        <f t="shared" si="853"/>
        <v>1</v>
      </c>
      <c r="F3896" s="738" t="s">
        <v>363</v>
      </c>
      <c r="G3896" s="739">
        <v>560</v>
      </c>
      <c r="H3896" s="748">
        <f t="shared" si="851"/>
        <v>560</v>
      </c>
      <c r="I3896" s="741">
        <v>35</v>
      </c>
      <c r="J3896" s="749">
        <f t="shared" si="852"/>
        <v>35</v>
      </c>
      <c r="K3896" s="739">
        <f t="shared" si="850"/>
        <v>595</v>
      </c>
      <c r="L3896" s="1079"/>
      <c r="M3896" s="752"/>
      <c r="N3896" s="744">
        <f t="shared" si="854"/>
        <v>1</v>
      </c>
      <c r="O3896" s="745">
        <v>0</v>
      </c>
      <c r="P3896" s="737">
        <v>1</v>
      </c>
      <c r="Q3896" s="752"/>
      <c r="R3896" s="752"/>
      <c r="S3896" s="752"/>
    </row>
    <row r="3897" spans="1:19" s="753" customFormat="1" ht="24" customHeight="1">
      <c r="A3897" s="734"/>
      <c r="B3897" s="747" t="s">
        <v>469</v>
      </c>
      <c r="C3897" s="735" t="s">
        <v>524</v>
      </c>
      <c r="D3897" s="735"/>
      <c r="E3897" s="737">
        <f t="shared" si="853"/>
        <v>1</v>
      </c>
      <c r="F3897" s="738" t="s">
        <v>363</v>
      </c>
      <c r="G3897" s="739">
        <v>216</v>
      </c>
      <c r="H3897" s="748">
        <f t="shared" si="851"/>
        <v>216</v>
      </c>
      <c r="I3897" s="741">
        <v>35</v>
      </c>
      <c r="J3897" s="749">
        <f t="shared" si="852"/>
        <v>35</v>
      </c>
      <c r="K3897" s="739">
        <f t="shared" si="850"/>
        <v>251</v>
      </c>
      <c r="L3897" s="1079"/>
      <c r="M3897" s="752"/>
      <c r="N3897" s="744">
        <f t="shared" si="854"/>
        <v>1</v>
      </c>
      <c r="O3897" s="745">
        <v>0</v>
      </c>
      <c r="P3897" s="737">
        <v>1</v>
      </c>
      <c r="Q3897" s="752"/>
      <c r="R3897" s="752"/>
      <c r="S3897" s="752"/>
    </row>
    <row r="3898" spans="1:19" s="753" customFormat="1" ht="24" customHeight="1">
      <c r="A3898" s="734"/>
      <c r="B3898" s="747"/>
      <c r="C3898" s="735"/>
      <c r="D3898" s="735"/>
      <c r="E3898" s="737">
        <f t="shared" si="853"/>
        <v>0</v>
      </c>
      <c r="F3898" s="738"/>
      <c r="G3898" s="739">
        <v>0</v>
      </c>
      <c r="H3898" s="748">
        <f t="shared" si="851"/>
        <v>0</v>
      </c>
      <c r="I3898" s="741">
        <v>0</v>
      </c>
      <c r="J3898" s="749">
        <f t="shared" si="852"/>
        <v>0</v>
      </c>
      <c r="K3898" s="739">
        <f t="shared" si="850"/>
        <v>0</v>
      </c>
      <c r="L3898" s="1079"/>
      <c r="M3898" s="752"/>
      <c r="N3898" s="744">
        <f t="shared" si="854"/>
        <v>0</v>
      </c>
      <c r="O3898" s="745">
        <v>0</v>
      </c>
      <c r="P3898" s="737">
        <v>0</v>
      </c>
      <c r="Q3898" s="752"/>
      <c r="R3898" s="752"/>
      <c r="S3898" s="752"/>
    </row>
    <row r="3899" spans="1:19" s="753" customFormat="1" ht="24" customHeight="1">
      <c r="A3899" s="734"/>
      <c r="B3899" s="747" t="s">
        <v>469</v>
      </c>
      <c r="C3899" s="735" t="s">
        <v>486</v>
      </c>
      <c r="D3899" s="735"/>
      <c r="E3899" s="737">
        <f t="shared" si="853"/>
        <v>1</v>
      </c>
      <c r="F3899" s="738" t="s">
        <v>363</v>
      </c>
      <c r="G3899" s="739">
        <v>552</v>
      </c>
      <c r="H3899" s="748">
        <f t="shared" si="851"/>
        <v>552</v>
      </c>
      <c r="I3899" s="741">
        <v>25</v>
      </c>
      <c r="J3899" s="749">
        <f t="shared" si="852"/>
        <v>25</v>
      </c>
      <c r="K3899" s="739">
        <f t="shared" si="850"/>
        <v>577</v>
      </c>
      <c r="L3899" s="1079"/>
      <c r="M3899" s="752"/>
      <c r="N3899" s="744">
        <f t="shared" si="854"/>
        <v>1</v>
      </c>
      <c r="O3899" s="745">
        <v>0</v>
      </c>
      <c r="P3899" s="737">
        <v>1</v>
      </c>
      <c r="Q3899" s="752"/>
      <c r="R3899" s="752"/>
      <c r="S3899" s="752"/>
    </row>
    <row r="3900" spans="1:19" s="753" customFormat="1" ht="24" customHeight="1">
      <c r="A3900" s="734"/>
      <c r="B3900" s="747" t="s">
        <v>484</v>
      </c>
      <c r="C3900" s="735" t="s">
        <v>485</v>
      </c>
      <c r="D3900" s="735"/>
      <c r="E3900" s="737">
        <f t="shared" si="853"/>
        <v>1</v>
      </c>
      <c r="F3900" s="738" t="s">
        <v>363</v>
      </c>
      <c r="G3900" s="739">
        <v>285</v>
      </c>
      <c r="H3900" s="748">
        <f t="shared" si="851"/>
        <v>285</v>
      </c>
      <c r="I3900" s="741">
        <v>75</v>
      </c>
      <c r="J3900" s="749">
        <f t="shared" si="852"/>
        <v>75</v>
      </c>
      <c r="K3900" s="739">
        <f t="shared" si="850"/>
        <v>360</v>
      </c>
      <c r="L3900" s="1093"/>
      <c r="M3900" s="752"/>
      <c r="N3900" s="744">
        <f t="shared" si="854"/>
        <v>1</v>
      </c>
      <c r="O3900" s="745">
        <v>0</v>
      </c>
      <c r="P3900" s="737">
        <v>1</v>
      </c>
      <c r="Q3900" s="752"/>
      <c r="R3900" s="752"/>
      <c r="S3900" s="752"/>
    </row>
    <row r="3901" spans="1:19" s="753" customFormat="1" ht="24" customHeight="1">
      <c r="A3901" s="734"/>
      <c r="B3901" s="747"/>
      <c r="C3901" s="735"/>
      <c r="D3901" s="735"/>
      <c r="E3901" s="737">
        <f t="shared" si="853"/>
        <v>0</v>
      </c>
      <c r="F3901" s="738"/>
      <c r="G3901" s="739">
        <v>0</v>
      </c>
      <c r="H3901" s="748">
        <f t="shared" si="851"/>
        <v>0</v>
      </c>
      <c r="I3901" s="741">
        <v>0</v>
      </c>
      <c r="J3901" s="749">
        <f t="shared" si="852"/>
        <v>0</v>
      </c>
      <c r="K3901" s="739">
        <f t="shared" si="850"/>
        <v>0</v>
      </c>
      <c r="L3901" s="1079"/>
      <c r="M3901" s="752"/>
      <c r="N3901" s="744">
        <f t="shared" si="854"/>
        <v>0</v>
      </c>
      <c r="O3901" s="745">
        <v>0</v>
      </c>
      <c r="P3901" s="737">
        <v>0</v>
      </c>
      <c r="Q3901" s="752"/>
      <c r="R3901" s="752"/>
      <c r="S3901" s="752"/>
    </row>
    <row r="3902" spans="1:19" s="753" customFormat="1" ht="24" customHeight="1">
      <c r="A3902" s="734"/>
      <c r="B3902" s="747" t="s">
        <v>469</v>
      </c>
      <c r="C3902" s="735" t="s">
        <v>507</v>
      </c>
      <c r="D3902" s="735"/>
      <c r="E3902" s="737">
        <f t="shared" si="853"/>
        <v>1</v>
      </c>
      <c r="F3902" s="738" t="s">
        <v>363</v>
      </c>
      <c r="G3902" s="739">
        <v>1650</v>
      </c>
      <c r="H3902" s="748">
        <f t="shared" si="851"/>
        <v>1650</v>
      </c>
      <c r="I3902" s="741">
        <v>70</v>
      </c>
      <c r="J3902" s="749">
        <f t="shared" si="852"/>
        <v>70</v>
      </c>
      <c r="K3902" s="739">
        <f t="shared" si="850"/>
        <v>1720</v>
      </c>
      <c r="L3902" s="1079"/>
      <c r="M3902" s="752"/>
      <c r="N3902" s="744">
        <f t="shared" si="854"/>
        <v>1</v>
      </c>
      <c r="O3902" s="745">
        <v>0</v>
      </c>
      <c r="P3902" s="737">
        <v>1</v>
      </c>
      <c r="Q3902" s="752"/>
      <c r="R3902" s="752"/>
      <c r="S3902" s="752"/>
    </row>
    <row r="3903" spans="1:19" s="753" customFormat="1" ht="24" customHeight="1">
      <c r="A3903" s="734"/>
      <c r="B3903" s="747" t="s">
        <v>469</v>
      </c>
      <c r="C3903" s="735" t="s">
        <v>525</v>
      </c>
      <c r="D3903" s="735"/>
      <c r="E3903" s="737">
        <f t="shared" si="853"/>
        <v>2</v>
      </c>
      <c r="F3903" s="738" t="s">
        <v>363</v>
      </c>
      <c r="G3903" s="739">
        <v>4160</v>
      </c>
      <c r="H3903" s="748">
        <f t="shared" si="851"/>
        <v>8320</v>
      </c>
      <c r="I3903" s="741">
        <v>105</v>
      </c>
      <c r="J3903" s="749">
        <f t="shared" si="852"/>
        <v>210</v>
      </c>
      <c r="K3903" s="739">
        <f t="shared" si="850"/>
        <v>8530</v>
      </c>
      <c r="L3903" s="1079"/>
      <c r="M3903" s="752"/>
      <c r="N3903" s="744">
        <f t="shared" si="854"/>
        <v>2</v>
      </c>
      <c r="O3903" s="745">
        <v>0</v>
      </c>
      <c r="P3903" s="737">
        <v>2</v>
      </c>
      <c r="Q3903" s="752"/>
      <c r="R3903" s="752"/>
      <c r="S3903" s="752"/>
    </row>
    <row r="3904" spans="1:19" s="753" customFormat="1" ht="24" customHeight="1">
      <c r="A3904" s="734"/>
      <c r="B3904" s="747" t="s">
        <v>469</v>
      </c>
      <c r="C3904" s="735" t="s">
        <v>526</v>
      </c>
      <c r="D3904" s="735"/>
      <c r="E3904" s="737">
        <f t="shared" si="853"/>
        <v>1</v>
      </c>
      <c r="F3904" s="738" t="s">
        <v>363</v>
      </c>
      <c r="G3904" s="739">
        <v>2533.5</v>
      </c>
      <c r="H3904" s="748">
        <f t="shared" si="851"/>
        <v>2533.5</v>
      </c>
      <c r="I3904" s="741">
        <v>105</v>
      </c>
      <c r="J3904" s="749">
        <f t="shared" si="852"/>
        <v>105</v>
      </c>
      <c r="K3904" s="739">
        <f t="shared" si="850"/>
        <v>2638.5</v>
      </c>
      <c r="L3904" s="1079"/>
      <c r="M3904" s="752"/>
      <c r="N3904" s="744">
        <f t="shared" si="854"/>
        <v>1</v>
      </c>
      <c r="O3904" s="745">
        <v>0</v>
      </c>
      <c r="P3904" s="737">
        <v>1</v>
      </c>
      <c r="Q3904" s="752"/>
      <c r="R3904" s="752"/>
      <c r="S3904" s="752"/>
    </row>
    <row r="3905" spans="1:19" s="753" customFormat="1" ht="24" customHeight="1">
      <c r="A3905" s="734"/>
      <c r="B3905" s="747"/>
      <c r="C3905" s="735"/>
      <c r="D3905" s="735"/>
      <c r="E3905" s="737">
        <f t="shared" si="853"/>
        <v>0</v>
      </c>
      <c r="F3905" s="738"/>
      <c r="G3905" s="739">
        <v>0</v>
      </c>
      <c r="H3905" s="748">
        <f t="shared" si="851"/>
        <v>0</v>
      </c>
      <c r="I3905" s="741">
        <v>0</v>
      </c>
      <c r="J3905" s="749">
        <f t="shared" si="852"/>
        <v>0</v>
      </c>
      <c r="K3905" s="739">
        <f t="shared" si="850"/>
        <v>0</v>
      </c>
      <c r="L3905" s="1079"/>
      <c r="M3905" s="752"/>
      <c r="N3905" s="744">
        <f t="shared" si="854"/>
        <v>0</v>
      </c>
      <c r="O3905" s="745">
        <v>0</v>
      </c>
      <c r="P3905" s="737">
        <v>0</v>
      </c>
      <c r="Q3905" s="752"/>
      <c r="R3905" s="752"/>
      <c r="S3905" s="752"/>
    </row>
    <row r="3906" spans="1:19" s="753" customFormat="1" ht="24" customHeight="1">
      <c r="A3906" s="734"/>
      <c r="B3906" s="747" t="s">
        <v>469</v>
      </c>
      <c r="C3906" s="735" t="s">
        <v>527</v>
      </c>
      <c r="D3906" s="735"/>
      <c r="E3906" s="737">
        <f t="shared" si="853"/>
        <v>1</v>
      </c>
      <c r="F3906" s="738" t="s">
        <v>363</v>
      </c>
      <c r="G3906" s="739">
        <v>2855</v>
      </c>
      <c r="H3906" s="748">
        <f t="shared" si="851"/>
        <v>2855</v>
      </c>
      <c r="I3906" s="741">
        <v>1432</v>
      </c>
      <c r="J3906" s="749">
        <f t="shared" si="852"/>
        <v>1432</v>
      </c>
      <c r="K3906" s="739">
        <f t="shared" si="850"/>
        <v>4287</v>
      </c>
      <c r="L3906" s="1079"/>
      <c r="M3906" s="752"/>
      <c r="N3906" s="744">
        <f t="shared" si="854"/>
        <v>1</v>
      </c>
      <c r="O3906" s="745">
        <v>0</v>
      </c>
      <c r="P3906" s="737">
        <v>1</v>
      </c>
      <c r="Q3906" s="752"/>
      <c r="R3906" s="752"/>
      <c r="S3906" s="752"/>
    </row>
    <row r="3907" spans="1:19" s="682" customFormat="1" ht="24" customHeight="1">
      <c r="A3907" s="734"/>
      <c r="B3907" s="747" t="s">
        <v>469</v>
      </c>
      <c r="C3907" s="735" t="s">
        <v>528</v>
      </c>
      <c r="D3907" s="735"/>
      <c r="E3907" s="737">
        <f t="shared" si="853"/>
        <v>0</v>
      </c>
      <c r="F3907" s="738" t="s">
        <v>363</v>
      </c>
      <c r="G3907" s="739">
        <v>9750</v>
      </c>
      <c r="H3907" s="748">
        <f t="shared" si="851"/>
        <v>0</v>
      </c>
      <c r="I3907" s="741">
        <v>105</v>
      </c>
      <c r="J3907" s="749">
        <f t="shared" si="852"/>
        <v>0</v>
      </c>
      <c r="K3907" s="739">
        <f t="shared" si="850"/>
        <v>0</v>
      </c>
      <c r="L3907" s="1079"/>
      <c r="M3907" s="679"/>
      <c r="N3907" s="744">
        <f t="shared" si="854"/>
        <v>0</v>
      </c>
      <c r="O3907" s="745">
        <v>0</v>
      </c>
      <c r="P3907" s="737">
        <v>0</v>
      </c>
      <c r="Q3907" s="679"/>
      <c r="R3907" s="679"/>
      <c r="S3907" s="679"/>
    </row>
    <row r="3908" spans="1:19" s="682" customFormat="1" ht="24" customHeight="1">
      <c r="A3908" s="734"/>
      <c r="B3908" s="747" t="s">
        <v>469</v>
      </c>
      <c r="C3908" s="735" t="s">
        <v>529</v>
      </c>
      <c r="D3908" s="735"/>
      <c r="E3908" s="737">
        <f t="shared" si="853"/>
        <v>0</v>
      </c>
      <c r="F3908" s="738" t="s">
        <v>363</v>
      </c>
      <c r="G3908" s="739">
        <v>5200</v>
      </c>
      <c r="H3908" s="748">
        <f t="shared" si="851"/>
        <v>0</v>
      </c>
      <c r="I3908" s="741">
        <v>70</v>
      </c>
      <c r="J3908" s="749">
        <f t="shared" si="852"/>
        <v>0</v>
      </c>
      <c r="K3908" s="739">
        <f t="shared" si="850"/>
        <v>0</v>
      </c>
      <c r="L3908" s="1079"/>
      <c r="M3908" s="679"/>
      <c r="N3908" s="744">
        <f t="shared" si="854"/>
        <v>0</v>
      </c>
      <c r="O3908" s="745">
        <v>0</v>
      </c>
      <c r="P3908" s="737">
        <v>0</v>
      </c>
      <c r="Q3908" s="679"/>
      <c r="R3908" s="679"/>
      <c r="S3908" s="679"/>
    </row>
    <row r="3909" spans="1:19" s="682" customFormat="1" ht="24" customHeight="1">
      <c r="A3909" s="734"/>
      <c r="B3909" s="747" t="s">
        <v>469</v>
      </c>
      <c r="C3909" s="735" t="s">
        <v>519</v>
      </c>
      <c r="D3909" s="735"/>
      <c r="E3909" s="737">
        <f t="shared" si="853"/>
        <v>1</v>
      </c>
      <c r="F3909" s="738" t="s">
        <v>363</v>
      </c>
      <c r="G3909" s="739">
        <v>800</v>
      </c>
      <c r="H3909" s="748">
        <f t="shared" si="851"/>
        <v>800</v>
      </c>
      <c r="I3909" s="741">
        <v>70</v>
      </c>
      <c r="J3909" s="749">
        <f t="shared" si="852"/>
        <v>70</v>
      </c>
      <c r="K3909" s="739">
        <f t="shared" si="850"/>
        <v>870</v>
      </c>
      <c r="L3909" s="1079"/>
      <c r="M3909" s="679"/>
      <c r="N3909" s="744">
        <f t="shared" si="854"/>
        <v>1</v>
      </c>
      <c r="O3909" s="745">
        <v>0</v>
      </c>
      <c r="P3909" s="737">
        <v>1</v>
      </c>
      <c r="Q3909" s="679"/>
      <c r="R3909" s="679"/>
      <c r="S3909" s="679"/>
    </row>
    <row r="3910" spans="1:19" s="682" customFormat="1" ht="24" customHeight="1">
      <c r="A3910" s="734"/>
      <c r="B3910" s="747" t="s">
        <v>469</v>
      </c>
      <c r="C3910" s="735" t="s">
        <v>520</v>
      </c>
      <c r="D3910" s="735"/>
      <c r="E3910" s="737">
        <f t="shared" si="853"/>
        <v>0</v>
      </c>
      <c r="F3910" s="738" t="s">
        <v>361</v>
      </c>
      <c r="G3910" s="739">
        <v>190</v>
      </c>
      <c r="H3910" s="748">
        <f t="shared" si="851"/>
        <v>0</v>
      </c>
      <c r="I3910" s="741">
        <v>75</v>
      </c>
      <c r="J3910" s="749">
        <f t="shared" si="852"/>
        <v>0</v>
      </c>
      <c r="K3910" s="739">
        <f t="shared" si="850"/>
        <v>0</v>
      </c>
      <c r="L3910" s="1079"/>
      <c r="M3910" s="679"/>
      <c r="N3910" s="744">
        <f t="shared" si="854"/>
        <v>0</v>
      </c>
      <c r="O3910" s="745">
        <v>0</v>
      </c>
      <c r="P3910" s="737">
        <v>0</v>
      </c>
      <c r="Q3910" s="679"/>
      <c r="R3910" s="679"/>
      <c r="S3910" s="679"/>
    </row>
    <row r="3911" spans="1:19" s="753" customFormat="1" ht="24" customHeight="1">
      <c r="A3911" s="734"/>
      <c r="B3911" s="747"/>
      <c r="C3911" s="735"/>
      <c r="D3911" s="735"/>
      <c r="E3911" s="737">
        <f t="shared" si="853"/>
        <v>0</v>
      </c>
      <c r="F3911" s="738"/>
      <c r="G3911" s="739">
        <v>0</v>
      </c>
      <c r="H3911" s="748">
        <f t="shared" si="851"/>
        <v>0</v>
      </c>
      <c r="I3911" s="741">
        <v>0</v>
      </c>
      <c r="J3911" s="749">
        <f t="shared" si="852"/>
        <v>0</v>
      </c>
      <c r="K3911" s="739">
        <f t="shared" si="850"/>
        <v>0</v>
      </c>
      <c r="L3911" s="1079"/>
      <c r="M3911" s="752"/>
      <c r="N3911" s="758">
        <f t="shared" si="854"/>
        <v>0</v>
      </c>
      <c r="O3911" s="745">
        <v>0</v>
      </c>
      <c r="P3911" s="759"/>
      <c r="Q3911" s="752"/>
      <c r="R3911" s="752"/>
      <c r="S3911" s="752"/>
    </row>
    <row r="3912" spans="1:19" s="753" customFormat="1" ht="24" customHeight="1">
      <c r="A3912" s="734"/>
      <c r="B3912" s="735" t="s">
        <v>1075</v>
      </c>
      <c r="C3912" s="736"/>
      <c r="D3912" s="907"/>
      <c r="E3912" s="737">
        <f t="shared" si="853"/>
        <v>0</v>
      </c>
      <c r="F3912" s="738"/>
      <c r="G3912" s="739">
        <v>0</v>
      </c>
      <c r="H3912" s="748">
        <f t="shared" ref="H3912:H3979" si="855">SUM(E3912*G3912)</f>
        <v>0</v>
      </c>
      <c r="I3912" s="741">
        <v>0</v>
      </c>
      <c r="J3912" s="749">
        <f t="shared" si="852"/>
        <v>0</v>
      </c>
      <c r="K3912" s="739">
        <f t="shared" ref="K3912:K3979" si="856">SUM(H3912+J3912)</f>
        <v>0</v>
      </c>
      <c r="L3912" s="1079"/>
      <c r="M3912" s="752"/>
      <c r="N3912" s="744">
        <f t="shared" si="854"/>
        <v>0</v>
      </c>
      <c r="O3912" s="745">
        <v>0</v>
      </c>
      <c r="P3912" s="737">
        <v>0</v>
      </c>
      <c r="Q3912" s="752"/>
      <c r="R3912" s="752"/>
      <c r="S3912" s="752"/>
    </row>
    <row r="3913" spans="1:19" s="753" customFormat="1" ht="24" customHeight="1">
      <c r="A3913" s="734"/>
      <c r="B3913" s="747" t="s">
        <v>469</v>
      </c>
      <c r="C3913" s="735" t="s">
        <v>497</v>
      </c>
      <c r="D3913" s="735"/>
      <c r="E3913" s="737">
        <f t="shared" si="853"/>
        <v>4</v>
      </c>
      <c r="F3913" s="738" t="s">
        <v>363</v>
      </c>
      <c r="G3913" s="739">
        <v>1540</v>
      </c>
      <c r="H3913" s="748">
        <f t="shared" si="855"/>
        <v>6160</v>
      </c>
      <c r="I3913" s="741">
        <v>450</v>
      </c>
      <c r="J3913" s="749">
        <f t="shared" si="852"/>
        <v>1800</v>
      </c>
      <c r="K3913" s="739">
        <f t="shared" si="856"/>
        <v>7960</v>
      </c>
      <c r="L3913" s="1079"/>
      <c r="M3913" s="752"/>
      <c r="N3913" s="744">
        <f t="shared" si="854"/>
        <v>4</v>
      </c>
      <c r="O3913" s="745">
        <v>0</v>
      </c>
      <c r="P3913" s="737">
        <v>4</v>
      </c>
      <c r="Q3913" s="752"/>
      <c r="R3913" s="752"/>
      <c r="S3913" s="752"/>
    </row>
    <row r="3914" spans="1:19" s="753" customFormat="1" ht="24" customHeight="1">
      <c r="A3914" s="734"/>
      <c r="B3914" s="747" t="s">
        <v>469</v>
      </c>
      <c r="C3914" s="735" t="s">
        <v>498</v>
      </c>
      <c r="D3914" s="735"/>
      <c r="E3914" s="737">
        <f t="shared" si="853"/>
        <v>4</v>
      </c>
      <c r="F3914" s="738" t="s">
        <v>363</v>
      </c>
      <c r="G3914" s="739">
        <v>6640</v>
      </c>
      <c r="H3914" s="748">
        <f t="shared" si="855"/>
        <v>26560</v>
      </c>
      <c r="I3914" s="741">
        <v>200</v>
      </c>
      <c r="J3914" s="749">
        <f t="shared" si="852"/>
        <v>800</v>
      </c>
      <c r="K3914" s="739">
        <f t="shared" si="856"/>
        <v>27360</v>
      </c>
      <c r="L3914" s="1079"/>
      <c r="M3914" s="752"/>
      <c r="N3914" s="744">
        <f t="shared" si="854"/>
        <v>4</v>
      </c>
      <c r="O3914" s="745">
        <v>0</v>
      </c>
      <c r="P3914" s="737">
        <v>4</v>
      </c>
      <c r="Q3914" s="752"/>
      <c r="R3914" s="752"/>
      <c r="S3914" s="752"/>
    </row>
    <row r="3915" spans="1:19" s="753" customFormat="1" ht="24" customHeight="1">
      <c r="A3915" s="734"/>
      <c r="B3915" s="747" t="s">
        <v>469</v>
      </c>
      <c r="C3915" s="735" t="s">
        <v>496</v>
      </c>
      <c r="D3915" s="735"/>
      <c r="E3915" s="737">
        <f t="shared" si="853"/>
        <v>4</v>
      </c>
      <c r="F3915" s="738" t="s">
        <v>363</v>
      </c>
      <c r="G3915" s="739">
        <v>336</v>
      </c>
      <c r="H3915" s="748">
        <f t="shared" si="855"/>
        <v>1344</v>
      </c>
      <c r="I3915" s="741">
        <v>0</v>
      </c>
      <c r="J3915" s="749">
        <f t="shared" si="852"/>
        <v>0</v>
      </c>
      <c r="K3915" s="739">
        <f t="shared" si="856"/>
        <v>1344</v>
      </c>
      <c r="L3915" s="1079"/>
      <c r="M3915" s="752"/>
      <c r="N3915" s="744">
        <f t="shared" si="854"/>
        <v>4</v>
      </c>
      <c r="O3915" s="745">
        <v>0</v>
      </c>
      <c r="P3915" s="737">
        <v>4</v>
      </c>
      <c r="Q3915" s="752"/>
      <c r="R3915" s="752"/>
      <c r="S3915" s="752"/>
    </row>
    <row r="3916" spans="1:19" s="753" customFormat="1" ht="24" customHeight="1">
      <c r="A3916" s="734"/>
      <c r="B3916" s="747" t="s">
        <v>469</v>
      </c>
      <c r="C3916" s="735" t="s">
        <v>490</v>
      </c>
      <c r="D3916" s="735"/>
      <c r="E3916" s="737">
        <f t="shared" si="853"/>
        <v>4</v>
      </c>
      <c r="F3916" s="738" t="s">
        <v>363</v>
      </c>
      <c r="G3916" s="739">
        <v>736</v>
      </c>
      <c r="H3916" s="748">
        <f t="shared" si="855"/>
        <v>2944</v>
      </c>
      <c r="I3916" s="741">
        <v>0</v>
      </c>
      <c r="J3916" s="749">
        <f t="shared" si="852"/>
        <v>0</v>
      </c>
      <c r="K3916" s="739">
        <f t="shared" si="856"/>
        <v>2944</v>
      </c>
      <c r="L3916" s="1079"/>
      <c r="M3916" s="752"/>
      <c r="N3916" s="744">
        <f t="shared" si="854"/>
        <v>4</v>
      </c>
      <c r="O3916" s="745">
        <v>0</v>
      </c>
      <c r="P3916" s="737">
        <v>4</v>
      </c>
      <c r="Q3916" s="752"/>
      <c r="R3916" s="752"/>
      <c r="S3916" s="752"/>
    </row>
    <row r="3917" spans="1:19" s="753" customFormat="1" ht="24" customHeight="1">
      <c r="A3917" s="734"/>
      <c r="B3917" s="747" t="s">
        <v>469</v>
      </c>
      <c r="C3917" s="735" t="s">
        <v>478</v>
      </c>
      <c r="D3917" s="735"/>
      <c r="E3917" s="737">
        <f t="shared" si="853"/>
        <v>4</v>
      </c>
      <c r="F3917" s="738" t="s">
        <v>363</v>
      </c>
      <c r="G3917" s="739">
        <v>176</v>
      </c>
      <c r="H3917" s="748">
        <f t="shared" si="855"/>
        <v>704</v>
      </c>
      <c r="I3917" s="741">
        <v>0</v>
      </c>
      <c r="J3917" s="749">
        <f t="shared" si="852"/>
        <v>0</v>
      </c>
      <c r="K3917" s="739">
        <f t="shared" si="856"/>
        <v>704</v>
      </c>
      <c r="L3917" s="1079"/>
      <c r="M3917" s="752"/>
      <c r="N3917" s="744">
        <f t="shared" si="854"/>
        <v>4</v>
      </c>
      <c r="O3917" s="745">
        <v>0</v>
      </c>
      <c r="P3917" s="737">
        <v>4</v>
      </c>
      <c r="Q3917" s="752"/>
      <c r="R3917" s="752"/>
      <c r="S3917" s="752"/>
    </row>
    <row r="3918" spans="1:19" s="753" customFormat="1" ht="24" customHeight="1">
      <c r="A3918" s="734"/>
      <c r="B3918" s="747" t="s">
        <v>469</v>
      </c>
      <c r="C3918" s="735" t="s">
        <v>499</v>
      </c>
      <c r="D3918" s="735"/>
      <c r="E3918" s="737">
        <f t="shared" si="853"/>
        <v>4</v>
      </c>
      <c r="F3918" s="738" t="s">
        <v>363</v>
      </c>
      <c r="G3918" s="739">
        <v>216</v>
      </c>
      <c r="H3918" s="748">
        <f t="shared" si="855"/>
        <v>864</v>
      </c>
      <c r="I3918" s="741">
        <v>35</v>
      </c>
      <c r="J3918" s="749">
        <f t="shared" si="852"/>
        <v>140</v>
      </c>
      <c r="K3918" s="739">
        <f t="shared" si="856"/>
        <v>1004</v>
      </c>
      <c r="L3918" s="1079"/>
      <c r="M3918" s="752"/>
      <c r="N3918" s="744">
        <f t="shared" si="854"/>
        <v>4</v>
      </c>
      <c r="O3918" s="745">
        <v>0</v>
      </c>
      <c r="P3918" s="737">
        <v>4</v>
      </c>
      <c r="Q3918" s="752"/>
      <c r="R3918" s="752"/>
      <c r="S3918" s="752"/>
    </row>
    <row r="3919" spans="1:19" s="753" customFormat="1" ht="24" customHeight="1">
      <c r="A3919" s="734"/>
      <c r="B3919" s="750"/>
      <c r="C3919" s="736"/>
      <c r="D3919" s="907"/>
      <c r="E3919" s="737">
        <f t="shared" si="853"/>
        <v>0</v>
      </c>
      <c r="F3919" s="738"/>
      <c r="G3919" s="739">
        <v>0</v>
      </c>
      <c r="H3919" s="748">
        <f t="shared" si="855"/>
        <v>0</v>
      </c>
      <c r="I3919" s="741">
        <v>0</v>
      </c>
      <c r="J3919" s="749">
        <f t="shared" si="852"/>
        <v>0</v>
      </c>
      <c r="K3919" s="739">
        <f t="shared" si="856"/>
        <v>0</v>
      </c>
      <c r="L3919" s="1079"/>
      <c r="M3919" s="752"/>
      <c r="N3919" s="744">
        <f t="shared" si="854"/>
        <v>0</v>
      </c>
      <c r="O3919" s="745">
        <v>0</v>
      </c>
      <c r="P3919" s="737">
        <v>0</v>
      </c>
      <c r="Q3919" s="752"/>
      <c r="R3919" s="752"/>
      <c r="S3919" s="752"/>
    </row>
    <row r="3920" spans="1:19" s="753" customFormat="1" ht="24" customHeight="1">
      <c r="A3920" s="734"/>
      <c r="B3920" s="747" t="s">
        <v>469</v>
      </c>
      <c r="C3920" s="735" t="s">
        <v>492</v>
      </c>
      <c r="D3920" s="735"/>
      <c r="E3920" s="737">
        <f t="shared" si="853"/>
        <v>5</v>
      </c>
      <c r="F3920" s="738" t="s">
        <v>363</v>
      </c>
      <c r="G3920" s="739">
        <v>9375</v>
      </c>
      <c r="H3920" s="748">
        <f t="shared" si="855"/>
        <v>46875</v>
      </c>
      <c r="I3920" s="741">
        <v>450</v>
      </c>
      <c r="J3920" s="749">
        <f t="shared" si="852"/>
        <v>2250</v>
      </c>
      <c r="K3920" s="739">
        <f t="shared" si="856"/>
        <v>49125</v>
      </c>
      <c r="L3920" s="1079"/>
      <c r="M3920" s="752"/>
      <c r="N3920" s="744">
        <f t="shared" si="854"/>
        <v>5</v>
      </c>
      <c r="O3920" s="745">
        <v>0</v>
      </c>
      <c r="P3920" s="737">
        <v>5</v>
      </c>
      <c r="Q3920" s="752"/>
      <c r="R3920" s="752"/>
      <c r="S3920" s="752"/>
    </row>
    <row r="3921" spans="1:19" s="753" customFormat="1" ht="24" customHeight="1">
      <c r="A3921" s="734"/>
      <c r="B3921" s="747" t="s">
        <v>469</v>
      </c>
      <c r="C3921" s="735" t="s">
        <v>500</v>
      </c>
      <c r="D3921" s="735"/>
      <c r="E3921" s="737">
        <f t="shared" si="853"/>
        <v>5</v>
      </c>
      <c r="F3921" s="738" t="s">
        <v>363</v>
      </c>
      <c r="G3921" s="739">
        <v>12752</v>
      </c>
      <c r="H3921" s="748">
        <f t="shared" si="855"/>
        <v>63760</v>
      </c>
      <c r="I3921" s="741">
        <v>0</v>
      </c>
      <c r="J3921" s="749">
        <f t="shared" si="852"/>
        <v>0</v>
      </c>
      <c r="K3921" s="739">
        <f t="shared" si="856"/>
        <v>63760</v>
      </c>
      <c r="L3921" s="1079"/>
      <c r="M3921" s="752"/>
      <c r="N3921" s="744">
        <f t="shared" si="854"/>
        <v>5</v>
      </c>
      <c r="O3921" s="745">
        <v>0</v>
      </c>
      <c r="P3921" s="737">
        <v>5</v>
      </c>
      <c r="Q3921" s="752"/>
      <c r="R3921" s="752"/>
      <c r="S3921" s="752"/>
    </row>
    <row r="3922" spans="1:19" s="753" customFormat="1" ht="24" customHeight="1">
      <c r="A3922" s="734"/>
      <c r="B3922" s="747" t="s">
        <v>469</v>
      </c>
      <c r="C3922" s="735" t="s">
        <v>501</v>
      </c>
      <c r="D3922" s="735"/>
      <c r="E3922" s="737">
        <f t="shared" si="853"/>
        <v>5</v>
      </c>
      <c r="F3922" s="738" t="s">
        <v>363</v>
      </c>
      <c r="G3922" s="739">
        <v>1950</v>
      </c>
      <c r="H3922" s="748">
        <f t="shared" si="855"/>
        <v>9750</v>
      </c>
      <c r="I3922" s="741">
        <v>35</v>
      </c>
      <c r="J3922" s="749">
        <f t="shared" si="852"/>
        <v>175</v>
      </c>
      <c r="K3922" s="739">
        <f t="shared" si="856"/>
        <v>9925</v>
      </c>
      <c r="L3922" s="1079"/>
      <c r="M3922" s="752"/>
      <c r="N3922" s="744">
        <f t="shared" si="854"/>
        <v>5</v>
      </c>
      <c r="O3922" s="745">
        <v>0</v>
      </c>
      <c r="P3922" s="737">
        <v>5</v>
      </c>
      <c r="Q3922" s="752"/>
      <c r="R3922" s="752"/>
      <c r="S3922" s="752"/>
    </row>
    <row r="3923" spans="1:19" s="753" customFormat="1" ht="24" customHeight="1">
      <c r="A3923" s="734"/>
      <c r="B3923" s="747" t="s">
        <v>469</v>
      </c>
      <c r="C3923" s="735" t="s">
        <v>502</v>
      </c>
      <c r="D3923" s="735"/>
      <c r="E3923" s="737">
        <v>0</v>
      </c>
      <c r="F3923" s="738" t="s">
        <v>363</v>
      </c>
      <c r="G3923" s="739">
        <v>216</v>
      </c>
      <c r="H3923" s="748">
        <f t="shared" si="855"/>
        <v>0</v>
      </c>
      <c r="I3923" s="741">
        <v>35</v>
      </c>
      <c r="J3923" s="749">
        <f t="shared" si="852"/>
        <v>0</v>
      </c>
      <c r="K3923" s="739">
        <f t="shared" si="856"/>
        <v>0</v>
      </c>
      <c r="L3923" s="1079"/>
      <c r="M3923" s="752"/>
      <c r="N3923" s="744">
        <f t="shared" si="854"/>
        <v>5</v>
      </c>
      <c r="O3923" s="745">
        <v>0</v>
      </c>
      <c r="P3923" s="737">
        <v>5</v>
      </c>
      <c r="Q3923" s="752"/>
      <c r="R3923" s="752"/>
      <c r="S3923" s="752"/>
    </row>
    <row r="3924" spans="1:19" s="753" customFormat="1" ht="24" customHeight="1">
      <c r="A3924" s="734"/>
      <c r="B3924" s="747"/>
      <c r="C3924" s="735"/>
      <c r="D3924" s="907"/>
      <c r="E3924" s="737">
        <f t="shared" si="853"/>
        <v>0</v>
      </c>
      <c r="F3924" s="738"/>
      <c r="G3924" s="739">
        <v>0</v>
      </c>
      <c r="H3924" s="748">
        <f t="shared" si="855"/>
        <v>0</v>
      </c>
      <c r="I3924" s="741">
        <v>0</v>
      </c>
      <c r="J3924" s="749">
        <f t="shared" si="852"/>
        <v>0</v>
      </c>
      <c r="K3924" s="739">
        <f t="shared" si="856"/>
        <v>0</v>
      </c>
      <c r="L3924" s="1079"/>
      <c r="M3924" s="752"/>
      <c r="N3924" s="744">
        <f t="shared" si="854"/>
        <v>0</v>
      </c>
      <c r="O3924" s="745">
        <v>0</v>
      </c>
      <c r="P3924" s="737">
        <v>0</v>
      </c>
      <c r="Q3924" s="752"/>
      <c r="R3924" s="752"/>
      <c r="S3924" s="752"/>
    </row>
    <row r="3925" spans="1:19" s="753" customFormat="1" ht="24" customHeight="1">
      <c r="A3925" s="734"/>
      <c r="B3925" s="747" t="s">
        <v>469</v>
      </c>
      <c r="C3925" s="735" t="s">
        <v>503</v>
      </c>
      <c r="D3925" s="735"/>
      <c r="E3925" s="737">
        <f t="shared" si="853"/>
        <v>8</v>
      </c>
      <c r="F3925" s="738" t="s">
        <v>363</v>
      </c>
      <c r="G3925" s="739">
        <v>3920</v>
      </c>
      <c r="H3925" s="748">
        <f t="shared" si="855"/>
        <v>31360</v>
      </c>
      <c r="I3925" s="741">
        <v>450</v>
      </c>
      <c r="J3925" s="749">
        <f t="shared" si="852"/>
        <v>3600</v>
      </c>
      <c r="K3925" s="739">
        <f t="shared" si="856"/>
        <v>34960</v>
      </c>
      <c r="L3925" s="1079"/>
      <c r="M3925" s="752"/>
      <c r="N3925" s="744">
        <f t="shared" si="854"/>
        <v>8</v>
      </c>
      <c r="O3925" s="745">
        <v>0</v>
      </c>
      <c r="P3925" s="737">
        <v>8</v>
      </c>
      <c r="Q3925" s="752"/>
      <c r="R3925" s="752"/>
      <c r="S3925" s="752"/>
    </row>
    <row r="3926" spans="1:19" s="753" customFormat="1" ht="24" customHeight="1">
      <c r="A3926" s="734"/>
      <c r="B3926" s="747" t="s">
        <v>469</v>
      </c>
      <c r="C3926" s="735" t="s">
        <v>504</v>
      </c>
      <c r="D3926" s="735"/>
      <c r="E3926" s="737">
        <f t="shared" si="853"/>
        <v>8</v>
      </c>
      <c r="F3926" s="738" t="s">
        <v>363</v>
      </c>
      <c r="G3926" s="739">
        <v>12752</v>
      </c>
      <c r="H3926" s="748">
        <f t="shared" si="855"/>
        <v>102016</v>
      </c>
      <c r="I3926" s="741">
        <v>0</v>
      </c>
      <c r="J3926" s="749">
        <f t="shared" si="852"/>
        <v>0</v>
      </c>
      <c r="K3926" s="739">
        <f t="shared" si="856"/>
        <v>102016</v>
      </c>
      <c r="L3926" s="1079"/>
      <c r="M3926" s="752"/>
      <c r="N3926" s="744">
        <f t="shared" si="854"/>
        <v>8</v>
      </c>
      <c r="O3926" s="745">
        <v>0</v>
      </c>
      <c r="P3926" s="737">
        <v>8</v>
      </c>
      <c r="Q3926" s="752"/>
      <c r="R3926" s="752"/>
      <c r="S3926" s="752"/>
    </row>
    <row r="3927" spans="1:19" s="682" customFormat="1" ht="24" customHeight="1">
      <c r="A3927" s="734"/>
      <c r="B3927" s="747" t="s">
        <v>469</v>
      </c>
      <c r="C3927" s="735" t="s">
        <v>505</v>
      </c>
      <c r="D3927" s="735"/>
      <c r="E3927" s="737">
        <f t="shared" si="853"/>
        <v>6</v>
      </c>
      <c r="F3927" s="738" t="s">
        <v>363</v>
      </c>
      <c r="G3927" s="739">
        <v>2280</v>
      </c>
      <c r="H3927" s="748">
        <f t="shared" si="855"/>
        <v>13680</v>
      </c>
      <c r="I3927" s="741">
        <v>300</v>
      </c>
      <c r="J3927" s="749">
        <f t="shared" si="852"/>
        <v>1800</v>
      </c>
      <c r="K3927" s="739">
        <f t="shared" si="856"/>
        <v>15480</v>
      </c>
      <c r="L3927" s="1079"/>
      <c r="M3927" s="679"/>
      <c r="N3927" s="744">
        <f t="shared" si="854"/>
        <v>6</v>
      </c>
      <c r="O3927" s="745">
        <v>0</v>
      </c>
      <c r="P3927" s="737">
        <v>6</v>
      </c>
      <c r="Q3927" s="679"/>
      <c r="R3927" s="679"/>
      <c r="S3927" s="679"/>
    </row>
    <row r="3928" spans="1:19" s="682" customFormat="1" ht="24" customHeight="1">
      <c r="A3928" s="734"/>
      <c r="B3928" s="747" t="s">
        <v>469</v>
      </c>
      <c r="C3928" s="735" t="s">
        <v>506</v>
      </c>
      <c r="D3928" s="735"/>
      <c r="E3928" s="737">
        <f t="shared" si="853"/>
        <v>0</v>
      </c>
      <c r="F3928" s="738" t="s">
        <v>363</v>
      </c>
      <c r="G3928" s="739">
        <v>6592</v>
      </c>
      <c r="H3928" s="748">
        <f t="shared" si="855"/>
        <v>0</v>
      </c>
      <c r="I3928" s="741">
        <v>140</v>
      </c>
      <c r="J3928" s="749">
        <f t="shared" si="852"/>
        <v>0</v>
      </c>
      <c r="K3928" s="739">
        <f t="shared" si="856"/>
        <v>0</v>
      </c>
      <c r="L3928" s="1079"/>
      <c r="M3928" s="679"/>
      <c r="N3928" s="744">
        <f t="shared" si="854"/>
        <v>0</v>
      </c>
      <c r="O3928" s="745">
        <v>0</v>
      </c>
      <c r="P3928" s="737">
        <v>0</v>
      </c>
      <c r="Q3928" s="679"/>
      <c r="R3928" s="679"/>
      <c r="S3928" s="679"/>
    </row>
    <row r="3929" spans="1:19" s="753" customFormat="1" ht="24" customHeight="1">
      <c r="A3929" s="734"/>
      <c r="B3929" s="747" t="s">
        <v>484</v>
      </c>
      <c r="C3929" s="735" t="s">
        <v>485</v>
      </c>
      <c r="D3929" s="735"/>
      <c r="E3929" s="737">
        <f t="shared" si="853"/>
        <v>7</v>
      </c>
      <c r="F3929" s="738" t="s">
        <v>363</v>
      </c>
      <c r="G3929" s="739">
        <v>285</v>
      </c>
      <c r="H3929" s="748">
        <f t="shared" si="855"/>
        <v>1995</v>
      </c>
      <c r="I3929" s="741">
        <v>75</v>
      </c>
      <c r="J3929" s="749">
        <f t="shared" si="852"/>
        <v>525</v>
      </c>
      <c r="K3929" s="739">
        <f t="shared" si="856"/>
        <v>2520</v>
      </c>
      <c r="L3929" s="1093"/>
      <c r="M3929" s="752"/>
      <c r="N3929" s="744">
        <f t="shared" si="854"/>
        <v>7</v>
      </c>
      <c r="O3929" s="745">
        <v>0</v>
      </c>
      <c r="P3929" s="737">
        <v>7</v>
      </c>
      <c r="Q3929" s="752"/>
      <c r="R3929" s="752"/>
      <c r="S3929" s="752"/>
    </row>
    <row r="3930" spans="1:19" s="753" customFormat="1" ht="24" customHeight="1">
      <c r="A3930" s="734"/>
      <c r="B3930" s="747" t="s">
        <v>469</v>
      </c>
      <c r="C3930" s="735" t="s">
        <v>486</v>
      </c>
      <c r="D3930" s="735"/>
      <c r="E3930" s="737">
        <f t="shared" si="853"/>
        <v>1</v>
      </c>
      <c r="F3930" s="738" t="s">
        <v>363</v>
      </c>
      <c r="G3930" s="739">
        <v>552</v>
      </c>
      <c r="H3930" s="748">
        <f t="shared" si="855"/>
        <v>552</v>
      </c>
      <c r="I3930" s="741">
        <v>25</v>
      </c>
      <c r="J3930" s="749">
        <f t="shared" si="852"/>
        <v>25</v>
      </c>
      <c r="K3930" s="739">
        <f t="shared" si="856"/>
        <v>577</v>
      </c>
      <c r="L3930" s="1079"/>
      <c r="M3930" s="752"/>
      <c r="N3930" s="744">
        <f t="shared" si="854"/>
        <v>1</v>
      </c>
      <c r="O3930" s="745">
        <v>0</v>
      </c>
      <c r="P3930" s="737">
        <v>1</v>
      </c>
      <c r="Q3930" s="752"/>
      <c r="R3930" s="752"/>
      <c r="S3930" s="752"/>
    </row>
    <row r="3931" spans="1:19" s="753" customFormat="1" ht="24" customHeight="1">
      <c r="A3931" s="734"/>
      <c r="B3931" s="747" t="s">
        <v>469</v>
      </c>
      <c r="C3931" s="735" t="s">
        <v>507</v>
      </c>
      <c r="D3931" s="735"/>
      <c r="E3931" s="737">
        <f t="shared" si="853"/>
        <v>1</v>
      </c>
      <c r="F3931" s="738" t="s">
        <v>363</v>
      </c>
      <c r="G3931" s="739">
        <v>1650</v>
      </c>
      <c r="H3931" s="748">
        <f t="shared" si="855"/>
        <v>1650</v>
      </c>
      <c r="I3931" s="741">
        <v>70</v>
      </c>
      <c r="J3931" s="749">
        <f t="shared" si="852"/>
        <v>70</v>
      </c>
      <c r="K3931" s="739">
        <f t="shared" si="856"/>
        <v>1720</v>
      </c>
      <c r="L3931" s="1079"/>
      <c r="M3931" s="752"/>
      <c r="N3931" s="744">
        <f t="shared" si="854"/>
        <v>1</v>
      </c>
      <c r="O3931" s="745">
        <v>0</v>
      </c>
      <c r="P3931" s="737">
        <v>1</v>
      </c>
      <c r="Q3931" s="752"/>
      <c r="R3931" s="752"/>
      <c r="S3931" s="752"/>
    </row>
    <row r="3932" spans="1:19" s="753" customFormat="1" ht="24" customHeight="1">
      <c r="A3932" s="734"/>
      <c r="B3932" s="747" t="s">
        <v>469</v>
      </c>
      <c r="C3932" s="735" t="s">
        <v>508</v>
      </c>
      <c r="D3932" s="735"/>
      <c r="E3932" s="737">
        <f t="shared" si="853"/>
        <v>5</v>
      </c>
      <c r="F3932" s="738" t="s">
        <v>363</v>
      </c>
      <c r="G3932" s="739">
        <v>13500</v>
      </c>
      <c r="H3932" s="748">
        <f t="shared" si="855"/>
        <v>67500</v>
      </c>
      <c r="I3932" s="741">
        <v>750</v>
      </c>
      <c r="J3932" s="749">
        <f t="shared" si="852"/>
        <v>3750</v>
      </c>
      <c r="K3932" s="739">
        <f t="shared" si="856"/>
        <v>71250</v>
      </c>
      <c r="L3932" s="1079"/>
      <c r="M3932" s="752"/>
      <c r="N3932" s="744">
        <f t="shared" si="854"/>
        <v>5</v>
      </c>
      <c r="O3932" s="745">
        <v>0</v>
      </c>
      <c r="P3932" s="737">
        <v>5</v>
      </c>
      <c r="Q3932" s="752"/>
      <c r="R3932" s="752"/>
      <c r="S3932" s="752"/>
    </row>
    <row r="3933" spans="1:19" s="682" customFormat="1" ht="24" customHeight="1">
      <c r="A3933" s="734"/>
      <c r="B3933" s="747" t="s">
        <v>469</v>
      </c>
      <c r="C3933" s="735" t="s">
        <v>509</v>
      </c>
      <c r="D3933" s="735"/>
      <c r="E3933" s="737">
        <f t="shared" si="853"/>
        <v>1</v>
      </c>
      <c r="F3933" s="738" t="s">
        <v>363</v>
      </c>
      <c r="G3933" s="739">
        <v>14476</v>
      </c>
      <c r="H3933" s="748">
        <f t="shared" si="855"/>
        <v>14476</v>
      </c>
      <c r="I3933" s="741">
        <v>5367</v>
      </c>
      <c r="J3933" s="749">
        <f t="shared" si="852"/>
        <v>5367</v>
      </c>
      <c r="K3933" s="739">
        <f t="shared" si="856"/>
        <v>19843</v>
      </c>
      <c r="L3933" s="1079"/>
      <c r="M3933" s="679"/>
      <c r="N3933" s="744">
        <f t="shared" si="854"/>
        <v>1</v>
      </c>
      <c r="O3933" s="745">
        <v>0</v>
      </c>
      <c r="P3933" s="737">
        <v>1</v>
      </c>
      <c r="Q3933" s="679"/>
      <c r="R3933" s="679"/>
      <c r="S3933" s="679"/>
    </row>
    <row r="3934" spans="1:19" s="753" customFormat="1" ht="24" customHeight="1">
      <c r="A3934" s="734"/>
      <c r="B3934" s="747" t="s">
        <v>469</v>
      </c>
      <c r="C3934" s="735" t="s">
        <v>510</v>
      </c>
      <c r="D3934" s="735"/>
      <c r="E3934" s="737">
        <f t="shared" si="853"/>
        <v>4.1500000000000004</v>
      </c>
      <c r="F3934" s="738" t="s">
        <v>361</v>
      </c>
      <c r="G3934" s="739">
        <v>2694</v>
      </c>
      <c r="H3934" s="748">
        <f t="shared" si="855"/>
        <v>11180.1</v>
      </c>
      <c r="I3934" s="741">
        <v>1288</v>
      </c>
      <c r="J3934" s="749">
        <f t="shared" si="852"/>
        <v>5345.2000000000007</v>
      </c>
      <c r="K3934" s="739">
        <f t="shared" si="856"/>
        <v>16525.300000000003</v>
      </c>
      <c r="L3934" s="1079"/>
      <c r="M3934" s="752"/>
      <c r="N3934" s="744">
        <f t="shared" si="854"/>
        <v>4.1500000000000004</v>
      </c>
      <c r="O3934" s="745">
        <v>0</v>
      </c>
      <c r="P3934" s="737">
        <v>4.1500000000000004</v>
      </c>
      <c r="Q3934" s="752"/>
      <c r="R3934" s="752"/>
      <c r="S3934" s="752"/>
    </row>
    <row r="3935" spans="1:19" s="753" customFormat="1" ht="24" customHeight="1">
      <c r="A3935" s="734"/>
      <c r="B3935" s="747"/>
      <c r="C3935" s="735" t="s">
        <v>511</v>
      </c>
      <c r="D3935" s="735"/>
      <c r="E3935" s="737">
        <f t="shared" si="853"/>
        <v>0</v>
      </c>
      <c r="F3935" s="738"/>
      <c r="G3935" s="739"/>
      <c r="H3935" s="748">
        <f t="shared" si="855"/>
        <v>0</v>
      </c>
      <c r="I3935" s="741"/>
      <c r="J3935" s="749">
        <f t="shared" si="852"/>
        <v>0</v>
      </c>
      <c r="K3935" s="739">
        <f t="shared" si="856"/>
        <v>0</v>
      </c>
      <c r="L3935" s="1079"/>
      <c r="M3935" s="752"/>
      <c r="N3935" s="744">
        <f t="shared" si="854"/>
        <v>0</v>
      </c>
      <c r="O3935" s="745">
        <v>0</v>
      </c>
      <c r="P3935" s="737">
        <v>0</v>
      </c>
      <c r="Q3935" s="752"/>
      <c r="R3935" s="752"/>
      <c r="S3935" s="752"/>
    </row>
    <row r="3936" spans="1:19" s="753" customFormat="1" ht="24" customHeight="1">
      <c r="A3936" s="734"/>
      <c r="B3936" s="747" t="s">
        <v>469</v>
      </c>
      <c r="C3936" s="735" t="s">
        <v>512</v>
      </c>
      <c r="D3936" s="735"/>
      <c r="E3936" s="737">
        <f t="shared" si="853"/>
        <v>4.1500000000000004</v>
      </c>
      <c r="F3936" s="738" t="s">
        <v>361</v>
      </c>
      <c r="G3936" s="739">
        <v>3886</v>
      </c>
      <c r="H3936" s="748">
        <f t="shared" si="855"/>
        <v>16126.900000000001</v>
      </c>
      <c r="I3936" s="741">
        <v>1238</v>
      </c>
      <c r="J3936" s="749">
        <f t="shared" si="852"/>
        <v>5137.7000000000007</v>
      </c>
      <c r="K3936" s="739">
        <f t="shared" si="856"/>
        <v>21264.600000000002</v>
      </c>
      <c r="L3936" s="1079"/>
      <c r="M3936" s="752"/>
      <c r="N3936" s="744">
        <f t="shared" si="854"/>
        <v>4.1500000000000004</v>
      </c>
      <c r="O3936" s="745">
        <v>0</v>
      </c>
      <c r="P3936" s="737">
        <v>4.1500000000000004</v>
      </c>
      <c r="Q3936" s="752"/>
      <c r="R3936" s="752"/>
      <c r="S3936" s="752"/>
    </row>
    <row r="3937" spans="1:19" s="753" customFormat="1" ht="24" customHeight="1">
      <c r="A3937" s="734"/>
      <c r="B3937" s="747"/>
      <c r="C3937" s="735" t="s">
        <v>513</v>
      </c>
      <c r="D3937" s="735"/>
      <c r="E3937" s="737">
        <f t="shared" si="853"/>
        <v>0</v>
      </c>
      <c r="F3937" s="738"/>
      <c r="G3937" s="739">
        <v>0</v>
      </c>
      <c r="H3937" s="748">
        <f t="shared" si="855"/>
        <v>0</v>
      </c>
      <c r="I3937" s="741">
        <v>0</v>
      </c>
      <c r="J3937" s="749">
        <f t="shared" si="852"/>
        <v>0</v>
      </c>
      <c r="K3937" s="739">
        <f t="shared" si="856"/>
        <v>0</v>
      </c>
      <c r="L3937" s="1079"/>
      <c r="M3937" s="752"/>
      <c r="N3937" s="744">
        <f t="shared" si="854"/>
        <v>0</v>
      </c>
      <c r="O3937" s="745">
        <v>0</v>
      </c>
      <c r="P3937" s="737">
        <v>0</v>
      </c>
      <c r="Q3937" s="752"/>
      <c r="R3937" s="752"/>
      <c r="S3937" s="752"/>
    </row>
    <row r="3938" spans="1:19" s="753" customFormat="1" ht="24" customHeight="1">
      <c r="A3938" s="734"/>
      <c r="B3938" s="747" t="s">
        <v>469</v>
      </c>
      <c r="C3938" s="735" t="s">
        <v>514</v>
      </c>
      <c r="D3938" s="735"/>
      <c r="E3938" s="737">
        <f t="shared" si="853"/>
        <v>4.1500000000000004</v>
      </c>
      <c r="F3938" s="738" t="s">
        <v>361</v>
      </c>
      <c r="G3938" s="739">
        <v>1522</v>
      </c>
      <c r="H3938" s="748">
        <f t="shared" si="855"/>
        <v>6316.3</v>
      </c>
      <c r="I3938" s="741">
        <v>315</v>
      </c>
      <c r="J3938" s="749">
        <f t="shared" si="852"/>
        <v>1307.25</v>
      </c>
      <c r="K3938" s="739">
        <f t="shared" si="856"/>
        <v>7623.55</v>
      </c>
      <c r="L3938" s="1079"/>
      <c r="M3938" s="752"/>
      <c r="N3938" s="744">
        <f t="shared" si="854"/>
        <v>4.1500000000000004</v>
      </c>
      <c r="O3938" s="745">
        <v>0</v>
      </c>
      <c r="P3938" s="737">
        <v>4.1500000000000004</v>
      </c>
      <c r="Q3938" s="752"/>
      <c r="R3938" s="752"/>
      <c r="S3938" s="752"/>
    </row>
    <row r="3939" spans="1:19" s="753" customFormat="1" ht="24" customHeight="1">
      <c r="A3939" s="734"/>
      <c r="B3939" s="747"/>
      <c r="C3939" s="735"/>
      <c r="D3939" s="735"/>
      <c r="E3939" s="737">
        <f t="shared" si="853"/>
        <v>0</v>
      </c>
      <c r="F3939" s="738"/>
      <c r="G3939" s="739">
        <v>0</v>
      </c>
      <c r="H3939" s="748">
        <f t="shared" si="855"/>
        <v>0</v>
      </c>
      <c r="I3939" s="741">
        <v>0</v>
      </c>
      <c r="J3939" s="749">
        <f t="shared" ref="J3939:J4006" si="857">SUM(E3939*I3939)</f>
        <v>0</v>
      </c>
      <c r="K3939" s="739">
        <f t="shared" si="856"/>
        <v>0</v>
      </c>
      <c r="L3939" s="1079"/>
      <c r="M3939" s="752"/>
      <c r="N3939" s="744">
        <f t="shared" si="854"/>
        <v>0</v>
      </c>
      <c r="O3939" s="745">
        <v>0</v>
      </c>
      <c r="P3939" s="737">
        <v>0</v>
      </c>
      <c r="Q3939" s="752"/>
      <c r="R3939" s="752"/>
      <c r="S3939" s="752"/>
    </row>
    <row r="3940" spans="1:19" s="682" customFormat="1" ht="24" customHeight="1">
      <c r="A3940" s="734"/>
      <c r="B3940" s="747" t="s">
        <v>469</v>
      </c>
      <c r="C3940" s="735" t="s">
        <v>515</v>
      </c>
      <c r="D3940" s="735"/>
      <c r="E3940" s="737">
        <f t="shared" si="853"/>
        <v>1</v>
      </c>
      <c r="F3940" s="738" t="s">
        <v>363</v>
      </c>
      <c r="G3940" s="739">
        <v>5013</v>
      </c>
      <c r="H3940" s="748">
        <f t="shared" si="855"/>
        <v>5013</v>
      </c>
      <c r="I3940" s="741">
        <v>2403</v>
      </c>
      <c r="J3940" s="749">
        <f t="shared" si="857"/>
        <v>2403</v>
      </c>
      <c r="K3940" s="739">
        <f t="shared" si="856"/>
        <v>7416</v>
      </c>
      <c r="L3940" s="1079"/>
      <c r="M3940" s="679"/>
      <c r="N3940" s="744">
        <f t="shared" si="854"/>
        <v>1</v>
      </c>
      <c r="O3940" s="745">
        <v>0</v>
      </c>
      <c r="P3940" s="737">
        <v>1</v>
      </c>
      <c r="Q3940" s="679"/>
      <c r="R3940" s="679"/>
      <c r="S3940" s="679"/>
    </row>
    <row r="3941" spans="1:19" s="682" customFormat="1" ht="24" customHeight="1">
      <c r="A3941" s="734"/>
      <c r="B3941" s="747"/>
      <c r="C3941" s="735" t="s">
        <v>516</v>
      </c>
      <c r="D3941" s="735"/>
      <c r="E3941" s="737">
        <f t="shared" si="853"/>
        <v>0</v>
      </c>
      <c r="F3941" s="738"/>
      <c r="G3941" s="739"/>
      <c r="H3941" s="748">
        <f t="shared" si="855"/>
        <v>0</v>
      </c>
      <c r="I3941" s="741"/>
      <c r="J3941" s="749">
        <f t="shared" si="857"/>
        <v>0</v>
      </c>
      <c r="K3941" s="739">
        <f t="shared" si="856"/>
        <v>0</v>
      </c>
      <c r="L3941" s="1079"/>
      <c r="M3941" s="679"/>
      <c r="N3941" s="744">
        <f t="shared" si="854"/>
        <v>0</v>
      </c>
      <c r="O3941" s="745">
        <v>0</v>
      </c>
      <c r="P3941" s="737">
        <v>0</v>
      </c>
      <c r="Q3941" s="679"/>
      <c r="R3941" s="679"/>
      <c r="S3941" s="679"/>
    </row>
    <row r="3942" spans="1:19" s="682" customFormat="1" ht="24" customHeight="1">
      <c r="A3942" s="734"/>
      <c r="B3942" s="747"/>
      <c r="C3942" s="735"/>
      <c r="D3942" s="735"/>
      <c r="E3942" s="737">
        <f t="shared" ref="E3942:E4009" si="858">+N3942</f>
        <v>0</v>
      </c>
      <c r="F3942" s="738"/>
      <c r="G3942" s="739"/>
      <c r="H3942" s="748">
        <f t="shared" si="855"/>
        <v>0</v>
      </c>
      <c r="I3942" s="741"/>
      <c r="J3942" s="749">
        <f t="shared" si="857"/>
        <v>0</v>
      </c>
      <c r="K3942" s="739">
        <f t="shared" si="856"/>
        <v>0</v>
      </c>
      <c r="L3942" s="1079"/>
      <c r="M3942" s="679"/>
      <c r="N3942" s="744">
        <f t="shared" si="854"/>
        <v>0</v>
      </c>
      <c r="O3942" s="745">
        <v>0</v>
      </c>
      <c r="P3942" s="737">
        <v>0</v>
      </c>
      <c r="Q3942" s="679"/>
      <c r="R3942" s="679"/>
      <c r="S3942" s="679"/>
    </row>
    <row r="3943" spans="1:19" s="756" customFormat="1" ht="24" customHeight="1">
      <c r="A3943" s="734"/>
      <c r="B3943" s="747" t="s">
        <v>469</v>
      </c>
      <c r="C3943" s="735" t="s">
        <v>517</v>
      </c>
      <c r="D3943" s="907"/>
      <c r="E3943" s="737">
        <f t="shared" si="858"/>
        <v>0</v>
      </c>
      <c r="F3943" s="738" t="s">
        <v>361</v>
      </c>
      <c r="G3943" s="739">
        <v>5075.5555555555557</v>
      </c>
      <c r="H3943" s="748">
        <f t="shared" si="855"/>
        <v>0</v>
      </c>
      <c r="I3943" s="741">
        <v>2545.7777777777778</v>
      </c>
      <c r="J3943" s="749">
        <f t="shared" si="857"/>
        <v>0</v>
      </c>
      <c r="K3943" s="739">
        <f t="shared" si="856"/>
        <v>0</v>
      </c>
      <c r="L3943" s="1079"/>
      <c r="M3943" s="755"/>
      <c r="N3943" s="744">
        <f t="shared" si="854"/>
        <v>0</v>
      </c>
      <c r="O3943" s="745">
        <v>0</v>
      </c>
      <c r="P3943" s="737">
        <v>0</v>
      </c>
      <c r="Q3943" s="755"/>
      <c r="R3943" s="755"/>
      <c r="S3943" s="755"/>
    </row>
    <row r="3944" spans="1:19" s="756" customFormat="1" ht="24" customHeight="1">
      <c r="A3944" s="734"/>
      <c r="B3944" s="747"/>
      <c r="C3944" s="735" t="s">
        <v>488</v>
      </c>
      <c r="D3944" s="907"/>
      <c r="E3944" s="737">
        <f t="shared" si="858"/>
        <v>0</v>
      </c>
      <c r="F3944" s="738"/>
      <c r="G3944" s="739">
        <v>0</v>
      </c>
      <c r="H3944" s="748">
        <f t="shared" si="855"/>
        <v>0</v>
      </c>
      <c r="I3944" s="741">
        <v>0</v>
      </c>
      <c r="J3944" s="749">
        <f t="shared" si="857"/>
        <v>0</v>
      </c>
      <c r="K3944" s="739">
        <f t="shared" si="856"/>
        <v>0</v>
      </c>
      <c r="L3944" s="1079"/>
      <c r="M3944" s="755"/>
      <c r="N3944" s="744">
        <f t="shared" si="854"/>
        <v>0</v>
      </c>
      <c r="O3944" s="745">
        <v>0</v>
      </c>
      <c r="P3944" s="737">
        <v>0</v>
      </c>
      <c r="Q3944" s="755"/>
      <c r="R3944" s="755"/>
      <c r="S3944" s="755"/>
    </row>
    <row r="3945" spans="1:19" s="753" customFormat="1" ht="24" customHeight="1">
      <c r="A3945" s="734"/>
      <c r="B3945" s="747" t="s">
        <v>469</v>
      </c>
      <c r="C3945" s="735" t="s">
        <v>518</v>
      </c>
      <c r="D3945" s="735"/>
      <c r="E3945" s="737">
        <f t="shared" si="858"/>
        <v>0</v>
      </c>
      <c r="F3945" s="738" t="s">
        <v>361</v>
      </c>
      <c r="G3945" s="739">
        <v>3886</v>
      </c>
      <c r="H3945" s="748">
        <f t="shared" si="855"/>
        <v>0</v>
      </c>
      <c r="I3945" s="741">
        <v>1238</v>
      </c>
      <c r="J3945" s="749">
        <f t="shared" si="857"/>
        <v>0</v>
      </c>
      <c r="K3945" s="739">
        <f t="shared" si="856"/>
        <v>0</v>
      </c>
      <c r="L3945" s="1079"/>
      <c r="M3945" s="752"/>
      <c r="N3945" s="744">
        <f t="shared" si="854"/>
        <v>0</v>
      </c>
      <c r="O3945" s="745">
        <v>0</v>
      </c>
      <c r="P3945" s="737">
        <v>0</v>
      </c>
      <c r="Q3945" s="752"/>
      <c r="R3945" s="752"/>
      <c r="S3945" s="752"/>
    </row>
    <row r="3946" spans="1:19" s="753" customFormat="1" ht="24" customHeight="1">
      <c r="A3946" s="734"/>
      <c r="B3946" s="747"/>
      <c r="C3946" s="735" t="s">
        <v>513</v>
      </c>
      <c r="D3946" s="735"/>
      <c r="E3946" s="737">
        <f t="shared" si="858"/>
        <v>0</v>
      </c>
      <c r="F3946" s="738"/>
      <c r="G3946" s="739">
        <v>0</v>
      </c>
      <c r="H3946" s="748">
        <f t="shared" si="855"/>
        <v>0</v>
      </c>
      <c r="I3946" s="741">
        <v>0</v>
      </c>
      <c r="J3946" s="749">
        <f t="shared" si="857"/>
        <v>0</v>
      </c>
      <c r="K3946" s="739">
        <f t="shared" si="856"/>
        <v>0</v>
      </c>
      <c r="L3946" s="1079"/>
      <c r="M3946" s="752"/>
      <c r="N3946" s="744">
        <f t="shared" si="854"/>
        <v>0</v>
      </c>
      <c r="O3946" s="745">
        <v>0</v>
      </c>
      <c r="P3946" s="737">
        <v>0</v>
      </c>
      <c r="Q3946" s="752"/>
      <c r="R3946" s="752"/>
      <c r="S3946" s="752"/>
    </row>
    <row r="3947" spans="1:19" s="682" customFormat="1" ht="24" customHeight="1">
      <c r="A3947" s="734"/>
      <c r="B3947" s="747" t="s">
        <v>469</v>
      </c>
      <c r="C3947" s="735" t="s">
        <v>519</v>
      </c>
      <c r="D3947" s="735"/>
      <c r="E3947" s="737">
        <f t="shared" si="858"/>
        <v>1</v>
      </c>
      <c r="F3947" s="738" t="s">
        <v>363</v>
      </c>
      <c r="G3947" s="739">
        <v>800</v>
      </c>
      <c r="H3947" s="748">
        <f t="shared" si="855"/>
        <v>800</v>
      </c>
      <c r="I3947" s="741">
        <v>70</v>
      </c>
      <c r="J3947" s="749">
        <f t="shared" si="857"/>
        <v>70</v>
      </c>
      <c r="K3947" s="739">
        <f t="shared" si="856"/>
        <v>870</v>
      </c>
      <c r="L3947" s="1079"/>
      <c r="M3947" s="679"/>
      <c r="N3947" s="744">
        <f t="shared" si="854"/>
        <v>1</v>
      </c>
      <c r="O3947" s="745">
        <v>0</v>
      </c>
      <c r="P3947" s="737">
        <v>1</v>
      </c>
      <c r="Q3947" s="679"/>
      <c r="R3947" s="679"/>
      <c r="S3947" s="679"/>
    </row>
    <row r="3948" spans="1:19" s="682" customFormat="1" ht="24" customHeight="1">
      <c r="A3948" s="734"/>
      <c r="B3948" s="747" t="s">
        <v>469</v>
      </c>
      <c r="C3948" s="735" t="s">
        <v>520</v>
      </c>
      <c r="D3948" s="735"/>
      <c r="E3948" s="737">
        <f t="shared" si="858"/>
        <v>0</v>
      </c>
      <c r="F3948" s="738" t="s">
        <v>361</v>
      </c>
      <c r="G3948" s="739">
        <v>190</v>
      </c>
      <c r="H3948" s="748">
        <f t="shared" si="855"/>
        <v>0</v>
      </c>
      <c r="I3948" s="741">
        <v>75</v>
      </c>
      <c r="J3948" s="749">
        <f t="shared" si="857"/>
        <v>0</v>
      </c>
      <c r="K3948" s="739">
        <f t="shared" si="856"/>
        <v>0</v>
      </c>
      <c r="L3948" s="1079"/>
      <c r="M3948" s="679"/>
      <c r="N3948" s="744">
        <f t="shared" si="854"/>
        <v>0</v>
      </c>
      <c r="O3948" s="745">
        <v>0</v>
      </c>
      <c r="P3948" s="737">
        <v>0</v>
      </c>
      <c r="Q3948" s="679"/>
      <c r="R3948" s="679"/>
      <c r="S3948" s="679"/>
    </row>
    <row r="3949" spans="1:19" s="682" customFormat="1" ht="24" customHeight="1">
      <c r="A3949" s="734"/>
      <c r="B3949" s="747"/>
      <c r="C3949" s="735"/>
      <c r="D3949" s="735"/>
      <c r="E3949" s="737">
        <f t="shared" si="858"/>
        <v>0</v>
      </c>
      <c r="F3949" s="738"/>
      <c r="G3949" s="739"/>
      <c r="H3949" s="748">
        <f t="shared" si="855"/>
        <v>0</v>
      </c>
      <c r="I3949" s="741"/>
      <c r="J3949" s="749">
        <f t="shared" si="857"/>
        <v>0</v>
      </c>
      <c r="K3949" s="739">
        <f t="shared" si="856"/>
        <v>0</v>
      </c>
      <c r="L3949" s="1079"/>
      <c r="M3949" s="679"/>
      <c r="N3949" s="744">
        <f t="shared" ref="N3949:N4016" si="859">+(1+O3949)*P3949</f>
        <v>0</v>
      </c>
      <c r="O3949" s="745">
        <v>0</v>
      </c>
      <c r="P3949" s="737">
        <v>0</v>
      </c>
      <c r="Q3949" s="679"/>
      <c r="R3949" s="679"/>
      <c r="S3949" s="679"/>
    </row>
    <row r="3950" spans="1:19" s="753" customFormat="1" ht="24" customHeight="1">
      <c r="A3950" s="734"/>
      <c r="B3950" s="735" t="s">
        <v>1077</v>
      </c>
      <c r="C3950" s="735"/>
      <c r="D3950" s="907"/>
      <c r="E3950" s="737">
        <f t="shared" si="858"/>
        <v>0</v>
      </c>
      <c r="F3950" s="738"/>
      <c r="G3950" s="739">
        <v>0</v>
      </c>
      <c r="H3950" s="748">
        <f t="shared" si="855"/>
        <v>0</v>
      </c>
      <c r="I3950" s="741">
        <v>0</v>
      </c>
      <c r="J3950" s="749">
        <f t="shared" si="857"/>
        <v>0</v>
      </c>
      <c r="K3950" s="739">
        <f t="shared" si="856"/>
        <v>0</v>
      </c>
      <c r="L3950" s="1079"/>
      <c r="M3950" s="752"/>
      <c r="N3950" s="744">
        <f t="shared" si="859"/>
        <v>0</v>
      </c>
      <c r="O3950" s="745">
        <v>0</v>
      </c>
      <c r="P3950" s="737">
        <v>0</v>
      </c>
      <c r="Q3950" s="752"/>
      <c r="R3950" s="752"/>
      <c r="S3950" s="752"/>
    </row>
    <row r="3951" spans="1:19" s="753" customFormat="1" ht="24" customHeight="1">
      <c r="A3951" s="734"/>
      <c r="B3951" s="747" t="s">
        <v>469</v>
      </c>
      <c r="C3951" s="735" t="s">
        <v>497</v>
      </c>
      <c r="D3951" s="735"/>
      <c r="E3951" s="737">
        <f t="shared" si="858"/>
        <v>6</v>
      </c>
      <c r="F3951" s="738" t="s">
        <v>363</v>
      </c>
      <c r="G3951" s="739">
        <v>1540</v>
      </c>
      <c r="H3951" s="748">
        <f t="shared" si="855"/>
        <v>9240</v>
      </c>
      <c r="I3951" s="741">
        <v>450</v>
      </c>
      <c r="J3951" s="749">
        <f t="shared" si="857"/>
        <v>2700</v>
      </c>
      <c r="K3951" s="739">
        <f t="shared" si="856"/>
        <v>11940</v>
      </c>
      <c r="L3951" s="1079"/>
      <c r="M3951" s="752"/>
      <c r="N3951" s="744">
        <f t="shared" si="859"/>
        <v>6</v>
      </c>
      <c r="O3951" s="745">
        <v>0</v>
      </c>
      <c r="P3951" s="737">
        <v>6</v>
      </c>
      <c r="Q3951" s="752"/>
      <c r="R3951" s="752"/>
      <c r="S3951" s="752"/>
    </row>
    <row r="3952" spans="1:19" s="753" customFormat="1" ht="24" customHeight="1">
      <c r="A3952" s="734"/>
      <c r="B3952" s="747" t="s">
        <v>469</v>
      </c>
      <c r="C3952" s="735" t="s">
        <v>498</v>
      </c>
      <c r="D3952" s="735"/>
      <c r="E3952" s="737">
        <f t="shared" si="858"/>
        <v>6</v>
      </c>
      <c r="F3952" s="738" t="s">
        <v>363</v>
      </c>
      <c r="G3952" s="739">
        <v>6640</v>
      </c>
      <c r="H3952" s="748">
        <f t="shared" si="855"/>
        <v>39840</v>
      </c>
      <c r="I3952" s="741">
        <v>200</v>
      </c>
      <c r="J3952" s="749">
        <f t="shared" si="857"/>
        <v>1200</v>
      </c>
      <c r="K3952" s="739">
        <f t="shared" si="856"/>
        <v>41040</v>
      </c>
      <c r="L3952" s="1079"/>
      <c r="M3952" s="752"/>
      <c r="N3952" s="744">
        <f t="shared" si="859"/>
        <v>6</v>
      </c>
      <c r="O3952" s="745">
        <v>0</v>
      </c>
      <c r="P3952" s="737">
        <v>6</v>
      </c>
      <c r="Q3952" s="752"/>
      <c r="R3952" s="752"/>
      <c r="S3952" s="752"/>
    </row>
    <row r="3953" spans="1:19" s="753" customFormat="1" ht="24" customHeight="1">
      <c r="A3953" s="734"/>
      <c r="B3953" s="747" t="s">
        <v>469</v>
      </c>
      <c r="C3953" s="735" t="s">
        <v>476</v>
      </c>
      <c r="D3953" s="735"/>
      <c r="E3953" s="737">
        <f t="shared" si="858"/>
        <v>6</v>
      </c>
      <c r="F3953" s="738" t="s">
        <v>363</v>
      </c>
      <c r="G3953" s="739">
        <v>336</v>
      </c>
      <c r="H3953" s="748">
        <f t="shared" si="855"/>
        <v>2016</v>
      </c>
      <c r="I3953" s="741">
        <v>0</v>
      </c>
      <c r="J3953" s="749">
        <f t="shared" si="857"/>
        <v>0</v>
      </c>
      <c r="K3953" s="739">
        <f t="shared" si="856"/>
        <v>2016</v>
      </c>
      <c r="L3953" s="1079"/>
      <c r="M3953" s="752"/>
      <c r="N3953" s="744">
        <f t="shared" si="859"/>
        <v>6</v>
      </c>
      <c r="O3953" s="745">
        <v>0</v>
      </c>
      <c r="P3953" s="737">
        <v>6</v>
      </c>
      <c r="Q3953" s="752"/>
      <c r="R3953" s="752"/>
      <c r="S3953" s="752"/>
    </row>
    <row r="3954" spans="1:19" s="753" customFormat="1" ht="24" customHeight="1">
      <c r="A3954" s="734"/>
      <c r="B3954" s="747" t="s">
        <v>469</v>
      </c>
      <c r="C3954" s="735" t="s">
        <v>477</v>
      </c>
      <c r="D3954" s="735"/>
      <c r="E3954" s="737">
        <f t="shared" si="858"/>
        <v>6</v>
      </c>
      <c r="F3954" s="738" t="s">
        <v>363</v>
      </c>
      <c r="G3954" s="739">
        <v>736</v>
      </c>
      <c r="H3954" s="748">
        <f t="shared" si="855"/>
        <v>4416</v>
      </c>
      <c r="I3954" s="741">
        <v>0</v>
      </c>
      <c r="J3954" s="749">
        <f t="shared" si="857"/>
        <v>0</v>
      </c>
      <c r="K3954" s="739">
        <f t="shared" si="856"/>
        <v>4416</v>
      </c>
      <c r="L3954" s="1079"/>
      <c r="M3954" s="752"/>
      <c r="N3954" s="744">
        <f t="shared" si="859"/>
        <v>6</v>
      </c>
      <c r="O3954" s="745">
        <v>0</v>
      </c>
      <c r="P3954" s="737">
        <v>6</v>
      </c>
      <c r="Q3954" s="752"/>
      <c r="R3954" s="752"/>
      <c r="S3954" s="752"/>
    </row>
    <row r="3955" spans="1:19" s="753" customFormat="1" ht="24" customHeight="1">
      <c r="A3955" s="734"/>
      <c r="B3955" s="747" t="s">
        <v>469</v>
      </c>
      <c r="C3955" s="735" t="s">
        <v>478</v>
      </c>
      <c r="D3955" s="735"/>
      <c r="E3955" s="737">
        <f t="shared" si="858"/>
        <v>6</v>
      </c>
      <c r="F3955" s="738" t="s">
        <v>363</v>
      </c>
      <c r="G3955" s="739">
        <v>176</v>
      </c>
      <c r="H3955" s="748">
        <f t="shared" si="855"/>
        <v>1056</v>
      </c>
      <c r="I3955" s="741">
        <v>0</v>
      </c>
      <c r="J3955" s="749">
        <f t="shared" si="857"/>
        <v>0</v>
      </c>
      <c r="K3955" s="739">
        <f t="shared" si="856"/>
        <v>1056</v>
      </c>
      <c r="L3955" s="1079"/>
      <c r="M3955" s="752"/>
      <c r="N3955" s="744">
        <f t="shared" si="859"/>
        <v>6</v>
      </c>
      <c r="O3955" s="745">
        <v>0</v>
      </c>
      <c r="P3955" s="737">
        <v>6</v>
      </c>
      <c r="Q3955" s="752"/>
      <c r="R3955" s="752"/>
      <c r="S3955" s="752"/>
    </row>
    <row r="3956" spans="1:19" s="753" customFormat="1" ht="24" customHeight="1">
      <c r="A3956" s="734"/>
      <c r="B3956" s="747" t="s">
        <v>469</v>
      </c>
      <c r="C3956" s="735" t="s">
        <v>499</v>
      </c>
      <c r="D3956" s="735"/>
      <c r="E3956" s="737">
        <f t="shared" si="858"/>
        <v>6</v>
      </c>
      <c r="F3956" s="738" t="s">
        <v>363</v>
      </c>
      <c r="G3956" s="739">
        <v>216</v>
      </c>
      <c r="H3956" s="748">
        <f t="shared" si="855"/>
        <v>1296</v>
      </c>
      <c r="I3956" s="741">
        <v>35</v>
      </c>
      <c r="J3956" s="749">
        <f t="shared" si="857"/>
        <v>210</v>
      </c>
      <c r="K3956" s="739">
        <f t="shared" si="856"/>
        <v>1506</v>
      </c>
      <c r="L3956" s="1079"/>
      <c r="M3956" s="752"/>
      <c r="N3956" s="744">
        <f t="shared" si="859"/>
        <v>6</v>
      </c>
      <c r="O3956" s="745">
        <v>0</v>
      </c>
      <c r="P3956" s="737">
        <v>6</v>
      </c>
      <c r="Q3956" s="752"/>
      <c r="R3956" s="752"/>
      <c r="S3956" s="752"/>
    </row>
    <row r="3957" spans="1:19" s="753" customFormat="1" ht="24" customHeight="1">
      <c r="A3957" s="734"/>
      <c r="B3957" s="747"/>
      <c r="C3957" s="736"/>
      <c r="D3957" s="907"/>
      <c r="E3957" s="737">
        <f t="shared" si="858"/>
        <v>0</v>
      </c>
      <c r="F3957" s="738"/>
      <c r="G3957" s="739">
        <v>0</v>
      </c>
      <c r="H3957" s="748">
        <f t="shared" si="855"/>
        <v>0</v>
      </c>
      <c r="I3957" s="741">
        <v>0</v>
      </c>
      <c r="J3957" s="749">
        <f t="shared" si="857"/>
        <v>0</v>
      </c>
      <c r="K3957" s="739">
        <f t="shared" si="856"/>
        <v>0</v>
      </c>
      <c r="L3957" s="1079"/>
      <c r="M3957" s="752"/>
      <c r="N3957" s="744">
        <f t="shared" si="859"/>
        <v>0</v>
      </c>
      <c r="O3957" s="745">
        <v>0</v>
      </c>
      <c r="P3957" s="737">
        <v>0</v>
      </c>
      <c r="Q3957" s="752"/>
      <c r="R3957" s="752"/>
      <c r="S3957" s="752"/>
    </row>
    <row r="3958" spans="1:19" s="753" customFormat="1" ht="24" customHeight="1">
      <c r="A3958" s="734"/>
      <c r="B3958" s="747" t="s">
        <v>469</v>
      </c>
      <c r="C3958" s="735" t="s">
        <v>492</v>
      </c>
      <c r="D3958" s="735"/>
      <c r="E3958" s="737">
        <f t="shared" si="858"/>
        <v>10</v>
      </c>
      <c r="F3958" s="738" t="s">
        <v>363</v>
      </c>
      <c r="G3958" s="739">
        <v>9375</v>
      </c>
      <c r="H3958" s="748">
        <f t="shared" si="855"/>
        <v>93750</v>
      </c>
      <c r="I3958" s="741">
        <v>450</v>
      </c>
      <c r="J3958" s="749">
        <f t="shared" si="857"/>
        <v>4500</v>
      </c>
      <c r="K3958" s="739">
        <f t="shared" si="856"/>
        <v>98250</v>
      </c>
      <c r="L3958" s="1079"/>
      <c r="M3958" s="752"/>
      <c r="N3958" s="744">
        <f t="shared" si="859"/>
        <v>10</v>
      </c>
      <c r="O3958" s="745">
        <v>0</v>
      </c>
      <c r="P3958" s="737">
        <v>10</v>
      </c>
      <c r="Q3958" s="752"/>
      <c r="R3958" s="752"/>
      <c r="S3958" s="752"/>
    </row>
    <row r="3959" spans="1:19" s="753" customFormat="1" ht="24" customHeight="1">
      <c r="A3959" s="734"/>
      <c r="B3959" s="747" t="s">
        <v>469</v>
      </c>
      <c r="C3959" s="735" t="s">
        <v>500</v>
      </c>
      <c r="D3959" s="735"/>
      <c r="E3959" s="737">
        <f t="shared" si="858"/>
        <v>10</v>
      </c>
      <c r="F3959" s="738" t="s">
        <v>363</v>
      </c>
      <c r="G3959" s="739">
        <v>12752</v>
      </c>
      <c r="H3959" s="748">
        <f t="shared" si="855"/>
        <v>127520</v>
      </c>
      <c r="I3959" s="741">
        <v>0</v>
      </c>
      <c r="J3959" s="749">
        <f t="shared" si="857"/>
        <v>0</v>
      </c>
      <c r="K3959" s="739">
        <f t="shared" si="856"/>
        <v>127520</v>
      </c>
      <c r="L3959" s="1079"/>
      <c r="M3959" s="752"/>
      <c r="N3959" s="744">
        <f t="shared" si="859"/>
        <v>10</v>
      </c>
      <c r="O3959" s="745">
        <v>0</v>
      </c>
      <c r="P3959" s="737">
        <v>10</v>
      </c>
      <c r="Q3959" s="752"/>
      <c r="R3959" s="752"/>
      <c r="S3959" s="752"/>
    </row>
    <row r="3960" spans="1:19" s="753" customFormat="1" ht="24" customHeight="1">
      <c r="A3960" s="734"/>
      <c r="B3960" s="747" t="s">
        <v>469</v>
      </c>
      <c r="C3960" s="735" t="s">
        <v>501</v>
      </c>
      <c r="D3960" s="735"/>
      <c r="E3960" s="737">
        <v>0</v>
      </c>
      <c r="F3960" s="738" t="s">
        <v>363</v>
      </c>
      <c r="G3960" s="739">
        <v>1950</v>
      </c>
      <c r="H3960" s="748">
        <f t="shared" si="855"/>
        <v>0</v>
      </c>
      <c r="I3960" s="741">
        <v>35</v>
      </c>
      <c r="J3960" s="749">
        <f t="shared" si="857"/>
        <v>0</v>
      </c>
      <c r="K3960" s="739">
        <f t="shared" si="856"/>
        <v>0</v>
      </c>
      <c r="L3960" s="1079"/>
      <c r="M3960" s="752"/>
      <c r="N3960" s="744">
        <f t="shared" si="859"/>
        <v>10</v>
      </c>
      <c r="O3960" s="745">
        <v>0</v>
      </c>
      <c r="P3960" s="737">
        <v>10</v>
      </c>
      <c r="Q3960" s="752"/>
      <c r="R3960" s="752"/>
      <c r="S3960" s="752"/>
    </row>
    <row r="3961" spans="1:19" s="753" customFormat="1" ht="24" customHeight="1">
      <c r="A3961" s="734"/>
      <c r="B3961" s="747" t="s">
        <v>469</v>
      </c>
      <c r="C3961" s="735" t="s">
        <v>502</v>
      </c>
      <c r="D3961" s="735"/>
      <c r="E3961" s="737">
        <f t="shared" si="858"/>
        <v>10</v>
      </c>
      <c r="F3961" s="738" t="s">
        <v>363</v>
      </c>
      <c r="G3961" s="739">
        <v>216</v>
      </c>
      <c r="H3961" s="748">
        <f t="shared" si="855"/>
        <v>2160</v>
      </c>
      <c r="I3961" s="741">
        <v>35</v>
      </c>
      <c r="J3961" s="749">
        <f t="shared" si="857"/>
        <v>350</v>
      </c>
      <c r="K3961" s="739">
        <f t="shared" si="856"/>
        <v>2510</v>
      </c>
      <c r="L3961" s="1079"/>
      <c r="M3961" s="752"/>
      <c r="N3961" s="744">
        <f t="shared" si="859"/>
        <v>10</v>
      </c>
      <c r="O3961" s="745">
        <v>0</v>
      </c>
      <c r="P3961" s="737">
        <v>10</v>
      </c>
      <c r="Q3961" s="752"/>
      <c r="R3961" s="752"/>
      <c r="S3961" s="752"/>
    </row>
    <row r="3962" spans="1:19" s="753" customFormat="1" ht="24" customHeight="1">
      <c r="A3962" s="734"/>
      <c r="B3962" s="747"/>
      <c r="C3962" s="735"/>
      <c r="D3962" s="735"/>
      <c r="E3962" s="737">
        <f t="shared" si="858"/>
        <v>0</v>
      </c>
      <c r="F3962" s="738"/>
      <c r="G3962" s="739"/>
      <c r="H3962" s="748">
        <f t="shared" si="855"/>
        <v>0</v>
      </c>
      <c r="I3962" s="741"/>
      <c r="J3962" s="749">
        <f t="shared" si="857"/>
        <v>0</v>
      </c>
      <c r="K3962" s="739">
        <f t="shared" si="856"/>
        <v>0</v>
      </c>
      <c r="L3962" s="1079"/>
      <c r="M3962" s="752"/>
      <c r="N3962" s="744">
        <f t="shared" si="859"/>
        <v>0</v>
      </c>
      <c r="O3962" s="745">
        <v>0</v>
      </c>
      <c r="P3962" s="737">
        <v>0</v>
      </c>
      <c r="Q3962" s="752"/>
      <c r="R3962" s="752"/>
      <c r="S3962" s="752"/>
    </row>
    <row r="3963" spans="1:19" s="753" customFormat="1" ht="24" customHeight="1">
      <c r="A3963" s="734"/>
      <c r="B3963" s="747" t="s">
        <v>484</v>
      </c>
      <c r="C3963" s="735" t="s">
        <v>485</v>
      </c>
      <c r="D3963" s="735"/>
      <c r="E3963" s="737">
        <f t="shared" si="858"/>
        <v>11</v>
      </c>
      <c r="F3963" s="738" t="s">
        <v>363</v>
      </c>
      <c r="G3963" s="739">
        <v>285</v>
      </c>
      <c r="H3963" s="748">
        <f t="shared" si="855"/>
        <v>3135</v>
      </c>
      <c r="I3963" s="741">
        <v>75</v>
      </c>
      <c r="J3963" s="749">
        <f t="shared" si="857"/>
        <v>825</v>
      </c>
      <c r="K3963" s="739">
        <f t="shared" si="856"/>
        <v>3960</v>
      </c>
      <c r="L3963" s="1093"/>
      <c r="M3963" s="752"/>
      <c r="N3963" s="744">
        <f t="shared" si="859"/>
        <v>11</v>
      </c>
      <c r="O3963" s="745">
        <v>0</v>
      </c>
      <c r="P3963" s="737">
        <v>11</v>
      </c>
      <c r="Q3963" s="752"/>
      <c r="R3963" s="752"/>
      <c r="S3963" s="752"/>
    </row>
    <row r="3964" spans="1:19" s="753" customFormat="1" ht="24" customHeight="1">
      <c r="A3964" s="734"/>
      <c r="B3964" s="747" t="s">
        <v>469</v>
      </c>
      <c r="C3964" s="735" t="s">
        <v>486</v>
      </c>
      <c r="D3964" s="735"/>
      <c r="E3964" s="737">
        <f t="shared" si="858"/>
        <v>1</v>
      </c>
      <c r="F3964" s="738" t="s">
        <v>363</v>
      </c>
      <c r="G3964" s="739">
        <v>552</v>
      </c>
      <c r="H3964" s="748">
        <f t="shared" si="855"/>
        <v>552</v>
      </c>
      <c r="I3964" s="741">
        <v>25</v>
      </c>
      <c r="J3964" s="749">
        <f t="shared" si="857"/>
        <v>25</v>
      </c>
      <c r="K3964" s="739">
        <f t="shared" si="856"/>
        <v>577</v>
      </c>
      <c r="L3964" s="1079"/>
      <c r="M3964" s="752"/>
      <c r="N3964" s="744">
        <f t="shared" si="859"/>
        <v>1</v>
      </c>
      <c r="O3964" s="745">
        <v>0</v>
      </c>
      <c r="P3964" s="737">
        <v>1</v>
      </c>
      <c r="Q3964" s="752"/>
      <c r="R3964" s="752"/>
      <c r="S3964" s="752"/>
    </row>
    <row r="3965" spans="1:19" s="753" customFormat="1" ht="24" customHeight="1">
      <c r="A3965" s="734"/>
      <c r="B3965" s="747" t="s">
        <v>469</v>
      </c>
      <c r="C3965" s="735" t="s">
        <v>507</v>
      </c>
      <c r="D3965" s="735"/>
      <c r="E3965" s="737">
        <f t="shared" si="858"/>
        <v>2</v>
      </c>
      <c r="F3965" s="738" t="s">
        <v>363</v>
      </c>
      <c r="G3965" s="739">
        <v>1650</v>
      </c>
      <c r="H3965" s="748">
        <f t="shared" si="855"/>
        <v>3300</v>
      </c>
      <c r="I3965" s="741">
        <v>70</v>
      </c>
      <c r="J3965" s="749">
        <f t="shared" si="857"/>
        <v>140</v>
      </c>
      <c r="K3965" s="739">
        <f t="shared" si="856"/>
        <v>3440</v>
      </c>
      <c r="L3965" s="1079"/>
      <c r="M3965" s="752"/>
      <c r="N3965" s="744">
        <f t="shared" si="859"/>
        <v>2</v>
      </c>
      <c r="O3965" s="745">
        <v>0</v>
      </c>
      <c r="P3965" s="737">
        <v>2</v>
      </c>
      <c r="Q3965" s="752"/>
      <c r="R3965" s="752"/>
      <c r="S3965" s="752"/>
    </row>
    <row r="3966" spans="1:19" s="753" customFormat="1" ht="24" customHeight="1">
      <c r="A3966" s="734"/>
      <c r="B3966" s="747" t="s">
        <v>469</v>
      </c>
      <c r="C3966" s="735" t="s">
        <v>508</v>
      </c>
      <c r="D3966" s="735"/>
      <c r="E3966" s="737">
        <f t="shared" si="858"/>
        <v>10</v>
      </c>
      <c r="F3966" s="738" t="s">
        <v>363</v>
      </c>
      <c r="G3966" s="739">
        <v>13500</v>
      </c>
      <c r="H3966" s="748">
        <f t="shared" si="855"/>
        <v>135000</v>
      </c>
      <c r="I3966" s="741">
        <v>750</v>
      </c>
      <c r="J3966" s="749">
        <f t="shared" si="857"/>
        <v>7500</v>
      </c>
      <c r="K3966" s="739">
        <f t="shared" si="856"/>
        <v>142500</v>
      </c>
      <c r="L3966" s="1079"/>
      <c r="M3966" s="752"/>
      <c r="N3966" s="744">
        <f t="shared" si="859"/>
        <v>10</v>
      </c>
      <c r="O3966" s="745">
        <v>0</v>
      </c>
      <c r="P3966" s="737">
        <v>10</v>
      </c>
      <c r="Q3966" s="752"/>
      <c r="R3966" s="752"/>
      <c r="S3966" s="752"/>
    </row>
    <row r="3967" spans="1:19" s="682" customFormat="1" ht="24" customHeight="1">
      <c r="A3967" s="734"/>
      <c r="B3967" s="747" t="s">
        <v>469</v>
      </c>
      <c r="C3967" s="735" t="s">
        <v>509</v>
      </c>
      <c r="D3967" s="735"/>
      <c r="E3967" s="737">
        <f t="shared" si="858"/>
        <v>1</v>
      </c>
      <c r="F3967" s="738" t="s">
        <v>363</v>
      </c>
      <c r="G3967" s="739">
        <v>14476</v>
      </c>
      <c r="H3967" s="748">
        <f t="shared" si="855"/>
        <v>14476</v>
      </c>
      <c r="I3967" s="741">
        <v>5367</v>
      </c>
      <c r="J3967" s="749">
        <f t="shared" si="857"/>
        <v>5367</v>
      </c>
      <c r="K3967" s="739">
        <f t="shared" si="856"/>
        <v>19843</v>
      </c>
      <c r="L3967" s="1079"/>
      <c r="M3967" s="679"/>
      <c r="N3967" s="744">
        <f t="shared" si="859"/>
        <v>1</v>
      </c>
      <c r="O3967" s="745">
        <v>0</v>
      </c>
      <c r="P3967" s="737">
        <v>1</v>
      </c>
      <c r="Q3967" s="679"/>
      <c r="R3967" s="679"/>
      <c r="S3967" s="679"/>
    </row>
    <row r="3968" spans="1:19" s="753" customFormat="1" ht="24" customHeight="1">
      <c r="A3968" s="734"/>
      <c r="B3968" s="747"/>
      <c r="C3968" s="735"/>
      <c r="D3968" s="907"/>
      <c r="E3968" s="737">
        <f t="shared" si="858"/>
        <v>0</v>
      </c>
      <c r="F3968" s="738"/>
      <c r="G3968" s="739">
        <v>0</v>
      </c>
      <c r="H3968" s="748">
        <f t="shared" si="855"/>
        <v>0</v>
      </c>
      <c r="I3968" s="741">
        <v>0</v>
      </c>
      <c r="J3968" s="749">
        <f t="shared" si="857"/>
        <v>0</v>
      </c>
      <c r="K3968" s="739">
        <f t="shared" si="856"/>
        <v>0</v>
      </c>
      <c r="L3968" s="1079"/>
      <c r="M3968" s="752"/>
      <c r="N3968" s="744">
        <f t="shared" si="859"/>
        <v>0</v>
      </c>
      <c r="O3968" s="745">
        <v>0</v>
      </c>
      <c r="P3968" s="737">
        <v>0</v>
      </c>
      <c r="Q3968" s="752"/>
      <c r="R3968" s="752"/>
      <c r="S3968" s="752"/>
    </row>
    <row r="3969" spans="1:19" s="753" customFormat="1" ht="24" customHeight="1">
      <c r="A3969" s="734"/>
      <c r="B3969" s="747" t="s">
        <v>469</v>
      </c>
      <c r="C3969" s="735" t="s">
        <v>510</v>
      </c>
      <c r="D3969" s="735"/>
      <c r="E3969" s="737">
        <f t="shared" si="858"/>
        <v>5.2</v>
      </c>
      <c r="F3969" s="738" t="s">
        <v>361</v>
      </c>
      <c r="G3969" s="739">
        <v>2694</v>
      </c>
      <c r="H3969" s="748">
        <f t="shared" si="855"/>
        <v>14008.800000000001</v>
      </c>
      <c r="I3969" s="741">
        <v>1288</v>
      </c>
      <c r="J3969" s="749">
        <f t="shared" si="857"/>
        <v>6697.6</v>
      </c>
      <c r="K3969" s="739">
        <f t="shared" si="856"/>
        <v>20706.400000000001</v>
      </c>
      <c r="L3969" s="1079"/>
      <c r="M3969" s="752"/>
      <c r="N3969" s="744">
        <f t="shared" si="859"/>
        <v>5.2</v>
      </c>
      <c r="O3969" s="745">
        <v>0</v>
      </c>
      <c r="P3969" s="737">
        <v>5.2</v>
      </c>
      <c r="Q3969" s="752"/>
      <c r="R3969" s="752"/>
      <c r="S3969" s="752"/>
    </row>
    <row r="3970" spans="1:19" s="753" customFormat="1" ht="24" customHeight="1">
      <c r="A3970" s="734"/>
      <c r="B3970" s="747"/>
      <c r="C3970" s="735" t="s">
        <v>511</v>
      </c>
      <c r="D3970" s="735"/>
      <c r="E3970" s="737">
        <f t="shared" si="858"/>
        <v>0</v>
      </c>
      <c r="F3970" s="738"/>
      <c r="G3970" s="739"/>
      <c r="H3970" s="748">
        <f t="shared" si="855"/>
        <v>0</v>
      </c>
      <c r="I3970" s="741"/>
      <c r="J3970" s="749">
        <f t="shared" si="857"/>
        <v>0</v>
      </c>
      <c r="K3970" s="739">
        <f t="shared" si="856"/>
        <v>0</v>
      </c>
      <c r="L3970" s="1079"/>
      <c r="M3970" s="752"/>
      <c r="N3970" s="744">
        <f t="shared" si="859"/>
        <v>0</v>
      </c>
      <c r="O3970" s="745">
        <v>0</v>
      </c>
      <c r="P3970" s="737">
        <v>0</v>
      </c>
      <c r="Q3970" s="752"/>
      <c r="R3970" s="752"/>
      <c r="S3970" s="752"/>
    </row>
    <row r="3971" spans="1:19" s="753" customFormat="1" ht="24" customHeight="1">
      <c r="A3971" s="734"/>
      <c r="B3971" s="747" t="s">
        <v>469</v>
      </c>
      <c r="C3971" s="735" t="s">
        <v>512</v>
      </c>
      <c r="D3971" s="735"/>
      <c r="E3971" s="737">
        <f t="shared" si="858"/>
        <v>5.2</v>
      </c>
      <c r="F3971" s="738" t="s">
        <v>361</v>
      </c>
      <c r="G3971" s="739">
        <v>3886</v>
      </c>
      <c r="H3971" s="748">
        <f t="shared" si="855"/>
        <v>20207.2</v>
      </c>
      <c r="I3971" s="741">
        <v>1238</v>
      </c>
      <c r="J3971" s="749">
        <f t="shared" si="857"/>
        <v>6437.6</v>
      </c>
      <c r="K3971" s="739">
        <f t="shared" si="856"/>
        <v>26644.800000000003</v>
      </c>
      <c r="L3971" s="1079"/>
      <c r="M3971" s="752"/>
      <c r="N3971" s="744">
        <f t="shared" si="859"/>
        <v>5.2</v>
      </c>
      <c r="O3971" s="745">
        <v>0</v>
      </c>
      <c r="P3971" s="737">
        <v>5.2</v>
      </c>
      <c r="Q3971" s="752"/>
      <c r="R3971" s="752"/>
      <c r="S3971" s="752"/>
    </row>
    <row r="3972" spans="1:19" s="753" customFormat="1" ht="24" customHeight="1">
      <c r="A3972" s="734"/>
      <c r="B3972" s="747"/>
      <c r="C3972" s="735" t="s">
        <v>513</v>
      </c>
      <c r="D3972" s="735"/>
      <c r="E3972" s="737">
        <f t="shared" si="858"/>
        <v>0</v>
      </c>
      <c r="F3972" s="738"/>
      <c r="G3972" s="739">
        <v>0</v>
      </c>
      <c r="H3972" s="748">
        <f t="shared" si="855"/>
        <v>0</v>
      </c>
      <c r="I3972" s="741">
        <v>0</v>
      </c>
      <c r="J3972" s="749">
        <f t="shared" si="857"/>
        <v>0</v>
      </c>
      <c r="K3972" s="739">
        <f t="shared" si="856"/>
        <v>0</v>
      </c>
      <c r="L3972" s="1079"/>
      <c r="M3972" s="752"/>
      <c r="N3972" s="744">
        <f t="shared" si="859"/>
        <v>0</v>
      </c>
      <c r="O3972" s="745">
        <v>0</v>
      </c>
      <c r="P3972" s="737">
        <v>0</v>
      </c>
      <c r="Q3972" s="752"/>
      <c r="R3972" s="752"/>
      <c r="S3972" s="752"/>
    </row>
    <row r="3973" spans="1:19" s="753" customFormat="1" ht="24" customHeight="1">
      <c r="A3973" s="734"/>
      <c r="B3973" s="747" t="s">
        <v>469</v>
      </c>
      <c r="C3973" s="735" t="s">
        <v>521</v>
      </c>
      <c r="D3973" s="735"/>
      <c r="E3973" s="737">
        <f t="shared" si="858"/>
        <v>5.2</v>
      </c>
      <c r="F3973" s="738" t="s">
        <v>361</v>
      </c>
      <c r="G3973" s="739">
        <v>1522</v>
      </c>
      <c r="H3973" s="748">
        <f t="shared" si="855"/>
        <v>7914.4000000000005</v>
      </c>
      <c r="I3973" s="741">
        <v>315</v>
      </c>
      <c r="J3973" s="749">
        <f t="shared" si="857"/>
        <v>1638</v>
      </c>
      <c r="K3973" s="739">
        <f t="shared" si="856"/>
        <v>9552.4000000000015</v>
      </c>
      <c r="L3973" s="1079"/>
      <c r="M3973" s="752"/>
      <c r="N3973" s="744">
        <f t="shared" si="859"/>
        <v>5.2</v>
      </c>
      <c r="O3973" s="745">
        <v>0</v>
      </c>
      <c r="P3973" s="737">
        <v>5.2</v>
      </c>
      <c r="Q3973" s="752"/>
      <c r="R3973" s="752"/>
      <c r="S3973" s="752"/>
    </row>
    <row r="3974" spans="1:19" s="753" customFormat="1" ht="24" customHeight="1">
      <c r="A3974" s="734"/>
      <c r="B3974" s="747"/>
      <c r="C3974" s="735"/>
      <c r="D3974" s="735"/>
      <c r="E3974" s="737">
        <f t="shared" si="858"/>
        <v>0</v>
      </c>
      <c r="F3974" s="738"/>
      <c r="G3974" s="739">
        <v>0</v>
      </c>
      <c r="H3974" s="748">
        <f t="shared" si="855"/>
        <v>0</v>
      </c>
      <c r="I3974" s="741">
        <v>0</v>
      </c>
      <c r="J3974" s="749">
        <f t="shared" si="857"/>
        <v>0</v>
      </c>
      <c r="K3974" s="739">
        <f t="shared" si="856"/>
        <v>0</v>
      </c>
      <c r="L3974" s="1079"/>
      <c r="M3974" s="752"/>
      <c r="N3974" s="744">
        <f t="shared" si="859"/>
        <v>0</v>
      </c>
      <c r="O3974" s="745">
        <v>0</v>
      </c>
      <c r="P3974" s="737">
        <v>0</v>
      </c>
      <c r="Q3974" s="752"/>
      <c r="R3974" s="752"/>
      <c r="S3974" s="752"/>
    </row>
    <row r="3975" spans="1:19" s="682" customFormat="1" ht="24" customHeight="1">
      <c r="A3975" s="734"/>
      <c r="B3975" s="747" t="s">
        <v>469</v>
      </c>
      <c r="C3975" s="735" t="s">
        <v>515</v>
      </c>
      <c r="D3975" s="735"/>
      <c r="E3975" s="737">
        <f t="shared" si="858"/>
        <v>0</v>
      </c>
      <c r="F3975" s="738" t="s">
        <v>363</v>
      </c>
      <c r="G3975" s="739">
        <v>5013</v>
      </c>
      <c r="H3975" s="748">
        <f t="shared" si="855"/>
        <v>0</v>
      </c>
      <c r="I3975" s="741">
        <v>2403</v>
      </c>
      <c r="J3975" s="749">
        <f t="shared" si="857"/>
        <v>0</v>
      </c>
      <c r="K3975" s="739">
        <f t="shared" si="856"/>
        <v>0</v>
      </c>
      <c r="L3975" s="1079"/>
      <c r="M3975" s="679"/>
      <c r="N3975" s="744">
        <f t="shared" si="859"/>
        <v>0</v>
      </c>
      <c r="O3975" s="745">
        <v>0</v>
      </c>
      <c r="P3975" s="737">
        <v>0</v>
      </c>
      <c r="Q3975" s="679"/>
      <c r="R3975" s="679"/>
      <c r="S3975" s="679"/>
    </row>
    <row r="3976" spans="1:19" s="682" customFormat="1" ht="24" customHeight="1">
      <c r="A3976" s="734"/>
      <c r="B3976" s="747"/>
      <c r="C3976" s="735" t="s">
        <v>516</v>
      </c>
      <c r="D3976" s="735"/>
      <c r="E3976" s="737">
        <f t="shared" si="858"/>
        <v>0</v>
      </c>
      <c r="F3976" s="738"/>
      <c r="G3976" s="739"/>
      <c r="H3976" s="748">
        <f t="shared" si="855"/>
        <v>0</v>
      </c>
      <c r="I3976" s="741"/>
      <c r="J3976" s="749">
        <f t="shared" si="857"/>
        <v>0</v>
      </c>
      <c r="K3976" s="739">
        <f t="shared" si="856"/>
        <v>0</v>
      </c>
      <c r="L3976" s="1079"/>
      <c r="M3976" s="679"/>
      <c r="N3976" s="744">
        <f t="shared" si="859"/>
        <v>0</v>
      </c>
      <c r="O3976" s="745">
        <v>0</v>
      </c>
      <c r="P3976" s="737">
        <v>0</v>
      </c>
      <c r="Q3976" s="679"/>
      <c r="R3976" s="679"/>
      <c r="S3976" s="679"/>
    </row>
    <row r="3977" spans="1:19" s="682" customFormat="1" ht="24" customHeight="1">
      <c r="A3977" s="734"/>
      <c r="B3977" s="747"/>
      <c r="C3977" s="735"/>
      <c r="D3977" s="735"/>
      <c r="E3977" s="737">
        <f t="shared" si="858"/>
        <v>0</v>
      </c>
      <c r="F3977" s="738"/>
      <c r="G3977" s="739"/>
      <c r="H3977" s="748">
        <f t="shared" si="855"/>
        <v>0</v>
      </c>
      <c r="I3977" s="741"/>
      <c r="J3977" s="749">
        <f t="shared" si="857"/>
        <v>0</v>
      </c>
      <c r="K3977" s="739">
        <f t="shared" si="856"/>
        <v>0</v>
      </c>
      <c r="L3977" s="1079"/>
      <c r="M3977" s="679"/>
      <c r="N3977" s="744">
        <f t="shared" si="859"/>
        <v>0</v>
      </c>
      <c r="O3977" s="745">
        <v>0</v>
      </c>
      <c r="P3977" s="737">
        <v>0</v>
      </c>
      <c r="Q3977" s="679"/>
      <c r="R3977" s="679"/>
      <c r="S3977" s="679"/>
    </row>
    <row r="3978" spans="1:19" s="756" customFormat="1" ht="24" customHeight="1">
      <c r="A3978" s="734"/>
      <c r="B3978" s="747" t="s">
        <v>469</v>
      </c>
      <c r="C3978" s="735" t="s">
        <v>517</v>
      </c>
      <c r="D3978" s="907"/>
      <c r="E3978" s="737">
        <f t="shared" si="858"/>
        <v>0</v>
      </c>
      <c r="F3978" s="738" t="s">
        <v>361</v>
      </c>
      <c r="G3978" s="739">
        <v>5075.5555555555557</v>
      </c>
      <c r="H3978" s="748">
        <f t="shared" si="855"/>
        <v>0</v>
      </c>
      <c r="I3978" s="741">
        <v>2545.7777777777778</v>
      </c>
      <c r="J3978" s="749">
        <f t="shared" si="857"/>
        <v>0</v>
      </c>
      <c r="K3978" s="739">
        <f t="shared" si="856"/>
        <v>0</v>
      </c>
      <c r="L3978" s="1079"/>
      <c r="M3978" s="755"/>
      <c r="N3978" s="744">
        <f t="shared" si="859"/>
        <v>0</v>
      </c>
      <c r="O3978" s="745">
        <v>0</v>
      </c>
      <c r="P3978" s="737">
        <v>0</v>
      </c>
      <c r="Q3978" s="755"/>
      <c r="R3978" s="755"/>
      <c r="S3978" s="755"/>
    </row>
    <row r="3979" spans="1:19" s="756" customFormat="1" ht="24" customHeight="1">
      <c r="A3979" s="734"/>
      <c r="B3979" s="747"/>
      <c r="C3979" s="735" t="s">
        <v>488</v>
      </c>
      <c r="D3979" s="907"/>
      <c r="E3979" s="737">
        <f t="shared" si="858"/>
        <v>0</v>
      </c>
      <c r="F3979" s="738"/>
      <c r="G3979" s="739">
        <v>0</v>
      </c>
      <c r="H3979" s="748">
        <f t="shared" si="855"/>
        <v>0</v>
      </c>
      <c r="I3979" s="741">
        <v>0</v>
      </c>
      <c r="J3979" s="749">
        <f t="shared" si="857"/>
        <v>0</v>
      </c>
      <c r="K3979" s="739">
        <f t="shared" si="856"/>
        <v>0</v>
      </c>
      <c r="L3979" s="1079"/>
      <c r="M3979" s="755"/>
      <c r="N3979" s="744">
        <f t="shared" si="859"/>
        <v>0</v>
      </c>
      <c r="O3979" s="745">
        <v>0</v>
      </c>
      <c r="P3979" s="737">
        <v>0</v>
      </c>
      <c r="Q3979" s="755"/>
      <c r="R3979" s="755"/>
      <c r="S3979" s="755"/>
    </row>
    <row r="3980" spans="1:19" s="753" customFormat="1" ht="24" customHeight="1">
      <c r="A3980" s="734"/>
      <c r="B3980" s="747" t="s">
        <v>469</v>
      </c>
      <c r="C3980" s="735" t="s">
        <v>518</v>
      </c>
      <c r="D3980" s="735"/>
      <c r="E3980" s="737">
        <f t="shared" si="858"/>
        <v>0</v>
      </c>
      <c r="F3980" s="738" t="s">
        <v>361</v>
      </c>
      <c r="G3980" s="739">
        <v>3886</v>
      </c>
      <c r="H3980" s="748">
        <f t="shared" ref="H3980:H4014" si="860">SUM(E3980*G3980)</f>
        <v>0</v>
      </c>
      <c r="I3980" s="741">
        <v>1238</v>
      </c>
      <c r="J3980" s="749">
        <f t="shared" si="857"/>
        <v>0</v>
      </c>
      <c r="K3980" s="739">
        <f t="shared" ref="K3980:K4014" si="861">SUM(H3980+J3980)</f>
        <v>0</v>
      </c>
      <c r="L3980" s="1079"/>
      <c r="M3980" s="752"/>
      <c r="N3980" s="744">
        <f t="shared" si="859"/>
        <v>0</v>
      </c>
      <c r="O3980" s="745">
        <v>0</v>
      </c>
      <c r="P3980" s="737">
        <v>0</v>
      </c>
      <c r="Q3980" s="752"/>
      <c r="R3980" s="752"/>
      <c r="S3980" s="752"/>
    </row>
    <row r="3981" spans="1:19" s="753" customFormat="1" ht="24" customHeight="1">
      <c r="A3981" s="734"/>
      <c r="B3981" s="747"/>
      <c r="C3981" s="735" t="s">
        <v>513</v>
      </c>
      <c r="D3981" s="735"/>
      <c r="E3981" s="737">
        <f t="shared" si="858"/>
        <v>0</v>
      </c>
      <c r="F3981" s="738"/>
      <c r="G3981" s="739">
        <v>0</v>
      </c>
      <c r="H3981" s="748">
        <f t="shared" si="860"/>
        <v>0</v>
      </c>
      <c r="I3981" s="741">
        <v>0</v>
      </c>
      <c r="J3981" s="749">
        <f t="shared" si="857"/>
        <v>0</v>
      </c>
      <c r="K3981" s="739">
        <f t="shared" si="861"/>
        <v>0</v>
      </c>
      <c r="L3981" s="1079"/>
      <c r="M3981" s="752"/>
      <c r="N3981" s="744">
        <f t="shared" si="859"/>
        <v>0</v>
      </c>
      <c r="O3981" s="745">
        <v>0</v>
      </c>
      <c r="P3981" s="737">
        <v>0</v>
      </c>
      <c r="Q3981" s="752"/>
      <c r="R3981" s="752"/>
      <c r="S3981" s="752"/>
    </row>
    <row r="3982" spans="1:19" s="682" customFormat="1" ht="24" customHeight="1">
      <c r="A3982" s="734"/>
      <c r="B3982" s="747"/>
      <c r="C3982" s="735"/>
      <c r="D3982" s="735"/>
      <c r="E3982" s="737">
        <f t="shared" si="858"/>
        <v>0</v>
      </c>
      <c r="F3982" s="738"/>
      <c r="G3982" s="739"/>
      <c r="H3982" s="748">
        <f t="shared" si="860"/>
        <v>0</v>
      </c>
      <c r="I3982" s="741"/>
      <c r="J3982" s="749">
        <f t="shared" si="857"/>
        <v>0</v>
      </c>
      <c r="K3982" s="739">
        <f t="shared" si="861"/>
        <v>0</v>
      </c>
      <c r="L3982" s="1079"/>
      <c r="M3982" s="679"/>
      <c r="N3982" s="744">
        <f t="shared" si="859"/>
        <v>0</v>
      </c>
      <c r="O3982" s="745">
        <v>0</v>
      </c>
      <c r="P3982" s="737">
        <v>0</v>
      </c>
      <c r="Q3982" s="679"/>
      <c r="R3982" s="679"/>
      <c r="S3982" s="679"/>
    </row>
    <row r="3983" spans="1:19" s="682" customFormat="1" ht="24" customHeight="1">
      <c r="A3983" s="734"/>
      <c r="B3983" s="747" t="s">
        <v>469</v>
      </c>
      <c r="C3983" s="735" t="s">
        <v>519</v>
      </c>
      <c r="D3983" s="735"/>
      <c r="E3983" s="737">
        <f t="shared" si="858"/>
        <v>1</v>
      </c>
      <c r="F3983" s="738" t="s">
        <v>363</v>
      </c>
      <c r="G3983" s="739">
        <v>800</v>
      </c>
      <c r="H3983" s="748">
        <f t="shared" si="860"/>
        <v>800</v>
      </c>
      <c r="I3983" s="741">
        <v>70</v>
      </c>
      <c r="J3983" s="749">
        <f t="shared" si="857"/>
        <v>70</v>
      </c>
      <c r="K3983" s="739">
        <f t="shared" si="861"/>
        <v>870</v>
      </c>
      <c r="L3983" s="1079"/>
      <c r="M3983" s="679"/>
      <c r="N3983" s="744">
        <f t="shared" si="859"/>
        <v>1</v>
      </c>
      <c r="O3983" s="745">
        <v>0</v>
      </c>
      <c r="P3983" s="737">
        <v>1</v>
      </c>
      <c r="Q3983" s="679"/>
      <c r="R3983" s="679"/>
      <c r="S3983" s="679"/>
    </row>
    <row r="3984" spans="1:19" s="682" customFormat="1" ht="24" customHeight="1">
      <c r="A3984" s="734"/>
      <c r="B3984" s="747" t="s">
        <v>469</v>
      </c>
      <c r="C3984" s="735" t="s">
        <v>520</v>
      </c>
      <c r="D3984" s="735"/>
      <c r="E3984" s="737">
        <f t="shared" si="858"/>
        <v>0</v>
      </c>
      <c r="F3984" s="738" t="s">
        <v>361</v>
      </c>
      <c r="G3984" s="739">
        <v>190</v>
      </c>
      <c r="H3984" s="748">
        <f t="shared" si="860"/>
        <v>0</v>
      </c>
      <c r="I3984" s="741">
        <v>75</v>
      </c>
      <c r="J3984" s="749">
        <f t="shared" si="857"/>
        <v>0</v>
      </c>
      <c r="K3984" s="739">
        <f t="shared" si="861"/>
        <v>0</v>
      </c>
      <c r="L3984" s="1079"/>
      <c r="M3984" s="679"/>
      <c r="N3984" s="744">
        <f t="shared" si="859"/>
        <v>0</v>
      </c>
      <c r="O3984" s="745">
        <v>0</v>
      </c>
      <c r="P3984" s="737">
        <v>0</v>
      </c>
      <c r="Q3984" s="679"/>
      <c r="R3984" s="679"/>
      <c r="S3984" s="679"/>
    </row>
    <row r="3985" spans="1:19" s="682" customFormat="1" ht="24" customHeight="1">
      <c r="A3985" s="734"/>
      <c r="B3985" s="747"/>
      <c r="C3985" s="735"/>
      <c r="D3985" s="735"/>
      <c r="E3985" s="737">
        <f t="shared" si="858"/>
        <v>0</v>
      </c>
      <c r="F3985" s="738"/>
      <c r="G3985" s="739"/>
      <c r="H3985" s="748">
        <f t="shared" si="860"/>
        <v>0</v>
      </c>
      <c r="I3985" s="741"/>
      <c r="J3985" s="749">
        <f t="shared" si="857"/>
        <v>0</v>
      </c>
      <c r="K3985" s="739">
        <f t="shared" si="861"/>
        <v>0</v>
      </c>
      <c r="L3985" s="1079"/>
      <c r="M3985" s="679"/>
      <c r="N3985" s="744">
        <f t="shared" si="859"/>
        <v>0</v>
      </c>
      <c r="O3985" s="745">
        <v>0</v>
      </c>
      <c r="P3985" s="737">
        <v>0</v>
      </c>
      <c r="Q3985" s="679"/>
      <c r="R3985" s="679"/>
      <c r="S3985" s="679"/>
    </row>
    <row r="3986" spans="1:19" s="753" customFormat="1" ht="24" customHeight="1">
      <c r="A3986" s="734"/>
      <c r="B3986" s="735" t="s">
        <v>1078</v>
      </c>
      <c r="C3986" s="735"/>
      <c r="D3986" s="735"/>
      <c r="E3986" s="737">
        <f t="shared" si="858"/>
        <v>0</v>
      </c>
      <c r="F3986" s="738"/>
      <c r="G3986" s="739">
        <v>0</v>
      </c>
      <c r="H3986" s="748">
        <f t="shared" si="860"/>
        <v>0</v>
      </c>
      <c r="I3986" s="741">
        <v>0</v>
      </c>
      <c r="J3986" s="749">
        <f t="shared" si="857"/>
        <v>0</v>
      </c>
      <c r="K3986" s="739">
        <f t="shared" si="861"/>
        <v>0</v>
      </c>
      <c r="L3986" s="1079"/>
      <c r="M3986" s="752"/>
      <c r="N3986" s="744">
        <f t="shared" si="859"/>
        <v>0</v>
      </c>
      <c r="O3986" s="745">
        <v>0</v>
      </c>
      <c r="P3986" s="737">
        <v>0</v>
      </c>
      <c r="Q3986" s="752"/>
      <c r="R3986" s="752"/>
      <c r="S3986" s="752"/>
    </row>
    <row r="3987" spans="1:19" s="753" customFormat="1" ht="24" customHeight="1">
      <c r="A3987" s="734"/>
      <c r="B3987" s="747" t="s">
        <v>469</v>
      </c>
      <c r="C3987" s="735" t="s">
        <v>522</v>
      </c>
      <c r="D3987" s="735"/>
      <c r="E3987" s="737">
        <f t="shared" si="858"/>
        <v>1</v>
      </c>
      <c r="F3987" s="738" t="s">
        <v>363</v>
      </c>
      <c r="G3987" s="739">
        <v>6832</v>
      </c>
      <c r="H3987" s="748">
        <f t="shared" si="860"/>
        <v>6832</v>
      </c>
      <c r="I3987" s="741">
        <v>450</v>
      </c>
      <c r="J3987" s="749">
        <f t="shared" si="857"/>
        <v>450</v>
      </c>
      <c r="K3987" s="739">
        <f t="shared" si="861"/>
        <v>7282</v>
      </c>
      <c r="L3987" s="1079"/>
      <c r="M3987" s="752"/>
      <c r="N3987" s="744">
        <f t="shared" si="859"/>
        <v>1</v>
      </c>
      <c r="O3987" s="745">
        <v>0</v>
      </c>
      <c r="P3987" s="737">
        <v>1</v>
      </c>
      <c r="Q3987" s="752"/>
      <c r="R3987" s="752"/>
      <c r="S3987" s="752"/>
    </row>
    <row r="3988" spans="1:19" s="753" customFormat="1" ht="24" customHeight="1">
      <c r="A3988" s="734"/>
      <c r="B3988" s="747" t="s">
        <v>469</v>
      </c>
      <c r="C3988" s="735" t="s">
        <v>498</v>
      </c>
      <c r="D3988" s="735"/>
      <c r="E3988" s="737">
        <f t="shared" si="858"/>
        <v>1</v>
      </c>
      <c r="F3988" s="738" t="s">
        <v>363</v>
      </c>
      <c r="G3988" s="739">
        <v>6640</v>
      </c>
      <c r="H3988" s="748">
        <f t="shared" si="860"/>
        <v>6640</v>
      </c>
      <c r="I3988" s="741">
        <v>200</v>
      </c>
      <c r="J3988" s="749">
        <f t="shared" si="857"/>
        <v>200</v>
      </c>
      <c r="K3988" s="739">
        <f t="shared" si="861"/>
        <v>6840</v>
      </c>
      <c r="L3988" s="1079"/>
      <c r="M3988" s="752"/>
      <c r="N3988" s="744">
        <f t="shared" si="859"/>
        <v>1</v>
      </c>
      <c r="O3988" s="745">
        <v>0</v>
      </c>
      <c r="P3988" s="737">
        <v>1</v>
      </c>
      <c r="Q3988" s="752"/>
      <c r="R3988" s="752"/>
      <c r="S3988" s="752"/>
    </row>
    <row r="3989" spans="1:19" s="753" customFormat="1" ht="24" customHeight="1">
      <c r="A3989" s="734"/>
      <c r="B3989" s="747" t="s">
        <v>469</v>
      </c>
      <c r="C3989" s="735" t="s">
        <v>476</v>
      </c>
      <c r="D3989" s="735"/>
      <c r="E3989" s="737">
        <f t="shared" si="858"/>
        <v>1</v>
      </c>
      <c r="F3989" s="738" t="s">
        <v>363</v>
      </c>
      <c r="G3989" s="739">
        <v>336</v>
      </c>
      <c r="H3989" s="748">
        <f t="shared" si="860"/>
        <v>336</v>
      </c>
      <c r="I3989" s="741">
        <v>0</v>
      </c>
      <c r="J3989" s="749">
        <f t="shared" si="857"/>
        <v>0</v>
      </c>
      <c r="K3989" s="739">
        <f t="shared" si="861"/>
        <v>336</v>
      </c>
      <c r="L3989" s="1079"/>
      <c r="M3989" s="752"/>
      <c r="N3989" s="744">
        <f t="shared" si="859"/>
        <v>1</v>
      </c>
      <c r="O3989" s="745">
        <v>0</v>
      </c>
      <c r="P3989" s="737">
        <v>1</v>
      </c>
      <c r="Q3989" s="752"/>
      <c r="R3989" s="752"/>
      <c r="S3989" s="752"/>
    </row>
    <row r="3990" spans="1:19" s="753" customFormat="1" ht="24" customHeight="1">
      <c r="A3990" s="734"/>
      <c r="B3990" s="747" t="s">
        <v>469</v>
      </c>
      <c r="C3990" s="735" t="s">
        <v>477</v>
      </c>
      <c r="D3990" s="735"/>
      <c r="E3990" s="737">
        <f t="shared" si="858"/>
        <v>1</v>
      </c>
      <c r="F3990" s="738" t="s">
        <v>363</v>
      </c>
      <c r="G3990" s="739">
        <v>736</v>
      </c>
      <c r="H3990" s="748">
        <f t="shared" si="860"/>
        <v>736</v>
      </c>
      <c r="I3990" s="741">
        <v>0</v>
      </c>
      <c r="J3990" s="749">
        <f t="shared" si="857"/>
        <v>0</v>
      </c>
      <c r="K3990" s="739">
        <f t="shared" si="861"/>
        <v>736</v>
      </c>
      <c r="L3990" s="1079"/>
      <c r="M3990" s="752"/>
      <c r="N3990" s="744">
        <f t="shared" si="859"/>
        <v>1</v>
      </c>
      <c r="O3990" s="745">
        <v>0</v>
      </c>
      <c r="P3990" s="737">
        <v>1</v>
      </c>
      <c r="Q3990" s="752"/>
      <c r="R3990" s="752"/>
      <c r="S3990" s="752"/>
    </row>
    <row r="3991" spans="1:19" s="753" customFormat="1" ht="24" customHeight="1">
      <c r="A3991" s="734"/>
      <c r="B3991" s="747" t="s">
        <v>469</v>
      </c>
      <c r="C3991" s="735" t="s">
        <v>478</v>
      </c>
      <c r="D3991" s="735"/>
      <c r="E3991" s="737">
        <f t="shared" si="858"/>
        <v>1</v>
      </c>
      <c r="F3991" s="738" t="s">
        <v>363</v>
      </c>
      <c r="G3991" s="739">
        <v>176</v>
      </c>
      <c r="H3991" s="748">
        <f t="shared" si="860"/>
        <v>176</v>
      </c>
      <c r="I3991" s="741">
        <v>0</v>
      </c>
      <c r="J3991" s="749">
        <f t="shared" si="857"/>
        <v>0</v>
      </c>
      <c r="K3991" s="739">
        <f t="shared" si="861"/>
        <v>176</v>
      </c>
      <c r="L3991" s="1079"/>
      <c r="M3991" s="752"/>
      <c r="N3991" s="744">
        <f t="shared" si="859"/>
        <v>1</v>
      </c>
      <c r="O3991" s="745">
        <v>0</v>
      </c>
      <c r="P3991" s="737">
        <v>1</v>
      </c>
      <c r="Q3991" s="752"/>
      <c r="R3991" s="752"/>
      <c r="S3991" s="752"/>
    </row>
    <row r="3992" spans="1:19" s="753" customFormat="1" ht="24" customHeight="1">
      <c r="A3992" s="734"/>
      <c r="B3992" s="747" t="s">
        <v>469</v>
      </c>
      <c r="C3992" s="735" t="s">
        <v>499</v>
      </c>
      <c r="D3992" s="735"/>
      <c r="E3992" s="737">
        <f t="shared" si="858"/>
        <v>1</v>
      </c>
      <c r="F3992" s="738" t="s">
        <v>363</v>
      </c>
      <c r="G3992" s="739">
        <v>216</v>
      </c>
      <c r="H3992" s="748">
        <f t="shared" si="860"/>
        <v>216</v>
      </c>
      <c r="I3992" s="741">
        <v>35</v>
      </c>
      <c r="J3992" s="749">
        <f t="shared" si="857"/>
        <v>35</v>
      </c>
      <c r="K3992" s="739">
        <f t="shared" si="861"/>
        <v>251</v>
      </c>
      <c r="L3992" s="1079"/>
      <c r="M3992" s="752"/>
      <c r="N3992" s="744">
        <f t="shared" si="859"/>
        <v>1</v>
      </c>
      <c r="O3992" s="745">
        <v>0</v>
      </c>
      <c r="P3992" s="737">
        <v>1</v>
      </c>
      <c r="Q3992" s="752"/>
      <c r="R3992" s="752"/>
      <c r="S3992" s="752"/>
    </row>
    <row r="3993" spans="1:19" s="753" customFormat="1" ht="24" customHeight="1">
      <c r="A3993" s="734"/>
      <c r="B3993" s="750"/>
      <c r="C3993" s="757"/>
      <c r="D3993" s="907"/>
      <c r="E3993" s="737">
        <f t="shared" si="858"/>
        <v>0</v>
      </c>
      <c r="F3993" s="738"/>
      <c r="G3993" s="739">
        <v>0</v>
      </c>
      <c r="H3993" s="748">
        <f t="shared" si="860"/>
        <v>0</v>
      </c>
      <c r="I3993" s="741">
        <v>0</v>
      </c>
      <c r="J3993" s="749">
        <f t="shared" si="857"/>
        <v>0</v>
      </c>
      <c r="K3993" s="739">
        <f t="shared" si="861"/>
        <v>0</v>
      </c>
      <c r="L3993" s="1079"/>
      <c r="M3993" s="752"/>
      <c r="N3993" s="744">
        <f t="shared" si="859"/>
        <v>0</v>
      </c>
      <c r="O3993" s="745">
        <v>0</v>
      </c>
      <c r="P3993" s="737">
        <v>0</v>
      </c>
      <c r="Q3993" s="752"/>
      <c r="R3993" s="752"/>
      <c r="S3993" s="752"/>
    </row>
    <row r="3994" spans="1:19" s="753" customFormat="1" ht="24" customHeight="1">
      <c r="A3994" s="734"/>
      <c r="B3994" s="747" t="s">
        <v>469</v>
      </c>
      <c r="C3994" s="735" t="s">
        <v>523</v>
      </c>
      <c r="D3994" s="735"/>
      <c r="E3994" s="737">
        <f t="shared" si="858"/>
        <v>1</v>
      </c>
      <c r="F3994" s="738" t="s">
        <v>363</v>
      </c>
      <c r="G3994" s="739">
        <v>6580</v>
      </c>
      <c r="H3994" s="748">
        <f t="shared" si="860"/>
        <v>6580</v>
      </c>
      <c r="I3994" s="741">
        <v>450</v>
      </c>
      <c r="J3994" s="749">
        <f t="shared" si="857"/>
        <v>450</v>
      </c>
      <c r="K3994" s="739">
        <f t="shared" si="861"/>
        <v>7030</v>
      </c>
      <c r="L3994" s="1079"/>
      <c r="M3994" s="752"/>
      <c r="N3994" s="744">
        <f t="shared" si="859"/>
        <v>1</v>
      </c>
      <c r="O3994" s="745">
        <v>0</v>
      </c>
      <c r="P3994" s="737">
        <v>1</v>
      </c>
      <c r="Q3994" s="752"/>
      <c r="R3994" s="752"/>
      <c r="S3994" s="752"/>
    </row>
    <row r="3995" spans="1:19" s="753" customFormat="1" ht="24" customHeight="1">
      <c r="A3995" s="734"/>
      <c r="B3995" s="747" t="s">
        <v>469</v>
      </c>
      <c r="C3995" s="735" t="s">
        <v>478</v>
      </c>
      <c r="D3995" s="735"/>
      <c r="E3995" s="737">
        <f t="shared" si="858"/>
        <v>1</v>
      </c>
      <c r="F3995" s="738" t="s">
        <v>363</v>
      </c>
      <c r="G3995" s="739">
        <v>176</v>
      </c>
      <c r="H3995" s="748">
        <f t="shared" si="860"/>
        <v>176</v>
      </c>
      <c r="I3995" s="741">
        <v>0</v>
      </c>
      <c r="J3995" s="749">
        <f t="shared" si="857"/>
        <v>0</v>
      </c>
      <c r="K3995" s="739">
        <f t="shared" si="861"/>
        <v>176</v>
      </c>
      <c r="L3995" s="1079"/>
      <c r="M3995" s="752"/>
      <c r="N3995" s="744">
        <f t="shared" si="859"/>
        <v>1</v>
      </c>
      <c r="O3995" s="745">
        <v>0</v>
      </c>
      <c r="P3995" s="737">
        <v>1</v>
      </c>
      <c r="Q3995" s="752"/>
      <c r="R3995" s="752"/>
      <c r="S3995" s="752"/>
    </row>
    <row r="3996" spans="1:19" s="753" customFormat="1" ht="24" customHeight="1">
      <c r="A3996" s="734"/>
      <c r="B3996" s="747" t="s">
        <v>469</v>
      </c>
      <c r="C3996" s="735" t="s">
        <v>482</v>
      </c>
      <c r="D3996" s="735"/>
      <c r="E3996" s="737">
        <f t="shared" si="858"/>
        <v>1</v>
      </c>
      <c r="F3996" s="738" t="s">
        <v>363</v>
      </c>
      <c r="G3996" s="739">
        <v>560</v>
      </c>
      <c r="H3996" s="748">
        <f t="shared" si="860"/>
        <v>560</v>
      </c>
      <c r="I3996" s="741">
        <v>35</v>
      </c>
      <c r="J3996" s="749">
        <f t="shared" si="857"/>
        <v>35</v>
      </c>
      <c r="K3996" s="739">
        <f t="shared" si="861"/>
        <v>595</v>
      </c>
      <c r="L3996" s="1079"/>
      <c r="M3996" s="752"/>
      <c r="N3996" s="744">
        <f t="shared" si="859"/>
        <v>1</v>
      </c>
      <c r="O3996" s="745">
        <v>0</v>
      </c>
      <c r="P3996" s="737">
        <v>1</v>
      </c>
      <c r="Q3996" s="752"/>
      <c r="R3996" s="752"/>
      <c r="S3996" s="752"/>
    </row>
    <row r="3997" spans="1:19" s="753" customFormat="1" ht="24" customHeight="1">
      <c r="A3997" s="734"/>
      <c r="B3997" s="747" t="s">
        <v>469</v>
      </c>
      <c r="C3997" s="735" t="s">
        <v>524</v>
      </c>
      <c r="D3997" s="735"/>
      <c r="E3997" s="737">
        <f t="shared" si="858"/>
        <v>1</v>
      </c>
      <c r="F3997" s="738" t="s">
        <v>363</v>
      </c>
      <c r="G3997" s="739">
        <v>216</v>
      </c>
      <c r="H3997" s="748">
        <f t="shared" si="860"/>
        <v>216</v>
      </c>
      <c r="I3997" s="741">
        <v>35</v>
      </c>
      <c r="J3997" s="749">
        <f t="shared" si="857"/>
        <v>35</v>
      </c>
      <c r="K3997" s="739">
        <f t="shared" si="861"/>
        <v>251</v>
      </c>
      <c r="L3997" s="1079"/>
      <c r="M3997" s="752"/>
      <c r="N3997" s="744">
        <f t="shared" si="859"/>
        <v>1</v>
      </c>
      <c r="O3997" s="745">
        <v>0</v>
      </c>
      <c r="P3997" s="737">
        <v>1</v>
      </c>
      <c r="Q3997" s="752"/>
      <c r="R3997" s="752"/>
      <c r="S3997" s="752"/>
    </row>
    <row r="3998" spans="1:19" s="753" customFormat="1" ht="24" customHeight="1">
      <c r="A3998" s="734"/>
      <c r="B3998" s="747"/>
      <c r="C3998" s="735"/>
      <c r="D3998" s="735"/>
      <c r="E3998" s="737">
        <f t="shared" si="858"/>
        <v>0</v>
      </c>
      <c r="F3998" s="738"/>
      <c r="G3998" s="739">
        <v>0</v>
      </c>
      <c r="H3998" s="748">
        <f t="shared" si="860"/>
        <v>0</v>
      </c>
      <c r="I3998" s="741">
        <v>0</v>
      </c>
      <c r="J3998" s="749">
        <f t="shared" si="857"/>
        <v>0</v>
      </c>
      <c r="K3998" s="739">
        <f t="shared" si="861"/>
        <v>0</v>
      </c>
      <c r="L3998" s="1079"/>
      <c r="M3998" s="752"/>
      <c r="N3998" s="744">
        <f t="shared" si="859"/>
        <v>0</v>
      </c>
      <c r="O3998" s="745">
        <v>0</v>
      </c>
      <c r="P3998" s="737">
        <v>0</v>
      </c>
      <c r="Q3998" s="752"/>
      <c r="R3998" s="752"/>
      <c r="S3998" s="752"/>
    </row>
    <row r="3999" spans="1:19" s="753" customFormat="1" ht="24" customHeight="1">
      <c r="A3999" s="734"/>
      <c r="B3999" s="747" t="s">
        <v>469</v>
      </c>
      <c r="C3999" s="735" t="s">
        <v>486</v>
      </c>
      <c r="D3999" s="735"/>
      <c r="E3999" s="737">
        <f t="shared" si="858"/>
        <v>1</v>
      </c>
      <c r="F3999" s="738" t="s">
        <v>363</v>
      </c>
      <c r="G3999" s="739">
        <v>552</v>
      </c>
      <c r="H3999" s="748">
        <f t="shared" si="860"/>
        <v>552</v>
      </c>
      <c r="I3999" s="741">
        <v>25</v>
      </c>
      <c r="J3999" s="749">
        <f t="shared" si="857"/>
        <v>25</v>
      </c>
      <c r="K3999" s="739">
        <f t="shared" si="861"/>
        <v>577</v>
      </c>
      <c r="L3999" s="1079"/>
      <c r="M3999" s="752"/>
      <c r="N3999" s="744">
        <f t="shared" si="859"/>
        <v>1</v>
      </c>
      <c r="O3999" s="745">
        <v>0</v>
      </c>
      <c r="P3999" s="737">
        <v>1</v>
      </c>
      <c r="Q3999" s="752"/>
      <c r="R3999" s="752"/>
      <c r="S3999" s="752"/>
    </row>
    <row r="4000" spans="1:19" s="753" customFormat="1" ht="24" customHeight="1">
      <c r="A4000" s="734"/>
      <c r="B4000" s="747" t="s">
        <v>484</v>
      </c>
      <c r="C4000" s="735" t="s">
        <v>485</v>
      </c>
      <c r="D4000" s="735"/>
      <c r="E4000" s="737">
        <f t="shared" si="858"/>
        <v>1</v>
      </c>
      <c r="F4000" s="738" t="s">
        <v>363</v>
      </c>
      <c r="G4000" s="739">
        <v>285</v>
      </c>
      <c r="H4000" s="748">
        <f t="shared" si="860"/>
        <v>285</v>
      </c>
      <c r="I4000" s="741">
        <v>75</v>
      </c>
      <c r="J4000" s="749">
        <f t="shared" si="857"/>
        <v>75</v>
      </c>
      <c r="K4000" s="739">
        <f t="shared" si="861"/>
        <v>360</v>
      </c>
      <c r="L4000" s="1093"/>
      <c r="M4000" s="752"/>
      <c r="N4000" s="744">
        <f t="shared" si="859"/>
        <v>1</v>
      </c>
      <c r="O4000" s="745">
        <v>0</v>
      </c>
      <c r="P4000" s="737">
        <v>1</v>
      </c>
      <c r="Q4000" s="752"/>
      <c r="R4000" s="752"/>
      <c r="S4000" s="752"/>
    </row>
    <row r="4001" spans="1:19" s="753" customFormat="1" ht="24" customHeight="1">
      <c r="A4001" s="734"/>
      <c r="B4001" s="747"/>
      <c r="C4001" s="735"/>
      <c r="D4001" s="735"/>
      <c r="E4001" s="737">
        <f t="shared" si="858"/>
        <v>0</v>
      </c>
      <c r="F4001" s="738"/>
      <c r="G4001" s="739">
        <v>0</v>
      </c>
      <c r="H4001" s="748">
        <f t="shared" si="860"/>
        <v>0</v>
      </c>
      <c r="I4001" s="741">
        <v>0</v>
      </c>
      <c r="J4001" s="749">
        <f t="shared" si="857"/>
        <v>0</v>
      </c>
      <c r="K4001" s="739">
        <f t="shared" si="861"/>
        <v>0</v>
      </c>
      <c r="L4001" s="1079"/>
      <c r="M4001" s="752"/>
      <c r="N4001" s="744">
        <f t="shared" si="859"/>
        <v>0</v>
      </c>
      <c r="O4001" s="745">
        <v>0</v>
      </c>
      <c r="P4001" s="737">
        <v>0</v>
      </c>
      <c r="Q4001" s="752"/>
      <c r="R4001" s="752"/>
      <c r="S4001" s="752"/>
    </row>
    <row r="4002" spans="1:19" s="753" customFormat="1" ht="24" customHeight="1">
      <c r="A4002" s="734"/>
      <c r="B4002" s="747" t="s">
        <v>469</v>
      </c>
      <c r="C4002" s="735" t="s">
        <v>507</v>
      </c>
      <c r="D4002" s="735"/>
      <c r="E4002" s="737">
        <f t="shared" si="858"/>
        <v>1</v>
      </c>
      <c r="F4002" s="738" t="s">
        <v>363</v>
      </c>
      <c r="G4002" s="739">
        <v>1650</v>
      </c>
      <c r="H4002" s="748">
        <f t="shared" si="860"/>
        <v>1650</v>
      </c>
      <c r="I4002" s="741">
        <v>70</v>
      </c>
      <c r="J4002" s="749">
        <f t="shared" si="857"/>
        <v>70</v>
      </c>
      <c r="K4002" s="739">
        <f t="shared" si="861"/>
        <v>1720</v>
      </c>
      <c r="L4002" s="1079"/>
      <c r="M4002" s="752"/>
      <c r="N4002" s="744">
        <f t="shared" si="859"/>
        <v>1</v>
      </c>
      <c r="O4002" s="745">
        <v>0</v>
      </c>
      <c r="P4002" s="737">
        <v>1</v>
      </c>
      <c r="Q4002" s="752"/>
      <c r="R4002" s="752"/>
      <c r="S4002" s="752"/>
    </row>
    <row r="4003" spans="1:19" s="753" customFormat="1" ht="24" customHeight="1">
      <c r="A4003" s="734"/>
      <c r="B4003" s="747" t="s">
        <v>469</v>
      </c>
      <c r="C4003" s="735" t="s">
        <v>525</v>
      </c>
      <c r="D4003" s="735"/>
      <c r="E4003" s="737">
        <f t="shared" si="858"/>
        <v>2</v>
      </c>
      <c r="F4003" s="738" t="s">
        <v>363</v>
      </c>
      <c r="G4003" s="739">
        <v>4160</v>
      </c>
      <c r="H4003" s="748">
        <f t="shared" si="860"/>
        <v>8320</v>
      </c>
      <c r="I4003" s="741">
        <v>105</v>
      </c>
      <c r="J4003" s="749">
        <f t="shared" si="857"/>
        <v>210</v>
      </c>
      <c r="K4003" s="739">
        <f t="shared" si="861"/>
        <v>8530</v>
      </c>
      <c r="L4003" s="1079"/>
      <c r="M4003" s="752"/>
      <c r="N4003" s="744">
        <f t="shared" si="859"/>
        <v>2</v>
      </c>
      <c r="O4003" s="745">
        <v>0</v>
      </c>
      <c r="P4003" s="737">
        <v>2</v>
      </c>
      <c r="Q4003" s="752"/>
      <c r="R4003" s="752"/>
      <c r="S4003" s="752"/>
    </row>
    <row r="4004" spans="1:19" s="753" customFormat="1" ht="24" customHeight="1">
      <c r="A4004" s="734"/>
      <c r="B4004" s="747" t="s">
        <v>469</v>
      </c>
      <c r="C4004" s="735" t="s">
        <v>526</v>
      </c>
      <c r="D4004" s="735"/>
      <c r="E4004" s="737">
        <f t="shared" si="858"/>
        <v>1</v>
      </c>
      <c r="F4004" s="738" t="s">
        <v>363</v>
      </c>
      <c r="G4004" s="739">
        <v>2533.5</v>
      </c>
      <c r="H4004" s="748">
        <f t="shared" si="860"/>
        <v>2533.5</v>
      </c>
      <c r="I4004" s="741">
        <v>105</v>
      </c>
      <c r="J4004" s="749">
        <f t="shared" si="857"/>
        <v>105</v>
      </c>
      <c r="K4004" s="739">
        <f t="shared" si="861"/>
        <v>2638.5</v>
      </c>
      <c r="L4004" s="1079"/>
      <c r="M4004" s="752"/>
      <c r="N4004" s="744">
        <f t="shared" si="859"/>
        <v>1</v>
      </c>
      <c r="O4004" s="745">
        <v>0</v>
      </c>
      <c r="P4004" s="737">
        <v>1</v>
      </c>
      <c r="Q4004" s="752"/>
      <c r="R4004" s="752"/>
      <c r="S4004" s="752"/>
    </row>
    <row r="4005" spans="1:19" s="753" customFormat="1" ht="24" customHeight="1">
      <c r="A4005" s="734"/>
      <c r="B4005" s="747"/>
      <c r="C4005" s="735"/>
      <c r="D4005" s="735"/>
      <c r="E4005" s="737">
        <f t="shared" si="858"/>
        <v>0</v>
      </c>
      <c r="F4005" s="738"/>
      <c r="G4005" s="739">
        <v>0</v>
      </c>
      <c r="H4005" s="748">
        <f t="shared" si="860"/>
        <v>0</v>
      </c>
      <c r="I4005" s="741">
        <v>0</v>
      </c>
      <c r="J4005" s="749">
        <f t="shared" si="857"/>
        <v>0</v>
      </c>
      <c r="K4005" s="739">
        <f t="shared" si="861"/>
        <v>0</v>
      </c>
      <c r="L4005" s="1079"/>
      <c r="M4005" s="752"/>
      <c r="N4005" s="744">
        <f t="shared" si="859"/>
        <v>0</v>
      </c>
      <c r="O4005" s="745">
        <v>0</v>
      </c>
      <c r="P4005" s="737">
        <v>0</v>
      </c>
      <c r="Q4005" s="752"/>
      <c r="R4005" s="752"/>
      <c r="S4005" s="752"/>
    </row>
    <row r="4006" spans="1:19" s="753" customFormat="1" ht="24" customHeight="1">
      <c r="A4006" s="734"/>
      <c r="B4006" s="747" t="s">
        <v>469</v>
      </c>
      <c r="C4006" s="735" t="s">
        <v>527</v>
      </c>
      <c r="D4006" s="735"/>
      <c r="E4006" s="737">
        <f t="shared" si="858"/>
        <v>1</v>
      </c>
      <c r="F4006" s="738" t="s">
        <v>363</v>
      </c>
      <c r="G4006" s="739">
        <v>2855</v>
      </c>
      <c r="H4006" s="748">
        <f t="shared" si="860"/>
        <v>2855</v>
      </c>
      <c r="I4006" s="741">
        <v>1432</v>
      </c>
      <c r="J4006" s="749">
        <f t="shared" si="857"/>
        <v>1432</v>
      </c>
      <c r="K4006" s="739">
        <f t="shared" si="861"/>
        <v>4287</v>
      </c>
      <c r="L4006" s="1079"/>
      <c r="M4006" s="752"/>
      <c r="N4006" s="744">
        <f t="shared" si="859"/>
        <v>1</v>
      </c>
      <c r="O4006" s="745">
        <v>0</v>
      </c>
      <c r="P4006" s="737">
        <v>1</v>
      </c>
      <c r="Q4006" s="752"/>
      <c r="R4006" s="752"/>
      <c r="S4006" s="752"/>
    </row>
    <row r="4007" spans="1:19" s="682" customFormat="1" ht="24" customHeight="1">
      <c r="A4007" s="734"/>
      <c r="B4007" s="747" t="s">
        <v>469</v>
      </c>
      <c r="C4007" s="735" t="s">
        <v>528</v>
      </c>
      <c r="D4007" s="735"/>
      <c r="E4007" s="737">
        <f t="shared" si="858"/>
        <v>0</v>
      </c>
      <c r="F4007" s="738" t="s">
        <v>363</v>
      </c>
      <c r="G4007" s="739">
        <v>9750</v>
      </c>
      <c r="H4007" s="748">
        <f t="shared" si="860"/>
        <v>0</v>
      </c>
      <c r="I4007" s="741">
        <v>105</v>
      </c>
      <c r="J4007" s="749">
        <f t="shared" ref="J4007:J4014" si="862">SUM(E4007*I4007)</f>
        <v>0</v>
      </c>
      <c r="K4007" s="739">
        <f t="shared" si="861"/>
        <v>0</v>
      </c>
      <c r="L4007" s="1079"/>
      <c r="M4007" s="679"/>
      <c r="N4007" s="744">
        <f t="shared" si="859"/>
        <v>0</v>
      </c>
      <c r="O4007" s="745">
        <v>0</v>
      </c>
      <c r="P4007" s="737">
        <v>0</v>
      </c>
      <c r="Q4007" s="679"/>
      <c r="R4007" s="679"/>
      <c r="S4007" s="679"/>
    </row>
    <row r="4008" spans="1:19" s="682" customFormat="1" ht="24" customHeight="1">
      <c r="A4008" s="734"/>
      <c r="B4008" s="747" t="s">
        <v>469</v>
      </c>
      <c r="C4008" s="735" t="s">
        <v>529</v>
      </c>
      <c r="D4008" s="735"/>
      <c r="E4008" s="737">
        <f t="shared" si="858"/>
        <v>0</v>
      </c>
      <c r="F4008" s="738" t="s">
        <v>363</v>
      </c>
      <c r="G4008" s="739">
        <v>5200</v>
      </c>
      <c r="H4008" s="748">
        <f t="shared" si="860"/>
        <v>0</v>
      </c>
      <c r="I4008" s="741">
        <v>70</v>
      </c>
      <c r="J4008" s="749">
        <f t="shared" si="862"/>
        <v>0</v>
      </c>
      <c r="K4008" s="739">
        <f t="shared" si="861"/>
        <v>0</v>
      </c>
      <c r="L4008" s="1079"/>
      <c r="M4008" s="679"/>
      <c r="N4008" s="744">
        <f t="shared" si="859"/>
        <v>0</v>
      </c>
      <c r="O4008" s="745">
        <v>0</v>
      </c>
      <c r="P4008" s="737">
        <v>0</v>
      </c>
      <c r="Q4008" s="679"/>
      <c r="R4008" s="679"/>
      <c r="S4008" s="679"/>
    </row>
    <row r="4009" spans="1:19" s="682" customFormat="1" ht="24" customHeight="1">
      <c r="A4009" s="734"/>
      <c r="B4009" s="747" t="s">
        <v>469</v>
      </c>
      <c r="C4009" s="735" t="s">
        <v>519</v>
      </c>
      <c r="D4009" s="735"/>
      <c r="E4009" s="737">
        <f t="shared" si="858"/>
        <v>1</v>
      </c>
      <c r="F4009" s="738" t="s">
        <v>363</v>
      </c>
      <c r="G4009" s="739">
        <v>800</v>
      </c>
      <c r="H4009" s="748">
        <f t="shared" si="860"/>
        <v>800</v>
      </c>
      <c r="I4009" s="741">
        <v>70</v>
      </c>
      <c r="J4009" s="749">
        <f t="shared" si="862"/>
        <v>70</v>
      </c>
      <c r="K4009" s="739">
        <f t="shared" si="861"/>
        <v>870</v>
      </c>
      <c r="L4009" s="1079"/>
      <c r="M4009" s="679"/>
      <c r="N4009" s="744">
        <f t="shared" si="859"/>
        <v>1</v>
      </c>
      <c r="O4009" s="745">
        <v>0</v>
      </c>
      <c r="P4009" s="737">
        <v>1</v>
      </c>
      <c r="Q4009" s="679"/>
      <c r="R4009" s="679"/>
      <c r="S4009" s="679"/>
    </row>
    <row r="4010" spans="1:19" s="682" customFormat="1" ht="24" customHeight="1">
      <c r="A4010" s="734"/>
      <c r="B4010" s="747" t="s">
        <v>469</v>
      </c>
      <c r="C4010" s="735" t="s">
        <v>520</v>
      </c>
      <c r="D4010" s="735"/>
      <c r="E4010" s="737">
        <f t="shared" ref="E4010:E4014" si="863">+N4010</f>
        <v>0</v>
      </c>
      <c r="F4010" s="738" t="s">
        <v>361</v>
      </c>
      <c r="G4010" s="739">
        <v>190</v>
      </c>
      <c r="H4010" s="748">
        <f t="shared" si="860"/>
        <v>0</v>
      </c>
      <c r="I4010" s="741">
        <v>75</v>
      </c>
      <c r="J4010" s="749">
        <f t="shared" si="862"/>
        <v>0</v>
      </c>
      <c r="K4010" s="739">
        <f t="shared" si="861"/>
        <v>0</v>
      </c>
      <c r="L4010" s="1079"/>
      <c r="M4010" s="679"/>
      <c r="N4010" s="744">
        <f t="shared" si="859"/>
        <v>0</v>
      </c>
      <c r="O4010" s="745">
        <v>0</v>
      </c>
      <c r="P4010" s="737">
        <v>0</v>
      </c>
      <c r="Q4010" s="679"/>
      <c r="R4010" s="679"/>
      <c r="S4010" s="679"/>
    </row>
    <row r="4011" spans="1:19" s="753" customFormat="1" ht="24" customHeight="1">
      <c r="A4011" s="734"/>
      <c r="B4011" s="747"/>
      <c r="C4011" s="735"/>
      <c r="D4011" s="735"/>
      <c r="E4011" s="737">
        <f t="shared" si="863"/>
        <v>0</v>
      </c>
      <c r="F4011" s="738"/>
      <c r="G4011" s="739">
        <v>0</v>
      </c>
      <c r="H4011" s="748">
        <f t="shared" si="860"/>
        <v>0</v>
      </c>
      <c r="I4011" s="741">
        <v>0</v>
      </c>
      <c r="J4011" s="749">
        <f t="shared" si="862"/>
        <v>0</v>
      </c>
      <c r="K4011" s="739">
        <f t="shared" si="861"/>
        <v>0</v>
      </c>
      <c r="L4011" s="1079"/>
      <c r="M4011" s="752"/>
      <c r="N4011" s="758">
        <f t="shared" si="859"/>
        <v>0</v>
      </c>
      <c r="O4011" s="745">
        <v>0</v>
      </c>
      <c r="P4011" s="759">
        <v>0</v>
      </c>
      <c r="Q4011" s="752"/>
      <c r="R4011" s="752"/>
      <c r="S4011" s="752"/>
    </row>
    <row r="4012" spans="1:19" s="753" customFormat="1" ht="24" customHeight="1">
      <c r="A4012" s="734"/>
      <c r="B4012" s="751" t="s">
        <v>1092</v>
      </c>
      <c r="C4012" s="735"/>
      <c r="D4012" s="735"/>
      <c r="E4012" s="737">
        <f t="shared" si="863"/>
        <v>0</v>
      </c>
      <c r="F4012" s="738"/>
      <c r="G4012" s="739">
        <v>0</v>
      </c>
      <c r="H4012" s="748">
        <f t="shared" si="860"/>
        <v>0</v>
      </c>
      <c r="I4012" s="741">
        <v>0</v>
      </c>
      <c r="J4012" s="749">
        <f t="shared" si="862"/>
        <v>0</v>
      </c>
      <c r="K4012" s="739">
        <f t="shared" si="861"/>
        <v>0</v>
      </c>
      <c r="L4012" s="1079"/>
      <c r="M4012" s="752"/>
      <c r="N4012" s="744">
        <f t="shared" si="859"/>
        <v>0</v>
      </c>
      <c r="O4012" s="745">
        <v>0</v>
      </c>
      <c r="P4012" s="737">
        <v>0</v>
      </c>
      <c r="Q4012" s="752"/>
      <c r="R4012" s="752"/>
      <c r="S4012" s="752"/>
    </row>
    <row r="4013" spans="1:19" s="753" customFormat="1" ht="24" customHeight="1">
      <c r="A4013" s="734"/>
      <c r="B4013" s="747" t="s">
        <v>469</v>
      </c>
      <c r="C4013" s="735" t="s">
        <v>486</v>
      </c>
      <c r="D4013" s="735"/>
      <c r="E4013" s="737">
        <f t="shared" si="863"/>
        <v>1</v>
      </c>
      <c r="F4013" s="738" t="s">
        <v>363</v>
      </c>
      <c r="G4013" s="739">
        <v>552</v>
      </c>
      <c r="H4013" s="748">
        <f t="shared" si="860"/>
        <v>552</v>
      </c>
      <c r="I4013" s="741">
        <v>25</v>
      </c>
      <c r="J4013" s="749">
        <f t="shared" si="862"/>
        <v>25</v>
      </c>
      <c r="K4013" s="739">
        <f t="shared" si="861"/>
        <v>577</v>
      </c>
      <c r="L4013" s="1079"/>
      <c r="M4013" s="752"/>
      <c r="N4013" s="744">
        <f t="shared" si="859"/>
        <v>1</v>
      </c>
      <c r="O4013" s="745">
        <v>0</v>
      </c>
      <c r="P4013" s="737">
        <v>1</v>
      </c>
      <c r="Q4013" s="752"/>
      <c r="R4013" s="752"/>
      <c r="S4013" s="752"/>
    </row>
    <row r="4014" spans="1:19" s="753" customFormat="1" ht="24" customHeight="1">
      <c r="A4014" s="734"/>
      <c r="B4014" s="747" t="s">
        <v>484</v>
      </c>
      <c r="C4014" s="735" t="s">
        <v>485</v>
      </c>
      <c r="D4014" s="735"/>
      <c r="E4014" s="737">
        <f t="shared" si="863"/>
        <v>1</v>
      </c>
      <c r="F4014" s="738" t="s">
        <v>363</v>
      </c>
      <c r="G4014" s="739">
        <v>285</v>
      </c>
      <c r="H4014" s="748">
        <f t="shared" si="860"/>
        <v>285</v>
      </c>
      <c r="I4014" s="741">
        <v>75</v>
      </c>
      <c r="J4014" s="749">
        <f t="shared" si="862"/>
        <v>75</v>
      </c>
      <c r="K4014" s="739">
        <f t="shared" si="861"/>
        <v>360</v>
      </c>
      <c r="L4014" s="1093"/>
      <c r="M4014" s="752"/>
      <c r="N4014" s="744">
        <f t="shared" si="859"/>
        <v>1</v>
      </c>
      <c r="O4014" s="745">
        <v>0</v>
      </c>
      <c r="P4014" s="737">
        <v>1</v>
      </c>
      <c r="Q4014" s="752"/>
      <c r="R4014" s="752"/>
      <c r="S4014" s="752"/>
    </row>
    <row r="4015" spans="1:19" s="753" customFormat="1" ht="24" customHeight="1">
      <c r="A4015" s="734"/>
      <c r="B4015" s="747"/>
      <c r="C4015" s="735"/>
      <c r="D4015" s="735"/>
      <c r="E4015" s="737"/>
      <c r="F4015" s="738"/>
      <c r="G4015" s="739"/>
      <c r="H4015" s="748"/>
      <c r="I4015" s="741"/>
      <c r="J4015" s="749"/>
      <c r="K4015" s="739"/>
      <c r="L4015" s="1093"/>
      <c r="M4015" s="752"/>
      <c r="N4015" s="744">
        <f t="shared" si="859"/>
        <v>0</v>
      </c>
      <c r="O4015" s="745">
        <v>0</v>
      </c>
      <c r="P4015" s="737">
        <v>0</v>
      </c>
      <c r="Q4015" s="752"/>
      <c r="R4015" s="752"/>
      <c r="S4015" s="752"/>
    </row>
    <row r="4016" spans="1:19" s="760" customFormat="1" ht="23.4">
      <c r="A4016" s="734" t="s">
        <v>765</v>
      </c>
      <c r="B4016" s="761" t="s">
        <v>540</v>
      </c>
      <c r="C4016" s="736"/>
      <c r="D4016" s="907"/>
      <c r="E4016" s="737"/>
      <c r="F4016" s="738"/>
      <c r="G4016" s="739">
        <v>0</v>
      </c>
      <c r="H4016" s="748">
        <f t="shared" ref="H4016:H4079" si="864">SUM(E4016*G4016)</f>
        <v>0</v>
      </c>
      <c r="I4016" s="741">
        <v>0</v>
      </c>
      <c r="J4016" s="749">
        <f t="shared" ref="J4016:J4057" si="865">SUM(E4016*I4016)</f>
        <v>0</v>
      </c>
      <c r="K4016" s="739">
        <f t="shared" ref="K4016:K4079" si="866">SUM(H4016+J4016)</f>
        <v>0</v>
      </c>
      <c r="L4016" s="1079"/>
      <c r="M4016" s="683"/>
      <c r="N4016" s="744">
        <f t="shared" si="859"/>
        <v>0</v>
      </c>
      <c r="O4016" s="745">
        <v>0</v>
      </c>
      <c r="P4016" s="737">
        <v>0</v>
      </c>
      <c r="Q4016" s="683"/>
      <c r="R4016" s="683"/>
      <c r="S4016" s="683"/>
    </row>
    <row r="4017" spans="1:19" s="753" customFormat="1" ht="24" customHeight="1">
      <c r="A4017" s="734"/>
      <c r="B4017" s="735" t="s">
        <v>1072</v>
      </c>
      <c r="C4017" s="736"/>
      <c r="D4017" s="907"/>
      <c r="E4017" s="737"/>
      <c r="F4017" s="738"/>
      <c r="G4017" s="739">
        <v>0</v>
      </c>
      <c r="H4017" s="748">
        <f t="shared" si="864"/>
        <v>0</v>
      </c>
      <c r="I4017" s="741">
        <v>0</v>
      </c>
      <c r="J4017" s="749">
        <f t="shared" si="865"/>
        <v>0</v>
      </c>
      <c r="K4017" s="739">
        <f t="shared" si="866"/>
        <v>0</v>
      </c>
      <c r="L4017" s="1079"/>
      <c r="M4017" s="752"/>
      <c r="N4017" s="744"/>
      <c r="O4017" s="745"/>
      <c r="P4017" s="737"/>
      <c r="Q4017" s="752"/>
      <c r="R4017" s="752"/>
      <c r="S4017" s="752"/>
    </row>
    <row r="4018" spans="1:19" s="753" customFormat="1" ht="24" customHeight="1">
      <c r="A4018" s="734"/>
      <c r="B4018" s="747" t="s">
        <v>469</v>
      </c>
      <c r="C4018" s="735" t="s">
        <v>497</v>
      </c>
      <c r="D4018" s="735"/>
      <c r="E4018" s="737">
        <f>+N4018</f>
        <v>4</v>
      </c>
      <c r="F4018" s="738" t="s">
        <v>363</v>
      </c>
      <c r="G4018" s="739">
        <v>1540</v>
      </c>
      <c r="H4018" s="748">
        <f t="shared" si="864"/>
        <v>6160</v>
      </c>
      <c r="I4018" s="741">
        <v>450</v>
      </c>
      <c r="J4018" s="749">
        <f t="shared" si="865"/>
        <v>1800</v>
      </c>
      <c r="K4018" s="739">
        <f t="shared" si="866"/>
        <v>7960</v>
      </c>
      <c r="L4018" s="1079"/>
      <c r="M4018" s="752"/>
      <c r="N4018" s="744">
        <f t="shared" ref="N4018:N4024" si="867">+(1+O4018)*P4018</f>
        <v>4</v>
      </c>
      <c r="O4018" s="745">
        <v>0</v>
      </c>
      <c r="P4018" s="737">
        <v>4</v>
      </c>
      <c r="Q4018" s="752"/>
      <c r="R4018" s="752"/>
      <c r="S4018" s="752"/>
    </row>
    <row r="4019" spans="1:19" s="753" customFormat="1" ht="24" customHeight="1">
      <c r="A4019" s="734"/>
      <c r="B4019" s="747" t="s">
        <v>469</v>
      </c>
      <c r="C4019" s="735" t="s">
        <v>498</v>
      </c>
      <c r="D4019" s="735"/>
      <c r="E4019" s="737">
        <f t="shared" ref="E4019:E4082" si="868">+N4019</f>
        <v>4</v>
      </c>
      <c r="F4019" s="738" t="s">
        <v>363</v>
      </c>
      <c r="G4019" s="739">
        <v>6640</v>
      </c>
      <c r="H4019" s="748">
        <f t="shared" si="864"/>
        <v>26560</v>
      </c>
      <c r="I4019" s="741">
        <v>200</v>
      </c>
      <c r="J4019" s="749">
        <f t="shared" si="865"/>
        <v>800</v>
      </c>
      <c r="K4019" s="739">
        <f t="shared" si="866"/>
        <v>27360</v>
      </c>
      <c r="L4019" s="1079"/>
      <c r="M4019" s="752"/>
      <c r="N4019" s="744">
        <f t="shared" si="867"/>
        <v>4</v>
      </c>
      <c r="O4019" s="745">
        <v>0</v>
      </c>
      <c r="P4019" s="737">
        <v>4</v>
      </c>
      <c r="Q4019" s="752"/>
      <c r="R4019" s="752"/>
      <c r="S4019" s="752"/>
    </row>
    <row r="4020" spans="1:19" s="753" customFormat="1" ht="24" customHeight="1">
      <c r="A4020" s="734"/>
      <c r="B4020" s="747" t="s">
        <v>469</v>
      </c>
      <c r="C4020" s="735" t="s">
        <v>496</v>
      </c>
      <c r="D4020" s="735"/>
      <c r="E4020" s="737">
        <f t="shared" si="868"/>
        <v>4</v>
      </c>
      <c r="F4020" s="738" t="s">
        <v>363</v>
      </c>
      <c r="G4020" s="739">
        <v>336</v>
      </c>
      <c r="H4020" s="748">
        <f t="shared" si="864"/>
        <v>1344</v>
      </c>
      <c r="I4020" s="741">
        <v>0</v>
      </c>
      <c r="J4020" s="749">
        <f t="shared" si="865"/>
        <v>0</v>
      </c>
      <c r="K4020" s="739">
        <f t="shared" si="866"/>
        <v>1344</v>
      </c>
      <c r="L4020" s="1079"/>
      <c r="M4020" s="752"/>
      <c r="N4020" s="744">
        <f t="shared" si="867"/>
        <v>4</v>
      </c>
      <c r="O4020" s="745">
        <v>0</v>
      </c>
      <c r="P4020" s="737">
        <v>4</v>
      </c>
      <c r="Q4020" s="752"/>
      <c r="R4020" s="752"/>
      <c r="S4020" s="752"/>
    </row>
    <row r="4021" spans="1:19" s="753" customFormat="1" ht="24" customHeight="1">
      <c r="A4021" s="734"/>
      <c r="B4021" s="747" t="s">
        <v>469</v>
      </c>
      <c r="C4021" s="735" t="s">
        <v>490</v>
      </c>
      <c r="D4021" s="735"/>
      <c r="E4021" s="737">
        <f t="shared" si="868"/>
        <v>4</v>
      </c>
      <c r="F4021" s="738" t="s">
        <v>363</v>
      </c>
      <c r="G4021" s="739">
        <v>736</v>
      </c>
      <c r="H4021" s="748">
        <f t="shared" si="864"/>
        <v>2944</v>
      </c>
      <c r="I4021" s="741">
        <v>0</v>
      </c>
      <c r="J4021" s="749">
        <f t="shared" si="865"/>
        <v>0</v>
      </c>
      <c r="K4021" s="739">
        <f t="shared" si="866"/>
        <v>2944</v>
      </c>
      <c r="L4021" s="1079"/>
      <c r="M4021" s="752"/>
      <c r="N4021" s="744">
        <f t="shared" si="867"/>
        <v>4</v>
      </c>
      <c r="O4021" s="745">
        <v>0</v>
      </c>
      <c r="P4021" s="737">
        <v>4</v>
      </c>
      <c r="Q4021" s="752"/>
      <c r="R4021" s="752"/>
      <c r="S4021" s="752"/>
    </row>
    <row r="4022" spans="1:19" s="753" customFormat="1" ht="24" customHeight="1">
      <c r="A4022" s="734"/>
      <c r="B4022" s="747" t="s">
        <v>469</v>
      </c>
      <c r="C4022" s="735" t="s">
        <v>478</v>
      </c>
      <c r="D4022" s="735"/>
      <c r="E4022" s="737">
        <f t="shared" si="868"/>
        <v>4</v>
      </c>
      <c r="F4022" s="738" t="s">
        <v>363</v>
      </c>
      <c r="G4022" s="739">
        <v>176</v>
      </c>
      <c r="H4022" s="748">
        <f t="shared" si="864"/>
        <v>704</v>
      </c>
      <c r="I4022" s="741">
        <v>0</v>
      </c>
      <c r="J4022" s="749">
        <f t="shared" si="865"/>
        <v>0</v>
      </c>
      <c r="K4022" s="739">
        <f t="shared" si="866"/>
        <v>704</v>
      </c>
      <c r="L4022" s="1079"/>
      <c r="M4022" s="752"/>
      <c r="N4022" s="744">
        <f t="shared" si="867"/>
        <v>4</v>
      </c>
      <c r="O4022" s="745">
        <v>0</v>
      </c>
      <c r="P4022" s="737">
        <v>4</v>
      </c>
      <c r="Q4022" s="752"/>
      <c r="R4022" s="752"/>
      <c r="S4022" s="752"/>
    </row>
    <row r="4023" spans="1:19" s="753" customFormat="1" ht="24" customHeight="1">
      <c r="A4023" s="734"/>
      <c r="B4023" s="747" t="s">
        <v>469</v>
      </c>
      <c r="C4023" s="735" t="s">
        <v>499</v>
      </c>
      <c r="D4023" s="735"/>
      <c r="E4023" s="737">
        <f t="shared" si="868"/>
        <v>4</v>
      </c>
      <c r="F4023" s="738" t="s">
        <v>363</v>
      </c>
      <c r="G4023" s="739">
        <v>216</v>
      </c>
      <c r="H4023" s="748">
        <f t="shared" si="864"/>
        <v>864</v>
      </c>
      <c r="I4023" s="741">
        <v>35</v>
      </c>
      <c r="J4023" s="749">
        <f t="shared" si="865"/>
        <v>140</v>
      </c>
      <c r="K4023" s="739">
        <f t="shared" si="866"/>
        <v>1004</v>
      </c>
      <c r="L4023" s="1079"/>
      <c r="M4023" s="752"/>
      <c r="N4023" s="744">
        <f t="shared" si="867"/>
        <v>4</v>
      </c>
      <c r="O4023" s="745">
        <v>0</v>
      </c>
      <c r="P4023" s="737">
        <v>4</v>
      </c>
      <c r="Q4023" s="752"/>
      <c r="R4023" s="752"/>
      <c r="S4023" s="752"/>
    </row>
    <row r="4024" spans="1:19" s="753" customFormat="1" ht="24" customHeight="1">
      <c r="A4024" s="734"/>
      <c r="B4024" s="750"/>
      <c r="C4024" s="736"/>
      <c r="D4024" s="907"/>
      <c r="E4024" s="737">
        <f t="shared" si="868"/>
        <v>0</v>
      </c>
      <c r="F4024" s="738"/>
      <c r="G4024" s="739">
        <v>0</v>
      </c>
      <c r="H4024" s="748">
        <f t="shared" si="864"/>
        <v>0</v>
      </c>
      <c r="I4024" s="741">
        <v>0</v>
      </c>
      <c r="J4024" s="749">
        <f t="shared" si="865"/>
        <v>0</v>
      </c>
      <c r="K4024" s="739">
        <f t="shared" si="866"/>
        <v>0</v>
      </c>
      <c r="L4024" s="1079"/>
      <c r="M4024" s="752"/>
      <c r="N4024" s="744">
        <f t="shared" si="867"/>
        <v>0</v>
      </c>
      <c r="O4024" s="745">
        <v>0</v>
      </c>
      <c r="P4024" s="737">
        <v>0</v>
      </c>
      <c r="Q4024" s="752"/>
      <c r="R4024" s="752"/>
      <c r="S4024" s="752"/>
    </row>
    <row r="4025" spans="1:19" s="753" customFormat="1" ht="24" customHeight="1">
      <c r="A4025" s="734"/>
      <c r="B4025" s="747" t="s">
        <v>469</v>
      </c>
      <c r="C4025" s="735" t="s">
        <v>492</v>
      </c>
      <c r="D4025" s="735"/>
      <c r="E4025" s="737">
        <f t="shared" si="868"/>
        <v>5</v>
      </c>
      <c r="F4025" s="738" t="s">
        <v>363</v>
      </c>
      <c r="G4025" s="739">
        <v>9375</v>
      </c>
      <c r="H4025" s="748">
        <f t="shared" si="864"/>
        <v>46875</v>
      </c>
      <c r="I4025" s="741">
        <v>450</v>
      </c>
      <c r="J4025" s="749">
        <f t="shared" si="865"/>
        <v>2250</v>
      </c>
      <c r="K4025" s="739">
        <f t="shared" si="866"/>
        <v>49125</v>
      </c>
      <c r="L4025" s="1079"/>
      <c r="M4025" s="752"/>
      <c r="N4025" s="744">
        <f>+(1+O4025)*P4025</f>
        <v>5</v>
      </c>
      <c r="O4025" s="745">
        <v>0</v>
      </c>
      <c r="P4025" s="737">
        <v>5</v>
      </c>
      <c r="Q4025" s="752"/>
      <c r="R4025" s="752"/>
      <c r="S4025" s="752"/>
    </row>
    <row r="4026" spans="1:19" s="753" customFormat="1" ht="24" customHeight="1">
      <c r="A4026" s="734"/>
      <c r="B4026" s="747" t="s">
        <v>469</v>
      </c>
      <c r="C4026" s="735" t="s">
        <v>500</v>
      </c>
      <c r="D4026" s="735"/>
      <c r="E4026" s="737">
        <f t="shared" si="868"/>
        <v>5</v>
      </c>
      <c r="F4026" s="738" t="s">
        <v>363</v>
      </c>
      <c r="G4026" s="739">
        <v>12752</v>
      </c>
      <c r="H4026" s="748">
        <f t="shared" si="864"/>
        <v>63760</v>
      </c>
      <c r="I4026" s="741">
        <v>0</v>
      </c>
      <c r="J4026" s="749">
        <f t="shared" si="865"/>
        <v>0</v>
      </c>
      <c r="K4026" s="739">
        <f t="shared" si="866"/>
        <v>63760</v>
      </c>
      <c r="L4026" s="1079"/>
      <c r="M4026" s="752"/>
      <c r="N4026" s="744">
        <f t="shared" ref="N4026:N4089" si="869">+(1+O4026)*P4026</f>
        <v>5</v>
      </c>
      <c r="O4026" s="745">
        <v>0</v>
      </c>
      <c r="P4026" s="737">
        <v>5</v>
      </c>
      <c r="Q4026" s="752"/>
      <c r="R4026" s="752"/>
      <c r="S4026" s="752"/>
    </row>
    <row r="4027" spans="1:19" s="753" customFormat="1" ht="24" customHeight="1">
      <c r="A4027" s="734"/>
      <c r="B4027" s="747" t="s">
        <v>469</v>
      </c>
      <c r="C4027" s="735" t="s">
        <v>501</v>
      </c>
      <c r="D4027" s="735"/>
      <c r="E4027" s="737">
        <v>0</v>
      </c>
      <c r="F4027" s="738" t="s">
        <v>363</v>
      </c>
      <c r="G4027" s="739">
        <v>1950</v>
      </c>
      <c r="H4027" s="748">
        <f t="shared" si="864"/>
        <v>0</v>
      </c>
      <c r="I4027" s="741">
        <v>35</v>
      </c>
      <c r="J4027" s="749">
        <f t="shared" si="865"/>
        <v>0</v>
      </c>
      <c r="K4027" s="739">
        <f t="shared" si="866"/>
        <v>0</v>
      </c>
      <c r="L4027" s="1079"/>
      <c r="M4027" s="752"/>
      <c r="N4027" s="744">
        <f t="shared" si="869"/>
        <v>5</v>
      </c>
      <c r="O4027" s="745">
        <v>0</v>
      </c>
      <c r="P4027" s="737">
        <v>5</v>
      </c>
      <c r="Q4027" s="752"/>
      <c r="R4027" s="752"/>
      <c r="S4027" s="752"/>
    </row>
    <row r="4028" spans="1:19" s="753" customFormat="1" ht="24" customHeight="1">
      <c r="A4028" s="734"/>
      <c r="B4028" s="747" t="s">
        <v>469</v>
      </c>
      <c r="C4028" s="735" t="s">
        <v>502</v>
      </c>
      <c r="D4028" s="735"/>
      <c r="E4028" s="737">
        <f t="shared" si="868"/>
        <v>5</v>
      </c>
      <c r="F4028" s="738" t="s">
        <v>363</v>
      </c>
      <c r="G4028" s="739">
        <v>216</v>
      </c>
      <c r="H4028" s="748">
        <f t="shared" si="864"/>
        <v>1080</v>
      </c>
      <c r="I4028" s="741">
        <v>35</v>
      </c>
      <c r="J4028" s="749">
        <f t="shared" si="865"/>
        <v>175</v>
      </c>
      <c r="K4028" s="739">
        <f t="shared" si="866"/>
        <v>1255</v>
      </c>
      <c r="L4028" s="1079"/>
      <c r="M4028" s="752"/>
      <c r="N4028" s="744">
        <f t="shared" si="869"/>
        <v>5</v>
      </c>
      <c r="O4028" s="745">
        <v>0</v>
      </c>
      <c r="P4028" s="737">
        <v>5</v>
      </c>
      <c r="Q4028" s="754"/>
      <c r="R4028" s="752"/>
      <c r="S4028" s="752"/>
    </row>
    <row r="4029" spans="1:19" s="753" customFormat="1" ht="24" customHeight="1">
      <c r="A4029" s="734"/>
      <c r="B4029" s="747"/>
      <c r="C4029" s="735"/>
      <c r="D4029" s="907"/>
      <c r="E4029" s="737">
        <f t="shared" si="868"/>
        <v>0</v>
      </c>
      <c r="F4029" s="738"/>
      <c r="G4029" s="739">
        <v>0</v>
      </c>
      <c r="H4029" s="748">
        <f t="shared" si="864"/>
        <v>0</v>
      </c>
      <c r="I4029" s="741">
        <v>0</v>
      </c>
      <c r="J4029" s="749">
        <f t="shared" si="865"/>
        <v>0</v>
      </c>
      <c r="K4029" s="739">
        <f t="shared" si="866"/>
        <v>0</v>
      </c>
      <c r="L4029" s="1079"/>
      <c r="M4029" s="752"/>
      <c r="N4029" s="744">
        <f t="shared" si="869"/>
        <v>0</v>
      </c>
      <c r="O4029" s="745">
        <v>0</v>
      </c>
      <c r="P4029" s="737">
        <v>0</v>
      </c>
      <c r="Q4029" s="752"/>
      <c r="R4029" s="752"/>
      <c r="S4029" s="752"/>
    </row>
    <row r="4030" spans="1:19" s="753" customFormat="1" ht="24" customHeight="1">
      <c r="A4030" s="734"/>
      <c r="B4030" s="747" t="s">
        <v>469</v>
      </c>
      <c r="C4030" s="735" t="s">
        <v>503</v>
      </c>
      <c r="D4030" s="735"/>
      <c r="E4030" s="737">
        <f t="shared" si="868"/>
        <v>8</v>
      </c>
      <c r="F4030" s="738" t="s">
        <v>363</v>
      </c>
      <c r="G4030" s="739">
        <v>3920</v>
      </c>
      <c r="H4030" s="748">
        <f t="shared" si="864"/>
        <v>31360</v>
      </c>
      <c r="I4030" s="741">
        <v>450</v>
      </c>
      <c r="J4030" s="749">
        <f t="shared" si="865"/>
        <v>3600</v>
      </c>
      <c r="K4030" s="739">
        <f t="shared" si="866"/>
        <v>34960</v>
      </c>
      <c r="L4030" s="1079"/>
      <c r="M4030" s="752"/>
      <c r="N4030" s="744">
        <f t="shared" si="869"/>
        <v>8</v>
      </c>
      <c r="O4030" s="745">
        <v>0</v>
      </c>
      <c r="P4030" s="737">
        <v>8</v>
      </c>
      <c r="Q4030" s="752"/>
      <c r="R4030" s="752"/>
      <c r="S4030" s="752"/>
    </row>
    <row r="4031" spans="1:19" s="753" customFormat="1" ht="24" customHeight="1">
      <c r="A4031" s="734"/>
      <c r="B4031" s="747" t="s">
        <v>469</v>
      </c>
      <c r="C4031" s="735" t="s">
        <v>504</v>
      </c>
      <c r="D4031" s="735"/>
      <c r="E4031" s="737">
        <f t="shared" si="868"/>
        <v>8</v>
      </c>
      <c r="F4031" s="738" t="s">
        <v>363</v>
      </c>
      <c r="G4031" s="739">
        <v>12752</v>
      </c>
      <c r="H4031" s="748">
        <f t="shared" si="864"/>
        <v>102016</v>
      </c>
      <c r="I4031" s="741">
        <v>0</v>
      </c>
      <c r="J4031" s="749">
        <f t="shared" si="865"/>
        <v>0</v>
      </c>
      <c r="K4031" s="739">
        <f t="shared" si="866"/>
        <v>102016</v>
      </c>
      <c r="L4031" s="1079"/>
      <c r="M4031" s="752"/>
      <c r="N4031" s="744">
        <f t="shared" si="869"/>
        <v>8</v>
      </c>
      <c r="O4031" s="745">
        <v>0</v>
      </c>
      <c r="P4031" s="737">
        <v>8</v>
      </c>
      <c r="Q4031" s="752"/>
      <c r="R4031" s="752"/>
      <c r="S4031" s="752"/>
    </row>
    <row r="4032" spans="1:19" s="682" customFormat="1" ht="24" customHeight="1">
      <c r="A4032" s="734"/>
      <c r="B4032" s="747" t="s">
        <v>469</v>
      </c>
      <c r="C4032" s="735" t="s">
        <v>505</v>
      </c>
      <c r="D4032" s="735"/>
      <c r="E4032" s="737">
        <f t="shared" si="868"/>
        <v>6</v>
      </c>
      <c r="F4032" s="738" t="s">
        <v>363</v>
      </c>
      <c r="G4032" s="739">
        <v>2280</v>
      </c>
      <c r="H4032" s="748">
        <f t="shared" si="864"/>
        <v>13680</v>
      </c>
      <c r="I4032" s="741">
        <v>300</v>
      </c>
      <c r="J4032" s="749">
        <f t="shared" si="865"/>
        <v>1800</v>
      </c>
      <c r="K4032" s="739">
        <f t="shared" si="866"/>
        <v>15480</v>
      </c>
      <c r="L4032" s="1079"/>
      <c r="M4032" s="679"/>
      <c r="N4032" s="744">
        <f t="shared" si="869"/>
        <v>6</v>
      </c>
      <c r="O4032" s="745">
        <v>0</v>
      </c>
      <c r="P4032" s="737">
        <v>6</v>
      </c>
      <c r="Q4032" s="679"/>
      <c r="R4032" s="679"/>
      <c r="S4032" s="679"/>
    </row>
    <row r="4033" spans="1:19" s="682" customFormat="1" ht="24" customHeight="1">
      <c r="A4033" s="734"/>
      <c r="B4033" s="747" t="s">
        <v>469</v>
      </c>
      <c r="C4033" s="735" t="s">
        <v>506</v>
      </c>
      <c r="D4033" s="735"/>
      <c r="E4033" s="737">
        <f t="shared" si="868"/>
        <v>0</v>
      </c>
      <c r="F4033" s="738" t="s">
        <v>363</v>
      </c>
      <c r="G4033" s="739">
        <v>6592</v>
      </c>
      <c r="H4033" s="748">
        <f t="shared" si="864"/>
        <v>0</v>
      </c>
      <c r="I4033" s="741">
        <v>140</v>
      </c>
      <c r="J4033" s="749">
        <f t="shared" si="865"/>
        <v>0</v>
      </c>
      <c r="K4033" s="739">
        <f t="shared" si="866"/>
        <v>0</v>
      </c>
      <c r="L4033" s="1079"/>
      <c r="M4033" s="679"/>
      <c r="N4033" s="744">
        <f t="shared" si="869"/>
        <v>0</v>
      </c>
      <c r="O4033" s="745">
        <v>0</v>
      </c>
      <c r="P4033" s="737">
        <v>0</v>
      </c>
      <c r="Q4033" s="679"/>
      <c r="R4033" s="679"/>
      <c r="S4033" s="679"/>
    </row>
    <row r="4034" spans="1:19" s="753" customFormat="1" ht="24" customHeight="1">
      <c r="A4034" s="734"/>
      <c r="B4034" s="747" t="s">
        <v>484</v>
      </c>
      <c r="C4034" s="735" t="s">
        <v>485</v>
      </c>
      <c r="D4034" s="735"/>
      <c r="E4034" s="737">
        <f t="shared" si="868"/>
        <v>7</v>
      </c>
      <c r="F4034" s="738" t="s">
        <v>363</v>
      </c>
      <c r="G4034" s="739">
        <v>285</v>
      </c>
      <c r="H4034" s="748">
        <f t="shared" si="864"/>
        <v>1995</v>
      </c>
      <c r="I4034" s="741">
        <v>75</v>
      </c>
      <c r="J4034" s="749">
        <f t="shared" si="865"/>
        <v>525</v>
      </c>
      <c r="K4034" s="739">
        <f t="shared" si="866"/>
        <v>2520</v>
      </c>
      <c r="L4034" s="1093"/>
      <c r="M4034" s="752"/>
      <c r="N4034" s="744">
        <f t="shared" si="869"/>
        <v>7</v>
      </c>
      <c r="O4034" s="745">
        <v>0</v>
      </c>
      <c r="P4034" s="737">
        <v>7</v>
      </c>
      <c r="Q4034" s="752"/>
      <c r="R4034" s="752"/>
      <c r="S4034" s="752"/>
    </row>
    <row r="4035" spans="1:19" s="753" customFormat="1" ht="24" customHeight="1">
      <c r="A4035" s="734"/>
      <c r="B4035" s="747" t="s">
        <v>469</v>
      </c>
      <c r="C4035" s="735" t="s">
        <v>486</v>
      </c>
      <c r="D4035" s="735"/>
      <c r="E4035" s="737">
        <f t="shared" si="868"/>
        <v>1</v>
      </c>
      <c r="F4035" s="738" t="s">
        <v>363</v>
      </c>
      <c r="G4035" s="739">
        <v>552</v>
      </c>
      <c r="H4035" s="748">
        <f t="shared" si="864"/>
        <v>552</v>
      </c>
      <c r="I4035" s="741">
        <v>25</v>
      </c>
      <c r="J4035" s="749">
        <f t="shared" si="865"/>
        <v>25</v>
      </c>
      <c r="K4035" s="739">
        <f t="shared" si="866"/>
        <v>577</v>
      </c>
      <c r="L4035" s="1079"/>
      <c r="M4035" s="752"/>
      <c r="N4035" s="744">
        <f t="shared" si="869"/>
        <v>1</v>
      </c>
      <c r="O4035" s="745">
        <v>0</v>
      </c>
      <c r="P4035" s="737">
        <v>1</v>
      </c>
      <c r="Q4035" s="752"/>
      <c r="R4035" s="752"/>
      <c r="S4035" s="752"/>
    </row>
    <row r="4036" spans="1:19" s="753" customFormat="1" ht="24" customHeight="1">
      <c r="A4036" s="734"/>
      <c r="B4036" s="747" t="s">
        <v>469</v>
      </c>
      <c r="C4036" s="735" t="s">
        <v>507</v>
      </c>
      <c r="D4036" s="735"/>
      <c r="E4036" s="737">
        <f t="shared" si="868"/>
        <v>1</v>
      </c>
      <c r="F4036" s="738" t="s">
        <v>363</v>
      </c>
      <c r="G4036" s="739">
        <v>1650</v>
      </c>
      <c r="H4036" s="748">
        <f t="shared" si="864"/>
        <v>1650</v>
      </c>
      <c r="I4036" s="741">
        <v>70</v>
      </c>
      <c r="J4036" s="749">
        <f t="shared" si="865"/>
        <v>70</v>
      </c>
      <c r="K4036" s="739">
        <f t="shared" si="866"/>
        <v>1720</v>
      </c>
      <c r="L4036" s="1079"/>
      <c r="M4036" s="752"/>
      <c r="N4036" s="744">
        <f t="shared" si="869"/>
        <v>1</v>
      </c>
      <c r="O4036" s="745">
        <v>0</v>
      </c>
      <c r="P4036" s="737">
        <v>1</v>
      </c>
      <c r="Q4036" s="752"/>
      <c r="R4036" s="752"/>
      <c r="S4036" s="752"/>
    </row>
    <row r="4037" spans="1:19" s="753" customFormat="1" ht="24" customHeight="1">
      <c r="A4037" s="734"/>
      <c r="B4037" s="747" t="s">
        <v>469</v>
      </c>
      <c r="C4037" s="735" t="s">
        <v>508</v>
      </c>
      <c r="D4037" s="735"/>
      <c r="E4037" s="737">
        <f t="shared" si="868"/>
        <v>5</v>
      </c>
      <c r="F4037" s="738" t="s">
        <v>363</v>
      </c>
      <c r="G4037" s="739">
        <v>13500</v>
      </c>
      <c r="H4037" s="748">
        <f t="shared" si="864"/>
        <v>67500</v>
      </c>
      <c r="I4037" s="741">
        <v>750</v>
      </c>
      <c r="J4037" s="749">
        <f t="shared" si="865"/>
        <v>3750</v>
      </c>
      <c r="K4037" s="739">
        <f t="shared" si="866"/>
        <v>71250</v>
      </c>
      <c r="L4037" s="1079"/>
      <c r="M4037" s="752"/>
      <c r="N4037" s="744">
        <f t="shared" si="869"/>
        <v>5</v>
      </c>
      <c r="O4037" s="745">
        <v>0</v>
      </c>
      <c r="P4037" s="737">
        <v>5</v>
      </c>
      <c r="Q4037" s="752"/>
      <c r="R4037" s="752"/>
      <c r="S4037" s="752"/>
    </row>
    <row r="4038" spans="1:19" s="682" customFormat="1" ht="24" customHeight="1">
      <c r="A4038" s="734"/>
      <c r="B4038" s="747" t="s">
        <v>469</v>
      </c>
      <c r="C4038" s="735" t="s">
        <v>509</v>
      </c>
      <c r="D4038" s="735"/>
      <c r="E4038" s="737">
        <f t="shared" si="868"/>
        <v>1</v>
      </c>
      <c r="F4038" s="738" t="s">
        <v>363</v>
      </c>
      <c r="G4038" s="739">
        <v>14476</v>
      </c>
      <c r="H4038" s="748">
        <f t="shared" si="864"/>
        <v>14476</v>
      </c>
      <c r="I4038" s="741">
        <v>5367</v>
      </c>
      <c r="J4038" s="749">
        <f t="shared" si="865"/>
        <v>5367</v>
      </c>
      <c r="K4038" s="739">
        <f t="shared" si="866"/>
        <v>19843</v>
      </c>
      <c r="L4038" s="1079"/>
      <c r="M4038" s="679"/>
      <c r="N4038" s="744">
        <f t="shared" si="869"/>
        <v>1</v>
      </c>
      <c r="O4038" s="745">
        <v>0</v>
      </c>
      <c r="P4038" s="737">
        <v>1</v>
      </c>
      <c r="Q4038" s="679"/>
      <c r="R4038" s="679"/>
      <c r="S4038" s="679"/>
    </row>
    <row r="4039" spans="1:19" s="753" customFormat="1" ht="24" customHeight="1">
      <c r="A4039" s="734"/>
      <c r="B4039" s="747" t="s">
        <v>469</v>
      </c>
      <c r="C4039" s="735" t="s">
        <v>510</v>
      </c>
      <c r="D4039" s="735"/>
      <c r="E4039" s="737">
        <f t="shared" si="868"/>
        <v>4.1500000000000004</v>
      </c>
      <c r="F4039" s="738" t="s">
        <v>361</v>
      </c>
      <c r="G4039" s="739">
        <v>2694</v>
      </c>
      <c r="H4039" s="748">
        <f t="shared" si="864"/>
        <v>11180.1</v>
      </c>
      <c r="I4039" s="741">
        <v>1288</v>
      </c>
      <c r="J4039" s="749">
        <f t="shared" si="865"/>
        <v>5345.2000000000007</v>
      </c>
      <c r="K4039" s="739">
        <f t="shared" si="866"/>
        <v>16525.300000000003</v>
      </c>
      <c r="L4039" s="1079"/>
      <c r="M4039" s="752"/>
      <c r="N4039" s="744">
        <f t="shared" si="869"/>
        <v>4.1500000000000004</v>
      </c>
      <c r="O4039" s="745">
        <v>0</v>
      </c>
      <c r="P4039" s="737">
        <v>4.1500000000000004</v>
      </c>
      <c r="Q4039" s="752"/>
      <c r="R4039" s="752"/>
      <c r="S4039" s="752"/>
    </row>
    <row r="4040" spans="1:19" s="753" customFormat="1" ht="24" customHeight="1">
      <c r="A4040" s="734"/>
      <c r="B4040" s="747"/>
      <c r="C4040" s="735" t="s">
        <v>511</v>
      </c>
      <c r="D4040" s="735"/>
      <c r="E4040" s="737">
        <f t="shared" si="868"/>
        <v>0</v>
      </c>
      <c r="F4040" s="738"/>
      <c r="G4040" s="739"/>
      <c r="H4040" s="748">
        <f t="shared" si="864"/>
        <v>0</v>
      </c>
      <c r="I4040" s="741"/>
      <c r="J4040" s="749">
        <f t="shared" si="865"/>
        <v>0</v>
      </c>
      <c r="K4040" s="739">
        <f t="shared" si="866"/>
        <v>0</v>
      </c>
      <c r="L4040" s="1079"/>
      <c r="M4040" s="752"/>
      <c r="N4040" s="744">
        <f t="shared" si="869"/>
        <v>0</v>
      </c>
      <c r="O4040" s="745">
        <v>0</v>
      </c>
      <c r="P4040" s="737">
        <v>0</v>
      </c>
      <c r="Q4040" s="752"/>
      <c r="R4040" s="752"/>
      <c r="S4040" s="752"/>
    </row>
    <row r="4041" spans="1:19" s="753" customFormat="1" ht="24" customHeight="1">
      <c r="A4041" s="734"/>
      <c r="B4041" s="747" t="s">
        <v>469</v>
      </c>
      <c r="C4041" s="735" t="s">
        <v>512</v>
      </c>
      <c r="D4041" s="735"/>
      <c r="E4041" s="737">
        <f t="shared" si="868"/>
        <v>4.1500000000000004</v>
      </c>
      <c r="F4041" s="738" t="s">
        <v>361</v>
      </c>
      <c r="G4041" s="739">
        <v>3886</v>
      </c>
      <c r="H4041" s="748">
        <f t="shared" si="864"/>
        <v>16126.900000000001</v>
      </c>
      <c r="I4041" s="741">
        <v>1238</v>
      </c>
      <c r="J4041" s="749">
        <f t="shared" si="865"/>
        <v>5137.7000000000007</v>
      </c>
      <c r="K4041" s="739">
        <f t="shared" si="866"/>
        <v>21264.600000000002</v>
      </c>
      <c r="L4041" s="1079"/>
      <c r="M4041" s="752"/>
      <c r="N4041" s="744">
        <f t="shared" si="869"/>
        <v>4.1500000000000004</v>
      </c>
      <c r="O4041" s="745">
        <v>0</v>
      </c>
      <c r="P4041" s="737">
        <v>4.1500000000000004</v>
      </c>
      <c r="Q4041" s="752"/>
      <c r="R4041" s="752"/>
      <c r="S4041" s="752"/>
    </row>
    <row r="4042" spans="1:19" s="753" customFormat="1" ht="24" customHeight="1">
      <c r="A4042" s="734"/>
      <c r="B4042" s="747"/>
      <c r="C4042" s="735" t="s">
        <v>513</v>
      </c>
      <c r="D4042" s="735"/>
      <c r="E4042" s="737">
        <f t="shared" si="868"/>
        <v>0</v>
      </c>
      <c r="F4042" s="738"/>
      <c r="G4042" s="739">
        <v>0</v>
      </c>
      <c r="H4042" s="748">
        <f t="shared" si="864"/>
        <v>0</v>
      </c>
      <c r="I4042" s="741">
        <v>0</v>
      </c>
      <c r="J4042" s="749">
        <f t="shared" si="865"/>
        <v>0</v>
      </c>
      <c r="K4042" s="739">
        <f t="shared" si="866"/>
        <v>0</v>
      </c>
      <c r="L4042" s="1079"/>
      <c r="M4042" s="752"/>
      <c r="N4042" s="744">
        <f t="shared" si="869"/>
        <v>0</v>
      </c>
      <c r="O4042" s="745">
        <v>0</v>
      </c>
      <c r="P4042" s="737">
        <v>0</v>
      </c>
      <c r="Q4042" s="752"/>
      <c r="R4042" s="752"/>
      <c r="S4042" s="752"/>
    </row>
    <row r="4043" spans="1:19" s="753" customFormat="1" ht="24" customHeight="1">
      <c r="A4043" s="734"/>
      <c r="B4043" s="747" t="s">
        <v>469</v>
      </c>
      <c r="C4043" s="735" t="s">
        <v>514</v>
      </c>
      <c r="D4043" s="735"/>
      <c r="E4043" s="737">
        <f t="shared" si="868"/>
        <v>7.1</v>
      </c>
      <c r="F4043" s="738" t="s">
        <v>361</v>
      </c>
      <c r="G4043" s="739">
        <v>1522</v>
      </c>
      <c r="H4043" s="748">
        <f t="shared" si="864"/>
        <v>10806.199999999999</v>
      </c>
      <c r="I4043" s="741">
        <v>315</v>
      </c>
      <c r="J4043" s="749">
        <f t="shared" si="865"/>
        <v>2236.5</v>
      </c>
      <c r="K4043" s="739">
        <f t="shared" si="866"/>
        <v>13042.699999999999</v>
      </c>
      <c r="L4043" s="1079"/>
      <c r="M4043" s="752"/>
      <c r="N4043" s="744">
        <f t="shared" si="869"/>
        <v>7.1</v>
      </c>
      <c r="O4043" s="745">
        <v>0</v>
      </c>
      <c r="P4043" s="737">
        <v>7.1</v>
      </c>
      <c r="Q4043" s="752"/>
      <c r="R4043" s="752"/>
      <c r="S4043" s="752"/>
    </row>
    <row r="4044" spans="1:19" s="753" customFormat="1" ht="24" customHeight="1">
      <c r="A4044" s="734"/>
      <c r="B4044" s="747"/>
      <c r="C4044" s="735"/>
      <c r="D4044" s="735"/>
      <c r="E4044" s="737">
        <f t="shared" si="868"/>
        <v>0</v>
      </c>
      <c r="F4044" s="738"/>
      <c r="G4044" s="739">
        <v>0</v>
      </c>
      <c r="H4044" s="748">
        <f t="shared" si="864"/>
        <v>0</v>
      </c>
      <c r="I4044" s="741">
        <v>0</v>
      </c>
      <c r="J4044" s="749">
        <f t="shared" si="865"/>
        <v>0</v>
      </c>
      <c r="K4044" s="739">
        <f t="shared" si="866"/>
        <v>0</v>
      </c>
      <c r="L4044" s="1079"/>
      <c r="M4044" s="752"/>
      <c r="N4044" s="744">
        <f t="shared" si="869"/>
        <v>0</v>
      </c>
      <c r="O4044" s="745">
        <v>0</v>
      </c>
      <c r="P4044" s="737">
        <v>0</v>
      </c>
      <c r="Q4044" s="752"/>
      <c r="R4044" s="752"/>
      <c r="S4044" s="752"/>
    </row>
    <row r="4045" spans="1:19" s="682" customFormat="1" ht="24" customHeight="1">
      <c r="A4045" s="734"/>
      <c r="B4045" s="747" t="s">
        <v>469</v>
      </c>
      <c r="C4045" s="735" t="s">
        <v>515</v>
      </c>
      <c r="D4045" s="735"/>
      <c r="E4045" s="737">
        <f t="shared" si="868"/>
        <v>1</v>
      </c>
      <c r="F4045" s="738" t="s">
        <v>363</v>
      </c>
      <c r="G4045" s="739">
        <v>5013</v>
      </c>
      <c r="H4045" s="748">
        <f t="shared" si="864"/>
        <v>5013</v>
      </c>
      <c r="I4045" s="741">
        <v>2403</v>
      </c>
      <c r="J4045" s="749">
        <f t="shared" si="865"/>
        <v>2403</v>
      </c>
      <c r="K4045" s="739">
        <f t="shared" si="866"/>
        <v>7416</v>
      </c>
      <c r="L4045" s="1079"/>
      <c r="M4045" s="679"/>
      <c r="N4045" s="744">
        <f t="shared" si="869"/>
        <v>1</v>
      </c>
      <c r="O4045" s="745">
        <v>0</v>
      </c>
      <c r="P4045" s="737">
        <v>1</v>
      </c>
      <c r="Q4045" s="679"/>
      <c r="R4045" s="679"/>
      <c r="S4045" s="679"/>
    </row>
    <row r="4046" spans="1:19" s="682" customFormat="1" ht="24" customHeight="1">
      <c r="A4046" s="734"/>
      <c r="B4046" s="747"/>
      <c r="C4046" s="735" t="s">
        <v>516</v>
      </c>
      <c r="D4046" s="735"/>
      <c r="E4046" s="737">
        <f t="shared" si="868"/>
        <v>0</v>
      </c>
      <c r="F4046" s="738"/>
      <c r="G4046" s="739"/>
      <c r="H4046" s="748">
        <f t="shared" si="864"/>
        <v>0</v>
      </c>
      <c r="I4046" s="741"/>
      <c r="J4046" s="749">
        <f t="shared" si="865"/>
        <v>0</v>
      </c>
      <c r="K4046" s="739">
        <f t="shared" si="866"/>
        <v>0</v>
      </c>
      <c r="L4046" s="1079"/>
      <c r="M4046" s="679"/>
      <c r="N4046" s="744">
        <f t="shared" si="869"/>
        <v>0</v>
      </c>
      <c r="O4046" s="745">
        <v>0</v>
      </c>
      <c r="P4046" s="737">
        <v>0</v>
      </c>
      <c r="Q4046" s="679"/>
      <c r="R4046" s="679"/>
      <c r="S4046" s="679"/>
    </row>
    <row r="4047" spans="1:19" s="682" customFormat="1" ht="24" customHeight="1">
      <c r="A4047" s="734"/>
      <c r="B4047" s="747"/>
      <c r="C4047" s="735"/>
      <c r="D4047" s="735"/>
      <c r="E4047" s="737">
        <f t="shared" si="868"/>
        <v>0</v>
      </c>
      <c r="F4047" s="738"/>
      <c r="G4047" s="739"/>
      <c r="H4047" s="748">
        <f t="shared" si="864"/>
        <v>0</v>
      </c>
      <c r="I4047" s="741"/>
      <c r="J4047" s="749">
        <f t="shared" si="865"/>
        <v>0</v>
      </c>
      <c r="K4047" s="739">
        <f t="shared" si="866"/>
        <v>0</v>
      </c>
      <c r="L4047" s="1079"/>
      <c r="M4047" s="679"/>
      <c r="N4047" s="744">
        <f t="shared" si="869"/>
        <v>0</v>
      </c>
      <c r="O4047" s="745">
        <v>0</v>
      </c>
      <c r="P4047" s="737">
        <v>0</v>
      </c>
      <c r="Q4047" s="679"/>
      <c r="R4047" s="679"/>
      <c r="S4047" s="679"/>
    </row>
    <row r="4048" spans="1:19" s="756" customFormat="1" ht="24" customHeight="1">
      <c r="A4048" s="734"/>
      <c r="B4048" s="747" t="s">
        <v>469</v>
      </c>
      <c r="C4048" s="735" t="s">
        <v>517</v>
      </c>
      <c r="D4048" s="907"/>
      <c r="E4048" s="737">
        <f t="shared" si="868"/>
        <v>0</v>
      </c>
      <c r="F4048" s="738" t="s">
        <v>361</v>
      </c>
      <c r="G4048" s="739">
        <v>5075.5555555555557</v>
      </c>
      <c r="H4048" s="748">
        <f t="shared" si="864"/>
        <v>0</v>
      </c>
      <c r="I4048" s="741">
        <v>2545.7777777777778</v>
      </c>
      <c r="J4048" s="749">
        <f t="shared" si="865"/>
        <v>0</v>
      </c>
      <c r="K4048" s="739">
        <f t="shared" si="866"/>
        <v>0</v>
      </c>
      <c r="L4048" s="1079"/>
      <c r="M4048" s="755"/>
      <c r="N4048" s="744">
        <f t="shared" si="869"/>
        <v>0</v>
      </c>
      <c r="O4048" s="745">
        <v>0</v>
      </c>
      <c r="P4048" s="737">
        <v>0</v>
      </c>
      <c r="Q4048" s="755"/>
      <c r="R4048" s="755"/>
      <c r="S4048" s="755"/>
    </row>
    <row r="4049" spans="1:19" s="756" customFormat="1" ht="24" customHeight="1">
      <c r="A4049" s="734"/>
      <c r="B4049" s="747"/>
      <c r="C4049" s="735" t="s">
        <v>488</v>
      </c>
      <c r="D4049" s="907"/>
      <c r="E4049" s="737">
        <f t="shared" si="868"/>
        <v>0</v>
      </c>
      <c r="F4049" s="738"/>
      <c r="G4049" s="739">
        <v>0</v>
      </c>
      <c r="H4049" s="748">
        <f t="shared" si="864"/>
        <v>0</v>
      </c>
      <c r="I4049" s="741">
        <v>0</v>
      </c>
      <c r="J4049" s="749">
        <f t="shared" si="865"/>
        <v>0</v>
      </c>
      <c r="K4049" s="739">
        <f t="shared" si="866"/>
        <v>0</v>
      </c>
      <c r="L4049" s="1079"/>
      <c r="M4049" s="755"/>
      <c r="N4049" s="744">
        <f t="shared" si="869"/>
        <v>0</v>
      </c>
      <c r="O4049" s="745">
        <v>0</v>
      </c>
      <c r="P4049" s="737">
        <v>0</v>
      </c>
      <c r="Q4049" s="755"/>
      <c r="R4049" s="755"/>
      <c r="S4049" s="755"/>
    </row>
    <row r="4050" spans="1:19" s="753" customFormat="1" ht="24" customHeight="1">
      <c r="A4050" s="734"/>
      <c r="B4050" s="747" t="s">
        <v>469</v>
      </c>
      <c r="C4050" s="735" t="s">
        <v>518</v>
      </c>
      <c r="D4050" s="735"/>
      <c r="E4050" s="737">
        <f t="shared" si="868"/>
        <v>0</v>
      </c>
      <c r="F4050" s="738" t="s">
        <v>361</v>
      </c>
      <c r="G4050" s="739">
        <v>3886</v>
      </c>
      <c r="H4050" s="748">
        <f t="shared" si="864"/>
        <v>0</v>
      </c>
      <c r="I4050" s="741">
        <v>1238</v>
      </c>
      <c r="J4050" s="749">
        <f t="shared" si="865"/>
        <v>0</v>
      </c>
      <c r="K4050" s="739">
        <f t="shared" si="866"/>
        <v>0</v>
      </c>
      <c r="L4050" s="1079"/>
      <c r="M4050" s="752"/>
      <c r="N4050" s="744">
        <f t="shared" si="869"/>
        <v>0</v>
      </c>
      <c r="O4050" s="745">
        <v>0</v>
      </c>
      <c r="P4050" s="737">
        <v>0</v>
      </c>
      <c r="Q4050" s="752"/>
      <c r="R4050" s="752"/>
      <c r="S4050" s="752"/>
    </row>
    <row r="4051" spans="1:19" s="753" customFormat="1" ht="24" customHeight="1">
      <c r="A4051" s="734"/>
      <c r="B4051" s="747"/>
      <c r="C4051" s="735" t="s">
        <v>513</v>
      </c>
      <c r="D4051" s="735"/>
      <c r="E4051" s="737">
        <f t="shared" si="868"/>
        <v>0</v>
      </c>
      <c r="F4051" s="738"/>
      <c r="G4051" s="739">
        <v>0</v>
      </c>
      <c r="H4051" s="748">
        <f t="shared" si="864"/>
        <v>0</v>
      </c>
      <c r="I4051" s="741">
        <v>0</v>
      </c>
      <c r="J4051" s="749">
        <f t="shared" si="865"/>
        <v>0</v>
      </c>
      <c r="K4051" s="739">
        <f t="shared" si="866"/>
        <v>0</v>
      </c>
      <c r="L4051" s="1079"/>
      <c r="M4051" s="752"/>
      <c r="N4051" s="744">
        <f t="shared" si="869"/>
        <v>0</v>
      </c>
      <c r="O4051" s="745">
        <v>0</v>
      </c>
      <c r="P4051" s="737">
        <v>0</v>
      </c>
      <c r="Q4051" s="752"/>
      <c r="R4051" s="752"/>
      <c r="S4051" s="752"/>
    </row>
    <row r="4052" spans="1:19" s="682" customFormat="1" ht="24" customHeight="1">
      <c r="A4052" s="734"/>
      <c r="B4052" s="747" t="s">
        <v>469</v>
      </c>
      <c r="C4052" s="735" t="s">
        <v>519</v>
      </c>
      <c r="D4052" s="735"/>
      <c r="E4052" s="737">
        <f t="shared" si="868"/>
        <v>1</v>
      </c>
      <c r="F4052" s="738" t="s">
        <v>363</v>
      </c>
      <c r="G4052" s="739">
        <v>800</v>
      </c>
      <c r="H4052" s="748">
        <f t="shared" si="864"/>
        <v>800</v>
      </c>
      <c r="I4052" s="741">
        <v>70</v>
      </c>
      <c r="J4052" s="749">
        <f t="shared" si="865"/>
        <v>70</v>
      </c>
      <c r="K4052" s="739">
        <f t="shared" si="866"/>
        <v>870</v>
      </c>
      <c r="L4052" s="1079"/>
      <c r="M4052" s="679"/>
      <c r="N4052" s="744">
        <f t="shared" si="869"/>
        <v>1</v>
      </c>
      <c r="O4052" s="745">
        <v>0</v>
      </c>
      <c r="P4052" s="737">
        <v>1</v>
      </c>
      <c r="Q4052" s="679"/>
      <c r="R4052" s="679"/>
      <c r="S4052" s="679"/>
    </row>
    <row r="4053" spans="1:19" s="682" customFormat="1" ht="24" customHeight="1">
      <c r="A4053" s="734"/>
      <c r="B4053" s="747" t="s">
        <v>469</v>
      </c>
      <c r="C4053" s="735" t="s">
        <v>520</v>
      </c>
      <c r="D4053" s="735"/>
      <c r="E4053" s="737">
        <f t="shared" si="868"/>
        <v>0</v>
      </c>
      <c r="F4053" s="738" t="s">
        <v>361</v>
      </c>
      <c r="G4053" s="739">
        <v>190</v>
      </c>
      <c r="H4053" s="748">
        <f t="shared" si="864"/>
        <v>0</v>
      </c>
      <c r="I4053" s="741">
        <v>75</v>
      </c>
      <c r="J4053" s="749">
        <f t="shared" si="865"/>
        <v>0</v>
      </c>
      <c r="K4053" s="739">
        <f t="shared" si="866"/>
        <v>0</v>
      </c>
      <c r="L4053" s="1079"/>
      <c r="M4053" s="679"/>
      <c r="N4053" s="744">
        <f t="shared" si="869"/>
        <v>0</v>
      </c>
      <c r="O4053" s="745">
        <v>0</v>
      </c>
      <c r="P4053" s="737">
        <v>0</v>
      </c>
      <c r="Q4053" s="679"/>
      <c r="R4053" s="679"/>
      <c r="S4053" s="679"/>
    </row>
    <row r="4054" spans="1:19" s="682" customFormat="1" ht="24" customHeight="1">
      <c r="A4054" s="734"/>
      <c r="B4054" s="747"/>
      <c r="C4054" s="735"/>
      <c r="D4054" s="735"/>
      <c r="E4054" s="737">
        <f t="shared" si="868"/>
        <v>0</v>
      </c>
      <c r="F4054" s="738"/>
      <c r="G4054" s="739"/>
      <c r="H4054" s="748">
        <f t="shared" si="864"/>
        <v>0</v>
      </c>
      <c r="I4054" s="741"/>
      <c r="J4054" s="749">
        <f t="shared" si="865"/>
        <v>0</v>
      </c>
      <c r="K4054" s="739">
        <f t="shared" si="866"/>
        <v>0</v>
      </c>
      <c r="L4054" s="1079"/>
      <c r="M4054" s="679"/>
      <c r="N4054" s="744">
        <f t="shared" si="869"/>
        <v>0</v>
      </c>
      <c r="O4054" s="745">
        <v>0</v>
      </c>
      <c r="P4054" s="737">
        <v>0</v>
      </c>
      <c r="Q4054" s="679"/>
      <c r="R4054" s="679"/>
      <c r="S4054" s="679"/>
    </row>
    <row r="4055" spans="1:19" s="753" customFormat="1" ht="24" customHeight="1">
      <c r="A4055" s="734"/>
      <c r="B4055" s="735" t="s">
        <v>1073</v>
      </c>
      <c r="C4055" s="735"/>
      <c r="D4055" s="907"/>
      <c r="E4055" s="737">
        <f t="shared" si="868"/>
        <v>0</v>
      </c>
      <c r="F4055" s="738"/>
      <c r="G4055" s="739">
        <v>0</v>
      </c>
      <c r="H4055" s="748">
        <f t="shared" si="864"/>
        <v>0</v>
      </c>
      <c r="I4055" s="741">
        <v>0</v>
      </c>
      <c r="J4055" s="749">
        <f t="shared" si="865"/>
        <v>0</v>
      </c>
      <c r="K4055" s="739">
        <f t="shared" si="866"/>
        <v>0</v>
      </c>
      <c r="L4055" s="1079"/>
      <c r="M4055" s="752"/>
      <c r="N4055" s="744">
        <f t="shared" si="869"/>
        <v>0</v>
      </c>
      <c r="O4055" s="745">
        <v>0</v>
      </c>
      <c r="P4055" s="737">
        <v>0</v>
      </c>
      <c r="Q4055" s="752"/>
      <c r="R4055" s="752"/>
      <c r="S4055" s="752"/>
    </row>
    <row r="4056" spans="1:19" s="753" customFormat="1" ht="24" customHeight="1">
      <c r="A4056" s="734"/>
      <c r="B4056" s="747" t="s">
        <v>469</v>
      </c>
      <c r="C4056" s="735" t="s">
        <v>497</v>
      </c>
      <c r="D4056" s="735"/>
      <c r="E4056" s="737">
        <f t="shared" si="868"/>
        <v>6</v>
      </c>
      <c r="F4056" s="738" t="s">
        <v>363</v>
      </c>
      <c r="G4056" s="739">
        <v>1540</v>
      </c>
      <c r="H4056" s="748">
        <f t="shared" si="864"/>
        <v>9240</v>
      </c>
      <c r="I4056" s="741">
        <v>450</v>
      </c>
      <c r="J4056" s="749">
        <f t="shared" si="865"/>
        <v>2700</v>
      </c>
      <c r="K4056" s="739">
        <f t="shared" si="866"/>
        <v>11940</v>
      </c>
      <c r="L4056" s="1079"/>
      <c r="M4056" s="752"/>
      <c r="N4056" s="744">
        <f t="shared" si="869"/>
        <v>6</v>
      </c>
      <c r="O4056" s="745">
        <v>0</v>
      </c>
      <c r="P4056" s="737">
        <v>6</v>
      </c>
      <c r="Q4056" s="752"/>
      <c r="R4056" s="752"/>
      <c r="S4056" s="752"/>
    </row>
    <row r="4057" spans="1:19" s="753" customFormat="1" ht="24" customHeight="1">
      <c r="A4057" s="734"/>
      <c r="B4057" s="747" t="s">
        <v>469</v>
      </c>
      <c r="C4057" s="735" t="s">
        <v>498</v>
      </c>
      <c r="D4057" s="735"/>
      <c r="E4057" s="737">
        <f t="shared" si="868"/>
        <v>6</v>
      </c>
      <c r="F4057" s="738" t="s">
        <v>363</v>
      </c>
      <c r="G4057" s="739">
        <v>6640</v>
      </c>
      <c r="H4057" s="748">
        <f t="shared" si="864"/>
        <v>39840</v>
      </c>
      <c r="I4057" s="741">
        <v>200</v>
      </c>
      <c r="J4057" s="749">
        <f t="shared" si="865"/>
        <v>1200</v>
      </c>
      <c r="K4057" s="739">
        <f t="shared" si="866"/>
        <v>41040</v>
      </c>
      <c r="L4057" s="1079"/>
      <c r="M4057" s="752"/>
      <c r="N4057" s="744">
        <f t="shared" si="869"/>
        <v>6</v>
      </c>
      <c r="O4057" s="745">
        <v>0</v>
      </c>
      <c r="P4057" s="737">
        <v>6</v>
      </c>
      <c r="Q4057" s="752"/>
      <c r="R4057" s="752"/>
      <c r="S4057" s="752"/>
    </row>
    <row r="4058" spans="1:19" s="753" customFormat="1" ht="24" customHeight="1">
      <c r="A4058" s="734"/>
      <c r="B4058" s="747" t="s">
        <v>469</v>
      </c>
      <c r="C4058" s="735" t="s">
        <v>476</v>
      </c>
      <c r="D4058" s="735"/>
      <c r="E4058" s="737">
        <f t="shared" si="868"/>
        <v>6</v>
      </c>
      <c r="F4058" s="738" t="s">
        <v>363</v>
      </c>
      <c r="G4058" s="739">
        <v>336</v>
      </c>
      <c r="H4058" s="748">
        <f t="shared" si="864"/>
        <v>2016</v>
      </c>
      <c r="I4058" s="741">
        <v>0</v>
      </c>
      <c r="J4058" s="749">
        <f t="shared" ref="J4058:J4117" si="870">SUM(E4058*I4058)</f>
        <v>0</v>
      </c>
      <c r="K4058" s="739">
        <f t="shared" si="866"/>
        <v>2016</v>
      </c>
      <c r="L4058" s="1079"/>
      <c r="M4058" s="752"/>
      <c r="N4058" s="744">
        <f t="shared" si="869"/>
        <v>6</v>
      </c>
      <c r="O4058" s="745">
        <v>0</v>
      </c>
      <c r="P4058" s="737">
        <v>6</v>
      </c>
      <c r="Q4058" s="752"/>
      <c r="R4058" s="752"/>
      <c r="S4058" s="752"/>
    </row>
    <row r="4059" spans="1:19" s="753" customFormat="1" ht="24" customHeight="1">
      <c r="A4059" s="734"/>
      <c r="B4059" s="747" t="s">
        <v>469</v>
      </c>
      <c r="C4059" s="735" t="s">
        <v>477</v>
      </c>
      <c r="D4059" s="735"/>
      <c r="E4059" s="737">
        <f t="shared" si="868"/>
        <v>6</v>
      </c>
      <c r="F4059" s="738" t="s">
        <v>363</v>
      </c>
      <c r="G4059" s="739">
        <v>736</v>
      </c>
      <c r="H4059" s="748">
        <f t="shared" si="864"/>
        <v>4416</v>
      </c>
      <c r="I4059" s="741">
        <v>0</v>
      </c>
      <c r="J4059" s="749">
        <f t="shared" si="870"/>
        <v>0</v>
      </c>
      <c r="K4059" s="739">
        <f t="shared" si="866"/>
        <v>4416</v>
      </c>
      <c r="L4059" s="1079"/>
      <c r="M4059" s="752"/>
      <c r="N4059" s="744">
        <f t="shared" si="869"/>
        <v>6</v>
      </c>
      <c r="O4059" s="745">
        <v>0</v>
      </c>
      <c r="P4059" s="737">
        <v>6</v>
      </c>
      <c r="Q4059" s="752"/>
      <c r="R4059" s="752"/>
      <c r="S4059" s="752"/>
    </row>
    <row r="4060" spans="1:19" s="753" customFormat="1" ht="24" customHeight="1">
      <c r="A4060" s="734"/>
      <c r="B4060" s="747" t="s">
        <v>469</v>
      </c>
      <c r="C4060" s="735" t="s">
        <v>478</v>
      </c>
      <c r="D4060" s="735"/>
      <c r="E4060" s="737">
        <f t="shared" si="868"/>
        <v>6</v>
      </c>
      <c r="F4060" s="738" t="s">
        <v>363</v>
      </c>
      <c r="G4060" s="739">
        <v>176</v>
      </c>
      <c r="H4060" s="748">
        <f t="shared" si="864"/>
        <v>1056</v>
      </c>
      <c r="I4060" s="741">
        <v>0</v>
      </c>
      <c r="J4060" s="749">
        <f t="shared" si="870"/>
        <v>0</v>
      </c>
      <c r="K4060" s="739">
        <f t="shared" si="866"/>
        <v>1056</v>
      </c>
      <c r="L4060" s="1079"/>
      <c r="M4060" s="752"/>
      <c r="N4060" s="744">
        <f t="shared" si="869"/>
        <v>6</v>
      </c>
      <c r="O4060" s="745">
        <v>0</v>
      </c>
      <c r="P4060" s="737">
        <v>6</v>
      </c>
      <c r="Q4060" s="752"/>
      <c r="R4060" s="752"/>
      <c r="S4060" s="752"/>
    </row>
    <row r="4061" spans="1:19" s="753" customFormat="1" ht="24" customHeight="1">
      <c r="A4061" s="734"/>
      <c r="B4061" s="747" t="s">
        <v>469</v>
      </c>
      <c r="C4061" s="735" t="s">
        <v>499</v>
      </c>
      <c r="D4061" s="735"/>
      <c r="E4061" s="737">
        <f t="shared" si="868"/>
        <v>6</v>
      </c>
      <c r="F4061" s="738" t="s">
        <v>363</v>
      </c>
      <c r="G4061" s="739">
        <v>216</v>
      </c>
      <c r="H4061" s="748">
        <f t="shared" si="864"/>
        <v>1296</v>
      </c>
      <c r="I4061" s="741">
        <v>35</v>
      </c>
      <c r="J4061" s="749">
        <f t="shared" si="870"/>
        <v>210</v>
      </c>
      <c r="K4061" s="739">
        <f t="shared" si="866"/>
        <v>1506</v>
      </c>
      <c r="L4061" s="1079"/>
      <c r="M4061" s="752"/>
      <c r="N4061" s="744">
        <f t="shared" si="869"/>
        <v>6</v>
      </c>
      <c r="O4061" s="745">
        <v>0</v>
      </c>
      <c r="P4061" s="737">
        <v>6</v>
      </c>
      <c r="Q4061" s="752"/>
      <c r="R4061" s="752"/>
      <c r="S4061" s="752"/>
    </row>
    <row r="4062" spans="1:19" s="753" customFormat="1" ht="24" customHeight="1">
      <c r="A4062" s="734"/>
      <c r="B4062" s="747"/>
      <c r="C4062" s="736"/>
      <c r="D4062" s="907"/>
      <c r="E4062" s="737">
        <f t="shared" si="868"/>
        <v>0</v>
      </c>
      <c r="F4062" s="738"/>
      <c r="G4062" s="739">
        <v>0</v>
      </c>
      <c r="H4062" s="748">
        <f t="shared" si="864"/>
        <v>0</v>
      </c>
      <c r="I4062" s="741">
        <v>0</v>
      </c>
      <c r="J4062" s="749">
        <f t="shared" si="870"/>
        <v>0</v>
      </c>
      <c r="K4062" s="739">
        <f t="shared" si="866"/>
        <v>0</v>
      </c>
      <c r="L4062" s="1079"/>
      <c r="M4062" s="752"/>
      <c r="N4062" s="744">
        <f t="shared" si="869"/>
        <v>0</v>
      </c>
      <c r="O4062" s="745">
        <v>0</v>
      </c>
      <c r="P4062" s="737">
        <v>0</v>
      </c>
      <c r="Q4062" s="752"/>
      <c r="R4062" s="752"/>
      <c r="S4062" s="752"/>
    </row>
    <row r="4063" spans="1:19" s="753" customFormat="1" ht="24" customHeight="1">
      <c r="A4063" s="734"/>
      <c r="B4063" s="747" t="s">
        <v>469</v>
      </c>
      <c r="C4063" s="735" t="s">
        <v>492</v>
      </c>
      <c r="D4063" s="735"/>
      <c r="E4063" s="737">
        <f t="shared" si="868"/>
        <v>10</v>
      </c>
      <c r="F4063" s="738" t="s">
        <v>363</v>
      </c>
      <c r="G4063" s="739">
        <v>9375</v>
      </c>
      <c r="H4063" s="748">
        <f t="shared" si="864"/>
        <v>93750</v>
      </c>
      <c r="I4063" s="741">
        <v>450</v>
      </c>
      <c r="J4063" s="749">
        <f t="shared" si="870"/>
        <v>4500</v>
      </c>
      <c r="K4063" s="739">
        <f t="shared" si="866"/>
        <v>98250</v>
      </c>
      <c r="L4063" s="1079"/>
      <c r="M4063" s="752"/>
      <c r="N4063" s="744">
        <f t="shared" si="869"/>
        <v>10</v>
      </c>
      <c r="O4063" s="745">
        <v>0</v>
      </c>
      <c r="P4063" s="737">
        <v>10</v>
      </c>
      <c r="Q4063" s="752"/>
      <c r="R4063" s="752"/>
      <c r="S4063" s="752"/>
    </row>
    <row r="4064" spans="1:19" s="753" customFormat="1" ht="24" customHeight="1">
      <c r="A4064" s="734"/>
      <c r="B4064" s="747" t="s">
        <v>469</v>
      </c>
      <c r="C4064" s="735" t="s">
        <v>500</v>
      </c>
      <c r="D4064" s="735"/>
      <c r="E4064" s="737">
        <f t="shared" si="868"/>
        <v>10</v>
      </c>
      <c r="F4064" s="738" t="s">
        <v>363</v>
      </c>
      <c r="G4064" s="739">
        <v>12752</v>
      </c>
      <c r="H4064" s="748">
        <f t="shared" si="864"/>
        <v>127520</v>
      </c>
      <c r="I4064" s="741">
        <v>0</v>
      </c>
      <c r="J4064" s="749">
        <f t="shared" si="870"/>
        <v>0</v>
      </c>
      <c r="K4064" s="739">
        <f t="shared" si="866"/>
        <v>127520</v>
      </c>
      <c r="L4064" s="1079"/>
      <c r="M4064" s="752"/>
      <c r="N4064" s="744">
        <f t="shared" si="869"/>
        <v>10</v>
      </c>
      <c r="O4064" s="745">
        <v>0</v>
      </c>
      <c r="P4064" s="737">
        <v>10</v>
      </c>
      <c r="Q4064" s="752"/>
      <c r="R4064" s="752"/>
      <c r="S4064" s="752"/>
    </row>
    <row r="4065" spans="1:19" s="753" customFormat="1" ht="24" customHeight="1">
      <c r="A4065" s="734"/>
      <c r="B4065" s="747" t="s">
        <v>469</v>
      </c>
      <c r="C4065" s="735" t="s">
        <v>501</v>
      </c>
      <c r="D4065" s="735"/>
      <c r="E4065" s="737">
        <v>0</v>
      </c>
      <c r="F4065" s="738" t="s">
        <v>363</v>
      </c>
      <c r="G4065" s="739">
        <v>1950</v>
      </c>
      <c r="H4065" s="748">
        <f t="shared" si="864"/>
        <v>0</v>
      </c>
      <c r="I4065" s="741">
        <v>35</v>
      </c>
      <c r="J4065" s="749">
        <f t="shared" si="870"/>
        <v>0</v>
      </c>
      <c r="K4065" s="739">
        <f t="shared" si="866"/>
        <v>0</v>
      </c>
      <c r="L4065" s="1079"/>
      <c r="M4065" s="752"/>
      <c r="N4065" s="744">
        <f t="shared" si="869"/>
        <v>10</v>
      </c>
      <c r="O4065" s="745">
        <v>0</v>
      </c>
      <c r="P4065" s="737">
        <v>10</v>
      </c>
      <c r="Q4065" s="752"/>
      <c r="R4065" s="752"/>
      <c r="S4065" s="752"/>
    </row>
    <row r="4066" spans="1:19" s="753" customFormat="1" ht="24" customHeight="1">
      <c r="A4066" s="734"/>
      <c r="B4066" s="747" t="s">
        <v>469</v>
      </c>
      <c r="C4066" s="735" t="s">
        <v>502</v>
      </c>
      <c r="D4066" s="735"/>
      <c r="E4066" s="737">
        <f t="shared" si="868"/>
        <v>10</v>
      </c>
      <c r="F4066" s="738" t="s">
        <v>363</v>
      </c>
      <c r="G4066" s="739">
        <v>216</v>
      </c>
      <c r="H4066" s="748">
        <f t="shared" si="864"/>
        <v>2160</v>
      </c>
      <c r="I4066" s="741">
        <v>35</v>
      </c>
      <c r="J4066" s="749">
        <f t="shared" si="870"/>
        <v>350</v>
      </c>
      <c r="K4066" s="739">
        <f t="shared" si="866"/>
        <v>2510</v>
      </c>
      <c r="L4066" s="1079"/>
      <c r="M4066" s="752"/>
      <c r="N4066" s="744">
        <f t="shared" si="869"/>
        <v>10</v>
      </c>
      <c r="O4066" s="745">
        <v>0</v>
      </c>
      <c r="P4066" s="737">
        <v>10</v>
      </c>
      <c r="Q4066" s="752"/>
      <c r="R4066" s="752"/>
      <c r="S4066" s="752"/>
    </row>
    <row r="4067" spans="1:19" s="753" customFormat="1" ht="24" customHeight="1">
      <c r="A4067" s="734"/>
      <c r="B4067" s="747"/>
      <c r="C4067" s="735"/>
      <c r="D4067" s="735"/>
      <c r="E4067" s="737">
        <f t="shared" si="868"/>
        <v>0</v>
      </c>
      <c r="F4067" s="738"/>
      <c r="G4067" s="739"/>
      <c r="H4067" s="748">
        <f t="shared" si="864"/>
        <v>0</v>
      </c>
      <c r="I4067" s="741"/>
      <c r="J4067" s="749">
        <f t="shared" si="870"/>
        <v>0</v>
      </c>
      <c r="K4067" s="739">
        <f t="shared" si="866"/>
        <v>0</v>
      </c>
      <c r="L4067" s="1079"/>
      <c r="M4067" s="752"/>
      <c r="N4067" s="744">
        <f t="shared" si="869"/>
        <v>0</v>
      </c>
      <c r="O4067" s="745">
        <v>0</v>
      </c>
      <c r="P4067" s="737">
        <v>0</v>
      </c>
      <c r="Q4067" s="752"/>
      <c r="R4067" s="752"/>
      <c r="S4067" s="752"/>
    </row>
    <row r="4068" spans="1:19" s="753" customFormat="1" ht="24" customHeight="1">
      <c r="A4068" s="734"/>
      <c r="B4068" s="747" t="s">
        <v>484</v>
      </c>
      <c r="C4068" s="735" t="s">
        <v>485</v>
      </c>
      <c r="D4068" s="735"/>
      <c r="E4068" s="737">
        <f t="shared" si="868"/>
        <v>7</v>
      </c>
      <c r="F4068" s="738" t="s">
        <v>363</v>
      </c>
      <c r="G4068" s="739">
        <v>285</v>
      </c>
      <c r="H4068" s="748">
        <f t="shared" si="864"/>
        <v>1995</v>
      </c>
      <c r="I4068" s="741">
        <v>75</v>
      </c>
      <c r="J4068" s="749">
        <f t="shared" si="870"/>
        <v>525</v>
      </c>
      <c r="K4068" s="739">
        <f t="shared" si="866"/>
        <v>2520</v>
      </c>
      <c r="L4068" s="1093"/>
      <c r="M4068" s="752"/>
      <c r="N4068" s="744">
        <f t="shared" si="869"/>
        <v>7</v>
      </c>
      <c r="O4068" s="745">
        <v>0</v>
      </c>
      <c r="P4068" s="737">
        <v>7</v>
      </c>
      <c r="Q4068" s="752"/>
      <c r="R4068" s="752"/>
      <c r="S4068" s="752"/>
    </row>
    <row r="4069" spans="1:19" s="753" customFormat="1" ht="24" customHeight="1">
      <c r="A4069" s="734"/>
      <c r="B4069" s="747" t="s">
        <v>469</v>
      </c>
      <c r="C4069" s="735" t="s">
        <v>486</v>
      </c>
      <c r="D4069" s="735"/>
      <c r="E4069" s="737">
        <f t="shared" si="868"/>
        <v>1</v>
      </c>
      <c r="F4069" s="738" t="s">
        <v>363</v>
      </c>
      <c r="G4069" s="739">
        <v>552</v>
      </c>
      <c r="H4069" s="748">
        <f t="shared" si="864"/>
        <v>552</v>
      </c>
      <c r="I4069" s="741">
        <v>25</v>
      </c>
      <c r="J4069" s="749">
        <f t="shared" si="870"/>
        <v>25</v>
      </c>
      <c r="K4069" s="739">
        <f t="shared" si="866"/>
        <v>577</v>
      </c>
      <c r="L4069" s="1079"/>
      <c r="M4069" s="752"/>
      <c r="N4069" s="744">
        <f t="shared" si="869"/>
        <v>1</v>
      </c>
      <c r="O4069" s="745">
        <v>0</v>
      </c>
      <c r="P4069" s="737">
        <v>1</v>
      </c>
      <c r="Q4069" s="752"/>
      <c r="R4069" s="752"/>
      <c r="S4069" s="752"/>
    </row>
    <row r="4070" spans="1:19" s="753" customFormat="1" ht="24" customHeight="1">
      <c r="A4070" s="734"/>
      <c r="B4070" s="747" t="s">
        <v>469</v>
      </c>
      <c r="C4070" s="735" t="s">
        <v>507</v>
      </c>
      <c r="D4070" s="735"/>
      <c r="E4070" s="737">
        <f t="shared" si="868"/>
        <v>1</v>
      </c>
      <c r="F4070" s="738" t="s">
        <v>363</v>
      </c>
      <c r="G4070" s="739">
        <v>1650</v>
      </c>
      <c r="H4070" s="748">
        <f t="shared" si="864"/>
        <v>1650</v>
      </c>
      <c r="I4070" s="741">
        <v>70</v>
      </c>
      <c r="J4070" s="749">
        <f t="shared" si="870"/>
        <v>70</v>
      </c>
      <c r="K4070" s="739">
        <f t="shared" si="866"/>
        <v>1720</v>
      </c>
      <c r="L4070" s="1079"/>
      <c r="M4070" s="752"/>
      <c r="N4070" s="744">
        <f t="shared" si="869"/>
        <v>1</v>
      </c>
      <c r="O4070" s="745">
        <v>0</v>
      </c>
      <c r="P4070" s="737">
        <v>1</v>
      </c>
      <c r="Q4070" s="752"/>
      <c r="R4070" s="752"/>
      <c r="S4070" s="752"/>
    </row>
    <row r="4071" spans="1:19" s="753" customFormat="1" ht="24" customHeight="1">
      <c r="A4071" s="734"/>
      <c r="B4071" s="747" t="s">
        <v>469</v>
      </c>
      <c r="C4071" s="735" t="s">
        <v>508</v>
      </c>
      <c r="D4071" s="735"/>
      <c r="E4071" s="737">
        <f t="shared" si="868"/>
        <v>10</v>
      </c>
      <c r="F4071" s="738" t="s">
        <v>363</v>
      </c>
      <c r="G4071" s="739">
        <v>13500</v>
      </c>
      <c r="H4071" s="748">
        <f t="shared" si="864"/>
        <v>135000</v>
      </c>
      <c r="I4071" s="741">
        <v>750</v>
      </c>
      <c r="J4071" s="749">
        <f t="shared" si="870"/>
        <v>7500</v>
      </c>
      <c r="K4071" s="739">
        <f t="shared" si="866"/>
        <v>142500</v>
      </c>
      <c r="L4071" s="1079"/>
      <c r="M4071" s="752"/>
      <c r="N4071" s="744">
        <f t="shared" si="869"/>
        <v>10</v>
      </c>
      <c r="O4071" s="745">
        <v>0</v>
      </c>
      <c r="P4071" s="737">
        <v>10</v>
      </c>
      <c r="Q4071" s="752"/>
      <c r="R4071" s="752"/>
      <c r="S4071" s="752"/>
    </row>
    <row r="4072" spans="1:19" s="682" customFormat="1" ht="24" customHeight="1">
      <c r="A4072" s="734"/>
      <c r="B4072" s="747" t="s">
        <v>469</v>
      </c>
      <c r="C4072" s="735" t="s">
        <v>509</v>
      </c>
      <c r="D4072" s="735"/>
      <c r="E4072" s="737">
        <f t="shared" si="868"/>
        <v>1</v>
      </c>
      <c r="F4072" s="738" t="s">
        <v>363</v>
      </c>
      <c r="G4072" s="739">
        <v>14476</v>
      </c>
      <c r="H4072" s="748">
        <f t="shared" si="864"/>
        <v>14476</v>
      </c>
      <c r="I4072" s="741">
        <v>5367</v>
      </c>
      <c r="J4072" s="749">
        <f t="shared" si="870"/>
        <v>5367</v>
      </c>
      <c r="K4072" s="739">
        <f t="shared" si="866"/>
        <v>19843</v>
      </c>
      <c r="L4072" s="1079"/>
      <c r="M4072" s="679"/>
      <c r="N4072" s="744">
        <f t="shared" si="869"/>
        <v>1</v>
      </c>
      <c r="O4072" s="745">
        <v>0</v>
      </c>
      <c r="P4072" s="737">
        <v>1</v>
      </c>
      <c r="Q4072" s="679"/>
      <c r="R4072" s="679"/>
      <c r="S4072" s="679"/>
    </row>
    <row r="4073" spans="1:19" s="753" customFormat="1" ht="24" customHeight="1">
      <c r="A4073" s="734"/>
      <c r="B4073" s="747"/>
      <c r="C4073" s="735"/>
      <c r="D4073" s="907"/>
      <c r="E4073" s="737">
        <f t="shared" si="868"/>
        <v>0</v>
      </c>
      <c r="F4073" s="738"/>
      <c r="G4073" s="739">
        <v>0</v>
      </c>
      <c r="H4073" s="748">
        <f t="shared" si="864"/>
        <v>0</v>
      </c>
      <c r="I4073" s="741">
        <v>0</v>
      </c>
      <c r="J4073" s="749">
        <f t="shared" si="870"/>
        <v>0</v>
      </c>
      <c r="K4073" s="739">
        <f t="shared" si="866"/>
        <v>0</v>
      </c>
      <c r="L4073" s="1079"/>
      <c r="M4073" s="752"/>
      <c r="N4073" s="744">
        <f t="shared" si="869"/>
        <v>0</v>
      </c>
      <c r="O4073" s="745">
        <v>0</v>
      </c>
      <c r="P4073" s="737">
        <v>0</v>
      </c>
      <c r="Q4073" s="752"/>
      <c r="R4073" s="752"/>
      <c r="S4073" s="752"/>
    </row>
    <row r="4074" spans="1:19" s="753" customFormat="1" ht="24" customHeight="1">
      <c r="A4074" s="734"/>
      <c r="B4074" s="747" t="s">
        <v>469</v>
      </c>
      <c r="C4074" s="735" t="s">
        <v>510</v>
      </c>
      <c r="D4074" s="735"/>
      <c r="E4074" s="737">
        <f t="shared" si="868"/>
        <v>5.8</v>
      </c>
      <c r="F4074" s="738" t="s">
        <v>361</v>
      </c>
      <c r="G4074" s="739">
        <v>2694</v>
      </c>
      <c r="H4074" s="748">
        <f t="shared" si="864"/>
        <v>15625.199999999999</v>
      </c>
      <c r="I4074" s="741">
        <v>1288</v>
      </c>
      <c r="J4074" s="749">
        <f t="shared" si="870"/>
        <v>7470.4</v>
      </c>
      <c r="K4074" s="739">
        <f t="shared" si="866"/>
        <v>23095.599999999999</v>
      </c>
      <c r="L4074" s="1079"/>
      <c r="M4074" s="752"/>
      <c r="N4074" s="744">
        <f t="shared" si="869"/>
        <v>5.8</v>
      </c>
      <c r="O4074" s="745">
        <v>0</v>
      </c>
      <c r="P4074" s="737">
        <v>5.8</v>
      </c>
      <c r="Q4074" s="752"/>
      <c r="R4074" s="752"/>
      <c r="S4074" s="752"/>
    </row>
    <row r="4075" spans="1:19" s="753" customFormat="1" ht="24" customHeight="1">
      <c r="A4075" s="734"/>
      <c r="B4075" s="747"/>
      <c r="C4075" s="735" t="s">
        <v>511</v>
      </c>
      <c r="D4075" s="735"/>
      <c r="E4075" s="737">
        <f t="shared" si="868"/>
        <v>0</v>
      </c>
      <c r="F4075" s="738"/>
      <c r="G4075" s="739"/>
      <c r="H4075" s="748">
        <f t="shared" si="864"/>
        <v>0</v>
      </c>
      <c r="I4075" s="741"/>
      <c r="J4075" s="749">
        <f t="shared" si="870"/>
        <v>0</v>
      </c>
      <c r="K4075" s="739">
        <f t="shared" si="866"/>
        <v>0</v>
      </c>
      <c r="L4075" s="1079"/>
      <c r="M4075" s="752"/>
      <c r="N4075" s="744">
        <f t="shared" si="869"/>
        <v>0</v>
      </c>
      <c r="O4075" s="745">
        <v>0</v>
      </c>
      <c r="P4075" s="737">
        <v>0</v>
      </c>
      <c r="Q4075" s="752"/>
      <c r="R4075" s="752"/>
      <c r="S4075" s="752"/>
    </row>
    <row r="4076" spans="1:19" s="753" customFormat="1" ht="24" customHeight="1">
      <c r="A4076" s="734"/>
      <c r="B4076" s="747" t="s">
        <v>469</v>
      </c>
      <c r="C4076" s="735" t="s">
        <v>512</v>
      </c>
      <c r="D4076" s="735"/>
      <c r="E4076" s="737">
        <f t="shared" si="868"/>
        <v>5.8</v>
      </c>
      <c r="F4076" s="738" t="s">
        <v>361</v>
      </c>
      <c r="G4076" s="739">
        <v>3886</v>
      </c>
      <c r="H4076" s="748">
        <f t="shared" si="864"/>
        <v>22538.799999999999</v>
      </c>
      <c r="I4076" s="741">
        <v>1238</v>
      </c>
      <c r="J4076" s="749">
        <f t="shared" si="870"/>
        <v>7180.4</v>
      </c>
      <c r="K4076" s="739">
        <f t="shared" si="866"/>
        <v>29719.199999999997</v>
      </c>
      <c r="L4076" s="1079"/>
      <c r="M4076" s="752"/>
      <c r="N4076" s="744">
        <f t="shared" si="869"/>
        <v>5.8</v>
      </c>
      <c r="O4076" s="745">
        <v>0</v>
      </c>
      <c r="P4076" s="737">
        <v>5.8</v>
      </c>
      <c r="Q4076" s="752"/>
      <c r="R4076" s="752"/>
      <c r="S4076" s="752"/>
    </row>
    <row r="4077" spans="1:19" s="753" customFormat="1" ht="24" customHeight="1">
      <c r="A4077" s="734"/>
      <c r="B4077" s="747"/>
      <c r="C4077" s="735" t="s">
        <v>513</v>
      </c>
      <c r="D4077" s="735"/>
      <c r="E4077" s="737">
        <f t="shared" si="868"/>
        <v>0</v>
      </c>
      <c r="F4077" s="738"/>
      <c r="G4077" s="739">
        <v>0</v>
      </c>
      <c r="H4077" s="748">
        <f t="shared" si="864"/>
        <v>0</v>
      </c>
      <c r="I4077" s="741">
        <v>0</v>
      </c>
      <c r="J4077" s="749">
        <f t="shared" si="870"/>
        <v>0</v>
      </c>
      <c r="K4077" s="739">
        <f t="shared" si="866"/>
        <v>0</v>
      </c>
      <c r="L4077" s="1079"/>
      <c r="M4077" s="752"/>
      <c r="N4077" s="744">
        <f t="shared" si="869"/>
        <v>0</v>
      </c>
      <c r="O4077" s="745">
        <v>0</v>
      </c>
      <c r="P4077" s="737">
        <v>0</v>
      </c>
      <c r="Q4077" s="752"/>
      <c r="R4077" s="752"/>
      <c r="S4077" s="752"/>
    </row>
    <row r="4078" spans="1:19" s="753" customFormat="1" ht="24" customHeight="1">
      <c r="A4078" s="734"/>
      <c r="B4078" s="747" t="s">
        <v>469</v>
      </c>
      <c r="C4078" s="735" t="s">
        <v>521</v>
      </c>
      <c r="D4078" s="735"/>
      <c r="E4078" s="737">
        <f t="shared" si="868"/>
        <v>9</v>
      </c>
      <c r="F4078" s="738" t="s">
        <v>361</v>
      </c>
      <c r="G4078" s="739">
        <v>1522</v>
      </c>
      <c r="H4078" s="748">
        <f t="shared" si="864"/>
        <v>13698</v>
      </c>
      <c r="I4078" s="741">
        <v>315</v>
      </c>
      <c r="J4078" s="749">
        <f t="shared" si="870"/>
        <v>2835</v>
      </c>
      <c r="K4078" s="739">
        <f t="shared" si="866"/>
        <v>16533</v>
      </c>
      <c r="L4078" s="1079"/>
      <c r="M4078" s="752"/>
      <c r="N4078" s="744">
        <f t="shared" si="869"/>
        <v>9</v>
      </c>
      <c r="O4078" s="745">
        <v>0</v>
      </c>
      <c r="P4078" s="737">
        <v>9</v>
      </c>
      <c r="Q4078" s="752"/>
      <c r="R4078" s="752"/>
      <c r="S4078" s="752"/>
    </row>
    <row r="4079" spans="1:19" s="753" customFormat="1" ht="24" customHeight="1">
      <c r="A4079" s="734"/>
      <c r="B4079" s="747"/>
      <c r="C4079" s="735"/>
      <c r="D4079" s="735"/>
      <c r="E4079" s="737">
        <f t="shared" si="868"/>
        <v>0</v>
      </c>
      <c r="F4079" s="738"/>
      <c r="G4079" s="739">
        <v>0</v>
      </c>
      <c r="H4079" s="748">
        <f t="shared" si="864"/>
        <v>0</v>
      </c>
      <c r="I4079" s="741">
        <v>0</v>
      </c>
      <c r="J4079" s="749">
        <f t="shared" si="870"/>
        <v>0</v>
      </c>
      <c r="K4079" s="739">
        <f t="shared" si="866"/>
        <v>0</v>
      </c>
      <c r="L4079" s="1079"/>
      <c r="M4079" s="752"/>
      <c r="N4079" s="744">
        <f t="shared" si="869"/>
        <v>0</v>
      </c>
      <c r="O4079" s="745">
        <v>0</v>
      </c>
      <c r="P4079" s="737">
        <v>0</v>
      </c>
      <c r="Q4079" s="752"/>
      <c r="R4079" s="752"/>
      <c r="S4079" s="752"/>
    </row>
    <row r="4080" spans="1:19" s="682" customFormat="1" ht="24" customHeight="1">
      <c r="A4080" s="734"/>
      <c r="B4080" s="747" t="s">
        <v>469</v>
      </c>
      <c r="C4080" s="735" t="s">
        <v>515</v>
      </c>
      <c r="D4080" s="735"/>
      <c r="E4080" s="737">
        <f t="shared" si="868"/>
        <v>1</v>
      </c>
      <c r="F4080" s="738" t="s">
        <v>363</v>
      </c>
      <c r="G4080" s="739">
        <v>5013</v>
      </c>
      <c r="H4080" s="748">
        <f t="shared" ref="H4080:H4117" si="871">SUM(E4080*G4080)</f>
        <v>5013</v>
      </c>
      <c r="I4080" s="741">
        <v>2403</v>
      </c>
      <c r="J4080" s="749">
        <f t="shared" si="870"/>
        <v>2403</v>
      </c>
      <c r="K4080" s="739">
        <f t="shared" ref="K4080:K4143" si="872">SUM(H4080+J4080)</f>
        <v>7416</v>
      </c>
      <c r="L4080" s="1079"/>
      <c r="M4080" s="679"/>
      <c r="N4080" s="744">
        <f t="shared" si="869"/>
        <v>1</v>
      </c>
      <c r="O4080" s="745">
        <v>0</v>
      </c>
      <c r="P4080" s="737">
        <v>1</v>
      </c>
      <c r="Q4080" s="679"/>
      <c r="R4080" s="679"/>
      <c r="S4080" s="679"/>
    </row>
    <row r="4081" spans="1:19" s="682" customFormat="1" ht="24" customHeight="1">
      <c r="A4081" s="734"/>
      <c r="B4081" s="747"/>
      <c r="C4081" s="735" t="s">
        <v>516</v>
      </c>
      <c r="D4081" s="735"/>
      <c r="E4081" s="737">
        <f t="shared" si="868"/>
        <v>0</v>
      </c>
      <c r="F4081" s="738"/>
      <c r="G4081" s="739"/>
      <c r="H4081" s="748">
        <f t="shared" si="871"/>
        <v>0</v>
      </c>
      <c r="I4081" s="741"/>
      <c r="J4081" s="749">
        <f t="shared" si="870"/>
        <v>0</v>
      </c>
      <c r="K4081" s="739">
        <f t="shared" si="872"/>
        <v>0</v>
      </c>
      <c r="L4081" s="1079"/>
      <c r="M4081" s="679"/>
      <c r="N4081" s="744">
        <f t="shared" si="869"/>
        <v>0</v>
      </c>
      <c r="O4081" s="745">
        <v>0</v>
      </c>
      <c r="P4081" s="737">
        <v>0</v>
      </c>
      <c r="Q4081" s="679"/>
      <c r="R4081" s="679"/>
      <c r="S4081" s="679"/>
    </row>
    <row r="4082" spans="1:19" s="682" customFormat="1" ht="24" customHeight="1">
      <c r="A4082" s="734"/>
      <c r="B4082" s="747"/>
      <c r="C4082" s="735"/>
      <c r="D4082" s="735"/>
      <c r="E4082" s="737">
        <f t="shared" si="868"/>
        <v>0</v>
      </c>
      <c r="F4082" s="738"/>
      <c r="G4082" s="739"/>
      <c r="H4082" s="748">
        <f t="shared" si="871"/>
        <v>0</v>
      </c>
      <c r="I4082" s="741"/>
      <c r="J4082" s="749">
        <f t="shared" si="870"/>
        <v>0</v>
      </c>
      <c r="K4082" s="739">
        <f t="shared" si="872"/>
        <v>0</v>
      </c>
      <c r="L4082" s="1079"/>
      <c r="M4082" s="679"/>
      <c r="N4082" s="744">
        <f t="shared" si="869"/>
        <v>0</v>
      </c>
      <c r="O4082" s="745">
        <v>0</v>
      </c>
      <c r="P4082" s="737">
        <v>0</v>
      </c>
      <c r="Q4082" s="679"/>
      <c r="R4082" s="679"/>
      <c r="S4082" s="679"/>
    </row>
    <row r="4083" spans="1:19" s="756" customFormat="1" ht="24" customHeight="1">
      <c r="A4083" s="734"/>
      <c r="B4083" s="747" t="s">
        <v>469</v>
      </c>
      <c r="C4083" s="735" t="s">
        <v>517</v>
      </c>
      <c r="D4083" s="907"/>
      <c r="E4083" s="737">
        <f t="shared" ref="E4083:E4146" si="873">+N4083</f>
        <v>0</v>
      </c>
      <c r="F4083" s="738" t="s">
        <v>361</v>
      </c>
      <c r="G4083" s="739">
        <v>5075.5555555555557</v>
      </c>
      <c r="H4083" s="748">
        <f t="shared" si="871"/>
        <v>0</v>
      </c>
      <c r="I4083" s="741">
        <v>2545.7777777777778</v>
      </c>
      <c r="J4083" s="749">
        <f t="shared" si="870"/>
        <v>0</v>
      </c>
      <c r="K4083" s="739">
        <f t="shared" si="872"/>
        <v>0</v>
      </c>
      <c r="L4083" s="1079"/>
      <c r="M4083" s="755"/>
      <c r="N4083" s="744">
        <f t="shared" si="869"/>
        <v>0</v>
      </c>
      <c r="O4083" s="745">
        <v>0</v>
      </c>
      <c r="P4083" s="737">
        <v>0</v>
      </c>
      <c r="Q4083" s="755"/>
      <c r="R4083" s="755"/>
      <c r="S4083" s="755"/>
    </row>
    <row r="4084" spans="1:19" s="756" customFormat="1" ht="24" customHeight="1">
      <c r="A4084" s="734"/>
      <c r="B4084" s="747"/>
      <c r="C4084" s="735" t="s">
        <v>488</v>
      </c>
      <c r="D4084" s="907"/>
      <c r="E4084" s="737">
        <f t="shared" si="873"/>
        <v>0</v>
      </c>
      <c r="F4084" s="738"/>
      <c r="G4084" s="739">
        <v>0</v>
      </c>
      <c r="H4084" s="748">
        <f t="shared" si="871"/>
        <v>0</v>
      </c>
      <c r="I4084" s="741">
        <v>0</v>
      </c>
      <c r="J4084" s="749">
        <f t="shared" si="870"/>
        <v>0</v>
      </c>
      <c r="K4084" s="739">
        <f t="shared" si="872"/>
        <v>0</v>
      </c>
      <c r="L4084" s="1079"/>
      <c r="M4084" s="755"/>
      <c r="N4084" s="744">
        <f t="shared" si="869"/>
        <v>0</v>
      </c>
      <c r="O4084" s="745">
        <v>0</v>
      </c>
      <c r="P4084" s="737">
        <v>0</v>
      </c>
      <c r="Q4084" s="755"/>
      <c r="R4084" s="755"/>
      <c r="S4084" s="755"/>
    </row>
    <row r="4085" spans="1:19" s="753" customFormat="1" ht="24" customHeight="1">
      <c r="A4085" s="734"/>
      <c r="B4085" s="747" t="s">
        <v>469</v>
      </c>
      <c r="C4085" s="735" t="s">
        <v>518</v>
      </c>
      <c r="D4085" s="735"/>
      <c r="E4085" s="737">
        <f t="shared" si="873"/>
        <v>0</v>
      </c>
      <c r="F4085" s="738" t="s">
        <v>361</v>
      </c>
      <c r="G4085" s="739">
        <v>3886</v>
      </c>
      <c r="H4085" s="748">
        <f t="shared" si="871"/>
        <v>0</v>
      </c>
      <c r="I4085" s="741">
        <v>1238</v>
      </c>
      <c r="J4085" s="749">
        <f t="shared" si="870"/>
        <v>0</v>
      </c>
      <c r="K4085" s="739">
        <f t="shared" si="872"/>
        <v>0</v>
      </c>
      <c r="L4085" s="1079"/>
      <c r="M4085" s="752"/>
      <c r="N4085" s="744">
        <f t="shared" si="869"/>
        <v>0</v>
      </c>
      <c r="O4085" s="745">
        <v>0</v>
      </c>
      <c r="P4085" s="737">
        <v>0</v>
      </c>
      <c r="Q4085" s="752"/>
      <c r="R4085" s="752"/>
      <c r="S4085" s="752"/>
    </row>
    <row r="4086" spans="1:19" s="753" customFormat="1" ht="24" customHeight="1">
      <c r="A4086" s="734"/>
      <c r="B4086" s="747"/>
      <c r="C4086" s="735" t="s">
        <v>513</v>
      </c>
      <c r="D4086" s="735"/>
      <c r="E4086" s="737">
        <f t="shared" si="873"/>
        <v>0</v>
      </c>
      <c r="F4086" s="738"/>
      <c r="G4086" s="739">
        <v>0</v>
      </c>
      <c r="H4086" s="748">
        <f t="shared" si="871"/>
        <v>0</v>
      </c>
      <c r="I4086" s="741">
        <v>0</v>
      </c>
      <c r="J4086" s="749">
        <f t="shared" si="870"/>
        <v>0</v>
      </c>
      <c r="K4086" s="739">
        <f t="shared" si="872"/>
        <v>0</v>
      </c>
      <c r="L4086" s="1079"/>
      <c r="M4086" s="752"/>
      <c r="N4086" s="744">
        <f t="shared" si="869"/>
        <v>0</v>
      </c>
      <c r="O4086" s="745">
        <v>0</v>
      </c>
      <c r="P4086" s="737">
        <v>0</v>
      </c>
      <c r="Q4086" s="752"/>
      <c r="R4086" s="752"/>
      <c r="S4086" s="752"/>
    </row>
    <row r="4087" spans="1:19" s="682" customFormat="1" ht="24" customHeight="1">
      <c r="A4087" s="734"/>
      <c r="B4087" s="747"/>
      <c r="C4087" s="735"/>
      <c r="D4087" s="735"/>
      <c r="E4087" s="737">
        <f t="shared" si="873"/>
        <v>0</v>
      </c>
      <c r="F4087" s="738"/>
      <c r="G4087" s="739"/>
      <c r="H4087" s="748">
        <f t="shared" si="871"/>
        <v>0</v>
      </c>
      <c r="I4087" s="741"/>
      <c r="J4087" s="749">
        <f t="shared" si="870"/>
        <v>0</v>
      </c>
      <c r="K4087" s="739">
        <f t="shared" si="872"/>
        <v>0</v>
      </c>
      <c r="L4087" s="1079"/>
      <c r="M4087" s="679"/>
      <c r="N4087" s="744">
        <f t="shared" si="869"/>
        <v>0</v>
      </c>
      <c r="O4087" s="745">
        <v>0</v>
      </c>
      <c r="P4087" s="737">
        <v>0</v>
      </c>
      <c r="Q4087" s="679"/>
      <c r="R4087" s="679"/>
      <c r="S4087" s="679"/>
    </row>
    <row r="4088" spans="1:19" s="682" customFormat="1" ht="24" customHeight="1">
      <c r="A4088" s="734"/>
      <c r="B4088" s="747" t="s">
        <v>469</v>
      </c>
      <c r="C4088" s="735" t="s">
        <v>519</v>
      </c>
      <c r="D4088" s="735"/>
      <c r="E4088" s="737">
        <f t="shared" si="873"/>
        <v>1</v>
      </c>
      <c r="F4088" s="738" t="s">
        <v>363</v>
      </c>
      <c r="G4088" s="739">
        <v>800</v>
      </c>
      <c r="H4088" s="748">
        <f t="shared" si="871"/>
        <v>800</v>
      </c>
      <c r="I4088" s="741">
        <v>70</v>
      </c>
      <c r="J4088" s="749">
        <f t="shared" si="870"/>
        <v>70</v>
      </c>
      <c r="K4088" s="739">
        <f t="shared" si="872"/>
        <v>870</v>
      </c>
      <c r="L4088" s="1079"/>
      <c r="M4088" s="679"/>
      <c r="N4088" s="744">
        <f t="shared" si="869"/>
        <v>1</v>
      </c>
      <c r="O4088" s="745">
        <v>0</v>
      </c>
      <c r="P4088" s="737">
        <v>1</v>
      </c>
      <c r="Q4088" s="679"/>
      <c r="R4088" s="679"/>
      <c r="S4088" s="679"/>
    </row>
    <row r="4089" spans="1:19" s="682" customFormat="1" ht="24" customHeight="1">
      <c r="A4089" s="734"/>
      <c r="B4089" s="747" t="s">
        <v>469</v>
      </c>
      <c r="C4089" s="735" t="s">
        <v>520</v>
      </c>
      <c r="D4089" s="735"/>
      <c r="E4089" s="737">
        <f t="shared" si="873"/>
        <v>0</v>
      </c>
      <c r="F4089" s="738" t="s">
        <v>361</v>
      </c>
      <c r="G4089" s="739">
        <v>190</v>
      </c>
      <c r="H4089" s="748">
        <f t="shared" si="871"/>
        <v>0</v>
      </c>
      <c r="I4089" s="741">
        <v>75</v>
      </c>
      <c r="J4089" s="749">
        <f t="shared" si="870"/>
        <v>0</v>
      </c>
      <c r="K4089" s="739">
        <f t="shared" si="872"/>
        <v>0</v>
      </c>
      <c r="L4089" s="1079"/>
      <c r="M4089" s="679"/>
      <c r="N4089" s="744">
        <f t="shared" si="869"/>
        <v>0</v>
      </c>
      <c r="O4089" s="745">
        <v>0</v>
      </c>
      <c r="P4089" s="737">
        <v>0</v>
      </c>
      <c r="Q4089" s="679"/>
      <c r="R4089" s="679"/>
      <c r="S4089" s="679"/>
    </row>
    <row r="4090" spans="1:19" s="682" customFormat="1" ht="24" customHeight="1">
      <c r="A4090" s="734"/>
      <c r="B4090" s="747"/>
      <c r="C4090" s="735"/>
      <c r="D4090" s="735"/>
      <c r="E4090" s="737">
        <f t="shared" si="873"/>
        <v>0</v>
      </c>
      <c r="F4090" s="738"/>
      <c r="G4090" s="739"/>
      <c r="H4090" s="748">
        <f t="shared" si="871"/>
        <v>0</v>
      </c>
      <c r="I4090" s="741"/>
      <c r="J4090" s="749">
        <f t="shared" si="870"/>
        <v>0</v>
      </c>
      <c r="K4090" s="739">
        <f t="shared" si="872"/>
        <v>0</v>
      </c>
      <c r="L4090" s="1079"/>
      <c r="M4090" s="679"/>
      <c r="N4090" s="744">
        <f t="shared" ref="N4090:N4153" si="874">+(1+O4090)*P4090</f>
        <v>0</v>
      </c>
      <c r="O4090" s="745">
        <v>0</v>
      </c>
      <c r="P4090" s="737">
        <v>0</v>
      </c>
      <c r="Q4090" s="679"/>
      <c r="R4090" s="679"/>
      <c r="S4090" s="679"/>
    </row>
    <row r="4091" spans="1:19" s="682" customFormat="1" ht="24" customHeight="1">
      <c r="A4091" s="734"/>
      <c r="B4091" s="747"/>
      <c r="C4091" s="735"/>
      <c r="D4091" s="735"/>
      <c r="E4091" s="737"/>
      <c r="F4091" s="738"/>
      <c r="G4091" s="739"/>
      <c r="H4091" s="748"/>
      <c r="I4091" s="741"/>
      <c r="J4091" s="749"/>
      <c r="K4091" s="739"/>
      <c r="L4091" s="1079"/>
      <c r="M4091" s="679"/>
      <c r="N4091" s="744"/>
      <c r="O4091" s="745"/>
      <c r="P4091" s="737"/>
      <c r="Q4091" s="679"/>
      <c r="R4091" s="679"/>
      <c r="S4091" s="679"/>
    </row>
    <row r="4092" spans="1:19" s="682" customFormat="1" ht="24" customHeight="1">
      <c r="A4092" s="734"/>
      <c r="B4092" s="747"/>
      <c r="C4092" s="735"/>
      <c r="D4092" s="735"/>
      <c r="E4092" s="737"/>
      <c r="F4092" s="738"/>
      <c r="G4092" s="739"/>
      <c r="H4092" s="748"/>
      <c r="I4092" s="741"/>
      <c r="J4092" s="749"/>
      <c r="K4092" s="739"/>
      <c r="L4092" s="1079"/>
      <c r="M4092" s="679"/>
      <c r="N4092" s="744"/>
      <c r="O4092" s="745"/>
      <c r="P4092" s="737"/>
      <c r="Q4092" s="679"/>
      <c r="R4092" s="679"/>
      <c r="S4092" s="679"/>
    </row>
    <row r="4093" spans="1:19" s="753" customFormat="1" ht="24" customHeight="1">
      <c r="A4093" s="734"/>
      <c r="B4093" s="735" t="s">
        <v>1074</v>
      </c>
      <c r="C4093" s="735"/>
      <c r="D4093" s="735"/>
      <c r="E4093" s="737">
        <f t="shared" si="873"/>
        <v>0</v>
      </c>
      <c r="F4093" s="738"/>
      <c r="G4093" s="739">
        <v>0</v>
      </c>
      <c r="H4093" s="748">
        <f t="shared" si="871"/>
        <v>0</v>
      </c>
      <c r="I4093" s="741">
        <v>0</v>
      </c>
      <c r="J4093" s="749">
        <f t="shared" si="870"/>
        <v>0</v>
      </c>
      <c r="K4093" s="739">
        <f t="shared" si="872"/>
        <v>0</v>
      </c>
      <c r="L4093" s="1079"/>
      <c r="M4093" s="752"/>
      <c r="N4093" s="744">
        <f t="shared" si="874"/>
        <v>0</v>
      </c>
      <c r="O4093" s="745">
        <v>0</v>
      </c>
      <c r="P4093" s="737">
        <v>0</v>
      </c>
      <c r="Q4093" s="752"/>
      <c r="R4093" s="752"/>
      <c r="S4093" s="752"/>
    </row>
    <row r="4094" spans="1:19" s="753" customFormat="1" ht="24" customHeight="1">
      <c r="A4094" s="734"/>
      <c r="B4094" s="747" t="s">
        <v>469</v>
      </c>
      <c r="C4094" s="735" t="s">
        <v>522</v>
      </c>
      <c r="D4094" s="735"/>
      <c r="E4094" s="737">
        <f t="shared" si="873"/>
        <v>1</v>
      </c>
      <c r="F4094" s="738" t="s">
        <v>363</v>
      </c>
      <c r="G4094" s="739">
        <v>6832</v>
      </c>
      <c r="H4094" s="748">
        <f t="shared" si="871"/>
        <v>6832</v>
      </c>
      <c r="I4094" s="741">
        <v>450</v>
      </c>
      <c r="J4094" s="749">
        <f t="shared" si="870"/>
        <v>450</v>
      </c>
      <c r="K4094" s="739">
        <f t="shared" si="872"/>
        <v>7282</v>
      </c>
      <c r="L4094" s="1079"/>
      <c r="M4094" s="752"/>
      <c r="N4094" s="744">
        <f t="shared" si="874"/>
        <v>1</v>
      </c>
      <c r="O4094" s="745">
        <v>0</v>
      </c>
      <c r="P4094" s="737">
        <v>1</v>
      </c>
      <c r="Q4094" s="752"/>
      <c r="R4094" s="752"/>
      <c r="S4094" s="752"/>
    </row>
    <row r="4095" spans="1:19" s="753" customFormat="1" ht="24" customHeight="1">
      <c r="A4095" s="734"/>
      <c r="B4095" s="747" t="s">
        <v>469</v>
      </c>
      <c r="C4095" s="735" t="s">
        <v>498</v>
      </c>
      <c r="D4095" s="735"/>
      <c r="E4095" s="737">
        <f t="shared" si="873"/>
        <v>1</v>
      </c>
      <c r="F4095" s="738" t="s">
        <v>363</v>
      </c>
      <c r="G4095" s="739">
        <v>6640</v>
      </c>
      <c r="H4095" s="748">
        <f t="shared" si="871"/>
        <v>6640</v>
      </c>
      <c r="I4095" s="741">
        <v>200</v>
      </c>
      <c r="J4095" s="749">
        <f t="shared" si="870"/>
        <v>200</v>
      </c>
      <c r="K4095" s="739">
        <f t="shared" si="872"/>
        <v>6840</v>
      </c>
      <c r="L4095" s="1079"/>
      <c r="M4095" s="752"/>
      <c r="N4095" s="744">
        <f t="shared" si="874"/>
        <v>1</v>
      </c>
      <c r="O4095" s="745">
        <v>0</v>
      </c>
      <c r="P4095" s="737">
        <v>1</v>
      </c>
      <c r="Q4095" s="752"/>
      <c r="R4095" s="752"/>
      <c r="S4095" s="752"/>
    </row>
    <row r="4096" spans="1:19" s="753" customFormat="1" ht="24" customHeight="1">
      <c r="A4096" s="734"/>
      <c r="B4096" s="747" t="s">
        <v>469</v>
      </c>
      <c r="C4096" s="735" t="s">
        <v>476</v>
      </c>
      <c r="D4096" s="735"/>
      <c r="E4096" s="737">
        <f t="shared" si="873"/>
        <v>1</v>
      </c>
      <c r="F4096" s="738" t="s">
        <v>363</v>
      </c>
      <c r="G4096" s="739">
        <v>336</v>
      </c>
      <c r="H4096" s="748">
        <f t="shared" si="871"/>
        <v>336</v>
      </c>
      <c r="I4096" s="741">
        <v>0</v>
      </c>
      <c r="J4096" s="749">
        <f t="shared" si="870"/>
        <v>0</v>
      </c>
      <c r="K4096" s="739">
        <f t="shared" si="872"/>
        <v>336</v>
      </c>
      <c r="L4096" s="1079"/>
      <c r="M4096" s="752"/>
      <c r="N4096" s="744">
        <f t="shared" si="874"/>
        <v>1</v>
      </c>
      <c r="O4096" s="745">
        <v>0</v>
      </c>
      <c r="P4096" s="737">
        <v>1</v>
      </c>
      <c r="Q4096" s="752"/>
      <c r="R4096" s="752"/>
      <c r="S4096" s="752"/>
    </row>
    <row r="4097" spans="1:19" s="753" customFormat="1" ht="24" customHeight="1">
      <c r="A4097" s="734"/>
      <c r="B4097" s="747" t="s">
        <v>469</v>
      </c>
      <c r="C4097" s="735" t="s">
        <v>477</v>
      </c>
      <c r="D4097" s="735"/>
      <c r="E4097" s="737">
        <f t="shared" si="873"/>
        <v>1</v>
      </c>
      <c r="F4097" s="738" t="s">
        <v>363</v>
      </c>
      <c r="G4097" s="739">
        <v>736</v>
      </c>
      <c r="H4097" s="748">
        <f t="shared" si="871"/>
        <v>736</v>
      </c>
      <c r="I4097" s="741">
        <v>0</v>
      </c>
      <c r="J4097" s="749">
        <f t="shared" si="870"/>
        <v>0</v>
      </c>
      <c r="K4097" s="739">
        <f t="shared" si="872"/>
        <v>736</v>
      </c>
      <c r="L4097" s="1079"/>
      <c r="M4097" s="752"/>
      <c r="N4097" s="744">
        <f t="shared" si="874"/>
        <v>1</v>
      </c>
      <c r="O4097" s="745">
        <v>0</v>
      </c>
      <c r="P4097" s="737">
        <v>1</v>
      </c>
      <c r="Q4097" s="752"/>
      <c r="R4097" s="752"/>
      <c r="S4097" s="752"/>
    </row>
    <row r="4098" spans="1:19" s="753" customFormat="1" ht="24" customHeight="1">
      <c r="A4098" s="734"/>
      <c r="B4098" s="747" t="s">
        <v>469</v>
      </c>
      <c r="C4098" s="735" t="s">
        <v>478</v>
      </c>
      <c r="D4098" s="735"/>
      <c r="E4098" s="737">
        <f t="shared" si="873"/>
        <v>1</v>
      </c>
      <c r="F4098" s="738" t="s">
        <v>363</v>
      </c>
      <c r="G4098" s="739">
        <v>176</v>
      </c>
      <c r="H4098" s="748">
        <f t="shared" si="871"/>
        <v>176</v>
      </c>
      <c r="I4098" s="741">
        <v>0</v>
      </c>
      <c r="J4098" s="749">
        <f t="shared" si="870"/>
        <v>0</v>
      </c>
      <c r="K4098" s="739">
        <f t="shared" si="872"/>
        <v>176</v>
      </c>
      <c r="L4098" s="1079"/>
      <c r="M4098" s="752"/>
      <c r="N4098" s="744">
        <f t="shared" si="874"/>
        <v>1</v>
      </c>
      <c r="O4098" s="745">
        <v>0</v>
      </c>
      <c r="P4098" s="737">
        <v>1</v>
      </c>
      <c r="Q4098" s="752"/>
      <c r="R4098" s="752"/>
      <c r="S4098" s="752"/>
    </row>
    <row r="4099" spans="1:19" s="753" customFormat="1" ht="24" customHeight="1">
      <c r="A4099" s="734"/>
      <c r="B4099" s="747" t="s">
        <v>469</v>
      </c>
      <c r="C4099" s="735" t="s">
        <v>499</v>
      </c>
      <c r="D4099" s="735"/>
      <c r="E4099" s="737">
        <f t="shared" si="873"/>
        <v>1</v>
      </c>
      <c r="F4099" s="738" t="s">
        <v>363</v>
      </c>
      <c r="G4099" s="739">
        <v>216</v>
      </c>
      <c r="H4099" s="748">
        <f t="shared" si="871"/>
        <v>216</v>
      </c>
      <c r="I4099" s="741">
        <v>35</v>
      </c>
      <c r="J4099" s="749">
        <f t="shared" si="870"/>
        <v>35</v>
      </c>
      <c r="K4099" s="739">
        <f t="shared" si="872"/>
        <v>251</v>
      </c>
      <c r="L4099" s="1079"/>
      <c r="M4099" s="752"/>
      <c r="N4099" s="744">
        <f t="shared" si="874"/>
        <v>1</v>
      </c>
      <c r="O4099" s="745">
        <v>0</v>
      </c>
      <c r="P4099" s="737">
        <v>1</v>
      </c>
      <c r="Q4099" s="752"/>
      <c r="R4099" s="752"/>
      <c r="S4099" s="752"/>
    </row>
    <row r="4100" spans="1:19" s="753" customFormat="1" ht="24" customHeight="1">
      <c r="A4100" s="734"/>
      <c r="B4100" s="750"/>
      <c r="C4100" s="757"/>
      <c r="D4100" s="907"/>
      <c r="E4100" s="737">
        <f t="shared" si="873"/>
        <v>0</v>
      </c>
      <c r="F4100" s="738"/>
      <c r="G4100" s="739">
        <v>0</v>
      </c>
      <c r="H4100" s="748">
        <f t="shared" si="871"/>
        <v>0</v>
      </c>
      <c r="I4100" s="741">
        <v>0</v>
      </c>
      <c r="J4100" s="749">
        <f t="shared" si="870"/>
        <v>0</v>
      </c>
      <c r="K4100" s="739">
        <f t="shared" si="872"/>
        <v>0</v>
      </c>
      <c r="L4100" s="1079"/>
      <c r="M4100" s="752"/>
      <c r="N4100" s="744">
        <f t="shared" si="874"/>
        <v>0</v>
      </c>
      <c r="O4100" s="745">
        <v>0</v>
      </c>
      <c r="P4100" s="737">
        <v>0</v>
      </c>
      <c r="Q4100" s="752"/>
      <c r="R4100" s="752"/>
      <c r="S4100" s="752"/>
    </row>
    <row r="4101" spans="1:19" s="753" customFormat="1" ht="24" customHeight="1">
      <c r="A4101" s="734"/>
      <c r="B4101" s="747" t="s">
        <v>469</v>
      </c>
      <c r="C4101" s="735" t="s">
        <v>523</v>
      </c>
      <c r="D4101" s="735"/>
      <c r="E4101" s="737">
        <f t="shared" si="873"/>
        <v>1</v>
      </c>
      <c r="F4101" s="738" t="s">
        <v>363</v>
      </c>
      <c r="G4101" s="739">
        <v>6580</v>
      </c>
      <c r="H4101" s="748">
        <f t="shared" si="871"/>
        <v>6580</v>
      </c>
      <c r="I4101" s="741">
        <v>450</v>
      </c>
      <c r="J4101" s="749">
        <f t="shared" si="870"/>
        <v>450</v>
      </c>
      <c r="K4101" s="739">
        <f t="shared" si="872"/>
        <v>7030</v>
      </c>
      <c r="L4101" s="1079"/>
      <c r="M4101" s="752"/>
      <c r="N4101" s="744">
        <f t="shared" si="874"/>
        <v>1</v>
      </c>
      <c r="O4101" s="745">
        <v>0</v>
      </c>
      <c r="P4101" s="737">
        <v>1</v>
      </c>
      <c r="Q4101" s="752"/>
      <c r="R4101" s="752"/>
      <c r="S4101" s="752"/>
    </row>
    <row r="4102" spans="1:19" s="753" customFormat="1" ht="24" customHeight="1">
      <c r="A4102" s="734"/>
      <c r="B4102" s="747" t="s">
        <v>469</v>
      </c>
      <c r="C4102" s="735" t="s">
        <v>478</v>
      </c>
      <c r="D4102" s="735"/>
      <c r="E4102" s="737">
        <f t="shared" si="873"/>
        <v>1</v>
      </c>
      <c r="F4102" s="738" t="s">
        <v>363</v>
      </c>
      <c r="G4102" s="739">
        <v>176</v>
      </c>
      <c r="H4102" s="748">
        <f t="shared" si="871"/>
        <v>176</v>
      </c>
      <c r="I4102" s="741">
        <v>0</v>
      </c>
      <c r="J4102" s="749">
        <f t="shared" si="870"/>
        <v>0</v>
      </c>
      <c r="K4102" s="739">
        <f t="shared" si="872"/>
        <v>176</v>
      </c>
      <c r="L4102" s="1079"/>
      <c r="M4102" s="752"/>
      <c r="N4102" s="744">
        <f t="shared" si="874"/>
        <v>1</v>
      </c>
      <c r="O4102" s="745">
        <v>0</v>
      </c>
      <c r="P4102" s="737">
        <v>1</v>
      </c>
      <c r="Q4102" s="752"/>
      <c r="R4102" s="752"/>
      <c r="S4102" s="752"/>
    </row>
    <row r="4103" spans="1:19" s="753" customFormat="1" ht="24" customHeight="1">
      <c r="A4103" s="734"/>
      <c r="B4103" s="747" t="s">
        <v>469</v>
      </c>
      <c r="C4103" s="735" t="s">
        <v>482</v>
      </c>
      <c r="D4103" s="735"/>
      <c r="E4103" s="737">
        <f t="shared" si="873"/>
        <v>1</v>
      </c>
      <c r="F4103" s="738" t="s">
        <v>363</v>
      </c>
      <c r="G4103" s="739">
        <v>560</v>
      </c>
      <c r="H4103" s="748">
        <f t="shared" si="871"/>
        <v>560</v>
      </c>
      <c r="I4103" s="741">
        <v>35</v>
      </c>
      <c r="J4103" s="749">
        <f t="shared" si="870"/>
        <v>35</v>
      </c>
      <c r="K4103" s="739">
        <f t="shared" si="872"/>
        <v>595</v>
      </c>
      <c r="L4103" s="1079"/>
      <c r="M4103" s="752"/>
      <c r="N4103" s="744">
        <f t="shared" si="874"/>
        <v>1</v>
      </c>
      <c r="O4103" s="745">
        <v>0</v>
      </c>
      <c r="P4103" s="737">
        <v>1</v>
      </c>
      <c r="Q4103" s="752"/>
      <c r="R4103" s="752"/>
      <c r="S4103" s="752"/>
    </row>
    <row r="4104" spans="1:19" s="753" customFormat="1" ht="24" customHeight="1">
      <c r="A4104" s="734"/>
      <c r="B4104" s="747" t="s">
        <v>469</v>
      </c>
      <c r="C4104" s="735" t="s">
        <v>524</v>
      </c>
      <c r="D4104" s="735"/>
      <c r="E4104" s="737">
        <f t="shared" si="873"/>
        <v>1</v>
      </c>
      <c r="F4104" s="738" t="s">
        <v>363</v>
      </c>
      <c r="G4104" s="739">
        <v>216</v>
      </c>
      <c r="H4104" s="748">
        <f t="shared" si="871"/>
        <v>216</v>
      </c>
      <c r="I4104" s="741">
        <v>35</v>
      </c>
      <c r="J4104" s="749">
        <f t="shared" si="870"/>
        <v>35</v>
      </c>
      <c r="K4104" s="739">
        <f t="shared" si="872"/>
        <v>251</v>
      </c>
      <c r="L4104" s="1079"/>
      <c r="M4104" s="752"/>
      <c r="N4104" s="744">
        <f t="shared" si="874"/>
        <v>1</v>
      </c>
      <c r="O4104" s="745">
        <v>0</v>
      </c>
      <c r="P4104" s="737">
        <v>1</v>
      </c>
      <c r="Q4104" s="752"/>
      <c r="R4104" s="752"/>
      <c r="S4104" s="752"/>
    </row>
    <row r="4105" spans="1:19" s="753" customFormat="1" ht="24" customHeight="1">
      <c r="A4105" s="734"/>
      <c r="B4105" s="747"/>
      <c r="C4105" s="735"/>
      <c r="D4105" s="735"/>
      <c r="E4105" s="737">
        <f t="shared" si="873"/>
        <v>0</v>
      </c>
      <c r="F4105" s="738"/>
      <c r="G4105" s="739">
        <v>0</v>
      </c>
      <c r="H4105" s="748">
        <f t="shared" si="871"/>
        <v>0</v>
      </c>
      <c r="I4105" s="741">
        <v>0</v>
      </c>
      <c r="J4105" s="749">
        <f t="shared" si="870"/>
        <v>0</v>
      </c>
      <c r="K4105" s="739">
        <f t="shared" si="872"/>
        <v>0</v>
      </c>
      <c r="L4105" s="1079"/>
      <c r="M4105" s="752"/>
      <c r="N4105" s="744">
        <f t="shared" si="874"/>
        <v>0</v>
      </c>
      <c r="O4105" s="745">
        <v>0</v>
      </c>
      <c r="P4105" s="737">
        <v>0</v>
      </c>
      <c r="Q4105" s="752"/>
      <c r="R4105" s="752"/>
      <c r="S4105" s="752"/>
    </row>
    <row r="4106" spans="1:19" s="753" customFormat="1" ht="24" customHeight="1">
      <c r="A4106" s="734"/>
      <c r="B4106" s="747" t="s">
        <v>469</v>
      </c>
      <c r="C4106" s="735" t="s">
        <v>486</v>
      </c>
      <c r="D4106" s="735"/>
      <c r="E4106" s="737">
        <f t="shared" si="873"/>
        <v>1</v>
      </c>
      <c r="F4106" s="738" t="s">
        <v>363</v>
      </c>
      <c r="G4106" s="739">
        <v>552</v>
      </c>
      <c r="H4106" s="748">
        <f t="shared" si="871"/>
        <v>552</v>
      </c>
      <c r="I4106" s="741">
        <v>25</v>
      </c>
      <c r="J4106" s="749">
        <f t="shared" si="870"/>
        <v>25</v>
      </c>
      <c r="K4106" s="739">
        <f t="shared" si="872"/>
        <v>577</v>
      </c>
      <c r="L4106" s="1079"/>
      <c r="M4106" s="752"/>
      <c r="N4106" s="744">
        <f t="shared" si="874"/>
        <v>1</v>
      </c>
      <c r="O4106" s="745">
        <v>0</v>
      </c>
      <c r="P4106" s="737">
        <v>1</v>
      </c>
      <c r="Q4106" s="752"/>
      <c r="R4106" s="752"/>
      <c r="S4106" s="752"/>
    </row>
    <row r="4107" spans="1:19" s="753" customFormat="1" ht="24" customHeight="1">
      <c r="A4107" s="734"/>
      <c r="B4107" s="747" t="s">
        <v>484</v>
      </c>
      <c r="C4107" s="735" t="s">
        <v>485</v>
      </c>
      <c r="D4107" s="735"/>
      <c r="E4107" s="737">
        <f t="shared" si="873"/>
        <v>1</v>
      </c>
      <c r="F4107" s="738" t="s">
        <v>363</v>
      </c>
      <c r="G4107" s="739">
        <v>285</v>
      </c>
      <c r="H4107" s="748">
        <f t="shared" si="871"/>
        <v>285</v>
      </c>
      <c r="I4107" s="741">
        <v>75</v>
      </c>
      <c r="J4107" s="749">
        <f t="shared" si="870"/>
        <v>75</v>
      </c>
      <c r="K4107" s="739">
        <f t="shared" si="872"/>
        <v>360</v>
      </c>
      <c r="L4107" s="1093"/>
      <c r="M4107" s="752"/>
      <c r="N4107" s="744">
        <f t="shared" si="874"/>
        <v>1</v>
      </c>
      <c r="O4107" s="745">
        <v>0</v>
      </c>
      <c r="P4107" s="737">
        <v>1</v>
      </c>
      <c r="Q4107" s="752"/>
      <c r="R4107" s="752"/>
      <c r="S4107" s="752"/>
    </row>
    <row r="4108" spans="1:19" s="753" customFormat="1" ht="24" customHeight="1">
      <c r="A4108" s="734"/>
      <c r="B4108" s="747"/>
      <c r="C4108" s="735"/>
      <c r="D4108" s="735"/>
      <c r="E4108" s="737">
        <f t="shared" si="873"/>
        <v>0</v>
      </c>
      <c r="F4108" s="738"/>
      <c r="G4108" s="739">
        <v>0</v>
      </c>
      <c r="H4108" s="748">
        <f t="shared" si="871"/>
        <v>0</v>
      </c>
      <c r="I4108" s="741">
        <v>0</v>
      </c>
      <c r="J4108" s="749">
        <f t="shared" si="870"/>
        <v>0</v>
      </c>
      <c r="K4108" s="739">
        <f t="shared" si="872"/>
        <v>0</v>
      </c>
      <c r="L4108" s="1079"/>
      <c r="M4108" s="752"/>
      <c r="N4108" s="744">
        <f t="shared" si="874"/>
        <v>0</v>
      </c>
      <c r="O4108" s="745">
        <v>0</v>
      </c>
      <c r="P4108" s="737">
        <v>0</v>
      </c>
      <c r="Q4108" s="752"/>
      <c r="R4108" s="752"/>
      <c r="S4108" s="752"/>
    </row>
    <row r="4109" spans="1:19" s="753" customFormat="1" ht="24" customHeight="1">
      <c r="A4109" s="734"/>
      <c r="B4109" s="747" t="s">
        <v>469</v>
      </c>
      <c r="C4109" s="735" t="s">
        <v>507</v>
      </c>
      <c r="D4109" s="735"/>
      <c r="E4109" s="737">
        <f t="shared" si="873"/>
        <v>1</v>
      </c>
      <c r="F4109" s="738" t="s">
        <v>363</v>
      </c>
      <c r="G4109" s="739">
        <v>1650</v>
      </c>
      <c r="H4109" s="748">
        <f t="shared" si="871"/>
        <v>1650</v>
      </c>
      <c r="I4109" s="741">
        <v>70</v>
      </c>
      <c r="J4109" s="749">
        <f t="shared" si="870"/>
        <v>70</v>
      </c>
      <c r="K4109" s="739">
        <f t="shared" si="872"/>
        <v>1720</v>
      </c>
      <c r="L4109" s="1079"/>
      <c r="M4109" s="752"/>
      <c r="N4109" s="744">
        <f t="shared" si="874"/>
        <v>1</v>
      </c>
      <c r="O4109" s="745">
        <v>0</v>
      </c>
      <c r="P4109" s="737">
        <v>1</v>
      </c>
      <c r="Q4109" s="752"/>
      <c r="R4109" s="752"/>
      <c r="S4109" s="752"/>
    </row>
    <row r="4110" spans="1:19" s="753" customFormat="1" ht="24" customHeight="1">
      <c r="A4110" s="734"/>
      <c r="B4110" s="747" t="s">
        <v>469</v>
      </c>
      <c r="C4110" s="735" t="s">
        <v>525</v>
      </c>
      <c r="D4110" s="735"/>
      <c r="E4110" s="737">
        <f t="shared" si="873"/>
        <v>2</v>
      </c>
      <c r="F4110" s="738" t="s">
        <v>363</v>
      </c>
      <c r="G4110" s="739">
        <v>4160</v>
      </c>
      <c r="H4110" s="748">
        <f t="shared" si="871"/>
        <v>8320</v>
      </c>
      <c r="I4110" s="741">
        <v>105</v>
      </c>
      <c r="J4110" s="749">
        <f t="shared" si="870"/>
        <v>210</v>
      </c>
      <c r="K4110" s="739">
        <f t="shared" si="872"/>
        <v>8530</v>
      </c>
      <c r="L4110" s="1079"/>
      <c r="M4110" s="752"/>
      <c r="N4110" s="744">
        <f t="shared" si="874"/>
        <v>2</v>
      </c>
      <c r="O4110" s="745">
        <v>0</v>
      </c>
      <c r="P4110" s="737">
        <v>2</v>
      </c>
      <c r="Q4110" s="752"/>
      <c r="R4110" s="752"/>
      <c r="S4110" s="752"/>
    </row>
    <row r="4111" spans="1:19" s="753" customFormat="1" ht="24" customHeight="1">
      <c r="A4111" s="734"/>
      <c r="B4111" s="747" t="s">
        <v>469</v>
      </c>
      <c r="C4111" s="735" t="s">
        <v>526</v>
      </c>
      <c r="D4111" s="735"/>
      <c r="E4111" s="737">
        <f t="shared" si="873"/>
        <v>1</v>
      </c>
      <c r="F4111" s="738" t="s">
        <v>363</v>
      </c>
      <c r="G4111" s="739">
        <v>2533.5</v>
      </c>
      <c r="H4111" s="748">
        <f t="shared" si="871"/>
        <v>2533.5</v>
      </c>
      <c r="I4111" s="741">
        <v>105</v>
      </c>
      <c r="J4111" s="749">
        <f t="shared" si="870"/>
        <v>105</v>
      </c>
      <c r="K4111" s="739">
        <f t="shared" si="872"/>
        <v>2638.5</v>
      </c>
      <c r="L4111" s="1079"/>
      <c r="M4111" s="752"/>
      <c r="N4111" s="744">
        <f t="shared" si="874"/>
        <v>1</v>
      </c>
      <c r="O4111" s="745">
        <v>0</v>
      </c>
      <c r="P4111" s="737">
        <v>1</v>
      </c>
      <c r="Q4111" s="752"/>
      <c r="R4111" s="752"/>
      <c r="S4111" s="752"/>
    </row>
    <row r="4112" spans="1:19" s="753" customFormat="1" ht="24" customHeight="1">
      <c r="A4112" s="734"/>
      <c r="B4112" s="747" t="s">
        <v>469</v>
      </c>
      <c r="C4112" s="735" t="s">
        <v>527</v>
      </c>
      <c r="D4112" s="735"/>
      <c r="E4112" s="737">
        <f t="shared" si="873"/>
        <v>1</v>
      </c>
      <c r="F4112" s="738" t="s">
        <v>363</v>
      </c>
      <c r="G4112" s="739">
        <v>2855</v>
      </c>
      <c r="H4112" s="748">
        <f t="shared" si="871"/>
        <v>2855</v>
      </c>
      <c r="I4112" s="741">
        <v>1432</v>
      </c>
      <c r="J4112" s="749">
        <f t="shared" si="870"/>
        <v>1432</v>
      </c>
      <c r="K4112" s="739">
        <f t="shared" si="872"/>
        <v>4287</v>
      </c>
      <c r="L4112" s="1079"/>
      <c r="M4112" s="752"/>
      <c r="N4112" s="744">
        <f t="shared" si="874"/>
        <v>1</v>
      </c>
      <c r="O4112" s="745">
        <v>0</v>
      </c>
      <c r="P4112" s="737">
        <v>1</v>
      </c>
      <c r="Q4112" s="752"/>
      <c r="R4112" s="752"/>
      <c r="S4112" s="752"/>
    </row>
    <row r="4113" spans="1:19" s="682" customFormat="1" ht="24" customHeight="1">
      <c r="A4113" s="734"/>
      <c r="B4113" s="747" t="s">
        <v>469</v>
      </c>
      <c r="C4113" s="735" t="s">
        <v>528</v>
      </c>
      <c r="D4113" s="735"/>
      <c r="E4113" s="737">
        <f t="shared" si="873"/>
        <v>0</v>
      </c>
      <c r="F4113" s="738" t="s">
        <v>363</v>
      </c>
      <c r="G4113" s="739">
        <v>9750</v>
      </c>
      <c r="H4113" s="748">
        <f t="shared" si="871"/>
        <v>0</v>
      </c>
      <c r="I4113" s="741">
        <v>105</v>
      </c>
      <c r="J4113" s="749">
        <f t="shared" si="870"/>
        <v>0</v>
      </c>
      <c r="K4113" s="739">
        <f t="shared" si="872"/>
        <v>0</v>
      </c>
      <c r="L4113" s="1079"/>
      <c r="M4113" s="679"/>
      <c r="N4113" s="744">
        <f t="shared" si="874"/>
        <v>0</v>
      </c>
      <c r="O4113" s="745">
        <v>0</v>
      </c>
      <c r="P4113" s="737">
        <v>0</v>
      </c>
      <c r="Q4113" s="679"/>
      <c r="R4113" s="679"/>
      <c r="S4113" s="679"/>
    </row>
    <row r="4114" spans="1:19" s="682" customFormat="1" ht="24" customHeight="1">
      <c r="A4114" s="734"/>
      <c r="B4114" s="747" t="s">
        <v>469</v>
      </c>
      <c r="C4114" s="735" t="s">
        <v>529</v>
      </c>
      <c r="D4114" s="735"/>
      <c r="E4114" s="737">
        <f t="shared" si="873"/>
        <v>0</v>
      </c>
      <c r="F4114" s="738" t="s">
        <v>363</v>
      </c>
      <c r="G4114" s="739">
        <v>5200</v>
      </c>
      <c r="H4114" s="748">
        <f t="shared" si="871"/>
        <v>0</v>
      </c>
      <c r="I4114" s="741">
        <v>70</v>
      </c>
      <c r="J4114" s="749">
        <f t="shared" si="870"/>
        <v>0</v>
      </c>
      <c r="K4114" s="739">
        <f t="shared" si="872"/>
        <v>0</v>
      </c>
      <c r="L4114" s="1079"/>
      <c r="M4114" s="679"/>
      <c r="N4114" s="744">
        <f t="shared" si="874"/>
        <v>0</v>
      </c>
      <c r="O4114" s="745">
        <v>0</v>
      </c>
      <c r="P4114" s="737">
        <v>0</v>
      </c>
      <c r="Q4114" s="679"/>
      <c r="R4114" s="679"/>
      <c r="S4114" s="679"/>
    </row>
    <row r="4115" spans="1:19" s="682" customFormat="1" ht="24" customHeight="1">
      <c r="A4115" s="734"/>
      <c r="B4115" s="747" t="s">
        <v>469</v>
      </c>
      <c r="C4115" s="735" t="s">
        <v>519</v>
      </c>
      <c r="D4115" s="735"/>
      <c r="E4115" s="737">
        <f t="shared" si="873"/>
        <v>1</v>
      </c>
      <c r="F4115" s="738" t="s">
        <v>363</v>
      </c>
      <c r="G4115" s="739">
        <v>800</v>
      </c>
      <c r="H4115" s="748">
        <f t="shared" si="871"/>
        <v>800</v>
      </c>
      <c r="I4115" s="741">
        <v>70</v>
      </c>
      <c r="J4115" s="749">
        <f t="shared" si="870"/>
        <v>70</v>
      </c>
      <c r="K4115" s="739">
        <f t="shared" si="872"/>
        <v>870</v>
      </c>
      <c r="L4115" s="1079"/>
      <c r="M4115" s="679"/>
      <c r="N4115" s="744">
        <f t="shared" si="874"/>
        <v>1</v>
      </c>
      <c r="O4115" s="745">
        <v>0</v>
      </c>
      <c r="P4115" s="737">
        <v>1</v>
      </c>
      <c r="Q4115" s="679"/>
      <c r="R4115" s="679"/>
      <c r="S4115" s="679"/>
    </row>
    <row r="4116" spans="1:19" s="682" customFormat="1" ht="24" customHeight="1">
      <c r="A4116" s="734"/>
      <c r="B4116" s="747" t="s">
        <v>469</v>
      </c>
      <c r="C4116" s="735" t="s">
        <v>520</v>
      </c>
      <c r="D4116" s="735"/>
      <c r="E4116" s="737">
        <f t="shared" si="873"/>
        <v>0</v>
      </c>
      <c r="F4116" s="738" t="s">
        <v>361</v>
      </c>
      <c r="G4116" s="739">
        <v>190</v>
      </c>
      <c r="H4116" s="748">
        <f t="shared" si="871"/>
        <v>0</v>
      </c>
      <c r="I4116" s="741">
        <v>75</v>
      </c>
      <c r="J4116" s="749">
        <f t="shared" si="870"/>
        <v>0</v>
      </c>
      <c r="K4116" s="739">
        <f t="shared" si="872"/>
        <v>0</v>
      </c>
      <c r="L4116" s="1079"/>
      <c r="M4116" s="679"/>
      <c r="N4116" s="744">
        <f t="shared" si="874"/>
        <v>0</v>
      </c>
      <c r="O4116" s="745">
        <v>0</v>
      </c>
      <c r="P4116" s="737">
        <v>0</v>
      </c>
      <c r="Q4116" s="679"/>
      <c r="R4116" s="679"/>
      <c r="S4116" s="679"/>
    </row>
    <row r="4117" spans="1:19" s="753" customFormat="1" ht="24" customHeight="1">
      <c r="A4117" s="734"/>
      <c r="B4117" s="747"/>
      <c r="C4117" s="735"/>
      <c r="D4117" s="735"/>
      <c r="E4117" s="737">
        <f t="shared" si="873"/>
        <v>0</v>
      </c>
      <c r="F4117" s="738"/>
      <c r="G4117" s="739">
        <v>0</v>
      </c>
      <c r="H4117" s="748">
        <f t="shared" si="871"/>
        <v>0</v>
      </c>
      <c r="I4117" s="741">
        <v>0</v>
      </c>
      <c r="J4117" s="749">
        <f t="shared" si="870"/>
        <v>0</v>
      </c>
      <c r="K4117" s="739">
        <f t="shared" si="872"/>
        <v>0</v>
      </c>
      <c r="L4117" s="1079"/>
      <c r="M4117" s="752"/>
      <c r="N4117" s="758">
        <f t="shared" si="874"/>
        <v>0</v>
      </c>
      <c r="O4117" s="745">
        <v>0</v>
      </c>
      <c r="P4117" s="759"/>
      <c r="Q4117" s="752"/>
      <c r="R4117" s="752"/>
      <c r="S4117" s="752"/>
    </row>
    <row r="4118" spans="1:19" s="753" customFormat="1" ht="24" customHeight="1">
      <c r="A4118" s="734"/>
      <c r="B4118" s="735" t="s">
        <v>1075</v>
      </c>
      <c r="C4118" s="736"/>
      <c r="D4118" s="907"/>
      <c r="E4118" s="737">
        <f t="shared" si="873"/>
        <v>0</v>
      </c>
      <c r="F4118" s="738"/>
      <c r="G4118" s="739">
        <v>0</v>
      </c>
      <c r="H4118" s="748">
        <f t="shared" ref="H4118:H4184" si="875">SUM(E4118*G4118)</f>
        <v>0</v>
      </c>
      <c r="I4118" s="741">
        <v>0</v>
      </c>
      <c r="J4118" s="749">
        <f t="shared" ref="J4118:J4184" si="876">SUM(E4118*I4118)</f>
        <v>0</v>
      </c>
      <c r="K4118" s="739">
        <f t="shared" si="872"/>
        <v>0</v>
      </c>
      <c r="L4118" s="1079"/>
      <c r="M4118" s="752"/>
      <c r="N4118" s="744">
        <f t="shared" si="874"/>
        <v>0</v>
      </c>
      <c r="O4118" s="745">
        <v>0</v>
      </c>
      <c r="P4118" s="737">
        <v>0</v>
      </c>
      <c r="Q4118" s="752"/>
      <c r="R4118" s="752"/>
      <c r="S4118" s="752"/>
    </row>
    <row r="4119" spans="1:19" s="753" customFormat="1" ht="24" customHeight="1">
      <c r="A4119" s="734"/>
      <c r="B4119" s="747" t="s">
        <v>469</v>
      </c>
      <c r="C4119" s="735" t="s">
        <v>497</v>
      </c>
      <c r="D4119" s="735"/>
      <c r="E4119" s="737">
        <f t="shared" si="873"/>
        <v>4</v>
      </c>
      <c r="F4119" s="738" t="s">
        <v>363</v>
      </c>
      <c r="G4119" s="739">
        <v>1540</v>
      </c>
      <c r="H4119" s="748">
        <f t="shared" si="875"/>
        <v>6160</v>
      </c>
      <c r="I4119" s="741">
        <v>450</v>
      </c>
      <c r="J4119" s="749">
        <f t="shared" si="876"/>
        <v>1800</v>
      </c>
      <c r="K4119" s="739">
        <f t="shared" si="872"/>
        <v>7960</v>
      </c>
      <c r="L4119" s="1079"/>
      <c r="M4119" s="752"/>
      <c r="N4119" s="744">
        <f t="shared" si="874"/>
        <v>4</v>
      </c>
      <c r="O4119" s="745">
        <v>0</v>
      </c>
      <c r="P4119" s="737">
        <v>4</v>
      </c>
      <c r="Q4119" s="752"/>
      <c r="R4119" s="752"/>
      <c r="S4119" s="752"/>
    </row>
    <row r="4120" spans="1:19" s="753" customFormat="1" ht="24" customHeight="1">
      <c r="A4120" s="734"/>
      <c r="B4120" s="747" t="s">
        <v>469</v>
      </c>
      <c r="C4120" s="735" t="s">
        <v>498</v>
      </c>
      <c r="D4120" s="735"/>
      <c r="E4120" s="737">
        <f t="shared" si="873"/>
        <v>4</v>
      </c>
      <c r="F4120" s="738" t="s">
        <v>363</v>
      </c>
      <c r="G4120" s="739">
        <v>6640</v>
      </c>
      <c r="H4120" s="748">
        <f t="shared" si="875"/>
        <v>26560</v>
      </c>
      <c r="I4120" s="741">
        <v>200</v>
      </c>
      <c r="J4120" s="749">
        <f t="shared" si="876"/>
        <v>800</v>
      </c>
      <c r="K4120" s="739">
        <f t="shared" si="872"/>
        <v>27360</v>
      </c>
      <c r="L4120" s="1079"/>
      <c r="M4120" s="752"/>
      <c r="N4120" s="744">
        <f t="shared" si="874"/>
        <v>4</v>
      </c>
      <c r="O4120" s="745">
        <v>0</v>
      </c>
      <c r="P4120" s="737">
        <v>4</v>
      </c>
      <c r="Q4120" s="752"/>
      <c r="R4120" s="752"/>
      <c r="S4120" s="752"/>
    </row>
    <row r="4121" spans="1:19" s="753" customFormat="1" ht="24" customHeight="1">
      <c r="A4121" s="734"/>
      <c r="B4121" s="747" t="s">
        <v>469</v>
      </c>
      <c r="C4121" s="735" t="s">
        <v>496</v>
      </c>
      <c r="D4121" s="735"/>
      <c r="E4121" s="737">
        <f t="shared" si="873"/>
        <v>4</v>
      </c>
      <c r="F4121" s="738" t="s">
        <v>363</v>
      </c>
      <c r="G4121" s="739">
        <v>336</v>
      </c>
      <c r="H4121" s="748">
        <f t="shared" si="875"/>
        <v>1344</v>
      </c>
      <c r="I4121" s="741">
        <v>0</v>
      </c>
      <c r="J4121" s="749">
        <f t="shared" si="876"/>
        <v>0</v>
      </c>
      <c r="K4121" s="739">
        <f t="shared" si="872"/>
        <v>1344</v>
      </c>
      <c r="L4121" s="1079"/>
      <c r="M4121" s="752"/>
      <c r="N4121" s="744">
        <f t="shared" si="874"/>
        <v>4</v>
      </c>
      <c r="O4121" s="745">
        <v>0</v>
      </c>
      <c r="P4121" s="737">
        <v>4</v>
      </c>
      <c r="Q4121" s="752"/>
      <c r="R4121" s="752"/>
      <c r="S4121" s="752"/>
    </row>
    <row r="4122" spans="1:19" s="753" customFormat="1" ht="24" customHeight="1">
      <c r="A4122" s="734"/>
      <c r="B4122" s="747" t="s">
        <v>469</v>
      </c>
      <c r="C4122" s="735" t="s">
        <v>490</v>
      </c>
      <c r="D4122" s="735"/>
      <c r="E4122" s="737">
        <f t="shared" si="873"/>
        <v>4</v>
      </c>
      <c r="F4122" s="738" t="s">
        <v>363</v>
      </c>
      <c r="G4122" s="739">
        <v>736</v>
      </c>
      <c r="H4122" s="748">
        <f t="shared" si="875"/>
        <v>2944</v>
      </c>
      <c r="I4122" s="741">
        <v>0</v>
      </c>
      <c r="J4122" s="749">
        <f t="shared" si="876"/>
        <v>0</v>
      </c>
      <c r="K4122" s="739">
        <f t="shared" si="872"/>
        <v>2944</v>
      </c>
      <c r="L4122" s="1079"/>
      <c r="M4122" s="752"/>
      <c r="N4122" s="744">
        <f t="shared" si="874"/>
        <v>4</v>
      </c>
      <c r="O4122" s="745">
        <v>0</v>
      </c>
      <c r="P4122" s="737">
        <v>4</v>
      </c>
      <c r="Q4122" s="752"/>
      <c r="R4122" s="752"/>
      <c r="S4122" s="752"/>
    </row>
    <row r="4123" spans="1:19" s="753" customFormat="1" ht="24" customHeight="1">
      <c r="A4123" s="734"/>
      <c r="B4123" s="747" t="s">
        <v>469</v>
      </c>
      <c r="C4123" s="735" t="s">
        <v>478</v>
      </c>
      <c r="D4123" s="735"/>
      <c r="E4123" s="737">
        <f t="shared" si="873"/>
        <v>4</v>
      </c>
      <c r="F4123" s="738" t="s">
        <v>363</v>
      </c>
      <c r="G4123" s="739">
        <v>176</v>
      </c>
      <c r="H4123" s="748">
        <f t="shared" si="875"/>
        <v>704</v>
      </c>
      <c r="I4123" s="741">
        <v>0</v>
      </c>
      <c r="J4123" s="749">
        <f t="shared" si="876"/>
        <v>0</v>
      </c>
      <c r="K4123" s="739">
        <f t="shared" si="872"/>
        <v>704</v>
      </c>
      <c r="L4123" s="1079"/>
      <c r="M4123" s="752"/>
      <c r="N4123" s="744">
        <f t="shared" si="874"/>
        <v>4</v>
      </c>
      <c r="O4123" s="745">
        <v>0</v>
      </c>
      <c r="P4123" s="737">
        <v>4</v>
      </c>
      <c r="Q4123" s="752"/>
      <c r="R4123" s="752"/>
      <c r="S4123" s="752"/>
    </row>
    <row r="4124" spans="1:19" s="753" customFormat="1" ht="24" customHeight="1">
      <c r="A4124" s="734"/>
      <c r="B4124" s="747" t="s">
        <v>469</v>
      </c>
      <c r="C4124" s="735" t="s">
        <v>499</v>
      </c>
      <c r="D4124" s="735"/>
      <c r="E4124" s="737">
        <f t="shared" si="873"/>
        <v>4</v>
      </c>
      <c r="F4124" s="738" t="s">
        <v>363</v>
      </c>
      <c r="G4124" s="739">
        <v>216</v>
      </c>
      <c r="H4124" s="748">
        <f t="shared" si="875"/>
        <v>864</v>
      </c>
      <c r="I4124" s="741">
        <v>35</v>
      </c>
      <c r="J4124" s="749">
        <f t="shared" si="876"/>
        <v>140</v>
      </c>
      <c r="K4124" s="739">
        <f t="shared" si="872"/>
        <v>1004</v>
      </c>
      <c r="L4124" s="1079"/>
      <c r="M4124" s="752"/>
      <c r="N4124" s="744">
        <f t="shared" si="874"/>
        <v>4</v>
      </c>
      <c r="O4124" s="745">
        <v>0</v>
      </c>
      <c r="P4124" s="737">
        <v>4</v>
      </c>
      <c r="Q4124" s="752"/>
      <c r="R4124" s="752"/>
      <c r="S4124" s="752"/>
    </row>
    <row r="4125" spans="1:19" s="753" customFormat="1" ht="24" customHeight="1">
      <c r="A4125" s="734"/>
      <c r="B4125" s="750"/>
      <c r="C4125" s="736"/>
      <c r="D4125" s="907"/>
      <c r="E4125" s="737">
        <f t="shared" si="873"/>
        <v>0</v>
      </c>
      <c r="F4125" s="738"/>
      <c r="G4125" s="739">
        <v>0</v>
      </c>
      <c r="H4125" s="748">
        <f t="shared" si="875"/>
        <v>0</v>
      </c>
      <c r="I4125" s="741">
        <v>0</v>
      </c>
      <c r="J4125" s="749">
        <f t="shared" si="876"/>
        <v>0</v>
      </c>
      <c r="K4125" s="739">
        <f t="shared" si="872"/>
        <v>0</v>
      </c>
      <c r="L4125" s="1079"/>
      <c r="M4125" s="752"/>
      <c r="N4125" s="744">
        <f t="shared" si="874"/>
        <v>0</v>
      </c>
      <c r="O4125" s="745">
        <v>0</v>
      </c>
      <c r="P4125" s="737">
        <v>0</v>
      </c>
      <c r="Q4125" s="752"/>
      <c r="R4125" s="752"/>
      <c r="S4125" s="752"/>
    </row>
    <row r="4126" spans="1:19" s="753" customFormat="1" ht="24" customHeight="1">
      <c r="A4126" s="734"/>
      <c r="B4126" s="747" t="s">
        <v>469</v>
      </c>
      <c r="C4126" s="735" t="s">
        <v>492</v>
      </c>
      <c r="D4126" s="735"/>
      <c r="E4126" s="737">
        <f t="shared" si="873"/>
        <v>5</v>
      </c>
      <c r="F4126" s="738" t="s">
        <v>363</v>
      </c>
      <c r="G4126" s="739">
        <v>9375</v>
      </c>
      <c r="H4126" s="748">
        <f t="shared" si="875"/>
        <v>46875</v>
      </c>
      <c r="I4126" s="741">
        <v>450</v>
      </c>
      <c r="J4126" s="749">
        <f t="shared" si="876"/>
        <v>2250</v>
      </c>
      <c r="K4126" s="739">
        <f t="shared" si="872"/>
        <v>49125</v>
      </c>
      <c r="L4126" s="1079"/>
      <c r="M4126" s="752"/>
      <c r="N4126" s="744">
        <f t="shared" si="874"/>
        <v>5</v>
      </c>
      <c r="O4126" s="745">
        <v>0</v>
      </c>
      <c r="P4126" s="737">
        <v>5</v>
      </c>
      <c r="Q4126" s="752"/>
      <c r="R4126" s="752"/>
      <c r="S4126" s="752"/>
    </row>
    <row r="4127" spans="1:19" s="753" customFormat="1" ht="24" customHeight="1">
      <c r="A4127" s="734"/>
      <c r="B4127" s="747" t="s">
        <v>469</v>
      </c>
      <c r="C4127" s="735" t="s">
        <v>500</v>
      </c>
      <c r="D4127" s="735"/>
      <c r="E4127" s="737">
        <f t="shared" si="873"/>
        <v>5</v>
      </c>
      <c r="F4127" s="738" t="s">
        <v>363</v>
      </c>
      <c r="G4127" s="739">
        <v>12752</v>
      </c>
      <c r="H4127" s="748">
        <f t="shared" si="875"/>
        <v>63760</v>
      </c>
      <c r="I4127" s="741">
        <v>0</v>
      </c>
      <c r="J4127" s="749">
        <f t="shared" si="876"/>
        <v>0</v>
      </c>
      <c r="K4127" s="739">
        <f t="shared" si="872"/>
        <v>63760</v>
      </c>
      <c r="L4127" s="1079"/>
      <c r="M4127" s="752"/>
      <c r="N4127" s="744">
        <f t="shared" si="874"/>
        <v>5</v>
      </c>
      <c r="O4127" s="745">
        <v>0</v>
      </c>
      <c r="P4127" s="737">
        <v>5</v>
      </c>
      <c r="Q4127" s="752"/>
      <c r="R4127" s="752"/>
      <c r="S4127" s="752"/>
    </row>
    <row r="4128" spans="1:19" s="753" customFormat="1" ht="24" customHeight="1">
      <c r="A4128" s="734"/>
      <c r="B4128" s="747" t="s">
        <v>469</v>
      </c>
      <c r="C4128" s="735" t="s">
        <v>501</v>
      </c>
      <c r="D4128" s="735"/>
      <c r="E4128" s="737">
        <v>0</v>
      </c>
      <c r="F4128" s="738" t="s">
        <v>363</v>
      </c>
      <c r="G4128" s="739">
        <v>1950</v>
      </c>
      <c r="H4128" s="748">
        <f t="shared" si="875"/>
        <v>0</v>
      </c>
      <c r="I4128" s="741">
        <v>35</v>
      </c>
      <c r="J4128" s="749">
        <f t="shared" si="876"/>
        <v>0</v>
      </c>
      <c r="K4128" s="739">
        <f t="shared" si="872"/>
        <v>0</v>
      </c>
      <c r="L4128" s="1079"/>
      <c r="M4128" s="752"/>
      <c r="N4128" s="744">
        <f t="shared" si="874"/>
        <v>5</v>
      </c>
      <c r="O4128" s="745">
        <v>0</v>
      </c>
      <c r="P4128" s="737">
        <v>5</v>
      </c>
      <c r="Q4128" s="752"/>
      <c r="R4128" s="752"/>
      <c r="S4128" s="752"/>
    </row>
    <row r="4129" spans="1:19" s="753" customFormat="1" ht="24" customHeight="1">
      <c r="A4129" s="734"/>
      <c r="B4129" s="747" t="s">
        <v>469</v>
      </c>
      <c r="C4129" s="735" t="s">
        <v>502</v>
      </c>
      <c r="D4129" s="735"/>
      <c r="E4129" s="737">
        <f t="shared" si="873"/>
        <v>5</v>
      </c>
      <c r="F4129" s="738" t="s">
        <v>363</v>
      </c>
      <c r="G4129" s="739">
        <v>216</v>
      </c>
      <c r="H4129" s="748">
        <f t="shared" si="875"/>
        <v>1080</v>
      </c>
      <c r="I4129" s="741">
        <v>35</v>
      </c>
      <c r="J4129" s="749">
        <f t="shared" si="876"/>
        <v>175</v>
      </c>
      <c r="K4129" s="739">
        <f t="shared" si="872"/>
        <v>1255</v>
      </c>
      <c r="L4129" s="1079"/>
      <c r="M4129" s="752"/>
      <c r="N4129" s="744">
        <f t="shared" si="874"/>
        <v>5</v>
      </c>
      <c r="O4129" s="745">
        <v>0</v>
      </c>
      <c r="P4129" s="737">
        <v>5</v>
      </c>
      <c r="Q4129" s="752"/>
      <c r="R4129" s="752"/>
      <c r="S4129" s="752"/>
    </row>
    <row r="4130" spans="1:19" s="753" customFormat="1" ht="24" customHeight="1">
      <c r="A4130" s="734"/>
      <c r="B4130" s="747" t="s">
        <v>469</v>
      </c>
      <c r="C4130" s="735" t="s">
        <v>503</v>
      </c>
      <c r="D4130" s="735"/>
      <c r="E4130" s="737">
        <f t="shared" si="873"/>
        <v>8</v>
      </c>
      <c r="F4130" s="738" t="s">
        <v>363</v>
      </c>
      <c r="G4130" s="739">
        <v>3920</v>
      </c>
      <c r="H4130" s="748">
        <f t="shared" si="875"/>
        <v>31360</v>
      </c>
      <c r="I4130" s="741">
        <v>450</v>
      </c>
      <c r="J4130" s="749">
        <f t="shared" si="876"/>
        <v>3600</v>
      </c>
      <c r="K4130" s="739">
        <f t="shared" si="872"/>
        <v>34960</v>
      </c>
      <c r="L4130" s="1079"/>
      <c r="M4130" s="752"/>
      <c r="N4130" s="744">
        <f t="shared" si="874"/>
        <v>8</v>
      </c>
      <c r="O4130" s="745">
        <v>0</v>
      </c>
      <c r="P4130" s="737">
        <v>8</v>
      </c>
      <c r="Q4130" s="752"/>
      <c r="R4130" s="752"/>
      <c r="S4130" s="752"/>
    </row>
    <row r="4131" spans="1:19" s="753" customFormat="1" ht="24" customHeight="1">
      <c r="A4131" s="734"/>
      <c r="B4131" s="747" t="s">
        <v>469</v>
      </c>
      <c r="C4131" s="735" t="s">
        <v>504</v>
      </c>
      <c r="D4131" s="735"/>
      <c r="E4131" s="737">
        <f t="shared" si="873"/>
        <v>8</v>
      </c>
      <c r="F4131" s="738" t="s">
        <v>363</v>
      </c>
      <c r="G4131" s="739">
        <v>12752</v>
      </c>
      <c r="H4131" s="748">
        <f t="shared" si="875"/>
        <v>102016</v>
      </c>
      <c r="I4131" s="741">
        <v>0</v>
      </c>
      <c r="J4131" s="749">
        <f t="shared" si="876"/>
        <v>0</v>
      </c>
      <c r="K4131" s="739">
        <f t="shared" si="872"/>
        <v>102016</v>
      </c>
      <c r="L4131" s="1079"/>
      <c r="M4131" s="752"/>
      <c r="N4131" s="744">
        <f t="shared" si="874"/>
        <v>8</v>
      </c>
      <c r="O4131" s="745">
        <v>0</v>
      </c>
      <c r="P4131" s="737">
        <v>8</v>
      </c>
      <c r="Q4131" s="752"/>
      <c r="R4131" s="752"/>
      <c r="S4131" s="752"/>
    </row>
    <row r="4132" spans="1:19" s="682" customFormat="1" ht="24" customHeight="1">
      <c r="A4132" s="734"/>
      <c r="B4132" s="747" t="s">
        <v>469</v>
      </c>
      <c r="C4132" s="735" t="s">
        <v>505</v>
      </c>
      <c r="D4132" s="735"/>
      <c r="E4132" s="737">
        <f t="shared" si="873"/>
        <v>6</v>
      </c>
      <c r="F4132" s="738" t="s">
        <v>363</v>
      </c>
      <c r="G4132" s="739">
        <v>2280</v>
      </c>
      <c r="H4132" s="748">
        <f t="shared" si="875"/>
        <v>13680</v>
      </c>
      <c r="I4132" s="741">
        <v>300</v>
      </c>
      <c r="J4132" s="749">
        <f t="shared" si="876"/>
        <v>1800</v>
      </c>
      <c r="K4132" s="739">
        <f t="shared" si="872"/>
        <v>15480</v>
      </c>
      <c r="L4132" s="1079"/>
      <c r="M4132" s="679"/>
      <c r="N4132" s="744">
        <f t="shared" si="874"/>
        <v>6</v>
      </c>
      <c r="O4132" s="745">
        <v>0</v>
      </c>
      <c r="P4132" s="737">
        <v>6</v>
      </c>
      <c r="Q4132" s="679"/>
      <c r="R4132" s="679"/>
      <c r="S4132" s="679"/>
    </row>
    <row r="4133" spans="1:19" s="682" customFormat="1" ht="24" customHeight="1">
      <c r="A4133" s="734"/>
      <c r="B4133" s="747" t="s">
        <v>469</v>
      </c>
      <c r="C4133" s="735" t="s">
        <v>506</v>
      </c>
      <c r="D4133" s="735"/>
      <c r="E4133" s="737">
        <f t="shared" si="873"/>
        <v>0</v>
      </c>
      <c r="F4133" s="738" t="s">
        <v>363</v>
      </c>
      <c r="G4133" s="739">
        <v>6592</v>
      </c>
      <c r="H4133" s="748">
        <f t="shared" si="875"/>
        <v>0</v>
      </c>
      <c r="I4133" s="741">
        <v>140</v>
      </c>
      <c r="J4133" s="749">
        <f t="shared" si="876"/>
        <v>0</v>
      </c>
      <c r="K4133" s="739">
        <f t="shared" si="872"/>
        <v>0</v>
      </c>
      <c r="L4133" s="1079"/>
      <c r="M4133" s="679"/>
      <c r="N4133" s="744">
        <f t="shared" si="874"/>
        <v>0</v>
      </c>
      <c r="O4133" s="745">
        <v>0</v>
      </c>
      <c r="P4133" s="737">
        <v>0</v>
      </c>
      <c r="Q4133" s="679"/>
      <c r="R4133" s="679"/>
      <c r="S4133" s="679"/>
    </row>
    <row r="4134" spans="1:19" s="753" customFormat="1" ht="24" customHeight="1">
      <c r="A4134" s="734"/>
      <c r="B4134" s="747" t="s">
        <v>484</v>
      </c>
      <c r="C4134" s="735" t="s">
        <v>485</v>
      </c>
      <c r="D4134" s="735"/>
      <c r="E4134" s="737">
        <f t="shared" si="873"/>
        <v>7</v>
      </c>
      <c r="F4134" s="738" t="s">
        <v>363</v>
      </c>
      <c r="G4134" s="739">
        <v>285</v>
      </c>
      <c r="H4134" s="748">
        <f t="shared" si="875"/>
        <v>1995</v>
      </c>
      <c r="I4134" s="741">
        <v>75</v>
      </c>
      <c r="J4134" s="749">
        <f t="shared" si="876"/>
        <v>525</v>
      </c>
      <c r="K4134" s="739">
        <f t="shared" si="872"/>
        <v>2520</v>
      </c>
      <c r="L4134" s="1093"/>
      <c r="M4134" s="752"/>
      <c r="N4134" s="744">
        <f t="shared" si="874"/>
        <v>7</v>
      </c>
      <c r="O4134" s="745">
        <v>0</v>
      </c>
      <c r="P4134" s="737">
        <v>7</v>
      </c>
      <c r="Q4134" s="752"/>
      <c r="R4134" s="752"/>
      <c r="S4134" s="752"/>
    </row>
    <row r="4135" spans="1:19" s="753" customFormat="1" ht="24" customHeight="1">
      <c r="A4135" s="734"/>
      <c r="B4135" s="747" t="s">
        <v>469</v>
      </c>
      <c r="C4135" s="735" t="s">
        <v>486</v>
      </c>
      <c r="D4135" s="735"/>
      <c r="E4135" s="737">
        <f t="shared" si="873"/>
        <v>1</v>
      </c>
      <c r="F4135" s="738" t="s">
        <v>363</v>
      </c>
      <c r="G4135" s="739">
        <v>552</v>
      </c>
      <c r="H4135" s="748">
        <f t="shared" si="875"/>
        <v>552</v>
      </c>
      <c r="I4135" s="741">
        <v>25</v>
      </c>
      <c r="J4135" s="749">
        <f t="shared" si="876"/>
        <v>25</v>
      </c>
      <c r="K4135" s="739">
        <f t="shared" si="872"/>
        <v>577</v>
      </c>
      <c r="L4135" s="1079"/>
      <c r="M4135" s="752"/>
      <c r="N4135" s="744">
        <f t="shared" si="874"/>
        <v>1</v>
      </c>
      <c r="O4135" s="745">
        <v>0</v>
      </c>
      <c r="P4135" s="737">
        <v>1</v>
      </c>
      <c r="Q4135" s="752"/>
      <c r="R4135" s="752"/>
      <c r="S4135" s="752"/>
    </row>
    <row r="4136" spans="1:19" s="753" customFormat="1" ht="24" customHeight="1">
      <c r="A4136" s="734"/>
      <c r="B4136" s="747" t="s">
        <v>469</v>
      </c>
      <c r="C4136" s="735" t="s">
        <v>507</v>
      </c>
      <c r="D4136" s="735"/>
      <c r="E4136" s="737">
        <f t="shared" si="873"/>
        <v>1</v>
      </c>
      <c r="F4136" s="738" t="s">
        <v>363</v>
      </c>
      <c r="G4136" s="739">
        <v>1650</v>
      </c>
      <c r="H4136" s="748">
        <f t="shared" si="875"/>
        <v>1650</v>
      </c>
      <c r="I4136" s="741">
        <v>70</v>
      </c>
      <c r="J4136" s="749">
        <f t="shared" si="876"/>
        <v>70</v>
      </c>
      <c r="K4136" s="739">
        <f t="shared" si="872"/>
        <v>1720</v>
      </c>
      <c r="L4136" s="1079"/>
      <c r="M4136" s="752"/>
      <c r="N4136" s="744">
        <f t="shared" si="874"/>
        <v>1</v>
      </c>
      <c r="O4136" s="745">
        <v>0</v>
      </c>
      <c r="P4136" s="737">
        <v>1</v>
      </c>
      <c r="Q4136" s="752"/>
      <c r="R4136" s="752"/>
      <c r="S4136" s="752"/>
    </row>
    <row r="4137" spans="1:19" s="753" customFormat="1" ht="24" customHeight="1">
      <c r="A4137" s="734"/>
      <c r="B4137" s="747" t="s">
        <v>469</v>
      </c>
      <c r="C4137" s="735" t="s">
        <v>508</v>
      </c>
      <c r="D4137" s="735"/>
      <c r="E4137" s="737">
        <f t="shared" si="873"/>
        <v>5</v>
      </c>
      <c r="F4137" s="738" t="s">
        <v>363</v>
      </c>
      <c r="G4137" s="739">
        <v>13500</v>
      </c>
      <c r="H4137" s="748">
        <f t="shared" si="875"/>
        <v>67500</v>
      </c>
      <c r="I4137" s="741">
        <v>750</v>
      </c>
      <c r="J4137" s="749">
        <f t="shared" si="876"/>
        <v>3750</v>
      </c>
      <c r="K4137" s="739">
        <f t="shared" si="872"/>
        <v>71250</v>
      </c>
      <c r="L4137" s="1079"/>
      <c r="M4137" s="752"/>
      <c r="N4137" s="744">
        <f t="shared" si="874"/>
        <v>5</v>
      </c>
      <c r="O4137" s="745">
        <v>0</v>
      </c>
      <c r="P4137" s="737">
        <v>5</v>
      </c>
      <c r="Q4137" s="752"/>
      <c r="R4137" s="752"/>
      <c r="S4137" s="752"/>
    </row>
    <row r="4138" spans="1:19" s="682" customFormat="1" ht="24" customHeight="1">
      <c r="A4138" s="734"/>
      <c r="B4138" s="747" t="s">
        <v>469</v>
      </c>
      <c r="C4138" s="735" t="s">
        <v>509</v>
      </c>
      <c r="D4138" s="735"/>
      <c r="E4138" s="737">
        <f t="shared" si="873"/>
        <v>1</v>
      </c>
      <c r="F4138" s="738" t="s">
        <v>363</v>
      </c>
      <c r="G4138" s="739">
        <v>14476</v>
      </c>
      <c r="H4138" s="748">
        <f t="shared" si="875"/>
        <v>14476</v>
      </c>
      <c r="I4138" s="741">
        <v>5367</v>
      </c>
      <c r="J4138" s="749">
        <f t="shared" si="876"/>
        <v>5367</v>
      </c>
      <c r="K4138" s="739">
        <f t="shared" si="872"/>
        <v>19843</v>
      </c>
      <c r="L4138" s="1079"/>
      <c r="M4138" s="679"/>
      <c r="N4138" s="744">
        <f t="shared" si="874"/>
        <v>1</v>
      </c>
      <c r="O4138" s="745">
        <v>0</v>
      </c>
      <c r="P4138" s="737">
        <v>1</v>
      </c>
      <c r="Q4138" s="679"/>
      <c r="R4138" s="679"/>
      <c r="S4138" s="679"/>
    </row>
    <row r="4139" spans="1:19" s="753" customFormat="1" ht="24" customHeight="1">
      <c r="A4139" s="734"/>
      <c r="B4139" s="747" t="s">
        <v>469</v>
      </c>
      <c r="C4139" s="735" t="s">
        <v>510</v>
      </c>
      <c r="D4139" s="735"/>
      <c r="E4139" s="737">
        <f t="shared" si="873"/>
        <v>4.1500000000000004</v>
      </c>
      <c r="F4139" s="738" t="s">
        <v>361</v>
      </c>
      <c r="G4139" s="739">
        <v>2694</v>
      </c>
      <c r="H4139" s="748">
        <f t="shared" si="875"/>
        <v>11180.1</v>
      </c>
      <c r="I4139" s="741">
        <v>1288</v>
      </c>
      <c r="J4139" s="749">
        <f t="shared" si="876"/>
        <v>5345.2000000000007</v>
      </c>
      <c r="K4139" s="739">
        <f t="shared" si="872"/>
        <v>16525.300000000003</v>
      </c>
      <c r="L4139" s="1079"/>
      <c r="M4139" s="752"/>
      <c r="N4139" s="744">
        <f t="shared" si="874"/>
        <v>4.1500000000000004</v>
      </c>
      <c r="O4139" s="745">
        <v>0</v>
      </c>
      <c r="P4139" s="737">
        <v>4.1500000000000004</v>
      </c>
      <c r="Q4139" s="752"/>
      <c r="R4139" s="752"/>
      <c r="S4139" s="752"/>
    </row>
    <row r="4140" spans="1:19" s="753" customFormat="1" ht="24" customHeight="1">
      <c r="A4140" s="734"/>
      <c r="B4140" s="747"/>
      <c r="C4140" s="735" t="s">
        <v>511</v>
      </c>
      <c r="D4140" s="735"/>
      <c r="E4140" s="737">
        <f t="shared" si="873"/>
        <v>0</v>
      </c>
      <c r="F4140" s="738"/>
      <c r="G4140" s="739"/>
      <c r="H4140" s="748">
        <f t="shared" si="875"/>
        <v>0</v>
      </c>
      <c r="I4140" s="741"/>
      <c r="J4140" s="749">
        <f t="shared" si="876"/>
        <v>0</v>
      </c>
      <c r="K4140" s="739">
        <f t="shared" si="872"/>
        <v>0</v>
      </c>
      <c r="L4140" s="1079"/>
      <c r="M4140" s="752"/>
      <c r="N4140" s="744">
        <f t="shared" si="874"/>
        <v>0</v>
      </c>
      <c r="O4140" s="745">
        <v>0</v>
      </c>
      <c r="P4140" s="737">
        <v>0</v>
      </c>
      <c r="Q4140" s="752"/>
      <c r="R4140" s="752"/>
      <c r="S4140" s="752"/>
    </row>
    <row r="4141" spans="1:19" s="753" customFormat="1" ht="24" customHeight="1">
      <c r="A4141" s="734"/>
      <c r="B4141" s="747" t="s">
        <v>469</v>
      </c>
      <c r="C4141" s="735" t="s">
        <v>512</v>
      </c>
      <c r="D4141" s="735"/>
      <c r="E4141" s="737">
        <f t="shared" si="873"/>
        <v>4.1500000000000004</v>
      </c>
      <c r="F4141" s="738" t="s">
        <v>361</v>
      </c>
      <c r="G4141" s="739">
        <v>3886</v>
      </c>
      <c r="H4141" s="748">
        <f t="shared" si="875"/>
        <v>16126.900000000001</v>
      </c>
      <c r="I4141" s="741">
        <v>1238</v>
      </c>
      <c r="J4141" s="749">
        <f t="shared" si="876"/>
        <v>5137.7000000000007</v>
      </c>
      <c r="K4141" s="739">
        <f t="shared" si="872"/>
        <v>21264.600000000002</v>
      </c>
      <c r="L4141" s="1079"/>
      <c r="M4141" s="752"/>
      <c r="N4141" s="744">
        <f t="shared" si="874"/>
        <v>4.1500000000000004</v>
      </c>
      <c r="O4141" s="745">
        <v>0</v>
      </c>
      <c r="P4141" s="737">
        <v>4.1500000000000004</v>
      </c>
      <c r="Q4141" s="752"/>
      <c r="R4141" s="752"/>
      <c r="S4141" s="752"/>
    </row>
    <row r="4142" spans="1:19" s="753" customFormat="1" ht="24" customHeight="1">
      <c r="A4142" s="734"/>
      <c r="B4142" s="747"/>
      <c r="C4142" s="735" t="s">
        <v>513</v>
      </c>
      <c r="D4142" s="735"/>
      <c r="E4142" s="737">
        <f t="shared" si="873"/>
        <v>0</v>
      </c>
      <c r="F4142" s="738"/>
      <c r="G4142" s="739">
        <v>0</v>
      </c>
      <c r="H4142" s="748">
        <f t="shared" si="875"/>
        <v>0</v>
      </c>
      <c r="I4142" s="741">
        <v>0</v>
      </c>
      <c r="J4142" s="749">
        <f t="shared" si="876"/>
        <v>0</v>
      </c>
      <c r="K4142" s="739">
        <f t="shared" si="872"/>
        <v>0</v>
      </c>
      <c r="L4142" s="1079"/>
      <c r="M4142" s="752"/>
      <c r="N4142" s="744">
        <f t="shared" si="874"/>
        <v>0</v>
      </c>
      <c r="O4142" s="745">
        <v>0</v>
      </c>
      <c r="P4142" s="737">
        <v>0</v>
      </c>
      <c r="Q4142" s="752"/>
      <c r="R4142" s="752"/>
      <c r="S4142" s="752"/>
    </row>
    <row r="4143" spans="1:19" s="753" customFormat="1" ht="24" customHeight="1">
      <c r="A4143" s="734"/>
      <c r="B4143" s="747" t="s">
        <v>469</v>
      </c>
      <c r="C4143" s="735" t="s">
        <v>514</v>
      </c>
      <c r="D4143" s="735"/>
      <c r="E4143" s="737">
        <f t="shared" si="873"/>
        <v>4.1500000000000004</v>
      </c>
      <c r="F4143" s="738" t="s">
        <v>361</v>
      </c>
      <c r="G4143" s="739">
        <v>1522</v>
      </c>
      <c r="H4143" s="748">
        <f t="shared" si="875"/>
        <v>6316.3</v>
      </c>
      <c r="I4143" s="741">
        <v>315</v>
      </c>
      <c r="J4143" s="749">
        <f t="shared" si="876"/>
        <v>1307.25</v>
      </c>
      <c r="K4143" s="739">
        <f t="shared" si="872"/>
        <v>7623.55</v>
      </c>
      <c r="L4143" s="1079"/>
      <c r="M4143" s="752"/>
      <c r="N4143" s="744">
        <f t="shared" si="874"/>
        <v>4.1500000000000004</v>
      </c>
      <c r="O4143" s="745">
        <v>0</v>
      </c>
      <c r="P4143" s="737">
        <v>4.1500000000000004</v>
      </c>
      <c r="Q4143" s="752"/>
      <c r="R4143" s="752"/>
      <c r="S4143" s="752"/>
    </row>
    <row r="4144" spans="1:19" s="753" customFormat="1" ht="24" customHeight="1">
      <c r="A4144" s="734"/>
      <c r="B4144" s="747"/>
      <c r="C4144" s="735"/>
      <c r="D4144" s="735"/>
      <c r="E4144" s="737">
        <f t="shared" si="873"/>
        <v>0</v>
      </c>
      <c r="F4144" s="738"/>
      <c r="G4144" s="739">
        <v>0</v>
      </c>
      <c r="H4144" s="748">
        <f t="shared" si="875"/>
        <v>0</v>
      </c>
      <c r="I4144" s="741">
        <v>0</v>
      </c>
      <c r="J4144" s="749">
        <f t="shared" si="876"/>
        <v>0</v>
      </c>
      <c r="K4144" s="739">
        <f t="shared" ref="K4144:K4210" si="877">SUM(H4144+J4144)</f>
        <v>0</v>
      </c>
      <c r="L4144" s="1079"/>
      <c r="M4144" s="752"/>
      <c r="N4144" s="744">
        <f t="shared" si="874"/>
        <v>0</v>
      </c>
      <c r="O4144" s="745">
        <v>0</v>
      </c>
      <c r="P4144" s="737">
        <v>0</v>
      </c>
      <c r="Q4144" s="752"/>
      <c r="R4144" s="752"/>
      <c r="S4144" s="752"/>
    </row>
    <row r="4145" spans="1:19" s="682" customFormat="1" ht="24" customHeight="1">
      <c r="A4145" s="734"/>
      <c r="B4145" s="747" t="s">
        <v>469</v>
      </c>
      <c r="C4145" s="735" t="s">
        <v>515</v>
      </c>
      <c r="D4145" s="735"/>
      <c r="E4145" s="737">
        <f t="shared" si="873"/>
        <v>1</v>
      </c>
      <c r="F4145" s="738" t="s">
        <v>363</v>
      </c>
      <c r="G4145" s="739">
        <v>5013</v>
      </c>
      <c r="H4145" s="748">
        <f t="shared" si="875"/>
        <v>5013</v>
      </c>
      <c r="I4145" s="741">
        <v>2403</v>
      </c>
      <c r="J4145" s="749">
        <f t="shared" si="876"/>
        <v>2403</v>
      </c>
      <c r="K4145" s="739">
        <f t="shared" si="877"/>
        <v>7416</v>
      </c>
      <c r="L4145" s="1079"/>
      <c r="M4145" s="679"/>
      <c r="N4145" s="744">
        <f t="shared" si="874"/>
        <v>1</v>
      </c>
      <c r="O4145" s="745">
        <v>0</v>
      </c>
      <c r="P4145" s="737">
        <v>1</v>
      </c>
      <c r="Q4145" s="679"/>
      <c r="R4145" s="679"/>
      <c r="S4145" s="679"/>
    </row>
    <row r="4146" spans="1:19" s="682" customFormat="1" ht="24" customHeight="1">
      <c r="A4146" s="734"/>
      <c r="B4146" s="747"/>
      <c r="C4146" s="735" t="s">
        <v>516</v>
      </c>
      <c r="D4146" s="735"/>
      <c r="E4146" s="737">
        <f t="shared" si="873"/>
        <v>0</v>
      </c>
      <c r="F4146" s="738"/>
      <c r="G4146" s="739"/>
      <c r="H4146" s="748">
        <f t="shared" si="875"/>
        <v>0</v>
      </c>
      <c r="I4146" s="741"/>
      <c r="J4146" s="749">
        <f t="shared" si="876"/>
        <v>0</v>
      </c>
      <c r="K4146" s="739">
        <f t="shared" si="877"/>
        <v>0</v>
      </c>
      <c r="L4146" s="1079"/>
      <c r="M4146" s="679"/>
      <c r="N4146" s="744">
        <f t="shared" si="874"/>
        <v>0</v>
      </c>
      <c r="O4146" s="745">
        <v>0</v>
      </c>
      <c r="P4146" s="737">
        <v>0</v>
      </c>
      <c r="Q4146" s="679"/>
      <c r="R4146" s="679"/>
      <c r="S4146" s="679"/>
    </row>
    <row r="4147" spans="1:19" s="682" customFormat="1" ht="24" customHeight="1">
      <c r="A4147" s="734"/>
      <c r="B4147" s="747"/>
      <c r="C4147" s="735"/>
      <c r="D4147" s="735"/>
      <c r="E4147" s="737">
        <f t="shared" ref="E4147:E4213" si="878">+N4147</f>
        <v>0</v>
      </c>
      <c r="F4147" s="738"/>
      <c r="G4147" s="739"/>
      <c r="H4147" s="748">
        <f t="shared" si="875"/>
        <v>0</v>
      </c>
      <c r="I4147" s="741"/>
      <c r="J4147" s="749">
        <f t="shared" si="876"/>
        <v>0</v>
      </c>
      <c r="K4147" s="739">
        <f t="shared" si="877"/>
        <v>0</v>
      </c>
      <c r="L4147" s="1079"/>
      <c r="M4147" s="679"/>
      <c r="N4147" s="744">
        <f t="shared" si="874"/>
        <v>0</v>
      </c>
      <c r="O4147" s="745">
        <v>0</v>
      </c>
      <c r="P4147" s="737">
        <v>0</v>
      </c>
      <c r="Q4147" s="679"/>
      <c r="R4147" s="679"/>
      <c r="S4147" s="679"/>
    </row>
    <row r="4148" spans="1:19" s="756" customFormat="1" ht="24" customHeight="1">
      <c r="A4148" s="734"/>
      <c r="B4148" s="747" t="s">
        <v>469</v>
      </c>
      <c r="C4148" s="735" t="s">
        <v>517</v>
      </c>
      <c r="D4148" s="907"/>
      <c r="E4148" s="737">
        <f t="shared" si="878"/>
        <v>0</v>
      </c>
      <c r="F4148" s="738" t="s">
        <v>361</v>
      </c>
      <c r="G4148" s="739">
        <v>5075.5555555555557</v>
      </c>
      <c r="H4148" s="748">
        <f t="shared" si="875"/>
        <v>0</v>
      </c>
      <c r="I4148" s="741">
        <v>2545.7777777777778</v>
      </c>
      <c r="J4148" s="749">
        <f t="shared" si="876"/>
        <v>0</v>
      </c>
      <c r="K4148" s="739">
        <f t="shared" si="877"/>
        <v>0</v>
      </c>
      <c r="L4148" s="1079"/>
      <c r="M4148" s="755"/>
      <c r="N4148" s="744">
        <f t="shared" si="874"/>
        <v>0</v>
      </c>
      <c r="O4148" s="745">
        <v>0</v>
      </c>
      <c r="P4148" s="737">
        <v>0</v>
      </c>
      <c r="Q4148" s="755"/>
      <c r="R4148" s="755"/>
      <c r="S4148" s="755"/>
    </row>
    <row r="4149" spans="1:19" s="756" customFormat="1" ht="24" customHeight="1">
      <c r="A4149" s="734"/>
      <c r="B4149" s="747"/>
      <c r="C4149" s="735" t="s">
        <v>488</v>
      </c>
      <c r="D4149" s="907"/>
      <c r="E4149" s="737">
        <f t="shared" si="878"/>
        <v>0</v>
      </c>
      <c r="F4149" s="738"/>
      <c r="G4149" s="739">
        <v>0</v>
      </c>
      <c r="H4149" s="748">
        <f t="shared" si="875"/>
        <v>0</v>
      </c>
      <c r="I4149" s="741">
        <v>0</v>
      </c>
      <c r="J4149" s="749">
        <f t="shared" si="876"/>
        <v>0</v>
      </c>
      <c r="K4149" s="739">
        <f t="shared" si="877"/>
        <v>0</v>
      </c>
      <c r="L4149" s="1079"/>
      <c r="M4149" s="755"/>
      <c r="N4149" s="744">
        <f t="shared" si="874"/>
        <v>0</v>
      </c>
      <c r="O4149" s="745">
        <v>0</v>
      </c>
      <c r="P4149" s="737">
        <v>0</v>
      </c>
      <c r="Q4149" s="755"/>
      <c r="R4149" s="755"/>
      <c r="S4149" s="755"/>
    </row>
    <row r="4150" spans="1:19" s="753" customFormat="1" ht="24" customHeight="1">
      <c r="A4150" s="734"/>
      <c r="B4150" s="747" t="s">
        <v>469</v>
      </c>
      <c r="C4150" s="735" t="s">
        <v>518</v>
      </c>
      <c r="D4150" s="735"/>
      <c r="E4150" s="737">
        <f t="shared" si="878"/>
        <v>0</v>
      </c>
      <c r="F4150" s="738" t="s">
        <v>361</v>
      </c>
      <c r="G4150" s="739">
        <v>3886</v>
      </c>
      <c r="H4150" s="748">
        <f t="shared" si="875"/>
        <v>0</v>
      </c>
      <c r="I4150" s="741">
        <v>1238</v>
      </c>
      <c r="J4150" s="749">
        <f t="shared" si="876"/>
        <v>0</v>
      </c>
      <c r="K4150" s="739">
        <f t="shared" si="877"/>
        <v>0</v>
      </c>
      <c r="L4150" s="1079"/>
      <c r="M4150" s="752"/>
      <c r="N4150" s="744">
        <f t="shared" si="874"/>
        <v>0</v>
      </c>
      <c r="O4150" s="745">
        <v>0</v>
      </c>
      <c r="P4150" s="737">
        <v>0</v>
      </c>
      <c r="Q4150" s="752"/>
      <c r="R4150" s="752"/>
      <c r="S4150" s="752"/>
    </row>
    <row r="4151" spans="1:19" s="753" customFormat="1" ht="24" customHeight="1">
      <c r="A4151" s="734"/>
      <c r="B4151" s="747"/>
      <c r="C4151" s="735" t="s">
        <v>513</v>
      </c>
      <c r="D4151" s="735"/>
      <c r="E4151" s="737">
        <f t="shared" si="878"/>
        <v>0</v>
      </c>
      <c r="F4151" s="738"/>
      <c r="G4151" s="739">
        <v>0</v>
      </c>
      <c r="H4151" s="748">
        <f t="shared" si="875"/>
        <v>0</v>
      </c>
      <c r="I4151" s="741">
        <v>0</v>
      </c>
      <c r="J4151" s="749">
        <f t="shared" si="876"/>
        <v>0</v>
      </c>
      <c r="K4151" s="739">
        <f t="shared" si="877"/>
        <v>0</v>
      </c>
      <c r="L4151" s="1079"/>
      <c r="M4151" s="752"/>
      <c r="N4151" s="744">
        <f t="shared" si="874"/>
        <v>0</v>
      </c>
      <c r="O4151" s="745">
        <v>0</v>
      </c>
      <c r="P4151" s="737">
        <v>0</v>
      </c>
      <c r="Q4151" s="752"/>
      <c r="R4151" s="752"/>
      <c r="S4151" s="752"/>
    </row>
    <row r="4152" spans="1:19" s="682" customFormat="1" ht="24" customHeight="1">
      <c r="A4152" s="734"/>
      <c r="B4152" s="747" t="s">
        <v>469</v>
      </c>
      <c r="C4152" s="735" t="s">
        <v>519</v>
      </c>
      <c r="D4152" s="735"/>
      <c r="E4152" s="737">
        <f t="shared" si="878"/>
        <v>1</v>
      </c>
      <c r="F4152" s="738" t="s">
        <v>363</v>
      </c>
      <c r="G4152" s="739">
        <v>800</v>
      </c>
      <c r="H4152" s="748">
        <f t="shared" si="875"/>
        <v>800</v>
      </c>
      <c r="I4152" s="741">
        <v>70</v>
      </c>
      <c r="J4152" s="749">
        <f t="shared" si="876"/>
        <v>70</v>
      </c>
      <c r="K4152" s="739">
        <f t="shared" si="877"/>
        <v>870</v>
      </c>
      <c r="L4152" s="1079"/>
      <c r="M4152" s="679"/>
      <c r="N4152" s="744">
        <f t="shared" si="874"/>
        <v>1</v>
      </c>
      <c r="O4152" s="745">
        <v>0</v>
      </c>
      <c r="P4152" s="737">
        <v>1</v>
      </c>
      <c r="Q4152" s="679"/>
      <c r="R4152" s="679"/>
      <c r="S4152" s="679"/>
    </row>
    <row r="4153" spans="1:19" s="682" customFormat="1" ht="24" customHeight="1">
      <c r="A4153" s="734"/>
      <c r="B4153" s="747" t="s">
        <v>469</v>
      </c>
      <c r="C4153" s="735" t="s">
        <v>520</v>
      </c>
      <c r="D4153" s="735"/>
      <c r="E4153" s="737">
        <f t="shared" si="878"/>
        <v>0</v>
      </c>
      <c r="F4153" s="738" t="s">
        <v>361</v>
      </c>
      <c r="G4153" s="739">
        <v>190</v>
      </c>
      <c r="H4153" s="748">
        <f t="shared" si="875"/>
        <v>0</v>
      </c>
      <c r="I4153" s="741">
        <v>75</v>
      </c>
      <c r="J4153" s="749">
        <f t="shared" si="876"/>
        <v>0</v>
      </c>
      <c r="K4153" s="739">
        <f t="shared" si="877"/>
        <v>0</v>
      </c>
      <c r="L4153" s="1079"/>
      <c r="M4153" s="679"/>
      <c r="N4153" s="744">
        <f t="shared" si="874"/>
        <v>0</v>
      </c>
      <c r="O4153" s="745">
        <v>0</v>
      </c>
      <c r="P4153" s="737">
        <v>0</v>
      </c>
      <c r="Q4153" s="679"/>
      <c r="R4153" s="679"/>
      <c r="S4153" s="679"/>
    </row>
    <row r="4154" spans="1:19" s="682" customFormat="1" ht="24" customHeight="1">
      <c r="A4154" s="734"/>
      <c r="B4154" s="747"/>
      <c r="C4154" s="735"/>
      <c r="D4154" s="735"/>
      <c r="E4154" s="737">
        <f t="shared" si="878"/>
        <v>0</v>
      </c>
      <c r="F4154" s="738"/>
      <c r="G4154" s="739"/>
      <c r="H4154" s="748">
        <f t="shared" si="875"/>
        <v>0</v>
      </c>
      <c r="I4154" s="741"/>
      <c r="J4154" s="749">
        <f t="shared" si="876"/>
        <v>0</v>
      </c>
      <c r="K4154" s="739">
        <f t="shared" si="877"/>
        <v>0</v>
      </c>
      <c r="L4154" s="1079"/>
      <c r="M4154" s="679"/>
      <c r="N4154" s="744">
        <f t="shared" ref="N4154:N4220" si="879">+(1+O4154)*P4154</f>
        <v>0</v>
      </c>
      <c r="O4154" s="745">
        <v>0</v>
      </c>
      <c r="P4154" s="737">
        <v>0</v>
      </c>
      <c r="Q4154" s="679"/>
      <c r="R4154" s="679"/>
      <c r="S4154" s="679"/>
    </row>
    <row r="4155" spans="1:19" s="753" customFormat="1" ht="24" customHeight="1">
      <c r="A4155" s="734"/>
      <c r="B4155" s="735" t="s">
        <v>1077</v>
      </c>
      <c r="C4155" s="735"/>
      <c r="D4155" s="907"/>
      <c r="E4155" s="737">
        <f t="shared" si="878"/>
        <v>0</v>
      </c>
      <c r="F4155" s="738"/>
      <c r="G4155" s="739">
        <v>0</v>
      </c>
      <c r="H4155" s="748">
        <f t="shared" si="875"/>
        <v>0</v>
      </c>
      <c r="I4155" s="741">
        <v>0</v>
      </c>
      <c r="J4155" s="749">
        <f t="shared" si="876"/>
        <v>0</v>
      </c>
      <c r="K4155" s="739">
        <f t="shared" si="877"/>
        <v>0</v>
      </c>
      <c r="L4155" s="1079"/>
      <c r="M4155" s="752"/>
      <c r="N4155" s="744">
        <f t="shared" si="879"/>
        <v>0</v>
      </c>
      <c r="O4155" s="745">
        <v>0</v>
      </c>
      <c r="P4155" s="737">
        <v>0</v>
      </c>
      <c r="Q4155" s="752"/>
      <c r="R4155" s="752"/>
      <c r="S4155" s="752"/>
    </row>
    <row r="4156" spans="1:19" s="753" customFormat="1" ht="24" customHeight="1">
      <c r="A4156" s="734"/>
      <c r="B4156" s="747" t="s">
        <v>469</v>
      </c>
      <c r="C4156" s="735" t="s">
        <v>497</v>
      </c>
      <c r="D4156" s="735"/>
      <c r="E4156" s="737">
        <f t="shared" si="878"/>
        <v>6</v>
      </c>
      <c r="F4156" s="738" t="s">
        <v>363</v>
      </c>
      <c r="G4156" s="739">
        <v>1540</v>
      </c>
      <c r="H4156" s="748">
        <f t="shared" si="875"/>
        <v>9240</v>
      </c>
      <c r="I4156" s="741">
        <v>450</v>
      </c>
      <c r="J4156" s="749">
        <f t="shared" si="876"/>
        <v>2700</v>
      </c>
      <c r="K4156" s="739">
        <f t="shared" si="877"/>
        <v>11940</v>
      </c>
      <c r="L4156" s="1079"/>
      <c r="M4156" s="752"/>
      <c r="N4156" s="744">
        <f t="shared" si="879"/>
        <v>6</v>
      </c>
      <c r="O4156" s="745">
        <v>0</v>
      </c>
      <c r="P4156" s="737">
        <v>6</v>
      </c>
      <c r="Q4156" s="752"/>
      <c r="R4156" s="752"/>
      <c r="S4156" s="752"/>
    </row>
    <row r="4157" spans="1:19" s="753" customFormat="1" ht="24" customHeight="1">
      <c r="A4157" s="734"/>
      <c r="B4157" s="747" t="s">
        <v>469</v>
      </c>
      <c r="C4157" s="735" t="s">
        <v>498</v>
      </c>
      <c r="D4157" s="735"/>
      <c r="E4157" s="737">
        <f t="shared" si="878"/>
        <v>6</v>
      </c>
      <c r="F4157" s="738" t="s">
        <v>363</v>
      </c>
      <c r="G4157" s="739">
        <v>6640</v>
      </c>
      <c r="H4157" s="748">
        <f t="shared" si="875"/>
        <v>39840</v>
      </c>
      <c r="I4157" s="741">
        <v>200</v>
      </c>
      <c r="J4157" s="749">
        <f t="shared" si="876"/>
        <v>1200</v>
      </c>
      <c r="K4157" s="739">
        <f t="shared" si="877"/>
        <v>41040</v>
      </c>
      <c r="L4157" s="1079"/>
      <c r="M4157" s="752"/>
      <c r="N4157" s="744">
        <f t="shared" si="879"/>
        <v>6</v>
      </c>
      <c r="O4157" s="745">
        <v>0</v>
      </c>
      <c r="P4157" s="737">
        <v>6</v>
      </c>
      <c r="Q4157" s="752"/>
      <c r="R4157" s="752"/>
      <c r="S4157" s="752"/>
    </row>
    <row r="4158" spans="1:19" s="753" customFormat="1" ht="24" customHeight="1">
      <c r="A4158" s="734"/>
      <c r="B4158" s="747" t="s">
        <v>469</v>
      </c>
      <c r="C4158" s="735" t="s">
        <v>476</v>
      </c>
      <c r="D4158" s="735"/>
      <c r="E4158" s="737">
        <f t="shared" si="878"/>
        <v>6</v>
      </c>
      <c r="F4158" s="738" t="s">
        <v>363</v>
      </c>
      <c r="G4158" s="739">
        <v>336</v>
      </c>
      <c r="H4158" s="748">
        <f t="shared" si="875"/>
        <v>2016</v>
      </c>
      <c r="I4158" s="741">
        <v>0</v>
      </c>
      <c r="J4158" s="749">
        <f t="shared" si="876"/>
        <v>0</v>
      </c>
      <c r="K4158" s="739">
        <f t="shared" si="877"/>
        <v>2016</v>
      </c>
      <c r="L4158" s="1079"/>
      <c r="M4158" s="752"/>
      <c r="N4158" s="744">
        <f t="shared" si="879"/>
        <v>6</v>
      </c>
      <c r="O4158" s="745">
        <v>0</v>
      </c>
      <c r="P4158" s="737">
        <v>6</v>
      </c>
      <c r="Q4158" s="752"/>
      <c r="R4158" s="752"/>
      <c r="S4158" s="752"/>
    </row>
    <row r="4159" spans="1:19" s="753" customFormat="1" ht="24" customHeight="1">
      <c r="A4159" s="734"/>
      <c r="B4159" s="747" t="s">
        <v>469</v>
      </c>
      <c r="C4159" s="735" t="s">
        <v>477</v>
      </c>
      <c r="D4159" s="735"/>
      <c r="E4159" s="737">
        <f t="shared" si="878"/>
        <v>6</v>
      </c>
      <c r="F4159" s="738" t="s">
        <v>363</v>
      </c>
      <c r="G4159" s="739">
        <v>736</v>
      </c>
      <c r="H4159" s="748">
        <f t="shared" si="875"/>
        <v>4416</v>
      </c>
      <c r="I4159" s="741">
        <v>0</v>
      </c>
      <c r="J4159" s="749">
        <f t="shared" si="876"/>
        <v>0</v>
      </c>
      <c r="K4159" s="739">
        <f t="shared" si="877"/>
        <v>4416</v>
      </c>
      <c r="L4159" s="1079"/>
      <c r="M4159" s="752"/>
      <c r="N4159" s="744">
        <f t="shared" si="879"/>
        <v>6</v>
      </c>
      <c r="O4159" s="745">
        <v>0</v>
      </c>
      <c r="P4159" s="737">
        <v>6</v>
      </c>
      <c r="Q4159" s="752"/>
      <c r="R4159" s="752"/>
      <c r="S4159" s="752"/>
    </row>
    <row r="4160" spans="1:19" s="753" customFormat="1" ht="24" customHeight="1">
      <c r="A4160" s="734"/>
      <c r="B4160" s="747" t="s">
        <v>469</v>
      </c>
      <c r="C4160" s="735" t="s">
        <v>478</v>
      </c>
      <c r="D4160" s="735"/>
      <c r="E4160" s="737">
        <f t="shared" si="878"/>
        <v>6</v>
      </c>
      <c r="F4160" s="738" t="s">
        <v>363</v>
      </c>
      <c r="G4160" s="739">
        <v>176</v>
      </c>
      <c r="H4160" s="748">
        <f t="shared" si="875"/>
        <v>1056</v>
      </c>
      <c r="I4160" s="741">
        <v>0</v>
      </c>
      <c r="J4160" s="749">
        <f t="shared" si="876"/>
        <v>0</v>
      </c>
      <c r="K4160" s="739">
        <f t="shared" si="877"/>
        <v>1056</v>
      </c>
      <c r="L4160" s="1079"/>
      <c r="M4160" s="752"/>
      <c r="N4160" s="744">
        <f t="shared" si="879"/>
        <v>6</v>
      </c>
      <c r="O4160" s="745">
        <v>0</v>
      </c>
      <c r="P4160" s="737">
        <v>6</v>
      </c>
      <c r="Q4160" s="752"/>
      <c r="R4160" s="752"/>
      <c r="S4160" s="752"/>
    </row>
    <row r="4161" spans="1:19" s="753" customFormat="1" ht="24" customHeight="1">
      <c r="A4161" s="734"/>
      <c r="B4161" s="747" t="s">
        <v>469</v>
      </c>
      <c r="C4161" s="735" t="s">
        <v>499</v>
      </c>
      <c r="D4161" s="735"/>
      <c r="E4161" s="737">
        <f t="shared" si="878"/>
        <v>6</v>
      </c>
      <c r="F4161" s="738" t="s">
        <v>363</v>
      </c>
      <c r="G4161" s="739">
        <v>216</v>
      </c>
      <c r="H4161" s="748">
        <f t="shared" si="875"/>
        <v>1296</v>
      </c>
      <c r="I4161" s="741">
        <v>35</v>
      </c>
      <c r="J4161" s="749">
        <f t="shared" si="876"/>
        <v>210</v>
      </c>
      <c r="K4161" s="739">
        <f t="shared" si="877"/>
        <v>1506</v>
      </c>
      <c r="L4161" s="1079"/>
      <c r="M4161" s="752"/>
      <c r="N4161" s="744">
        <f t="shared" si="879"/>
        <v>6</v>
      </c>
      <c r="O4161" s="745">
        <v>0</v>
      </c>
      <c r="P4161" s="737">
        <v>6</v>
      </c>
      <c r="Q4161" s="752"/>
      <c r="R4161" s="752"/>
      <c r="S4161" s="752"/>
    </row>
    <row r="4162" spans="1:19" s="753" customFormat="1" ht="24" customHeight="1">
      <c r="A4162" s="734"/>
      <c r="B4162" s="747"/>
      <c r="C4162" s="736"/>
      <c r="D4162" s="907"/>
      <c r="E4162" s="737">
        <f t="shared" si="878"/>
        <v>0</v>
      </c>
      <c r="F4162" s="738"/>
      <c r="G4162" s="739">
        <v>0</v>
      </c>
      <c r="H4162" s="748">
        <f t="shared" si="875"/>
        <v>0</v>
      </c>
      <c r="I4162" s="741">
        <v>0</v>
      </c>
      <c r="J4162" s="749">
        <f t="shared" si="876"/>
        <v>0</v>
      </c>
      <c r="K4162" s="739">
        <f t="shared" si="877"/>
        <v>0</v>
      </c>
      <c r="L4162" s="1079"/>
      <c r="M4162" s="752"/>
      <c r="N4162" s="744">
        <f t="shared" si="879"/>
        <v>0</v>
      </c>
      <c r="O4162" s="745">
        <v>0</v>
      </c>
      <c r="P4162" s="737">
        <v>0</v>
      </c>
      <c r="Q4162" s="752"/>
      <c r="R4162" s="752"/>
      <c r="S4162" s="752"/>
    </row>
    <row r="4163" spans="1:19" s="753" customFormat="1" ht="24" customHeight="1">
      <c r="A4163" s="734"/>
      <c r="B4163" s="747" t="s">
        <v>469</v>
      </c>
      <c r="C4163" s="735" t="s">
        <v>492</v>
      </c>
      <c r="D4163" s="735"/>
      <c r="E4163" s="737">
        <f t="shared" si="878"/>
        <v>10</v>
      </c>
      <c r="F4163" s="738" t="s">
        <v>363</v>
      </c>
      <c r="G4163" s="739">
        <v>9375</v>
      </c>
      <c r="H4163" s="748">
        <f t="shared" si="875"/>
        <v>93750</v>
      </c>
      <c r="I4163" s="741">
        <v>450</v>
      </c>
      <c r="J4163" s="749">
        <f t="shared" si="876"/>
        <v>4500</v>
      </c>
      <c r="K4163" s="739">
        <f t="shared" si="877"/>
        <v>98250</v>
      </c>
      <c r="L4163" s="1079"/>
      <c r="M4163" s="752"/>
      <c r="N4163" s="744">
        <f t="shared" si="879"/>
        <v>10</v>
      </c>
      <c r="O4163" s="745">
        <v>0</v>
      </c>
      <c r="P4163" s="737">
        <v>10</v>
      </c>
      <c r="Q4163" s="752"/>
      <c r="R4163" s="752"/>
      <c r="S4163" s="752"/>
    </row>
    <row r="4164" spans="1:19" s="753" customFormat="1" ht="24" customHeight="1">
      <c r="A4164" s="734"/>
      <c r="B4164" s="747" t="s">
        <v>469</v>
      </c>
      <c r="C4164" s="735" t="s">
        <v>500</v>
      </c>
      <c r="D4164" s="735"/>
      <c r="E4164" s="737">
        <f t="shared" si="878"/>
        <v>10</v>
      </c>
      <c r="F4164" s="738" t="s">
        <v>363</v>
      </c>
      <c r="G4164" s="739">
        <v>12752</v>
      </c>
      <c r="H4164" s="748">
        <f t="shared" si="875"/>
        <v>127520</v>
      </c>
      <c r="I4164" s="741">
        <v>0</v>
      </c>
      <c r="J4164" s="749">
        <f t="shared" si="876"/>
        <v>0</v>
      </c>
      <c r="K4164" s="739">
        <f t="shared" si="877"/>
        <v>127520</v>
      </c>
      <c r="L4164" s="1079"/>
      <c r="M4164" s="752"/>
      <c r="N4164" s="744">
        <f t="shared" si="879"/>
        <v>10</v>
      </c>
      <c r="O4164" s="745">
        <v>0</v>
      </c>
      <c r="P4164" s="737">
        <v>10</v>
      </c>
      <c r="Q4164" s="752"/>
      <c r="R4164" s="752"/>
      <c r="S4164" s="752"/>
    </row>
    <row r="4165" spans="1:19" s="753" customFormat="1" ht="24" customHeight="1">
      <c r="A4165" s="734"/>
      <c r="B4165" s="747" t="s">
        <v>469</v>
      </c>
      <c r="C4165" s="735" t="s">
        <v>501</v>
      </c>
      <c r="D4165" s="735"/>
      <c r="E4165" s="737">
        <v>0</v>
      </c>
      <c r="F4165" s="738" t="s">
        <v>363</v>
      </c>
      <c r="G4165" s="739">
        <v>1950</v>
      </c>
      <c r="H4165" s="748">
        <f t="shared" si="875"/>
        <v>0</v>
      </c>
      <c r="I4165" s="741">
        <v>35</v>
      </c>
      <c r="J4165" s="749">
        <f t="shared" si="876"/>
        <v>0</v>
      </c>
      <c r="K4165" s="739">
        <f t="shared" si="877"/>
        <v>0</v>
      </c>
      <c r="L4165" s="1079"/>
      <c r="M4165" s="752"/>
      <c r="N4165" s="744">
        <f t="shared" si="879"/>
        <v>10</v>
      </c>
      <c r="O4165" s="745">
        <v>0</v>
      </c>
      <c r="P4165" s="737">
        <v>10</v>
      </c>
      <c r="Q4165" s="752"/>
      <c r="R4165" s="752"/>
      <c r="S4165" s="752"/>
    </row>
    <row r="4166" spans="1:19" s="753" customFormat="1" ht="24" customHeight="1">
      <c r="A4166" s="734"/>
      <c r="B4166" s="747" t="s">
        <v>469</v>
      </c>
      <c r="C4166" s="735" t="s">
        <v>502</v>
      </c>
      <c r="D4166" s="735"/>
      <c r="E4166" s="737">
        <f t="shared" si="878"/>
        <v>10</v>
      </c>
      <c r="F4166" s="738" t="s">
        <v>363</v>
      </c>
      <c r="G4166" s="739">
        <v>216</v>
      </c>
      <c r="H4166" s="748">
        <f t="shared" si="875"/>
        <v>2160</v>
      </c>
      <c r="I4166" s="741">
        <v>35</v>
      </c>
      <c r="J4166" s="749">
        <f t="shared" si="876"/>
        <v>350</v>
      </c>
      <c r="K4166" s="739">
        <f t="shared" si="877"/>
        <v>2510</v>
      </c>
      <c r="L4166" s="1079"/>
      <c r="M4166" s="752"/>
      <c r="N4166" s="744">
        <f t="shared" si="879"/>
        <v>10</v>
      </c>
      <c r="O4166" s="745">
        <v>0</v>
      </c>
      <c r="P4166" s="737">
        <v>10</v>
      </c>
      <c r="Q4166" s="752"/>
      <c r="R4166" s="752"/>
      <c r="S4166" s="752"/>
    </row>
    <row r="4167" spans="1:19" s="753" customFormat="1" ht="24" customHeight="1">
      <c r="A4167" s="734"/>
      <c r="B4167" s="747"/>
      <c r="C4167" s="735"/>
      <c r="D4167" s="735"/>
      <c r="E4167" s="737">
        <f t="shared" si="878"/>
        <v>0</v>
      </c>
      <c r="F4167" s="738"/>
      <c r="G4167" s="739"/>
      <c r="H4167" s="748">
        <f t="shared" si="875"/>
        <v>0</v>
      </c>
      <c r="I4167" s="741"/>
      <c r="J4167" s="749">
        <f t="shared" si="876"/>
        <v>0</v>
      </c>
      <c r="K4167" s="739">
        <f t="shared" si="877"/>
        <v>0</v>
      </c>
      <c r="L4167" s="1079"/>
      <c r="M4167" s="752"/>
      <c r="N4167" s="744">
        <f t="shared" si="879"/>
        <v>0</v>
      </c>
      <c r="O4167" s="745">
        <v>0</v>
      </c>
      <c r="P4167" s="737">
        <v>0</v>
      </c>
      <c r="Q4167" s="752"/>
      <c r="R4167" s="752"/>
      <c r="S4167" s="752"/>
    </row>
    <row r="4168" spans="1:19" s="753" customFormat="1" ht="24" customHeight="1">
      <c r="A4168" s="734"/>
      <c r="B4168" s="747" t="s">
        <v>484</v>
      </c>
      <c r="C4168" s="735" t="s">
        <v>485</v>
      </c>
      <c r="D4168" s="735"/>
      <c r="E4168" s="737">
        <f t="shared" si="878"/>
        <v>11</v>
      </c>
      <c r="F4168" s="738" t="s">
        <v>363</v>
      </c>
      <c r="G4168" s="739">
        <v>285</v>
      </c>
      <c r="H4168" s="748">
        <f t="shared" si="875"/>
        <v>3135</v>
      </c>
      <c r="I4168" s="741">
        <v>75</v>
      </c>
      <c r="J4168" s="749">
        <f t="shared" si="876"/>
        <v>825</v>
      </c>
      <c r="K4168" s="739">
        <f t="shared" si="877"/>
        <v>3960</v>
      </c>
      <c r="L4168" s="1093"/>
      <c r="M4168" s="752"/>
      <c r="N4168" s="744">
        <f t="shared" si="879"/>
        <v>11</v>
      </c>
      <c r="O4168" s="745">
        <v>0</v>
      </c>
      <c r="P4168" s="737">
        <v>11</v>
      </c>
      <c r="Q4168" s="752"/>
      <c r="R4168" s="752"/>
      <c r="S4168" s="752"/>
    </row>
    <row r="4169" spans="1:19" s="753" customFormat="1" ht="24" customHeight="1">
      <c r="A4169" s="734"/>
      <c r="B4169" s="747" t="s">
        <v>469</v>
      </c>
      <c r="C4169" s="735" t="s">
        <v>486</v>
      </c>
      <c r="D4169" s="735"/>
      <c r="E4169" s="737">
        <f t="shared" si="878"/>
        <v>1</v>
      </c>
      <c r="F4169" s="738" t="s">
        <v>363</v>
      </c>
      <c r="G4169" s="739">
        <v>552</v>
      </c>
      <c r="H4169" s="748">
        <f t="shared" si="875"/>
        <v>552</v>
      </c>
      <c r="I4169" s="741">
        <v>25</v>
      </c>
      <c r="J4169" s="749">
        <f t="shared" si="876"/>
        <v>25</v>
      </c>
      <c r="K4169" s="739">
        <f t="shared" si="877"/>
        <v>577</v>
      </c>
      <c r="L4169" s="1079"/>
      <c r="M4169" s="752"/>
      <c r="N4169" s="744">
        <f t="shared" si="879"/>
        <v>1</v>
      </c>
      <c r="O4169" s="745">
        <v>0</v>
      </c>
      <c r="P4169" s="737">
        <v>1</v>
      </c>
      <c r="Q4169" s="752"/>
      <c r="R4169" s="752"/>
      <c r="S4169" s="752"/>
    </row>
    <row r="4170" spans="1:19" s="753" customFormat="1" ht="24" customHeight="1">
      <c r="A4170" s="734"/>
      <c r="B4170" s="747" t="s">
        <v>469</v>
      </c>
      <c r="C4170" s="735" t="s">
        <v>507</v>
      </c>
      <c r="D4170" s="735"/>
      <c r="E4170" s="737">
        <f t="shared" si="878"/>
        <v>2</v>
      </c>
      <c r="F4170" s="738" t="s">
        <v>363</v>
      </c>
      <c r="G4170" s="739">
        <v>1650</v>
      </c>
      <c r="H4170" s="748">
        <f t="shared" si="875"/>
        <v>3300</v>
      </c>
      <c r="I4170" s="741">
        <v>70</v>
      </c>
      <c r="J4170" s="749">
        <f t="shared" si="876"/>
        <v>140</v>
      </c>
      <c r="K4170" s="739">
        <f t="shared" si="877"/>
        <v>3440</v>
      </c>
      <c r="L4170" s="1079"/>
      <c r="M4170" s="752"/>
      <c r="N4170" s="744">
        <f t="shared" si="879"/>
        <v>2</v>
      </c>
      <c r="O4170" s="745">
        <v>0</v>
      </c>
      <c r="P4170" s="737">
        <v>2</v>
      </c>
      <c r="Q4170" s="752"/>
      <c r="R4170" s="752"/>
      <c r="S4170" s="752"/>
    </row>
    <row r="4171" spans="1:19" s="753" customFormat="1" ht="24" customHeight="1">
      <c r="A4171" s="734"/>
      <c r="B4171" s="747" t="s">
        <v>469</v>
      </c>
      <c r="C4171" s="735" t="s">
        <v>508</v>
      </c>
      <c r="D4171" s="735"/>
      <c r="E4171" s="737">
        <f t="shared" si="878"/>
        <v>10</v>
      </c>
      <c r="F4171" s="738" t="s">
        <v>363</v>
      </c>
      <c r="G4171" s="739">
        <v>13500</v>
      </c>
      <c r="H4171" s="748">
        <f t="shared" si="875"/>
        <v>135000</v>
      </c>
      <c r="I4171" s="741">
        <v>750</v>
      </c>
      <c r="J4171" s="749">
        <f t="shared" si="876"/>
        <v>7500</v>
      </c>
      <c r="K4171" s="739">
        <f t="shared" si="877"/>
        <v>142500</v>
      </c>
      <c r="L4171" s="1079"/>
      <c r="M4171" s="752"/>
      <c r="N4171" s="744">
        <f t="shared" si="879"/>
        <v>10</v>
      </c>
      <c r="O4171" s="745">
        <v>0</v>
      </c>
      <c r="P4171" s="737">
        <v>10</v>
      </c>
      <c r="Q4171" s="752"/>
      <c r="R4171" s="752"/>
      <c r="S4171" s="752"/>
    </row>
    <row r="4172" spans="1:19" s="682" customFormat="1" ht="24" customHeight="1">
      <c r="A4172" s="734"/>
      <c r="B4172" s="747" t="s">
        <v>469</v>
      </c>
      <c r="C4172" s="735" t="s">
        <v>509</v>
      </c>
      <c r="D4172" s="735"/>
      <c r="E4172" s="737">
        <f t="shared" si="878"/>
        <v>1</v>
      </c>
      <c r="F4172" s="738" t="s">
        <v>363</v>
      </c>
      <c r="G4172" s="739">
        <v>14476</v>
      </c>
      <c r="H4172" s="748">
        <f t="shared" si="875"/>
        <v>14476</v>
      </c>
      <c r="I4172" s="741">
        <v>5367</v>
      </c>
      <c r="J4172" s="749">
        <f t="shared" si="876"/>
        <v>5367</v>
      </c>
      <c r="K4172" s="739">
        <f t="shared" si="877"/>
        <v>19843</v>
      </c>
      <c r="L4172" s="1079"/>
      <c r="M4172" s="679"/>
      <c r="N4172" s="744">
        <f t="shared" si="879"/>
        <v>1</v>
      </c>
      <c r="O4172" s="745">
        <v>0</v>
      </c>
      <c r="P4172" s="737">
        <v>1</v>
      </c>
      <c r="Q4172" s="679"/>
      <c r="R4172" s="679"/>
      <c r="S4172" s="679"/>
    </row>
    <row r="4173" spans="1:19" s="753" customFormat="1" ht="24" customHeight="1">
      <c r="A4173" s="734"/>
      <c r="B4173" s="747"/>
      <c r="C4173" s="735"/>
      <c r="D4173" s="907"/>
      <c r="E4173" s="737">
        <f t="shared" si="878"/>
        <v>0</v>
      </c>
      <c r="F4173" s="738"/>
      <c r="G4173" s="739">
        <v>0</v>
      </c>
      <c r="H4173" s="748">
        <f t="shared" si="875"/>
        <v>0</v>
      </c>
      <c r="I4173" s="741">
        <v>0</v>
      </c>
      <c r="J4173" s="749">
        <f t="shared" si="876"/>
        <v>0</v>
      </c>
      <c r="K4173" s="739">
        <f t="shared" si="877"/>
        <v>0</v>
      </c>
      <c r="L4173" s="1079"/>
      <c r="M4173" s="752"/>
      <c r="N4173" s="744">
        <f t="shared" si="879"/>
        <v>0</v>
      </c>
      <c r="O4173" s="745">
        <v>0</v>
      </c>
      <c r="P4173" s="737">
        <v>0</v>
      </c>
      <c r="Q4173" s="752"/>
      <c r="R4173" s="752"/>
      <c r="S4173" s="752"/>
    </row>
    <row r="4174" spans="1:19" s="753" customFormat="1" ht="24" customHeight="1">
      <c r="A4174" s="734"/>
      <c r="B4174" s="747" t="s">
        <v>469</v>
      </c>
      <c r="C4174" s="735" t="s">
        <v>510</v>
      </c>
      <c r="D4174" s="735"/>
      <c r="E4174" s="737">
        <f t="shared" si="878"/>
        <v>5.2</v>
      </c>
      <c r="F4174" s="738" t="s">
        <v>361</v>
      </c>
      <c r="G4174" s="739">
        <v>2694</v>
      </c>
      <c r="H4174" s="748">
        <f t="shared" si="875"/>
        <v>14008.800000000001</v>
      </c>
      <c r="I4174" s="741">
        <v>1288</v>
      </c>
      <c r="J4174" s="749">
        <f t="shared" si="876"/>
        <v>6697.6</v>
      </c>
      <c r="K4174" s="739">
        <f t="shared" si="877"/>
        <v>20706.400000000001</v>
      </c>
      <c r="L4174" s="1079"/>
      <c r="M4174" s="752"/>
      <c r="N4174" s="744">
        <f t="shared" si="879"/>
        <v>5.2</v>
      </c>
      <c r="O4174" s="745">
        <v>0</v>
      </c>
      <c r="P4174" s="737">
        <v>5.2</v>
      </c>
      <c r="Q4174" s="752"/>
      <c r="R4174" s="752"/>
      <c r="S4174" s="752"/>
    </row>
    <row r="4175" spans="1:19" s="753" customFormat="1" ht="24" customHeight="1">
      <c r="A4175" s="734"/>
      <c r="B4175" s="747"/>
      <c r="C4175" s="735" t="s">
        <v>511</v>
      </c>
      <c r="D4175" s="735"/>
      <c r="E4175" s="737">
        <f t="shared" si="878"/>
        <v>0</v>
      </c>
      <c r="F4175" s="738"/>
      <c r="G4175" s="739"/>
      <c r="H4175" s="748">
        <f t="shared" si="875"/>
        <v>0</v>
      </c>
      <c r="I4175" s="741"/>
      <c r="J4175" s="749">
        <f t="shared" si="876"/>
        <v>0</v>
      </c>
      <c r="K4175" s="739">
        <f t="shared" si="877"/>
        <v>0</v>
      </c>
      <c r="L4175" s="1079"/>
      <c r="M4175" s="752"/>
      <c r="N4175" s="744">
        <f t="shared" si="879"/>
        <v>0</v>
      </c>
      <c r="O4175" s="745">
        <v>0</v>
      </c>
      <c r="P4175" s="737">
        <v>0</v>
      </c>
      <c r="Q4175" s="752"/>
      <c r="R4175" s="752"/>
      <c r="S4175" s="752"/>
    </row>
    <row r="4176" spans="1:19" s="753" customFormat="1" ht="24" customHeight="1">
      <c r="A4176" s="734"/>
      <c r="B4176" s="747" t="s">
        <v>469</v>
      </c>
      <c r="C4176" s="735" t="s">
        <v>512</v>
      </c>
      <c r="D4176" s="735"/>
      <c r="E4176" s="737">
        <f t="shared" si="878"/>
        <v>5.2</v>
      </c>
      <c r="F4176" s="738" t="s">
        <v>361</v>
      </c>
      <c r="G4176" s="739">
        <v>3886</v>
      </c>
      <c r="H4176" s="748">
        <f t="shared" si="875"/>
        <v>20207.2</v>
      </c>
      <c r="I4176" s="741">
        <v>1238</v>
      </c>
      <c r="J4176" s="749">
        <f t="shared" si="876"/>
        <v>6437.6</v>
      </c>
      <c r="K4176" s="739">
        <f t="shared" si="877"/>
        <v>26644.800000000003</v>
      </c>
      <c r="L4176" s="1079"/>
      <c r="M4176" s="752"/>
      <c r="N4176" s="744">
        <f t="shared" si="879"/>
        <v>5.2</v>
      </c>
      <c r="O4176" s="745">
        <v>0</v>
      </c>
      <c r="P4176" s="737">
        <v>5.2</v>
      </c>
      <c r="Q4176" s="752"/>
      <c r="R4176" s="752"/>
      <c r="S4176" s="752"/>
    </row>
    <row r="4177" spans="1:19" s="753" customFormat="1" ht="24" customHeight="1">
      <c r="A4177" s="734"/>
      <c r="B4177" s="747"/>
      <c r="C4177" s="735" t="s">
        <v>513</v>
      </c>
      <c r="D4177" s="735"/>
      <c r="E4177" s="737">
        <f t="shared" si="878"/>
        <v>0</v>
      </c>
      <c r="F4177" s="738"/>
      <c r="G4177" s="739">
        <v>0</v>
      </c>
      <c r="H4177" s="748">
        <f t="shared" si="875"/>
        <v>0</v>
      </c>
      <c r="I4177" s="741">
        <v>0</v>
      </c>
      <c r="J4177" s="749">
        <f t="shared" si="876"/>
        <v>0</v>
      </c>
      <c r="K4177" s="739">
        <f t="shared" si="877"/>
        <v>0</v>
      </c>
      <c r="L4177" s="1079"/>
      <c r="M4177" s="752"/>
      <c r="N4177" s="744">
        <f t="shared" si="879"/>
        <v>0</v>
      </c>
      <c r="O4177" s="745">
        <v>0</v>
      </c>
      <c r="P4177" s="737">
        <v>0</v>
      </c>
      <c r="Q4177" s="752"/>
      <c r="R4177" s="752"/>
      <c r="S4177" s="752"/>
    </row>
    <row r="4178" spans="1:19" s="753" customFormat="1" ht="24" customHeight="1">
      <c r="A4178" s="734"/>
      <c r="B4178" s="747" t="s">
        <v>469</v>
      </c>
      <c r="C4178" s="735" t="s">
        <v>521</v>
      </c>
      <c r="D4178" s="735"/>
      <c r="E4178" s="737">
        <f t="shared" si="878"/>
        <v>5.2</v>
      </c>
      <c r="F4178" s="738" t="s">
        <v>361</v>
      </c>
      <c r="G4178" s="739">
        <v>1522</v>
      </c>
      <c r="H4178" s="748">
        <f t="shared" si="875"/>
        <v>7914.4000000000005</v>
      </c>
      <c r="I4178" s="741">
        <v>315</v>
      </c>
      <c r="J4178" s="749">
        <f t="shared" si="876"/>
        <v>1638</v>
      </c>
      <c r="K4178" s="739">
        <f t="shared" si="877"/>
        <v>9552.4000000000015</v>
      </c>
      <c r="L4178" s="1079"/>
      <c r="M4178" s="752"/>
      <c r="N4178" s="744">
        <f t="shared" si="879"/>
        <v>5.2</v>
      </c>
      <c r="O4178" s="745">
        <v>0</v>
      </c>
      <c r="P4178" s="737">
        <v>5.2</v>
      </c>
      <c r="Q4178" s="752"/>
      <c r="R4178" s="752"/>
      <c r="S4178" s="752"/>
    </row>
    <row r="4179" spans="1:19" s="753" customFormat="1" ht="24" customHeight="1">
      <c r="A4179" s="734"/>
      <c r="B4179" s="747"/>
      <c r="C4179" s="735"/>
      <c r="D4179" s="735"/>
      <c r="E4179" s="737">
        <f t="shared" si="878"/>
        <v>0</v>
      </c>
      <c r="F4179" s="738"/>
      <c r="G4179" s="739">
        <v>0</v>
      </c>
      <c r="H4179" s="748">
        <f t="shared" si="875"/>
        <v>0</v>
      </c>
      <c r="I4179" s="741">
        <v>0</v>
      </c>
      <c r="J4179" s="749">
        <f t="shared" si="876"/>
        <v>0</v>
      </c>
      <c r="K4179" s="739">
        <f t="shared" si="877"/>
        <v>0</v>
      </c>
      <c r="L4179" s="1079"/>
      <c r="M4179" s="752"/>
      <c r="N4179" s="744">
        <f t="shared" si="879"/>
        <v>0</v>
      </c>
      <c r="O4179" s="745">
        <v>0</v>
      </c>
      <c r="P4179" s="737">
        <v>0</v>
      </c>
      <c r="Q4179" s="752"/>
      <c r="R4179" s="752"/>
      <c r="S4179" s="752"/>
    </row>
    <row r="4180" spans="1:19" s="682" customFormat="1" ht="24" customHeight="1">
      <c r="A4180" s="734"/>
      <c r="B4180" s="747" t="s">
        <v>469</v>
      </c>
      <c r="C4180" s="735" t="s">
        <v>515</v>
      </c>
      <c r="D4180" s="735"/>
      <c r="E4180" s="737">
        <f t="shared" si="878"/>
        <v>0</v>
      </c>
      <c r="F4180" s="738" t="s">
        <v>363</v>
      </c>
      <c r="G4180" s="739">
        <v>5013</v>
      </c>
      <c r="H4180" s="748">
        <f t="shared" si="875"/>
        <v>0</v>
      </c>
      <c r="I4180" s="741">
        <v>2403</v>
      </c>
      <c r="J4180" s="749">
        <f t="shared" si="876"/>
        <v>0</v>
      </c>
      <c r="K4180" s="739">
        <f t="shared" si="877"/>
        <v>0</v>
      </c>
      <c r="L4180" s="1079"/>
      <c r="M4180" s="679"/>
      <c r="N4180" s="744">
        <f t="shared" si="879"/>
        <v>0</v>
      </c>
      <c r="O4180" s="745">
        <v>0</v>
      </c>
      <c r="P4180" s="737">
        <v>0</v>
      </c>
      <c r="Q4180" s="679"/>
      <c r="R4180" s="679"/>
      <c r="S4180" s="679"/>
    </row>
    <row r="4181" spans="1:19" s="682" customFormat="1" ht="24" customHeight="1">
      <c r="A4181" s="734"/>
      <c r="B4181" s="747"/>
      <c r="C4181" s="735" t="s">
        <v>516</v>
      </c>
      <c r="D4181" s="735"/>
      <c r="E4181" s="737">
        <f t="shared" si="878"/>
        <v>0</v>
      </c>
      <c r="F4181" s="738"/>
      <c r="G4181" s="739"/>
      <c r="H4181" s="748">
        <f t="shared" si="875"/>
        <v>0</v>
      </c>
      <c r="I4181" s="741"/>
      <c r="J4181" s="749">
        <f t="shared" si="876"/>
        <v>0</v>
      </c>
      <c r="K4181" s="739">
        <f t="shared" si="877"/>
        <v>0</v>
      </c>
      <c r="L4181" s="1079"/>
      <c r="M4181" s="679"/>
      <c r="N4181" s="744">
        <f t="shared" si="879"/>
        <v>0</v>
      </c>
      <c r="O4181" s="745">
        <v>0</v>
      </c>
      <c r="P4181" s="737">
        <v>0</v>
      </c>
      <c r="Q4181" s="679"/>
      <c r="R4181" s="679"/>
      <c r="S4181" s="679"/>
    </row>
    <row r="4182" spans="1:19" s="682" customFormat="1" ht="24" customHeight="1">
      <c r="A4182" s="734"/>
      <c r="B4182" s="747"/>
      <c r="C4182" s="735"/>
      <c r="D4182" s="735"/>
      <c r="E4182" s="737">
        <f t="shared" si="878"/>
        <v>0</v>
      </c>
      <c r="F4182" s="738"/>
      <c r="G4182" s="739"/>
      <c r="H4182" s="748">
        <f t="shared" si="875"/>
        <v>0</v>
      </c>
      <c r="I4182" s="741"/>
      <c r="J4182" s="749">
        <f t="shared" si="876"/>
        <v>0</v>
      </c>
      <c r="K4182" s="739">
        <f t="shared" si="877"/>
        <v>0</v>
      </c>
      <c r="L4182" s="1079"/>
      <c r="M4182" s="679"/>
      <c r="N4182" s="744">
        <f t="shared" si="879"/>
        <v>0</v>
      </c>
      <c r="O4182" s="745">
        <v>0</v>
      </c>
      <c r="P4182" s="737">
        <v>0</v>
      </c>
      <c r="Q4182" s="679"/>
      <c r="R4182" s="679"/>
      <c r="S4182" s="679"/>
    </row>
    <row r="4183" spans="1:19" s="756" customFormat="1" ht="24" customHeight="1">
      <c r="A4183" s="734"/>
      <c r="B4183" s="747" t="s">
        <v>469</v>
      </c>
      <c r="C4183" s="735" t="s">
        <v>517</v>
      </c>
      <c r="D4183" s="907"/>
      <c r="E4183" s="737">
        <f t="shared" si="878"/>
        <v>0</v>
      </c>
      <c r="F4183" s="738" t="s">
        <v>361</v>
      </c>
      <c r="G4183" s="739">
        <v>5075.5555555555557</v>
      </c>
      <c r="H4183" s="748">
        <f t="shared" si="875"/>
        <v>0</v>
      </c>
      <c r="I4183" s="741">
        <v>2545.7777777777778</v>
      </c>
      <c r="J4183" s="749">
        <f t="shared" si="876"/>
        <v>0</v>
      </c>
      <c r="K4183" s="739">
        <f t="shared" si="877"/>
        <v>0</v>
      </c>
      <c r="L4183" s="1079"/>
      <c r="M4183" s="755"/>
      <c r="N4183" s="744">
        <f t="shared" si="879"/>
        <v>0</v>
      </c>
      <c r="O4183" s="745">
        <v>0</v>
      </c>
      <c r="P4183" s="737">
        <v>0</v>
      </c>
      <c r="Q4183" s="755"/>
      <c r="R4183" s="755"/>
      <c r="S4183" s="755"/>
    </row>
    <row r="4184" spans="1:19" s="756" customFormat="1" ht="24" customHeight="1">
      <c r="A4184" s="734"/>
      <c r="B4184" s="747"/>
      <c r="C4184" s="735" t="s">
        <v>488</v>
      </c>
      <c r="D4184" s="907"/>
      <c r="E4184" s="737">
        <f t="shared" si="878"/>
        <v>0</v>
      </c>
      <c r="F4184" s="738"/>
      <c r="G4184" s="739">
        <v>0</v>
      </c>
      <c r="H4184" s="748">
        <f t="shared" si="875"/>
        <v>0</v>
      </c>
      <c r="I4184" s="741">
        <v>0</v>
      </c>
      <c r="J4184" s="749">
        <f t="shared" si="876"/>
        <v>0</v>
      </c>
      <c r="K4184" s="739">
        <f t="shared" si="877"/>
        <v>0</v>
      </c>
      <c r="L4184" s="1079"/>
      <c r="M4184" s="755"/>
      <c r="N4184" s="744">
        <f t="shared" si="879"/>
        <v>0</v>
      </c>
      <c r="O4184" s="745">
        <v>0</v>
      </c>
      <c r="P4184" s="737">
        <v>0</v>
      </c>
      <c r="Q4184" s="755"/>
      <c r="R4184" s="755"/>
      <c r="S4184" s="755"/>
    </row>
    <row r="4185" spans="1:19" s="753" customFormat="1" ht="24" customHeight="1">
      <c r="A4185" s="734"/>
      <c r="B4185" s="747" t="s">
        <v>469</v>
      </c>
      <c r="C4185" s="735" t="s">
        <v>518</v>
      </c>
      <c r="D4185" s="735"/>
      <c r="E4185" s="737">
        <f t="shared" si="878"/>
        <v>0</v>
      </c>
      <c r="F4185" s="738" t="s">
        <v>361</v>
      </c>
      <c r="G4185" s="739">
        <v>3886</v>
      </c>
      <c r="H4185" s="748">
        <f t="shared" ref="H4185:H4218" si="880">SUM(E4185*G4185)</f>
        <v>0</v>
      </c>
      <c r="I4185" s="741">
        <v>1238</v>
      </c>
      <c r="J4185" s="749">
        <f t="shared" ref="J4185:J4218" si="881">SUM(E4185*I4185)</f>
        <v>0</v>
      </c>
      <c r="K4185" s="739">
        <f t="shared" si="877"/>
        <v>0</v>
      </c>
      <c r="L4185" s="1079"/>
      <c r="M4185" s="752"/>
      <c r="N4185" s="744">
        <f t="shared" si="879"/>
        <v>0</v>
      </c>
      <c r="O4185" s="745">
        <v>0</v>
      </c>
      <c r="P4185" s="737">
        <v>0</v>
      </c>
      <c r="Q4185" s="752"/>
      <c r="R4185" s="752"/>
      <c r="S4185" s="752"/>
    </row>
    <row r="4186" spans="1:19" s="753" customFormat="1" ht="24" customHeight="1">
      <c r="A4186" s="734"/>
      <c r="B4186" s="747"/>
      <c r="C4186" s="735" t="s">
        <v>513</v>
      </c>
      <c r="D4186" s="735"/>
      <c r="E4186" s="737">
        <f t="shared" si="878"/>
        <v>0</v>
      </c>
      <c r="F4186" s="738"/>
      <c r="G4186" s="739">
        <v>0</v>
      </c>
      <c r="H4186" s="748">
        <f t="shared" si="880"/>
        <v>0</v>
      </c>
      <c r="I4186" s="741">
        <v>0</v>
      </c>
      <c r="J4186" s="749">
        <f t="shared" si="881"/>
        <v>0</v>
      </c>
      <c r="K4186" s="739">
        <f t="shared" si="877"/>
        <v>0</v>
      </c>
      <c r="L4186" s="1079"/>
      <c r="M4186" s="752"/>
      <c r="N4186" s="744">
        <f t="shared" si="879"/>
        <v>0</v>
      </c>
      <c r="O4186" s="745">
        <v>0</v>
      </c>
      <c r="P4186" s="737">
        <v>0</v>
      </c>
      <c r="Q4186" s="752"/>
      <c r="R4186" s="752"/>
      <c r="S4186" s="752"/>
    </row>
    <row r="4187" spans="1:19" s="682" customFormat="1" ht="24" customHeight="1">
      <c r="A4187" s="734"/>
      <c r="B4187" s="747" t="s">
        <v>469</v>
      </c>
      <c r="C4187" s="735" t="s">
        <v>519</v>
      </c>
      <c r="D4187" s="735"/>
      <c r="E4187" s="737">
        <f t="shared" si="878"/>
        <v>1</v>
      </c>
      <c r="F4187" s="738" t="s">
        <v>363</v>
      </c>
      <c r="G4187" s="739">
        <v>800</v>
      </c>
      <c r="H4187" s="748">
        <f t="shared" si="880"/>
        <v>800</v>
      </c>
      <c r="I4187" s="741">
        <v>70</v>
      </c>
      <c r="J4187" s="749">
        <f t="shared" si="881"/>
        <v>70</v>
      </c>
      <c r="K4187" s="739">
        <f t="shared" si="877"/>
        <v>870</v>
      </c>
      <c r="L4187" s="1079"/>
      <c r="M4187" s="679"/>
      <c r="N4187" s="744">
        <f t="shared" si="879"/>
        <v>1</v>
      </c>
      <c r="O4187" s="745">
        <v>0</v>
      </c>
      <c r="P4187" s="737">
        <v>1</v>
      </c>
      <c r="Q4187" s="679"/>
      <c r="R4187" s="679"/>
      <c r="S4187" s="679"/>
    </row>
    <row r="4188" spans="1:19" s="682" customFormat="1" ht="24" customHeight="1">
      <c r="A4188" s="734"/>
      <c r="B4188" s="747" t="s">
        <v>469</v>
      </c>
      <c r="C4188" s="735" t="s">
        <v>520</v>
      </c>
      <c r="D4188" s="735"/>
      <c r="E4188" s="737">
        <f t="shared" si="878"/>
        <v>0</v>
      </c>
      <c r="F4188" s="738" t="s">
        <v>361</v>
      </c>
      <c r="G4188" s="739">
        <v>190</v>
      </c>
      <c r="H4188" s="748">
        <f t="shared" si="880"/>
        <v>0</v>
      </c>
      <c r="I4188" s="741">
        <v>75</v>
      </c>
      <c r="J4188" s="749">
        <f t="shared" si="881"/>
        <v>0</v>
      </c>
      <c r="K4188" s="739">
        <f t="shared" si="877"/>
        <v>0</v>
      </c>
      <c r="L4188" s="1079"/>
      <c r="M4188" s="679"/>
      <c r="N4188" s="744">
        <f t="shared" si="879"/>
        <v>0</v>
      </c>
      <c r="O4188" s="745">
        <v>0</v>
      </c>
      <c r="P4188" s="737">
        <v>0</v>
      </c>
      <c r="Q4188" s="679"/>
      <c r="R4188" s="679"/>
      <c r="S4188" s="679"/>
    </row>
    <row r="4189" spans="1:19" s="682" customFormat="1" ht="24" customHeight="1">
      <c r="A4189" s="734"/>
      <c r="B4189" s="747"/>
      <c r="C4189" s="735"/>
      <c r="D4189" s="735"/>
      <c r="E4189" s="737">
        <f t="shared" si="878"/>
        <v>0</v>
      </c>
      <c r="F4189" s="738"/>
      <c r="G4189" s="739"/>
      <c r="H4189" s="748">
        <f t="shared" si="880"/>
        <v>0</v>
      </c>
      <c r="I4189" s="741"/>
      <c r="J4189" s="749">
        <f t="shared" si="881"/>
        <v>0</v>
      </c>
      <c r="K4189" s="739">
        <f t="shared" si="877"/>
        <v>0</v>
      </c>
      <c r="L4189" s="1079"/>
      <c r="M4189" s="679"/>
      <c r="N4189" s="744">
        <f t="shared" si="879"/>
        <v>0</v>
      </c>
      <c r="O4189" s="745">
        <v>0</v>
      </c>
      <c r="P4189" s="737">
        <v>0</v>
      </c>
      <c r="Q4189" s="679"/>
      <c r="R4189" s="679"/>
      <c r="S4189" s="679"/>
    </row>
    <row r="4190" spans="1:19" s="753" customFormat="1" ht="24" customHeight="1">
      <c r="A4190" s="734"/>
      <c r="B4190" s="735" t="s">
        <v>1078</v>
      </c>
      <c r="C4190" s="735"/>
      <c r="D4190" s="735"/>
      <c r="E4190" s="737">
        <f t="shared" si="878"/>
        <v>0</v>
      </c>
      <c r="F4190" s="738"/>
      <c r="G4190" s="739">
        <v>0</v>
      </c>
      <c r="H4190" s="748">
        <f t="shared" si="880"/>
        <v>0</v>
      </c>
      <c r="I4190" s="741">
        <v>0</v>
      </c>
      <c r="J4190" s="749">
        <f t="shared" si="881"/>
        <v>0</v>
      </c>
      <c r="K4190" s="739">
        <f t="shared" si="877"/>
        <v>0</v>
      </c>
      <c r="L4190" s="1079"/>
      <c r="M4190" s="752"/>
      <c r="N4190" s="744">
        <f t="shared" si="879"/>
        <v>0</v>
      </c>
      <c r="O4190" s="745">
        <v>0</v>
      </c>
      <c r="P4190" s="737">
        <v>0</v>
      </c>
      <c r="Q4190" s="752"/>
      <c r="R4190" s="752"/>
      <c r="S4190" s="752"/>
    </row>
    <row r="4191" spans="1:19" s="753" customFormat="1" ht="24" customHeight="1">
      <c r="A4191" s="734"/>
      <c r="B4191" s="747" t="s">
        <v>469</v>
      </c>
      <c r="C4191" s="735" t="s">
        <v>522</v>
      </c>
      <c r="D4191" s="735"/>
      <c r="E4191" s="737">
        <f t="shared" si="878"/>
        <v>1</v>
      </c>
      <c r="F4191" s="738" t="s">
        <v>363</v>
      </c>
      <c r="G4191" s="739">
        <v>6832</v>
      </c>
      <c r="H4191" s="748">
        <f t="shared" si="880"/>
        <v>6832</v>
      </c>
      <c r="I4191" s="741">
        <v>450</v>
      </c>
      <c r="J4191" s="749">
        <f t="shared" si="881"/>
        <v>450</v>
      </c>
      <c r="K4191" s="739">
        <f t="shared" si="877"/>
        <v>7282</v>
      </c>
      <c r="L4191" s="1079"/>
      <c r="M4191" s="752"/>
      <c r="N4191" s="744">
        <f t="shared" si="879"/>
        <v>1</v>
      </c>
      <c r="O4191" s="745">
        <v>0</v>
      </c>
      <c r="P4191" s="737">
        <v>1</v>
      </c>
      <c r="Q4191" s="752"/>
      <c r="R4191" s="752"/>
      <c r="S4191" s="752"/>
    </row>
    <row r="4192" spans="1:19" s="753" customFormat="1" ht="24" customHeight="1">
      <c r="A4192" s="734"/>
      <c r="B4192" s="747" t="s">
        <v>469</v>
      </c>
      <c r="C4192" s="735" t="s">
        <v>498</v>
      </c>
      <c r="D4192" s="735"/>
      <c r="E4192" s="737">
        <f t="shared" si="878"/>
        <v>1</v>
      </c>
      <c r="F4192" s="738" t="s">
        <v>363</v>
      </c>
      <c r="G4192" s="739">
        <v>6640</v>
      </c>
      <c r="H4192" s="748">
        <f t="shared" si="880"/>
        <v>6640</v>
      </c>
      <c r="I4192" s="741">
        <v>200</v>
      </c>
      <c r="J4192" s="749">
        <f t="shared" si="881"/>
        <v>200</v>
      </c>
      <c r="K4192" s="739">
        <f t="shared" si="877"/>
        <v>6840</v>
      </c>
      <c r="L4192" s="1079"/>
      <c r="M4192" s="752"/>
      <c r="N4192" s="744">
        <f t="shared" si="879"/>
        <v>1</v>
      </c>
      <c r="O4192" s="745">
        <v>0</v>
      </c>
      <c r="P4192" s="737">
        <v>1</v>
      </c>
      <c r="Q4192" s="752"/>
      <c r="R4192" s="752"/>
      <c r="S4192" s="752"/>
    </row>
    <row r="4193" spans="1:19" s="753" customFormat="1" ht="24" customHeight="1">
      <c r="A4193" s="734"/>
      <c r="B4193" s="747" t="s">
        <v>469</v>
      </c>
      <c r="C4193" s="735" t="s">
        <v>476</v>
      </c>
      <c r="D4193" s="735"/>
      <c r="E4193" s="737">
        <f t="shared" si="878"/>
        <v>1</v>
      </c>
      <c r="F4193" s="738" t="s">
        <v>363</v>
      </c>
      <c r="G4193" s="739">
        <v>336</v>
      </c>
      <c r="H4193" s="748">
        <f t="shared" si="880"/>
        <v>336</v>
      </c>
      <c r="I4193" s="741">
        <v>0</v>
      </c>
      <c r="J4193" s="749">
        <f t="shared" si="881"/>
        <v>0</v>
      </c>
      <c r="K4193" s="739">
        <f t="shared" si="877"/>
        <v>336</v>
      </c>
      <c r="L4193" s="1079"/>
      <c r="M4193" s="752"/>
      <c r="N4193" s="744">
        <f t="shared" si="879"/>
        <v>1</v>
      </c>
      <c r="O4193" s="745">
        <v>0</v>
      </c>
      <c r="P4193" s="737">
        <v>1</v>
      </c>
      <c r="Q4193" s="752"/>
      <c r="R4193" s="752"/>
      <c r="S4193" s="752"/>
    </row>
    <row r="4194" spans="1:19" s="753" customFormat="1" ht="24" customHeight="1">
      <c r="A4194" s="734"/>
      <c r="B4194" s="747" t="s">
        <v>469</v>
      </c>
      <c r="C4194" s="735" t="s">
        <v>477</v>
      </c>
      <c r="D4194" s="735"/>
      <c r="E4194" s="737">
        <f t="shared" si="878"/>
        <v>1</v>
      </c>
      <c r="F4194" s="738" t="s">
        <v>363</v>
      </c>
      <c r="G4194" s="739">
        <v>736</v>
      </c>
      <c r="H4194" s="748">
        <f t="shared" si="880"/>
        <v>736</v>
      </c>
      <c r="I4194" s="741">
        <v>0</v>
      </c>
      <c r="J4194" s="749">
        <f t="shared" si="881"/>
        <v>0</v>
      </c>
      <c r="K4194" s="739">
        <f t="shared" si="877"/>
        <v>736</v>
      </c>
      <c r="L4194" s="1079"/>
      <c r="M4194" s="752"/>
      <c r="N4194" s="744">
        <f t="shared" si="879"/>
        <v>1</v>
      </c>
      <c r="O4194" s="745">
        <v>0</v>
      </c>
      <c r="P4194" s="737">
        <v>1</v>
      </c>
      <c r="Q4194" s="752"/>
      <c r="R4194" s="752"/>
      <c r="S4194" s="752"/>
    </row>
    <row r="4195" spans="1:19" s="753" customFormat="1" ht="24" customHeight="1">
      <c r="A4195" s="734"/>
      <c r="B4195" s="747" t="s">
        <v>469</v>
      </c>
      <c r="C4195" s="735" t="s">
        <v>478</v>
      </c>
      <c r="D4195" s="735"/>
      <c r="E4195" s="737">
        <f t="shared" si="878"/>
        <v>1</v>
      </c>
      <c r="F4195" s="738" t="s">
        <v>363</v>
      </c>
      <c r="G4195" s="739">
        <v>176</v>
      </c>
      <c r="H4195" s="748">
        <f t="shared" si="880"/>
        <v>176</v>
      </c>
      <c r="I4195" s="741">
        <v>0</v>
      </c>
      <c r="J4195" s="749">
        <f t="shared" si="881"/>
        <v>0</v>
      </c>
      <c r="K4195" s="739">
        <f t="shared" si="877"/>
        <v>176</v>
      </c>
      <c r="L4195" s="1079"/>
      <c r="M4195" s="752"/>
      <c r="N4195" s="744">
        <f t="shared" si="879"/>
        <v>1</v>
      </c>
      <c r="O4195" s="745">
        <v>0</v>
      </c>
      <c r="P4195" s="737">
        <v>1</v>
      </c>
      <c r="Q4195" s="752"/>
      <c r="R4195" s="752"/>
      <c r="S4195" s="752"/>
    </row>
    <row r="4196" spans="1:19" s="753" customFormat="1" ht="24" customHeight="1">
      <c r="A4196" s="734"/>
      <c r="B4196" s="747" t="s">
        <v>469</v>
      </c>
      <c r="C4196" s="735" t="s">
        <v>499</v>
      </c>
      <c r="D4196" s="735"/>
      <c r="E4196" s="737">
        <f t="shared" si="878"/>
        <v>1</v>
      </c>
      <c r="F4196" s="738" t="s">
        <v>363</v>
      </c>
      <c r="G4196" s="739">
        <v>216</v>
      </c>
      <c r="H4196" s="748">
        <f t="shared" si="880"/>
        <v>216</v>
      </c>
      <c r="I4196" s="741">
        <v>35</v>
      </c>
      <c r="J4196" s="749">
        <f t="shared" si="881"/>
        <v>35</v>
      </c>
      <c r="K4196" s="739">
        <f t="shared" si="877"/>
        <v>251</v>
      </c>
      <c r="L4196" s="1079"/>
      <c r="M4196" s="752"/>
      <c r="N4196" s="744">
        <f t="shared" si="879"/>
        <v>1</v>
      </c>
      <c r="O4196" s="745">
        <v>0</v>
      </c>
      <c r="P4196" s="737">
        <v>1</v>
      </c>
      <c r="Q4196" s="752"/>
      <c r="R4196" s="752"/>
      <c r="S4196" s="752"/>
    </row>
    <row r="4197" spans="1:19" s="753" customFormat="1" ht="24" customHeight="1">
      <c r="A4197" s="734"/>
      <c r="B4197" s="750"/>
      <c r="C4197" s="757"/>
      <c r="D4197" s="907"/>
      <c r="E4197" s="737">
        <f t="shared" si="878"/>
        <v>0</v>
      </c>
      <c r="F4197" s="738"/>
      <c r="G4197" s="739">
        <v>0</v>
      </c>
      <c r="H4197" s="748">
        <f t="shared" si="880"/>
        <v>0</v>
      </c>
      <c r="I4197" s="741">
        <v>0</v>
      </c>
      <c r="J4197" s="749">
        <f t="shared" si="881"/>
        <v>0</v>
      </c>
      <c r="K4197" s="739">
        <f t="shared" si="877"/>
        <v>0</v>
      </c>
      <c r="L4197" s="1079"/>
      <c r="M4197" s="752"/>
      <c r="N4197" s="744">
        <f t="shared" si="879"/>
        <v>0</v>
      </c>
      <c r="O4197" s="745">
        <v>0</v>
      </c>
      <c r="P4197" s="737">
        <v>0</v>
      </c>
      <c r="Q4197" s="752"/>
      <c r="R4197" s="752"/>
      <c r="S4197" s="752"/>
    </row>
    <row r="4198" spans="1:19" s="753" customFormat="1" ht="24" customHeight="1">
      <c r="A4198" s="734"/>
      <c r="B4198" s="747" t="s">
        <v>469</v>
      </c>
      <c r="C4198" s="735" t="s">
        <v>523</v>
      </c>
      <c r="D4198" s="735"/>
      <c r="E4198" s="737">
        <f t="shared" si="878"/>
        <v>1</v>
      </c>
      <c r="F4198" s="738" t="s">
        <v>363</v>
      </c>
      <c r="G4198" s="739">
        <v>6580</v>
      </c>
      <c r="H4198" s="748">
        <f t="shared" si="880"/>
        <v>6580</v>
      </c>
      <c r="I4198" s="741">
        <v>450</v>
      </c>
      <c r="J4198" s="749">
        <f t="shared" si="881"/>
        <v>450</v>
      </c>
      <c r="K4198" s="739">
        <f t="shared" si="877"/>
        <v>7030</v>
      </c>
      <c r="L4198" s="1079"/>
      <c r="M4198" s="752"/>
      <c r="N4198" s="744">
        <f t="shared" si="879"/>
        <v>1</v>
      </c>
      <c r="O4198" s="745">
        <v>0</v>
      </c>
      <c r="P4198" s="737">
        <v>1</v>
      </c>
      <c r="Q4198" s="752"/>
      <c r="R4198" s="752"/>
      <c r="S4198" s="752"/>
    </row>
    <row r="4199" spans="1:19" s="753" customFormat="1" ht="24" customHeight="1">
      <c r="A4199" s="734"/>
      <c r="B4199" s="747" t="s">
        <v>469</v>
      </c>
      <c r="C4199" s="735" t="s">
        <v>478</v>
      </c>
      <c r="D4199" s="735"/>
      <c r="E4199" s="737">
        <f t="shared" si="878"/>
        <v>1</v>
      </c>
      <c r="F4199" s="738" t="s">
        <v>363</v>
      </c>
      <c r="G4199" s="739">
        <v>176</v>
      </c>
      <c r="H4199" s="748">
        <f t="shared" si="880"/>
        <v>176</v>
      </c>
      <c r="I4199" s="741">
        <v>0</v>
      </c>
      <c r="J4199" s="749">
        <f t="shared" si="881"/>
        <v>0</v>
      </c>
      <c r="K4199" s="739">
        <f t="shared" si="877"/>
        <v>176</v>
      </c>
      <c r="L4199" s="1079"/>
      <c r="M4199" s="752"/>
      <c r="N4199" s="744">
        <f t="shared" si="879"/>
        <v>1</v>
      </c>
      <c r="O4199" s="745">
        <v>0</v>
      </c>
      <c r="P4199" s="737">
        <v>1</v>
      </c>
      <c r="Q4199" s="752"/>
      <c r="R4199" s="752"/>
      <c r="S4199" s="752"/>
    </row>
    <row r="4200" spans="1:19" s="753" customFormat="1" ht="24" customHeight="1">
      <c r="A4200" s="734"/>
      <c r="B4200" s="747" t="s">
        <v>469</v>
      </c>
      <c r="C4200" s="735" t="s">
        <v>482</v>
      </c>
      <c r="D4200" s="735"/>
      <c r="E4200" s="737">
        <f t="shared" si="878"/>
        <v>1</v>
      </c>
      <c r="F4200" s="738" t="s">
        <v>363</v>
      </c>
      <c r="G4200" s="739">
        <v>560</v>
      </c>
      <c r="H4200" s="748">
        <f t="shared" si="880"/>
        <v>560</v>
      </c>
      <c r="I4200" s="741">
        <v>35</v>
      </c>
      <c r="J4200" s="749">
        <f t="shared" si="881"/>
        <v>35</v>
      </c>
      <c r="K4200" s="739">
        <f t="shared" si="877"/>
        <v>595</v>
      </c>
      <c r="L4200" s="1079"/>
      <c r="M4200" s="752"/>
      <c r="N4200" s="744">
        <f t="shared" si="879"/>
        <v>1</v>
      </c>
      <c r="O4200" s="745">
        <v>0</v>
      </c>
      <c r="P4200" s="737">
        <v>1</v>
      </c>
      <c r="Q4200" s="752"/>
      <c r="R4200" s="752"/>
      <c r="S4200" s="752"/>
    </row>
    <row r="4201" spans="1:19" s="753" customFormat="1" ht="24" customHeight="1">
      <c r="A4201" s="734"/>
      <c r="B4201" s="747" t="s">
        <v>469</v>
      </c>
      <c r="C4201" s="735" t="s">
        <v>524</v>
      </c>
      <c r="D4201" s="735"/>
      <c r="E4201" s="737">
        <f t="shared" si="878"/>
        <v>1</v>
      </c>
      <c r="F4201" s="738" t="s">
        <v>363</v>
      </c>
      <c r="G4201" s="739">
        <v>216</v>
      </c>
      <c r="H4201" s="748">
        <f t="shared" si="880"/>
        <v>216</v>
      </c>
      <c r="I4201" s="741">
        <v>35</v>
      </c>
      <c r="J4201" s="749">
        <f t="shared" si="881"/>
        <v>35</v>
      </c>
      <c r="K4201" s="739">
        <f t="shared" si="877"/>
        <v>251</v>
      </c>
      <c r="L4201" s="1079"/>
      <c r="M4201" s="752"/>
      <c r="N4201" s="744">
        <f t="shared" si="879"/>
        <v>1</v>
      </c>
      <c r="O4201" s="745">
        <v>0</v>
      </c>
      <c r="P4201" s="737">
        <v>1</v>
      </c>
      <c r="Q4201" s="752"/>
      <c r="R4201" s="752"/>
      <c r="S4201" s="752"/>
    </row>
    <row r="4202" spans="1:19" s="753" customFormat="1" ht="24" customHeight="1">
      <c r="A4202" s="734"/>
      <c r="B4202" s="747"/>
      <c r="C4202" s="735"/>
      <c r="D4202" s="735"/>
      <c r="E4202" s="737">
        <f t="shared" si="878"/>
        <v>0</v>
      </c>
      <c r="F4202" s="738"/>
      <c r="G4202" s="739">
        <v>0</v>
      </c>
      <c r="H4202" s="748">
        <f t="shared" si="880"/>
        <v>0</v>
      </c>
      <c r="I4202" s="741">
        <v>0</v>
      </c>
      <c r="J4202" s="749">
        <f t="shared" si="881"/>
        <v>0</v>
      </c>
      <c r="K4202" s="739">
        <f t="shared" si="877"/>
        <v>0</v>
      </c>
      <c r="L4202" s="1079"/>
      <c r="M4202" s="752"/>
      <c r="N4202" s="744">
        <f t="shared" si="879"/>
        <v>0</v>
      </c>
      <c r="O4202" s="745">
        <v>0</v>
      </c>
      <c r="P4202" s="737">
        <v>0</v>
      </c>
      <c r="Q4202" s="752"/>
      <c r="R4202" s="752"/>
      <c r="S4202" s="752"/>
    </row>
    <row r="4203" spans="1:19" s="753" customFormat="1" ht="24" customHeight="1">
      <c r="A4203" s="734"/>
      <c r="B4203" s="747" t="s">
        <v>469</v>
      </c>
      <c r="C4203" s="735" t="s">
        <v>486</v>
      </c>
      <c r="D4203" s="735"/>
      <c r="E4203" s="737">
        <f t="shared" si="878"/>
        <v>1</v>
      </c>
      <c r="F4203" s="738" t="s">
        <v>363</v>
      </c>
      <c r="G4203" s="739">
        <v>552</v>
      </c>
      <c r="H4203" s="748">
        <f t="shared" si="880"/>
        <v>552</v>
      </c>
      <c r="I4203" s="741">
        <v>25</v>
      </c>
      <c r="J4203" s="749">
        <f t="shared" si="881"/>
        <v>25</v>
      </c>
      <c r="K4203" s="739">
        <f t="shared" si="877"/>
        <v>577</v>
      </c>
      <c r="L4203" s="1079"/>
      <c r="M4203" s="752"/>
      <c r="N4203" s="744">
        <f t="shared" si="879"/>
        <v>1</v>
      </c>
      <c r="O4203" s="745">
        <v>0</v>
      </c>
      <c r="P4203" s="737">
        <v>1</v>
      </c>
      <c r="Q4203" s="752"/>
      <c r="R4203" s="752"/>
      <c r="S4203" s="752"/>
    </row>
    <row r="4204" spans="1:19" s="753" customFormat="1" ht="24" customHeight="1">
      <c r="A4204" s="734"/>
      <c r="B4204" s="747" t="s">
        <v>484</v>
      </c>
      <c r="C4204" s="735" t="s">
        <v>485</v>
      </c>
      <c r="D4204" s="735"/>
      <c r="E4204" s="737">
        <f t="shared" si="878"/>
        <v>1</v>
      </c>
      <c r="F4204" s="738" t="s">
        <v>363</v>
      </c>
      <c r="G4204" s="739">
        <v>285</v>
      </c>
      <c r="H4204" s="748">
        <f t="shared" si="880"/>
        <v>285</v>
      </c>
      <c r="I4204" s="741">
        <v>75</v>
      </c>
      <c r="J4204" s="749">
        <f t="shared" si="881"/>
        <v>75</v>
      </c>
      <c r="K4204" s="739">
        <f t="shared" si="877"/>
        <v>360</v>
      </c>
      <c r="L4204" s="1093"/>
      <c r="M4204" s="752"/>
      <c r="N4204" s="744">
        <f t="shared" si="879"/>
        <v>1</v>
      </c>
      <c r="O4204" s="745">
        <v>0</v>
      </c>
      <c r="P4204" s="737">
        <v>1</v>
      </c>
      <c r="Q4204" s="752"/>
      <c r="R4204" s="752"/>
      <c r="S4204" s="752"/>
    </row>
    <row r="4205" spans="1:19" s="753" customFormat="1" ht="24" customHeight="1">
      <c r="A4205" s="734"/>
      <c r="B4205" s="747"/>
      <c r="C4205" s="735"/>
      <c r="D4205" s="735"/>
      <c r="E4205" s="737">
        <f t="shared" si="878"/>
        <v>0</v>
      </c>
      <c r="F4205" s="738"/>
      <c r="G4205" s="739">
        <v>0</v>
      </c>
      <c r="H4205" s="748">
        <f t="shared" si="880"/>
        <v>0</v>
      </c>
      <c r="I4205" s="741">
        <v>0</v>
      </c>
      <c r="J4205" s="749">
        <f t="shared" si="881"/>
        <v>0</v>
      </c>
      <c r="K4205" s="739">
        <f t="shared" si="877"/>
        <v>0</v>
      </c>
      <c r="L4205" s="1079"/>
      <c r="M4205" s="752"/>
      <c r="N4205" s="744">
        <f t="shared" si="879"/>
        <v>0</v>
      </c>
      <c r="O4205" s="745">
        <v>0</v>
      </c>
      <c r="P4205" s="737">
        <v>0</v>
      </c>
      <c r="Q4205" s="752"/>
      <c r="R4205" s="752"/>
      <c r="S4205" s="752"/>
    </row>
    <row r="4206" spans="1:19" s="753" customFormat="1" ht="24" customHeight="1">
      <c r="A4206" s="734"/>
      <c r="B4206" s="747" t="s">
        <v>469</v>
      </c>
      <c r="C4206" s="735" t="s">
        <v>507</v>
      </c>
      <c r="D4206" s="735"/>
      <c r="E4206" s="737">
        <f t="shared" si="878"/>
        <v>1</v>
      </c>
      <c r="F4206" s="738" t="s">
        <v>363</v>
      </c>
      <c r="G4206" s="739">
        <v>1650</v>
      </c>
      <c r="H4206" s="748">
        <f t="shared" si="880"/>
        <v>1650</v>
      </c>
      <c r="I4206" s="741">
        <v>70</v>
      </c>
      <c r="J4206" s="749">
        <f t="shared" si="881"/>
        <v>70</v>
      </c>
      <c r="K4206" s="739">
        <f t="shared" si="877"/>
        <v>1720</v>
      </c>
      <c r="L4206" s="1079"/>
      <c r="M4206" s="752"/>
      <c r="N4206" s="744">
        <f t="shared" si="879"/>
        <v>1</v>
      </c>
      <c r="O4206" s="745">
        <v>0</v>
      </c>
      <c r="P4206" s="737">
        <v>1</v>
      </c>
      <c r="Q4206" s="752"/>
      <c r="R4206" s="752"/>
      <c r="S4206" s="752"/>
    </row>
    <row r="4207" spans="1:19" s="753" customFormat="1" ht="24" customHeight="1">
      <c r="A4207" s="734"/>
      <c r="B4207" s="747" t="s">
        <v>469</v>
      </c>
      <c r="C4207" s="735" t="s">
        <v>525</v>
      </c>
      <c r="D4207" s="735"/>
      <c r="E4207" s="737">
        <f t="shared" si="878"/>
        <v>2</v>
      </c>
      <c r="F4207" s="738" t="s">
        <v>363</v>
      </c>
      <c r="G4207" s="739">
        <v>4160</v>
      </c>
      <c r="H4207" s="748">
        <f t="shared" si="880"/>
        <v>8320</v>
      </c>
      <c r="I4207" s="741">
        <v>105</v>
      </c>
      <c r="J4207" s="749">
        <f t="shared" si="881"/>
        <v>210</v>
      </c>
      <c r="K4207" s="739">
        <f t="shared" si="877"/>
        <v>8530</v>
      </c>
      <c r="L4207" s="1079"/>
      <c r="M4207" s="752"/>
      <c r="N4207" s="744">
        <f t="shared" si="879"/>
        <v>2</v>
      </c>
      <c r="O4207" s="745">
        <v>0</v>
      </c>
      <c r="P4207" s="737">
        <v>2</v>
      </c>
      <c r="Q4207" s="752"/>
      <c r="R4207" s="752"/>
      <c r="S4207" s="752"/>
    </row>
    <row r="4208" spans="1:19" s="753" customFormat="1" ht="24" customHeight="1">
      <c r="A4208" s="734"/>
      <c r="B4208" s="747" t="s">
        <v>469</v>
      </c>
      <c r="C4208" s="735" t="s">
        <v>526</v>
      </c>
      <c r="D4208" s="735"/>
      <c r="E4208" s="737">
        <f t="shared" si="878"/>
        <v>1</v>
      </c>
      <c r="F4208" s="738" t="s">
        <v>363</v>
      </c>
      <c r="G4208" s="739">
        <v>2533.5</v>
      </c>
      <c r="H4208" s="748">
        <f t="shared" si="880"/>
        <v>2533.5</v>
      </c>
      <c r="I4208" s="741">
        <v>105</v>
      </c>
      <c r="J4208" s="749">
        <f t="shared" si="881"/>
        <v>105</v>
      </c>
      <c r="K4208" s="739">
        <f t="shared" si="877"/>
        <v>2638.5</v>
      </c>
      <c r="L4208" s="1079"/>
      <c r="M4208" s="752"/>
      <c r="N4208" s="744">
        <f t="shared" si="879"/>
        <v>1</v>
      </c>
      <c r="O4208" s="745">
        <v>0</v>
      </c>
      <c r="P4208" s="737">
        <v>1</v>
      </c>
      <c r="Q4208" s="752"/>
      <c r="R4208" s="752"/>
      <c r="S4208" s="752"/>
    </row>
    <row r="4209" spans="1:19" s="753" customFormat="1" ht="24" customHeight="1">
      <c r="A4209" s="734"/>
      <c r="B4209" s="747"/>
      <c r="C4209" s="735"/>
      <c r="D4209" s="735"/>
      <c r="E4209" s="737">
        <f t="shared" si="878"/>
        <v>0</v>
      </c>
      <c r="F4209" s="738"/>
      <c r="G4209" s="739">
        <v>0</v>
      </c>
      <c r="H4209" s="748">
        <f t="shared" si="880"/>
        <v>0</v>
      </c>
      <c r="I4209" s="741">
        <v>0</v>
      </c>
      <c r="J4209" s="749">
        <f t="shared" si="881"/>
        <v>0</v>
      </c>
      <c r="K4209" s="739">
        <f t="shared" si="877"/>
        <v>0</v>
      </c>
      <c r="L4209" s="1079"/>
      <c r="M4209" s="752"/>
      <c r="N4209" s="744">
        <f t="shared" si="879"/>
        <v>0</v>
      </c>
      <c r="O4209" s="745">
        <v>0</v>
      </c>
      <c r="P4209" s="737">
        <v>0</v>
      </c>
      <c r="Q4209" s="752"/>
      <c r="R4209" s="752"/>
      <c r="S4209" s="752"/>
    </row>
    <row r="4210" spans="1:19" s="753" customFormat="1" ht="24" customHeight="1">
      <c r="A4210" s="734"/>
      <c r="B4210" s="747" t="s">
        <v>469</v>
      </c>
      <c r="C4210" s="735" t="s">
        <v>527</v>
      </c>
      <c r="D4210" s="735"/>
      <c r="E4210" s="737">
        <f t="shared" si="878"/>
        <v>1</v>
      </c>
      <c r="F4210" s="738" t="s">
        <v>363</v>
      </c>
      <c r="G4210" s="739">
        <v>2855</v>
      </c>
      <c r="H4210" s="748">
        <f t="shared" si="880"/>
        <v>2855</v>
      </c>
      <c r="I4210" s="741">
        <v>1432</v>
      </c>
      <c r="J4210" s="749">
        <f t="shared" si="881"/>
        <v>1432</v>
      </c>
      <c r="K4210" s="739">
        <f t="shared" si="877"/>
        <v>4287</v>
      </c>
      <c r="L4210" s="1079"/>
      <c r="M4210" s="752"/>
      <c r="N4210" s="744">
        <f t="shared" si="879"/>
        <v>1</v>
      </c>
      <c r="O4210" s="745">
        <v>0</v>
      </c>
      <c r="P4210" s="737">
        <v>1</v>
      </c>
      <c r="Q4210" s="752"/>
      <c r="R4210" s="752"/>
      <c r="S4210" s="752"/>
    </row>
    <row r="4211" spans="1:19" s="682" customFormat="1" ht="24" customHeight="1">
      <c r="A4211" s="734"/>
      <c r="B4211" s="747" t="s">
        <v>469</v>
      </c>
      <c r="C4211" s="735" t="s">
        <v>528</v>
      </c>
      <c r="D4211" s="735"/>
      <c r="E4211" s="737">
        <f t="shared" si="878"/>
        <v>0</v>
      </c>
      <c r="F4211" s="738" t="s">
        <v>363</v>
      </c>
      <c r="G4211" s="739">
        <v>9750</v>
      </c>
      <c r="H4211" s="748">
        <f t="shared" si="880"/>
        <v>0</v>
      </c>
      <c r="I4211" s="741">
        <v>105</v>
      </c>
      <c r="J4211" s="749">
        <f t="shared" si="881"/>
        <v>0</v>
      </c>
      <c r="K4211" s="739">
        <f t="shared" ref="K4211:K4218" si="882">SUM(H4211+J4211)</f>
        <v>0</v>
      </c>
      <c r="L4211" s="1079"/>
      <c r="M4211" s="679"/>
      <c r="N4211" s="744">
        <f t="shared" si="879"/>
        <v>0</v>
      </c>
      <c r="O4211" s="745">
        <v>0</v>
      </c>
      <c r="P4211" s="737">
        <v>0</v>
      </c>
      <c r="Q4211" s="679"/>
      <c r="R4211" s="679"/>
      <c r="S4211" s="679"/>
    </row>
    <row r="4212" spans="1:19" s="682" customFormat="1" ht="24" customHeight="1">
      <c r="A4212" s="734"/>
      <c r="B4212" s="747" t="s">
        <v>469</v>
      </c>
      <c r="C4212" s="735" t="s">
        <v>529</v>
      </c>
      <c r="D4212" s="735"/>
      <c r="E4212" s="737">
        <f t="shared" si="878"/>
        <v>0</v>
      </c>
      <c r="F4212" s="738" t="s">
        <v>363</v>
      </c>
      <c r="G4212" s="739">
        <v>5200</v>
      </c>
      <c r="H4212" s="748">
        <f t="shared" si="880"/>
        <v>0</v>
      </c>
      <c r="I4212" s="741">
        <v>70</v>
      </c>
      <c r="J4212" s="749">
        <f t="shared" si="881"/>
        <v>0</v>
      </c>
      <c r="K4212" s="739">
        <f t="shared" si="882"/>
        <v>0</v>
      </c>
      <c r="L4212" s="1079"/>
      <c r="M4212" s="679"/>
      <c r="N4212" s="744">
        <f t="shared" si="879"/>
        <v>0</v>
      </c>
      <c r="O4212" s="745">
        <v>0</v>
      </c>
      <c r="P4212" s="737">
        <v>0</v>
      </c>
      <c r="Q4212" s="679"/>
      <c r="R4212" s="679"/>
      <c r="S4212" s="679"/>
    </row>
    <row r="4213" spans="1:19" s="682" customFormat="1" ht="24" customHeight="1">
      <c r="A4213" s="734"/>
      <c r="B4213" s="747" t="s">
        <v>469</v>
      </c>
      <c r="C4213" s="735" t="s">
        <v>519</v>
      </c>
      <c r="D4213" s="735"/>
      <c r="E4213" s="737">
        <f t="shared" si="878"/>
        <v>1</v>
      </c>
      <c r="F4213" s="738" t="s">
        <v>363</v>
      </c>
      <c r="G4213" s="739">
        <v>800</v>
      </c>
      <c r="H4213" s="748">
        <f t="shared" si="880"/>
        <v>800</v>
      </c>
      <c r="I4213" s="741">
        <v>70</v>
      </c>
      <c r="J4213" s="749">
        <f t="shared" si="881"/>
        <v>70</v>
      </c>
      <c r="K4213" s="739">
        <f t="shared" si="882"/>
        <v>870</v>
      </c>
      <c r="L4213" s="1079"/>
      <c r="M4213" s="679"/>
      <c r="N4213" s="744">
        <f t="shared" si="879"/>
        <v>1</v>
      </c>
      <c r="O4213" s="745">
        <v>0</v>
      </c>
      <c r="P4213" s="737">
        <v>1</v>
      </c>
      <c r="Q4213" s="679"/>
      <c r="R4213" s="679"/>
      <c r="S4213" s="679"/>
    </row>
    <row r="4214" spans="1:19" s="682" customFormat="1" ht="24" customHeight="1">
      <c r="A4214" s="734"/>
      <c r="B4214" s="747" t="s">
        <v>469</v>
      </c>
      <c r="C4214" s="735" t="s">
        <v>520</v>
      </c>
      <c r="D4214" s="735"/>
      <c r="E4214" s="737">
        <f t="shared" ref="E4214:E4218" si="883">+N4214</f>
        <v>0</v>
      </c>
      <c r="F4214" s="738" t="s">
        <v>361</v>
      </c>
      <c r="G4214" s="739">
        <v>190</v>
      </c>
      <c r="H4214" s="748">
        <f t="shared" si="880"/>
        <v>0</v>
      </c>
      <c r="I4214" s="741">
        <v>75</v>
      </c>
      <c r="J4214" s="749">
        <f t="shared" si="881"/>
        <v>0</v>
      </c>
      <c r="K4214" s="739">
        <f t="shared" si="882"/>
        <v>0</v>
      </c>
      <c r="L4214" s="1079"/>
      <c r="M4214" s="679"/>
      <c r="N4214" s="744">
        <f t="shared" si="879"/>
        <v>0</v>
      </c>
      <c r="O4214" s="745">
        <v>0</v>
      </c>
      <c r="P4214" s="737">
        <v>0</v>
      </c>
      <c r="Q4214" s="679"/>
      <c r="R4214" s="679"/>
      <c r="S4214" s="679"/>
    </row>
    <row r="4215" spans="1:19" s="753" customFormat="1" ht="24" customHeight="1">
      <c r="A4215" s="734"/>
      <c r="B4215" s="747"/>
      <c r="C4215" s="735"/>
      <c r="D4215" s="735"/>
      <c r="E4215" s="737">
        <f t="shared" si="883"/>
        <v>0</v>
      </c>
      <c r="F4215" s="738"/>
      <c r="G4215" s="739">
        <v>0</v>
      </c>
      <c r="H4215" s="748">
        <f t="shared" si="880"/>
        <v>0</v>
      </c>
      <c r="I4215" s="741">
        <v>0</v>
      </c>
      <c r="J4215" s="749">
        <f t="shared" si="881"/>
        <v>0</v>
      </c>
      <c r="K4215" s="739">
        <f t="shared" si="882"/>
        <v>0</v>
      </c>
      <c r="L4215" s="1079"/>
      <c r="M4215" s="752"/>
      <c r="N4215" s="758">
        <f t="shared" si="879"/>
        <v>0</v>
      </c>
      <c r="O4215" s="745">
        <v>0</v>
      </c>
      <c r="P4215" s="759">
        <v>0</v>
      </c>
      <c r="Q4215" s="752"/>
      <c r="R4215" s="752"/>
      <c r="S4215" s="752"/>
    </row>
    <row r="4216" spans="1:19" s="753" customFormat="1" ht="24" customHeight="1">
      <c r="A4216" s="734"/>
      <c r="B4216" s="751" t="s">
        <v>1092</v>
      </c>
      <c r="C4216" s="735"/>
      <c r="D4216" s="735"/>
      <c r="E4216" s="737">
        <f t="shared" si="883"/>
        <v>0</v>
      </c>
      <c r="F4216" s="738"/>
      <c r="G4216" s="739">
        <v>0</v>
      </c>
      <c r="H4216" s="748">
        <f t="shared" si="880"/>
        <v>0</v>
      </c>
      <c r="I4216" s="741">
        <v>0</v>
      </c>
      <c r="J4216" s="749">
        <f t="shared" si="881"/>
        <v>0</v>
      </c>
      <c r="K4216" s="739">
        <f t="shared" si="882"/>
        <v>0</v>
      </c>
      <c r="L4216" s="1079"/>
      <c r="M4216" s="752"/>
      <c r="N4216" s="744">
        <f t="shared" si="879"/>
        <v>0</v>
      </c>
      <c r="O4216" s="745">
        <v>0</v>
      </c>
      <c r="P4216" s="737">
        <v>0</v>
      </c>
      <c r="Q4216" s="752"/>
      <c r="R4216" s="752"/>
      <c r="S4216" s="752"/>
    </row>
    <row r="4217" spans="1:19" s="753" customFormat="1" ht="24" customHeight="1">
      <c r="A4217" s="734"/>
      <c r="B4217" s="747" t="s">
        <v>469</v>
      </c>
      <c r="C4217" s="735" t="s">
        <v>486</v>
      </c>
      <c r="D4217" s="735"/>
      <c r="E4217" s="737">
        <f t="shared" si="883"/>
        <v>1</v>
      </c>
      <c r="F4217" s="738" t="s">
        <v>363</v>
      </c>
      <c r="G4217" s="739">
        <v>552</v>
      </c>
      <c r="H4217" s="748">
        <f t="shared" si="880"/>
        <v>552</v>
      </c>
      <c r="I4217" s="741">
        <v>25</v>
      </c>
      <c r="J4217" s="749">
        <f t="shared" si="881"/>
        <v>25</v>
      </c>
      <c r="K4217" s="739">
        <f t="shared" si="882"/>
        <v>577</v>
      </c>
      <c r="L4217" s="1079"/>
      <c r="M4217" s="752"/>
      <c r="N4217" s="744">
        <f t="shared" si="879"/>
        <v>1</v>
      </c>
      <c r="O4217" s="745">
        <v>0</v>
      </c>
      <c r="P4217" s="737">
        <v>1</v>
      </c>
      <c r="Q4217" s="752"/>
      <c r="R4217" s="752"/>
      <c r="S4217" s="752"/>
    </row>
    <row r="4218" spans="1:19" s="753" customFormat="1" ht="24" customHeight="1">
      <c r="A4218" s="734"/>
      <c r="B4218" s="747" t="s">
        <v>484</v>
      </c>
      <c r="C4218" s="735" t="s">
        <v>485</v>
      </c>
      <c r="D4218" s="735"/>
      <c r="E4218" s="737">
        <f t="shared" si="883"/>
        <v>1</v>
      </c>
      <c r="F4218" s="738" t="s">
        <v>363</v>
      </c>
      <c r="G4218" s="739">
        <v>285</v>
      </c>
      <c r="H4218" s="748">
        <f t="shared" si="880"/>
        <v>285</v>
      </c>
      <c r="I4218" s="741">
        <v>75</v>
      </c>
      <c r="J4218" s="749">
        <f t="shared" si="881"/>
        <v>75</v>
      </c>
      <c r="K4218" s="739">
        <f t="shared" si="882"/>
        <v>360</v>
      </c>
      <c r="L4218" s="1093"/>
      <c r="M4218" s="752"/>
      <c r="N4218" s="744">
        <f t="shared" si="879"/>
        <v>1</v>
      </c>
      <c r="O4218" s="745">
        <v>0</v>
      </c>
      <c r="P4218" s="737">
        <v>1</v>
      </c>
      <c r="Q4218" s="752"/>
      <c r="R4218" s="752"/>
      <c r="S4218" s="752"/>
    </row>
    <row r="4219" spans="1:19" s="753" customFormat="1" ht="24" customHeight="1">
      <c r="A4219" s="734"/>
      <c r="B4219" s="747"/>
      <c r="C4219" s="735"/>
      <c r="D4219" s="735"/>
      <c r="E4219" s="737"/>
      <c r="F4219" s="738"/>
      <c r="G4219" s="739"/>
      <c r="H4219" s="748"/>
      <c r="I4219" s="741"/>
      <c r="J4219" s="749"/>
      <c r="K4219" s="739"/>
      <c r="L4219" s="1093"/>
      <c r="M4219" s="752"/>
      <c r="N4219" s="744">
        <f t="shared" si="879"/>
        <v>0</v>
      </c>
      <c r="O4219" s="745">
        <v>0</v>
      </c>
      <c r="P4219" s="737">
        <v>0</v>
      </c>
      <c r="Q4219" s="752"/>
      <c r="R4219" s="752"/>
      <c r="S4219" s="752"/>
    </row>
    <row r="4220" spans="1:19" s="760" customFormat="1" ht="23.4">
      <c r="A4220" s="734" t="s">
        <v>766</v>
      </c>
      <c r="B4220" s="761" t="s">
        <v>541</v>
      </c>
      <c r="C4220" s="736"/>
      <c r="D4220" s="907"/>
      <c r="E4220" s="737"/>
      <c r="F4220" s="738"/>
      <c r="G4220" s="739">
        <v>0</v>
      </c>
      <c r="H4220" s="748">
        <f t="shared" ref="H4220:H4283" si="884">SUM(E4220*G4220)</f>
        <v>0</v>
      </c>
      <c r="I4220" s="741">
        <v>0</v>
      </c>
      <c r="J4220" s="749">
        <f t="shared" ref="J4220:J4285" si="885">SUM(E4220*I4220)</f>
        <v>0</v>
      </c>
      <c r="K4220" s="739">
        <f t="shared" ref="K4220:K4264" si="886">SUM(H4220+J4220)</f>
        <v>0</v>
      </c>
      <c r="L4220" s="1079"/>
      <c r="M4220" s="683"/>
      <c r="N4220" s="744">
        <f t="shared" si="879"/>
        <v>0</v>
      </c>
      <c r="O4220" s="745">
        <v>0</v>
      </c>
      <c r="P4220" s="737">
        <v>0</v>
      </c>
      <c r="Q4220" s="683"/>
      <c r="R4220" s="683"/>
      <c r="S4220" s="683"/>
    </row>
    <row r="4221" spans="1:19" s="753" customFormat="1" ht="24" customHeight="1">
      <c r="A4221" s="734"/>
      <c r="B4221" s="735" t="s">
        <v>1072</v>
      </c>
      <c r="C4221" s="736"/>
      <c r="D4221" s="907"/>
      <c r="E4221" s="737"/>
      <c r="F4221" s="738"/>
      <c r="G4221" s="739">
        <v>0</v>
      </c>
      <c r="H4221" s="748">
        <f t="shared" si="884"/>
        <v>0</v>
      </c>
      <c r="I4221" s="741">
        <v>0</v>
      </c>
      <c r="J4221" s="749">
        <f t="shared" si="885"/>
        <v>0</v>
      </c>
      <c r="K4221" s="739">
        <f t="shared" si="886"/>
        <v>0</v>
      </c>
      <c r="L4221" s="1079"/>
      <c r="M4221" s="752"/>
      <c r="N4221" s="744"/>
      <c r="O4221" s="745"/>
      <c r="P4221" s="737"/>
      <c r="Q4221" s="752"/>
      <c r="R4221" s="752"/>
      <c r="S4221" s="752"/>
    </row>
    <row r="4222" spans="1:19" s="753" customFormat="1" ht="24" customHeight="1">
      <c r="A4222" s="734"/>
      <c r="B4222" s="747" t="s">
        <v>469</v>
      </c>
      <c r="C4222" s="735" t="s">
        <v>497</v>
      </c>
      <c r="D4222" s="735"/>
      <c r="E4222" s="737">
        <f>+N4222</f>
        <v>4</v>
      </c>
      <c r="F4222" s="738" t="s">
        <v>363</v>
      </c>
      <c r="G4222" s="739">
        <v>1540</v>
      </c>
      <c r="H4222" s="748">
        <f t="shared" si="884"/>
        <v>6160</v>
      </c>
      <c r="I4222" s="741">
        <v>450</v>
      </c>
      <c r="J4222" s="749">
        <f t="shared" si="885"/>
        <v>1800</v>
      </c>
      <c r="K4222" s="739">
        <f t="shared" si="886"/>
        <v>7960</v>
      </c>
      <c r="L4222" s="1079"/>
      <c r="M4222" s="752"/>
      <c r="N4222" s="744">
        <f t="shared" ref="N4222:N4228" si="887">+(1+O4222)*P4222</f>
        <v>4</v>
      </c>
      <c r="O4222" s="745">
        <v>0</v>
      </c>
      <c r="P4222" s="737">
        <v>4</v>
      </c>
      <c r="Q4222" s="752"/>
      <c r="R4222" s="752"/>
      <c r="S4222" s="752"/>
    </row>
    <row r="4223" spans="1:19" s="753" customFormat="1" ht="24" customHeight="1">
      <c r="A4223" s="734"/>
      <c r="B4223" s="747" t="s">
        <v>469</v>
      </c>
      <c r="C4223" s="735" t="s">
        <v>498</v>
      </c>
      <c r="D4223" s="735"/>
      <c r="E4223" s="737">
        <f t="shared" ref="E4223:E4288" si="888">+N4223</f>
        <v>4</v>
      </c>
      <c r="F4223" s="738" t="s">
        <v>363</v>
      </c>
      <c r="G4223" s="739">
        <v>6640</v>
      </c>
      <c r="H4223" s="748">
        <f t="shared" si="884"/>
        <v>26560</v>
      </c>
      <c r="I4223" s="741">
        <v>200</v>
      </c>
      <c r="J4223" s="749">
        <f t="shared" si="885"/>
        <v>800</v>
      </c>
      <c r="K4223" s="739">
        <f t="shared" si="886"/>
        <v>27360</v>
      </c>
      <c r="L4223" s="1079"/>
      <c r="M4223" s="752"/>
      <c r="N4223" s="744">
        <f t="shared" si="887"/>
        <v>4</v>
      </c>
      <c r="O4223" s="745">
        <v>0</v>
      </c>
      <c r="P4223" s="737">
        <v>4</v>
      </c>
      <c r="Q4223" s="752"/>
      <c r="R4223" s="752"/>
      <c r="S4223" s="752"/>
    </row>
    <row r="4224" spans="1:19" s="753" customFormat="1" ht="24" customHeight="1">
      <c r="A4224" s="734"/>
      <c r="B4224" s="747" t="s">
        <v>469</v>
      </c>
      <c r="C4224" s="735" t="s">
        <v>496</v>
      </c>
      <c r="D4224" s="735"/>
      <c r="E4224" s="737">
        <f t="shared" si="888"/>
        <v>4</v>
      </c>
      <c r="F4224" s="738" t="s">
        <v>363</v>
      </c>
      <c r="G4224" s="739">
        <v>336</v>
      </c>
      <c r="H4224" s="748">
        <f t="shared" si="884"/>
        <v>1344</v>
      </c>
      <c r="I4224" s="741">
        <v>0</v>
      </c>
      <c r="J4224" s="749">
        <f t="shared" si="885"/>
        <v>0</v>
      </c>
      <c r="K4224" s="739">
        <f t="shared" si="886"/>
        <v>1344</v>
      </c>
      <c r="L4224" s="1079"/>
      <c r="M4224" s="752"/>
      <c r="N4224" s="744">
        <f t="shared" si="887"/>
        <v>4</v>
      </c>
      <c r="O4224" s="745">
        <v>0</v>
      </c>
      <c r="P4224" s="737">
        <v>4</v>
      </c>
      <c r="Q4224" s="752"/>
      <c r="R4224" s="752"/>
      <c r="S4224" s="752"/>
    </row>
    <row r="4225" spans="1:19" s="753" customFormat="1" ht="24" customHeight="1">
      <c r="A4225" s="734"/>
      <c r="B4225" s="747" t="s">
        <v>469</v>
      </c>
      <c r="C4225" s="735" t="s">
        <v>490</v>
      </c>
      <c r="D4225" s="735"/>
      <c r="E4225" s="737">
        <f t="shared" si="888"/>
        <v>4</v>
      </c>
      <c r="F4225" s="738" t="s">
        <v>363</v>
      </c>
      <c r="G4225" s="739">
        <v>736</v>
      </c>
      <c r="H4225" s="748">
        <f t="shared" si="884"/>
        <v>2944</v>
      </c>
      <c r="I4225" s="741">
        <v>0</v>
      </c>
      <c r="J4225" s="749">
        <f t="shared" si="885"/>
        <v>0</v>
      </c>
      <c r="K4225" s="739">
        <f t="shared" si="886"/>
        <v>2944</v>
      </c>
      <c r="L4225" s="1079"/>
      <c r="M4225" s="752"/>
      <c r="N4225" s="744">
        <f t="shared" si="887"/>
        <v>4</v>
      </c>
      <c r="O4225" s="745">
        <v>0</v>
      </c>
      <c r="P4225" s="737">
        <v>4</v>
      </c>
      <c r="Q4225" s="752"/>
      <c r="R4225" s="752"/>
      <c r="S4225" s="752"/>
    </row>
    <row r="4226" spans="1:19" s="753" customFormat="1" ht="24" customHeight="1">
      <c r="A4226" s="734"/>
      <c r="B4226" s="747" t="s">
        <v>469</v>
      </c>
      <c r="C4226" s="735" t="s">
        <v>478</v>
      </c>
      <c r="D4226" s="735"/>
      <c r="E4226" s="737">
        <f t="shared" si="888"/>
        <v>4</v>
      </c>
      <c r="F4226" s="738" t="s">
        <v>363</v>
      </c>
      <c r="G4226" s="739">
        <v>176</v>
      </c>
      <c r="H4226" s="748">
        <f t="shared" si="884"/>
        <v>704</v>
      </c>
      <c r="I4226" s="741">
        <v>0</v>
      </c>
      <c r="J4226" s="749">
        <f t="shared" si="885"/>
        <v>0</v>
      </c>
      <c r="K4226" s="739">
        <f t="shared" si="886"/>
        <v>704</v>
      </c>
      <c r="L4226" s="1079"/>
      <c r="M4226" s="752"/>
      <c r="N4226" s="744">
        <f t="shared" si="887"/>
        <v>4</v>
      </c>
      <c r="O4226" s="745">
        <v>0</v>
      </c>
      <c r="P4226" s="737">
        <v>4</v>
      </c>
      <c r="Q4226" s="752"/>
      <c r="R4226" s="752"/>
      <c r="S4226" s="752"/>
    </row>
    <row r="4227" spans="1:19" s="753" customFormat="1" ht="24" customHeight="1">
      <c r="A4227" s="734"/>
      <c r="B4227" s="747" t="s">
        <v>469</v>
      </c>
      <c r="C4227" s="735" t="s">
        <v>499</v>
      </c>
      <c r="D4227" s="735"/>
      <c r="E4227" s="737">
        <f t="shared" si="888"/>
        <v>4</v>
      </c>
      <c r="F4227" s="738" t="s">
        <v>363</v>
      </c>
      <c r="G4227" s="739">
        <v>216</v>
      </c>
      <c r="H4227" s="748">
        <f t="shared" si="884"/>
        <v>864</v>
      </c>
      <c r="I4227" s="741">
        <v>35</v>
      </c>
      <c r="J4227" s="749">
        <f t="shared" si="885"/>
        <v>140</v>
      </c>
      <c r="K4227" s="739">
        <f t="shared" si="886"/>
        <v>1004</v>
      </c>
      <c r="L4227" s="1079"/>
      <c r="M4227" s="752"/>
      <c r="N4227" s="744">
        <f t="shared" si="887"/>
        <v>4</v>
      </c>
      <c r="O4227" s="745">
        <v>0</v>
      </c>
      <c r="P4227" s="737">
        <v>4</v>
      </c>
      <c r="Q4227" s="752"/>
      <c r="R4227" s="752"/>
      <c r="S4227" s="752"/>
    </row>
    <row r="4228" spans="1:19" s="753" customFormat="1" ht="24" customHeight="1">
      <c r="A4228" s="734"/>
      <c r="B4228" s="750"/>
      <c r="C4228" s="736"/>
      <c r="D4228" s="907"/>
      <c r="E4228" s="737">
        <f t="shared" si="888"/>
        <v>0</v>
      </c>
      <c r="F4228" s="738"/>
      <c r="G4228" s="739">
        <v>0</v>
      </c>
      <c r="H4228" s="748">
        <f t="shared" si="884"/>
        <v>0</v>
      </c>
      <c r="I4228" s="741">
        <v>0</v>
      </c>
      <c r="J4228" s="749">
        <f t="shared" si="885"/>
        <v>0</v>
      </c>
      <c r="K4228" s="739">
        <f t="shared" si="886"/>
        <v>0</v>
      </c>
      <c r="L4228" s="1079"/>
      <c r="M4228" s="752"/>
      <c r="N4228" s="744">
        <f t="shared" si="887"/>
        <v>0</v>
      </c>
      <c r="O4228" s="745">
        <v>0</v>
      </c>
      <c r="P4228" s="737">
        <v>0</v>
      </c>
      <c r="Q4228" s="752"/>
      <c r="R4228" s="752"/>
      <c r="S4228" s="752"/>
    </row>
    <row r="4229" spans="1:19" s="753" customFormat="1" ht="24" customHeight="1">
      <c r="A4229" s="734"/>
      <c r="B4229" s="747" t="s">
        <v>469</v>
      </c>
      <c r="C4229" s="735" t="s">
        <v>492</v>
      </c>
      <c r="D4229" s="735"/>
      <c r="E4229" s="737">
        <f t="shared" si="888"/>
        <v>5</v>
      </c>
      <c r="F4229" s="738" t="s">
        <v>363</v>
      </c>
      <c r="G4229" s="739">
        <v>9375</v>
      </c>
      <c r="H4229" s="748">
        <f t="shared" si="884"/>
        <v>46875</v>
      </c>
      <c r="I4229" s="741">
        <v>450</v>
      </c>
      <c r="J4229" s="749">
        <f t="shared" si="885"/>
        <v>2250</v>
      </c>
      <c r="K4229" s="739">
        <f t="shared" si="886"/>
        <v>49125</v>
      </c>
      <c r="L4229" s="1079"/>
      <c r="M4229" s="752"/>
      <c r="N4229" s="744">
        <f>+(1+O4229)*P4229</f>
        <v>5</v>
      </c>
      <c r="O4229" s="745">
        <v>0</v>
      </c>
      <c r="P4229" s="737">
        <v>5</v>
      </c>
      <c r="Q4229" s="752"/>
      <c r="R4229" s="752"/>
      <c r="S4229" s="752"/>
    </row>
    <row r="4230" spans="1:19" s="753" customFormat="1" ht="24" customHeight="1">
      <c r="A4230" s="734"/>
      <c r="B4230" s="747" t="s">
        <v>469</v>
      </c>
      <c r="C4230" s="735" t="s">
        <v>500</v>
      </c>
      <c r="D4230" s="735"/>
      <c r="E4230" s="737">
        <f t="shared" si="888"/>
        <v>5</v>
      </c>
      <c r="F4230" s="738" t="s">
        <v>363</v>
      </c>
      <c r="G4230" s="739">
        <v>12752</v>
      </c>
      <c r="H4230" s="748">
        <f t="shared" si="884"/>
        <v>63760</v>
      </c>
      <c r="I4230" s="741">
        <v>0</v>
      </c>
      <c r="J4230" s="749">
        <f t="shared" si="885"/>
        <v>0</v>
      </c>
      <c r="K4230" s="739">
        <f t="shared" si="886"/>
        <v>63760</v>
      </c>
      <c r="L4230" s="1079"/>
      <c r="M4230" s="752"/>
      <c r="N4230" s="744">
        <f t="shared" ref="N4230:N4295" si="889">+(1+O4230)*P4230</f>
        <v>5</v>
      </c>
      <c r="O4230" s="745">
        <v>0</v>
      </c>
      <c r="P4230" s="737">
        <v>5</v>
      </c>
      <c r="Q4230" s="752"/>
      <c r="R4230" s="752"/>
      <c r="S4230" s="752"/>
    </row>
    <row r="4231" spans="1:19" s="753" customFormat="1" ht="24" customHeight="1">
      <c r="A4231" s="734"/>
      <c r="B4231" s="747" t="s">
        <v>469</v>
      </c>
      <c r="C4231" s="735" t="s">
        <v>501</v>
      </c>
      <c r="D4231" s="735"/>
      <c r="E4231" s="737">
        <v>0</v>
      </c>
      <c r="F4231" s="738" t="s">
        <v>363</v>
      </c>
      <c r="G4231" s="739">
        <v>1950</v>
      </c>
      <c r="H4231" s="748">
        <f t="shared" si="884"/>
        <v>0</v>
      </c>
      <c r="I4231" s="741">
        <v>35</v>
      </c>
      <c r="J4231" s="749">
        <f t="shared" si="885"/>
        <v>0</v>
      </c>
      <c r="K4231" s="739">
        <f t="shared" si="886"/>
        <v>0</v>
      </c>
      <c r="L4231" s="1079"/>
      <c r="M4231" s="752"/>
      <c r="N4231" s="744">
        <f t="shared" si="889"/>
        <v>5</v>
      </c>
      <c r="O4231" s="745">
        <v>0</v>
      </c>
      <c r="P4231" s="737">
        <v>5</v>
      </c>
      <c r="Q4231" s="752"/>
      <c r="R4231" s="752"/>
      <c r="S4231" s="752"/>
    </row>
    <row r="4232" spans="1:19" s="753" customFormat="1" ht="24" customHeight="1">
      <c r="A4232" s="734"/>
      <c r="B4232" s="747" t="s">
        <v>469</v>
      </c>
      <c r="C4232" s="735" t="s">
        <v>502</v>
      </c>
      <c r="D4232" s="735"/>
      <c r="E4232" s="737">
        <f t="shared" si="888"/>
        <v>5</v>
      </c>
      <c r="F4232" s="738" t="s">
        <v>363</v>
      </c>
      <c r="G4232" s="739">
        <v>216</v>
      </c>
      <c r="H4232" s="748">
        <f t="shared" si="884"/>
        <v>1080</v>
      </c>
      <c r="I4232" s="741">
        <v>35</v>
      </c>
      <c r="J4232" s="749">
        <f t="shared" si="885"/>
        <v>175</v>
      </c>
      <c r="K4232" s="739">
        <f t="shared" si="886"/>
        <v>1255</v>
      </c>
      <c r="L4232" s="1079"/>
      <c r="M4232" s="752"/>
      <c r="N4232" s="744">
        <f t="shared" si="889"/>
        <v>5</v>
      </c>
      <c r="O4232" s="745">
        <v>0</v>
      </c>
      <c r="P4232" s="737">
        <v>5</v>
      </c>
      <c r="Q4232" s="754"/>
      <c r="R4232" s="752"/>
      <c r="S4232" s="752"/>
    </row>
    <row r="4233" spans="1:19" s="753" customFormat="1" ht="24" customHeight="1">
      <c r="A4233" s="734"/>
      <c r="B4233" s="747"/>
      <c r="C4233" s="735"/>
      <c r="D4233" s="907"/>
      <c r="E4233" s="737">
        <f t="shared" si="888"/>
        <v>0</v>
      </c>
      <c r="F4233" s="738"/>
      <c r="G4233" s="739">
        <v>0</v>
      </c>
      <c r="H4233" s="748">
        <f t="shared" si="884"/>
        <v>0</v>
      </c>
      <c r="I4233" s="741">
        <v>0</v>
      </c>
      <c r="J4233" s="749">
        <f t="shared" si="885"/>
        <v>0</v>
      </c>
      <c r="K4233" s="739">
        <f t="shared" si="886"/>
        <v>0</v>
      </c>
      <c r="L4233" s="1079"/>
      <c r="M4233" s="752"/>
      <c r="N4233" s="744">
        <f t="shared" si="889"/>
        <v>0</v>
      </c>
      <c r="O4233" s="745">
        <v>0</v>
      </c>
      <c r="P4233" s="737">
        <v>0</v>
      </c>
      <c r="Q4233" s="752"/>
      <c r="R4233" s="752"/>
      <c r="S4233" s="752"/>
    </row>
    <row r="4234" spans="1:19" s="753" customFormat="1" ht="24" customHeight="1">
      <c r="A4234" s="734"/>
      <c r="B4234" s="747" t="s">
        <v>469</v>
      </c>
      <c r="C4234" s="735" t="s">
        <v>503</v>
      </c>
      <c r="D4234" s="735"/>
      <c r="E4234" s="737">
        <f t="shared" si="888"/>
        <v>8</v>
      </c>
      <c r="F4234" s="738" t="s">
        <v>363</v>
      </c>
      <c r="G4234" s="739">
        <v>3920</v>
      </c>
      <c r="H4234" s="748">
        <f t="shared" si="884"/>
        <v>31360</v>
      </c>
      <c r="I4234" s="741">
        <v>450</v>
      </c>
      <c r="J4234" s="749">
        <f t="shared" si="885"/>
        <v>3600</v>
      </c>
      <c r="K4234" s="739">
        <f t="shared" si="886"/>
        <v>34960</v>
      </c>
      <c r="L4234" s="1079"/>
      <c r="M4234" s="752"/>
      <c r="N4234" s="744">
        <f t="shared" si="889"/>
        <v>8</v>
      </c>
      <c r="O4234" s="745">
        <v>0</v>
      </c>
      <c r="P4234" s="737">
        <v>8</v>
      </c>
      <c r="Q4234" s="752"/>
      <c r="R4234" s="752"/>
      <c r="S4234" s="752"/>
    </row>
    <row r="4235" spans="1:19" s="753" customFormat="1" ht="24" customHeight="1">
      <c r="A4235" s="734"/>
      <c r="B4235" s="747" t="s">
        <v>469</v>
      </c>
      <c r="C4235" s="735" t="s">
        <v>504</v>
      </c>
      <c r="D4235" s="735"/>
      <c r="E4235" s="737">
        <f t="shared" si="888"/>
        <v>8</v>
      </c>
      <c r="F4235" s="738" t="s">
        <v>363</v>
      </c>
      <c r="G4235" s="739">
        <v>12752</v>
      </c>
      <c r="H4235" s="748">
        <f t="shared" si="884"/>
        <v>102016</v>
      </c>
      <c r="I4235" s="741">
        <v>0</v>
      </c>
      <c r="J4235" s="749">
        <f t="shared" si="885"/>
        <v>0</v>
      </c>
      <c r="K4235" s="739">
        <f t="shared" si="886"/>
        <v>102016</v>
      </c>
      <c r="L4235" s="1079"/>
      <c r="M4235" s="752"/>
      <c r="N4235" s="744">
        <f t="shared" si="889"/>
        <v>8</v>
      </c>
      <c r="O4235" s="745">
        <v>0</v>
      </c>
      <c r="P4235" s="737">
        <v>8</v>
      </c>
      <c r="Q4235" s="752"/>
      <c r="R4235" s="752"/>
      <c r="S4235" s="752"/>
    </row>
    <row r="4236" spans="1:19" s="682" customFormat="1" ht="24" customHeight="1">
      <c r="A4236" s="734"/>
      <c r="B4236" s="747" t="s">
        <v>469</v>
      </c>
      <c r="C4236" s="735" t="s">
        <v>505</v>
      </c>
      <c r="D4236" s="735"/>
      <c r="E4236" s="737">
        <f t="shared" si="888"/>
        <v>6</v>
      </c>
      <c r="F4236" s="738" t="s">
        <v>363</v>
      </c>
      <c r="G4236" s="739">
        <v>2280</v>
      </c>
      <c r="H4236" s="748">
        <f t="shared" si="884"/>
        <v>13680</v>
      </c>
      <c r="I4236" s="741">
        <v>300</v>
      </c>
      <c r="J4236" s="749">
        <f t="shared" si="885"/>
        <v>1800</v>
      </c>
      <c r="K4236" s="739">
        <f t="shared" si="886"/>
        <v>15480</v>
      </c>
      <c r="L4236" s="1079"/>
      <c r="M4236" s="679"/>
      <c r="N4236" s="744">
        <f t="shared" si="889"/>
        <v>6</v>
      </c>
      <c r="O4236" s="745">
        <v>0</v>
      </c>
      <c r="P4236" s="737">
        <v>6</v>
      </c>
      <c r="Q4236" s="679"/>
      <c r="R4236" s="679"/>
      <c r="S4236" s="679"/>
    </row>
    <row r="4237" spans="1:19" s="682" customFormat="1" ht="24" customHeight="1">
      <c r="A4237" s="734"/>
      <c r="B4237" s="747" t="s">
        <v>469</v>
      </c>
      <c r="C4237" s="735" t="s">
        <v>506</v>
      </c>
      <c r="D4237" s="735"/>
      <c r="E4237" s="737">
        <f t="shared" si="888"/>
        <v>0</v>
      </c>
      <c r="F4237" s="738" t="s">
        <v>363</v>
      </c>
      <c r="G4237" s="739">
        <v>6592</v>
      </c>
      <c r="H4237" s="748">
        <f t="shared" si="884"/>
        <v>0</v>
      </c>
      <c r="I4237" s="741">
        <v>140</v>
      </c>
      <c r="J4237" s="749">
        <f t="shared" si="885"/>
        <v>0</v>
      </c>
      <c r="K4237" s="739">
        <f t="shared" si="886"/>
        <v>0</v>
      </c>
      <c r="L4237" s="1079"/>
      <c r="M4237" s="679"/>
      <c r="N4237" s="744">
        <f t="shared" si="889"/>
        <v>0</v>
      </c>
      <c r="O4237" s="745">
        <v>0</v>
      </c>
      <c r="P4237" s="737">
        <v>0</v>
      </c>
      <c r="Q4237" s="679"/>
      <c r="R4237" s="679"/>
      <c r="S4237" s="679"/>
    </row>
    <row r="4238" spans="1:19" s="753" customFormat="1" ht="24" customHeight="1">
      <c r="A4238" s="734"/>
      <c r="B4238" s="747" t="s">
        <v>484</v>
      </c>
      <c r="C4238" s="735" t="s">
        <v>485</v>
      </c>
      <c r="D4238" s="735"/>
      <c r="E4238" s="737">
        <f t="shared" si="888"/>
        <v>7</v>
      </c>
      <c r="F4238" s="738" t="s">
        <v>363</v>
      </c>
      <c r="G4238" s="739">
        <v>285</v>
      </c>
      <c r="H4238" s="748">
        <f t="shared" si="884"/>
        <v>1995</v>
      </c>
      <c r="I4238" s="741">
        <v>75</v>
      </c>
      <c r="J4238" s="749">
        <f t="shared" si="885"/>
        <v>525</v>
      </c>
      <c r="K4238" s="739">
        <f t="shared" si="886"/>
        <v>2520</v>
      </c>
      <c r="L4238" s="1093"/>
      <c r="M4238" s="752"/>
      <c r="N4238" s="744">
        <f t="shared" si="889"/>
        <v>7</v>
      </c>
      <c r="O4238" s="745">
        <v>0</v>
      </c>
      <c r="P4238" s="737">
        <v>7</v>
      </c>
      <c r="Q4238" s="752"/>
      <c r="R4238" s="752"/>
      <c r="S4238" s="752"/>
    </row>
    <row r="4239" spans="1:19" s="753" customFormat="1" ht="24" customHeight="1">
      <c r="A4239" s="734"/>
      <c r="B4239" s="747" t="s">
        <v>469</v>
      </c>
      <c r="C4239" s="735" t="s">
        <v>486</v>
      </c>
      <c r="D4239" s="735"/>
      <c r="E4239" s="737">
        <f t="shared" si="888"/>
        <v>1</v>
      </c>
      <c r="F4239" s="738" t="s">
        <v>363</v>
      </c>
      <c r="G4239" s="739">
        <v>552</v>
      </c>
      <c r="H4239" s="748">
        <f t="shared" si="884"/>
        <v>552</v>
      </c>
      <c r="I4239" s="741">
        <v>25</v>
      </c>
      <c r="J4239" s="749">
        <f t="shared" si="885"/>
        <v>25</v>
      </c>
      <c r="K4239" s="739">
        <f t="shared" si="886"/>
        <v>577</v>
      </c>
      <c r="L4239" s="1079"/>
      <c r="M4239" s="752"/>
      <c r="N4239" s="744">
        <f t="shared" si="889"/>
        <v>1</v>
      </c>
      <c r="O4239" s="745">
        <v>0</v>
      </c>
      <c r="P4239" s="737">
        <v>1</v>
      </c>
      <c r="Q4239" s="752"/>
      <c r="R4239" s="752"/>
      <c r="S4239" s="752"/>
    </row>
    <row r="4240" spans="1:19" s="753" customFormat="1" ht="24" customHeight="1">
      <c r="A4240" s="734"/>
      <c r="B4240" s="747" t="s">
        <v>469</v>
      </c>
      <c r="C4240" s="735" t="s">
        <v>507</v>
      </c>
      <c r="D4240" s="735"/>
      <c r="E4240" s="737">
        <f t="shared" si="888"/>
        <v>1</v>
      </c>
      <c r="F4240" s="738" t="s">
        <v>363</v>
      </c>
      <c r="G4240" s="739">
        <v>1650</v>
      </c>
      <c r="H4240" s="748">
        <f t="shared" si="884"/>
        <v>1650</v>
      </c>
      <c r="I4240" s="741">
        <v>70</v>
      </c>
      <c r="J4240" s="749">
        <f t="shared" si="885"/>
        <v>70</v>
      </c>
      <c r="K4240" s="739">
        <f t="shared" si="886"/>
        <v>1720</v>
      </c>
      <c r="L4240" s="1079"/>
      <c r="M4240" s="752"/>
      <c r="N4240" s="744">
        <f t="shared" si="889"/>
        <v>1</v>
      </c>
      <c r="O4240" s="745">
        <v>0</v>
      </c>
      <c r="P4240" s="737">
        <v>1</v>
      </c>
      <c r="Q4240" s="752"/>
      <c r="R4240" s="752"/>
      <c r="S4240" s="752"/>
    </row>
    <row r="4241" spans="1:19" s="753" customFormat="1" ht="24" customHeight="1">
      <c r="A4241" s="734"/>
      <c r="B4241" s="747" t="s">
        <v>469</v>
      </c>
      <c r="C4241" s="735" t="s">
        <v>508</v>
      </c>
      <c r="D4241" s="735"/>
      <c r="E4241" s="737">
        <f t="shared" si="888"/>
        <v>5</v>
      </c>
      <c r="F4241" s="738" t="s">
        <v>363</v>
      </c>
      <c r="G4241" s="739">
        <v>13500</v>
      </c>
      <c r="H4241" s="748">
        <f t="shared" si="884"/>
        <v>67500</v>
      </c>
      <c r="I4241" s="741">
        <v>750</v>
      </c>
      <c r="J4241" s="749">
        <f t="shared" si="885"/>
        <v>3750</v>
      </c>
      <c r="K4241" s="739">
        <f t="shared" si="886"/>
        <v>71250</v>
      </c>
      <c r="L4241" s="1079"/>
      <c r="M4241" s="752"/>
      <c r="N4241" s="744">
        <f t="shared" si="889"/>
        <v>5</v>
      </c>
      <c r="O4241" s="745">
        <v>0</v>
      </c>
      <c r="P4241" s="737">
        <v>5</v>
      </c>
      <c r="Q4241" s="752"/>
      <c r="R4241" s="752"/>
      <c r="S4241" s="752"/>
    </row>
    <row r="4242" spans="1:19" s="682" customFormat="1" ht="24" customHeight="1">
      <c r="A4242" s="734"/>
      <c r="B4242" s="747" t="s">
        <v>469</v>
      </c>
      <c r="C4242" s="735" t="s">
        <v>509</v>
      </c>
      <c r="D4242" s="735"/>
      <c r="E4242" s="737">
        <f t="shared" si="888"/>
        <v>1</v>
      </c>
      <c r="F4242" s="738" t="s">
        <v>363</v>
      </c>
      <c r="G4242" s="739">
        <v>14476</v>
      </c>
      <c r="H4242" s="748">
        <f t="shared" si="884"/>
        <v>14476</v>
      </c>
      <c r="I4242" s="741">
        <v>5367</v>
      </c>
      <c r="J4242" s="749">
        <f t="shared" si="885"/>
        <v>5367</v>
      </c>
      <c r="K4242" s="739">
        <f t="shared" si="886"/>
        <v>19843</v>
      </c>
      <c r="L4242" s="1079"/>
      <c r="M4242" s="679"/>
      <c r="N4242" s="744">
        <f t="shared" si="889"/>
        <v>1</v>
      </c>
      <c r="O4242" s="745">
        <v>0</v>
      </c>
      <c r="P4242" s="737">
        <v>1</v>
      </c>
      <c r="Q4242" s="679"/>
      <c r="R4242" s="679"/>
      <c r="S4242" s="679"/>
    </row>
    <row r="4243" spans="1:19" s="753" customFormat="1" ht="24" customHeight="1">
      <c r="A4243" s="734"/>
      <c r="B4243" s="747" t="s">
        <v>469</v>
      </c>
      <c r="C4243" s="735" t="s">
        <v>510</v>
      </c>
      <c r="D4243" s="735"/>
      <c r="E4243" s="737">
        <f t="shared" si="888"/>
        <v>4.1500000000000004</v>
      </c>
      <c r="F4243" s="738" t="s">
        <v>361</v>
      </c>
      <c r="G4243" s="739">
        <v>2694</v>
      </c>
      <c r="H4243" s="748">
        <f t="shared" si="884"/>
        <v>11180.1</v>
      </c>
      <c r="I4243" s="741">
        <v>1288</v>
      </c>
      <c r="J4243" s="749">
        <f t="shared" si="885"/>
        <v>5345.2000000000007</v>
      </c>
      <c r="K4243" s="739">
        <f t="shared" si="886"/>
        <v>16525.300000000003</v>
      </c>
      <c r="L4243" s="1079"/>
      <c r="M4243" s="752"/>
      <c r="N4243" s="744">
        <f t="shared" si="889"/>
        <v>4.1500000000000004</v>
      </c>
      <c r="O4243" s="745">
        <v>0</v>
      </c>
      <c r="P4243" s="737">
        <v>4.1500000000000004</v>
      </c>
      <c r="Q4243" s="752"/>
      <c r="R4243" s="752"/>
      <c r="S4243" s="752"/>
    </row>
    <row r="4244" spans="1:19" s="753" customFormat="1" ht="24" customHeight="1">
      <c r="A4244" s="734"/>
      <c r="B4244" s="747"/>
      <c r="C4244" s="735" t="s">
        <v>511</v>
      </c>
      <c r="D4244" s="735"/>
      <c r="E4244" s="737">
        <f t="shared" si="888"/>
        <v>0</v>
      </c>
      <c r="F4244" s="738"/>
      <c r="G4244" s="739"/>
      <c r="H4244" s="748">
        <f t="shared" si="884"/>
        <v>0</v>
      </c>
      <c r="I4244" s="741"/>
      <c r="J4244" s="749">
        <f t="shared" si="885"/>
        <v>0</v>
      </c>
      <c r="K4244" s="739">
        <f t="shared" si="886"/>
        <v>0</v>
      </c>
      <c r="L4244" s="1079"/>
      <c r="M4244" s="752"/>
      <c r="N4244" s="744">
        <f t="shared" si="889"/>
        <v>0</v>
      </c>
      <c r="O4244" s="745">
        <v>0</v>
      </c>
      <c r="P4244" s="737">
        <v>0</v>
      </c>
      <c r="Q4244" s="752"/>
      <c r="R4244" s="752"/>
      <c r="S4244" s="752"/>
    </row>
    <row r="4245" spans="1:19" s="753" customFormat="1" ht="24" customHeight="1">
      <c r="A4245" s="734"/>
      <c r="B4245" s="747" t="s">
        <v>469</v>
      </c>
      <c r="C4245" s="735" t="s">
        <v>512</v>
      </c>
      <c r="D4245" s="735"/>
      <c r="E4245" s="737">
        <f t="shared" si="888"/>
        <v>4.1500000000000004</v>
      </c>
      <c r="F4245" s="738" t="s">
        <v>361</v>
      </c>
      <c r="G4245" s="739">
        <v>3886</v>
      </c>
      <c r="H4245" s="748">
        <f t="shared" si="884"/>
        <v>16126.900000000001</v>
      </c>
      <c r="I4245" s="741">
        <v>1238</v>
      </c>
      <c r="J4245" s="749">
        <f t="shared" si="885"/>
        <v>5137.7000000000007</v>
      </c>
      <c r="K4245" s="739">
        <f t="shared" si="886"/>
        <v>21264.600000000002</v>
      </c>
      <c r="L4245" s="1079"/>
      <c r="M4245" s="752"/>
      <c r="N4245" s="744">
        <f t="shared" si="889"/>
        <v>4.1500000000000004</v>
      </c>
      <c r="O4245" s="745">
        <v>0</v>
      </c>
      <c r="P4245" s="737">
        <v>4.1500000000000004</v>
      </c>
      <c r="Q4245" s="752"/>
      <c r="R4245" s="752"/>
      <c r="S4245" s="752"/>
    </row>
    <row r="4246" spans="1:19" s="753" customFormat="1" ht="24" customHeight="1">
      <c r="A4246" s="734"/>
      <c r="B4246" s="747"/>
      <c r="C4246" s="735" t="s">
        <v>513</v>
      </c>
      <c r="D4246" s="735"/>
      <c r="E4246" s="737">
        <f t="shared" si="888"/>
        <v>0</v>
      </c>
      <c r="F4246" s="738"/>
      <c r="G4246" s="739">
        <v>0</v>
      </c>
      <c r="H4246" s="748">
        <f t="shared" si="884"/>
        <v>0</v>
      </c>
      <c r="I4246" s="741">
        <v>0</v>
      </c>
      <c r="J4246" s="749">
        <f t="shared" si="885"/>
        <v>0</v>
      </c>
      <c r="K4246" s="739">
        <f t="shared" si="886"/>
        <v>0</v>
      </c>
      <c r="L4246" s="1079"/>
      <c r="M4246" s="752"/>
      <c r="N4246" s="744">
        <f t="shared" si="889"/>
        <v>0</v>
      </c>
      <c r="O4246" s="745">
        <v>0</v>
      </c>
      <c r="P4246" s="737">
        <v>0</v>
      </c>
      <c r="Q4246" s="752"/>
      <c r="R4246" s="752"/>
      <c r="S4246" s="752"/>
    </row>
    <row r="4247" spans="1:19" s="753" customFormat="1" ht="24" customHeight="1">
      <c r="A4247" s="734"/>
      <c r="B4247" s="747" t="s">
        <v>469</v>
      </c>
      <c r="C4247" s="735" t="s">
        <v>514</v>
      </c>
      <c r="D4247" s="735"/>
      <c r="E4247" s="737">
        <f t="shared" si="888"/>
        <v>7.1</v>
      </c>
      <c r="F4247" s="738" t="s">
        <v>361</v>
      </c>
      <c r="G4247" s="739">
        <v>1522</v>
      </c>
      <c r="H4247" s="748">
        <f t="shared" si="884"/>
        <v>10806.199999999999</v>
      </c>
      <c r="I4247" s="741">
        <v>315</v>
      </c>
      <c r="J4247" s="749">
        <f t="shared" si="885"/>
        <v>2236.5</v>
      </c>
      <c r="K4247" s="739">
        <f t="shared" si="886"/>
        <v>13042.699999999999</v>
      </c>
      <c r="L4247" s="1079"/>
      <c r="M4247" s="752"/>
      <c r="N4247" s="744">
        <f t="shared" si="889"/>
        <v>7.1</v>
      </c>
      <c r="O4247" s="745">
        <v>0</v>
      </c>
      <c r="P4247" s="737">
        <v>7.1</v>
      </c>
      <c r="Q4247" s="752"/>
      <c r="R4247" s="752"/>
      <c r="S4247" s="752"/>
    </row>
    <row r="4248" spans="1:19" s="753" customFormat="1" ht="24" customHeight="1">
      <c r="A4248" s="734"/>
      <c r="B4248" s="747"/>
      <c r="C4248" s="735"/>
      <c r="D4248" s="735"/>
      <c r="E4248" s="737">
        <f t="shared" si="888"/>
        <v>0</v>
      </c>
      <c r="F4248" s="738"/>
      <c r="G4248" s="739">
        <v>0</v>
      </c>
      <c r="H4248" s="748">
        <f t="shared" si="884"/>
        <v>0</v>
      </c>
      <c r="I4248" s="741">
        <v>0</v>
      </c>
      <c r="J4248" s="749">
        <f t="shared" si="885"/>
        <v>0</v>
      </c>
      <c r="K4248" s="739">
        <f t="shared" si="886"/>
        <v>0</v>
      </c>
      <c r="L4248" s="1079"/>
      <c r="M4248" s="752"/>
      <c r="N4248" s="744">
        <f t="shared" si="889"/>
        <v>0</v>
      </c>
      <c r="O4248" s="745">
        <v>0</v>
      </c>
      <c r="P4248" s="737">
        <v>0</v>
      </c>
      <c r="Q4248" s="752"/>
      <c r="R4248" s="752"/>
      <c r="S4248" s="752"/>
    </row>
    <row r="4249" spans="1:19" s="682" customFormat="1" ht="24" customHeight="1">
      <c r="A4249" s="734"/>
      <c r="B4249" s="747" t="s">
        <v>469</v>
      </c>
      <c r="C4249" s="735" t="s">
        <v>515</v>
      </c>
      <c r="D4249" s="735"/>
      <c r="E4249" s="737">
        <f t="shared" si="888"/>
        <v>1</v>
      </c>
      <c r="F4249" s="738" t="s">
        <v>363</v>
      </c>
      <c r="G4249" s="739">
        <v>5013</v>
      </c>
      <c r="H4249" s="748">
        <f t="shared" si="884"/>
        <v>5013</v>
      </c>
      <c r="I4249" s="741">
        <v>2403</v>
      </c>
      <c r="J4249" s="749">
        <f t="shared" si="885"/>
        <v>2403</v>
      </c>
      <c r="K4249" s="739">
        <f t="shared" si="886"/>
        <v>7416</v>
      </c>
      <c r="L4249" s="1079"/>
      <c r="M4249" s="679"/>
      <c r="N4249" s="744">
        <f t="shared" si="889"/>
        <v>1</v>
      </c>
      <c r="O4249" s="745">
        <v>0</v>
      </c>
      <c r="P4249" s="737">
        <v>1</v>
      </c>
      <c r="Q4249" s="679"/>
      <c r="R4249" s="679"/>
      <c r="S4249" s="679"/>
    </row>
    <row r="4250" spans="1:19" s="682" customFormat="1" ht="24" customHeight="1">
      <c r="A4250" s="734"/>
      <c r="B4250" s="747"/>
      <c r="C4250" s="735" t="s">
        <v>516</v>
      </c>
      <c r="D4250" s="735"/>
      <c r="E4250" s="737">
        <f t="shared" si="888"/>
        <v>0</v>
      </c>
      <c r="F4250" s="738"/>
      <c r="G4250" s="739"/>
      <c r="H4250" s="748">
        <f t="shared" si="884"/>
        <v>0</v>
      </c>
      <c r="I4250" s="741"/>
      <c r="J4250" s="749">
        <f t="shared" si="885"/>
        <v>0</v>
      </c>
      <c r="K4250" s="739">
        <f t="shared" si="886"/>
        <v>0</v>
      </c>
      <c r="L4250" s="1079"/>
      <c r="M4250" s="679"/>
      <c r="N4250" s="744">
        <f t="shared" si="889"/>
        <v>0</v>
      </c>
      <c r="O4250" s="745">
        <v>0</v>
      </c>
      <c r="P4250" s="737">
        <v>0</v>
      </c>
      <c r="Q4250" s="679"/>
      <c r="R4250" s="679"/>
      <c r="S4250" s="679"/>
    </row>
    <row r="4251" spans="1:19" s="682" customFormat="1" ht="24" customHeight="1">
      <c r="A4251" s="734"/>
      <c r="B4251" s="747"/>
      <c r="C4251" s="735"/>
      <c r="D4251" s="735"/>
      <c r="E4251" s="737">
        <f t="shared" si="888"/>
        <v>0</v>
      </c>
      <c r="F4251" s="738"/>
      <c r="G4251" s="739"/>
      <c r="H4251" s="748">
        <f t="shared" si="884"/>
        <v>0</v>
      </c>
      <c r="I4251" s="741"/>
      <c r="J4251" s="749">
        <f t="shared" si="885"/>
        <v>0</v>
      </c>
      <c r="K4251" s="739">
        <f t="shared" si="886"/>
        <v>0</v>
      </c>
      <c r="L4251" s="1079"/>
      <c r="M4251" s="679"/>
      <c r="N4251" s="744">
        <f t="shared" si="889"/>
        <v>0</v>
      </c>
      <c r="O4251" s="745">
        <v>0</v>
      </c>
      <c r="P4251" s="737">
        <v>0</v>
      </c>
      <c r="Q4251" s="679"/>
      <c r="R4251" s="679"/>
      <c r="S4251" s="679"/>
    </row>
    <row r="4252" spans="1:19" s="756" customFormat="1" ht="24" customHeight="1">
      <c r="A4252" s="734"/>
      <c r="B4252" s="747" t="s">
        <v>469</v>
      </c>
      <c r="C4252" s="735" t="s">
        <v>517</v>
      </c>
      <c r="D4252" s="907"/>
      <c r="E4252" s="737">
        <f t="shared" si="888"/>
        <v>0</v>
      </c>
      <c r="F4252" s="738" t="s">
        <v>361</v>
      </c>
      <c r="G4252" s="739">
        <v>5075.5555555555557</v>
      </c>
      <c r="H4252" s="748">
        <f t="shared" si="884"/>
        <v>0</v>
      </c>
      <c r="I4252" s="741">
        <v>2545.7777777777778</v>
      </c>
      <c r="J4252" s="749">
        <f t="shared" si="885"/>
        <v>0</v>
      </c>
      <c r="K4252" s="739">
        <f t="shared" si="886"/>
        <v>0</v>
      </c>
      <c r="L4252" s="1079"/>
      <c r="M4252" s="755"/>
      <c r="N4252" s="744">
        <f t="shared" si="889"/>
        <v>0</v>
      </c>
      <c r="O4252" s="745">
        <v>0</v>
      </c>
      <c r="P4252" s="737">
        <v>0</v>
      </c>
      <c r="Q4252" s="755"/>
      <c r="R4252" s="755"/>
      <c r="S4252" s="755"/>
    </row>
    <row r="4253" spans="1:19" s="756" customFormat="1" ht="24" customHeight="1">
      <c r="A4253" s="734"/>
      <c r="B4253" s="747"/>
      <c r="C4253" s="735" t="s">
        <v>488</v>
      </c>
      <c r="D4253" s="907"/>
      <c r="E4253" s="737">
        <f t="shared" si="888"/>
        <v>0</v>
      </c>
      <c r="F4253" s="738"/>
      <c r="G4253" s="739">
        <v>0</v>
      </c>
      <c r="H4253" s="748">
        <f t="shared" si="884"/>
        <v>0</v>
      </c>
      <c r="I4253" s="741">
        <v>0</v>
      </c>
      <c r="J4253" s="749">
        <f t="shared" si="885"/>
        <v>0</v>
      </c>
      <c r="K4253" s="739">
        <f t="shared" si="886"/>
        <v>0</v>
      </c>
      <c r="L4253" s="1079"/>
      <c r="M4253" s="755"/>
      <c r="N4253" s="744">
        <f t="shared" si="889"/>
        <v>0</v>
      </c>
      <c r="O4253" s="745">
        <v>0</v>
      </c>
      <c r="P4253" s="737">
        <v>0</v>
      </c>
      <c r="Q4253" s="755"/>
      <c r="R4253" s="755"/>
      <c r="S4253" s="755"/>
    </row>
    <row r="4254" spans="1:19" s="753" customFormat="1" ht="24" customHeight="1">
      <c r="A4254" s="734"/>
      <c r="B4254" s="747" t="s">
        <v>469</v>
      </c>
      <c r="C4254" s="735" t="s">
        <v>518</v>
      </c>
      <c r="D4254" s="735"/>
      <c r="E4254" s="737">
        <f t="shared" si="888"/>
        <v>0</v>
      </c>
      <c r="F4254" s="738" t="s">
        <v>361</v>
      </c>
      <c r="G4254" s="739">
        <v>3886</v>
      </c>
      <c r="H4254" s="748">
        <f t="shared" si="884"/>
        <v>0</v>
      </c>
      <c r="I4254" s="741">
        <v>1238</v>
      </c>
      <c r="J4254" s="749">
        <f t="shared" si="885"/>
        <v>0</v>
      </c>
      <c r="K4254" s="739">
        <f t="shared" si="886"/>
        <v>0</v>
      </c>
      <c r="L4254" s="1079"/>
      <c r="M4254" s="752"/>
      <c r="N4254" s="744">
        <f t="shared" si="889"/>
        <v>0</v>
      </c>
      <c r="O4254" s="745">
        <v>0</v>
      </c>
      <c r="P4254" s="737">
        <v>0</v>
      </c>
      <c r="Q4254" s="752"/>
      <c r="R4254" s="752"/>
      <c r="S4254" s="752"/>
    </row>
    <row r="4255" spans="1:19" s="753" customFormat="1" ht="24" customHeight="1">
      <c r="A4255" s="734"/>
      <c r="B4255" s="747"/>
      <c r="C4255" s="735" t="s">
        <v>513</v>
      </c>
      <c r="D4255" s="735"/>
      <c r="E4255" s="737">
        <f t="shared" si="888"/>
        <v>0</v>
      </c>
      <c r="F4255" s="738"/>
      <c r="G4255" s="739">
        <v>0</v>
      </c>
      <c r="H4255" s="748">
        <f t="shared" si="884"/>
        <v>0</v>
      </c>
      <c r="I4255" s="741">
        <v>0</v>
      </c>
      <c r="J4255" s="749">
        <f t="shared" si="885"/>
        <v>0</v>
      </c>
      <c r="K4255" s="739">
        <f t="shared" si="886"/>
        <v>0</v>
      </c>
      <c r="L4255" s="1079"/>
      <c r="M4255" s="752"/>
      <c r="N4255" s="744">
        <f t="shared" si="889"/>
        <v>0</v>
      </c>
      <c r="O4255" s="745">
        <v>0</v>
      </c>
      <c r="P4255" s="737">
        <v>0</v>
      </c>
      <c r="Q4255" s="752"/>
      <c r="R4255" s="752"/>
      <c r="S4255" s="752"/>
    </row>
    <row r="4256" spans="1:19" s="682" customFormat="1" ht="24" customHeight="1">
      <c r="A4256" s="734"/>
      <c r="B4256" s="747" t="s">
        <v>469</v>
      </c>
      <c r="C4256" s="735" t="s">
        <v>519</v>
      </c>
      <c r="D4256" s="735"/>
      <c r="E4256" s="737">
        <f t="shared" si="888"/>
        <v>1</v>
      </c>
      <c r="F4256" s="738" t="s">
        <v>363</v>
      </c>
      <c r="G4256" s="739">
        <v>800</v>
      </c>
      <c r="H4256" s="748">
        <f t="shared" si="884"/>
        <v>800</v>
      </c>
      <c r="I4256" s="741">
        <v>70</v>
      </c>
      <c r="J4256" s="749">
        <f t="shared" si="885"/>
        <v>70</v>
      </c>
      <c r="K4256" s="739">
        <f t="shared" si="886"/>
        <v>870</v>
      </c>
      <c r="L4256" s="1079"/>
      <c r="M4256" s="679"/>
      <c r="N4256" s="744">
        <f t="shared" si="889"/>
        <v>1</v>
      </c>
      <c r="O4256" s="745">
        <v>0</v>
      </c>
      <c r="P4256" s="737">
        <v>1</v>
      </c>
      <c r="Q4256" s="679"/>
      <c r="R4256" s="679"/>
      <c r="S4256" s="679"/>
    </row>
    <row r="4257" spans="1:19" s="682" customFormat="1" ht="24" customHeight="1">
      <c r="A4257" s="734"/>
      <c r="B4257" s="747" t="s">
        <v>469</v>
      </c>
      <c r="C4257" s="735" t="s">
        <v>520</v>
      </c>
      <c r="D4257" s="735"/>
      <c r="E4257" s="737">
        <f t="shared" si="888"/>
        <v>0</v>
      </c>
      <c r="F4257" s="738" t="s">
        <v>361</v>
      </c>
      <c r="G4257" s="739">
        <v>190</v>
      </c>
      <c r="H4257" s="748">
        <f t="shared" si="884"/>
        <v>0</v>
      </c>
      <c r="I4257" s="741">
        <v>75</v>
      </c>
      <c r="J4257" s="749">
        <f t="shared" si="885"/>
        <v>0</v>
      </c>
      <c r="K4257" s="739">
        <f t="shared" si="886"/>
        <v>0</v>
      </c>
      <c r="L4257" s="1079"/>
      <c r="M4257" s="679"/>
      <c r="N4257" s="744">
        <f t="shared" si="889"/>
        <v>0</v>
      </c>
      <c r="O4257" s="745">
        <v>0</v>
      </c>
      <c r="P4257" s="737">
        <v>0</v>
      </c>
      <c r="Q4257" s="679"/>
      <c r="R4257" s="679"/>
      <c r="S4257" s="679"/>
    </row>
    <row r="4258" spans="1:19" s="682" customFormat="1" ht="24" customHeight="1">
      <c r="A4258" s="734"/>
      <c r="B4258" s="747"/>
      <c r="C4258" s="735"/>
      <c r="D4258" s="735"/>
      <c r="E4258" s="737"/>
      <c r="F4258" s="738"/>
      <c r="G4258" s="739"/>
      <c r="H4258" s="748"/>
      <c r="I4258" s="741"/>
      <c r="J4258" s="749"/>
      <c r="K4258" s="739"/>
      <c r="L4258" s="1079"/>
      <c r="M4258" s="679"/>
      <c r="N4258" s="744"/>
      <c r="O4258" s="745"/>
      <c r="P4258" s="737"/>
      <c r="Q4258" s="679"/>
      <c r="R4258" s="679"/>
      <c r="S4258" s="679"/>
    </row>
    <row r="4259" spans="1:19" s="682" customFormat="1" ht="24" customHeight="1">
      <c r="A4259" s="734"/>
      <c r="B4259" s="747"/>
      <c r="C4259" s="735"/>
      <c r="D4259" s="735"/>
      <c r="E4259" s="737"/>
      <c r="F4259" s="738"/>
      <c r="G4259" s="739"/>
      <c r="H4259" s="748"/>
      <c r="I4259" s="741"/>
      <c r="J4259" s="749"/>
      <c r="K4259" s="739"/>
      <c r="L4259" s="1079"/>
      <c r="M4259" s="679"/>
      <c r="N4259" s="744"/>
      <c r="O4259" s="745"/>
      <c r="P4259" s="737"/>
      <c r="Q4259" s="679"/>
      <c r="R4259" s="679"/>
      <c r="S4259" s="679"/>
    </row>
    <row r="4260" spans="1:19" s="682" customFormat="1" ht="24" customHeight="1">
      <c r="A4260" s="734"/>
      <c r="B4260" s="747"/>
      <c r="C4260" s="735"/>
      <c r="D4260" s="735"/>
      <c r="E4260" s="737">
        <f t="shared" si="888"/>
        <v>0</v>
      </c>
      <c r="F4260" s="738"/>
      <c r="G4260" s="739"/>
      <c r="H4260" s="748">
        <f t="shared" si="884"/>
        <v>0</v>
      </c>
      <c r="I4260" s="741"/>
      <c r="J4260" s="749">
        <f t="shared" si="885"/>
        <v>0</v>
      </c>
      <c r="K4260" s="739">
        <f t="shared" si="886"/>
        <v>0</v>
      </c>
      <c r="L4260" s="1079"/>
      <c r="M4260" s="679"/>
      <c r="N4260" s="744">
        <f t="shared" si="889"/>
        <v>0</v>
      </c>
      <c r="O4260" s="745">
        <v>0</v>
      </c>
      <c r="P4260" s="737">
        <v>0</v>
      </c>
      <c r="Q4260" s="679"/>
      <c r="R4260" s="679"/>
      <c r="S4260" s="679"/>
    </row>
    <row r="4261" spans="1:19" s="753" customFormat="1" ht="24" customHeight="1">
      <c r="A4261" s="734"/>
      <c r="B4261" s="735" t="s">
        <v>1073</v>
      </c>
      <c r="C4261" s="735"/>
      <c r="D4261" s="907"/>
      <c r="E4261" s="737">
        <f t="shared" si="888"/>
        <v>0</v>
      </c>
      <c r="F4261" s="738"/>
      <c r="G4261" s="739">
        <v>0</v>
      </c>
      <c r="H4261" s="748">
        <f t="shared" si="884"/>
        <v>0</v>
      </c>
      <c r="I4261" s="741">
        <v>0</v>
      </c>
      <c r="J4261" s="749">
        <f t="shared" si="885"/>
        <v>0</v>
      </c>
      <c r="K4261" s="739">
        <f t="shared" si="886"/>
        <v>0</v>
      </c>
      <c r="L4261" s="1079"/>
      <c r="M4261" s="752"/>
      <c r="N4261" s="744">
        <f t="shared" si="889"/>
        <v>0</v>
      </c>
      <c r="O4261" s="745">
        <v>0</v>
      </c>
      <c r="P4261" s="737">
        <v>0</v>
      </c>
      <c r="Q4261" s="752"/>
      <c r="R4261" s="752"/>
      <c r="S4261" s="752"/>
    </row>
    <row r="4262" spans="1:19" s="753" customFormat="1" ht="24" customHeight="1">
      <c r="A4262" s="734"/>
      <c r="B4262" s="747" t="s">
        <v>469</v>
      </c>
      <c r="C4262" s="735" t="s">
        <v>497</v>
      </c>
      <c r="D4262" s="735"/>
      <c r="E4262" s="737">
        <f t="shared" si="888"/>
        <v>6</v>
      </c>
      <c r="F4262" s="738" t="s">
        <v>363</v>
      </c>
      <c r="G4262" s="739">
        <v>1540</v>
      </c>
      <c r="H4262" s="748">
        <f t="shared" si="884"/>
        <v>9240</v>
      </c>
      <c r="I4262" s="741">
        <v>450</v>
      </c>
      <c r="J4262" s="749">
        <f t="shared" si="885"/>
        <v>2700</v>
      </c>
      <c r="K4262" s="739">
        <f t="shared" si="886"/>
        <v>11940</v>
      </c>
      <c r="L4262" s="1079"/>
      <c r="M4262" s="752"/>
      <c r="N4262" s="744">
        <f t="shared" si="889"/>
        <v>6</v>
      </c>
      <c r="O4262" s="745">
        <v>0</v>
      </c>
      <c r="P4262" s="737">
        <v>6</v>
      </c>
      <c r="Q4262" s="752"/>
      <c r="R4262" s="752"/>
      <c r="S4262" s="752"/>
    </row>
    <row r="4263" spans="1:19" s="753" customFormat="1" ht="24" customHeight="1">
      <c r="A4263" s="734"/>
      <c r="B4263" s="747" t="s">
        <v>469</v>
      </c>
      <c r="C4263" s="735" t="s">
        <v>498</v>
      </c>
      <c r="D4263" s="735"/>
      <c r="E4263" s="737">
        <f t="shared" si="888"/>
        <v>6</v>
      </c>
      <c r="F4263" s="738" t="s">
        <v>363</v>
      </c>
      <c r="G4263" s="739">
        <v>6640</v>
      </c>
      <c r="H4263" s="748">
        <f t="shared" si="884"/>
        <v>39840</v>
      </c>
      <c r="I4263" s="741">
        <v>200</v>
      </c>
      <c r="J4263" s="749">
        <f t="shared" si="885"/>
        <v>1200</v>
      </c>
      <c r="K4263" s="739">
        <f t="shared" si="886"/>
        <v>41040</v>
      </c>
      <c r="L4263" s="1079"/>
      <c r="M4263" s="752"/>
      <c r="N4263" s="744">
        <f t="shared" si="889"/>
        <v>6</v>
      </c>
      <c r="O4263" s="745">
        <v>0</v>
      </c>
      <c r="P4263" s="737">
        <v>6</v>
      </c>
      <c r="Q4263" s="752"/>
      <c r="R4263" s="752"/>
      <c r="S4263" s="752"/>
    </row>
    <row r="4264" spans="1:19" s="753" customFormat="1" ht="24" customHeight="1">
      <c r="A4264" s="734"/>
      <c r="B4264" s="747" t="s">
        <v>469</v>
      </c>
      <c r="C4264" s="735" t="s">
        <v>476</v>
      </c>
      <c r="D4264" s="735"/>
      <c r="E4264" s="737">
        <f t="shared" si="888"/>
        <v>6</v>
      </c>
      <c r="F4264" s="738" t="s">
        <v>363</v>
      </c>
      <c r="G4264" s="739">
        <v>336</v>
      </c>
      <c r="H4264" s="748">
        <f t="shared" si="884"/>
        <v>2016</v>
      </c>
      <c r="I4264" s="741">
        <v>0</v>
      </c>
      <c r="J4264" s="749">
        <f t="shared" si="885"/>
        <v>0</v>
      </c>
      <c r="K4264" s="739">
        <f t="shared" si="886"/>
        <v>2016</v>
      </c>
      <c r="L4264" s="1079"/>
      <c r="M4264" s="752"/>
      <c r="N4264" s="744">
        <f t="shared" si="889"/>
        <v>6</v>
      </c>
      <c r="O4264" s="745">
        <v>0</v>
      </c>
      <c r="P4264" s="737">
        <v>6</v>
      </c>
      <c r="Q4264" s="752"/>
      <c r="R4264" s="752"/>
      <c r="S4264" s="752"/>
    </row>
    <row r="4265" spans="1:19" s="753" customFormat="1" ht="24" customHeight="1">
      <c r="A4265" s="734"/>
      <c r="B4265" s="747" t="s">
        <v>469</v>
      </c>
      <c r="C4265" s="735" t="s">
        <v>477</v>
      </c>
      <c r="D4265" s="735"/>
      <c r="E4265" s="737">
        <f t="shared" si="888"/>
        <v>6</v>
      </c>
      <c r="F4265" s="738" t="s">
        <v>363</v>
      </c>
      <c r="G4265" s="739">
        <v>736</v>
      </c>
      <c r="H4265" s="748">
        <f t="shared" si="884"/>
        <v>4416</v>
      </c>
      <c r="I4265" s="741">
        <v>0</v>
      </c>
      <c r="J4265" s="749">
        <f t="shared" si="885"/>
        <v>0</v>
      </c>
      <c r="K4265" s="739">
        <f t="shared" ref="K4265:K4322" si="890">SUM(H4265+J4265)</f>
        <v>4416</v>
      </c>
      <c r="L4265" s="1079"/>
      <c r="M4265" s="752"/>
      <c r="N4265" s="744">
        <f t="shared" si="889"/>
        <v>6</v>
      </c>
      <c r="O4265" s="745">
        <v>0</v>
      </c>
      <c r="P4265" s="737">
        <v>6</v>
      </c>
      <c r="Q4265" s="752"/>
      <c r="R4265" s="752"/>
      <c r="S4265" s="752"/>
    </row>
    <row r="4266" spans="1:19" s="753" customFormat="1" ht="24" customHeight="1">
      <c r="A4266" s="734"/>
      <c r="B4266" s="747" t="s">
        <v>469</v>
      </c>
      <c r="C4266" s="735" t="s">
        <v>478</v>
      </c>
      <c r="D4266" s="735"/>
      <c r="E4266" s="737">
        <f t="shared" si="888"/>
        <v>6</v>
      </c>
      <c r="F4266" s="738" t="s">
        <v>363</v>
      </c>
      <c r="G4266" s="739">
        <v>176</v>
      </c>
      <c r="H4266" s="748">
        <f t="shared" si="884"/>
        <v>1056</v>
      </c>
      <c r="I4266" s="741">
        <v>0</v>
      </c>
      <c r="J4266" s="749">
        <f t="shared" si="885"/>
        <v>0</v>
      </c>
      <c r="K4266" s="739">
        <f t="shared" si="890"/>
        <v>1056</v>
      </c>
      <c r="L4266" s="1079"/>
      <c r="M4266" s="752"/>
      <c r="N4266" s="744">
        <f t="shared" si="889"/>
        <v>6</v>
      </c>
      <c r="O4266" s="745">
        <v>0</v>
      </c>
      <c r="P4266" s="737">
        <v>6</v>
      </c>
      <c r="Q4266" s="752"/>
      <c r="R4266" s="752"/>
      <c r="S4266" s="752"/>
    </row>
    <row r="4267" spans="1:19" s="753" customFormat="1" ht="24" customHeight="1">
      <c r="A4267" s="734"/>
      <c r="B4267" s="747" t="s">
        <v>469</v>
      </c>
      <c r="C4267" s="735" t="s">
        <v>499</v>
      </c>
      <c r="D4267" s="735"/>
      <c r="E4267" s="737">
        <f t="shared" si="888"/>
        <v>6</v>
      </c>
      <c r="F4267" s="738" t="s">
        <v>363</v>
      </c>
      <c r="G4267" s="739">
        <v>216</v>
      </c>
      <c r="H4267" s="748">
        <f t="shared" si="884"/>
        <v>1296</v>
      </c>
      <c r="I4267" s="741">
        <v>35</v>
      </c>
      <c r="J4267" s="749">
        <f t="shared" si="885"/>
        <v>210</v>
      </c>
      <c r="K4267" s="739">
        <f t="shared" si="890"/>
        <v>1506</v>
      </c>
      <c r="L4267" s="1079"/>
      <c r="M4267" s="752"/>
      <c r="N4267" s="744">
        <f t="shared" si="889"/>
        <v>6</v>
      </c>
      <c r="O4267" s="745">
        <v>0</v>
      </c>
      <c r="P4267" s="737">
        <v>6</v>
      </c>
      <c r="Q4267" s="752"/>
      <c r="R4267" s="752"/>
      <c r="S4267" s="752"/>
    </row>
    <row r="4268" spans="1:19" s="753" customFormat="1" ht="24" customHeight="1">
      <c r="A4268" s="734"/>
      <c r="B4268" s="747"/>
      <c r="C4268" s="736"/>
      <c r="D4268" s="907"/>
      <c r="E4268" s="737">
        <f t="shared" si="888"/>
        <v>0</v>
      </c>
      <c r="F4268" s="738"/>
      <c r="G4268" s="739">
        <v>0</v>
      </c>
      <c r="H4268" s="748">
        <f t="shared" si="884"/>
        <v>0</v>
      </c>
      <c r="I4268" s="741">
        <v>0</v>
      </c>
      <c r="J4268" s="749">
        <f t="shared" si="885"/>
        <v>0</v>
      </c>
      <c r="K4268" s="739">
        <f t="shared" si="890"/>
        <v>0</v>
      </c>
      <c r="L4268" s="1079"/>
      <c r="M4268" s="752"/>
      <c r="N4268" s="744">
        <f t="shared" si="889"/>
        <v>0</v>
      </c>
      <c r="O4268" s="745">
        <v>0</v>
      </c>
      <c r="P4268" s="737">
        <v>0</v>
      </c>
      <c r="Q4268" s="752"/>
      <c r="R4268" s="752"/>
      <c r="S4268" s="752"/>
    </row>
    <row r="4269" spans="1:19" s="753" customFormat="1" ht="24" customHeight="1">
      <c r="A4269" s="734"/>
      <c r="B4269" s="747" t="s">
        <v>469</v>
      </c>
      <c r="C4269" s="735" t="s">
        <v>492</v>
      </c>
      <c r="D4269" s="735"/>
      <c r="E4269" s="737">
        <f t="shared" si="888"/>
        <v>10</v>
      </c>
      <c r="F4269" s="738" t="s">
        <v>363</v>
      </c>
      <c r="G4269" s="739">
        <v>9375</v>
      </c>
      <c r="H4269" s="748">
        <f t="shared" si="884"/>
        <v>93750</v>
      </c>
      <c r="I4269" s="741">
        <v>450</v>
      </c>
      <c r="J4269" s="749">
        <f t="shared" si="885"/>
        <v>4500</v>
      </c>
      <c r="K4269" s="739">
        <f t="shared" si="890"/>
        <v>98250</v>
      </c>
      <c r="L4269" s="1079"/>
      <c r="M4269" s="752"/>
      <c r="N4269" s="744">
        <f t="shared" si="889"/>
        <v>10</v>
      </c>
      <c r="O4269" s="745">
        <v>0</v>
      </c>
      <c r="P4269" s="737">
        <v>10</v>
      </c>
      <c r="Q4269" s="752"/>
      <c r="R4269" s="752"/>
      <c r="S4269" s="752"/>
    </row>
    <row r="4270" spans="1:19" s="753" customFormat="1" ht="24" customHeight="1">
      <c r="A4270" s="734"/>
      <c r="B4270" s="747" t="s">
        <v>469</v>
      </c>
      <c r="C4270" s="735" t="s">
        <v>500</v>
      </c>
      <c r="D4270" s="735"/>
      <c r="E4270" s="737">
        <f t="shared" si="888"/>
        <v>10</v>
      </c>
      <c r="F4270" s="738" t="s">
        <v>363</v>
      </c>
      <c r="G4270" s="739">
        <v>12752</v>
      </c>
      <c r="H4270" s="748">
        <f t="shared" si="884"/>
        <v>127520</v>
      </c>
      <c r="I4270" s="741">
        <v>0</v>
      </c>
      <c r="J4270" s="749">
        <f t="shared" si="885"/>
        <v>0</v>
      </c>
      <c r="K4270" s="739">
        <f t="shared" si="890"/>
        <v>127520</v>
      </c>
      <c r="L4270" s="1079"/>
      <c r="M4270" s="752"/>
      <c r="N4270" s="744">
        <f t="shared" si="889"/>
        <v>10</v>
      </c>
      <c r="O4270" s="745">
        <v>0</v>
      </c>
      <c r="P4270" s="737">
        <v>10</v>
      </c>
      <c r="Q4270" s="752"/>
      <c r="R4270" s="752"/>
      <c r="S4270" s="752"/>
    </row>
    <row r="4271" spans="1:19" s="753" customFormat="1" ht="24" customHeight="1">
      <c r="A4271" s="734"/>
      <c r="B4271" s="747" t="s">
        <v>469</v>
      </c>
      <c r="C4271" s="735" t="s">
        <v>501</v>
      </c>
      <c r="D4271" s="735"/>
      <c r="E4271" s="737">
        <v>0</v>
      </c>
      <c r="F4271" s="738" t="s">
        <v>363</v>
      </c>
      <c r="G4271" s="739">
        <v>1950</v>
      </c>
      <c r="H4271" s="748">
        <f t="shared" si="884"/>
        <v>0</v>
      </c>
      <c r="I4271" s="741">
        <v>35</v>
      </c>
      <c r="J4271" s="749">
        <f t="shared" si="885"/>
        <v>0</v>
      </c>
      <c r="K4271" s="739">
        <f t="shared" si="890"/>
        <v>0</v>
      </c>
      <c r="L4271" s="1079"/>
      <c r="M4271" s="752"/>
      <c r="N4271" s="744">
        <f t="shared" si="889"/>
        <v>10</v>
      </c>
      <c r="O4271" s="745">
        <v>0</v>
      </c>
      <c r="P4271" s="737">
        <v>10</v>
      </c>
      <c r="Q4271" s="752"/>
      <c r="R4271" s="752"/>
      <c r="S4271" s="752"/>
    </row>
    <row r="4272" spans="1:19" s="753" customFormat="1" ht="24" customHeight="1">
      <c r="A4272" s="734"/>
      <c r="B4272" s="747" t="s">
        <v>469</v>
      </c>
      <c r="C4272" s="735" t="s">
        <v>502</v>
      </c>
      <c r="D4272" s="735"/>
      <c r="E4272" s="737">
        <f t="shared" si="888"/>
        <v>10</v>
      </c>
      <c r="F4272" s="738" t="s">
        <v>363</v>
      </c>
      <c r="G4272" s="739">
        <v>216</v>
      </c>
      <c r="H4272" s="748">
        <f t="shared" si="884"/>
        <v>2160</v>
      </c>
      <c r="I4272" s="741">
        <v>35</v>
      </c>
      <c r="J4272" s="749">
        <f t="shared" si="885"/>
        <v>350</v>
      </c>
      <c r="K4272" s="739">
        <f t="shared" si="890"/>
        <v>2510</v>
      </c>
      <c r="L4272" s="1079"/>
      <c r="M4272" s="752"/>
      <c r="N4272" s="744">
        <f t="shared" si="889"/>
        <v>10</v>
      </c>
      <c r="O4272" s="745">
        <v>0</v>
      </c>
      <c r="P4272" s="737">
        <v>10</v>
      </c>
      <c r="Q4272" s="752"/>
      <c r="R4272" s="752"/>
      <c r="S4272" s="752"/>
    </row>
    <row r="4273" spans="1:19" s="753" customFormat="1" ht="24" customHeight="1">
      <c r="A4273" s="734"/>
      <c r="B4273" s="747"/>
      <c r="C4273" s="735"/>
      <c r="D4273" s="735"/>
      <c r="E4273" s="737">
        <f t="shared" si="888"/>
        <v>0</v>
      </c>
      <c r="F4273" s="738"/>
      <c r="G4273" s="739"/>
      <c r="H4273" s="748">
        <f t="shared" si="884"/>
        <v>0</v>
      </c>
      <c r="I4273" s="741"/>
      <c r="J4273" s="749">
        <f t="shared" si="885"/>
        <v>0</v>
      </c>
      <c r="K4273" s="739">
        <f t="shared" si="890"/>
        <v>0</v>
      </c>
      <c r="L4273" s="1079"/>
      <c r="M4273" s="752"/>
      <c r="N4273" s="744">
        <f t="shared" si="889"/>
        <v>0</v>
      </c>
      <c r="O4273" s="745">
        <v>0</v>
      </c>
      <c r="P4273" s="737">
        <v>0</v>
      </c>
      <c r="Q4273" s="752"/>
      <c r="R4273" s="752"/>
      <c r="S4273" s="752"/>
    </row>
    <row r="4274" spans="1:19" s="753" customFormat="1" ht="24" customHeight="1">
      <c r="A4274" s="734"/>
      <c r="B4274" s="747" t="s">
        <v>484</v>
      </c>
      <c r="C4274" s="735" t="s">
        <v>485</v>
      </c>
      <c r="D4274" s="735"/>
      <c r="E4274" s="737">
        <f t="shared" si="888"/>
        <v>7</v>
      </c>
      <c r="F4274" s="738" t="s">
        <v>363</v>
      </c>
      <c r="G4274" s="739">
        <v>285</v>
      </c>
      <c r="H4274" s="748">
        <f t="shared" si="884"/>
        <v>1995</v>
      </c>
      <c r="I4274" s="741">
        <v>75</v>
      </c>
      <c r="J4274" s="749">
        <f t="shared" si="885"/>
        <v>525</v>
      </c>
      <c r="K4274" s="739">
        <f t="shared" si="890"/>
        <v>2520</v>
      </c>
      <c r="L4274" s="1093"/>
      <c r="M4274" s="752"/>
      <c r="N4274" s="744">
        <f t="shared" si="889"/>
        <v>7</v>
      </c>
      <c r="O4274" s="745">
        <v>0</v>
      </c>
      <c r="P4274" s="737">
        <v>7</v>
      </c>
      <c r="Q4274" s="752"/>
      <c r="R4274" s="752"/>
      <c r="S4274" s="752"/>
    </row>
    <row r="4275" spans="1:19" s="753" customFormat="1" ht="24" customHeight="1">
      <c r="A4275" s="734"/>
      <c r="B4275" s="747" t="s">
        <v>469</v>
      </c>
      <c r="C4275" s="735" t="s">
        <v>486</v>
      </c>
      <c r="D4275" s="735"/>
      <c r="E4275" s="737">
        <f t="shared" si="888"/>
        <v>1</v>
      </c>
      <c r="F4275" s="738" t="s">
        <v>363</v>
      </c>
      <c r="G4275" s="739">
        <v>552</v>
      </c>
      <c r="H4275" s="748">
        <f t="shared" si="884"/>
        <v>552</v>
      </c>
      <c r="I4275" s="741">
        <v>25</v>
      </c>
      <c r="J4275" s="749">
        <f t="shared" si="885"/>
        <v>25</v>
      </c>
      <c r="K4275" s="739">
        <f t="shared" si="890"/>
        <v>577</v>
      </c>
      <c r="L4275" s="1079"/>
      <c r="M4275" s="752"/>
      <c r="N4275" s="744">
        <f t="shared" si="889"/>
        <v>1</v>
      </c>
      <c r="O4275" s="745">
        <v>0</v>
      </c>
      <c r="P4275" s="737">
        <v>1</v>
      </c>
      <c r="Q4275" s="752"/>
      <c r="R4275" s="752"/>
      <c r="S4275" s="752"/>
    </row>
    <row r="4276" spans="1:19" s="753" customFormat="1" ht="24" customHeight="1">
      <c r="A4276" s="734"/>
      <c r="B4276" s="747" t="s">
        <v>469</v>
      </c>
      <c r="C4276" s="735" t="s">
        <v>507</v>
      </c>
      <c r="D4276" s="735"/>
      <c r="E4276" s="737">
        <f t="shared" si="888"/>
        <v>1</v>
      </c>
      <c r="F4276" s="738" t="s">
        <v>363</v>
      </c>
      <c r="G4276" s="739">
        <v>1650</v>
      </c>
      <c r="H4276" s="748">
        <f t="shared" si="884"/>
        <v>1650</v>
      </c>
      <c r="I4276" s="741">
        <v>70</v>
      </c>
      <c r="J4276" s="749">
        <f t="shared" si="885"/>
        <v>70</v>
      </c>
      <c r="K4276" s="739">
        <f t="shared" si="890"/>
        <v>1720</v>
      </c>
      <c r="L4276" s="1079"/>
      <c r="M4276" s="752"/>
      <c r="N4276" s="744">
        <f t="shared" si="889"/>
        <v>1</v>
      </c>
      <c r="O4276" s="745">
        <v>0</v>
      </c>
      <c r="P4276" s="737">
        <v>1</v>
      </c>
      <c r="Q4276" s="752"/>
      <c r="R4276" s="752"/>
      <c r="S4276" s="752"/>
    </row>
    <row r="4277" spans="1:19" s="753" customFormat="1" ht="24" customHeight="1">
      <c r="A4277" s="734"/>
      <c r="B4277" s="747" t="s">
        <v>469</v>
      </c>
      <c r="C4277" s="735" t="s">
        <v>508</v>
      </c>
      <c r="D4277" s="735"/>
      <c r="E4277" s="737">
        <f t="shared" si="888"/>
        <v>10</v>
      </c>
      <c r="F4277" s="738" t="s">
        <v>363</v>
      </c>
      <c r="G4277" s="739">
        <v>13500</v>
      </c>
      <c r="H4277" s="748">
        <f t="shared" si="884"/>
        <v>135000</v>
      </c>
      <c r="I4277" s="741">
        <v>750</v>
      </c>
      <c r="J4277" s="749">
        <f t="shared" si="885"/>
        <v>7500</v>
      </c>
      <c r="K4277" s="739">
        <f t="shared" si="890"/>
        <v>142500</v>
      </c>
      <c r="L4277" s="1079"/>
      <c r="M4277" s="752"/>
      <c r="N4277" s="744">
        <f t="shared" si="889"/>
        <v>10</v>
      </c>
      <c r="O4277" s="745">
        <v>0</v>
      </c>
      <c r="P4277" s="737">
        <v>10</v>
      </c>
      <c r="Q4277" s="752"/>
      <c r="R4277" s="752"/>
      <c r="S4277" s="752"/>
    </row>
    <row r="4278" spans="1:19" s="682" customFormat="1" ht="24" customHeight="1">
      <c r="A4278" s="734"/>
      <c r="B4278" s="747" t="s">
        <v>469</v>
      </c>
      <c r="C4278" s="735" t="s">
        <v>509</v>
      </c>
      <c r="D4278" s="735"/>
      <c r="E4278" s="737">
        <f t="shared" si="888"/>
        <v>1</v>
      </c>
      <c r="F4278" s="738" t="s">
        <v>363</v>
      </c>
      <c r="G4278" s="739">
        <v>14476</v>
      </c>
      <c r="H4278" s="748">
        <f t="shared" si="884"/>
        <v>14476</v>
      </c>
      <c r="I4278" s="741">
        <v>5367</v>
      </c>
      <c r="J4278" s="749">
        <f t="shared" si="885"/>
        <v>5367</v>
      </c>
      <c r="K4278" s="739">
        <f t="shared" si="890"/>
        <v>19843</v>
      </c>
      <c r="L4278" s="1079"/>
      <c r="M4278" s="679"/>
      <c r="N4278" s="744">
        <f t="shared" si="889"/>
        <v>1</v>
      </c>
      <c r="O4278" s="745">
        <v>0</v>
      </c>
      <c r="P4278" s="737">
        <v>1</v>
      </c>
      <c r="Q4278" s="679"/>
      <c r="R4278" s="679"/>
      <c r="S4278" s="679"/>
    </row>
    <row r="4279" spans="1:19" s="753" customFormat="1" ht="24" customHeight="1">
      <c r="A4279" s="734"/>
      <c r="B4279" s="747"/>
      <c r="C4279" s="735"/>
      <c r="D4279" s="907"/>
      <c r="E4279" s="737">
        <f t="shared" si="888"/>
        <v>0</v>
      </c>
      <c r="F4279" s="738"/>
      <c r="G4279" s="739">
        <v>0</v>
      </c>
      <c r="H4279" s="748">
        <f t="shared" si="884"/>
        <v>0</v>
      </c>
      <c r="I4279" s="741">
        <v>0</v>
      </c>
      <c r="J4279" s="749">
        <f t="shared" si="885"/>
        <v>0</v>
      </c>
      <c r="K4279" s="739">
        <f t="shared" si="890"/>
        <v>0</v>
      </c>
      <c r="L4279" s="1079"/>
      <c r="M4279" s="752"/>
      <c r="N4279" s="744">
        <f t="shared" si="889"/>
        <v>0</v>
      </c>
      <c r="O4279" s="745">
        <v>0</v>
      </c>
      <c r="P4279" s="737">
        <v>0</v>
      </c>
      <c r="Q4279" s="752"/>
      <c r="R4279" s="752"/>
      <c r="S4279" s="752"/>
    </row>
    <row r="4280" spans="1:19" s="753" customFormat="1" ht="24" customHeight="1">
      <c r="A4280" s="734"/>
      <c r="B4280" s="747" t="s">
        <v>469</v>
      </c>
      <c r="C4280" s="735" t="s">
        <v>510</v>
      </c>
      <c r="D4280" s="735"/>
      <c r="E4280" s="737">
        <f t="shared" si="888"/>
        <v>5.8</v>
      </c>
      <c r="F4280" s="738" t="s">
        <v>361</v>
      </c>
      <c r="G4280" s="739">
        <v>2694</v>
      </c>
      <c r="H4280" s="748">
        <f t="shared" si="884"/>
        <v>15625.199999999999</v>
      </c>
      <c r="I4280" s="741">
        <v>1288</v>
      </c>
      <c r="J4280" s="749">
        <f t="shared" si="885"/>
        <v>7470.4</v>
      </c>
      <c r="K4280" s="739">
        <f t="shared" si="890"/>
        <v>23095.599999999999</v>
      </c>
      <c r="L4280" s="1079"/>
      <c r="M4280" s="752"/>
      <c r="N4280" s="744">
        <f t="shared" si="889"/>
        <v>5.8</v>
      </c>
      <c r="O4280" s="745">
        <v>0</v>
      </c>
      <c r="P4280" s="737">
        <v>5.8</v>
      </c>
      <c r="Q4280" s="752"/>
      <c r="R4280" s="752"/>
      <c r="S4280" s="752"/>
    </row>
    <row r="4281" spans="1:19" s="753" customFormat="1" ht="24" customHeight="1">
      <c r="A4281" s="734"/>
      <c r="B4281" s="747"/>
      <c r="C4281" s="735" t="s">
        <v>511</v>
      </c>
      <c r="D4281" s="735"/>
      <c r="E4281" s="737">
        <f t="shared" si="888"/>
        <v>0</v>
      </c>
      <c r="F4281" s="738"/>
      <c r="G4281" s="739"/>
      <c r="H4281" s="748">
        <f t="shared" si="884"/>
        <v>0</v>
      </c>
      <c r="I4281" s="741"/>
      <c r="J4281" s="749">
        <f t="shared" si="885"/>
        <v>0</v>
      </c>
      <c r="K4281" s="739">
        <f t="shared" si="890"/>
        <v>0</v>
      </c>
      <c r="L4281" s="1079"/>
      <c r="M4281" s="752"/>
      <c r="N4281" s="744">
        <f t="shared" si="889"/>
        <v>0</v>
      </c>
      <c r="O4281" s="745">
        <v>0</v>
      </c>
      <c r="P4281" s="737">
        <v>0</v>
      </c>
      <c r="Q4281" s="752"/>
      <c r="R4281" s="752"/>
      <c r="S4281" s="752"/>
    </row>
    <row r="4282" spans="1:19" s="753" customFormat="1" ht="24" customHeight="1">
      <c r="A4282" s="734"/>
      <c r="B4282" s="747" t="s">
        <v>469</v>
      </c>
      <c r="C4282" s="735" t="s">
        <v>512</v>
      </c>
      <c r="D4282" s="735"/>
      <c r="E4282" s="737">
        <f t="shared" si="888"/>
        <v>5.8</v>
      </c>
      <c r="F4282" s="738" t="s">
        <v>361</v>
      </c>
      <c r="G4282" s="739">
        <v>3886</v>
      </c>
      <c r="H4282" s="748">
        <f t="shared" si="884"/>
        <v>22538.799999999999</v>
      </c>
      <c r="I4282" s="741">
        <v>1238</v>
      </c>
      <c r="J4282" s="749">
        <f t="shared" si="885"/>
        <v>7180.4</v>
      </c>
      <c r="K4282" s="739">
        <f t="shared" si="890"/>
        <v>29719.199999999997</v>
      </c>
      <c r="L4282" s="1079"/>
      <c r="M4282" s="752"/>
      <c r="N4282" s="744">
        <f t="shared" si="889"/>
        <v>5.8</v>
      </c>
      <c r="O4282" s="745">
        <v>0</v>
      </c>
      <c r="P4282" s="737">
        <v>5.8</v>
      </c>
      <c r="Q4282" s="752"/>
      <c r="R4282" s="752"/>
      <c r="S4282" s="752"/>
    </row>
    <row r="4283" spans="1:19" s="753" customFormat="1" ht="24" customHeight="1">
      <c r="A4283" s="734"/>
      <c r="B4283" s="747"/>
      <c r="C4283" s="735" t="s">
        <v>513</v>
      </c>
      <c r="D4283" s="735"/>
      <c r="E4283" s="737">
        <f t="shared" si="888"/>
        <v>0</v>
      </c>
      <c r="F4283" s="738"/>
      <c r="G4283" s="739">
        <v>0</v>
      </c>
      <c r="H4283" s="748">
        <f t="shared" si="884"/>
        <v>0</v>
      </c>
      <c r="I4283" s="741">
        <v>0</v>
      </c>
      <c r="J4283" s="749">
        <f t="shared" si="885"/>
        <v>0</v>
      </c>
      <c r="K4283" s="739">
        <f t="shared" si="890"/>
        <v>0</v>
      </c>
      <c r="L4283" s="1079"/>
      <c r="M4283" s="752"/>
      <c r="N4283" s="744">
        <f t="shared" si="889"/>
        <v>0</v>
      </c>
      <c r="O4283" s="745">
        <v>0</v>
      </c>
      <c r="P4283" s="737">
        <v>0</v>
      </c>
      <c r="Q4283" s="752"/>
      <c r="R4283" s="752"/>
      <c r="S4283" s="752"/>
    </row>
    <row r="4284" spans="1:19" s="753" customFormat="1" ht="24" customHeight="1">
      <c r="A4284" s="734"/>
      <c r="B4284" s="747" t="s">
        <v>469</v>
      </c>
      <c r="C4284" s="735" t="s">
        <v>521</v>
      </c>
      <c r="D4284" s="735"/>
      <c r="E4284" s="737">
        <f t="shared" si="888"/>
        <v>9</v>
      </c>
      <c r="F4284" s="738" t="s">
        <v>361</v>
      </c>
      <c r="G4284" s="739">
        <v>1522</v>
      </c>
      <c r="H4284" s="748">
        <f t="shared" ref="H4284:H4322" si="891">SUM(E4284*G4284)</f>
        <v>13698</v>
      </c>
      <c r="I4284" s="741">
        <v>315</v>
      </c>
      <c r="J4284" s="749">
        <f t="shared" si="885"/>
        <v>2835</v>
      </c>
      <c r="K4284" s="739">
        <f t="shared" si="890"/>
        <v>16533</v>
      </c>
      <c r="L4284" s="1079"/>
      <c r="M4284" s="752"/>
      <c r="N4284" s="744">
        <f t="shared" si="889"/>
        <v>9</v>
      </c>
      <c r="O4284" s="745">
        <v>0</v>
      </c>
      <c r="P4284" s="737">
        <v>9</v>
      </c>
      <c r="Q4284" s="752"/>
      <c r="R4284" s="752"/>
      <c r="S4284" s="752"/>
    </row>
    <row r="4285" spans="1:19" s="753" customFormat="1" ht="24" customHeight="1">
      <c r="A4285" s="734"/>
      <c r="B4285" s="747"/>
      <c r="C4285" s="735"/>
      <c r="D4285" s="735"/>
      <c r="E4285" s="737">
        <f t="shared" si="888"/>
        <v>0</v>
      </c>
      <c r="F4285" s="738"/>
      <c r="G4285" s="739">
        <v>0</v>
      </c>
      <c r="H4285" s="748">
        <f t="shared" si="891"/>
        <v>0</v>
      </c>
      <c r="I4285" s="741">
        <v>0</v>
      </c>
      <c r="J4285" s="749">
        <f t="shared" si="885"/>
        <v>0</v>
      </c>
      <c r="K4285" s="739">
        <f t="shared" si="890"/>
        <v>0</v>
      </c>
      <c r="L4285" s="1079"/>
      <c r="M4285" s="752"/>
      <c r="N4285" s="744">
        <f t="shared" si="889"/>
        <v>0</v>
      </c>
      <c r="O4285" s="745">
        <v>0</v>
      </c>
      <c r="P4285" s="737">
        <v>0</v>
      </c>
      <c r="Q4285" s="752"/>
      <c r="R4285" s="752"/>
      <c r="S4285" s="752"/>
    </row>
    <row r="4286" spans="1:19" s="682" customFormat="1" ht="24" customHeight="1">
      <c r="A4286" s="734"/>
      <c r="B4286" s="747" t="s">
        <v>469</v>
      </c>
      <c r="C4286" s="735" t="s">
        <v>515</v>
      </c>
      <c r="D4286" s="735"/>
      <c r="E4286" s="737">
        <f t="shared" si="888"/>
        <v>1</v>
      </c>
      <c r="F4286" s="738" t="s">
        <v>363</v>
      </c>
      <c r="G4286" s="739">
        <v>5013</v>
      </c>
      <c r="H4286" s="748">
        <f t="shared" si="891"/>
        <v>5013</v>
      </c>
      <c r="I4286" s="741">
        <v>2403</v>
      </c>
      <c r="J4286" s="749">
        <f t="shared" ref="J4286:J4349" si="892">SUM(E4286*I4286)</f>
        <v>2403</v>
      </c>
      <c r="K4286" s="739">
        <f t="shared" si="890"/>
        <v>7416</v>
      </c>
      <c r="L4286" s="1079"/>
      <c r="M4286" s="679"/>
      <c r="N4286" s="744">
        <f t="shared" si="889"/>
        <v>1</v>
      </c>
      <c r="O4286" s="745">
        <v>0</v>
      </c>
      <c r="P4286" s="737">
        <v>1</v>
      </c>
      <c r="Q4286" s="679"/>
      <c r="R4286" s="679"/>
      <c r="S4286" s="679"/>
    </row>
    <row r="4287" spans="1:19" s="682" customFormat="1" ht="24" customHeight="1">
      <c r="A4287" s="734"/>
      <c r="B4287" s="747"/>
      <c r="C4287" s="735" t="s">
        <v>516</v>
      </c>
      <c r="D4287" s="735"/>
      <c r="E4287" s="737">
        <f t="shared" si="888"/>
        <v>0</v>
      </c>
      <c r="F4287" s="738"/>
      <c r="G4287" s="739"/>
      <c r="H4287" s="748">
        <f t="shared" si="891"/>
        <v>0</v>
      </c>
      <c r="I4287" s="741"/>
      <c r="J4287" s="749">
        <f t="shared" si="892"/>
        <v>0</v>
      </c>
      <c r="K4287" s="739">
        <f t="shared" si="890"/>
        <v>0</v>
      </c>
      <c r="L4287" s="1079"/>
      <c r="M4287" s="679"/>
      <c r="N4287" s="744">
        <f t="shared" si="889"/>
        <v>0</v>
      </c>
      <c r="O4287" s="745">
        <v>0</v>
      </c>
      <c r="P4287" s="737">
        <v>0</v>
      </c>
      <c r="Q4287" s="679"/>
      <c r="R4287" s="679"/>
      <c r="S4287" s="679"/>
    </row>
    <row r="4288" spans="1:19" s="682" customFormat="1" ht="24" customHeight="1">
      <c r="A4288" s="734"/>
      <c r="B4288" s="747"/>
      <c r="C4288" s="735"/>
      <c r="D4288" s="735"/>
      <c r="E4288" s="737">
        <f t="shared" si="888"/>
        <v>0</v>
      </c>
      <c r="F4288" s="738"/>
      <c r="G4288" s="739"/>
      <c r="H4288" s="748">
        <f t="shared" si="891"/>
        <v>0</v>
      </c>
      <c r="I4288" s="741"/>
      <c r="J4288" s="749">
        <f t="shared" si="892"/>
        <v>0</v>
      </c>
      <c r="K4288" s="739">
        <f t="shared" si="890"/>
        <v>0</v>
      </c>
      <c r="L4288" s="1079"/>
      <c r="M4288" s="679"/>
      <c r="N4288" s="744">
        <f t="shared" si="889"/>
        <v>0</v>
      </c>
      <c r="O4288" s="745">
        <v>0</v>
      </c>
      <c r="P4288" s="737">
        <v>0</v>
      </c>
      <c r="Q4288" s="679"/>
      <c r="R4288" s="679"/>
      <c r="S4288" s="679"/>
    </row>
    <row r="4289" spans="1:19" s="756" customFormat="1" ht="24" customHeight="1">
      <c r="A4289" s="734"/>
      <c r="B4289" s="747" t="s">
        <v>469</v>
      </c>
      <c r="C4289" s="735" t="s">
        <v>517</v>
      </c>
      <c r="D4289" s="907"/>
      <c r="E4289" s="737">
        <f t="shared" ref="E4289:E4352" si="893">+N4289</f>
        <v>0</v>
      </c>
      <c r="F4289" s="738" t="s">
        <v>361</v>
      </c>
      <c r="G4289" s="739">
        <v>5075.5555555555557</v>
      </c>
      <c r="H4289" s="748">
        <f t="shared" si="891"/>
        <v>0</v>
      </c>
      <c r="I4289" s="741">
        <v>2545.7777777777778</v>
      </c>
      <c r="J4289" s="749">
        <f t="shared" si="892"/>
        <v>0</v>
      </c>
      <c r="K4289" s="739">
        <f t="shared" si="890"/>
        <v>0</v>
      </c>
      <c r="L4289" s="1079"/>
      <c r="M4289" s="755"/>
      <c r="N4289" s="744">
        <f t="shared" si="889"/>
        <v>0</v>
      </c>
      <c r="O4289" s="745">
        <v>0</v>
      </c>
      <c r="P4289" s="737">
        <v>0</v>
      </c>
      <c r="Q4289" s="755"/>
      <c r="R4289" s="755"/>
      <c r="S4289" s="755"/>
    </row>
    <row r="4290" spans="1:19" s="756" customFormat="1" ht="24" customHeight="1">
      <c r="A4290" s="734"/>
      <c r="B4290" s="747"/>
      <c r="C4290" s="735" t="s">
        <v>488</v>
      </c>
      <c r="D4290" s="907"/>
      <c r="E4290" s="737">
        <f t="shared" si="893"/>
        <v>0</v>
      </c>
      <c r="F4290" s="738"/>
      <c r="G4290" s="739">
        <v>0</v>
      </c>
      <c r="H4290" s="748">
        <f t="shared" si="891"/>
        <v>0</v>
      </c>
      <c r="I4290" s="741">
        <v>0</v>
      </c>
      <c r="J4290" s="749">
        <f t="shared" si="892"/>
        <v>0</v>
      </c>
      <c r="K4290" s="739">
        <f t="shared" si="890"/>
        <v>0</v>
      </c>
      <c r="L4290" s="1079"/>
      <c r="M4290" s="755"/>
      <c r="N4290" s="744">
        <f t="shared" si="889"/>
        <v>0</v>
      </c>
      <c r="O4290" s="745">
        <v>0</v>
      </c>
      <c r="P4290" s="737">
        <v>0</v>
      </c>
      <c r="Q4290" s="755"/>
      <c r="R4290" s="755"/>
      <c r="S4290" s="755"/>
    </row>
    <row r="4291" spans="1:19" s="753" customFormat="1" ht="24" customHeight="1">
      <c r="A4291" s="734"/>
      <c r="B4291" s="747" t="s">
        <v>469</v>
      </c>
      <c r="C4291" s="735" t="s">
        <v>518</v>
      </c>
      <c r="D4291" s="735"/>
      <c r="E4291" s="737">
        <f t="shared" si="893"/>
        <v>0</v>
      </c>
      <c r="F4291" s="738" t="s">
        <v>361</v>
      </c>
      <c r="G4291" s="739">
        <v>3886</v>
      </c>
      <c r="H4291" s="748">
        <f t="shared" si="891"/>
        <v>0</v>
      </c>
      <c r="I4291" s="741">
        <v>1238</v>
      </c>
      <c r="J4291" s="749">
        <f t="shared" si="892"/>
        <v>0</v>
      </c>
      <c r="K4291" s="739">
        <f t="shared" si="890"/>
        <v>0</v>
      </c>
      <c r="L4291" s="1079"/>
      <c r="M4291" s="752"/>
      <c r="N4291" s="744">
        <f t="shared" si="889"/>
        <v>0</v>
      </c>
      <c r="O4291" s="745">
        <v>0</v>
      </c>
      <c r="P4291" s="737">
        <v>0</v>
      </c>
      <c r="Q4291" s="752"/>
      <c r="R4291" s="752"/>
      <c r="S4291" s="752"/>
    </row>
    <row r="4292" spans="1:19" s="753" customFormat="1" ht="24" customHeight="1">
      <c r="A4292" s="734"/>
      <c r="B4292" s="747"/>
      <c r="C4292" s="735" t="s">
        <v>513</v>
      </c>
      <c r="D4292" s="735"/>
      <c r="E4292" s="737">
        <f t="shared" si="893"/>
        <v>0</v>
      </c>
      <c r="F4292" s="738"/>
      <c r="G4292" s="739">
        <v>0</v>
      </c>
      <c r="H4292" s="748">
        <f t="shared" si="891"/>
        <v>0</v>
      </c>
      <c r="I4292" s="741">
        <v>0</v>
      </c>
      <c r="J4292" s="749">
        <f t="shared" si="892"/>
        <v>0</v>
      </c>
      <c r="K4292" s="739">
        <f t="shared" si="890"/>
        <v>0</v>
      </c>
      <c r="L4292" s="1079"/>
      <c r="M4292" s="752"/>
      <c r="N4292" s="744">
        <f t="shared" si="889"/>
        <v>0</v>
      </c>
      <c r="O4292" s="745">
        <v>0</v>
      </c>
      <c r="P4292" s="737">
        <v>0</v>
      </c>
      <c r="Q4292" s="752"/>
      <c r="R4292" s="752"/>
      <c r="S4292" s="752"/>
    </row>
    <row r="4293" spans="1:19" s="682" customFormat="1" ht="24" customHeight="1">
      <c r="A4293" s="734"/>
      <c r="B4293" s="747"/>
      <c r="C4293" s="735"/>
      <c r="D4293" s="735"/>
      <c r="E4293" s="737">
        <f t="shared" si="893"/>
        <v>0</v>
      </c>
      <c r="F4293" s="738"/>
      <c r="G4293" s="739"/>
      <c r="H4293" s="748">
        <f t="shared" si="891"/>
        <v>0</v>
      </c>
      <c r="I4293" s="741"/>
      <c r="J4293" s="749">
        <f t="shared" si="892"/>
        <v>0</v>
      </c>
      <c r="K4293" s="739">
        <f t="shared" si="890"/>
        <v>0</v>
      </c>
      <c r="L4293" s="1079"/>
      <c r="M4293" s="679"/>
      <c r="N4293" s="744">
        <f t="shared" si="889"/>
        <v>0</v>
      </c>
      <c r="O4293" s="745">
        <v>0</v>
      </c>
      <c r="P4293" s="737">
        <v>0</v>
      </c>
      <c r="Q4293" s="679"/>
      <c r="R4293" s="679"/>
      <c r="S4293" s="679"/>
    </row>
    <row r="4294" spans="1:19" s="682" customFormat="1" ht="24" customHeight="1">
      <c r="A4294" s="734"/>
      <c r="B4294" s="747" t="s">
        <v>469</v>
      </c>
      <c r="C4294" s="735" t="s">
        <v>519</v>
      </c>
      <c r="D4294" s="735"/>
      <c r="E4294" s="737">
        <f t="shared" si="893"/>
        <v>1</v>
      </c>
      <c r="F4294" s="738" t="s">
        <v>363</v>
      </c>
      <c r="G4294" s="739">
        <v>800</v>
      </c>
      <c r="H4294" s="748">
        <f t="shared" si="891"/>
        <v>800</v>
      </c>
      <c r="I4294" s="741">
        <v>70</v>
      </c>
      <c r="J4294" s="749">
        <f t="shared" si="892"/>
        <v>70</v>
      </c>
      <c r="K4294" s="739">
        <f t="shared" si="890"/>
        <v>870</v>
      </c>
      <c r="L4294" s="1079"/>
      <c r="M4294" s="679"/>
      <c r="N4294" s="744">
        <f t="shared" si="889"/>
        <v>1</v>
      </c>
      <c r="O4294" s="745">
        <v>0</v>
      </c>
      <c r="P4294" s="737">
        <v>1</v>
      </c>
      <c r="Q4294" s="679"/>
      <c r="R4294" s="679"/>
      <c r="S4294" s="679"/>
    </row>
    <row r="4295" spans="1:19" s="682" customFormat="1" ht="24" customHeight="1">
      <c r="A4295" s="734"/>
      <c r="B4295" s="747" t="s">
        <v>469</v>
      </c>
      <c r="C4295" s="735" t="s">
        <v>520</v>
      </c>
      <c r="D4295" s="735"/>
      <c r="E4295" s="737">
        <f t="shared" si="893"/>
        <v>0</v>
      </c>
      <c r="F4295" s="738" t="s">
        <v>361</v>
      </c>
      <c r="G4295" s="739">
        <v>190</v>
      </c>
      <c r="H4295" s="748">
        <f t="shared" si="891"/>
        <v>0</v>
      </c>
      <c r="I4295" s="741">
        <v>75</v>
      </c>
      <c r="J4295" s="749">
        <f t="shared" si="892"/>
        <v>0</v>
      </c>
      <c r="K4295" s="739">
        <f t="shared" si="890"/>
        <v>0</v>
      </c>
      <c r="L4295" s="1079"/>
      <c r="M4295" s="679"/>
      <c r="N4295" s="744">
        <f t="shared" si="889"/>
        <v>0</v>
      </c>
      <c r="O4295" s="745">
        <v>0</v>
      </c>
      <c r="P4295" s="737">
        <v>0</v>
      </c>
      <c r="Q4295" s="679"/>
      <c r="R4295" s="679"/>
      <c r="S4295" s="679"/>
    </row>
    <row r="4296" spans="1:19" s="682" customFormat="1" ht="24" customHeight="1">
      <c r="A4296" s="734"/>
      <c r="B4296" s="747"/>
      <c r="C4296" s="735"/>
      <c r="D4296" s="735"/>
      <c r="E4296" s="737">
        <f t="shared" si="893"/>
        <v>0</v>
      </c>
      <c r="F4296" s="738"/>
      <c r="G4296" s="739"/>
      <c r="H4296" s="748">
        <f t="shared" si="891"/>
        <v>0</v>
      </c>
      <c r="I4296" s="741"/>
      <c r="J4296" s="749">
        <f t="shared" si="892"/>
        <v>0</v>
      </c>
      <c r="K4296" s="739">
        <f t="shared" si="890"/>
        <v>0</v>
      </c>
      <c r="L4296" s="1079"/>
      <c r="M4296" s="679"/>
      <c r="N4296" s="744">
        <f t="shared" ref="N4296:N4360" si="894">+(1+O4296)*P4296</f>
        <v>0</v>
      </c>
      <c r="O4296" s="745">
        <v>0</v>
      </c>
      <c r="P4296" s="737">
        <v>0</v>
      </c>
      <c r="Q4296" s="679"/>
      <c r="R4296" s="679"/>
      <c r="S4296" s="679"/>
    </row>
    <row r="4297" spans="1:19" s="753" customFormat="1" ht="24" customHeight="1">
      <c r="A4297" s="734"/>
      <c r="B4297" s="735" t="s">
        <v>1074</v>
      </c>
      <c r="C4297" s="735"/>
      <c r="D4297" s="735"/>
      <c r="E4297" s="737">
        <f t="shared" si="893"/>
        <v>0</v>
      </c>
      <c r="F4297" s="738"/>
      <c r="G4297" s="739">
        <v>0</v>
      </c>
      <c r="H4297" s="748">
        <f t="shared" si="891"/>
        <v>0</v>
      </c>
      <c r="I4297" s="741">
        <v>0</v>
      </c>
      <c r="J4297" s="749">
        <f t="shared" si="892"/>
        <v>0</v>
      </c>
      <c r="K4297" s="739">
        <f t="shared" si="890"/>
        <v>0</v>
      </c>
      <c r="L4297" s="1079"/>
      <c r="M4297" s="752"/>
      <c r="N4297" s="744">
        <f t="shared" si="894"/>
        <v>0</v>
      </c>
      <c r="O4297" s="745">
        <v>0</v>
      </c>
      <c r="P4297" s="737">
        <v>0</v>
      </c>
      <c r="Q4297" s="752"/>
      <c r="R4297" s="752"/>
      <c r="S4297" s="752"/>
    </row>
    <row r="4298" spans="1:19" s="753" customFormat="1" ht="24" customHeight="1">
      <c r="A4298" s="734"/>
      <c r="B4298" s="747" t="s">
        <v>469</v>
      </c>
      <c r="C4298" s="735" t="s">
        <v>522</v>
      </c>
      <c r="D4298" s="735"/>
      <c r="E4298" s="737">
        <f t="shared" si="893"/>
        <v>1</v>
      </c>
      <c r="F4298" s="738" t="s">
        <v>363</v>
      </c>
      <c r="G4298" s="739">
        <v>6832</v>
      </c>
      <c r="H4298" s="748">
        <f t="shared" si="891"/>
        <v>6832</v>
      </c>
      <c r="I4298" s="741">
        <v>450</v>
      </c>
      <c r="J4298" s="749">
        <f t="shared" si="892"/>
        <v>450</v>
      </c>
      <c r="K4298" s="739">
        <f t="shared" si="890"/>
        <v>7282</v>
      </c>
      <c r="L4298" s="1079"/>
      <c r="M4298" s="752"/>
      <c r="N4298" s="744">
        <f t="shared" si="894"/>
        <v>1</v>
      </c>
      <c r="O4298" s="745">
        <v>0</v>
      </c>
      <c r="P4298" s="737">
        <v>1</v>
      </c>
      <c r="Q4298" s="752"/>
      <c r="R4298" s="752"/>
      <c r="S4298" s="752"/>
    </row>
    <row r="4299" spans="1:19" s="753" customFormat="1" ht="24" customHeight="1">
      <c r="A4299" s="734"/>
      <c r="B4299" s="747" t="s">
        <v>469</v>
      </c>
      <c r="C4299" s="735" t="s">
        <v>498</v>
      </c>
      <c r="D4299" s="735"/>
      <c r="E4299" s="737">
        <f t="shared" si="893"/>
        <v>1</v>
      </c>
      <c r="F4299" s="738" t="s">
        <v>363</v>
      </c>
      <c r="G4299" s="739">
        <v>6640</v>
      </c>
      <c r="H4299" s="748">
        <f t="shared" si="891"/>
        <v>6640</v>
      </c>
      <c r="I4299" s="741">
        <v>200</v>
      </c>
      <c r="J4299" s="749">
        <f t="shared" si="892"/>
        <v>200</v>
      </c>
      <c r="K4299" s="739">
        <f t="shared" si="890"/>
        <v>6840</v>
      </c>
      <c r="L4299" s="1079"/>
      <c r="M4299" s="752"/>
      <c r="N4299" s="744">
        <f t="shared" si="894"/>
        <v>1</v>
      </c>
      <c r="O4299" s="745">
        <v>0</v>
      </c>
      <c r="P4299" s="737">
        <v>1</v>
      </c>
      <c r="Q4299" s="752"/>
      <c r="R4299" s="752"/>
      <c r="S4299" s="752"/>
    </row>
    <row r="4300" spans="1:19" s="753" customFormat="1" ht="24" customHeight="1">
      <c r="A4300" s="734"/>
      <c r="B4300" s="747" t="s">
        <v>469</v>
      </c>
      <c r="C4300" s="735" t="s">
        <v>476</v>
      </c>
      <c r="D4300" s="735"/>
      <c r="E4300" s="737">
        <f t="shared" si="893"/>
        <v>1</v>
      </c>
      <c r="F4300" s="738" t="s">
        <v>363</v>
      </c>
      <c r="G4300" s="739">
        <v>336</v>
      </c>
      <c r="H4300" s="748">
        <f t="shared" si="891"/>
        <v>336</v>
      </c>
      <c r="I4300" s="741">
        <v>0</v>
      </c>
      <c r="J4300" s="749">
        <f t="shared" si="892"/>
        <v>0</v>
      </c>
      <c r="K4300" s="739">
        <f t="shared" si="890"/>
        <v>336</v>
      </c>
      <c r="L4300" s="1079"/>
      <c r="M4300" s="752"/>
      <c r="N4300" s="744">
        <f t="shared" si="894"/>
        <v>1</v>
      </c>
      <c r="O4300" s="745">
        <v>0</v>
      </c>
      <c r="P4300" s="737">
        <v>1</v>
      </c>
      <c r="Q4300" s="752"/>
      <c r="R4300" s="752"/>
      <c r="S4300" s="752"/>
    </row>
    <row r="4301" spans="1:19" s="753" customFormat="1" ht="24" customHeight="1">
      <c r="A4301" s="734"/>
      <c r="B4301" s="747" t="s">
        <v>469</v>
      </c>
      <c r="C4301" s="735" t="s">
        <v>477</v>
      </c>
      <c r="D4301" s="735"/>
      <c r="E4301" s="737">
        <f t="shared" si="893"/>
        <v>1</v>
      </c>
      <c r="F4301" s="738" t="s">
        <v>363</v>
      </c>
      <c r="G4301" s="739">
        <v>736</v>
      </c>
      <c r="H4301" s="748">
        <f t="shared" si="891"/>
        <v>736</v>
      </c>
      <c r="I4301" s="741">
        <v>0</v>
      </c>
      <c r="J4301" s="749">
        <f t="shared" si="892"/>
        <v>0</v>
      </c>
      <c r="K4301" s="739">
        <f t="shared" si="890"/>
        <v>736</v>
      </c>
      <c r="L4301" s="1079"/>
      <c r="M4301" s="752"/>
      <c r="N4301" s="744">
        <f t="shared" si="894"/>
        <v>1</v>
      </c>
      <c r="O4301" s="745">
        <v>0</v>
      </c>
      <c r="P4301" s="737">
        <v>1</v>
      </c>
      <c r="Q4301" s="752"/>
      <c r="R4301" s="752"/>
      <c r="S4301" s="752"/>
    </row>
    <row r="4302" spans="1:19" s="753" customFormat="1" ht="24" customHeight="1">
      <c r="A4302" s="734"/>
      <c r="B4302" s="747" t="s">
        <v>469</v>
      </c>
      <c r="C4302" s="735" t="s">
        <v>478</v>
      </c>
      <c r="D4302" s="735"/>
      <c r="E4302" s="737">
        <f t="shared" si="893"/>
        <v>1</v>
      </c>
      <c r="F4302" s="738" t="s">
        <v>363</v>
      </c>
      <c r="G4302" s="739">
        <v>176</v>
      </c>
      <c r="H4302" s="748">
        <f t="shared" si="891"/>
        <v>176</v>
      </c>
      <c r="I4302" s="741">
        <v>0</v>
      </c>
      <c r="J4302" s="749">
        <f t="shared" si="892"/>
        <v>0</v>
      </c>
      <c r="K4302" s="739">
        <f t="shared" si="890"/>
        <v>176</v>
      </c>
      <c r="L4302" s="1079"/>
      <c r="M4302" s="752"/>
      <c r="N4302" s="744">
        <f t="shared" si="894"/>
        <v>1</v>
      </c>
      <c r="O4302" s="745">
        <v>0</v>
      </c>
      <c r="P4302" s="737">
        <v>1</v>
      </c>
      <c r="Q4302" s="752"/>
      <c r="R4302" s="752"/>
      <c r="S4302" s="752"/>
    </row>
    <row r="4303" spans="1:19" s="753" customFormat="1" ht="24" customHeight="1">
      <c r="A4303" s="734"/>
      <c r="B4303" s="747" t="s">
        <v>469</v>
      </c>
      <c r="C4303" s="735" t="s">
        <v>499</v>
      </c>
      <c r="D4303" s="735"/>
      <c r="E4303" s="737">
        <f t="shared" si="893"/>
        <v>1</v>
      </c>
      <c r="F4303" s="738" t="s">
        <v>363</v>
      </c>
      <c r="G4303" s="739">
        <v>216</v>
      </c>
      <c r="H4303" s="748">
        <f t="shared" si="891"/>
        <v>216</v>
      </c>
      <c r="I4303" s="741">
        <v>35</v>
      </c>
      <c r="J4303" s="749">
        <f t="shared" si="892"/>
        <v>35</v>
      </c>
      <c r="K4303" s="739">
        <f t="shared" si="890"/>
        <v>251</v>
      </c>
      <c r="L4303" s="1079"/>
      <c r="M4303" s="752"/>
      <c r="N4303" s="744">
        <f t="shared" si="894"/>
        <v>1</v>
      </c>
      <c r="O4303" s="745">
        <v>0</v>
      </c>
      <c r="P4303" s="737">
        <v>1</v>
      </c>
      <c r="Q4303" s="752"/>
      <c r="R4303" s="752"/>
      <c r="S4303" s="752"/>
    </row>
    <row r="4304" spans="1:19" s="753" customFormat="1" ht="24" customHeight="1">
      <c r="A4304" s="734"/>
      <c r="B4304" s="750"/>
      <c r="C4304" s="757"/>
      <c r="D4304" s="907"/>
      <c r="E4304" s="737">
        <f t="shared" si="893"/>
        <v>0</v>
      </c>
      <c r="F4304" s="738"/>
      <c r="G4304" s="739">
        <v>0</v>
      </c>
      <c r="H4304" s="748">
        <f t="shared" si="891"/>
        <v>0</v>
      </c>
      <c r="I4304" s="741">
        <v>0</v>
      </c>
      <c r="J4304" s="749">
        <f t="shared" si="892"/>
        <v>0</v>
      </c>
      <c r="K4304" s="739">
        <f t="shared" si="890"/>
        <v>0</v>
      </c>
      <c r="L4304" s="1079"/>
      <c r="M4304" s="752"/>
      <c r="N4304" s="744">
        <f t="shared" si="894"/>
        <v>0</v>
      </c>
      <c r="O4304" s="745">
        <v>0</v>
      </c>
      <c r="P4304" s="737">
        <v>0</v>
      </c>
      <c r="Q4304" s="752"/>
      <c r="R4304" s="752"/>
      <c r="S4304" s="752"/>
    </row>
    <row r="4305" spans="1:19" s="753" customFormat="1" ht="24" customHeight="1">
      <c r="A4305" s="734"/>
      <c r="B4305" s="747" t="s">
        <v>469</v>
      </c>
      <c r="C4305" s="735" t="s">
        <v>523</v>
      </c>
      <c r="D4305" s="735"/>
      <c r="E4305" s="737">
        <f t="shared" si="893"/>
        <v>1</v>
      </c>
      <c r="F4305" s="738" t="s">
        <v>363</v>
      </c>
      <c r="G4305" s="739">
        <v>6580</v>
      </c>
      <c r="H4305" s="748">
        <f t="shared" si="891"/>
        <v>6580</v>
      </c>
      <c r="I4305" s="741">
        <v>450</v>
      </c>
      <c r="J4305" s="749">
        <f t="shared" si="892"/>
        <v>450</v>
      </c>
      <c r="K4305" s="739">
        <f t="shared" si="890"/>
        <v>7030</v>
      </c>
      <c r="L4305" s="1079"/>
      <c r="M4305" s="752"/>
      <c r="N4305" s="744">
        <f t="shared" si="894"/>
        <v>1</v>
      </c>
      <c r="O4305" s="745">
        <v>0</v>
      </c>
      <c r="P4305" s="737">
        <v>1</v>
      </c>
      <c r="Q4305" s="752"/>
      <c r="R4305" s="752"/>
      <c r="S4305" s="752"/>
    </row>
    <row r="4306" spans="1:19" s="753" customFormat="1" ht="24" customHeight="1">
      <c r="A4306" s="734"/>
      <c r="B4306" s="747" t="s">
        <v>469</v>
      </c>
      <c r="C4306" s="735" t="s">
        <v>478</v>
      </c>
      <c r="D4306" s="735"/>
      <c r="E4306" s="737">
        <f t="shared" si="893"/>
        <v>1</v>
      </c>
      <c r="F4306" s="738" t="s">
        <v>363</v>
      </c>
      <c r="G4306" s="739">
        <v>176</v>
      </c>
      <c r="H4306" s="748">
        <f t="shared" si="891"/>
        <v>176</v>
      </c>
      <c r="I4306" s="741">
        <v>0</v>
      </c>
      <c r="J4306" s="749">
        <f t="shared" si="892"/>
        <v>0</v>
      </c>
      <c r="K4306" s="739">
        <f t="shared" si="890"/>
        <v>176</v>
      </c>
      <c r="L4306" s="1079"/>
      <c r="M4306" s="752"/>
      <c r="N4306" s="744">
        <f t="shared" si="894"/>
        <v>1</v>
      </c>
      <c r="O4306" s="745">
        <v>0</v>
      </c>
      <c r="P4306" s="737">
        <v>1</v>
      </c>
      <c r="Q4306" s="752"/>
      <c r="R4306" s="752"/>
      <c r="S4306" s="752"/>
    </row>
    <row r="4307" spans="1:19" s="753" customFormat="1" ht="24" customHeight="1">
      <c r="A4307" s="734"/>
      <c r="B4307" s="747" t="s">
        <v>469</v>
      </c>
      <c r="C4307" s="735" t="s">
        <v>482</v>
      </c>
      <c r="D4307" s="735"/>
      <c r="E4307" s="737">
        <f t="shared" si="893"/>
        <v>1</v>
      </c>
      <c r="F4307" s="738" t="s">
        <v>363</v>
      </c>
      <c r="G4307" s="739">
        <v>560</v>
      </c>
      <c r="H4307" s="748">
        <f t="shared" si="891"/>
        <v>560</v>
      </c>
      <c r="I4307" s="741">
        <v>35</v>
      </c>
      <c r="J4307" s="749">
        <f t="shared" si="892"/>
        <v>35</v>
      </c>
      <c r="K4307" s="739">
        <f t="shared" si="890"/>
        <v>595</v>
      </c>
      <c r="L4307" s="1079"/>
      <c r="M4307" s="752"/>
      <c r="N4307" s="744">
        <f t="shared" si="894"/>
        <v>1</v>
      </c>
      <c r="O4307" s="745">
        <v>0</v>
      </c>
      <c r="P4307" s="737">
        <v>1</v>
      </c>
      <c r="Q4307" s="752"/>
      <c r="R4307" s="752"/>
      <c r="S4307" s="752"/>
    </row>
    <row r="4308" spans="1:19" s="753" customFormat="1" ht="24" customHeight="1">
      <c r="A4308" s="734"/>
      <c r="B4308" s="747" t="s">
        <v>469</v>
      </c>
      <c r="C4308" s="735" t="s">
        <v>524</v>
      </c>
      <c r="D4308" s="735"/>
      <c r="E4308" s="737">
        <f t="shared" si="893"/>
        <v>1</v>
      </c>
      <c r="F4308" s="738" t="s">
        <v>363</v>
      </c>
      <c r="G4308" s="739">
        <v>216</v>
      </c>
      <c r="H4308" s="748">
        <f t="shared" si="891"/>
        <v>216</v>
      </c>
      <c r="I4308" s="741">
        <v>35</v>
      </c>
      <c r="J4308" s="749">
        <f t="shared" si="892"/>
        <v>35</v>
      </c>
      <c r="K4308" s="739">
        <f t="shared" si="890"/>
        <v>251</v>
      </c>
      <c r="L4308" s="1079"/>
      <c r="M4308" s="752"/>
      <c r="N4308" s="744">
        <f t="shared" si="894"/>
        <v>1</v>
      </c>
      <c r="O4308" s="745">
        <v>0</v>
      </c>
      <c r="P4308" s="737">
        <v>1</v>
      </c>
      <c r="Q4308" s="752"/>
      <c r="R4308" s="752"/>
      <c r="S4308" s="752"/>
    </row>
    <row r="4309" spans="1:19" s="753" customFormat="1" ht="24" customHeight="1">
      <c r="A4309" s="734"/>
      <c r="B4309" s="747"/>
      <c r="C4309" s="735"/>
      <c r="D4309" s="735"/>
      <c r="E4309" s="737">
        <f t="shared" si="893"/>
        <v>0</v>
      </c>
      <c r="F4309" s="738"/>
      <c r="G4309" s="739">
        <v>0</v>
      </c>
      <c r="H4309" s="748">
        <f t="shared" si="891"/>
        <v>0</v>
      </c>
      <c r="I4309" s="741">
        <v>0</v>
      </c>
      <c r="J4309" s="749">
        <f t="shared" si="892"/>
        <v>0</v>
      </c>
      <c r="K4309" s="739">
        <f t="shared" si="890"/>
        <v>0</v>
      </c>
      <c r="L4309" s="1079"/>
      <c r="M4309" s="752"/>
      <c r="N4309" s="744">
        <f t="shared" si="894"/>
        <v>0</v>
      </c>
      <c r="O4309" s="745">
        <v>0</v>
      </c>
      <c r="P4309" s="737">
        <v>0</v>
      </c>
      <c r="Q4309" s="752"/>
      <c r="R4309" s="752"/>
      <c r="S4309" s="752"/>
    </row>
    <row r="4310" spans="1:19" s="753" customFormat="1" ht="24" customHeight="1">
      <c r="A4310" s="734"/>
      <c r="B4310" s="747" t="s">
        <v>469</v>
      </c>
      <c r="C4310" s="735" t="s">
        <v>486</v>
      </c>
      <c r="D4310" s="735"/>
      <c r="E4310" s="737">
        <f t="shared" si="893"/>
        <v>1</v>
      </c>
      <c r="F4310" s="738" t="s">
        <v>363</v>
      </c>
      <c r="G4310" s="739">
        <v>552</v>
      </c>
      <c r="H4310" s="748">
        <f t="shared" si="891"/>
        <v>552</v>
      </c>
      <c r="I4310" s="741">
        <v>25</v>
      </c>
      <c r="J4310" s="749">
        <f t="shared" si="892"/>
        <v>25</v>
      </c>
      <c r="K4310" s="739">
        <f t="shared" si="890"/>
        <v>577</v>
      </c>
      <c r="L4310" s="1079"/>
      <c r="M4310" s="752"/>
      <c r="N4310" s="744">
        <f t="shared" si="894"/>
        <v>1</v>
      </c>
      <c r="O4310" s="745">
        <v>0</v>
      </c>
      <c r="P4310" s="737">
        <v>1</v>
      </c>
      <c r="Q4310" s="752"/>
      <c r="R4310" s="752"/>
      <c r="S4310" s="752"/>
    </row>
    <row r="4311" spans="1:19" s="753" customFormat="1" ht="24" customHeight="1">
      <c r="A4311" s="734"/>
      <c r="B4311" s="747" t="s">
        <v>484</v>
      </c>
      <c r="C4311" s="735" t="s">
        <v>485</v>
      </c>
      <c r="D4311" s="735"/>
      <c r="E4311" s="737">
        <f t="shared" si="893"/>
        <v>1</v>
      </c>
      <c r="F4311" s="738" t="s">
        <v>363</v>
      </c>
      <c r="G4311" s="739">
        <v>285</v>
      </c>
      <c r="H4311" s="748">
        <f t="shared" si="891"/>
        <v>285</v>
      </c>
      <c r="I4311" s="741">
        <v>75</v>
      </c>
      <c r="J4311" s="749">
        <f t="shared" si="892"/>
        <v>75</v>
      </c>
      <c r="K4311" s="739">
        <f t="shared" si="890"/>
        <v>360</v>
      </c>
      <c r="L4311" s="1093"/>
      <c r="M4311" s="752"/>
      <c r="N4311" s="744">
        <f t="shared" si="894"/>
        <v>1</v>
      </c>
      <c r="O4311" s="745">
        <v>0</v>
      </c>
      <c r="P4311" s="737">
        <v>1</v>
      </c>
      <c r="Q4311" s="752"/>
      <c r="R4311" s="752"/>
      <c r="S4311" s="752"/>
    </row>
    <row r="4312" spans="1:19" s="753" customFormat="1" ht="24" customHeight="1">
      <c r="A4312" s="734"/>
      <c r="B4312" s="747"/>
      <c r="C4312" s="735"/>
      <c r="D4312" s="735"/>
      <c r="E4312" s="737">
        <f t="shared" si="893"/>
        <v>0</v>
      </c>
      <c r="F4312" s="738"/>
      <c r="G4312" s="739">
        <v>0</v>
      </c>
      <c r="H4312" s="748">
        <f t="shared" si="891"/>
        <v>0</v>
      </c>
      <c r="I4312" s="741">
        <v>0</v>
      </c>
      <c r="J4312" s="749">
        <f t="shared" si="892"/>
        <v>0</v>
      </c>
      <c r="K4312" s="739">
        <f t="shared" si="890"/>
        <v>0</v>
      </c>
      <c r="L4312" s="1079"/>
      <c r="M4312" s="752"/>
      <c r="N4312" s="744">
        <f t="shared" si="894"/>
        <v>0</v>
      </c>
      <c r="O4312" s="745">
        <v>0</v>
      </c>
      <c r="P4312" s="737">
        <v>0</v>
      </c>
      <c r="Q4312" s="752"/>
      <c r="R4312" s="752"/>
      <c r="S4312" s="752"/>
    </row>
    <row r="4313" spans="1:19" s="753" customFormat="1" ht="24" customHeight="1">
      <c r="A4313" s="734"/>
      <c r="B4313" s="747" t="s">
        <v>469</v>
      </c>
      <c r="C4313" s="735" t="s">
        <v>507</v>
      </c>
      <c r="D4313" s="735"/>
      <c r="E4313" s="737">
        <f t="shared" si="893"/>
        <v>1</v>
      </c>
      <c r="F4313" s="738" t="s">
        <v>363</v>
      </c>
      <c r="G4313" s="739">
        <v>1650</v>
      </c>
      <c r="H4313" s="748">
        <f t="shared" si="891"/>
        <v>1650</v>
      </c>
      <c r="I4313" s="741">
        <v>70</v>
      </c>
      <c r="J4313" s="749">
        <f t="shared" si="892"/>
        <v>70</v>
      </c>
      <c r="K4313" s="739">
        <f t="shared" si="890"/>
        <v>1720</v>
      </c>
      <c r="L4313" s="1079"/>
      <c r="M4313" s="752"/>
      <c r="N4313" s="744">
        <f t="shared" si="894"/>
        <v>1</v>
      </c>
      <c r="O4313" s="745">
        <v>0</v>
      </c>
      <c r="P4313" s="737">
        <v>1</v>
      </c>
      <c r="Q4313" s="752"/>
      <c r="R4313" s="752"/>
      <c r="S4313" s="752"/>
    </row>
    <row r="4314" spans="1:19" s="753" customFormat="1" ht="24" customHeight="1">
      <c r="A4314" s="734"/>
      <c r="B4314" s="747" t="s">
        <v>469</v>
      </c>
      <c r="C4314" s="735" t="s">
        <v>525</v>
      </c>
      <c r="D4314" s="735"/>
      <c r="E4314" s="737">
        <f t="shared" si="893"/>
        <v>2</v>
      </c>
      <c r="F4314" s="738" t="s">
        <v>363</v>
      </c>
      <c r="G4314" s="739">
        <v>4160</v>
      </c>
      <c r="H4314" s="748">
        <f t="shared" si="891"/>
        <v>8320</v>
      </c>
      <c r="I4314" s="741">
        <v>105</v>
      </c>
      <c r="J4314" s="749">
        <f t="shared" si="892"/>
        <v>210</v>
      </c>
      <c r="K4314" s="739">
        <f t="shared" si="890"/>
        <v>8530</v>
      </c>
      <c r="L4314" s="1079"/>
      <c r="M4314" s="752"/>
      <c r="N4314" s="744">
        <f t="shared" si="894"/>
        <v>2</v>
      </c>
      <c r="O4314" s="745">
        <v>0</v>
      </c>
      <c r="P4314" s="737">
        <v>2</v>
      </c>
      <c r="Q4314" s="752"/>
      <c r="R4314" s="752"/>
      <c r="S4314" s="752"/>
    </row>
    <row r="4315" spans="1:19" s="753" customFormat="1" ht="24" customHeight="1">
      <c r="A4315" s="734"/>
      <c r="B4315" s="747" t="s">
        <v>469</v>
      </c>
      <c r="C4315" s="735" t="s">
        <v>526</v>
      </c>
      <c r="D4315" s="735"/>
      <c r="E4315" s="737">
        <f t="shared" si="893"/>
        <v>1</v>
      </c>
      <c r="F4315" s="738" t="s">
        <v>363</v>
      </c>
      <c r="G4315" s="739">
        <v>2533.5</v>
      </c>
      <c r="H4315" s="748">
        <f t="shared" si="891"/>
        <v>2533.5</v>
      </c>
      <c r="I4315" s="741">
        <v>105</v>
      </c>
      <c r="J4315" s="749">
        <f t="shared" si="892"/>
        <v>105</v>
      </c>
      <c r="K4315" s="739">
        <f t="shared" si="890"/>
        <v>2638.5</v>
      </c>
      <c r="L4315" s="1079"/>
      <c r="M4315" s="752"/>
      <c r="N4315" s="744">
        <f t="shared" si="894"/>
        <v>1</v>
      </c>
      <c r="O4315" s="745">
        <v>0</v>
      </c>
      <c r="P4315" s="737">
        <v>1</v>
      </c>
      <c r="Q4315" s="752"/>
      <c r="R4315" s="752"/>
      <c r="S4315" s="752"/>
    </row>
    <row r="4316" spans="1:19" s="753" customFormat="1" ht="24" customHeight="1">
      <c r="A4316" s="734"/>
      <c r="B4316" s="747"/>
      <c r="C4316" s="735"/>
      <c r="D4316" s="735"/>
      <c r="E4316" s="737">
        <f t="shared" si="893"/>
        <v>0</v>
      </c>
      <c r="F4316" s="738"/>
      <c r="G4316" s="739">
        <v>0</v>
      </c>
      <c r="H4316" s="748">
        <f t="shared" si="891"/>
        <v>0</v>
      </c>
      <c r="I4316" s="741">
        <v>0</v>
      </c>
      <c r="J4316" s="749">
        <f t="shared" si="892"/>
        <v>0</v>
      </c>
      <c r="K4316" s="739">
        <f t="shared" si="890"/>
        <v>0</v>
      </c>
      <c r="L4316" s="1079"/>
      <c r="M4316" s="752"/>
      <c r="N4316" s="744">
        <f t="shared" si="894"/>
        <v>0</v>
      </c>
      <c r="O4316" s="745">
        <v>0</v>
      </c>
      <c r="P4316" s="737">
        <v>0</v>
      </c>
      <c r="Q4316" s="752"/>
      <c r="R4316" s="752"/>
      <c r="S4316" s="752"/>
    </row>
    <row r="4317" spans="1:19" s="753" customFormat="1" ht="24" customHeight="1">
      <c r="A4317" s="734"/>
      <c r="B4317" s="747" t="s">
        <v>469</v>
      </c>
      <c r="C4317" s="735" t="s">
        <v>527</v>
      </c>
      <c r="D4317" s="735"/>
      <c r="E4317" s="737">
        <f t="shared" si="893"/>
        <v>1</v>
      </c>
      <c r="F4317" s="738" t="s">
        <v>363</v>
      </c>
      <c r="G4317" s="739">
        <v>2855</v>
      </c>
      <c r="H4317" s="748">
        <f t="shared" si="891"/>
        <v>2855</v>
      </c>
      <c r="I4317" s="741">
        <v>1432</v>
      </c>
      <c r="J4317" s="749">
        <f t="shared" si="892"/>
        <v>1432</v>
      </c>
      <c r="K4317" s="739">
        <f t="shared" si="890"/>
        <v>4287</v>
      </c>
      <c r="L4317" s="1079"/>
      <c r="M4317" s="752"/>
      <c r="N4317" s="744">
        <f t="shared" si="894"/>
        <v>1</v>
      </c>
      <c r="O4317" s="745">
        <v>0</v>
      </c>
      <c r="P4317" s="737">
        <v>1</v>
      </c>
      <c r="Q4317" s="752"/>
      <c r="R4317" s="752"/>
      <c r="S4317" s="752"/>
    </row>
    <row r="4318" spans="1:19" s="682" customFormat="1" ht="24" customHeight="1">
      <c r="A4318" s="734"/>
      <c r="B4318" s="747" t="s">
        <v>469</v>
      </c>
      <c r="C4318" s="735" t="s">
        <v>528</v>
      </c>
      <c r="D4318" s="735"/>
      <c r="E4318" s="737">
        <f t="shared" si="893"/>
        <v>0</v>
      </c>
      <c r="F4318" s="738" t="s">
        <v>363</v>
      </c>
      <c r="G4318" s="739">
        <v>9750</v>
      </c>
      <c r="H4318" s="748">
        <f t="shared" si="891"/>
        <v>0</v>
      </c>
      <c r="I4318" s="741">
        <v>105</v>
      </c>
      <c r="J4318" s="749">
        <f t="shared" si="892"/>
        <v>0</v>
      </c>
      <c r="K4318" s="739">
        <f t="shared" si="890"/>
        <v>0</v>
      </c>
      <c r="L4318" s="1079"/>
      <c r="M4318" s="679"/>
      <c r="N4318" s="744">
        <f t="shared" si="894"/>
        <v>0</v>
      </c>
      <c r="O4318" s="745">
        <v>0</v>
      </c>
      <c r="P4318" s="737">
        <v>0</v>
      </c>
      <c r="Q4318" s="679"/>
      <c r="R4318" s="679"/>
      <c r="S4318" s="679"/>
    </row>
    <row r="4319" spans="1:19" s="682" customFormat="1" ht="24" customHeight="1">
      <c r="A4319" s="734"/>
      <c r="B4319" s="747" t="s">
        <v>469</v>
      </c>
      <c r="C4319" s="735" t="s">
        <v>529</v>
      </c>
      <c r="D4319" s="735"/>
      <c r="E4319" s="737">
        <f t="shared" si="893"/>
        <v>0</v>
      </c>
      <c r="F4319" s="738" t="s">
        <v>363</v>
      </c>
      <c r="G4319" s="739">
        <v>5200</v>
      </c>
      <c r="H4319" s="748">
        <f t="shared" si="891"/>
        <v>0</v>
      </c>
      <c r="I4319" s="741">
        <v>70</v>
      </c>
      <c r="J4319" s="749">
        <f t="shared" si="892"/>
        <v>0</v>
      </c>
      <c r="K4319" s="739">
        <f t="shared" si="890"/>
        <v>0</v>
      </c>
      <c r="L4319" s="1079"/>
      <c r="M4319" s="679"/>
      <c r="N4319" s="744">
        <f t="shared" si="894"/>
        <v>0</v>
      </c>
      <c r="O4319" s="745">
        <v>0</v>
      </c>
      <c r="P4319" s="737">
        <v>0</v>
      </c>
      <c r="Q4319" s="679"/>
      <c r="R4319" s="679"/>
      <c r="S4319" s="679"/>
    </row>
    <row r="4320" spans="1:19" s="682" customFormat="1" ht="24" customHeight="1">
      <c r="A4320" s="734"/>
      <c r="B4320" s="747" t="s">
        <v>469</v>
      </c>
      <c r="C4320" s="735" t="s">
        <v>519</v>
      </c>
      <c r="D4320" s="735"/>
      <c r="E4320" s="737">
        <f t="shared" si="893"/>
        <v>1</v>
      </c>
      <c r="F4320" s="738" t="s">
        <v>363</v>
      </c>
      <c r="G4320" s="739">
        <v>800</v>
      </c>
      <c r="H4320" s="748">
        <f t="shared" si="891"/>
        <v>800</v>
      </c>
      <c r="I4320" s="741">
        <v>70</v>
      </c>
      <c r="J4320" s="749">
        <f t="shared" si="892"/>
        <v>70</v>
      </c>
      <c r="K4320" s="739">
        <f t="shared" si="890"/>
        <v>870</v>
      </c>
      <c r="L4320" s="1079"/>
      <c r="M4320" s="679"/>
      <c r="N4320" s="744">
        <f t="shared" si="894"/>
        <v>1</v>
      </c>
      <c r="O4320" s="745">
        <v>0</v>
      </c>
      <c r="P4320" s="737">
        <v>1</v>
      </c>
      <c r="Q4320" s="679"/>
      <c r="R4320" s="679"/>
      <c r="S4320" s="679"/>
    </row>
    <row r="4321" spans="1:19" s="682" customFormat="1" ht="24" customHeight="1">
      <c r="A4321" s="734"/>
      <c r="B4321" s="747" t="s">
        <v>469</v>
      </c>
      <c r="C4321" s="735" t="s">
        <v>520</v>
      </c>
      <c r="D4321" s="735"/>
      <c r="E4321" s="737">
        <f t="shared" si="893"/>
        <v>0</v>
      </c>
      <c r="F4321" s="738" t="s">
        <v>361</v>
      </c>
      <c r="G4321" s="739">
        <v>190</v>
      </c>
      <c r="H4321" s="748">
        <f t="shared" si="891"/>
        <v>0</v>
      </c>
      <c r="I4321" s="741">
        <v>75</v>
      </c>
      <c r="J4321" s="749">
        <f t="shared" si="892"/>
        <v>0</v>
      </c>
      <c r="K4321" s="739">
        <f t="shared" si="890"/>
        <v>0</v>
      </c>
      <c r="L4321" s="1079"/>
      <c r="M4321" s="679"/>
      <c r="N4321" s="744">
        <f t="shared" si="894"/>
        <v>0</v>
      </c>
      <c r="O4321" s="745">
        <v>0</v>
      </c>
      <c r="P4321" s="737">
        <v>0</v>
      </c>
      <c r="Q4321" s="679"/>
      <c r="R4321" s="679"/>
      <c r="S4321" s="679"/>
    </row>
    <row r="4322" spans="1:19" s="753" customFormat="1" ht="24" customHeight="1">
      <c r="A4322" s="734"/>
      <c r="B4322" s="747"/>
      <c r="C4322" s="735"/>
      <c r="D4322" s="735"/>
      <c r="E4322" s="737">
        <f t="shared" si="893"/>
        <v>0</v>
      </c>
      <c r="F4322" s="738"/>
      <c r="G4322" s="739">
        <v>0</v>
      </c>
      <c r="H4322" s="748">
        <f t="shared" si="891"/>
        <v>0</v>
      </c>
      <c r="I4322" s="741">
        <v>0</v>
      </c>
      <c r="J4322" s="749">
        <f t="shared" si="892"/>
        <v>0</v>
      </c>
      <c r="K4322" s="739">
        <f t="shared" si="890"/>
        <v>0</v>
      </c>
      <c r="L4322" s="1079"/>
      <c r="M4322" s="752"/>
      <c r="N4322" s="758">
        <f t="shared" si="894"/>
        <v>0</v>
      </c>
      <c r="O4322" s="745">
        <v>0</v>
      </c>
      <c r="P4322" s="759"/>
      <c r="Q4322" s="752"/>
      <c r="R4322" s="752"/>
      <c r="S4322" s="752"/>
    </row>
    <row r="4323" spans="1:19" s="753" customFormat="1" ht="24" customHeight="1">
      <c r="A4323" s="734"/>
      <c r="B4323" s="735" t="s">
        <v>1075</v>
      </c>
      <c r="C4323" s="736"/>
      <c r="D4323" s="907"/>
      <c r="E4323" s="737">
        <f t="shared" si="893"/>
        <v>0</v>
      </c>
      <c r="F4323" s="738"/>
      <c r="G4323" s="739">
        <v>0</v>
      </c>
      <c r="H4323" s="748">
        <f t="shared" ref="H4323:H4391" si="895">SUM(E4323*G4323)</f>
        <v>0</v>
      </c>
      <c r="I4323" s="741">
        <v>0</v>
      </c>
      <c r="J4323" s="749">
        <f t="shared" si="892"/>
        <v>0</v>
      </c>
      <c r="K4323" s="739">
        <f t="shared" ref="K4323:K4391" si="896">SUM(H4323+J4323)</f>
        <v>0</v>
      </c>
      <c r="L4323" s="1079"/>
      <c r="M4323" s="752"/>
      <c r="N4323" s="744">
        <f t="shared" si="894"/>
        <v>0</v>
      </c>
      <c r="O4323" s="745">
        <v>0</v>
      </c>
      <c r="P4323" s="737">
        <v>0</v>
      </c>
      <c r="Q4323" s="752"/>
      <c r="R4323" s="752"/>
      <c r="S4323" s="752"/>
    </row>
    <row r="4324" spans="1:19" s="753" customFormat="1" ht="24" customHeight="1">
      <c r="A4324" s="734"/>
      <c r="B4324" s="747" t="s">
        <v>469</v>
      </c>
      <c r="C4324" s="735" t="s">
        <v>497</v>
      </c>
      <c r="D4324" s="735"/>
      <c r="E4324" s="737">
        <f t="shared" si="893"/>
        <v>4</v>
      </c>
      <c r="F4324" s="738" t="s">
        <v>363</v>
      </c>
      <c r="G4324" s="739">
        <v>1540</v>
      </c>
      <c r="H4324" s="748">
        <f t="shared" si="895"/>
        <v>6160</v>
      </c>
      <c r="I4324" s="741">
        <v>450</v>
      </c>
      <c r="J4324" s="749">
        <f t="shared" si="892"/>
        <v>1800</v>
      </c>
      <c r="K4324" s="739">
        <f t="shared" si="896"/>
        <v>7960</v>
      </c>
      <c r="L4324" s="1079"/>
      <c r="M4324" s="752"/>
      <c r="N4324" s="744">
        <f t="shared" si="894"/>
        <v>4</v>
      </c>
      <c r="O4324" s="745">
        <v>0</v>
      </c>
      <c r="P4324" s="737">
        <v>4</v>
      </c>
      <c r="Q4324" s="752"/>
      <c r="R4324" s="752"/>
      <c r="S4324" s="752"/>
    </row>
    <row r="4325" spans="1:19" s="753" customFormat="1" ht="24" customHeight="1">
      <c r="A4325" s="734"/>
      <c r="B4325" s="747" t="s">
        <v>469</v>
      </c>
      <c r="C4325" s="735" t="s">
        <v>498</v>
      </c>
      <c r="D4325" s="735"/>
      <c r="E4325" s="737">
        <f t="shared" si="893"/>
        <v>4</v>
      </c>
      <c r="F4325" s="738" t="s">
        <v>363</v>
      </c>
      <c r="G4325" s="739">
        <v>6640</v>
      </c>
      <c r="H4325" s="748">
        <f t="shared" si="895"/>
        <v>26560</v>
      </c>
      <c r="I4325" s="741">
        <v>200</v>
      </c>
      <c r="J4325" s="749">
        <f t="shared" si="892"/>
        <v>800</v>
      </c>
      <c r="K4325" s="739">
        <f t="shared" si="896"/>
        <v>27360</v>
      </c>
      <c r="L4325" s="1079"/>
      <c r="M4325" s="752"/>
      <c r="N4325" s="744">
        <f t="shared" si="894"/>
        <v>4</v>
      </c>
      <c r="O4325" s="745">
        <v>0</v>
      </c>
      <c r="P4325" s="737">
        <v>4</v>
      </c>
      <c r="Q4325" s="752"/>
      <c r="R4325" s="752"/>
      <c r="S4325" s="752"/>
    </row>
    <row r="4326" spans="1:19" s="753" customFormat="1" ht="24" customHeight="1">
      <c r="A4326" s="734"/>
      <c r="B4326" s="747" t="s">
        <v>469</v>
      </c>
      <c r="C4326" s="735" t="s">
        <v>496</v>
      </c>
      <c r="D4326" s="735"/>
      <c r="E4326" s="737">
        <f t="shared" si="893"/>
        <v>4</v>
      </c>
      <c r="F4326" s="738" t="s">
        <v>363</v>
      </c>
      <c r="G4326" s="739">
        <v>336</v>
      </c>
      <c r="H4326" s="748">
        <f t="shared" si="895"/>
        <v>1344</v>
      </c>
      <c r="I4326" s="741">
        <v>0</v>
      </c>
      <c r="J4326" s="749">
        <f t="shared" si="892"/>
        <v>0</v>
      </c>
      <c r="K4326" s="739">
        <f t="shared" si="896"/>
        <v>1344</v>
      </c>
      <c r="L4326" s="1079"/>
      <c r="M4326" s="752"/>
      <c r="N4326" s="744">
        <f t="shared" si="894"/>
        <v>4</v>
      </c>
      <c r="O4326" s="745">
        <v>0</v>
      </c>
      <c r="P4326" s="737">
        <v>4</v>
      </c>
      <c r="Q4326" s="752"/>
      <c r="R4326" s="752"/>
      <c r="S4326" s="752"/>
    </row>
    <row r="4327" spans="1:19" s="753" customFormat="1" ht="24" customHeight="1">
      <c r="A4327" s="734"/>
      <c r="B4327" s="747" t="s">
        <v>469</v>
      </c>
      <c r="C4327" s="735" t="s">
        <v>490</v>
      </c>
      <c r="D4327" s="735"/>
      <c r="E4327" s="737">
        <f t="shared" si="893"/>
        <v>4</v>
      </c>
      <c r="F4327" s="738" t="s">
        <v>363</v>
      </c>
      <c r="G4327" s="739">
        <v>736</v>
      </c>
      <c r="H4327" s="748">
        <f t="shared" si="895"/>
        <v>2944</v>
      </c>
      <c r="I4327" s="741">
        <v>0</v>
      </c>
      <c r="J4327" s="749">
        <f t="shared" si="892"/>
        <v>0</v>
      </c>
      <c r="K4327" s="739">
        <f t="shared" si="896"/>
        <v>2944</v>
      </c>
      <c r="L4327" s="1079"/>
      <c r="M4327" s="752"/>
      <c r="N4327" s="744">
        <f t="shared" si="894"/>
        <v>4</v>
      </c>
      <c r="O4327" s="745">
        <v>0</v>
      </c>
      <c r="P4327" s="737">
        <v>4</v>
      </c>
      <c r="Q4327" s="752"/>
      <c r="R4327" s="752"/>
      <c r="S4327" s="752"/>
    </row>
    <row r="4328" spans="1:19" s="753" customFormat="1" ht="24" customHeight="1">
      <c r="A4328" s="734"/>
      <c r="B4328" s="747" t="s">
        <v>469</v>
      </c>
      <c r="C4328" s="735" t="s">
        <v>478</v>
      </c>
      <c r="D4328" s="735"/>
      <c r="E4328" s="737">
        <f t="shared" si="893"/>
        <v>4</v>
      </c>
      <c r="F4328" s="738" t="s">
        <v>363</v>
      </c>
      <c r="G4328" s="739">
        <v>176</v>
      </c>
      <c r="H4328" s="748">
        <f t="shared" si="895"/>
        <v>704</v>
      </c>
      <c r="I4328" s="741">
        <v>0</v>
      </c>
      <c r="J4328" s="749">
        <f t="shared" si="892"/>
        <v>0</v>
      </c>
      <c r="K4328" s="739">
        <f t="shared" si="896"/>
        <v>704</v>
      </c>
      <c r="L4328" s="1079"/>
      <c r="M4328" s="752"/>
      <c r="N4328" s="744">
        <f t="shared" si="894"/>
        <v>4</v>
      </c>
      <c r="O4328" s="745">
        <v>0</v>
      </c>
      <c r="P4328" s="737">
        <v>4</v>
      </c>
      <c r="Q4328" s="752"/>
      <c r="R4328" s="752"/>
      <c r="S4328" s="752"/>
    </row>
    <row r="4329" spans="1:19" s="753" customFormat="1" ht="24" customHeight="1">
      <c r="A4329" s="734"/>
      <c r="B4329" s="747" t="s">
        <v>469</v>
      </c>
      <c r="C4329" s="735" t="s">
        <v>499</v>
      </c>
      <c r="D4329" s="735"/>
      <c r="E4329" s="737">
        <f t="shared" si="893"/>
        <v>4</v>
      </c>
      <c r="F4329" s="738" t="s">
        <v>363</v>
      </c>
      <c r="G4329" s="739">
        <v>216</v>
      </c>
      <c r="H4329" s="748">
        <f t="shared" si="895"/>
        <v>864</v>
      </c>
      <c r="I4329" s="741">
        <v>35</v>
      </c>
      <c r="J4329" s="749">
        <f t="shared" si="892"/>
        <v>140</v>
      </c>
      <c r="K4329" s="739">
        <f t="shared" si="896"/>
        <v>1004</v>
      </c>
      <c r="L4329" s="1079"/>
      <c r="M4329" s="752"/>
      <c r="N4329" s="744">
        <f t="shared" si="894"/>
        <v>4</v>
      </c>
      <c r="O4329" s="745">
        <v>0</v>
      </c>
      <c r="P4329" s="737">
        <v>4</v>
      </c>
      <c r="Q4329" s="752"/>
      <c r="R4329" s="752"/>
      <c r="S4329" s="752"/>
    </row>
    <row r="4330" spans="1:19" s="753" customFormat="1" ht="24" customHeight="1">
      <c r="A4330" s="734"/>
      <c r="B4330" s="750"/>
      <c r="C4330" s="736"/>
      <c r="D4330" s="907"/>
      <c r="E4330" s="737">
        <f t="shared" si="893"/>
        <v>0</v>
      </c>
      <c r="F4330" s="738"/>
      <c r="G4330" s="739">
        <v>0</v>
      </c>
      <c r="H4330" s="748">
        <f t="shared" si="895"/>
        <v>0</v>
      </c>
      <c r="I4330" s="741">
        <v>0</v>
      </c>
      <c r="J4330" s="749">
        <f t="shared" si="892"/>
        <v>0</v>
      </c>
      <c r="K4330" s="739">
        <f t="shared" si="896"/>
        <v>0</v>
      </c>
      <c r="L4330" s="1079"/>
      <c r="M4330" s="752"/>
      <c r="N4330" s="744">
        <f t="shared" si="894"/>
        <v>0</v>
      </c>
      <c r="O4330" s="745">
        <v>0</v>
      </c>
      <c r="P4330" s="737">
        <v>0</v>
      </c>
      <c r="Q4330" s="752"/>
      <c r="R4330" s="752"/>
      <c r="S4330" s="752"/>
    </row>
    <row r="4331" spans="1:19" s="753" customFormat="1" ht="24" customHeight="1">
      <c r="A4331" s="734"/>
      <c r="B4331" s="747" t="s">
        <v>469</v>
      </c>
      <c r="C4331" s="735" t="s">
        <v>492</v>
      </c>
      <c r="D4331" s="735"/>
      <c r="E4331" s="737">
        <f t="shared" si="893"/>
        <v>5</v>
      </c>
      <c r="F4331" s="738" t="s">
        <v>363</v>
      </c>
      <c r="G4331" s="739">
        <v>9375</v>
      </c>
      <c r="H4331" s="748">
        <f t="shared" si="895"/>
        <v>46875</v>
      </c>
      <c r="I4331" s="741">
        <v>450</v>
      </c>
      <c r="J4331" s="749">
        <f t="shared" si="892"/>
        <v>2250</v>
      </c>
      <c r="K4331" s="739">
        <f t="shared" si="896"/>
        <v>49125</v>
      </c>
      <c r="L4331" s="1079"/>
      <c r="M4331" s="752"/>
      <c r="N4331" s="744">
        <f t="shared" si="894"/>
        <v>5</v>
      </c>
      <c r="O4331" s="745">
        <v>0</v>
      </c>
      <c r="P4331" s="737">
        <v>5</v>
      </c>
      <c r="Q4331" s="752"/>
      <c r="R4331" s="752"/>
      <c r="S4331" s="752"/>
    </row>
    <row r="4332" spans="1:19" s="753" customFormat="1" ht="24" customHeight="1">
      <c r="A4332" s="734"/>
      <c r="B4332" s="747" t="s">
        <v>469</v>
      </c>
      <c r="C4332" s="735" t="s">
        <v>500</v>
      </c>
      <c r="D4332" s="735"/>
      <c r="E4332" s="737">
        <f t="shared" si="893"/>
        <v>5</v>
      </c>
      <c r="F4332" s="738" t="s">
        <v>363</v>
      </c>
      <c r="G4332" s="739">
        <v>12752</v>
      </c>
      <c r="H4332" s="748">
        <f t="shared" si="895"/>
        <v>63760</v>
      </c>
      <c r="I4332" s="741">
        <v>0</v>
      </c>
      <c r="J4332" s="749">
        <f t="shared" si="892"/>
        <v>0</v>
      </c>
      <c r="K4332" s="739">
        <f t="shared" si="896"/>
        <v>63760</v>
      </c>
      <c r="L4332" s="1079"/>
      <c r="M4332" s="752"/>
      <c r="N4332" s="744">
        <f t="shared" si="894"/>
        <v>5</v>
      </c>
      <c r="O4332" s="745">
        <v>0</v>
      </c>
      <c r="P4332" s="737">
        <v>5</v>
      </c>
      <c r="Q4332" s="752"/>
      <c r="R4332" s="752"/>
      <c r="S4332" s="752"/>
    </row>
    <row r="4333" spans="1:19" s="753" customFormat="1" ht="24" customHeight="1">
      <c r="A4333" s="734"/>
      <c r="B4333" s="747" t="s">
        <v>469</v>
      </c>
      <c r="C4333" s="735" t="s">
        <v>501</v>
      </c>
      <c r="D4333" s="735"/>
      <c r="E4333" s="737">
        <v>0</v>
      </c>
      <c r="F4333" s="738" t="s">
        <v>363</v>
      </c>
      <c r="G4333" s="739">
        <v>1950</v>
      </c>
      <c r="H4333" s="748">
        <f t="shared" si="895"/>
        <v>0</v>
      </c>
      <c r="I4333" s="741">
        <v>35</v>
      </c>
      <c r="J4333" s="749">
        <f t="shared" si="892"/>
        <v>0</v>
      </c>
      <c r="K4333" s="739">
        <f t="shared" si="896"/>
        <v>0</v>
      </c>
      <c r="L4333" s="1079"/>
      <c r="M4333" s="752"/>
      <c r="N4333" s="744">
        <f t="shared" si="894"/>
        <v>5</v>
      </c>
      <c r="O4333" s="745">
        <v>0</v>
      </c>
      <c r="P4333" s="737">
        <v>5</v>
      </c>
      <c r="Q4333" s="752"/>
      <c r="R4333" s="752"/>
      <c r="S4333" s="752"/>
    </row>
    <row r="4334" spans="1:19" s="753" customFormat="1" ht="24" customHeight="1">
      <c r="A4334" s="734"/>
      <c r="B4334" s="747" t="s">
        <v>469</v>
      </c>
      <c r="C4334" s="735" t="s">
        <v>502</v>
      </c>
      <c r="D4334" s="735"/>
      <c r="E4334" s="737">
        <f t="shared" si="893"/>
        <v>5</v>
      </c>
      <c r="F4334" s="738" t="s">
        <v>363</v>
      </c>
      <c r="G4334" s="739">
        <v>216</v>
      </c>
      <c r="H4334" s="748">
        <f t="shared" si="895"/>
        <v>1080</v>
      </c>
      <c r="I4334" s="741">
        <v>35</v>
      </c>
      <c r="J4334" s="749">
        <f t="shared" si="892"/>
        <v>175</v>
      </c>
      <c r="K4334" s="739">
        <f t="shared" si="896"/>
        <v>1255</v>
      </c>
      <c r="L4334" s="1079"/>
      <c r="M4334" s="752"/>
      <c r="N4334" s="744">
        <f t="shared" si="894"/>
        <v>5</v>
      </c>
      <c r="O4334" s="745">
        <v>0</v>
      </c>
      <c r="P4334" s="737">
        <v>5</v>
      </c>
      <c r="Q4334" s="752"/>
      <c r="R4334" s="752"/>
      <c r="S4334" s="752"/>
    </row>
    <row r="4335" spans="1:19" s="753" customFormat="1" ht="24" customHeight="1">
      <c r="A4335" s="734"/>
      <c r="B4335" s="747"/>
      <c r="C4335" s="735"/>
      <c r="D4335" s="907"/>
      <c r="E4335" s="737">
        <f t="shared" si="893"/>
        <v>0</v>
      </c>
      <c r="F4335" s="738"/>
      <c r="G4335" s="739">
        <v>0</v>
      </c>
      <c r="H4335" s="748">
        <f t="shared" si="895"/>
        <v>0</v>
      </c>
      <c r="I4335" s="741">
        <v>0</v>
      </c>
      <c r="J4335" s="749">
        <f t="shared" si="892"/>
        <v>0</v>
      </c>
      <c r="K4335" s="739">
        <f t="shared" si="896"/>
        <v>0</v>
      </c>
      <c r="L4335" s="1079"/>
      <c r="M4335" s="752"/>
      <c r="N4335" s="744">
        <f t="shared" si="894"/>
        <v>0</v>
      </c>
      <c r="O4335" s="745">
        <v>0</v>
      </c>
      <c r="P4335" s="737">
        <v>0</v>
      </c>
      <c r="Q4335" s="752"/>
      <c r="R4335" s="752"/>
      <c r="S4335" s="752"/>
    </row>
    <row r="4336" spans="1:19" s="753" customFormat="1" ht="24" customHeight="1">
      <c r="A4336" s="734"/>
      <c r="B4336" s="747" t="s">
        <v>469</v>
      </c>
      <c r="C4336" s="735" t="s">
        <v>503</v>
      </c>
      <c r="D4336" s="735"/>
      <c r="E4336" s="737">
        <f t="shared" si="893"/>
        <v>8</v>
      </c>
      <c r="F4336" s="738" t="s">
        <v>363</v>
      </c>
      <c r="G4336" s="739">
        <v>3920</v>
      </c>
      <c r="H4336" s="748">
        <f t="shared" si="895"/>
        <v>31360</v>
      </c>
      <c r="I4336" s="741">
        <v>450</v>
      </c>
      <c r="J4336" s="749">
        <f t="shared" si="892"/>
        <v>3600</v>
      </c>
      <c r="K4336" s="739">
        <f t="shared" si="896"/>
        <v>34960</v>
      </c>
      <c r="L4336" s="1079"/>
      <c r="M4336" s="752"/>
      <c r="N4336" s="744">
        <f t="shared" si="894"/>
        <v>8</v>
      </c>
      <c r="O4336" s="745">
        <v>0</v>
      </c>
      <c r="P4336" s="737">
        <v>8</v>
      </c>
      <c r="Q4336" s="752"/>
      <c r="R4336" s="752"/>
      <c r="S4336" s="752"/>
    </row>
    <row r="4337" spans="1:19" s="753" customFormat="1" ht="24" customHeight="1">
      <c r="A4337" s="734"/>
      <c r="B4337" s="747" t="s">
        <v>469</v>
      </c>
      <c r="C4337" s="735" t="s">
        <v>504</v>
      </c>
      <c r="D4337" s="735"/>
      <c r="E4337" s="737">
        <f t="shared" si="893"/>
        <v>8</v>
      </c>
      <c r="F4337" s="738" t="s">
        <v>363</v>
      </c>
      <c r="G4337" s="739">
        <v>12752</v>
      </c>
      <c r="H4337" s="748">
        <f t="shared" si="895"/>
        <v>102016</v>
      </c>
      <c r="I4337" s="741">
        <v>0</v>
      </c>
      <c r="J4337" s="749">
        <f t="shared" si="892"/>
        <v>0</v>
      </c>
      <c r="K4337" s="739">
        <f t="shared" si="896"/>
        <v>102016</v>
      </c>
      <c r="L4337" s="1079"/>
      <c r="M4337" s="752"/>
      <c r="N4337" s="744">
        <f t="shared" si="894"/>
        <v>8</v>
      </c>
      <c r="O4337" s="745">
        <v>0</v>
      </c>
      <c r="P4337" s="737">
        <v>8</v>
      </c>
      <c r="Q4337" s="752"/>
      <c r="R4337" s="752"/>
      <c r="S4337" s="752"/>
    </row>
    <row r="4338" spans="1:19" s="682" customFormat="1" ht="24" customHeight="1">
      <c r="A4338" s="734"/>
      <c r="B4338" s="747" t="s">
        <v>469</v>
      </c>
      <c r="C4338" s="735" t="s">
        <v>505</v>
      </c>
      <c r="D4338" s="735"/>
      <c r="E4338" s="737">
        <f t="shared" si="893"/>
        <v>6</v>
      </c>
      <c r="F4338" s="738" t="s">
        <v>363</v>
      </c>
      <c r="G4338" s="739">
        <v>2280</v>
      </c>
      <c r="H4338" s="748">
        <f t="shared" si="895"/>
        <v>13680</v>
      </c>
      <c r="I4338" s="741">
        <v>300</v>
      </c>
      <c r="J4338" s="749">
        <f t="shared" si="892"/>
        <v>1800</v>
      </c>
      <c r="K4338" s="739">
        <f t="shared" si="896"/>
        <v>15480</v>
      </c>
      <c r="L4338" s="1079"/>
      <c r="M4338" s="679"/>
      <c r="N4338" s="744">
        <f t="shared" si="894"/>
        <v>6</v>
      </c>
      <c r="O4338" s="745">
        <v>0</v>
      </c>
      <c r="P4338" s="737">
        <v>6</v>
      </c>
      <c r="Q4338" s="679"/>
      <c r="R4338" s="679"/>
      <c r="S4338" s="679"/>
    </row>
    <row r="4339" spans="1:19" s="682" customFormat="1" ht="24" customHeight="1">
      <c r="A4339" s="734"/>
      <c r="B4339" s="747" t="s">
        <v>469</v>
      </c>
      <c r="C4339" s="735" t="s">
        <v>506</v>
      </c>
      <c r="D4339" s="735"/>
      <c r="E4339" s="737">
        <f t="shared" si="893"/>
        <v>0</v>
      </c>
      <c r="F4339" s="738" t="s">
        <v>363</v>
      </c>
      <c r="G4339" s="739">
        <v>6592</v>
      </c>
      <c r="H4339" s="748">
        <f t="shared" si="895"/>
        <v>0</v>
      </c>
      <c r="I4339" s="741">
        <v>140</v>
      </c>
      <c r="J4339" s="749">
        <f t="shared" si="892"/>
        <v>0</v>
      </c>
      <c r="K4339" s="739">
        <f t="shared" si="896"/>
        <v>0</v>
      </c>
      <c r="L4339" s="1079"/>
      <c r="M4339" s="679"/>
      <c r="N4339" s="744">
        <f t="shared" si="894"/>
        <v>0</v>
      </c>
      <c r="O4339" s="745">
        <v>0</v>
      </c>
      <c r="P4339" s="737">
        <v>0</v>
      </c>
      <c r="Q4339" s="679"/>
      <c r="R4339" s="679"/>
      <c r="S4339" s="679"/>
    </row>
    <row r="4340" spans="1:19" s="753" customFormat="1" ht="24" customHeight="1">
      <c r="A4340" s="734"/>
      <c r="B4340" s="747" t="s">
        <v>484</v>
      </c>
      <c r="C4340" s="735" t="s">
        <v>485</v>
      </c>
      <c r="D4340" s="735"/>
      <c r="E4340" s="737">
        <f t="shared" si="893"/>
        <v>7</v>
      </c>
      <c r="F4340" s="738" t="s">
        <v>363</v>
      </c>
      <c r="G4340" s="739">
        <v>285</v>
      </c>
      <c r="H4340" s="748">
        <f t="shared" si="895"/>
        <v>1995</v>
      </c>
      <c r="I4340" s="741">
        <v>75</v>
      </c>
      <c r="J4340" s="749">
        <f t="shared" si="892"/>
        <v>525</v>
      </c>
      <c r="K4340" s="739">
        <f t="shared" si="896"/>
        <v>2520</v>
      </c>
      <c r="L4340" s="1093"/>
      <c r="M4340" s="752"/>
      <c r="N4340" s="744">
        <f t="shared" si="894"/>
        <v>7</v>
      </c>
      <c r="O4340" s="745">
        <v>0</v>
      </c>
      <c r="P4340" s="737">
        <v>7</v>
      </c>
      <c r="Q4340" s="752"/>
      <c r="R4340" s="752"/>
      <c r="S4340" s="752"/>
    </row>
    <row r="4341" spans="1:19" s="753" customFormat="1" ht="24" customHeight="1">
      <c r="A4341" s="734"/>
      <c r="B4341" s="747" t="s">
        <v>469</v>
      </c>
      <c r="C4341" s="735" t="s">
        <v>486</v>
      </c>
      <c r="D4341" s="735"/>
      <c r="E4341" s="737">
        <f t="shared" si="893"/>
        <v>1</v>
      </c>
      <c r="F4341" s="738" t="s">
        <v>363</v>
      </c>
      <c r="G4341" s="739">
        <v>552</v>
      </c>
      <c r="H4341" s="748">
        <f t="shared" si="895"/>
        <v>552</v>
      </c>
      <c r="I4341" s="741">
        <v>25</v>
      </c>
      <c r="J4341" s="749">
        <f t="shared" si="892"/>
        <v>25</v>
      </c>
      <c r="K4341" s="739">
        <f t="shared" si="896"/>
        <v>577</v>
      </c>
      <c r="L4341" s="1079"/>
      <c r="M4341" s="752"/>
      <c r="N4341" s="744">
        <f t="shared" si="894"/>
        <v>1</v>
      </c>
      <c r="O4341" s="745">
        <v>0</v>
      </c>
      <c r="P4341" s="737">
        <v>1</v>
      </c>
      <c r="Q4341" s="752"/>
      <c r="R4341" s="752"/>
      <c r="S4341" s="752"/>
    </row>
    <row r="4342" spans="1:19" s="753" customFormat="1" ht="24" customHeight="1">
      <c r="A4342" s="734"/>
      <c r="B4342" s="747" t="s">
        <v>469</v>
      </c>
      <c r="C4342" s="735" t="s">
        <v>507</v>
      </c>
      <c r="D4342" s="735"/>
      <c r="E4342" s="737">
        <f t="shared" si="893"/>
        <v>1</v>
      </c>
      <c r="F4342" s="738" t="s">
        <v>363</v>
      </c>
      <c r="G4342" s="739">
        <v>1650</v>
      </c>
      <c r="H4342" s="748">
        <f t="shared" si="895"/>
        <v>1650</v>
      </c>
      <c r="I4342" s="741">
        <v>70</v>
      </c>
      <c r="J4342" s="749">
        <f t="shared" si="892"/>
        <v>70</v>
      </c>
      <c r="K4342" s="739">
        <f t="shared" si="896"/>
        <v>1720</v>
      </c>
      <c r="L4342" s="1079"/>
      <c r="M4342" s="752"/>
      <c r="N4342" s="744">
        <f t="shared" si="894"/>
        <v>1</v>
      </c>
      <c r="O4342" s="745">
        <v>0</v>
      </c>
      <c r="P4342" s="737">
        <v>1</v>
      </c>
      <c r="Q4342" s="752"/>
      <c r="R4342" s="752"/>
      <c r="S4342" s="752"/>
    </row>
    <row r="4343" spans="1:19" s="753" customFormat="1" ht="24" customHeight="1">
      <c r="A4343" s="734"/>
      <c r="B4343" s="747" t="s">
        <v>469</v>
      </c>
      <c r="C4343" s="735" t="s">
        <v>508</v>
      </c>
      <c r="D4343" s="735"/>
      <c r="E4343" s="737">
        <f t="shared" si="893"/>
        <v>5</v>
      </c>
      <c r="F4343" s="738" t="s">
        <v>363</v>
      </c>
      <c r="G4343" s="739">
        <v>13500</v>
      </c>
      <c r="H4343" s="748">
        <f t="shared" si="895"/>
        <v>67500</v>
      </c>
      <c r="I4343" s="741">
        <v>750</v>
      </c>
      <c r="J4343" s="749">
        <f t="shared" si="892"/>
        <v>3750</v>
      </c>
      <c r="K4343" s="739">
        <f t="shared" si="896"/>
        <v>71250</v>
      </c>
      <c r="L4343" s="1079"/>
      <c r="M4343" s="752"/>
      <c r="N4343" s="744">
        <f t="shared" si="894"/>
        <v>5</v>
      </c>
      <c r="O4343" s="745">
        <v>0</v>
      </c>
      <c r="P4343" s="737">
        <v>5</v>
      </c>
      <c r="Q4343" s="752"/>
      <c r="R4343" s="752"/>
      <c r="S4343" s="752"/>
    </row>
    <row r="4344" spans="1:19" s="682" customFormat="1" ht="24" customHeight="1">
      <c r="A4344" s="734"/>
      <c r="B4344" s="747" t="s">
        <v>469</v>
      </c>
      <c r="C4344" s="735" t="s">
        <v>509</v>
      </c>
      <c r="D4344" s="735"/>
      <c r="E4344" s="737">
        <f t="shared" si="893"/>
        <v>1</v>
      </c>
      <c r="F4344" s="738" t="s">
        <v>363</v>
      </c>
      <c r="G4344" s="739">
        <v>14476</v>
      </c>
      <c r="H4344" s="748">
        <f t="shared" si="895"/>
        <v>14476</v>
      </c>
      <c r="I4344" s="741">
        <v>5367</v>
      </c>
      <c r="J4344" s="749">
        <f t="shared" si="892"/>
        <v>5367</v>
      </c>
      <c r="K4344" s="739">
        <f t="shared" si="896"/>
        <v>19843</v>
      </c>
      <c r="L4344" s="1079"/>
      <c r="M4344" s="679"/>
      <c r="N4344" s="744">
        <f t="shared" si="894"/>
        <v>1</v>
      </c>
      <c r="O4344" s="745">
        <v>0</v>
      </c>
      <c r="P4344" s="737">
        <v>1</v>
      </c>
      <c r="Q4344" s="679"/>
      <c r="R4344" s="679"/>
      <c r="S4344" s="679"/>
    </row>
    <row r="4345" spans="1:19" s="753" customFormat="1" ht="24" customHeight="1">
      <c r="A4345" s="734"/>
      <c r="B4345" s="747" t="s">
        <v>469</v>
      </c>
      <c r="C4345" s="735" t="s">
        <v>510</v>
      </c>
      <c r="D4345" s="735"/>
      <c r="E4345" s="737">
        <f t="shared" si="893"/>
        <v>4.1500000000000004</v>
      </c>
      <c r="F4345" s="738" t="s">
        <v>361</v>
      </c>
      <c r="G4345" s="739">
        <v>2694</v>
      </c>
      <c r="H4345" s="748">
        <f t="shared" si="895"/>
        <v>11180.1</v>
      </c>
      <c r="I4345" s="741">
        <v>1288</v>
      </c>
      <c r="J4345" s="749">
        <f t="shared" si="892"/>
        <v>5345.2000000000007</v>
      </c>
      <c r="K4345" s="739">
        <f t="shared" si="896"/>
        <v>16525.300000000003</v>
      </c>
      <c r="L4345" s="1079"/>
      <c r="M4345" s="752"/>
      <c r="N4345" s="744">
        <f t="shared" si="894"/>
        <v>4.1500000000000004</v>
      </c>
      <c r="O4345" s="745">
        <v>0</v>
      </c>
      <c r="P4345" s="737">
        <v>4.1500000000000004</v>
      </c>
      <c r="Q4345" s="752"/>
      <c r="R4345" s="752"/>
      <c r="S4345" s="752"/>
    </row>
    <row r="4346" spans="1:19" s="753" customFormat="1" ht="24" customHeight="1">
      <c r="A4346" s="734"/>
      <c r="B4346" s="747"/>
      <c r="C4346" s="735" t="s">
        <v>511</v>
      </c>
      <c r="D4346" s="735"/>
      <c r="E4346" s="737">
        <f t="shared" si="893"/>
        <v>0</v>
      </c>
      <c r="F4346" s="738"/>
      <c r="G4346" s="739"/>
      <c r="H4346" s="748">
        <f t="shared" si="895"/>
        <v>0</v>
      </c>
      <c r="I4346" s="741"/>
      <c r="J4346" s="749">
        <f t="shared" si="892"/>
        <v>0</v>
      </c>
      <c r="K4346" s="739">
        <f t="shared" si="896"/>
        <v>0</v>
      </c>
      <c r="L4346" s="1079"/>
      <c r="M4346" s="752"/>
      <c r="N4346" s="744">
        <f t="shared" si="894"/>
        <v>0</v>
      </c>
      <c r="O4346" s="745">
        <v>0</v>
      </c>
      <c r="P4346" s="737">
        <v>0</v>
      </c>
      <c r="Q4346" s="752"/>
      <c r="R4346" s="752"/>
      <c r="S4346" s="752"/>
    </row>
    <row r="4347" spans="1:19" s="753" customFormat="1" ht="24" customHeight="1">
      <c r="A4347" s="734"/>
      <c r="B4347" s="747" t="s">
        <v>469</v>
      </c>
      <c r="C4347" s="735" t="s">
        <v>512</v>
      </c>
      <c r="D4347" s="735"/>
      <c r="E4347" s="737">
        <f t="shared" si="893"/>
        <v>4.1500000000000004</v>
      </c>
      <c r="F4347" s="738" t="s">
        <v>361</v>
      </c>
      <c r="G4347" s="739">
        <v>3886</v>
      </c>
      <c r="H4347" s="748">
        <f t="shared" si="895"/>
        <v>16126.900000000001</v>
      </c>
      <c r="I4347" s="741">
        <v>1238</v>
      </c>
      <c r="J4347" s="749">
        <f t="shared" si="892"/>
        <v>5137.7000000000007</v>
      </c>
      <c r="K4347" s="739">
        <f t="shared" si="896"/>
        <v>21264.600000000002</v>
      </c>
      <c r="L4347" s="1079"/>
      <c r="M4347" s="752"/>
      <c r="N4347" s="744">
        <f t="shared" si="894"/>
        <v>4.1500000000000004</v>
      </c>
      <c r="O4347" s="745">
        <v>0</v>
      </c>
      <c r="P4347" s="737">
        <v>4.1500000000000004</v>
      </c>
      <c r="Q4347" s="752"/>
      <c r="R4347" s="752"/>
      <c r="S4347" s="752"/>
    </row>
    <row r="4348" spans="1:19" s="753" customFormat="1" ht="24" customHeight="1">
      <c r="A4348" s="734"/>
      <c r="B4348" s="747"/>
      <c r="C4348" s="735" t="s">
        <v>513</v>
      </c>
      <c r="D4348" s="735"/>
      <c r="E4348" s="737">
        <f t="shared" si="893"/>
        <v>0</v>
      </c>
      <c r="F4348" s="738"/>
      <c r="G4348" s="739">
        <v>0</v>
      </c>
      <c r="H4348" s="748">
        <f t="shared" si="895"/>
        <v>0</v>
      </c>
      <c r="I4348" s="741">
        <v>0</v>
      </c>
      <c r="J4348" s="749">
        <f t="shared" si="892"/>
        <v>0</v>
      </c>
      <c r="K4348" s="739">
        <f t="shared" si="896"/>
        <v>0</v>
      </c>
      <c r="L4348" s="1079"/>
      <c r="M4348" s="752"/>
      <c r="N4348" s="744">
        <f t="shared" si="894"/>
        <v>0</v>
      </c>
      <c r="O4348" s="745">
        <v>0</v>
      </c>
      <c r="P4348" s="737">
        <v>0</v>
      </c>
      <c r="Q4348" s="752"/>
      <c r="R4348" s="752"/>
      <c r="S4348" s="752"/>
    </row>
    <row r="4349" spans="1:19" s="753" customFormat="1" ht="24" customHeight="1">
      <c r="A4349" s="734"/>
      <c r="B4349" s="747" t="s">
        <v>469</v>
      </c>
      <c r="C4349" s="735" t="s">
        <v>514</v>
      </c>
      <c r="D4349" s="735"/>
      <c r="E4349" s="737">
        <f t="shared" si="893"/>
        <v>4.1500000000000004</v>
      </c>
      <c r="F4349" s="738" t="s">
        <v>361</v>
      </c>
      <c r="G4349" s="739">
        <v>1522</v>
      </c>
      <c r="H4349" s="748">
        <f t="shared" si="895"/>
        <v>6316.3</v>
      </c>
      <c r="I4349" s="741">
        <v>315</v>
      </c>
      <c r="J4349" s="749">
        <f t="shared" si="892"/>
        <v>1307.25</v>
      </c>
      <c r="K4349" s="739">
        <f t="shared" si="896"/>
        <v>7623.55</v>
      </c>
      <c r="L4349" s="1079"/>
      <c r="M4349" s="752"/>
      <c r="N4349" s="744">
        <f t="shared" si="894"/>
        <v>4.1500000000000004</v>
      </c>
      <c r="O4349" s="745">
        <v>0</v>
      </c>
      <c r="P4349" s="737">
        <v>4.1500000000000004</v>
      </c>
      <c r="Q4349" s="752"/>
      <c r="R4349" s="752"/>
      <c r="S4349" s="752"/>
    </row>
    <row r="4350" spans="1:19" s="753" customFormat="1" ht="24" customHeight="1">
      <c r="A4350" s="734"/>
      <c r="B4350" s="747"/>
      <c r="C4350" s="735"/>
      <c r="D4350" s="735"/>
      <c r="E4350" s="737">
        <f t="shared" si="893"/>
        <v>0</v>
      </c>
      <c r="F4350" s="738"/>
      <c r="G4350" s="739">
        <v>0</v>
      </c>
      <c r="H4350" s="748">
        <f t="shared" si="895"/>
        <v>0</v>
      </c>
      <c r="I4350" s="741">
        <v>0</v>
      </c>
      <c r="J4350" s="749">
        <f t="shared" ref="J4350:J4418" si="897">SUM(E4350*I4350)</f>
        <v>0</v>
      </c>
      <c r="K4350" s="739">
        <f t="shared" si="896"/>
        <v>0</v>
      </c>
      <c r="L4350" s="1079"/>
      <c r="M4350" s="752"/>
      <c r="N4350" s="744">
        <f t="shared" si="894"/>
        <v>0</v>
      </c>
      <c r="O4350" s="745">
        <v>0</v>
      </c>
      <c r="P4350" s="737">
        <v>0</v>
      </c>
      <c r="Q4350" s="752"/>
      <c r="R4350" s="752"/>
      <c r="S4350" s="752"/>
    </row>
    <row r="4351" spans="1:19" s="682" customFormat="1" ht="24" customHeight="1">
      <c r="A4351" s="734"/>
      <c r="B4351" s="747" t="s">
        <v>469</v>
      </c>
      <c r="C4351" s="735" t="s">
        <v>515</v>
      </c>
      <c r="D4351" s="735"/>
      <c r="E4351" s="737">
        <f t="shared" si="893"/>
        <v>1</v>
      </c>
      <c r="F4351" s="738" t="s">
        <v>363</v>
      </c>
      <c r="G4351" s="739">
        <v>5013</v>
      </c>
      <c r="H4351" s="748">
        <f t="shared" si="895"/>
        <v>5013</v>
      </c>
      <c r="I4351" s="741">
        <v>2403</v>
      </c>
      <c r="J4351" s="749">
        <f t="shared" si="897"/>
        <v>2403</v>
      </c>
      <c r="K4351" s="739">
        <f t="shared" si="896"/>
        <v>7416</v>
      </c>
      <c r="L4351" s="1079"/>
      <c r="M4351" s="679"/>
      <c r="N4351" s="744">
        <f t="shared" si="894"/>
        <v>1</v>
      </c>
      <c r="O4351" s="745">
        <v>0</v>
      </c>
      <c r="P4351" s="737">
        <v>1</v>
      </c>
      <c r="Q4351" s="679"/>
      <c r="R4351" s="679"/>
      <c r="S4351" s="679"/>
    </row>
    <row r="4352" spans="1:19" s="682" customFormat="1" ht="24" customHeight="1">
      <c r="A4352" s="734"/>
      <c r="B4352" s="747"/>
      <c r="C4352" s="735" t="s">
        <v>516</v>
      </c>
      <c r="D4352" s="735"/>
      <c r="E4352" s="737">
        <f t="shared" si="893"/>
        <v>0</v>
      </c>
      <c r="F4352" s="738"/>
      <c r="G4352" s="739"/>
      <c r="H4352" s="748">
        <f t="shared" si="895"/>
        <v>0</v>
      </c>
      <c r="I4352" s="741"/>
      <c r="J4352" s="749">
        <f t="shared" si="897"/>
        <v>0</v>
      </c>
      <c r="K4352" s="739">
        <f t="shared" si="896"/>
        <v>0</v>
      </c>
      <c r="L4352" s="1079"/>
      <c r="M4352" s="679"/>
      <c r="N4352" s="744">
        <f t="shared" si="894"/>
        <v>0</v>
      </c>
      <c r="O4352" s="745">
        <v>0</v>
      </c>
      <c r="P4352" s="737">
        <v>0</v>
      </c>
      <c r="Q4352" s="679"/>
      <c r="R4352" s="679"/>
      <c r="S4352" s="679"/>
    </row>
    <row r="4353" spans="1:19" s="682" customFormat="1" ht="24" customHeight="1">
      <c r="A4353" s="734"/>
      <c r="B4353" s="747"/>
      <c r="C4353" s="735"/>
      <c r="D4353" s="735"/>
      <c r="E4353" s="737">
        <f t="shared" ref="E4353:E4421" si="898">+N4353</f>
        <v>0</v>
      </c>
      <c r="F4353" s="738"/>
      <c r="G4353" s="739"/>
      <c r="H4353" s="748">
        <f t="shared" si="895"/>
        <v>0</v>
      </c>
      <c r="I4353" s="741"/>
      <c r="J4353" s="749">
        <f t="shared" si="897"/>
        <v>0</v>
      </c>
      <c r="K4353" s="739">
        <f t="shared" si="896"/>
        <v>0</v>
      </c>
      <c r="L4353" s="1079"/>
      <c r="M4353" s="679"/>
      <c r="N4353" s="744">
        <f t="shared" si="894"/>
        <v>0</v>
      </c>
      <c r="O4353" s="745">
        <v>0</v>
      </c>
      <c r="P4353" s="737">
        <v>0</v>
      </c>
      <c r="Q4353" s="679"/>
      <c r="R4353" s="679"/>
      <c r="S4353" s="679"/>
    </row>
    <row r="4354" spans="1:19" s="756" customFormat="1" ht="24" customHeight="1">
      <c r="A4354" s="734"/>
      <c r="B4354" s="747" t="s">
        <v>469</v>
      </c>
      <c r="C4354" s="735" t="s">
        <v>517</v>
      </c>
      <c r="D4354" s="907"/>
      <c r="E4354" s="737">
        <f t="shared" si="898"/>
        <v>0</v>
      </c>
      <c r="F4354" s="738" t="s">
        <v>361</v>
      </c>
      <c r="G4354" s="739">
        <v>5075.5555555555557</v>
      </c>
      <c r="H4354" s="748">
        <f t="shared" si="895"/>
        <v>0</v>
      </c>
      <c r="I4354" s="741">
        <v>2545.7777777777778</v>
      </c>
      <c r="J4354" s="749">
        <f t="shared" si="897"/>
        <v>0</v>
      </c>
      <c r="K4354" s="739">
        <f t="shared" si="896"/>
        <v>0</v>
      </c>
      <c r="L4354" s="1079"/>
      <c r="M4354" s="755"/>
      <c r="N4354" s="744">
        <f t="shared" si="894"/>
        <v>0</v>
      </c>
      <c r="O4354" s="745">
        <v>0</v>
      </c>
      <c r="P4354" s="737">
        <v>0</v>
      </c>
      <c r="Q4354" s="755"/>
      <c r="R4354" s="755"/>
      <c r="S4354" s="755"/>
    </row>
    <row r="4355" spans="1:19" s="756" customFormat="1" ht="24" customHeight="1">
      <c r="A4355" s="734"/>
      <c r="B4355" s="747"/>
      <c r="C4355" s="735" t="s">
        <v>488</v>
      </c>
      <c r="D4355" s="907"/>
      <c r="E4355" s="737">
        <f t="shared" si="898"/>
        <v>0</v>
      </c>
      <c r="F4355" s="738"/>
      <c r="G4355" s="739">
        <v>0</v>
      </c>
      <c r="H4355" s="748">
        <f t="shared" si="895"/>
        <v>0</v>
      </c>
      <c r="I4355" s="741">
        <v>0</v>
      </c>
      <c r="J4355" s="749">
        <f t="shared" si="897"/>
        <v>0</v>
      </c>
      <c r="K4355" s="739">
        <f t="shared" si="896"/>
        <v>0</v>
      </c>
      <c r="L4355" s="1079"/>
      <c r="M4355" s="755"/>
      <c r="N4355" s="744">
        <f t="shared" si="894"/>
        <v>0</v>
      </c>
      <c r="O4355" s="745">
        <v>0</v>
      </c>
      <c r="P4355" s="737">
        <v>0</v>
      </c>
      <c r="Q4355" s="755"/>
      <c r="R4355" s="755"/>
      <c r="S4355" s="755"/>
    </row>
    <row r="4356" spans="1:19" s="756" customFormat="1" ht="24" customHeight="1">
      <c r="A4356" s="734"/>
      <c r="B4356" s="747"/>
      <c r="C4356" s="735"/>
      <c r="D4356" s="907"/>
      <c r="E4356" s="737"/>
      <c r="F4356" s="738"/>
      <c r="G4356" s="739"/>
      <c r="H4356" s="748"/>
      <c r="I4356" s="741"/>
      <c r="J4356" s="749"/>
      <c r="K4356" s="739"/>
      <c r="L4356" s="1079"/>
      <c r="M4356" s="755"/>
      <c r="N4356" s="744"/>
      <c r="O4356" s="745"/>
      <c r="P4356" s="737"/>
      <c r="Q4356" s="755"/>
      <c r="R4356" s="755"/>
      <c r="S4356" s="755"/>
    </row>
    <row r="4357" spans="1:19" s="753" customFormat="1" ht="24" customHeight="1">
      <c r="A4357" s="734"/>
      <c r="B4357" s="747" t="s">
        <v>469</v>
      </c>
      <c r="C4357" s="735" t="s">
        <v>518</v>
      </c>
      <c r="D4357" s="735"/>
      <c r="E4357" s="737">
        <f t="shared" si="898"/>
        <v>0</v>
      </c>
      <c r="F4357" s="738" t="s">
        <v>361</v>
      </c>
      <c r="G4357" s="739">
        <v>3886</v>
      </c>
      <c r="H4357" s="748">
        <f t="shared" si="895"/>
        <v>0</v>
      </c>
      <c r="I4357" s="741">
        <v>1238</v>
      </c>
      <c r="J4357" s="749">
        <f t="shared" si="897"/>
        <v>0</v>
      </c>
      <c r="K4357" s="739">
        <f t="shared" si="896"/>
        <v>0</v>
      </c>
      <c r="L4357" s="1079"/>
      <c r="M4357" s="752"/>
      <c r="N4357" s="744">
        <f t="shared" si="894"/>
        <v>0</v>
      </c>
      <c r="O4357" s="745">
        <v>0</v>
      </c>
      <c r="P4357" s="737">
        <v>0</v>
      </c>
      <c r="Q4357" s="752"/>
      <c r="R4357" s="752"/>
      <c r="S4357" s="752"/>
    </row>
    <row r="4358" spans="1:19" s="753" customFormat="1" ht="24" customHeight="1">
      <c r="A4358" s="734"/>
      <c r="B4358" s="747"/>
      <c r="C4358" s="735" t="s">
        <v>513</v>
      </c>
      <c r="D4358" s="735"/>
      <c r="E4358" s="737">
        <f t="shared" si="898"/>
        <v>0</v>
      </c>
      <c r="F4358" s="738"/>
      <c r="G4358" s="739">
        <v>0</v>
      </c>
      <c r="H4358" s="748">
        <f t="shared" si="895"/>
        <v>0</v>
      </c>
      <c r="I4358" s="741">
        <v>0</v>
      </c>
      <c r="J4358" s="749">
        <f t="shared" si="897"/>
        <v>0</v>
      </c>
      <c r="K4358" s="739">
        <f t="shared" si="896"/>
        <v>0</v>
      </c>
      <c r="L4358" s="1079"/>
      <c r="M4358" s="752"/>
      <c r="N4358" s="744">
        <f t="shared" si="894"/>
        <v>0</v>
      </c>
      <c r="O4358" s="745">
        <v>0</v>
      </c>
      <c r="P4358" s="737">
        <v>0</v>
      </c>
      <c r="Q4358" s="752"/>
      <c r="R4358" s="752"/>
      <c r="S4358" s="752"/>
    </row>
    <row r="4359" spans="1:19" s="682" customFormat="1" ht="24" customHeight="1">
      <c r="A4359" s="734"/>
      <c r="B4359" s="747" t="s">
        <v>469</v>
      </c>
      <c r="C4359" s="735" t="s">
        <v>519</v>
      </c>
      <c r="D4359" s="735"/>
      <c r="E4359" s="737">
        <f t="shared" si="898"/>
        <v>1</v>
      </c>
      <c r="F4359" s="738" t="s">
        <v>363</v>
      </c>
      <c r="G4359" s="739">
        <v>800</v>
      </c>
      <c r="H4359" s="748">
        <f t="shared" si="895"/>
        <v>800</v>
      </c>
      <c r="I4359" s="741">
        <v>70</v>
      </c>
      <c r="J4359" s="749">
        <f t="shared" si="897"/>
        <v>70</v>
      </c>
      <c r="K4359" s="739">
        <f t="shared" si="896"/>
        <v>870</v>
      </c>
      <c r="L4359" s="1079"/>
      <c r="M4359" s="679"/>
      <c r="N4359" s="744">
        <f t="shared" si="894"/>
        <v>1</v>
      </c>
      <c r="O4359" s="745">
        <v>0</v>
      </c>
      <c r="P4359" s="737">
        <v>1</v>
      </c>
      <c r="Q4359" s="679"/>
      <c r="R4359" s="679"/>
      <c r="S4359" s="679"/>
    </row>
    <row r="4360" spans="1:19" s="682" customFormat="1" ht="24" customHeight="1">
      <c r="A4360" s="734"/>
      <c r="B4360" s="747" t="s">
        <v>469</v>
      </c>
      <c r="C4360" s="735" t="s">
        <v>520</v>
      </c>
      <c r="D4360" s="735"/>
      <c r="E4360" s="737">
        <f t="shared" si="898"/>
        <v>0</v>
      </c>
      <c r="F4360" s="738" t="s">
        <v>361</v>
      </c>
      <c r="G4360" s="739">
        <v>190</v>
      </c>
      <c r="H4360" s="748">
        <f t="shared" si="895"/>
        <v>0</v>
      </c>
      <c r="I4360" s="741">
        <v>75</v>
      </c>
      <c r="J4360" s="749">
        <f t="shared" si="897"/>
        <v>0</v>
      </c>
      <c r="K4360" s="739">
        <f t="shared" si="896"/>
        <v>0</v>
      </c>
      <c r="L4360" s="1079"/>
      <c r="M4360" s="679"/>
      <c r="N4360" s="744">
        <f t="shared" si="894"/>
        <v>0</v>
      </c>
      <c r="O4360" s="745">
        <v>0</v>
      </c>
      <c r="P4360" s="737">
        <v>0</v>
      </c>
      <c r="Q4360" s="679"/>
      <c r="R4360" s="679"/>
      <c r="S4360" s="679"/>
    </row>
    <row r="4361" spans="1:19" s="682" customFormat="1" ht="24" customHeight="1">
      <c r="A4361" s="734"/>
      <c r="B4361" s="747"/>
      <c r="C4361" s="735"/>
      <c r="D4361" s="735"/>
      <c r="E4361" s="737">
        <f t="shared" si="898"/>
        <v>0</v>
      </c>
      <c r="F4361" s="738"/>
      <c r="G4361" s="739"/>
      <c r="H4361" s="748">
        <f t="shared" si="895"/>
        <v>0</v>
      </c>
      <c r="I4361" s="741"/>
      <c r="J4361" s="749">
        <f t="shared" si="897"/>
        <v>0</v>
      </c>
      <c r="K4361" s="739">
        <f t="shared" si="896"/>
        <v>0</v>
      </c>
      <c r="L4361" s="1079"/>
      <c r="M4361" s="679"/>
      <c r="N4361" s="744">
        <f t="shared" ref="N4361:N4428" si="899">+(1+O4361)*P4361</f>
        <v>0</v>
      </c>
      <c r="O4361" s="745">
        <v>0</v>
      </c>
      <c r="P4361" s="737">
        <v>0</v>
      </c>
      <c r="Q4361" s="679"/>
      <c r="R4361" s="679"/>
      <c r="S4361" s="679"/>
    </row>
    <row r="4362" spans="1:19" s="753" customFormat="1" ht="24" customHeight="1">
      <c r="A4362" s="734"/>
      <c r="B4362" s="735" t="s">
        <v>1077</v>
      </c>
      <c r="C4362" s="735"/>
      <c r="D4362" s="907"/>
      <c r="E4362" s="737">
        <f t="shared" si="898"/>
        <v>0</v>
      </c>
      <c r="F4362" s="738"/>
      <c r="G4362" s="739">
        <v>0</v>
      </c>
      <c r="H4362" s="748">
        <f t="shared" si="895"/>
        <v>0</v>
      </c>
      <c r="I4362" s="741">
        <v>0</v>
      </c>
      <c r="J4362" s="749">
        <f t="shared" si="897"/>
        <v>0</v>
      </c>
      <c r="K4362" s="739">
        <f t="shared" si="896"/>
        <v>0</v>
      </c>
      <c r="L4362" s="1079"/>
      <c r="M4362" s="752"/>
      <c r="N4362" s="744">
        <f t="shared" si="899"/>
        <v>0</v>
      </c>
      <c r="O4362" s="745">
        <v>0</v>
      </c>
      <c r="P4362" s="737">
        <v>0</v>
      </c>
      <c r="Q4362" s="752"/>
      <c r="R4362" s="752"/>
      <c r="S4362" s="752"/>
    </row>
    <row r="4363" spans="1:19" s="753" customFormat="1" ht="24" customHeight="1">
      <c r="A4363" s="734"/>
      <c r="B4363" s="747" t="s">
        <v>469</v>
      </c>
      <c r="C4363" s="735" t="s">
        <v>497</v>
      </c>
      <c r="D4363" s="735"/>
      <c r="E4363" s="737">
        <f t="shared" si="898"/>
        <v>6</v>
      </c>
      <c r="F4363" s="738" t="s">
        <v>363</v>
      </c>
      <c r="G4363" s="739">
        <v>1540</v>
      </c>
      <c r="H4363" s="748">
        <f t="shared" si="895"/>
        <v>9240</v>
      </c>
      <c r="I4363" s="741">
        <v>450</v>
      </c>
      <c r="J4363" s="749">
        <f t="shared" si="897"/>
        <v>2700</v>
      </c>
      <c r="K4363" s="739">
        <f t="shared" si="896"/>
        <v>11940</v>
      </c>
      <c r="L4363" s="1079"/>
      <c r="M4363" s="752"/>
      <c r="N4363" s="744">
        <f t="shared" si="899"/>
        <v>6</v>
      </c>
      <c r="O4363" s="745">
        <v>0</v>
      </c>
      <c r="P4363" s="737">
        <v>6</v>
      </c>
      <c r="Q4363" s="752"/>
      <c r="R4363" s="752"/>
      <c r="S4363" s="752"/>
    </row>
    <row r="4364" spans="1:19" s="753" customFormat="1" ht="24" customHeight="1">
      <c r="A4364" s="734"/>
      <c r="B4364" s="747" t="s">
        <v>469</v>
      </c>
      <c r="C4364" s="735" t="s">
        <v>498</v>
      </c>
      <c r="D4364" s="735"/>
      <c r="E4364" s="737">
        <f t="shared" si="898"/>
        <v>6</v>
      </c>
      <c r="F4364" s="738" t="s">
        <v>363</v>
      </c>
      <c r="G4364" s="739">
        <v>6640</v>
      </c>
      <c r="H4364" s="748">
        <f t="shared" si="895"/>
        <v>39840</v>
      </c>
      <c r="I4364" s="741">
        <v>200</v>
      </c>
      <c r="J4364" s="749">
        <f t="shared" si="897"/>
        <v>1200</v>
      </c>
      <c r="K4364" s="739">
        <f t="shared" si="896"/>
        <v>41040</v>
      </c>
      <c r="L4364" s="1079"/>
      <c r="M4364" s="752"/>
      <c r="N4364" s="744">
        <f t="shared" si="899"/>
        <v>6</v>
      </c>
      <c r="O4364" s="745">
        <v>0</v>
      </c>
      <c r="P4364" s="737">
        <v>6</v>
      </c>
      <c r="Q4364" s="752"/>
      <c r="R4364" s="752"/>
      <c r="S4364" s="752"/>
    </row>
    <row r="4365" spans="1:19" s="753" customFormat="1" ht="24" customHeight="1">
      <c r="A4365" s="734"/>
      <c r="B4365" s="747" t="s">
        <v>469</v>
      </c>
      <c r="C4365" s="735" t="s">
        <v>476</v>
      </c>
      <c r="D4365" s="735"/>
      <c r="E4365" s="737">
        <f t="shared" si="898"/>
        <v>6</v>
      </c>
      <c r="F4365" s="738" t="s">
        <v>363</v>
      </c>
      <c r="G4365" s="739">
        <v>336</v>
      </c>
      <c r="H4365" s="748">
        <f t="shared" si="895"/>
        <v>2016</v>
      </c>
      <c r="I4365" s="741">
        <v>0</v>
      </c>
      <c r="J4365" s="749">
        <f t="shared" si="897"/>
        <v>0</v>
      </c>
      <c r="K4365" s="739">
        <f t="shared" si="896"/>
        <v>2016</v>
      </c>
      <c r="L4365" s="1079"/>
      <c r="M4365" s="752"/>
      <c r="N4365" s="744">
        <f t="shared" si="899"/>
        <v>6</v>
      </c>
      <c r="O4365" s="745">
        <v>0</v>
      </c>
      <c r="P4365" s="737">
        <v>6</v>
      </c>
      <c r="Q4365" s="752"/>
      <c r="R4365" s="752"/>
      <c r="S4365" s="752"/>
    </row>
    <row r="4366" spans="1:19" s="753" customFormat="1" ht="24" customHeight="1">
      <c r="A4366" s="734"/>
      <c r="B4366" s="747" t="s">
        <v>469</v>
      </c>
      <c r="C4366" s="735" t="s">
        <v>477</v>
      </c>
      <c r="D4366" s="735"/>
      <c r="E4366" s="737">
        <f t="shared" si="898"/>
        <v>6</v>
      </c>
      <c r="F4366" s="738" t="s">
        <v>363</v>
      </c>
      <c r="G4366" s="739">
        <v>736</v>
      </c>
      <c r="H4366" s="748">
        <f t="shared" si="895"/>
        <v>4416</v>
      </c>
      <c r="I4366" s="741">
        <v>0</v>
      </c>
      <c r="J4366" s="749">
        <f t="shared" si="897"/>
        <v>0</v>
      </c>
      <c r="K4366" s="739">
        <f t="shared" si="896"/>
        <v>4416</v>
      </c>
      <c r="L4366" s="1079"/>
      <c r="M4366" s="752"/>
      <c r="N4366" s="744">
        <f t="shared" si="899"/>
        <v>6</v>
      </c>
      <c r="O4366" s="745">
        <v>0</v>
      </c>
      <c r="P4366" s="737">
        <v>6</v>
      </c>
      <c r="Q4366" s="752"/>
      <c r="R4366" s="752"/>
      <c r="S4366" s="752"/>
    </row>
    <row r="4367" spans="1:19" s="753" customFormat="1" ht="24" customHeight="1">
      <c r="A4367" s="734"/>
      <c r="B4367" s="747" t="s">
        <v>469</v>
      </c>
      <c r="C4367" s="735" t="s">
        <v>478</v>
      </c>
      <c r="D4367" s="735"/>
      <c r="E4367" s="737">
        <f t="shared" si="898"/>
        <v>6</v>
      </c>
      <c r="F4367" s="738" t="s">
        <v>363</v>
      </c>
      <c r="G4367" s="739">
        <v>176</v>
      </c>
      <c r="H4367" s="748">
        <f t="shared" si="895"/>
        <v>1056</v>
      </c>
      <c r="I4367" s="741">
        <v>0</v>
      </c>
      <c r="J4367" s="749">
        <f t="shared" si="897"/>
        <v>0</v>
      </c>
      <c r="K4367" s="739">
        <f t="shared" si="896"/>
        <v>1056</v>
      </c>
      <c r="L4367" s="1079"/>
      <c r="M4367" s="752"/>
      <c r="N4367" s="744">
        <f t="shared" si="899"/>
        <v>6</v>
      </c>
      <c r="O4367" s="745">
        <v>0</v>
      </c>
      <c r="P4367" s="737">
        <v>6</v>
      </c>
      <c r="Q4367" s="752"/>
      <c r="R4367" s="752"/>
      <c r="S4367" s="752"/>
    </row>
    <row r="4368" spans="1:19" s="753" customFormat="1" ht="24" customHeight="1">
      <c r="A4368" s="734"/>
      <c r="B4368" s="747" t="s">
        <v>469</v>
      </c>
      <c r="C4368" s="735" t="s">
        <v>499</v>
      </c>
      <c r="D4368" s="735"/>
      <c r="E4368" s="737">
        <f t="shared" si="898"/>
        <v>6</v>
      </c>
      <c r="F4368" s="738" t="s">
        <v>363</v>
      </c>
      <c r="G4368" s="739">
        <v>216</v>
      </c>
      <c r="H4368" s="748">
        <f t="shared" si="895"/>
        <v>1296</v>
      </c>
      <c r="I4368" s="741">
        <v>35</v>
      </c>
      <c r="J4368" s="749">
        <f t="shared" si="897"/>
        <v>210</v>
      </c>
      <c r="K4368" s="739">
        <f t="shared" si="896"/>
        <v>1506</v>
      </c>
      <c r="L4368" s="1079"/>
      <c r="M4368" s="752"/>
      <c r="N4368" s="744">
        <f t="shared" si="899"/>
        <v>6</v>
      </c>
      <c r="O4368" s="745">
        <v>0</v>
      </c>
      <c r="P4368" s="737">
        <v>6</v>
      </c>
      <c r="Q4368" s="752"/>
      <c r="R4368" s="752"/>
      <c r="S4368" s="752"/>
    </row>
    <row r="4369" spans="1:19" s="753" customFormat="1" ht="24" customHeight="1">
      <c r="A4369" s="734"/>
      <c r="B4369" s="747"/>
      <c r="C4369" s="736"/>
      <c r="D4369" s="907"/>
      <c r="E4369" s="737">
        <f t="shared" si="898"/>
        <v>0</v>
      </c>
      <c r="F4369" s="738"/>
      <c r="G4369" s="739">
        <v>0</v>
      </c>
      <c r="H4369" s="748">
        <f t="shared" si="895"/>
        <v>0</v>
      </c>
      <c r="I4369" s="741">
        <v>0</v>
      </c>
      <c r="J4369" s="749">
        <f t="shared" si="897"/>
        <v>0</v>
      </c>
      <c r="K4369" s="739">
        <f t="shared" si="896"/>
        <v>0</v>
      </c>
      <c r="L4369" s="1079"/>
      <c r="M4369" s="752"/>
      <c r="N4369" s="744">
        <f t="shared" si="899"/>
        <v>0</v>
      </c>
      <c r="O4369" s="745">
        <v>0</v>
      </c>
      <c r="P4369" s="737">
        <v>0</v>
      </c>
      <c r="Q4369" s="752"/>
      <c r="R4369" s="752"/>
      <c r="S4369" s="752"/>
    </row>
    <row r="4370" spans="1:19" s="753" customFormat="1" ht="24" customHeight="1">
      <c r="A4370" s="734"/>
      <c r="B4370" s="747" t="s">
        <v>469</v>
      </c>
      <c r="C4370" s="735" t="s">
        <v>492</v>
      </c>
      <c r="D4370" s="735"/>
      <c r="E4370" s="737">
        <f t="shared" si="898"/>
        <v>10</v>
      </c>
      <c r="F4370" s="738" t="s">
        <v>363</v>
      </c>
      <c r="G4370" s="739">
        <v>9375</v>
      </c>
      <c r="H4370" s="748">
        <f t="shared" si="895"/>
        <v>93750</v>
      </c>
      <c r="I4370" s="741">
        <v>450</v>
      </c>
      <c r="J4370" s="749">
        <f t="shared" si="897"/>
        <v>4500</v>
      </c>
      <c r="K4370" s="739">
        <f t="shared" si="896"/>
        <v>98250</v>
      </c>
      <c r="L4370" s="1079"/>
      <c r="M4370" s="752"/>
      <c r="N4370" s="744">
        <f t="shared" si="899"/>
        <v>10</v>
      </c>
      <c r="O4370" s="745">
        <v>0</v>
      </c>
      <c r="P4370" s="737">
        <v>10</v>
      </c>
      <c r="Q4370" s="752"/>
      <c r="R4370" s="752"/>
      <c r="S4370" s="752"/>
    </row>
    <row r="4371" spans="1:19" s="753" customFormat="1" ht="24" customHeight="1">
      <c r="A4371" s="734"/>
      <c r="B4371" s="747" t="s">
        <v>469</v>
      </c>
      <c r="C4371" s="735" t="s">
        <v>500</v>
      </c>
      <c r="D4371" s="735"/>
      <c r="E4371" s="737">
        <f t="shared" si="898"/>
        <v>10</v>
      </c>
      <c r="F4371" s="738" t="s">
        <v>363</v>
      </c>
      <c r="G4371" s="739">
        <v>12752</v>
      </c>
      <c r="H4371" s="748">
        <f t="shared" si="895"/>
        <v>127520</v>
      </c>
      <c r="I4371" s="741">
        <v>0</v>
      </c>
      <c r="J4371" s="749">
        <f t="shared" si="897"/>
        <v>0</v>
      </c>
      <c r="K4371" s="739">
        <f t="shared" si="896"/>
        <v>127520</v>
      </c>
      <c r="L4371" s="1079"/>
      <c r="M4371" s="752"/>
      <c r="N4371" s="744">
        <f t="shared" si="899"/>
        <v>10</v>
      </c>
      <c r="O4371" s="745">
        <v>0</v>
      </c>
      <c r="P4371" s="737">
        <v>10</v>
      </c>
      <c r="Q4371" s="752"/>
      <c r="R4371" s="752"/>
      <c r="S4371" s="752"/>
    </row>
    <row r="4372" spans="1:19" s="753" customFormat="1" ht="24" customHeight="1">
      <c r="A4372" s="734"/>
      <c r="B4372" s="747" t="s">
        <v>469</v>
      </c>
      <c r="C4372" s="735" t="s">
        <v>501</v>
      </c>
      <c r="D4372" s="735"/>
      <c r="E4372" s="737">
        <v>0</v>
      </c>
      <c r="F4372" s="738" t="s">
        <v>363</v>
      </c>
      <c r="G4372" s="739">
        <v>1950</v>
      </c>
      <c r="H4372" s="748">
        <f t="shared" si="895"/>
        <v>0</v>
      </c>
      <c r="I4372" s="741">
        <v>35</v>
      </c>
      <c r="J4372" s="749">
        <f t="shared" si="897"/>
        <v>0</v>
      </c>
      <c r="K4372" s="739">
        <f t="shared" si="896"/>
        <v>0</v>
      </c>
      <c r="L4372" s="1079"/>
      <c r="M4372" s="752"/>
      <c r="N4372" s="744">
        <f t="shared" si="899"/>
        <v>10</v>
      </c>
      <c r="O4372" s="745">
        <v>0</v>
      </c>
      <c r="P4372" s="737">
        <v>10</v>
      </c>
      <c r="Q4372" s="752"/>
      <c r="R4372" s="752"/>
      <c r="S4372" s="752"/>
    </row>
    <row r="4373" spans="1:19" s="753" customFormat="1" ht="24" customHeight="1">
      <c r="A4373" s="734"/>
      <c r="B4373" s="747" t="s">
        <v>469</v>
      </c>
      <c r="C4373" s="735" t="s">
        <v>502</v>
      </c>
      <c r="D4373" s="735"/>
      <c r="E4373" s="737">
        <f t="shared" si="898"/>
        <v>10</v>
      </c>
      <c r="F4373" s="738" t="s">
        <v>363</v>
      </c>
      <c r="G4373" s="739">
        <v>216</v>
      </c>
      <c r="H4373" s="748">
        <f t="shared" si="895"/>
        <v>2160</v>
      </c>
      <c r="I4373" s="741">
        <v>35</v>
      </c>
      <c r="J4373" s="749">
        <f t="shared" si="897"/>
        <v>350</v>
      </c>
      <c r="K4373" s="739">
        <f t="shared" si="896"/>
        <v>2510</v>
      </c>
      <c r="L4373" s="1079"/>
      <c r="M4373" s="752"/>
      <c r="N4373" s="744">
        <f t="shared" si="899"/>
        <v>10</v>
      </c>
      <c r="O4373" s="745">
        <v>0</v>
      </c>
      <c r="P4373" s="737">
        <v>10</v>
      </c>
      <c r="Q4373" s="752"/>
      <c r="R4373" s="752"/>
      <c r="S4373" s="752"/>
    </row>
    <row r="4374" spans="1:19" s="753" customFormat="1" ht="24" customHeight="1">
      <c r="A4374" s="734"/>
      <c r="B4374" s="747"/>
      <c r="C4374" s="735"/>
      <c r="D4374" s="735"/>
      <c r="E4374" s="737">
        <f t="shared" si="898"/>
        <v>0</v>
      </c>
      <c r="F4374" s="738"/>
      <c r="G4374" s="739"/>
      <c r="H4374" s="748">
        <f t="shared" si="895"/>
        <v>0</v>
      </c>
      <c r="I4374" s="741"/>
      <c r="J4374" s="749">
        <f t="shared" si="897"/>
        <v>0</v>
      </c>
      <c r="K4374" s="739">
        <f t="shared" si="896"/>
        <v>0</v>
      </c>
      <c r="L4374" s="1079"/>
      <c r="M4374" s="752"/>
      <c r="N4374" s="744">
        <f t="shared" si="899"/>
        <v>0</v>
      </c>
      <c r="O4374" s="745">
        <v>0</v>
      </c>
      <c r="P4374" s="737">
        <v>0</v>
      </c>
      <c r="Q4374" s="752"/>
      <c r="R4374" s="752"/>
      <c r="S4374" s="752"/>
    </row>
    <row r="4375" spans="1:19" s="753" customFormat="1" ht="24" customHeight="1">
      <c r="A4375" s="734"/>
      <c r="B4375" s="747" t="s">
        <v>484</v>
      </c>
      <c r="C4375" s="735" t="s">
        <v>485</v>
      </c>
      <c r="D4375" s="735"/>
      <c r="E4375" s="737">
        <f t="shared" si="898"/>
        <v>11</v>
      </c>
      <c r="F4375" s="738" t="s">
        <v>363</v>
      </c>
      <c r="G4375" s="739">
        <v>285</v>
      </c>
      <c r="H4375" s="748">
        <f t="shared" si="895"/>
        <v>3135</v>
      </c>
      <c r="I4375" s="741">
        <v>75</v>
      </c>
      <c r="J4375" s="749">
        <f t="shared" si="897"/>
        <v>825</v>
      </c>
      <c r="K4375" s="739">
        <f t="shared" si="896"/>
        <v>3960</v>
      </c>
      <c r="L4375" s="1093"/>
      <c r="M4375" s="752"/>
      <c r="N4375" s="744">
        <f t="shared" si="899"/>
        <v>11</v>
      </c>
      <c r="O4375" s="745">
        <v>0</v>
      </c>
      <c r="P4375" s="737">
        <v>11</v>
      </c>
      <c r="Q4375" s="752"/>
      <c r="R4375" s="752"/>
      <c r="S4375" s="752"/>
    </row>
    <row r="4376" spans="1:19" s="753" customFormat="1" ht="24" customHeight="1">
      <c r="A4376" s="734"/>
      <c r="B4376" s="747" t="s">
        <v>469</v>
      </c>
      <c r="C4376" s="735" t="s">
        <v>486</v>
      </c>
      <c r="D4376" s="735"/>
      <c r="E4376" s="737">
        <f t="shared" si="898"/>
        <v>1</v>
      </c>
      <c r="F4376" s="738" t="s">
        <v>363</v>
      </c>
      <c r="G4376" s="739">
        <v>552</v>
      </c>
      <c r="H4376" s="748">
        <f t="shared" si="895"/>
        <v>552</v>
      </c>
      <c r="I4376" s="741">
        <v>25</v>
      </c>
      <c r="J4376" s="749">
        <f t="shared" si="897"/>
        <v>25</v>
      </c>
      <c r="K4376" s="739">
        <f t="shared" si="896"/>
        <v>577</v>
      </c>
      <c r="L4376" s="1079"/>
      <c r="M4376" s="752"/>
      <c r="N4376" s="744">
        <f t="shared" si="899"/>
        <v>1</v>
      </c>
      <c r="O4376" s="745">
        <v>0</v>
      </c>
      <c r="P4376" s="737">
        <v>1</v>
      </c>
      <c r="Q4376" s="752"/>
      <c r="R4376" s="752"/>
      <c r="S4376" s="752"/>
    </row>
    <row r="4377" spans="1:19" s="753" customFormat="1" ht="24" customHeight="1">
      <c r="A4377" s="734"/>
      <c r="B4377" s="747" t="s">
        <v>469</v>
      </c>
      <c r="C4377" s="735" t="s">
        <v>507</v>
      </c>
      <c r="D4377" s="735"/>
      <c r="E4377" s="737">
        <f t="shared" si="898"/>
        <v>2</v>
      </c>
      <c r="F4377" s="738" t="s">
        <v>363</v>
      </c>
      <c r="G4377" s="739">
        <v>1650</v>
      </c>
      <c r="H4377" s="748">
        <f t="shared" si="895"/>
        <v>3300</v>
      </c>
      <c r="I4377" s="741">
        <v>70</v>
      </c>
      <c r="J4377" s="749">
        <f t="shared" si="897"/>
        <v>140</v>
      </c>
      <c r="K4377" s="739">
        <f t="shared" si="896"/>
        <v>3440</v>
      </c>
      <c r="L4377" s="1079"/>
      <c r="M4377" s="752"/>
      <c r="N4377" s="744">
        <f t="shared" si="899"/>
        <v>2</v>
      </c>
      <c r="O4377" s="745">
        <v>0</v>
      </c>
      <c r="P4377" s="737">
        <v>2</v>
      </c>
      <c r="Q4377" s="752"/>
      <c r="R4377" s="752"/>
      <c r="S4377" s="752"/>
    </row>
    <row r="4378" spans="1:19" s="753" customFormat="1" ht="24" customHeight="1">
      <c r="A4378" s="734"/>
      <c r="B4378" s="747" t="s">
        <v>469</v>
      </c>
      <c r="C4378" s="735" t="s">
        <v>508</v>
      </c>
      <c r="D4378" s="735"/>
      <c r="E4378" s="737">
        <f t="shared" si="898"/>
        <v>10</v>
      </c>
      <c r="F4378" s="738" t="s">
        <v>363</v>
      </c>
      <c r="G4378" s="739">
        <v>13500</v>
      </c>
      <c r="H4378" s="748">
        <f t="shared" si="895"/>
        <v>135000</v>
      </c>
      <c r="I4378" s="741">
        <v>750</v>
      </c>
      <c r="J4378" s="749">
        <f t="shared" si="897"/>
        <v>7500</v>
      </c>
      <c r="K4378" s="739">
        <f t="shared" si="896"/>
        <v>142500</v>
      </c>
      <c r="L4378" s="1079"/>
      <c r="M4378" s="752"/>
      <c r="N4378" s="744">
        <f t="shared" si="899"/>
        <v>10</v>
      </c>
      <c r="O4378" s="745">
        <v>0</v>
      </c>
      <c r="P4378" s="737">
        <v>10</v>
      </c>
      <c r="Q4378" s="752"/>
      <c r="R4378" s="752"/>
      <c r="S4378" s="752"/>
    </row>
    <row r="4379" spans="1:19" s="682" customFormat="1" ht="24" customHeight="1">
      <c r="A4379" s="734"/>
      <c r="B4379" s="747" t="s">
        <v>469</v>
      </c>
      <c r="C4379" s="735" t="s">
        <v>509</v>
      </c>
      <c r="D4379" s="735"/>
      <c r="E4379" s="737">
        <f t="shared" si="898"/>
        <v>1</v>
      </c>
      <c r="F4379" s="738" t="s">
        <v>363</v>
      </c>
      <c r="G4379" s="739">
        <v>14476</v>
      </c>
      <c r="H4379" s="748">
        <f t="shared" si="895"/>
        <v>14476</v>
      </c>
      <c r="I4379" s="741">
        <v>5367</v>
      </c>
      <c r="J4379" s="749">
        <f t="shared" si="897"/>
        <v>5367</v>
      </c>
      <c r="K4379" s="739">
        <f t="shared" si="896"/>
        <v>19843</v>
      </c>
      <c r="L4379" s="1079"/>
      <c r="M4379" s="679"/>
      <c r="N4379" s="744">
        <f t="shared" si="899"/>
        <v>1</v>
      </c>
      <c r="O4379" s="745">
        <v>0</v>
      </c>
      <c r="P4379" s="737">
        <v>1</v>
      </c>
      <c r="Q4379" s="679"/>
      <c r="R4379" s="679"/>
      <c r="S4379" s="679"/>
    </row>
    <row r="4380" spans="1:19" s="753" customFormat="1" ht="24" customHeight="1">
      <c r="A4380" s="734"/>
      <c r="B4380" s="747"/>
      <c r="C4380" s="735"/>
      <c r="D4380" s="907"/>
      <c r="E4380" s="737">
        <f t="shared" si="898"/>
        <v>0</v>
      </c>
      <c r="F4380" s="738"/>
      <c r="G4380" s="739">
        <v>0</v>
      </c>
      <c r="H4380" s="748">
        <f t="shared" si="895"/>
        <v>0</v>
      </c>
      <c r="I4380" s="741">
        <v>0</v>
      </c>
      <c r="J4380" s="749">
        <f t="shared" si="897"/>
        <v>0</v>
      </c>
      <c r="K4380" s="739">
        <f t="shared" si="896"/>
        <v>0</v>
      </c>
      <c r="L4380" s="1079"/>
      <c r="M4380" s="752"/>
      <c r="N4380" s="744">
        <f t="shared" si="899"/>
        <v>0</v>
      </c>
      <c r="O4380" s="745">
        <v>0</v>
      </c>
      <c r="P4380" s="737">
        <v>0</v>
      </c>
      <c r="Q4380" s="752"/>
      <c r="R4380" s="752"/>
      <c r="S4380" s="752"/>
    </row>
    <row r="4381" spans="1:19" s="753" customFormat="1" ht="24" customHeight="1">
      <c r="A4381" s="734"/>
      <c r="B4381" s="747" t="s">
        <v>469</v>
      </c>
      <c r="C4381" s="735" t="s">
        <v>510</v>
      </c>
      <c r="D4381" s="735"/>
      <c r="E4381" s="737">
        <f t="shared" si="898"/>
        <v>5.2</v>
      </c>
      <c r="F4381" s="738" t="s">
        <v>361</v>
      </c>
      <c r="G4381" s="739">
        <v>2694</v>
      </c>
      <c r="H4381" s="748">
        <f t="shared" si="895"/>
        <v>14008.800000000001</v>
      </c>
      <c r="I4381" s="741">
        <v>1288</v>
      </c>
      <c r="J4381" s="749">
        <f t="shared" si="897"/>
        <v>6697.6</v>
      </c>
      <c r="K4381" s="739">
        <f t="shared" si="896"/>
        <v>20706.400000000001</v>
      </c>
      <c r="L4381" s="1079"/>
      <c r="M4381" s="752"/>
      <c r="N4381" s="744">
        <f t="shared" si="899"/>
        <v>5.2</v>
      </c>
      <c r="O4381" s="745">
        <v>0</v>
      </c>
      <c r="P4381" s="737">
        <v>5.2</v>
      </c>
      <c r="Q4381" s="752"/>
      <c r="R4381" s="752"/>
      <c r="S4381" s="752"/>
    </row>
    <row r="4382" spans="1:19" s="753" customFormat="1" ht="24" customHeight="1">
      <c r="A4382" s="734"/>
      <c r="B4382" s="747"/>
      <c r="C4382" s="735" t="s">
        <v>511</v>
      </c>
      <c r="D4382" s="735"/>
      <c r="E4382" s="737">
        <f t="shared" si="898"/>
        <v>0</v>
      </c>
      <c r="F4382" s="738"/>
      <c r="G4382" s="739"/>
      <c r="H4382" s="748">
        <f t="shared" si="895"/>
        <v>0</v>
      </c>
      <c r="I4382" s="741"/>
      <c r="J4382" s="749">
        <f t="shared" si="897"/>
        <v>0</v>
      </c>
      <c r="K4382" s="739">
        <f t="shared" si="896"/>
        <v>0</v>
      </c>
      <c r="L4382" s="1079"/>
      <c r="M4382" s="752"/>
      <c r="N4382" s="744">
        <f t="shared" si="899"/>
        <v>0</v>
      </c>
      <c r="O4382" s="745">
        <v>0</v>
      </c>
      <c r="P4382" s="737">
        <v>0</v>
      </c>
      <c r="Q4382" s="752"/>
      <c r="R4382" s="752"/>
      <c r="S4382" s="752"/>
    </row>
    <row r="4383" spans="1:19" s="753" customFormat="1" ht="24" customHeight="1">
      <c r="A4383" s="734"/>
      <c r="B4383" s="747" t="s">
        <v>469</v>
      </c>
      <c r="C4383" s="735" t="s">
        <v>512</v>
      </c>
      <c r="D4383" s="735"/>
      <c r="E4383" s="737">
        <f t="shared" si="898"/>
        <v>5.2</v>
      </c>
      <c r="F4383" s="738" t="s">
        <v>361</v>
      </c>
      <c r="G4383" s="739">
        <v>3886</v>
      </c>
      <c r="H4383" s="748">
        <f t="shared" si="895"/>
        <v>20207.2</v>
      </c>
      <c r="I4383" s="741">
        <v>1238</v>
      </c>
      <c r="J4383" s="749">
        <f t="shared" si="897"/>
        <v>6437.6</v>
      </c>
      <c r="K4383" s="739">
        <f t="shared" si="896"/>
        <v>26644.800000000003</v>
      </c>
      <c r="L4383" s="1079"/>
      <c r="M4383" s="752"/>
      <c r="N4383" s="744">
        <f t="shared" si="899"/>
        <v>5.2</v>
      </c>
      <c r="O4383" s="745">
        <v>0</v>
      </c>
      <c r="P4383" s="737">
        <v>5.2</v>
      </c>
      <c r="Q4383" s="752"/>
      <c r="R4383" s="752"/>
      <c r="S4383" s="752"/>
    </row>
    <row r="4384" spans="1:19" s="753" customFormat="1" ht="24" customHeight="1">
      <c r="A4384" s="734"/>
      <c r="B4384" s="747"/>
      <c r="C4384" s="735" t="s">
        <v>513</v>
      </c>
      <c r="D4384" s="735"/>
      <c r="E4384" s="737">
        <f t="shared" si="898"/>
        <v>0</v>
      </c>
      <c r="F4384" s="738"/>
      <c r="G4384" s="739">
        <v>0</v>
      </c>
      <c r="H4384" s="748">
        <f t="shared" si="895"/>
        <v>0</v>
      </c>
      <c r="I4384" s="741">
        <v>0</v>
      </c>
      <c r="J4384" s="749">
        <f t="shared" si="897"/>
        <v>0</v>
      </c>
      <c r="K4384" s="739">
        <f t="shared" si="896"/>
        <v>0</v>
      </c>
      <c r="L4384" s="1079"/>
      <c r="M4384" s="752"/>
      <c r="N4384" s="744">
        <f t="shared" si="899"/>
        <v>0</v>
      </c>
      <c r="O4384" s="745">
        <v>0</v>
      </c>
      <c r="P4384" s="737">
        <v>0</v>
      </c>
      <c r="Q4384" s="752"/>
      <c r="R4384" s="752"/>
      <c r="S4384" s="752"/>
    </row>
    <row r="4385" spans="1:19" s="753" customFormat="1" ht="24" customHeight="1">
      <c r="A4385" s="734"/>
      <c r="B4385" s="747" t="s">
        <v>469</v>
      </c>
      <c r="C4385" s="735" t="s">
        <v>521</v>
      </c>
      <c r="D4385" s="735"/>
      <c r="E4385" s="737">
        <f t="shared" si="898"/>
        <v>5.2</v>
      </c>
      <c r="F4385" s="738" t="s">
        <v>361</v>
      </c>
      <c r="G4385" s="739">
        <v>1522</v>
      </c>
      <c r="H4385" s="748">
        <f t="shared" si="895"/>
        <v>7914.4000000000005</v>
      </c>
      <c r="I4385" s="741">
        <v>315</v>
      </c>
      <c r="J4385" s="749">
        <f t="shared" si="897"/>
        <v>1638</v>
      </c>
      <c r="K4385" s="739">
        <f t="shared" si="896"/>
        <v>9552.4000000000015</v>
      </c>
      <c r="L4385" s="1079"/>
      <c r="M4385" s="752"/>
      <c r="N4385" s="744">
        <f t="shared" si="899"/>
        <v>5.2</v>
      </c>
      <c r="O4385" s="745">
        <v>0</v>
      </c>
      <c r="P4385" s="737">
        <v>5.2</v>
      </c>
      <c r="Q4385" s="752"/>
      <c r="R4385" s="752"/>
      <c r="S4385" s="752"/>
    </row>
    <row r="4386" spans="1:19" s="753" customFormat="1" ht="24" customHeight="1">
      <c r="A4386" s="734"/>
      <c r="B4386" s="747"/>
      <c r="C4386" s="735"/>
      <c r="D4386" s="735"/>
      <c r="E4386" s="737">
        <f t="shared" si="898"/>
        <v>0</v>
      </c>
      <c r="F4386" s="738"/>
      <c r="G4386" s="739">
        <v>0</v>
      </c>
      <c r="H4386" s="748">
        <f t="shared" si="895"/>
        <v>0</v>
      </c>
      <c r="I4386" s="741">
        <v>0</v>
      </c>
      <c r="J4386" s="749">
        <f t="shared" si="897"/>
        <v>0</v>
      </c>
      <c r="K4386" s="739">
        <f t="shared" si="896"/>
        <v>0</v>
      </c>
      <c r="L4386" s="1079"/>
      <c r="M4386" s="752"/>
      <c r="N4386" s="744">
        <f t="shared" si="899"/>
        <v>0</v>
      </c>
      <c r="O4386" s="745">
        <v>0</v>
      </c>
      <c r="P4386" s="737">
        <v>0</v>
      </c>
      <c r="Q4386" s="752"/>
      <c r="R4386" s="752"/>
      <c r="S4386" s="752"/>
    </row>
    <row r="4387" spans="1:19" s="682" customFormat="1" ht="24" customHeight="1">
      <c r="A4387" s="734"/>
      <c r="B4387" s="747" t="s">
        <v>469</v>
      </c>
      <c r="C4387" s="735" t="s">
        <v>515</v>
      </c>
      <c r="D4387" s="735"/>
      <c r="E4387" s="737">
        <f t="shared" si="898"/>
        <v>0</v>
      </c>
      <c r="F4387" s="738" t="s">
        <v>363</v>
      </c>
      <c r="G4387" s="739">
        <v>5013</v>
      </c>
      <c r="H4387" s="748">
        <f t="shared" si="895"/>
        <v>0</v>
      </c>
      <c r="I4387" s="741">
        <v>2403</v>
      </c>
      <c r="J4387" s="749">
        <f t="shared" si="897"/>
        <v>0</v>
      </c>
      <c r="K4387" s="739">
        <f t="shared" si="896"/>
        <v>0</v>
      </c>
      <c r="L4387" s="1079"/>
      <c r="M4387" s="679"/>
      <c r="N4387" s="744">
        <f t="shared" si="899"/>
        <v>0</v>
      </c>
      <c r="O4387" s="745">
        <v>0</v>
      </c>
      <c r="P4387" s="737">
        <v>0</v>
      </c>
      <c r="Q4387" s="679"/>
      <c r="R4387" s="679"/>
      <c r="S4387" s="679"/>
    </row>
    <row r="4388" spans="1:19" s="682" customFormat="1" ht="24" customHeight="1">
      <c r="A4388" s="734"/>
      <c r="B4388" s="747"/>
      <c r="C4388" s="735" t="s">
        <v>516</v>
      </c>
      <c r="D4388" s="735"/>
      <c r="E4388" s="737">
        <f t="shared" si="898"/>
        <v>0</v>
      </c>
      <c r="F4388" s="738"/>
      <c r="G4388" s="739"/>
      <c r="H4388" s="748">
        <f t="shared" si="895"/>
        <v>0</v>
      </c>
      <c r="I4388" s="741"/>
      <c r="J4388" s="749">
        <f t="shared" si="897"/>
        <v>0</v>
      </c>
      <c r="K4388" s="739">
        <f t="shared" si="896"/>
        <v>0</v>
      </c>
      <c r="L4388" s="1079"/>
      <c r="M4388" s="679"/>
      <c r="N4388" s="744">
        <f t="shared" si="899"/>
        <v>0</v>
      </c>
      <c r="O4388" s="745">
        <v>0</v>
      </c>
      <c r="P4388" s="737">
        <v>0</v>
      </c>
      <c r="Q4388" s="679"/>
      <c r="R4388" s="679"/>
      <c r="S4388" s="679"/>
    </row>
    <row r="4389" spans="1:19" s="682" customFormat="1" ht="24" customHeight="1">
      <c r="A4389" s="734"/>
      <c r="B4389" s="747"/>
      <c r="C4389" s="735"/>
      <c r="D4389" s="735"/>
      <c r="E4389" s="737">
        <f t="shared" si="898"/>
        <v>0</v>
      </c>
      <c r="F4389" s="738"/>
      <c r="G4389" s="739"/>
      <c r="H4389" s="748">
        <f t="shared" si="895"/>
        <v>0</v>
      </c>
      <c r="I4389" s="741"/>
      <c r="J4389" s="749">
        <f t="shared" si="897"/>
        <v>0</v>
      </c>
      <c r="K4389" s="739">
        <f t="shared" si="896"/>
        <v>0</v>
      </c>
      <c r="L4389" s="1079"/>
      <c r="M4389" s="679"/>
      <c r="N4389" s="744">
        <f t="shared" si="899"/>
        <v>0</v>
      </c>
      <c r="O4389" s="745">
        <v>0</v>
      </c>
      <c r="P4389" s="737">
        <v>0</v>
      </c>
      <c r="Q4389" s="679"/>
      <c r="R4389" s="679"/>
      <c r="S4389" s="679"/>
    </row>
    <row r="4390" spans="1:19" s="756" customFormat="1" ht="24" customHeight="1">
      <c r="A4390" s="734"/>
      <c r="B4390" s="747" t="s">
        <v>469</v>
      </c>
      <c r="C4390" s="735" t="s">
        <v>517</v>
      </c>
      <c r="D4390" s="907"/>
      <c r="E4390" s="737">
        <f t="shared" si="898"/>
        <v>0</v>
      </c>
      <c r="F4390" s="738" t="s">
        <v>361</v>
      </c>
      <c r="G4390" s="739">
        <v>5075.5555555555557</v>
      </c>
      <c r="H4390" s="748">
        <f t="shared" si="895"/>
        <v>0</v>
      </c>
      <c r="I4390" s="741">
        <v>2545.7777777777778</v>
      </c>
      <c r="J4390" s="749">
        <f t="shared" si="897"/>
        <v>0</v>
      </c>
      <c r="K4390" s="739">
        <f t="shared" si="896"/>
        <v>0</v>
      </c>
      <c r="L4390" s="1079"/>
      <c r="M4390" s="755"/>
      <c r="N4390" s="744">
        <f t="shared" si="899"/>
        <v>0</v>
      </c>
      <c r="O4390" s="745">
        <v>0</v>
      </c>
      <c r="P4390" s="737">
        <v>0</v>
      </c>
      <c r="Q4390" s="755"/>
      <c r="R4390" s="755"/>
      <c r="S4390" s="755"/>
    </row>
    <row r="4391" spans="1:19" s="756" customFormat="1" ht="24" customHeight="1">
      <c r="A4391" s="734"/>
      <c r="B4391" s="747"/>
      <c r="C4391" s="735" t="s">
        <v>488</v>
      </c>
      <c r="D4391" s="907"/>
      <c r="E4391" s="737">
        <f t="shared" si="898"/>
        <v>0</v>
      </c>
      <c r="F4391" s="738"/>
      <c r="G4391" s="739">
        <v>0</v>
      </c>
      <c r="H4391" s="748">
        <f t="shared" si="895"/>
        <v>0</v>
      </c>
      <c r="I4391" s="741">
        <v>0</v>
      </c>
      <c r="J4391" s="749">
        <f t="shared" si="897"/>
        <v>0</v>
      </c>
      <c r="K4391" s="739">
        <f t="shared" si="896"/>
        <v>0</v>
      </c>
      <c r="L4391" s="1079"/>
      <c r="M4391" s="755"/>
      <c r="N4391" s="744">
        <f t="shared" si="899"/>
        <v>0</v>
      </c>
      <c r="O4391" s="745">
        <v>0</v>
      </c>
      <c r="P4391" s="737">
        <v>0</v>
      </c>
      <c r="Q4391" s="755"/>
      <c r="R4391" s="755"/>
      <c r="S4391" s="755"/>
    </row>
    <row r="4392" spans="1:19" s="753" customFormat="1" ht="24" customHeight="1">
      <c r="A4392" s="734"/>
      <c r="B4392" s="747" t="s">
        <v>469</v>
      </c>
      <c r="C4392" s="735" t="s">
        <v>518</v>
      </c>
      <c r="D4392" s="735"/>
      <c r="E4392" s="737">
        <f t="shared" si="898"/>
        <v>0</v>
      </c>
      <c r="F4392" s="738" t="s">
        <v>361</v>
      </c>
      <c r="G4392" s="739">
        <v>3886</v>
      </c>
      <c r="H4392" s="748">
        <f t="shared" ref="H4392:H4426" si="900">SUM(E4392*G4392)</f>
        <v>0</v>
      </c>
      <c r="I4392" s="741">
        <v>1238</v>
      </c>
      <c r="J4392" s="749">
        <f t="shared" si="897"/>
        <v>0</v>
      </c>
      <c r="K4392" s="739">
        <f t="shared" ref="K4392:K4426" si="901">SUM(H4392+J4392)</f>
        <v>0</v>
      </c>
      <c r="L4392" s="1079"/>
      <c r="M4392" s="752"/>
      <c r="N4392" s="744">
        <f t="shared" si="899"/>
        <v>0</v>
      </c>
      <c r="O4392" s="745">
        <v>0</v>
      </c>
      <c r="P4392" s="737">
        <v>0</v>
      </c>
      <c r="Q4392" s="752"/>
      <c r="R4392" s="752"/>
      <c r="S4392" s="752"/>
    </row>
    <row r="4393" spans="1:19" s="753" customFormat="1" ht="24" customHeight="1">
      <c r="A4393" s="734"/>
      <c r="B4393" s="747"/>
      <c r="C4393" s="735" t="s">
        <v>513</v>
      </c>
      <c r="D4393" s="735"/>
      <c r="E4393" s="737">
        <f t="shared" si="898"/>
        <v>0</v>
      </c>
      <c r="F4393" s="738"/>
      <c r="G4393" s="739">
        <v>0</v>
      </c>
      <c r="H4393" s="748">
        <f t="shared" si="900"/>
        <v>0</v>
      </c>
      <c r="I4393" s="741">
        <v>0</v>
      </c>
      <c r="J4393" s="749">
        <f t="shared" si="897"/>
        <v>0</v>
      </c>
      <c r="K4393" s="739">
        <f t="shared" si="901"/>
        <v>0</v>
      </c>
      <c r="L4393" s="1079"/>
      <c r="M4393" s="752"/>
      <c r="N4393" s="744">
        <f t="shared" si="899"/>
        <v>0</v>
      </c>
      <c r="O4393" s="745">
        <v>0</v>
      </c>
      <c r="P4393" s="737">
        <v>0</v>
      </c>
      <c r="Q4393" s="752"/>
      <c r="R4393" s="752"/>
      <c r="S4393" s="752"/>
    </row>
    <row r="4394" spans="1:19" s="682" customFormat="1" ht="24" customHeight="1">
      <c r="A4394" s="734"/>
      <c r="B4394" s="747"/>
      <c r="C4394" s="735"/>
      <c r="D4394" s="735"/>
      <c r="E4394" s="737">
        <f t="shared" si="898"/>
        <v>0</v>
      </c>
      <c r="F4394" s="738"/>
      <c r="G4394" s="739"/>
      <c r="H4394" s="748">
        <f t="shared" si="900"/>
        <v>0</v>
      </c>
      <c r="I4394" s="741"/>
      <c r="J4394" s="749">
        <f t="shared" si="897"/>
        <v>0</v>
      </c>
      <c r="K4394" s="739">
        <f t="shared" si="901"/>
        <v>0</v>
      </c>
      <c r="L4394" s="1079"/>
      <c r="M4394" s="679"/>
      <c r="N4394" s="744">
        <f t="shared" si="899"/>
        <v>0</v>
      </c>
      <c r="O4394" s="745">
        <v>0</v>
      </c>
      <c r="P4394" s="737">
        <v>0</v>
      </c>
      <c r="Q4394" s="679"/>
      <c r="R4394" s="679"/>
      <c r="S4394" s="679"/>
    </row>
    <row r="4395" spans="1:19" s="682" customFormat="1" ht="24" customHeight="1">
      <c r="A4395" s="734"/>
      <c r="B4395" s="747" t="s">
        <v>469</v>
      </c>
      <c r="C4395" s="735" t="s">
        <v>519</v>
      </c>
      <c r="D4395" s="735"/>
      <c r="E4395" s="737">
        <f t="shared" si="898"/>
        <v>1</v>
      </c>
      <c r="F4395" s="738" t="s">
        <v>363</v>
      </c>
      <c r="G4395" s="739">
        <v>800</v>
      </c>
      <c r="H4395" s="748">
        <f t="shared" si="900"/>
        <v>800</v>
      </c>
      <c r="I4395" s="741">
        <v>70</v>
      </c>
      <c r="J4395" s="749">
        <f t="shared" si="897"/>
        <v>70</v>
      </c>
      <c r="K4395" s="739">
        <f t="shared" si="901"/>
        <v>870</v>
      </c>
      <c r="L4395" s="1079"/>
      <c r="M4395" s="679"/>
      <c r="N4395" s="744">
        <f t="shared" si="899"/>
        <v>1</v>
      </c>
      <c r="O4395" s="745">
        <v>0</v>
      </c>
      <c r="P4395" s="737">
        <v>1</v>
      </c>
      <c r="Q4395" s="679"/>
      <c r="R4395" s="679"/>
      <c r="S4395" s="679"/>
    </row>
    <row r="4396" spans="1:19" s="682" customFormat="1" ht="24" customHeight="1">
      <c r="A4396" s="734"/>
      <c r="B4396" s="747" t="s">
        <v>469</v>
      </c>
      <c r="C4396" s="735" t="s">
        <v>520</v>
      </c>
      <c r="D4396" s="735"/>
      <c r="E4396" s="737">
        <f t="shared" si="898"/>
        <v>0</v>
      </c>
      <c r="F4396" s="738" t="s">
        <v>361</v>
      </c>
      <c r="G4396" s="739">
        <v>190</v>
      </c>
      <c r="H4396" s="748">
        <f t="shared" si="900"/>
        <v>0</v>
      </c>
      <c r="I4396" s="741">
        <v>75</v>
      </c>
      <c r="J4396" s="749">
        <f t="shared" si="897"/>
        <v>0</v>
      </c>
      <c r="K4396" s="739">
        <f t="shared" si="901"/>
        <v>0</v>
      </c>
      <c r="L4396" s="1079"/>
      <c r="M4396" s="679"/>
      <c r="N4396" s="744">
        <f t="shared" si="899"/>
        <v>0</v>
      </c>
      <c r="O4396" s="745">
        <v>0</v>
      </c>
      <c r="P4396" s="737">
        <v>0</v>
      </c>
      <c r="Q4396" s="679"/>
      <c r="R4396" s="679"/>
      <c r="S4396" s="679"/>
    </row>
    <row r="4397" spans="1:19" s="682" customFormat="1" ht="24" customHeight="1">
      <c r="A4397" s="734"/>
      <c r="B4397" s="747"/>
      <c r="C4397" s="735"/>
      <c r="D4397" s="735"/>
      <c r="E4397" s="737">
        <f t="shared" si="898"/>
        <v>0</v>
      </c>
      <c r="F4397" s="738"/>
      <c r="G4397" s="739"/>
      <c r="H4397" s="748">
        <f t="shared" si="900"/>
        <v>0</v>
      </c>
      <c r="I4397" s="741"/>
      <c r="J4397" s="749">
        <f t="shared" si="897"/>
        <v>0</v>
      </c>
      <c r="K4397" s="739">
        <f t="shared" si="901"/>
        <v>0</v>
      </c>
      <c r="L4397" s="1079"/>
      <c r="M4397" s="679"/>
      <c r="N4397" s="744">
        <f t="shared" si="899"/>
        <v>0</v>
      </c>
      <c r="O4397" s="745">
        <v>0</v>
      </c>
      <c r="P4397" s="737">
        <v>0</v>
      </c>
      <c r="Q4397" s="679"/>
      <c r="R4397" s="679"/>
      <c r="S4397" s="679"/>
    </row>
    <row r="4398" spans="1:19" s="753" customFormat="1" ht="24" customHeight="1">
      <c r="A4398" s="734"/>
      <c r="B4398" s="735" t="s">
        <v>1078</v>
      </c>
      <c r="C4398" s="735"/>
      <c r="D4398" s="735"/>
      <c r="E4398" s="737">
        <f t="shared" si="898"/>
        <v>0</v>
      </c>
      <c r="F4398" s="738"/>
      <c r="G4398" s="739">
        <v>0</v>
      </c>
      <c r="H4398" s="748">
        <f t="shared" si="900"/>
        <v>0</v>
      </c>
      <c r="I4398" s="741">
        <v>0</v>
      </c>
      <c r="J4398" s="749">
        <f t="shared" si="897"/>
        <v>0</v>
      </c>
      <c r="K4398" s="739">
        <f t="shared" si="901"/>
        <v>0</v>
      </c>
      <c r="L4398" s="1079"/>
      <c r="M4398" s="752"/>
      <c r="N4398" s="744">
        <f t="shared" si="899"/>
        <v>0</v>
      </c>
      <c r="O4398" s="745">
        <v>0</v>
      </c>
      <c r="P4398" s="737">
        <v>0</v>
      </c>
      <c r="Q4398" s="752"/>
      <c r="R4398" s="752"/>
      <c r="S4398" s="752"/>
    </row>
    <row r="4399" spans="1:19" s="753" customFormat="1" ht="24" customHeight="1">
      <c r="A4399" s="734"/>
      <c r="B4399" s="747" t="s">
        <v>469</v>
      </c>
      <c r="C4399" s="735" t="s">
        <v>522</v>
      </c>
      <c r="D4399" s="735"/>
      <c r="E4399" s="737">
        <f t="shared" si="898"/>
        <v>1</v>
      </c>
      <c r="F4399" s="738" t="s">
        <v>363</v>
      </c>
      <c r="G4399" s="739">
        <v>6832</v>
      </c>
      <c r="H4399" s="748">
        <f t="shared" si="900"/>
        <v>6832</v>
      </c>
      <c r="I4399" s="741">
        <v>450</v>
      </c>
      <c r="J4399" s="749">
        <f t="shared" si="897"/>
        <v>450</v>
      </c>
      <c r="K4399" s="739">
        <f t="shared" si="901"/>
        <v>7282</v>
      </c>
      <c r="L4399" s="1079"/>
      <c r="M4399" s="752"/>
      <c r="N4399" s="744">
        <f t="shared" si="899"/>
        <v>1</v>
      </c>
      <c r="O4399" s="745">
        <v>0</v>
      </c>
      <c r="P4399" s="737">
        <v>1</v>
      </c>
      <c r="Q4399" s="752"/>
      <c r="R4399" s="752"/>
      <c r="S4399" s="752"/>
    </row>
    <row r="4400" spans="1:19" s="753" customFormat="1" ht="24" customHeight="1">
      <c r="A4400" s="734"/>
      <c r="B4400" s="747" t="s">
        <v>469</v>
      </c>
      <c r="C4400" s="735" t="s">
        <v>498</v>
      </c>
      <c r="D4400" s="735"/>
      <c r="E4400" s="737">
        <f t="shared" si="898"/>
        <v>1</v>
      </c>
      <c r="F4400" s="738" t="s">
        <v>363</v>
      </c>
      <c r="G4400" s="739">
        <v>6640</v>
      </c>
      <c r="H4400" s="748">
        <f t="shared" si="900"/>
        <v>6640</v>
      </c>
      <c r="I4400" s="741">
        <v>200</v>
      </c>
      <c r="J4400" s="749">
        <f t="shared" si="897"/>
        <v>200</v>
      </c>
      <c r="K4400" s="739">
        <f t="shared" si="901"/>
        <v>6840</v>
      </c>
      <c r="L4400" s="1079"/>
      <c r="M4400" s="752"/>
      <c r="N4400" s="744">
        <f t="shared" si="899"/>
        <v>1</v>
      </c>
      <c r="O4400" s="745">
        <v>0</v>
      </c>
      <c r="P4400" s="737">
        <v>1</v>
      </c>
      <c r="Q4400" s="752"/>
      <c r="R4400" s="752"/>
      <c r="S4400" s="752"/>
    </row>
    <row r="4401" spans="1:19" s="753" customFormat="1" ht="24" customHeight="1">
      <c r="A4401" s="734"/>
      <c r="B4401" s="747" t="s">
        <v>469</v>
      </c>
      <c r="C4401" s="735" t="s">
        <v>476</v>
      </c>
      <c r="D4401" s="735"/>
      <c r="E4401" s="737">
        <f t="shared" si="898"/>
        <v>1</v>
      </c>
      <c r="F4401" s="738" t="s">
        <v>363</v>
      </c>
      <c r="G4401" s="739">
        <v>336</v>
      </c>
      <c r="H4401" s="748">
        <f t="shared" si="900"/>
        <v>336</v>
      </c>
      <c r="I4401" s="741">
        <v>0</v>
      </c>
      <c r="J4401" s="749">
        <f t="shared" si="897"/>
        <v>0</v>
      </c>
      <c r="K4401" s="739">
        <f t="shared" si="901"/>
        <v>336</v>
      </c>
      <c r="L4401" s="1079"/>
      <c r="M4401" s="752"/>
      <c r="N4401" s="744">
        <f t="shared" si="899"/>
        <v>1</v>
      </c>
      <c r="O4401" s="745">
        <v>0</v>
      </c>
      <c r="P4401" s="737">
        <v>1</v>
      </c>
      <c r="Q4401" s="752"/>
      <c r="R4401" s="752"/>
      <c r="S4401" s="752"/>
    </row>
    <row r="4402" spans="1:19" s="753" customFormat="1" ht="24" customHeight="1">
      <c r="A4402" s="734"/>
      <c r="B4402" s="747" t="s">
        <v>469</v>
      </c>
      <c r="C4402" s="735" t="s">
        <v>477</v>
      </c>
      <c r="D4402" s="735"/>
      <c r="E4402" s="737">
        <f t="shared" si="898"/>
        <v>1</v>
      </c>
      <c r="F4402" s="738" t="s">
        <v>363</v>
      </c>
      <c r="G4402" s="739">
        <v>736</v>
      </c>
      <c r="H4402" s="748">
        <f t="shared" si="900"/>
        <v>736</v>
      </c>
      <c r="I4402" s="741">
        <v>0</v>
      </c>
      <c r="J4402" s="749">
        <f t="shared" si="897"/>
        <v>0</v>
      </c>
      <c r="K4402" s="739">
        <f t="shared" si="901"/>
        <v>736</v>
      </c>
      <c r="L4402" s="1079"/>
      <c r="M4402" s="752"/>
      <c r="N4402" s="744">
        <f t="shared" si="899"/>
        <v>1</v>
      </c>
      <c r="O4402" s="745">
        <v>0</v>
      </c>
      <c r="P4402" s="737">
        <v>1</v>
      </c>
      <c r="Q4402" s="752"/>
      <c r="R4402" s="752"/>
      <c r="S4402" s="752"/>
    </row>
    <row r="4403" spans="1:19" s="753" customFormat="1" ht="24" customHeight="1">
      <c r="A4403" s="734"/>
      <c r="B4403" s="747" t="s">
        <v>469</v>
      </c>
      <c r="C4403" s="735" t="s">
        <v>478</v>
      </c>
      <c r="D4403" s="735"/>
      <c r="E4403" s="737">
        <f t="shared" si="898"/>
        <v>1</v>
      </c>
      <c r="F4403" s="738" t="s">
        <v>363</v>
      </c>
      <c r="G4403" s="739">
        <v>176</v>
      </c>
      <c r="H4403" s="748">
        <f t="shared" si="900"/>
        <v>176</v>
      </c>
      <c r="I4403" s="741">
        <v>0</v>
      </c>
      <c r="J4403" s="749">
        <f t="shared" si="897"/>
        <v>0</v>
      </c>
      <c r="K4403" s="739">
        <f t="shared" si="901"/>
        <v>176</v>
      </c>
      <c r="L4403" s="1079"/>
      <c r="M4403" s="752"/>
      <c r="N4403" s="744">
        <f t="shared" si="899"/>
        <v>1</v>
      </c>
      <c r="O4403" s="745">
        <v>0</v>
      </c>
      <c r="P4403" s="737">
        <v>1</v>
      </c>
      <c r="Q4403" s="752"/>
      <c r="R4403" s="752"/>
      <c r="S4403" s="752"/>
    </row>
    <row r="4404" spans="1:19" s="753" customFormat="1" ht="24" customHeight="1">
      <c r="A4404" s="734"/>
      <c r="B4404" s="747" t="s">
        <v>469</v>
      </c>
      <c r="C4404" s="735" t="s">
        <v>499</v>
      </c>
      <c r="D4404" s="735"/>
      <c r="E4404" s="737">
        <f t="shared" si="898"/>
        <v>1</v>
      </c>
      <c r="F4404" s="738" t="s">
        <v>363</v>
      </c>
      <c r="G4404" s="739">
        <v>216</v>
      </c>
      <c r="H4404" s="748">
        <f t="shared" si="900"/>
        <v>216</v>
      </c>
      <c r="I4404" s="741">
        <v>35</v>
      </c>
      <c r="J4404" s="749">
        <f t="shared" si="897"/>
        <v>35</v>
      </c>
      <c r="K4404" s="739">
        <f t="shared" si="901"/>
        <v>251</v>
      </c>
      <c r="L4404" s="1079"/>
      <c r="M4404" s="752"/>
      <c r="N4404" s="744">
        <f t="shared" si="899"/>
        <v>1</v>
      </c>
      <c r="O4404" s="745">
        <v>0</v>
      </c>
      <c r="P4404" s="737">
        <v>1</v>
      </c>
      <c r="Q4404" s="752"/>
      <c r="R4404" s="752"/>
      <c r="S4404" s="752"/>
    </row>
    <row r="4405" spans="1:19" s="753" customFormat="1" ht="24" customHeight="1">
      <c r="A4405" s="734"/>
      <c r="B4405" s="750"/>
      <c r="C4405" s="757"/>
      <c r="D4405" s="907"/>
      <c r="E4405" s="737">
        <f t="shared" si="898"/>
        <v>0</v>
      </c>
      <c r="F4405" s="738"/>
      <c r="G4405" s="739">
        <v>0</v>
      </c>
      <c r="H4405" s="748">
        <f t="shared" si="900"/>
        <v>0</v>
      </c>
      <c r="I4405" s="741">
        <v>0</v>
      </c>
      <c r="J4405" s="749">
        <f t="shared" si="897"/>
        <v>0</v>
      </c>
      <c r="K4405" s="739">
        <f t="shared" si="901"/>
        <v>0</v>
      </c>
      <c r="L4405" s="1079"/>
      <c r="M4405" s="752"/>
      <c r="N4405" s="744">
        <f t="shared" si="899"/>
        <v>0</v>
      </c>
      <c r="O4405" s="745">
        <v>0</v>
      </c>
      <c r="P4405" s="737">
        <v>0</v>
      </c>
      <c r="Q4405" s="752"/>
      <c r="R4405" s="752"/>
      <c r="S4405" s="752"/>
    </row>
    <row r="4406" spans="1:19" s="753" customFormat="1" ht="24" customHeight="1">
      <c r="A4406" s="734"/>
      <c r="B4406" s="747" t="s">
        <v>469</v>
      </c>
      <c r="C4406" s="735" t="s">
        <v>523</v>
      </c>
      <c r="D4406" s="735"/>
      <c r="E4406" s="737">
        <f t="shared" si="898"/>
        <v>1</v>
      </c>
      <c r="F4406" s="738" t="s">
        <v>363</v>
      </c>
      <c r="G4406" s="739">
        <v>6580</v>
      </c>
      <c r="H4406" s="748">
        <f t="shared" si="900"/>
        <v>6580</v>
      </c>
      <c r="I4406" s="741">
        <v>450</v>
      </c>
      <c r="J4406" s="749">
        <f t="shared" si="897"/>
        <v>450</v>
      </c>
      <c r="K4406" s="739">
        <f t="shared" si="901"/>
        <v>7030</v>
      </c>
      <c r="L4406" s="1079"/>
      <c r="M4406" s="752"/>
      <c r="N4406" s="744">
        <f t="shared" si="899"/>
        <v>1</v>
      </c>
      <c r="O4406" s="745">
        <v>0</v>
      </c>
      <c r="P4406" s="737">
        <v>1</v>
      </c>
      <c r="Q4406" s="752"/>
      <c r="R4406" s="752"/>
      <c r="S4406" s="752"/>
    </row>
    <row r="4407" spans="1:19" s="753" customFormat="1" ht="24" customHeight="1">
      <c r="A4407" s="734"/>
      <c r="B4407" s="747" t="s">
        <v>469</v>
      </c>
      <c r="C4407" s="735" t="s">
        <v>478</v>
      </c>
      <c r="D4407" s="735"/>
      <c r="E4407" s="737">
        <f t="shared" si="898"/>
        <v>1</v>
      </c>
      <c r="F4407" s="738" t="s">
        <v>363</v>
      </c>
      <c r="G4407" s="739">
        <v>176</v>
      </c>
      <c r="H4407" s="748">
        <f t="shared" si="900"/>
        <v>176</v>
      </c>
      <c r="I4407" s="741">
        <v>0</v>
      </c>
      <c r="J4407" s="749">
        <f t="shared" si="897"/>
        <v>0</v>
      </c>
      <c r="K4407" s="739">
        <f t="shared" si="901"/>
        <v>176</v>
      </c>
      <c r="L4407" s="1079"/>
      <c r="M4407" s="752"/>
      <c r="N4407" s="744">
        <f t="shared" si="899"/>
        <v>1</v>
      </c>
      <c r="O4407" s="745">
        <v>0</v>
      </c>
      <c r="P4407" s="737">
        <v>1</v>
      </c>
      <c r="Q4407" s="752"/>
      <c r="R4407" s="752"/>
      <c r="S4407" s="752"/>
    </row>
    <row r="4408" spans="1:19" s="753" customFormat="1" ht="24" customHeight="1">
      <c r="A4408" s="734"/>
      <c r="B4408" s="747" t="s">
        <v>469</v>
      </c>
      <c r="C4408" s="735" t="s">
        <v>482</v>
      </c>
      <c r="D4408" s="735"/>
      <c r="E4408" s="737">
        <f t="shared" si="898"/>
        <v>1</v>
      </c>
      <c r="F4408" s="738" t="s">
        <v>363</v>
      </c>
      <c r="G4408" s="739">
        <v>560</v>
      </c>
      <c r="H4408" s="748">
        <f t="shared" si="900"/>
        <v>560</v>
      </c>
      <c r="I4408" s="741">
        <v>35</v>
      </c>
      <c r="J4408" s="749">
        <f t="shared" si="897"/>
        <v>35</v>
      </c>
      <c r="K4408" s="739">
        <f t="shared" si="901"/>
        <v>595</v>
      </c>
      <c r="L4408" s="1079"/>
      <c r="M4408" s="752"/>
      <c r="N4408" s="744">
        <f t="shared" si="899"/>
        <v>1</v>
      </c>
      <c r="O4408" s="745">
        <v>0</v>
      </c>
      <c r="P4408" s="737">
        <v>1</v>
      </c>
      <c r="Q4408" s="752"/>
      <c r="R4408" s="752"/>
      <c r="S4408" s="752"/>
    </row>
    <row r="4409" spans="1:19" s="753" customFormat="1" ht="24" customHeight="1">
      <c r="A4409" s="734"/>
      <c r="B4409" s="747" t="s">
        <v>469</v>
      </c>
      <c r="C4409" s="735" t="s">
        <v>524</v>
      </c>
      <c r="D4409" s="735"/>
      <c r="E4409" s="737">
        <f t="shared" si="898"/>
        <v>1</v>
      </c>
      <c r="F4409" s="738" t="s">
        <v>363</v>
      </c>
      <c r="G4409" s="739">
        <v>216</v>
      </c>
      <c r="H4409" s="748">
        <f t="shared" si="900"/>
        <v>216</v>
      </c>
      <c r="I4409" s="741">
        <v>35</v>
      </c>
      <c r="J4409" s="749">
        <f t="shared" si="897"/>
        <v>35</v>
      </c>
      <c r="K4409" s="739">
        <f t="shared" si="901"/>
        <v>251</v>
      </c>
      <c r="L4409" s="1079"/>
      <c r="M4409" s="752"/>
      <c r="N4409" s="744">
        <f t="shared" si="899"/>
        <v>1</v>
      </c>
      <c r="O4409" s="745">
        <v>0</v>
      </c>
      <c r="P4409" s="737">
        <v>1</v>
      </c>
      <c r="Q4409" s="752"/>
      <c r="R4409" s="752"/>
      <c r="S4409" s="752"/>
    </row>
    <row r="4410" spans="1:19" s="753" customFormat="1" ht="24" customHeight="1">
      <c r="A4410" s="734"/>
      <c r="B4410" s="747"/>
      <c r="C4410" s="735"/>
      <c r="D4410" s="735"/>
      <c r="E4410" s="737">
        <f t="shared" si="898"/>
        <v>0</v>
      </c>
      <c r="F4410" s="738"/>
      <c r="G4410" s="739">
        <v>0</v>
      </c>
      <c r="H4410" s="748">
        <f t="shared" si="900"/>
        <v>0</v>
      </c>
      <c r="I4410" s="741">
        <v>0</v>
      </c>
      <c r="J4410" s="749">
        <f t="shared" si="897"/>
        <v>0</v>
      </c>
      <c r="K4410" s="739">
        <f t="shared" si="901"/>
        <v>0</v>
      </c>
      <c r="L4410" s="1079"/>
      <c r="M4410" s="752"/>
      <c r="N4410" s="744">
        <f t="shared" si="899"/>
        <v>0</v>
      </c>
      <c r="O4410" s="745">
        <v>0</v>
      </c>
      <c r="P4410" s="737">
        <v>0</v>
      </c>
      <c r="Q4410" s="752"/>
      <c r="R4410" s="752"/>
      <c r="S4410" s="752"/>
    </row>
    <row r="4411" spans="1:19" s="753" customFormat="1" ht="24" customHeight="1">
      <c r="A4411" s="734"/>
      <c r="B4411" s="747" t="s">
        <v>469</v>
      </c>
      <c r="C4411" s="735" t="s">
        <v>486</v>
      </c>
      <c r="D4411" s="735"/>
      <c r="E4411" s="737">
        <f t="shared" si="898"/>
        <v>1</v>
      </c>
      <c r="F4411" s="738" t="s">
        <v>363</v>
      </c>
      <c r="G4411" s="739">
        <v>552</v>
      </c>
      <c r="H4411" s="748">
        <f t="shared" si="900"/>
        <v>552</v>
      </c>
      <c r="I4411" s="741">
        <v>25</v>
      </c>
      <c r="J4411" s="749">
        <f t="shared" si="897"/>
        <v>25</v>
      </c>
      <c r="K4411" s="739">
        <f t="shared" si="901"/>
        <v>577</v>
      </c>
      <c r="L4411" s="1079"/>
      <c r="M4411" s="752"/>
      <c r="N4411" s="744">
        <f t="shared" si="899"/>
        <v>1</v>
      </c>
      <c r="O4411" s="745">
        <v>0</v>
      </c>
      <c r="P4411" s="737">
        <v>1</v>
      </c>
      <c r="Q4411" s="752"/>
      <c r="R4411" s="752"/>
      <c r="S4411" s="752"/>
    </row>
    <row r="4412" spans="1:19" s="753" customFormat="1" ht="24" customHeight="1">
      <c r="A4412" s="734"/>
      <c r="B4412" s="747" t="s">
        <v>484</v>
      </c>
      <c r="C4412" s="735" t="s">
        <v>485</v>
      </c>
      <c r="D4412" s="735"/>
      <c r="E4412" s="737">
        <f t="shared" si="898"/>
        <v>1</v>
      </c>
      <c r="F4412" s="738" t="s">
        <v>363</v>
      </c>
      <c r="G4412" s="739">
        <v>285</v>
      </c>
      <c r="H4412" s="748">
        <f t="shared" si="900"/>
        <v>285</v>
      </c>
      <c r="I4412" s="741">
        <v>75</v>
      </c>
      <c r="J4412" s="749">
        <f t="shared" si="897"/>
        <v>75</v>
      </c>
      <c r="K4412" s="739">
        <f t="shared" si="901"/>
        <v>360</v>
      </c>
      <c r="L4412" s="1093"/>
      <c r="M4412" s="752"/>
      <c r="N4412" s="744">
        <f t="shared" si="899"/>
        <v>1</v>
      </c>
      <c r="O4412" s="745">
        <v>0</v>
      </c>
      <c r="P4412" s="737">
        <v>1</v>
      </c>
      <c r="Q4412" s="752"/>
      <c r="R4412" s="752"/>
      <c r="S4412" s="752"/>
    </row>
    <row r="4413" spans="1:19" s="753" customFormat="1" ht="24" customHeight="1">
      <c r="A4413" s="734"/>
      <c r="B4413" s="747"/>
      <c r="C4413" s="735"/>
      <c r="D4413" s="735"/>
      <c r="E4413" s="737">
        <f t="shared" si="898"/>
        <v>0</v>
      </c>
      <c r="F4413" s="738"/>
      <c r="G4413" s="739">
        <v>0</v>
      </c>
      <c r="H4413" s="748">
        <f t="shared" si="900"/>
        <v>0</v>
      </c>
      <c r="I4413" s="741">
        <v>0</v>
      </c>
      <c r="J4413" s="749">
        <f t="shared" si="897"/>
        <v>0</v>
      </c>
      <c r="K4413" s="739">
        <f t="shared" si="901"/>
        <v>0</v>
      </c>
      <c r="L4413" s="1079"/>
      <c r="M4413" s="752"/>
      <c r="N4413" s="744">
        <f t="shared" si="899"/>
        <v>0</v>
      </c>
      <c r="O4413" s="745">
        <v>0</v>
      </c>
      <c r="P4413" s="737">
        <v>0</v>
      </c>
      <c r="Q4413" s="752"/>
      <c r="R4413" s="752"/>
      <c r="S4413" s="752"/>
    </row>
    <row r="4414" spans="1:19" s="753" customFormat="1" ht="24" customHeight="1">
      <c r="A4414" s="734"/>
      <c r="B4414" s="747" t="s">
        <v>469</v>
      </c>
      <c r="C4414" s="735" t="s">
        <v>507</v>
      </c>
      <c r="D4414" s="735"/>
      <c r="E4414" s="737">
        <f t="shared" si="898"/>
        <v>1</v>
      </c>
      <c r="F4414" s="738" t="s">
        <v>363</v>
      </c>
      <c r="G4414" s="739">
        <v>1650</v>
      </c>
      <c r="H4414" s="748">
        <f t="shared" si="900"/>
        <v>1650</v>
      </c>
      <c r="I4414" s="741">
        <v>70</v>
      </c>
      <c r="J4414" s="749">
        <f t="shared" si="897"/>
        <v>70</v>
      </c>
      <c r="K4414" s="739">
        <f t="shared" si="901"/>
        <v>1720</v>
      </c>
      <c r="L4414" s="1079"/>
      <c r="M4414" s="752"/>
      <c r="N4414" s="744">
        <f t="shared" si="899"/>
        <v>1</v>
      </c>
      <c r="O4414" s="745">
        <v>0</v>
      </c>
      <c r="P4414" s="737">
        <v>1</v>
      </c>
      <c r="Q4414" s="752"/>
      <c r="R4414" s="752"/>
      <c r="S4414" s="752"/>
    </row>
    <row r="4415" spans="1:19" s="753" customFormat="1" ht="24" customHeight="1">
      <c r="A4415" s="734"/>
      <c r="B4415" s="747" t="s">
        <v>469</v>
      </c>
      <c r="C4415" s="735" t="s">
        <v>525</v>
      </c>
      <c r="D4415" s="735"/>
      <c r="E4415" s="737">
        <f t="shared" si="898"/>
        <v>2</v>
      </c>
      <c r="F4415" s="738" t="s">
        <v>363</v>
      </c>
      <c r="G4415" s="739">
        <v>4160</v>
      </c>
      <c r="H4415" s="748">
        <f t="shared" si="900"/>
        <v>8320</v>
      </c>
      <c r="I4415" s="741">
        <v>105</v>
      </c>
      <c r="J4415" s="749">
        <f t="shared" si="897"/>
        <v>210</v>
      </c>
      <c r="K4415" s="739">
        <f t="shared" si="901"/>
        <v>8530</v>
      </c>
      <c r="L4415" s="1079"/>
      <c r="M4415" s="752"/>
      <c r="N4415" s="744">
        <f t="shared" si="899"/>
        <v>2</v>
      </c>
      <c r="O4415" s="745">
        <v>0</v>
      </c>
      <c r="P4415" s="737">
        <v>2</v>
      </c>
      <c r="Q4415" s="752"/>
      <c r="R4415" s="752"/>
      <c r="S4415" s="752"/>
    </row>
    <row r="4416" spans="1:19" s="753" customFormat="1" ht="24" customHeight="1">
      <c r="A4416" s="734"/>
      <c r="B4416" s="747" t="s">
        <v>469</v>
      </c>
      <c r="C4416" s="735" t="s">
        <v>526</v>
      </c>
      <c r="D4416" s="735"/>
      <c r="E4416" s="737">
        <f t="shared" si="898"/>
        <v>1</v>
      </c>
      <c r="F4416" s="738" t="s">
        <v>363</v>
      </c>
      <c r="G4416" s="739">
        <v>2533.5</v>
      </c>
      <c r="H4416" s="748">
        <f t="shared" si="900"/>
        <v>2533.5</v>
      </c>
      <c r="I4416" s="741">
        <v>105</v>
      </c>
      <c r="J4416" s="749">
        <f t="shared" si="897"/>
        <v>105</v>
      </c>
      <c r="K4416" s="739">
        <f t="shared" si="901"/>
        <v>2638.5</v>
      </c>
      <c r="L4416" s="1079"/>
      <c r="M4416" s="752"/>
      <c r="N4416" s="744">
        <f t="shared" si="899"/>
        <v>1</v>
      </c>
      <c r="O4416" s="745">
        <v>0</v>
      </c>
      <c r="P4416" s="737">
        <v>1</v>
      </c>
      <c r="Q4416" s="752"/>
      <c r="R4416" s="752"/>
      <c r="S4416" s="752"/>
    </row>
    <row r="4417" spans="1:19" s="753" customFormat="1" ht="24" customHeight="1">
      <c r="A4417" s="734"/>
      <c r="B4417" s="747"/>
      <c r="C4417" s="735"/>
      <c r="D4417" s="735"/>
      <c r="E4417" s="737">
        <f t="shared" si="898"/>
        <v>0</v>
      </c>
      <c r="F4417" s="738"/>
      <c r="G4417" s="739">
        <v>0</v>
      </c>
      <c r="H4417" s="748">
        <f t="shared" si="900"/>
        <v>0</v>
      </c>
      <c r="I4417" s="741">
        <v>0</v>
      </c>
      <c r="J4417" s="749">
        <f t="shared" si="897"/>
        <v>0</v>
      </c>
      <c r="K4417" s="739">
        <f t="shared" si="901"/>
        <v>0</v>
      </c>
      <c r="L4417" s="1079"/>
      <c r="M4417" s="752"/>
      <c r="N4417" s="744">
        <f t="shared" si="899"/>
        <v>0</v>
      </c>
      <c r="O4417" s="745">
        <v>0</v>
      </c>
      <c r="P4417" s="737">
        <v>0</v>
      </c>
      <c r="Q4417" s="752"/>
      <c r="R4417" s="752"/>
      <c r="S4417" s="752"/>
    </row>
    <row r="4418" spans="1:19" s="753" customFormat="1" ht="24" customHeight="1">
      <c r="A4418" s="734"/>
      <c r="B4418" s="747" t="s">
        <v>469</v>
      </c>
      <c r="C4418" s="735" t="s">
        <v>527</v>
      </c>
      <c r="D4418" s="735"/>
      <c r="E4418" s="737">
        <f t="shared" si="898"/>
        <v>1</v>
      </c>
      <c r="F4418" s="738" t="s">
        <v>363</v>
      </c>
      <c r="G4418" s="739">
        <v>2855</v>
      </c>
      <c r="H4418" s="748">
        <f t="shared" si="900"/>
        <v>2855</v>
      </c>
      <c r="I4418" s="741">
        <v>1432</v>
      </c>
      <c r="J4418" s="749">
        <f t="shared" si="897"/>
        <v>1432</v>
      </c>
      <c r="K4418" s="739">
        <f t="shared" si="901"/>
        <v>4287</v>
      </c>
      <c r="L4418" s="1079"/>
      <c r="M4418" s="752"/>
      <c r="N4418" s="744">
        <f t="shared" si="899"/>
        <v>1</v>
      </c>
      <c r="O4418" s="745">
        <v>0</v>
      </c>
      <c r="P4418" s="737">
        <v>1</v>
      </c>
      <c r="Q4418" s="752"/>
      <c r="R4418" s="752"/>
      <c r="S4418" s="752"/>
    </row>
    <row r="4419" spans="1:19" s="682" customFormat="1" ht="24" customHeight="1">
      <c r="A4419" s="734"/>
      <c r="B4419" s="747" t="s">
        <v>469</v>
      </c>
      <c r="C4419" s="735" t="s">
        <v>528</v>
      </c>
      <c r="D4419" s="735"/>
      <c r="E4419" s="737">
        <f t="shared" si="898"/>
        <v>0</v>
      </c>
      <c r="F4419" s="738" t="s">
        <v>363</v>
      </c>
      <c r="G4419" s="739">
        <v>9750</v>
      </c>
      <c r="H4419" s="748">
        <f t="shared" si="900"/>
        <v>0</v>
      </c>
      <c r="I4419" s="741">
        <v>105</v>
      </c>
      <c r="J4419" s="749">
        <f t="shared" ref="J4419:J4426" si="902">SUM(E4419*I4419)</f>
        <v>0</v>
      </c>
      <c r="K4419" s="739">
        <f t="shared" si="901"/>
        <v>0</v>
      </c>
      <c r="L4419" s="1079"/>
      <c r="M4419" s="679"/>
      <c r="N4419" s="744">
        <f t="shared" si="899"/>
        <v>0</v>
      </c>
      <c r="O4419" s="745">
        <v>0</v>
      </c>
      <c r="P4419" s="737">
        <v>0</v>
      </c>
      <c r="Q4419" s="679"/>
      <c r="R4419" s="679"/>
      <c r="S4419" s="679"/>
    </row>
    <row r="4420" spans="1:19" s="682" customFormat="1" ht="24" customHeight="1">
      <c r="A4420" s="734"/>
      <c r="B4420" s="747" t="s">
        <v>469</v>
      </c>
      <c r="C4420" s="735" t="s">
        <v>529</v>
      </c>
      <c r="D4420" s="735"/>
      <c r="E4420" s="737">
        <f t="shared" si="898"/>
        <v>0</v>
      </c>
      <c r="F4420" s="738" t="s">
        <v>363</v>
      </c>
      <c r="G4420" s="739">
        <v>5200</v>
      </c>
      <c r="H4420" s="748">
        <f t="shared" si="900"/>
        <v>0</v>
      </c>
      <c r="I4420" s="741">
        <v>70</v>
      </c>
      <c r="J4420" s="749">
        <f t="shared" si="902"/>
        <v>0</v>
      </c>
      <c r="K4420" s="739">
        <f t="shared" si="901"/>
        <v>0</v>
      </c>
      <c r="L4420" s="1079"/>
      <c r="M4420" s="679"/>
      <c r="N4420" s="744">
        <f t="shared" si="899"/>
        <v>0</v>
      </c>
      <c r="O4420" s="745">
        <v>0</v>
      </c>
      <c r="P4420" s="737">
        <v>0</v>
      </c>
      <c r="Q4420" s="679"/>
      <c r="R4420" s="679"/>
      <c r="S4420" s="679"/>
    </row>
    <row r="4421" spans="1:19" s="682" customFormat="1" ht="24" customHeight="1">
      <c r="A4421" s="734"/>
      <c r="B4421" s="747" t="s">
        <v>469</v>
      </c>
      <c r="C4421" s="735" t="s">
        <v>519</v>
      </c>
      <c r="D4421" s="735"/>
      <c r="E4421" s="737">
        <f t="shared" si="898"/>
        <v>1</v>
      </c>
      <c r="F4421" s="738" t="s">
        <v>363</v>
      </c>
      <c r="G4421" s="739">
        <v>800</v>
      </c>
      <c r="H4421" s="748">
        <f t="shared" si="900"/>
        <v>800</v>
      </c>
      <c r="I4421" s="741">
        <v>70</v>
      </c>
      <c r="J4421" s="749">
        <f t="shared" si="902"/>
        <v>70</v>
      </c>
      <c r="K4421" s="739">
        <f t="shared" si="901"/>
        <v>870</v>
      </c>
      <c r="L4421" s="1079"/>
      <c r="M4421" s="679"/>
      <c r="N4421" s="744">
        <f t="shared" si="899"/>
        <v>1</v>
      </c>
      <c r="O4421" s="745">
        <v>0</v>
      </c>
      <c r="P4421" s="737">
        <v>1</v>
      </c>
      <c r="Q4421" s="679"/>
      <c r="R4421" s="679"/>
      <c r="S4421" s="679"/>
    </row>
    <row r="4422" spans="1:19" s="682" customFormat="1" ht="24" customHeight="1">
      <c r="A4422" s="734"/>
      <c r="B4422" s="747" t="s">
        <v>469</v>
      </c>
      <c r="C4422" s="735" t="s">
        <v>520</v>
      </c>
      <c r="D4422" s="735"/>
      <c r="E4422" s="737">
        <f t="shared" ref="E4422:E4426" si="903">+N4422</f>
        <v>0</v>
      </c>
      <c r="F4422" s="738" t="s">
        <v>361</v>
      </c>
      <c r="G4422" s="739">
        <v>190</v>
      </c>
      <c r="H4422" s="748">
        <f t="shared" si="900"/>
        <v>0</v>
      </c>
      <c r="I4422" s="741">
        <v>75</v>
      </c>
      <c r="J4422" s="749">
        <f t="shared" si="902"/>
        <v>0</v>
      </c>
      <c r="K4422" s="739">
        <f t="shared" si="901"/>
        <v>0</v>
      </c>
      <c r="L4422" s="1079"/>
      <c r="M4422" s="679"/>
      <c r="N4422" s="744">
        <f t="shared" si="899"/>
        <v>0</v>
      </c>
      <c r="O4422" s="745">
        <v>0</v>
      </c>
      <c r="P4422" s="737">
        <v>0</v>
      </c>
      <c r="Q4422" s="679"/>
      <c r="R4422" s="679"/>
      <c r="S4422" s="679"/>
    </row>
    <row r="4423" spans="1:19" s="753" customFormat="1" ht="24" customHeight="1">
      <c r="A4423" s="734"/>
      <c r="B4423" s="747"/>
      <c r="C4423" s="735"/>
      <c r="D4423" s="735"/>
      <c r="E4423" s="737">
        <f t="shared" si="903"/>
        <v>0</v>
      </c>
      <c r="F4423" s="738"/>
      <c r="G4423" s="739">
        <v>0</v>
      </c>
      <c r="H4423" s="748">
        <f t="shared" si="900"/>
        <v>0</v>
      </c>
      <c r="I4423" s="741">
        <v>0</v>
      </c>
      <c r="J4423" s="749">
        <f t="shared" si="902"/>
        <v>0</v>
      </c>
      <c r="K4423" s="739">
        <f t="shared" si="901"/>
        <v>0</v>
      </c>
      <c r="L4423" s="1079"/>
      <c r="M4423" s="752"/>
      <c r="N4423" s="758">
        <f t="shared" si="899"/>
        <v>0</v>
      </c>
      <c r="O4423" s="745">
        <v>0</v>
      </c>
      <c r="P4423" s="759">
        <v>0</v>
      </c>
      <c r="Q4423" s="752"/>
      <c r="R4423" s="752"/>
      <c r="S4423" s="752"/>
    </row>
    <row r="4424" spans="1:19" s="753" customFormat="1" ht="24" customHeight="1">
      <c r="A4424" s="734"/>
      <c r="B4424" s="751" t="s">
        <v>1092</v>
      </c>
      <c r="C4424" s="735"/>
      <c r="D4424" s="735"/>
      <c r="E4424" s="737">
        <f t="shared" si="903"/>
        <v>0</v>
      </c>
      <c r="F4424" s="738"/>
      <c r="G4424" s="739">
        <v>0</v>
      </c>
      <c r="H4424" s="748">
        <f t="shared" si="900"/>
        <v>0</v>
      </c>
      <c r="I4424" s="741">
        <v>0</v>
      </c>
      <c r="J4424" s="749">
        <f t="shared" si="902"/>
        <v>0</v>
      </c>
      <c r="K4424" s="739">
        <f t="shared" si="901"/>
        <v>0</v>
      </c>
      <c r="L4424" s="1079"/>
      <c r="M4424" s="752"/>
      <c r="N4424" s="744">
        <f t="shared" si="899"/>
        <v>0</v>
      </c>
      <c r="O4424" s="745">
        <v>0</v>
      </c>
      <c r="P4424" s="737">
        <v>0</v>
      </c>
      <c r="Q4424" s="752"/>
      <c r="R4424" s="752"/>
      <c r="S4424" s="752"/>
    </row>
    <row r="4425" spans="1:19" s="753" customFormat="1" ht="24" customHeight="1">
      <c r="A4425" s="734"/>
      <c r="B4425" s="747" t="s">
        <v>469</v>
      </c>
      <c r="C4425" s="735" t="s">
        <v>486</v>
      </c>
      <c r="D4425" s="735"/>
      <c r="E4425" s="737">
        <f t="shared" si="903"/>
        <v>1</v>
      </c>
      <c r="F4425" s="738" t="s">
        <v>363</v>
      </c>
      <c r="G4425" s="739">
        <v>552</v>
      </c>
      <c r="H4425" s="748">
        <f t="shared" si="900"/>
        <v>552</v>
      </c>
      <c r="I4425" s="741">
        <v>25</v>
      </c>
      <c r="J4425" s="749">
        <f t="shared" si="902"/>
        <v>25</v>
      </c>
      <c r="K4425" s="739">
        <f t="shared" si="901"/>
        <v>577</v>
      </c>
      <c r="L4425" s="1079"/>
      <c r="M4425" s="752"/>
      <c r="N4425" s="744">
        <f t="shared" si="899"/>
        <v>1</v>
      </c>
      <c r="O4425" s="745">
        <v>0</v>
      </c>
      <c r="P4425" s="737">
        <v>1</v>
      </c>
      <c r="Q4425" s="752"/>
      <c r="R4425" s="752"/>
      <c r="S4425" s="752"/>
    </row>
    <row r="4426" spans="1:19" s="753" customFormat="1" ht="24" customHeight="1">
      <c r="A4426" s="734"/>
      <c r="B4426" s="747" t="s">
        <v>484</v>
      </c>
      <c r="C4426" s="735" t="s">
        <v>485</v>
      </c>
      <c r="D4426" s="735"/>
      <c r="E4426" s="737">
        <f t="shared" si="903"/>
        <v>1</v>
      </c>
      <c r="F4426" s="738" t="s">
        <v>363</v>
      </c>
      <c r="G4426" s="739">
        <v>285</v>
      </c>
      <c r="H4426" s="748">
        <f t="shared" si="900"/>
        <v>285</v>
      </c>
      <c r="I4426" s="741">
        <v>75</v>
      </c>
      <c r="J4426" s="749">
        <f t="shared" si="902"/>
        <v>75</v>
      </c>
      <c r="K4426" s="739">
        <f t="shared" si="901"/>
        <v>360</v>
      </c>
      <c r="L4426" s="1093"/>
      <c r="M4426" s="752"/>
      <c r="N4426" s="744">
        <f t="shared" si="899"/>
        <v>1</v>
      </c>
      <c r="O4426" s="745">
        <v>0</v>
      </c>
      <c r="P4426" s="737">
        <v>1</v>
      </c>
      <c r="Q4426" s="752"/>
      <c r="R4426" s="752"/>
      <c r="S4426" s="752"/>
    </row>
    <row r="4427" spans="1:19" s="753" customFormat="1" ht="24" customHeight="1">
      <c r="A4427" s="764"/>
      <c r="B4427" s="765"/>
      <c r="C4427" s="766"/>
      <c r="D4427" s="766"/>
      <c r="E4427" s="767"/>
      <c r="F4427" s="768"/>
      <c r="G4427" s="769"/>
      <c r="H4427" s="770"/>
      <c r="I4427" s="771"/>
      <c r="J4427" s="772"/>
      <c r="K4427" s="769"/>
      <c r="L4427" s="1094"/>
      <c r="M4427" s="752"/>
      <c r="N4427" s="773">
        <f t="shared" si="899"/>
        <v>0</v>
      </c>
      <c r="O4427" s="745">
        <v>0</v>
      </c>
      <c r="P4427" s="767">
        <v>0</v>
      </c>
      <c r="Q4427" s="752"/>
      <c r="R4427" s="752"/>
      <c r="S4427" s="752"/>
    </row>
    <row r="4428" spans="1:19">
      <c r="A4428" s="662"/>
      <c r="B4428" s="2230" t="s">
        <v>1079</v>
      </c>
      <c r="C4428" s="2230"/>
      <c r="D4428" s="2230"/>
      <c r="E4428" s="774"/>
      <c r="F4428" s="775"/>
      <c r="G4428" s="776"/>
      <c r="H4428" s="777">
        <f>SUBTOTAL(9,H2089:H4427)</f>
        <v>21043532.899999999</v>
      </c>
      <c r="I4428" s="778"/>
      <c r="J4428" s="777">
        <f>SUBTOTAL(9,J2089:J4427)</f>
        <v>1736427.0499999989</v>
      </c>
      <c r="K4428" s="777">
        <f>SUBTOTAL(9,K2089:K4427)</f>
        <v>22779959.95000001</v>
      </c>
      <c r="L4428" s="662"/>
      <c r="N4428" s="779">
        <f t="shared" si="899"/>
        <v>0</v>
      </c>
      <c r="O4428" s="745">
        <v>0</v>
      </c>
      <c r="P4428" s="774">
        <v>0</v>
      </c>
    </row>
    <row r="4429" spans="1:19">
      <c r="A4429" s="780">
        <v>2.8</v>
      </c>
      <c r="B4429" s="1143" t="s">
        <v>542</v>
      </c>
      <c r="C4429" s="1144"/>
      <c r="D4429" s="1145"/>
      <c r="E4429" s="781"/>
      <c r="F4429" s="782"/>
      <c r="G4429" s="783"/>
      <c r="H4429" s="784"/>
      <c r="I4429" s="785"/>
      <c r="J4429" s="784"/>
      <c r="K4429" s="1095"/>
      <c r="L4429" s="1082"/>
      <c r="N4429" s="786">
        <f t="shared" ref="N4429:N4492" si="904">+(1+O4429)*P4429</f>
        <v>0</v>
      </c>
      <c r="O4429" s="745">
        <v>0</v>
      </c>
      <c r="P4429" s="781">
        <v>0</v>
      </c>
    </row>
    <row r="4430" spans="1:19">
      <c r="A4430" s="787"/>
      <c r="B4430" s="1146"/>
      <c r="C4430" s="788" t="s">
        <v>543</v>
      </c>
      <c r="D4430" s="1147"/>
      <c r="E4430" s="789"/>
      <c r="F4430" s="790"/>
      <c r="G4430" s="791"/>
      <c r="H4430" s="792"/>
      <c r="I4430" s="791"/>
      <c r="J4430" s="792"/>
      <c r="K4430" s="1096"/>
      <c r="L4430" s="1061"/>
      <c r="N4430" s="793">
        <f t="shared" si="904"/>
        <v>0</v>
      </c>
      <c r="O4430" s="745">
        <v>0</v>
      </c>
      <c r="P4430" s="789">
        <v>0</v>
      </c>
    </row>
    <row r="4431" spans="1:19">
      <c r="A4431" s="787"/>
      <c r="B4431" s="1146"/>
      <c r="C4431" s="788"/>
      <c r="D4431" s="1147"/>
      <c r="E4431" s="789"/>
      <c r="F4431" s="790"/>
      <c r="G4431" s="791"/>
      <c r="H4431" s="792"/>
      <c r="I4431" s="791"/>
      <c r="J4431" s="792"/>
      <c r="K4431" s="1096"/>
      <c r="L4431" s="1061"/>
      <c r="N4431" s="793">
        <f t="shared" si="904"/>
        <v>0</v>
      </c>
      <c r="O4431" s="745">
        <v>0</v>
      </c>
      <c r="P4431" s="789">
        <v>0</v>
      </c>
    </row>
    <row r="4432" spans="1:19">
      <c r="A4432" s="787"/>
      <c r="B4432" s="1146"/>
      <c r="C4432" s="788"/>
      <c r="D4432" s="1147"/>
      <c r="E4432" s="789"/>
      <c r="F4432" s="790"/>
      <c r="G4432" s="791"/>
      <c r="H4432" s="792"/>
      <c r="I4432" s="791"/>
      <c r="J4432" s="792"/>
      <c r="K4432" s="1096"/>
      <c r="L4432" s="1061"/>
      <c r="N4432" s="793">
        <f t="shared" si="904"/>
        <v>0</v>
      </c>
      <c r="O4432" s="745">
        <v>0</v>
      </c>
      <c r="P4432" s="789">
        <v>0</v>
      </c>
    </row>
    <row r="4433" spans="1:20">
      <c r="A4433" s="662"/>
      <c r="B4433" s="2230" t="s">
        <v>544</v>
      </c>
      <c r="C4433" s="2230"/>
      <c r="D4433" s="2230"/>
      <c r="E4433" s="774"/>
      <c r="F4433" s="775"/>
      <c r="G4433" s="776"/>
      <c r="H4433" s="605"/>
      <c r="I4433" s="778"/>
      <c r="J4433" s="605"/>
      <c r="K4433" s="1097">
        <f>SUM(K4429:K4432)</f>
        <v>0</v>
      </c>
      <c r="L4433" s="662"/>
      <c r="N4433" s="779">
        <f t="shared" si="904"/>
        <v>0</v>
      </c>
      <c r="O4433" s="745">
        <v>0</v>
      </c>
      <c r="P4433" s="774">
        <v>0</v>
      </c>
    </row>
    <row r="4434" spans="1:20">
      <c r="A4434" s="794">
        <v>2.9</v>
      </c>
      <c r="B4434" s="795" t="s">
        <v>545</v>
      </c>
      <c r="C4434" s="796"/>
      <c r="D4434" s="908"/>
      <c r="E4434" s="797"/>
      <c r="F4434" s="798"/>
      <c r="G4434" s="799"/>
      <c r="H4434" s="800"/>
      <c r="I4434" s="801"/>
      <c r="J4434" s="800"/>
      <c r="K4434" s="1098"/>
      <c r="L4434" s="1059"/>
      <c r="N4434" s="802">
        <f t="shared" si="904"/>
        <v>0</v>
      </c>
      <c r="O4434" s="745">
        <v>0</v>
      </c>
      <c r="P4434" s="797">
        <v>0</v>
      </c>
    </row>
    <row r="4435" spans="1:20" s="492" customFormat="1">
      <c r="A4435" s="734" t="s">
        <v>565</v>
      </c>
      <c r="B4435" s="750" t="s">
        <v>550</v>
      </c>
      <c r="C4435" s="803"/>
      <c r="D4435" s="907"/>
      <c r="E4435" s="789">
        <f t="shared" ref="E4435:E4501" si="905">+N4435</f>
        <v>0</v>
      </c>
      <c r="F4435" s="790"/>
      <c r="G4435" s="804">
        <v>0</v>
      </c>
      <c r="H4435" s="805">
        <f t="shared" ref="H4435:H4501" si="906">+E4435*G4435</f>
        <v>0</v>
      </c>
      <c r="I4435" s="791">
        <v>0</v>
      </c>
      <c r="J4435" s="805">
        <f t="shared" ref="J4435:J4502" si="907">+E4435*I4435</f>
        <v>0</v>
      </c>
      <c r="K4435" s="1099">
        <f t="shared" ref="K4435:K4502" si="908">+H4435+J4435</f>
        <v>0</v>
      </c>
      <c r="L4435" s="1061"/>
      <c r="N4435" s="793">
        <f t="shared" si="904"/>
        <v>0</v>
      </c>
      <c r="O4435" s="745">
        <v>0</v>
      </c>
      <c r="P4435" s="789">
        <v>0</v>
      </c>
      <c r="T4435" s="495"/>
    </row>
    <row r="4436" spans="1:20" s="492" customFormat="1">
      <c r="A4436" s="806"/>
      <c r="B4436" s="747" t="s">
        <v>469</v>
      </c>
      <c r="C4436" s="735" t="s">
        <v>2558</v>
      </c>
      <c r="D4436" s="735"/>
      <c r="E4436" s="789">
        <f t="shared" si="905"/>
        <v>116.5</v>
      </c>
      <c r="F4436" s="790" t="s">
        <v>547</v>
      </c>
      <c r="G4436" s="804">
        <f>113+583</f>
        <v>696</v>
      </c>
      <c r="H4436" s="805">
        <f t="shared" si="906"/>
        <v>81084</v>
      </c>
      <c r="I4436" s="791">
        <f>61+294</f>
        <v>355</v>
      </c>
      <c r="J4436" s="805">
        <f t="shared" si="907"/>
        <v>41357.5</v>
      </c>
      <c r="K4436" s="1099">
        <f t="shared" si="908"/>
        <v>122441.5</v>
      </c>
      <c r="L4436" s="1061"/>
      <c r="N4436" s="793">
        <f t="shared" si="904"/>
        <v>116.5</v>
      </c>
      <c r="O4436" s="745">
        <v>0</v>
      </c>
      <c r="P4436" s="789">
        <v>116.5</v>
      </c>
      <c r="T4436" s="495"/>
    </row>
    <row r="4437" spans="1:20" s="492" customFormat="1">
      <c r="A4437" s="806"/>
      <c r="B4437" s="747" t="s">
        <v>469</v>
      </c>
      <c r="C4437" s="735" t="s">
        <v>767</v>
      </c>
      <c r="D4437" s="735"/>
      <c r="E4437" s="789">
        <f t="shared" si="905"/>
        <v>368</v>
      </c>
      <c r="F4437" s="790" t="s">
        <v>34</v>
      </c>
      <c r="G4437" s="804">
        <v>165</v>
      </c>
      <c r="H4437" s="805">
        <f t="shared" si="906"/>
        <v>60720</v>
      </c>
      <c r="I4437" s="791">
        <v>112</v>
      </c>
      <c r="J4437" s="805">
        <f t="shared" si="907"/>
        <v>41216</v>
      </c>
      <c r="K4437" s="1099">
        <f t="shared" si="908"/>
        <v>101936</v>
      </c>
      <c r="L4437" s="1061"/>
      <c r="N4437" s="793">
        <f t="shared" si="904"/>
        <v>368</v>
      </c>
      <c r="O4437" s="745">
        <v>0</v>
      </c>
      <c r="P4437" s="789">
        <v>368</v>
      </c>
      <c r="T4437" s="495"/>
    </row>
    <row r="4438" spans="1:20" s="492" customFormat="1">
      <c r="A4438" s="806"/>
      <c r="B4438" s="747" t="s">
        <v>469</v>
      </c>
      <c r="C4438" s="735" t="s">
        <v>551</v>
      </c>
      <c r="D4438" s="735"/>
      <c r="E4438" s="789">
        <f t="shared" si="905"/>
        <v>466</v>
      </c>
      <c r="F4438" s="790" t="s">
        <v>361</v>
      </c>
      <c r="G4438" s="804">
        <v>175</v>
      </c>
      <c r="H4438" s="805">
        <f t="shared" si="906"/>
        <v>81550</v>
      </c>
      <c r="I4438" s="791">
        <v>50</v>
      </c>
      <c r="J4438" s="805">
        <f t="shared" si="907"/>
        <v>23300</v>
      </c>
      <c r="K4438" s="1099">
        <f t="shared" si="908"/>
        <v>104850</v>
      </c>
      <c r="L4438" s="1061"/>
      <c r="N4438" s="793">
        <f t="shared" si="904"/>
        <v>466</v>
      </c>
      <c r="O4438" s="745">
        <v>0</v>
      </c>
      <c r="P4438" s="789">
        <v>466</v>
      </c>
      <c r="T4438" s="495"/>
    </row>
    <row r="4439" spans="1:20" s="492" customFormat="1">
      <c r="A4439" s="806"/>
      <c r="B4439" s="747" t="s">
        <v>469</v>
      </c>
      <c r="C4439" s="735" t="s">
        <v>2559</v>
      </c>
      <c r="D4439" s="735"/>
      <c r="E4439" s="789">
        <f t="shared" si="905"/>
        <v>144</v>
      </c>
      <c r="F4439" s="790" t="s">
        <v>361</v>
      </c>
      <c r="G4439" s="804">
        <v>2500</v>
      </c>
      <c r="H4439" s="805">
        <f t="shared" si="906"/>
        <v>360000</v>
      </c>
      <c r="I4439" s="791">
        <v>500</v>
      </c>
      <c r="J4439" s="805">
        <f t="shared" si="907"/>
        <v>72000</v>
      </c>
      <c r="K4439" s="1099">
        <f t="shared" si="908"/>
        <v>432000</v>
      </c>
      <c r="L4439" s="1061"/>
      <c r="N4439" s="793">
        <f t="shared" si="904"/>
        <v>144</v>
      </c>
      <c r="O4439" s="745">
        <v>0</v>
      </c>
      <c r="P4439" s="789">
        <v>144</v>
      </c>
      <c r="T4439" s="495"/>
    </row>
    <row r="4440" spans="1:20" s="492" customFormat="1">
      <c r="A4440" s="806"/>
      <c r="B4440" s="747" t="s">
        <v>469</v>
      </c>
      <c r="C4440" s="735" t="s">
        <v>2560</v>
      </c>
      <c r="D4440" s="735"/>
      <c r="E4440" s="789">
        <f t="shared" si="905"/>
        <v>0</v>
      </c>
      <c r="F4440" s="790" t="s">
        <v>361</v>
      </c>
      <c r="G4440" s="804">
        <v>1200</v>
      </c>
      <c r="H4440" s="805">
        <f t="shared" si="906"/>
        <v>0</v>
      </c>
      <c r="I4440" s="791">
        <v>500</v>
      </c>
      <c r="J4440" s="805">
        <f t="shared" si="907"/>
        <v>0</v>
      </c>
      <c r="K4440" s="1099">
        <f t="shared" si="908"/>
        <v>0</v>
      </c>
      <c r="L4440" s="1061"/>
      <c r="N4440" s="793">
        <f t="shared" si="904"/>
        <v>0</v>
      </c>
      <c r="O4440" s="745">
        <v>0</v>
      </c>
      <c r="P4440" s="789">
        <v>0</v>
      </c>
      <c r="T4440" s="495"/>
    </row>
    <row r="4441" spans="1:20" s="492" customFormat="1">
      <c r="A4441" s="806"/>
      <c r="B4441" s="747" t="s">
        <v>469</v>
      </c>
      <c r="C4441" s="735" t="s">
        <v>552</v>
      </c>
      <c r="D4441" s="735"/>
      <c r="E4441" s="789">
        <f t="shared" si="905"/>
        <v>95</v>
      </c>
      <c r="F4441" s="790" t="s">
        <v>547</v>
      </c>
      <c r="G4441" s="804">
        <f>113+583</f>
        <v>696</v>
      </c>
      <c r="H4441" s="805">
        <f t="shared" si="906"/>
        <v>66120</v>
      </c>
      <c r="I4441" s="791">
        <f>61+294</f>
        <v>355</v>
      </c>
      <c r="J4441" s="805">
        <f t="shared" si="907"/>
        <v>33725</v>
      </c>
      <c r="K4441" s="1099">
        <f t="shared" si="908"/>
        <v>99845</v>
      </c>
      <c r="L4441" s="1061"/>
      <c r="N4441" s="793">
        <f t="shared" si="904"/>
        <v>95</v>
      </c>
      <c r="O4441" s="745">
        <v>0</v>
      </c>
      <c r="P4441" s="789">
        <v>95</v>
      </c>
      <c r="T4441" s="495"/>
    </row>
    <row r="4442" spans="1:20" s="492" customFormat="1">
      <c r="A4442" s="806"/>
      <c r="B4442" s="747" t="s">
        <v>469</v>
      </c>
      <c r="C4442" s="735" t="s">
        <v>553</v>
      </c>
      <c r="D4442" s="735"/>
      <c r="E4442" s="789">
        <f t="shared" si="905"/>
        <v>1430.2</v>
      </c>
      <c r="F4442" s="790" t="s">
        <v>547</v>
      </c>
      <c r="G4442" s="804">
        <f>88+69</f>
        <v>157</v>
      </c>
      <c r="H4442" s="805">
        <f t="shared" si="906"/>
        <v>224541.4</v>
      </c>
      <c r="I4442" s="791">
        <f>82+28</f>
        <v>110</v>
      </c>
      <c r="J4442" s="805">
        <f t="shared" si="907"/>
        <v>157322</v>
      </c>
      <c r="K4442" s="1099">
        <f t="shared" si="908"/>
        <v>381863.4</v>
      </c>
      <c r="L4442" s="1061"/>
      <c r="M4442" s="492" t="s">
        <v>768</v>
      </c>
      <c r="N4442" s="793">
        <f t="shared" si="904"/>
        <v>1430.2</v>
      </c>
      <c r="O4442" s="745">
        <v>0</v>
      </c>
      <c r="P4442" s="789">
        <v>1430.2</v>
      </c>
      <c r="T4442" s="495"/>
    </row>
    <row r="4443" spans="1:20" s="492" customFormat="1">
      <c r="A4443" s="806"/>
      <c r="B4443" s="747" t="s">
        <v>469</v>
      </c>
      <c r="C4443" s="735" t="s">
        <v>769</v>
      </c>
      <c r="D4443" s="735"/>
      <c r="E4443" s="789">
        <f t="shared" si="905"/>
        <v>301</v>
      </c>
      <c r="F4443" s="790" t="s">
        <v>361</v>
      </c>
      <c r="G4443" s="804">
        <v>2500</v>
      </c>
      <c r="H4443" s="805">
        <f t="shared" si="906"/>
        <v>752500</v>
      </c>
      <c r="I4443" s="791">
        <f>+I4439</f>
        <v>500</v>
      </c>
      <c r="J4443" s="805">
        <f t="shared" si="907"/>
        <v>150500</v>
      </c>
      <c r="K4443" s="1099">
        <f t="shared" si="908"/>
        <v>903000</v>
      </c>
      <c r="L4443" s="1061"/>
      <c r="N4443" s="793">
        <f t="shared" si="904"/>
        <v>301</v>
      </c>
      <c r="O4443" s="745">
        <v>0</v>
      </c>
      <c r="P4443" s="789">
        <v>301</v>
      </c>
      <c r="T4443" s="495"/>
    </row>
    <row r="4444" spans="1:20" s="492" customFormat="1">
      <c r="A4444" s="806"/>
      <c r="B4444" s="747" t="s">
        <v>469</v>
      </c>
      <c r="C4444" s="735" t="s">
        <v>770</v>
      </c>
      <c r="D4444" s="735"/>
      <c r="E4444" s="789">
        <f t="shared" si="905"/>
        <v>129.6</v>
      </c>
      <c r="F4444" s="790" t="s">
        <v>34</v>
      </c>
      <c r="G4444" s="804">
        <v>281</v>
      </c>
      <c r="H4444" s="805">
        <f t="shared" si="906"/>
        <v>36417.599999999999</v>
      </c>
      <c r="I4444" s="791">
        <v>80</v>
      </c>
      <c r="J4444" s="805">
        <f t="shared" si="907"/>
        <v>10368</v>
      </c>
      <c r="K4444" s="1099">
        <f t="shared" si="908"/>
        <v>46785.599999999999</v>
      </c>
      <c r="L4444" s="1061"/>
      <c r="N4444" s="793">
        <f t="shared" si="904"/>
        <v>129.6</v>
      </c>
      <c r="O4444" s="745">
        <v>0</v>
      </c>
      <c r="P4444" s="789">
        <v>129.6</v>
      </c>
      <c r="T4444" s="495"/>
    </row>
    <row r="4445" spans="1:20" s="492" customFormat="1">
      <c r="A4445" s="734"/>
      <c r="B4445" s="750"/>
      <c r="C4445" s="803"/>
      <c r="D4445" s="907"/>
      <c r="E4445" s="789">
        <f t="shared" si="905"/>
        <v>0</v>
      </c>
      <c r="F4445" s="790"/>
      <c r="G4445" s="804"/>
      <c r="H4445" s="805">
        <f t="shared" si="906"/>
        <v>0</v>
      </c>
      <c r="I4445" s="791"/>
      <c r="J4445" s="805">
        <f t="shared" si="907"/>
        <v>0</v>
      </c>
      <c r="K4445" s="1099">
        <f t="shared" si="908"/>
        <v>0</v>
      </c>
      <c r="L4445" s="1061"/>
      <c r="N4445" s="793">
        <f t="shared" si="904"/>
        <v>0</v>
      </c>
      <c r="O4445" s="745">
        <v>0</v>
      </c>
      <c r="P4445" s="789">
        <v>0</v>
      </c>
      <c r="T4445" s="495"/>
    </row>
    <row r="4446" spans="1:20" s="492" customFormat="1">
      <c r="A4446" s="734" t="s">
        <v>566</v>
      </c>
      <c r="B4446" s="750" t="s">
        <v>554</v>
      </c>
      <c r="C4446" s="803"/>
      <c r="D4446" s="907"/>
      <c r="E4446" s="789">
        <f t="shared" si="905"/>
        <v>0</v>
      </c>
      <c r="F4446" s="790"/>
      <c r="G4446" s="804">
        <v>0</v>
      </c>
      <c r="H4446" s="805">
        <f t="shared" si="906"/>
        <v>0</v>
      </c>
      <c r="I4446" s="791">
        <v>0</v>
      </c>
      <c r="J4446" s="805">
        <f t="shared" si="907"/>
        <v>0</v>
      </c>
      <c r="K4446" s="1099">
        <f t="shared" si="908"/>
        <v>0</v>
      </c>
      <c r="L4446" s="1061"/>
      <c r="N4446" s="793">
        <f t="shared" si="904"/>
        <v>0</v>
      </c>
      <c r="O4446" s="745">
        <v>0</v>
      </c>
      <c r="P4446" s="789">
        <v>0</v>
      </c>
      <c r="T4446" s="495"/>
    </row>
    <row r="4447" spans="1:20" s="492" customFormat="1">
      <c r="A4447" s="806"/>
      <c r="B4447" s="747" t="s">
        <v>469</v>
      </c>
      <c r="C4447" s="735" t="s">
        <v>2561</v>
      </c>
      <c r="D4447" s="735"/>
      <c r="E4447" s="789">
        <f t="shared" si="905"/>
        <v>116.5</v>
      </c>
      <c r="F4447" s="790" t="s">
        <v>547</v>
      </c>
      <c r="G4447" s="804">
        <f>113+583</f>
        <v>696</v>
      </c>
      <c r="H4447" s="805">
        <f t="shared" si="906"/>
        <v>81084</v>
      </c>
      <c r="I4447" s="791">
        <f>61+294</f>
        <v>355</v>
      </c>
      <c r="J4447" s="805">
        <f t="shared" si="907"/>
        <v>41357.5</v>
      </c>
      <c r="K4447" s="1099">
        <f t="shared" si="908"/>
        <v>122441.5</v>
      </c>
      <c r="L4447" s="1061"/>
      <c r="N4447" s="793">
        <f t="shared" si="904"/>
        <v>116.5</v>
      </c>
      <c r="O4447" s="745">
        <v>0</v>
      </c>
      <c r="P4447" s="789">
        <v>116.5</v>
      </c>
      <c r="T4447" s="495"/>
    </row>
    <row r="4448" spans="1:20" s="492" customFormat="1">
      <c r="A4448" s="806"/>
      <c r="B4448" s="747" t="s">
        <v>469</v>
      </c>
      <c r="C4448" s="735" t="s">
        <v>548</v>
      </c>
      <c r="D4448" s="735"/>
      <c r="E4448" s="789">
        <f t="shared" si="905"/>
        <v>368</v>
      </c>
      <c r="F4448" s="790" t="s">
        <v>34</v>
      </c>
      <c r="G4448" s="804">
        <v>165</v>
      </c>
      <c r="H4448" s="805">
        <f t="shared" si="906"/>
        <v>60720</v>
      </c>
      <c r="I4448" s="791">
        <v>112</v>
      </c>
      <c r="J4448" s="805">
        <f t="shared" si="907"/>
        <v>41216</v>
      </c>
      <c r="K4448" s="1099">
        <f t="shared" si="908"/>
        <v>101936</v>
      </c>
      <c r="L4448" s="1061"/>
      <c r="N4448" s="793">
        <f t="shared" si="904"/>
        <v>368</v>
      </c>
      <c r="O4448" s="745">
        <v>0</v>
      </c>
      <c r="P4448" s="789">
        <v>368</v>
      </c>
      <c r="T4448" s="495"/>
    </row>
    <row r="4449" spans="1:20" s="492" customFormat="1">
      <c r="A4449" s="806"/>
      <c r="B4449" s="747" t="s">
        <v>469</v>
      </c>
      <c r="C4449" s="735" t="s">
        <v>551</v>
      </c>
      <c r="D4449" s="735"/>
      <c r="E4449" s="789">
        <f t="shared" si="905"/>
        <v>466</v>
      </c>
      <c r="F4449" s="790" t="s">
        <v>361</v>
      </c>
      <c r="G4449" s="804">
        <v>175</v>
      </c>
      <c r="H4449" s="805">
        <f t="shared" si="906"/>
        <v>81550</v>
      </c>
      <c r="I4449" s="791">
        <v>50</v>
      </c>
      <c r="J4449" s="805">
        <f t="shared" si="907"/>
        <v>23300</v>
      </c>
      <c r="K4449" s="1099">
        <f t="shared" si="908"/>
        <v>104850</v>
      </c>
      <c r="L4449" s="1061"/>
      <c r="N4449" s="793">
        <f t="shared" si="904"/>
        <v>466</v>
      </c>
      <c r="O4449" s="745">
        <v>0</v>
      </c>
      <c r="P4449" s="789">
        <v>466</v>
      </c>
      <c r="T4449" s="495"/>
    </row>
    <row r="4450" spans="1:20" s="492" customFormat="1">
      <c r="A4450" s="806"/>
      <c r="B4450" s="747" t="s">
        <v>469</v>
      </c>
      <c r="C4450" s="735" t="s">
        <v>2562</v>
      </c>
      <c r="D4450" s="735"/>
      <c r="E4450" s="789">
        <f t="shared" si="905"/>
        <v>144</v>
      </c>
      <c r="F4450" s="790" t="s">
        <v>361</v>
      </c>
      <c r="G4450" s="804">
        <v>2500</v>
      </c>
      <c r="H4450" s="805">
        <f t="shared" si="906"/>
        <v>360000</v>
      </c>
      <c r="I4450" s="791">
        <v>500</v>
      </c>
      <c r="J4450" s="805">
        <f t="shared" si="907"/>
        <v>72000</v>
      </c>
      <c r="K4450" s="1099">
        <f t="shared" si="908"/>
        <v>432000</v>
      </c>
      <c r="L4450" s="1061"/>
      <c r="N4450" s="793">
        <f t="shared" si="904"/>
        <v>144</v>
      </c>
      <c r="O4450" s="745">
        <v>0</v>
      </c>
      <c r="P4450" s="789">
        <v>144</v>
      </c>
      <c r="T4450" s="495"/>
    </row>
    <row r="4451" spans="1:20" s="492" customFormat="1">
      <c r="A4451" s="806"/>
      <c r="B4451" s="747" t="s">
        <v>469</v>
      </c>
      <c r="C4451" s="735" t="s">
        <v>2560</v>
      </c>
      <c r="D4451" s="735"/>
      <c r="E4451" s="789">
        <f t="shared" si="905"/>
        <v>0</v>
      </c>
      <c r="F4451" s="790" t="s">
        <v>361</v>
      </c>
      <c r="G4451" s="804">
        <v>1200</v>
      </c>
      <c r="H4451" s="805">
        <f t="shared" si="906"/>
        <v>0</v>
      </c>
      <c r="I4451" s="791">
        <v>500</v>
      </c>
      <c r="J4451" s="805">
        <f t="shared" si="907"/>
        <v>0</v>
      </c>
      <c r="K4451" s="1099">
        <f t="shared" si="908"/>
        <v>0</v>
      </c>
      <c r="L4451" s="1061"/>
      <c r="N4451" s="793">
        <f t="shared" si="904"/>
        <v>0</v>
      </c>
      <c r="O4451" s="745">
        <v>0</v>
      </c>
      <c r="P4451" s="789">
        <v>0</v>
      </c>
      <c r="T4451" s="495"/>
    </row>
    <row r="4452" spans="1:20" s="492" customFormat="1">
      <c r="A4452" s="806"/>
      <c r="B4452" s="747" t="s">
        <v>469</v>
      </c>
      <c r="C4452" s="735" t="s">
        <v>552</v>
      </c>
      <c r="D4452" s="735"/>
      <c r="E4452" s="789">
        <f t="shared" si="905"/>
        <v>95</v>
      </c>
      <c r="F4452" s="790" t="s">
        <v>547</v>
      </c>
      <c r="G4452" s="804">
        <f>113+583</f>
        <v>696</v>
      </c>
      <c r="H4452" s="805">
        <f t="shared" si="906"/>
        <v>66120</v>
      </c>
      <c r="I4452" s="791">
        <f>61+294</f>
        <v>355</v>
      </c>
      <c r="J4452" s="805">
        <f t="shared" si="907"/>
        <v>33725</v>
      </c>
      <c r="K4452" s="1099">
        <f t="shared" si="908"/>
        <v>99845</v>
      </c>
      <c r="L4452" s="1061"/>
      <c r="N4452" s="793">
        <f t="shared" si="904"/>
        <v>95</v>
      </c>
      <c r="O4452" s="745">
        <v>0</v>
      </c>
      <c r="P4452" s="789">
        <v>95</v>
      </c>
      <c r="T4452" s="495"/>
    </row>
    <row r="4453" spans="1:20" s="492" customFormat="1">
      <c r="A4453" s="806"/>
      <c r="B4453" s="747" t="s">
        <v>469</v>
      </c>
      <c r="C4453" s="735" t="s">
        <v>553</v>
      </c>
      <c r="D4453" s="735"/>
      <c r="E4453" s="789">
        <f t="shared" si="905"/>
        <v>1430.2</v>
      </c>
      <c r="F4453" s="790" t="s">
        <v>547</v>
      </c>
      <c r="G4453" s="804">
        <f>88+69</f>
        <v>157</v>
      </c>
      <c r="H4453" s="805">
        <f t="shared" si="906"/>
        <v>224541.4</v>
      </c>
      <c r="I4453" s="791">
        <f>82+28</f>
        <v>110</v>
      </c>
      <c r="J4453" s="805">
        <f t="shared" si="907"/>
        <v>157322</v>
      </c>
      <c r="K4453" s="1099">
        <f t="shared" si="908"/>
        <v>381863.4</v>
      </c>
      <c r="L4453" s="1061"/>
      <c r="N4453" s="793">
        <f t="shared" si="904"/>
        <v>1430.2</v>
      </c>
      <c r="O4453" s="745">
        <v>0</v>
      </c>
      <c r="P4453" s="789">
        <v>1430.2</v>
      </c>
      <c r="T4453" s="495"/>
    </row>
    <row r="4454" spans="1:20" s="492" customFormat="1">
      <c r="A4454" s="806"/>
      <c r="B4454" s="747" t="s">
        <v>469</v>
      </c>
      <c r="C4454" s="735" t="s">
        <v>769</v>
      </c>
      <c r="D4454" s="735"/>
      <c r="E4454" s="789">
        <f t="shared" si="905"/>
        <v>301</v>
      </c>
      <c r="F4454" s="790" t="s">
        <v>361</v>
      </c>
      <c r="G4454" s="804">
        <v>2500</v>
      </c>
      <c r="H4454" s="805">
        <f t="shared" si="906"/>
        <v>752500</v>
      </c>
      <c r="I4454" s="791">
        <v>500</v>
      </c>
      <c r="J4454" s="805">
        <f t="shared" si="907"/>
        <v>150500</v>
      </c>
      <c r="K4454" s="1099">
        <f t="shared" si="908"/>
        <v>903000</v>
      </c>
      <c r="L4454" s="1061"/>
      <c r="N4454" s="793">
        <f t="shared" si="904"/>
        <v>301</v>
      </c>
      <c r="O4454" s="745">
        <v>0</v>
      </c>
      <c r="P4454" s="789">
        <v>301</v>
      </c>
      <c r="T4454" s="495"/>
    </row>
    <row r="4455" spans="1:20" s="492" customFormat="1">
      <c r="A4455" s="806"/>
      <c r="B4455" s="747" t="s">
        <v>469</v>
      </c>
      <c r="C4455" s="735" t="s">
        <v>770</v>
      </c>
      <c r="D4455" s="735"/>
      <c r="E4455" s="789">
        <f t="shared" si="905"/>
        <v>129.6</v>
      </c>
      <c r="F4455" s="790" t="s">
        <v>34</v>
      </c>
      <c r="G4455" s="804">
        <v>281</v>
      </c>
      <c r="H4455" s="805">
        <f t="shared" si="906"/>
        <v>36417.599999999999</v>
      </c>
      <c r="I4455" s="791">
        <v>80</v>
      </c>
      <c r="J4455" s="805">
        <f t="shared" si="907"/>
        <v>10368</v>
      </c>
      <c r="K4455" s="1099">
        <f t="shared" si="908"/>
        <v>46785.599999999999</v>
      </c>
      <c r="L4455" s="1061"/>
      <c r="N4455" s="793">
        <f t="shared" si="904"/>
        <v>129.6</v>
      </c>
      <c r="O4455" s="745">
        <v>0</v>
      </c>
      <c r="P4455" s="789">
        <v>129.6</v>
      </c>
      <c r="T4455" s="495"/>
    </row>
    <row r="4456" spans="1:20" s="492" customFormat="1">
      <c r="A4456" s="806"/>
      <c r="B4456" s="750"/>
      <c r="C4456" s="803"/>
      <c r="D4456" s="907"/>
      <c r="E4456" s="789">
        <f t="shared" si="905"/>
        <v>0</v>
      </c>
      <c r="F4456" s="790"/>
      <c r="G4456" s="804"/>
      <c r="H4456" s="805">
        <f t="shared" si="906"/>
        <v>0</v>
      </c>
      <c r="I4456" s="791"/>
      <c r="J4456" s="805">
        <f t="shared" si="907"/>
        <v>0</v>
      </c>
      <c r="K4456" s="1099">
        <f t="shared" si="908"/>
        <v>0</v>
      </c>
      <c r="L4456" s="1061"/>
      <c r="N4456" s="793">
        <f t="shared" si="904"/>
        <v>0</v>
      </c>
      <c r="O4456" s="745">
        <v>0</v>
      </c>
      <c r="P4456" s="789">
        <v>0</v>
      </c>
      <c r="T4456" s="495"/>
    </row>
    <row r="4457" spans="1:20" s="492" customFormat="1">
      <c r="A4457" s="734" t="s">
        <v>567</v>
      </c>
      <c r="B4457" s="750" t="s">
        <v>555</v>
      </c>
      <c r="C4457" s="803"/>
      <c r="D4457" s="907"/>
      <c r="E4457" s="789">
        <f t="shared" si="905"/>
        <v>0</v>
      </c>
      <c r="F4457" s="790"/>
      <c r="G4457" s="804">
        <v>0</v>
      </c>
      <c r="H4457" s="805">
        <f t="shared" si="906"/>
        <v>0</v>
      </c>
      <c r="I4457" s="791">
        <v>0</v>
      </c>
      <c r="J4457" s="805">
        <f t="shared" si="907"/>
        <v>0</v>
      </c>
      <c r="K4457" s="1099">
        <f t="shared" si="908"/>
        <v>0</v>
      </c>
      <c r="L4457" s="1061"/>
      <c r="N4457" s="793">
        <f t="shared" si="904"/>
        <v>0</v>
      </c>
      <c r="O4457" s="745">
        <v>0</v>
      </c>
      <c r="P4457" s="789">
        <v>0</v>
      </c>
      <c r="T4457" s="495"/>
    </row>
    <row r="4458" spans="1:20" s="492" customFormat="1">
      <c r="A4458" s="806"/>
      <c r="B4458" s="747" t="s">
        <v>469</v>
      </c>
      <c r="C4458" s="735" t="s">
        <v>2558</v>
      </c>
      <c r="D4458" s="735"/>
      <c r="E4458" s="789">
        <f t="shared" si="905"/>
        <v>101</v>
      </c>
      <c r="F4458" s="790" t="s">
        <v>547</v>
      </c>
      <c r="G4458" s="804">
        <f>113+583</f>
        <v>696</v>
      </c>
      <c r="H4458" s="805">
        <f t="shared" si="906"/>
        <v>70296</v>
      </c>
      <c r="I4458" s="791">
        <f>61+294</f>
        <v>355</v>
      </c>
      <c r="J4458" s="805">
        <f t="shared" si="907"/>
        <v>35855</v>
      </c>
      <c r="K4458" s="1099">
        <f t="shared" si="908"/>
        <v>106151</v>
      </c>
      <c r="L4458" s="1061"/>
      <c r="N4458" s="793">
        <f t="shared" si="904"/>
        <v>101</v>
      </c>
      <c r="O4458" s="745">
        <v>0</v>
      </c>
      <c r="P4458" s="789">
        <v>101</v>
      </c>
      <c r="T4458" s="495"/>
    </row>
    <row r="4459" spans="1:20" s="492" customFormat="1">
      <c r="A4459" s="806"/>
      <c r="B4459" s="747" t="s">
        <v>469</v>
      </c>
      <c r="C4459" s="735" t="s">
        <v>548</v>
      </c>
      <c r="D4459" s="735"/>
      <c r="E4459" s="789">
        <f t="shared" si="905"/>
        <v>279</v>
      </c>
      <c r="F4459" s="790" t="s">
        <v>34</v>
      </c>
      <c r="G4459" s="804">
        <v>165</v>
      </c>
      <c r="H4459" s="805">
        <f t="shared" si="906"/>
        <v>46035</v>
      </c>
      <c r="I4459" s="791">
        <v>112</v>
      </c>
      <c r="J4459" s="805">
        <f t="shared" si="907"/>
        <v>31248</v>
      </c>
      <c r="K4459" s="1099">
        <f t="shared" si="908"/>
        <v>77283</v>
      </c>
      <c r="L4459" s="1061"/>
      <c r="N4459" s="793">
        <f t="shared" si="904"/>
        <v>279</v>
      </c>
      <c r="O4459" s="745">
        <v>0</v>
      </c>
      <c r="P4459" s="789">
        <v>279</v>
      </c>
      <c r="T4459" s="495"/>
    </row>
    <row r="4460" spans="1:20" s="492" customFormat="1">
      <c r="A4460" s="806"/>
      <c r="B4460" s="747" t="s">
        <v>469</v>
      </c>
      <c r="C4460" s="735" t="s">
        <v>551</v>
      </c>
      <c r="D4460" s="735"/>
      <c r="E4460" s="789">
        <f t="shared" si="905"/>
        <v>404</v>
      </c>
      <c r="F4460" s="790" t="s">
        <v>361</v>
      </c>
      <c r="G4460" s="804">
        <v>175</v>
      </c>
      <c r="H4460" s="805">
        <f t="shared" si="906"/>
        <v>70700</v>
      </c>
      <c r="I4460" s="791">
        <v>50</v>
      </c>
      <c r="J4460" s="805">
        <f t="shared" si="907"/>
        <v>20200</v>
      </c>
      <c r="K4460" s="1099">
        <f t="shared" si="908"/>
        <v>90900</v>
      </c>
      <c r="L4460" s="1061"/>
      <c r="N4460" s="793">
        <f t="shared" si="904"/>
        <v>404</v>
      </c>
      <c r="O4460" s="745">
        <v>0</v>
      </c>
      <c r="P4460" s="789">
        <v>404</v>
      </c>
      <c r="T4460" s="495"/>
    </row>
    <row r="4461" spans="1:20" s="492" customFormat="1">
      <c r="A4461" s="806"/>
      <c r="B4461" s="747" t="s">
        <v>469</v>
      </c>
      <c r="C4461" s="735" t="s">
        <v>2559</v>
      </c>
      <c r="D4461" s="735"/>
      <c r="E4461" s="789">
        <f t="shared" si="905"/>
        <v>109</v>
      </c>
      <c r="F4461" s="790" t="s">
        <v>361</v>
      </c>
      <c r="G4461" s="804">
        <v>2500</v>
      </c>
      <c r="H4461" s="805">
        <f t="shared" si="906"/>
        <v>272500</v>
      </c>
      <c r="I4461" s="791">
        <v>500</v>
      </c>
      <c r="J4461" s="805">
        <f t="shared" si="907"/>
        <v>54500</v>
      </c>
      <c r="K4461" s="1099">
        <f t="shared" si="908"/>
        <v>327000</v>
      </c>
      <c r="L4461" s="1061"/>
      <c r="N4461" s="793">
        <f t="shared" si="904"/>
        <v>109</v>
      </c>
      <c r="O4461" s="745">
        <v>0</v>
      </c>
      <c r="P4461" s="789">
        <v>109</v>
      </c>
      <c r="T4461" s="495"/>
    </row>
    <row r="4462" spans="1:20" s="492" customFormat="1">
      <c r="A4462" s="806"/>
      <c r="B4462" s="747" t="s">
        <v>469</v>
      </c>
      <c r="C4462" s="735" t="s">
        <v>2563</v>
      </c>
      <c r="D4462" s="735"/>
      <c r="E4462" s="789">
        <f t="shared" si="905"/>
        <v>0</v>
      </c>
      <c r="F4462" s="790" t="s">
        <v>361</v>
      </c>
      <c r="G4462" s="804">
        <v>1200</v>
      </c>
      <c r="H4462" s="805">
        <f t="shared" si="906"/>
        <v>0</v>
      </c>
      <c r="I4462" s="791">
        <v>500</v>
      </c>
      <c r="J4462" s="805">
        <f t="shared" si="907"/>
        <v>0</v>
      </c>
      <c r="K4462" s="1099">
        <f t="shared" si="908"/>
        <v>0</v>
      </c>
      <c r="L4462" s="1061"/>
      <c r="N4462" s="793">
        <f t="shared" si="904"/>
        <v>0</v>
      </c>
      <c r="O4462" s="745">
        <v>0</v>
      </c>
      <c r="P4462" s="789">
        <v>0</v>
      </c>
      <c r="T4462" s="495"/>
    </row>
    <row r="4463" spans="1:20" s="492" customFormat="1">
      <c r="A4463" s="806"/>
      <c r="B4463" s="747" t="s">
        <v>469</v>
      </c>
      <c r="C4463" s="735" t="s">
        <v>552</v>
      </c>
      <c r="D4463" s="735"/>
      <c r="E4463" s="789">
        <f t="shared" si="905"/>
        <v>72</v>
      </c>
      <c r="F4463" s="790" t="s">
        <v>547</v>
      </c>
      <c r="G4463" s="804">
        <f>113+583</f>
        <v>696</v>
      </c>
      <c r="H4463" s="805">
        <f t="shared" si="906"/>
        <v>50112</v>
      </c>
      <c r="I4463" s="791">
        <f>61+294</f>
        <v>355</v>
      </c>
      <c r="J4463" s="805">
        <f t="shared" si="907"/>
        <v>25560</v>
      </c>
      <c r="K4463" s="1099">
        <f t="shared" si="908"/>
        <v>75672</v>
      </c>
      <c r="L4463" s="1061"/>
      <c r="N4463" s="793">
        <f t="shared" si="904"/>
        <v>72</v>
      </c>
      <c r="O4463" s="745">
        <v>0</v>
      </c>
      <c r="P4463" s="789">
        <v>72</v>
      </c>
      <c r="T4463" s="495"/>
    </row>
    <row r="4464" spans="1:20" s="492" customFormat="1">
      <c r="A4464" s="806"/>
      <c r="B4464" s="747" t="s">
        <v>469</v>
      </c>
      <c r="C4464" s="735" t="s">
        <v>553</v>
      </c>
      <c r="D4464" s="735"/>
      <c r="E4464" s="789">
        <f t="shared" si="905"/>
        <v>1298.46</v>
      </c>
      <c r="F4464" s="790" t="s">
        <v>547</v>
      </c>
      <c r="G4464" s="804">
        <f>88+69</f>
        <v>157</v>
      </c>
      <c r="H4464" s="805">
        <f t="shared" si="906"/>
        <v>203858.22</v>
      </c>
      <c r="I4464" s="791">
        <f>82+28</f>
        <v>110</v>
      </c>
      <c r="J4464" s="805">
        <f t="shared" si="907"/>
        <v>142830.6</v>
      </c>
      <c r="K4464" s="1099">
        <f t="shared" si="908"/>
        <v>346688.82</v>
      </c>
      <c r="L4464" s="1061"/>
      <c r="N4464" s="793">
        <f t="shared" si="904"/>
        <v>1298.46</v>
      </c>
      <c r="O4464" s="745">
        <v>0</v>
      </c>
      <c r="P4464" s="789">
        <v>1298.46</v>
      </c>
      <c r="T4464" s="495"/>
    </row>
    <row r="4465" spans="1:20" s="492" customFormat="1">
      <c r="A4465" s="806"/>
      <c r="B4465" s="747" t="s">
        <v>469</v>
      </c>
      <c r="C4465" s="735" t="s">
        <v>769</v>
      </c>
      <c r="D4465" s="735"/>
      <c r="E4465" s="789">
        <f t="shared" si="905"/>
        <v>175</v>
      </c>
      <c r="F4465" s="790" t="s">
        <v>361</v>
      </c>
      <c r="G4465" s="804">
        <v>2500</v>
      </c>
      <c r="H4465" s="805">
        <f t="shared" si="906"/>
        <v>437500</v>
      </c>
      <c r="I4465" s="791">
        <v>500</v>
      </c>
      <c r="J4465" s="805">
        <f t="shared" si="907"/>
        <v>87500</v>
      </c>
      <c r="K4465" s="1099">
        <f t="shared" si="908"/>
        <v>525000</v>
      </c>
      <c r="L4465" s="1061"/>
      <c r="N4465" s="793">
        <f t="shared" si="904"/>
        <v>175</v>
      </c>
      <c r="O4465" s="745">
        <v>0</v>
      </c>
      <c r="P4465" s="789">
        <v>175</v>
      </c>
      <c r="T4465" s="495"/>
    </row>
    <row r="4466" spans="1:20" s="492" customFormat="1">
      <c r="A4466" s="806"/>
      <c r="B4466" s="747" t="s">
        <v>469</v>
      </c>
      <c r="C4466" s="735" t="s">
        <v>770</v>
      </c>
      <c r="D4466" s="735"/>
      <c r="E4466" s="789">
        <f t="shared" si="905"/>
        <v>98.1</v>
      </c>
      <c r="F4466" s="790" t="s">
        <v>34</v>
      </c>
      <c r="G4466" s="804">
        <v>281</v>
      </c>
      <c r="H4466" s="805">
        <f t="shared" si="906"/>
        <v>27566.1</v>
      </c>
      <c r="I4466" s="791">
        <v>80</v>
      </c>
      <c r="J4466" s="805">
        <f t="shared" si="907"/>
        <v>7848</v>
      </c>
      <c r="K4466" s="1099">
        <f t="shared" si="908"/>
        <v>35414.1</v>
      </c>
      <c r="L4466" s="1061"/>
      <c r="N4466" s="793">
        <f t="shared" si="904"/>
        <v>98.1</v>
      </c>
      <c r="O4466" s="745">
        <v>0</v>
      </c>
      <c r="P4466" s="789">
        <v>98.1</v>
      </c>
      <c r="T4466" s="495"/>
    </row>
    <row r="4467" spans="1:20" s="492" customFormat="1">
      <c r="A4467" s="734"/>
      <c r="B4467" s="750"/>
      <c r="C4467" s="803"/>
      <c r="D4467" s="907"/>
      <c r="E4467" s="789">
        <f t="shared" si="905"/>
        <v>0</v>
      </c>
      <c r="F4467" s="790"/>
      <c r="G4467" s="804"/>
      <c r="H4467" s="805"/>
      <c r="I4467" s="791"/>
      <c r="J4467" s="805"/>
      <c r="K4467" s="1099"/>
      <c r="L4467" s="1061"/>
      <c r="N4467" s="793">
        <f t="shared" si="904"/>
        <v>0</v>
      </c>
      <c r="O4467" s="745">
        <v>0</v>
      </c>
      <c r="P4467" s="789">
        <v>0</v>
      </c>
      <c r="T4467" s="495"/>
    </row>
    <row r="4468" spans="1:20" s="492" customFormat="1">
      <c r="A4468" s="734" t="s">
        <v>568</v>
      </c>
      <c r="B4468" s="750" t="s">
        <v>556</v>
      </c>
      <c r="C4468" s="803"/>
      <c r="D4468" s="907"/>
      <c r="E4468" s="789">
        <f t="shared" si="905"/>
        <v>0</v>
      </c>
      <c r="F4468" s="790"/>
      <c r="G4468" s="804">
        <v>0</v>
      </c>
      <c r="H4468" s="805">
        <f t="shared" si="906"/>
        <v>0</v>
      </c>
      <c r="I4468" s="791">
        <v>0</v>
      </c>
      <c r="J4468" s="805">
        <f t="shared" si="907"/>
        <v>0</v>
      </c>
      <c r="K4468" s="1099">
        <f t="shared" si="908"/>
        <v>0</v>
      </c>
      <c r="L4468" s="1061"/>
      <c r="N4468" s="793">
        <f t="shared" si="904"/>
        <v>0</v>
      </c>
      <c r="O4468" s="745">
        <v>0</v>
      </c>
      <c r="P4468" s="789">
        <v>0</v>
      </c>
      <c r="T4468" s="495"/>
    </row>
    <row r="4469" spans="1:20" s="492" customFormat="1">
      <c r="A4469" s="806"/>
      <c r="B4469" s="747" t="s">
        <v>469</v>
      </c>
      <c r="C4469" s="735" t="s">
        <v>2558</v>
      </c>
      <c r="D4469" s="735"/>
      <c r="E4469" s="789">
        <f t="shared" si="905"/>
        <v>101</v>
      </c>
      <c r="F4469" s="790" t="s">
        <v>547</v>
      </c>
      <c r="G4469" s="804">
        <f>113+583</f>
        <v>696</v>
      </c>
      <c r="H4469" s="805">
        <f t="shared" si="906"/>
        <v>70296</v>
      </c>
      <c r="I4469" s="791">
        <f>61+294</f>
        <v>355</v>
      </c>
      <c r="J4469" s="805">
        <f t="shared" si="907"/>
        <v>35855</v>
      </c>
      <c r="K4469" s="1099">
        <f t="shared" si="908"/>
        <v>106151</v>
      </c>
      <c r="L4469" s="1061"/>
      <c r="N4469" s="793">
        <f t="shared" si="904"/>
        <v>101</v>
      </c>
      <c r="O4469" s="745">
        <v>0</v>
      </c>
      <c r="P4469" s="789">
        <v>101</v>
      </c>
      <c r="T4469" s="495"/>
    </row>
    <row r="4470" spans="1:20" s="492" customFormat="1">
      <c r="A4470" s="806"/>
      <c r="B4470" s="747" t="s">
        <v>469</v>
      </c>
      <c r="C4470" s="735" t="s">
        <v>548</v>
      </c>
      <c r="D4470" s="735"/>
      <c r="E4470" s="789">
        <f t="shared" si="905"/>
        <v>279</v>
      </c>
      <c r="F4470" s="790" t="s">
        <v>34</v>
      </c>
      <c r="G4470" s="804">
        <v>165</v>
      </c>
      <c r="H4470" s="805">
        <f t="shared" si="906"/>
        <v>46035</v>
      </c>
      <c r="I4470" s="791">
        <v>112</v>
      </c>
      <c r="J4470" s="805">
        <f t="shared" si="907"/>
        <v>31248</v>
      </c>
      <c r="K4470" s="1099">
        <f t="shared" si="908"/>
        <v>77283</v>
      </c>
      <c r="L4470" s="1061"/>
      <c r="N4470" s="793">
        <f t="shared" si="904"/>
        <v>279</v>
      </c>
      <c r="O4470" s="745">
        <v>0</v>
      </c>
      <c r="P4470" s="789">
        <v>279</v>
      </c>
      <c r="T4470" s="495"/>
    </row>
    <row r="4471" spans="1:20" s="492" customFormat="1">
      <c r="A4471" s="806"/>
      <c r="B4471" s="747" t="s">
        <v>469</v>
      </c>
      <c r="C4471" s="735" t="s">
        <v>551</v>
      </c>
      <c r="D4471" s="735"/>
      <c r="E4471" s="789">
        <f t="shared" si="905"/>
        <v>404</v>
      </c>
      <c r="F4471" s="790" t="s">
        <v>361</v>
      </c>
      <c r="G4471" s="804">
        <v>175</v>
      </c>
      <c r="H4471" s="805">
        <f t="shared" si="906"/>
        <v>70700</v>
      </c>
      <c r="I4471" s="791">
        <v>50</v>
      </c>
      <c r="J4471" s="805">
        <f t="shared" si="907"/>
        <v>20200</v>
      </c>
      <c r="K4471" s="1099">
        <f t="shared" si="908"/>
        <v>90900</v>
      </c>
      <c r="L4471" s="1061"/>
      <c r="N4471" s="793">
        <f t="shared" si="904"/>
        <v>404</v>
      </c>
      <c r="O4471" s="745">
        <v>0</v>
      </c>
      <c r="P4471" s="789">
        <v>404</v>
      </c>
      <c r="T4471" s="495"/>
    </row>
    <row r="4472" spans="1:20" s="492" customFormat="1">
      <c r="A4472" s="806"/>
      <c r="B4472" s="747" t="s">
        <v>469</v>
      </c>
      <c r="C4472" s="735" t="s">
        <v>2564</v>
      </c>
      <c r="D4472" s="735"/>
      <c r="E4472" s="789">
        <f t="shared" si="905"/>
        <v>109</v>
      </c>
      <c r="F4472" s="790" t="s">
        <v>361</v>
      </c>
      <c r="G4472" s="804">
        <v>2500</v>
      </c>
      <c r="H4472" s="805">
        <f t="shared" si="906"/>
        <v>272500</v>
      </c>
      <c r="I4472" s="791">
        <v>500</v>
      </c>
      <c r="J4472" s="805">
        <f t="shared" si="907"/>
        <v>54500</v>
      </c>
      <c r="K4472" s="1099">
        <f t="shared" si="908"/>
        <v>327000</v>
      </c>
      <c r="L4472" s="1061"/>
      <c r="N4472" s="793">
        <f t="shared" si="904"/>
        <v>109</v>
      </c>
      <c r="O4472" s="745">
        <v>0</v>
      </c>
      <c r="P4472" s="789">
        <v>109</v>
      </c>
      <c r="T4472" s="495"/>
    </row>
    <row r="4473" spans="1:20" s="492" customFormat="1">
      <c r="A4473" s="806"/>
      <c r="B4473" s="747" t="s">
        <v>469</v>
      </c>
      <c r="C4473" s="735" t="s">
        <v>2565</v>
      </c>
      <c r="D4473" s="735"/>
      <c r="E4473" s="789">
        <f t="shared" si="905"/>
        <v>0</v>
      </c>
      <c r="F4473" s="790" t="s">
        <v>361</v>
      </c>
      <c r="G4473" s="804">
        <v>1200</v>
      </c>
      <c r="H4473" s="805">
        <f t="shared" si="906"/>
        <v>0</v>
      </c>
      <c r="I4473" s="791">
        <v>500</v>
      </c>
      <c r="J4473" s="805">
        <f t="shared" si="907"/>
        <v>0</v>
      </c>
      <c r="K4473" s="1099">
        <f t="shared" si="908"/>
        <v>0</v>
      </c>
      <c r="L4473" s="1061"/>
      <c r="N4473" s="793">
        <f t="shared" si="904"/>
        <v>0</v>
      </c>
      <c r="O4473" s="745">
        <v>0</v>
      </c>
      <c r="P4473" s="789">
        <v>0</v>
      </c>
      <c r="T4473" s="495"/>
    </row>
    <row r="4474" spans="1:20" s="492" customFormat="1">
      <c r="A4474" s="806"/>
      <c r="B4474" s="747" t="s">
        <v>469</v>
      </c>
      <c r="C4474" s="735" t="s">
        <v>552</v>
      </c>
      <c r="D4474" s="735"/>
      <c r="E4474" s="789">
        <f t="shared" si="905"/>
        <v>72</v>
      </c>
      <c r="F4474" s="790" t="s">
        <v>547</v>
      </c>
      <c r="G4474" s="804">
        <f>113+583</f>
        <v>696</v>
      </c>
      <c r="H4474" s="805">
        <f t="shared" si="906"/>
        <v>50112</v>
      </c>
      <c r="I4474" s="791">
        <f>61+294</f>
        <v>355</v>
      </c>
      <c r="J4474" s="805">
        <f t="shared" si="907"/>
        <v>25560</v>
      </c>
      <c r="K4474" s="1099">
        <f t="shared" si="908"/>
        <v>75672</v>
      </c>
      <c r="L4474" s="1061"/>
      <c r="N4474" s="793">
        <f t="shared" si="904"/>
        <v>72</v>
      </c>
      <c r="O4474" s="745">
        <v>0</v>
      </c>
      <c r="P4474" s="789">
        <v>72</v>
      </c>
      <c r="T4474" s="495"/>
    </row>
    <row r="4475" spans="1:20" s="492" customFormat="1">
      <c r="A4475" s="806"/>
      <c r="B4475" s="747" t="s">
        <v>469</v>
      </c>
      <c r="C4475" s="735" t="s">
        <v>553</v>
      </c>
      <c r="D4475" s="735"/>
      <c r="E4475" s="789">
        <f t="shared" si="905"/>
        <v>1299.2</v>
      </c>
      <c r="F4475" s="790" t="s">
        <v>547</v>
      </c>
      <c r="G4475" s="804">
        <f>88+69</f>
        <v>157</v>
      </c>
      <c r="H4475" s="805">
        <f t="shared" si="906"/>
        <v>203974.39999999999</v>
      </c>
      <c r="I4475" s="791">
        <f>82+28</f>
        <v>110</v>
      </c>
      <c r="J4475" s="805">
        <f t="shared" si="907"/>
        <v>142912</v>
      </c>
      <c r="K4475" s="1099">
        <f t="shared" si="908"/>
        <v>346886.40000000002</v>
      </c>
      <c r="L4475" s="1061"/>
      <c r="N4475" s="793">
        <f t="shared" si="904"/>
        <v>1299.2</v>
      </c>
      <c r="O4475" s="745">
        <v>0</v>
      </c>
      <c r="P4475" s="789">
        <v>1299.2</v>
      </c>
      <c r="T4475" s="495"/>
    </row>
    <row r="4476" spans="1:20" s="492" customFormat="1">
      <c r="A4476" s="806"/>
      <c r="B4476" s="747" t="s">
        <v>469</v>
      </c>
      <c r="C4476" s="735" t="s">
        <v>769</v>
      </c>
      <c r="D4476" s="735"/>
      <c r="E4476" s="789">
        <f t="shared" si="905"/>
        <v>175</v>
      </c>
      <c r="F4476" s="790" t="s">
        <v>361</v>
      </c>
      <c r="G4476" s="804">
        <v>2500</v>
      </c>
      <c r="H4476" s="805">
        <f t="shared" si="906"/>
        <v>437500</v>
      </c>
      <c r="I4476" s="791">
        <v>500</v>
      </c>
      <c r="J4476" s="805">
        <f t="shared" si="907"/>
        <v>87500</v>
      </c>
      <c r="K4476" s="1099">
        <f t="shared" si="908"/>
        <v>525000</v>
      </c>
      <c r="L4476" s="1061"/>
      <c r="N4476" s="793">
        <f t="shared" si="904"/>
        <v>175</v>
      </c>
      <c r="O4476" s="745">
        <v>0</v>
      </c>
      <c r="P4476" s="789">
        <v>175</v>
      </c>
      <c r="T4476" s="495"/>
    </row>
    <row r="4477" spans="1:20" s="492" customFormat="1">
      <c r="A4477" s="806"/>
      <c r="B4477" s="747" t="s">
        <v>469</v>
      </c>
      <c r="C4477" s="735" t="s">
        <v>770</v>
      </c>
      <c r="D4477" s="735"/>
      <c r="E4477" s="789">
        <f t="shared" si="905"/>
        <v>98.1</v>
      </c>
      <c r="F4477" s="790" t="s">
        <v>34</v>
      </c>
      <c r="G4477" s="804">
        <v>281</v>
      </c>
      <c r="H4477" s="805">
        <f t="shared" si="906"/>
        <v>27566.1</v>
      </c>
      <c r="I4477" s="791">
        <v>80</v>
      </c>
      <c r="J4477" s="805">
        <f t="shared" si="907"/>
        <v>7848</v>
      </c>
      <c r="K4477" s="1099">
        <f t="shared" si="908"/>
        <v>35414.1</v>
      </c>
      <c r="L4477" s="1061"/>
      <c r="N4477" s="793">
        <f t="shared" si="904"/>
        <v>98.1</v>
      </c>
      <c r="O4477" s="745">
        <v>0</v>
      </c>
      <c r="P4477" s="789">
        <v>98.1</v>
      </c>
      <c r="T4477" s="495"/>
    </row>
    <row r="4478" spans="1:20" s="492" customFormat="1">
      <c r="A4478" s="734"/>
      <c r="B4478" s="750"/>
      <c r="C4478" s="803"/>
      <c r="D4478" s="907"/>
      <c r="E4478" s="789">
        <f t="shared" si="905"/>
        <v>0</v>
      </c>
      <c r="F4478" s="790"/>
      <c r="G4478" s="804"/>
      <c r="H4478" s="805">
        <f t="shared" si="906"/>
        <v>0</v>
      </c>
      <c r="I4478" s="791"/>
      <c r="J4478" s="805">
        <f t="shared" si="907"/>
        <v>0</v>
      </c>
      <c r="K4478" s="1099">
        <f t="shared" si="908"/>
        <v>0</v>
      </c>
      <c r="L4478" s="1061"/>
      <c r="N4478" s="793">
        <f t="shared" si="904"/>
        <v>0</v>
      </c>
      <c r="O4478" s="745">
        <v>0</v>
      </c>
      <c r="P4478" s="789">
        <v>0</v>
      </c>
      <c r="T4478" s="495"/>
    </row>
    <row r="4479" spans="1:20" s="492" customFormat="1">
      <c r="A4479" s="734" t="s">
        <v>570</v>
      </c>
      <c r="B4479" s="750" t="s">
        <v>557</v>
      </c>
      <c r="C4479" s="803"/>
      <c r="D4479" s="907"/>
      <c r="E4479" s="789">
        <f t="shared" si="905"/>
        <v>0</v>
      </c>
      <c r="F4479" s="790"/>
      <c r="G4479" s="807">
        <v>0</v>
      </c>
      <c r="H4479" s="808">
        <f t="shared" si="906"/>
        <v>0</v>
      </c>
      <c r="I4479" s="809">
        <v>0</v>
      </c>
      <c r="J4479" s="808">
        <f t="shared" si="907"/>
        <v>0</v>
      </c>
      <c r="K4479" s="1100">
        <f t="shared" si="908"/>
        <v>0</v>
      </c>
      <c r="L4479" s="1061"/>
      <c r="N4479" s="810">
        <f t="shared" si="904"/>
        <v>0</v>
      </c>
      <c r="O4479" s="745">
        <v>0</v>
      </c>
      <c r="P4479" s="789">
        <v>0</v>
      </c>
      <c r="T4479" s="495"/>
    </row>
    <row r="4480" spans="1:20" s="492" customFormat="1">
      <c r="A4480" s="806"/>
      <c r="B4480" s="747" t="s">
        <v>469</v>
      </c>
      <c r="C4480" s="735" t="s">
        <v>546</v>
      </c>
      <c r="D4480" s="735"/>
      <c r="E4480" s="789">
        <f t="shared" si="905"/>
        <v>9</v>
      </c>
      <c r="F4480" s="790" t="s">
        <v>547</v>
      </c>
      <c r="G4480" s="807">
        <f>ROUNDUP(2227.6*0.05+5*2.95,0)</f>
        <v>127</v>
      </c>
      <c r="H4480" s="808">
        <f t="shared" ref="H4480" si="909">SUM(E4480*G4480)</f>
        <v>1143</v>
      </c>
      <c r="I4480" s="809">
        <v>82</v>
      </c>
      <c r="J4480" s="808">
        <f t="shared" si="907"/>
        <v>738</v>
      </c>
      <c r="K4480" s="1100">
        <f t="shared" si="908"/>
        <v>1881</v>
      </c>
      <c r="L4480" s="1061"/>
      <c r="N4480" s="810">
        <f t="shared" si="904"/>
        <v>9</v>
      </c>
      <c r="O4480" s="745">
        <v>0</v>
      </c>
      <c r="P4480" s="789">
        <v>9</v>
      </c>
      <c r="T4480" s="495"/>
    </row>
    <row r="4481" spans="1:20" s="492" customFormat="1">
      <c r="A4481" s="806"/>
      <c r="B4481" s="747" t="s">
        <v>469</v>
      </c>
      <c r="C4481" s="735" t="s">
        <v>548</v>
      </c>
      <c r="D4481" s="735"/>
      <c r="E4481" s="789">
        <f t="shared" si="905"/>
        <v>60</v>
      </c>
      <c r="F4481" s="790" t="s">
        <v>34</v>
      </c>
      <c r="G4481" s="807">
        <v>165</v>
      </c>
      <c r="H4481" s="808">
        <f t="shared" si="906"/>
        <v>9900</v>
      </c>
      <c r="I4481" s="809">
        <v>112</v>
      </c>
      <c r="J4481" s="808">
        <f t="shared" si="907"/>
        <v>6720</v>
      </c>
      <c r="K4481" s="1100">
        <f t="shared" si="908"/>
        <v>16620</v>
      </c>
      <c r="L4481" s="1061"/>
      <c r="N4481" s="810">
        <f t="shared" si="904"/>
        <v>60</v>
      </c>
      <c r="O4481" s="745">
        <v>0</v>
      </c>
      <c r="P4481" s="789">
        <v>60</v>
      </c>
      <c r="T4481" s="495"/>
    </row>
    <row r="4482" spans="1:20" s="492" customFormat="1">
      <c r="A4482" s="806"/>
      <c r="B4482" s="747" t="s">
        <v>469</v>
      </c>
      <c r="C4482" s="735" t="s">
        <v>551</v>
      </c>
      <c r="D4482" s="735"/>
      <c r="E4482" s="789">
        <f t="shared" si="905"/>
        <v>36</v>
      </c>
      <c r="F4482" s="790" t="s">
        <v>361</v>
      </c>
      <c r="G4482" s="807">
        <v>175</v>
      </c>
      <c r="H4482" s="808">
        <f t="shared" si="906"/>
        <v>6300</v>
      </c>
      <c r="I4482" s="809">
        <v>50</v>
      </c>
      <c r="J4482" s="808">
        <f t="shared" si="907"/>
        <v>1800</v>
      </c>
      <c r="K4482" s="1100">
        <f t="shared" si="908"/>
        <v>8100</v>
      </c>
      <c r="L4482" s="1061"/>
      <c r="N4482" s="810">
        <f t="shared" si="904"/>
        <v>36</v>
      </c>
      <c r="O4482" s="745">
        <v>0</v>
      </c>
      <c r="P4482" s="789">
        <v>36</v>
      </c>
      <c r="T4482" s="495"/>
    </row>
    <row r="4483" spans="1:20" s="492" customFormat="1">
      <c r="A4483" s="806"/>
      <c r="B4483" s="747" t="s">
        <v>469</v>
      </c>
      <c r="C4483" s="735" t="s">
        <v>558</v>
      </c>
      <c r="D4483" s="735"/>
      <c r="E4483" s="789">
        <f t="shared" si="905"/>
        <v>29</v>
      </c>
      <c r="F4483" s="790" t="s">
        <v>361</v>
      </c>
      <c r="G4483" s="807">
        <v>900</v>
      </c>
      <c r="H4483" s="808">
        <f t="shared" si="906"/>
        <v>26100</v>
      </c>
      <c r="I4483" s="809">
        <v>200</v>
      </c>
      <c r="J4483" s="808">
        <f t="shared" si="907"/>
        <v>5800</v>
      </c>
      <c r="K4483" s="1100">
        <f t="shared" si="908"/>
        <v>31900</v>
      </c>
      <c r="L4483" s="1061"/>
      <c r="N4483" s="810">
        <f t="shared" si="904"/>
        <v>29</v>
      </c>
      <c r="O4483" s="745">
        <v>0</v>
      </c>
      <c r="P4483" s="789">
        <v>29</v>
      </c>
      <c r="T4483" s="495"/>
    </row>
    <row r="4484" spans="1:20" s="492" customFormat="1">
      <c r="A4484" s="806"/>
      <c r="B4484" s="747" t="s">
        <v>469</v>
      </c>
      <c r="C4484" s="735" t="s">
        <v>549</v>
      </c>
      <c r="D4484" s="735"/>
      <c r="E4484" s="789">
        <f t="shared" si="905"/>
        <v>0</v>
      </c>
      <c r="F4484" s="790" t="s">
        <v>361</v>
      </c>
      <c r="G4484" s="807">
        <v>0</v>
      </c>
      <c r="H4484" s="808">
        <f t="shared" si="906"/>
        <v>0</v>
      </c>
      <c r="I4484" s="809">
        <v>0</v>
      </c>
      <c r="J4484" s="808">
        <f t="shared" si="907"/>
        <v>0</v>
      </c>
      <c r="K4484" s="1100">
        <f t="shared" si="908"/>
        <v>0</v>
      </c>
      <c r="L4484" s="1061"/>
      <c r="N4484" s="810">
        <f t="shared" si="904"/>
        <v>0</v>
      </c>
      <c r="O4484" s="745">
        <v>0</v>
      </c>
      <c r="P4484" s="789">
        <v>0</v>
      </c>
      <c r="T4484" s="495"/>
    </row>
    <row r="4485" spans="1:20" s="492" customFormat="1">
      <c r="A4485" s="806"/>
      <c r="B4485" s="747" t="s">
        <v>469</v>
      </c>
      <c r="C4485" s="735" t="s">
        <v>559</v>
      </c>
      <c r="D4485" s="735"/>
      <c r="E4485" s="789">
        <f t="shared" si="905"/>
        <v>6</v>
      </c>
      <c r="F4485" s="790" t="s">
        <v>547</v>
      </c>
      <c r="G4485" s="807">
        <f>ROUNDUP(2227.6*0.05+5*2.95,0)</f>
        <v>127</v>
      </c>
      <c r="H4485" s="808">
        <f t="shared" ref="H4485" si="910">SUM(E4485*G4485)</f>
        <v>762</v>
      </c>
      <c r="I4485" s="809">
        <v>82</v>
      </c>
      <c r="J4485" s="808">
        <f t="shared" si="907"/>
        <v>492</v>
      </c>
      <c r="K4485" s="1100">
        <f t="shared" si="908"/>
        <v>1254</v>
      </c>
      <c r="L4485" s="1061"/>
      <c r="N4485" s="810">
        <f t="shared" si="904"/>
        <v>6</v>
      </c>
      <c r="O4485" s="745">
        <v>0</v>
      </c>
      <c r="P4485" s="789">
        <v>6</v>
      </c>
      <c r="T4485" s="495"/>
    </row>
    <row r="4486" spans="1:20" s="492" customFormat="1">
      <c r="A4486" s="806"/>
      <c r="B4486" s="747" t="s">
        <v>469</v>
      </c>
      <c r="C4486" s="735" t="s">
        <v>553</v>
      </c>
      <c r="D4486" s="735"/>
      <c r="E4486" s="789">
        <f t="shared" si="905"/>
        <v>52.199999999999996</v>
      </c>
      <c r="F4486" s="790" t="s">
        <v>547</v>
      </c>
      <c r="G4486" s="807">
        <f>88+69</f>
        <v>157</v>
      </c>
      <c r="H4486" s="808">
        <f t="shared" ref="H4486:H4487" si="911">+E4486*G4486</f>
        <v>8195.4</v>
      </c>
      <c r="I4486" s="809">
        <f>82+28</f>
        <v>110</v>
      </c>
      <c r="J4486" s="808">
        <f t="shared" si="907"/>
        <v>5741.9999999999991</v>
      </c>
      <c r="K4486" s="1100">
        <f t="shared" si="908"/>
        <v>13937.399999999998</v>
      </c>
      <c r="L4486" s="1061"/>
      <c r="N4486" s="810">
        <f t="shared" si="904"/>
        <v>52.199999999999996</v>
      </c>
      <c r="O4486" s="745">
        <v>0</v>
      </c>
      <c r="P4486" s="789">
        <v>52.199999999999996</v>
      </c>
      <c r="T4486" s="495"/>
    </row>
    <row r="4487" spans="1:20" s="492" customFormat="1">
      <c r="A4487" s="806"/>
      <c r="B4487" s="747" t="s">
        <v>469</v>
      </c>
      <c r="C4487" s="735" t="s">
        <v>770</v>
      </c>
      <c r="D4487" s="735"/>
      <c r="E4487" s="789">
        <f t="shared" si="905"/>
        <v>26.099999999999998</v>
      </c>
      <c r="F4487" s="790" t="s">
        <v>34</v>
      </c>
      <c r="G4487" s="804">
        <v>281</v>
      </c>
      <c r="H4487" s="805">
        <f t="shared" si="911"/>
        <v>7334.0999999999995</v>
      </c>
      <c r="I4487" s="791">
        <v>80</v>
      </c>
      <c r="J4487" s="805">
        <f t="shared" si="907"/>
        <v>2088</v>
      </c>
      <c r="K4487" s="1099">
        <f t="shared" si="908"/>
        <v>9422.0999999999985</v>
      </c>
      <c r="L4487" s="1061"/>
      <c r="N4487" s="793">
        <f t="shared" si="904"/>
        <v>26.099999999999998</v>
      </c>
      <c r="O4487" s="745">
        <v>0</v>
      </c>
      <c r="P4487" s="789">
        <v>26.099999999999998</v>
      </c>
      <c r="T4487" s="495"/>
    </row>
    <row r="4488" spans="1:20" s="492" customFormat="1">
      <c r="A4488" s="806"/>
      <c r="B4488" s="747"/>
      <c r="C4488" s="735"/>
      <c r="D4488" s="735"/>
      <c r="E4488" s="789">
        <f t="shared" si="905"/>
        <v>0</v>
      </c>
      <c r="F4488" s="790"/>
      <c r="G4488" s="807"/>
      <c r="H4488" s="808">
        <f t="shared" si="906"/>
        <v>0</v>
      </c>
      <c r="I4488" s="809"/>
      <c r="J4488" s="808">
        <f t="shared" si="907"/>
        <v>0</v>
      </c>
      <c r="K4488" s="1100">
        <f t="shared" si="908"/>
        <v>0</v>
      </c>
      <c r="L4488" s="1061"/>
      <c r="N4488" s="810">
        <f t="shared" si="904"/>
        <v>0</v>
      </c>
      <c r="O4488" s="745">
        <v>0</v>
      </c>
      <c r="P4488" s="789">
        <v>0</v>
      </c>
      <c r="T4488" s="495"/>
    </row>
    <row r="4489" spans="1:20" s="492" customFormat="1">
      <c r="A4489" s="734" t="s">
        <v>571</v>
      </c>
      <c r="B4489" s="750" t="s">
        <v>560</v>
      </c>
      <c r="C4489" s="803"/>
      <c r="D4489" s="907"/>
      <c r="E4489" s="789">
        <f t="shared" si="905"/>
        <v>0</v>
      </c>
      <c r="F4489" s="790"/>
      <c r="G4489" s="807">
        <v>0</v>
      </c>
      <c r="H4489" s="808">
        <f t="shared" si="906"/>
        <v>0</v>
      </c>
      <c r="I4489" s="809">
        <v>0</v>
      </c>
      <c r="J4489" s="808">
        <f t="shared" si="907"/>
        <v>0</v>
      </c>
      <c r="K4489" s="1100">
        <f t="shared" si="908"/>
        <v>0</v>
      </c>
      <c r="L4489" s="1061"/>
      <c r="N4489" s="810">
        <f t="shared" si="904"/>
        <v>0</v>
      </c>
      <c r="O4489" s="745">
        <v>0</v>
      </c>
      <c r="P4489" s="789">
        <v>0</v>
      </c>
      <c r="T4489" s="495"/>
    </row>
    <row r="4490" spans="1:20" s="492" customFormat="1">
      <c r="A4490" s="806"/>
      <c r="B4490" s="747" t="s">
        <v>469</v>
      </c>
      <c r="C4490" s="735" t="s">
        <v>546</v>
      </c>
      <c r="D4490" s="735"/>
      <c r="E4490" s="789">
        <f t="shared" si="905"/>
        <v>9.5</v>
      </c>
      <c r="F4490" s="790" t="s">
        <v>547</v>
      </c>
      <c r="G4490" s="807">
        <f>ROUNDUP(2227.6*0.05+5*2.95,0)</f>
        <v>127</v>
      </c>
      <c r="H4490" s="808">
        <f t="shared" ref="H4490" si="912">SUM(E4490*G4490)</f>
        <v>1206.5</v>
      </c>
      <c r="I4490" s="809">
        <v>82</v>
      </c>
      <c r="J4490" s="808">
        <f t="shared" si="907"/>
        <v>779</v>
      </c>
      <c r="K4490" s="1100">
        <f t="shared" si="908"/>
        <v>1985.5</v>
      </c>
      <c r="L4490" s="1061"/>
      <c r="N4490" s="810">
        <f t="shared" si="904"/>
        <v>9.5</v>
      </c>
      <c r="O4490" s="745">
        <v>0</v>
      </c>
      <c r="P4490" s="789">
        <v>9.5</v>
      </c>
      <c r="T4490" s="495"/>
    </row>
    <row r="4491" spans="1:20" s="492" customFormat="1">
      <c r="A4491" s="806"/>
      <c r="B4491" s="747" t="s">
        <v>469</v>
      </c>
      <c r="C4491" s="735" t="s">
        <v>548</v>
      </c>
      <c r="D4491" s="735"/>
      <c r="E4491" s="789">
        <f t="shared" si="905"/>
        <v>60</v>
      </c>
      <c r="F4491" s="790" t="s">
        <v>34</v>
      </c>
      <c r="G4491" s="807">
        <v>165</v>
      </c>
      <c r="H4491" s="808">
        <f t="shared" ref="H4491:H4494" si="913">+E4491*G4491</f>
        <v>9900</v>
      </c>
      <c r="I4491" s="809">
        <v>112</v>
      </c>
      <c r="J4491" s="808">
        <f t="shared" si="907"/>
        <v>6720</v>
      </c>
      <c r="K4491" s="1100">
        <f t="shared" si="908"/>
        <v>16620</v>
      </c>
      <c r="L4491" s="1061"/>
      <c r="N4491" s="810">
        <f t="shared" si="904"/>
        <v>60</v>
      </c>
      <c r="O4491" s="745">
        <v>0</v>
      </c>
      <c r="P4491" s="789">
        <v>60</v>
      </c>
      <c r="T4491" s="495"/>
    </row>
    <row r="4492" spans="1:20" s="492" customFormat="1">
      <c r="A4492" s="806"/>
      <c r="B4492" s="747" t="s">
        <v>469</v>
      </c>
      <c r="C4492" s="735" t="s">
        <v>551</v>
      </c>
      <c r="D4492" s="735"/>
      <c r="E4492" s="789">
        <f t="shared" si="905"/>
        <v>38</v>
      </c>
      <c r="F4492" s="790" t="s">
        <v>361</v>
      </c>
      <c r="G4492" s="807">
        <v>175</v>
      </c>
      <c r="H4492" s="808">
        <f t="shared" si="913"/>
        <v>6650</v>
      </c>
      <c r="I4492" s="809">
        <v>50</v>
      </c>
      <c r="J4492" s="808">
        <f t="shared" si="907"/>
        <v>1900</v>
      </c>
      <c r="K4492" s="1100">
        <f t="shared" si="908"/>
        <v>8550</v>
      </c>
      <c r="L4492" s="1061"/>
      <c r="N4492" s="810">
        <f t="shared" si="904"/>
        <v>38</v>
      </c>
      <c r="O4492" s="745">
        <v>0</v>
      </c>
      <c r="P4492" s="789">
        <v>38</v>
      </c>
      <c r="T4492" s="495"/>
    </row>
    <row r="4493" spans="1:20" s="492" customFormat="1">
      <c r="A4493" s="806"/>
      <c r="B4493" s="747" t="s">
        <v>469</v>
      </c>
      <c r="C4493" s="735" t="s">
        <v>558</v>
      </c>
      <c r="D4493" s="735"/>
      <c r="E4493" s="789">
        <f t="shared" si="905"/>
        <v>29</v>
      </c>
      <c r="F4493" s="790" t="s">
        <v>361</v>
      </c>
      <c r="G4493" s="807">
        <v>900</v>
      </c>
      <c r="H4493" s="808">
        <f t="shared" si="913"/>
        <v>26100</v>
      </c>
      <c r="I4493" s="809">
        <v>200</v>
      </c>
      <c r="J4493" s="808">
        <f t="shared" si="907"/>
        <v>5800</v>
      </c>
      <c r="K4493" s="1100">
        <f t="shared" si="908"/>
        <v>31900</v>
      </c>
      <c r="L4493" s="1061"/>
      <c r="N4493" s="810">
        <f t="shared" ref="N4493:N4519" si="914">+(1+O4493)*P4493</f>
        <v>29</v>
      </c>
      <c r="O4493" s="745">
        <v>0</v>
      </c>
      <c r="P4493" s="789">
        <v>29</v>
      </c>
      <c r="T4493" s="495"/>
    </row>
    <row r="4494" spans="1:20" s="492" customFormat="1">
      <c r="A4494" s="806"/>
      <c r="B4494" s="747" t="s">
        <v>469</v>
      </c>
      <c r="C4494" s="735" t="s">
        <v>549</v>
      </c>
      <c r="D4494" s="735"/>
      <c r="E4494" s="789">
        <f t="shared" si="905"/>
        <v>0</v>
      </c>
      <c r="F4494" s="790" t="s">
        <v>361</v>
      </c>
      <c r="G4494" s="807">
        <v>0</v>
      </c>
      <c r="H4494" s="808">
        <f t="shared" si="913"/>
        <v>0</v>
      </c>
      <c r="I4494" s="809">
        <v>0</v>
      </c>
      <c r="J4494" s="808">
        <f t="shared" si="907"/>
        <v>0</v>
      </c>
      <c r="K4494" s="1100">
        <f t="shared" si="908"/>
        <v>0</v>
      </c>
      <c r="L4494" s="1061"/>
      <c r="N4494" s="810">
        <f t="shared" si="914"/>
        <v>0</v>
      </c>
      <c r="O4494" s="745">
        <v>0</v>
      </c>
      <c r="P4494" s="789">
        <v>0</v>
      </c>
      <c r="T4494" s="495"/>
    </row>
    <row r="4495" spans="1:20" s="492" customFormat="1">
      <c r="A4495" s="806"/>
      <c r="B4495" s="747" t="s">
        <v>469</v>
      </c>
      <c r="C4495" s="735" t="s">
        <v>559</v>
      </c>
      <c r="D4495" s="735"/>
      <c r="E4495" s="789">
        <f t="shared" si="905"/>
        <v>6</v>
      </c>
      <c r="F4495" s="790" t="s">
        <v>547</v>
      </c>
      <c r="G4495" s="807">
        <f>ROUNDUP(2227.6*0.05+5*2.95,0)</f>
        <v>127</v>
      </c>
      <c r="H4495" s="808">
        <f t="shared" ref="H4495" si="915">SUM(E4495*G4495)</f>
        <v>762</v>
      </c>
      <c r="I4495" s="809">
        <v>82</v>
      </c>
      <c r="J4495" s="808">
        <f t="shared" si="907"/>
        <v>492</v>
      </c>
      <c r="K4495" s="1100">
        <f t="shared" si="908"/>
        <v>1254</v>
      </c>
      <c r="L4495" s="1061"/>
      <c r="N4495" s="810">
        <f t="shared" si="914"/>
        <v>6</v>
      </c>
      <c r="O4495" s="745">
        <v>0</v>
      </c>
      <c r="P4495" s="789">
        <v>6</v>
      </c>
      <c r="T4495" s="495"/>
    </row>
    <row r="4496" spans="1:20" s="492" customFormat="1">
      <c r="A4496" s="806"/>
      <c r="B4496" s="747" t="s">
        <v>469</v>
      </c>
      <c r="C4496" s="735" t="s">
        <v>553</v>
      </c>
      <c r="D4496" s="735"/>
      <c r="E4496" s="789">
        <f t="shared" si="905"/>
        <v>52.199999999999996</v>
      </c>
      <c r="F4496" s="790" t="s">
        <v>547</v>
      </c>
      <c r="G4496" s="807">
        <f>88+69</f>
        <v>157</v>
      </c>
      <c r="H4496" s="808">
        <f t="shared" ref="H4496" si="916">+E4496*G4496</f>
        <v>8195.4</v>
      </c>
      <c r="I4496" s="809">
        <f>82+28</f>
        <v>110</v>
      </c>
      <c r="J4496" s="808">
        <f t="shared" si="907"/>
        <v>5741.9999999999991</v>
      </c>
      <c r="K4496" s="1100">
        <f t="shared" si="908"/>
        <v>13937.399999999998</v>
      </c>
      <c r="L4496" s="1061"/>
      <c r="N4496" s="810">
        <f t="shared" si="914"/>
        <v>52.199999999999996</v>
      </c>
      <c r="O4496" s="745">
        <v>0</v>
      </c>
      <c r="P4496" s="789">
        <v>52.199999999999996</v>
      </c>
      <c r="T4496" s="495"/>
    </row>
    <row r="4497" spans="1:20" s="492" customFormat="1">
      <c r="A4497" s="806"/>
      <c r="B4497" s="747" t="s">
        <v>469</v>
      </c>
      <c r="C4497" s="735" t="s">
        <v>770</v>
      </c>
      <c r="D4497" s="735"/>
      <c r="E4497" s="789">
        <f t="shared" si="905"/>
        <v>26.099999999999998</v>
      </c>
      <c r="F4497" s="790" t="s">
        <v>34</v>
      </c>
      <c r="G4497" s="804">
        <v>281</v>
      </c>
      <c r="H4497" s="805">
        <f t="shared" si="906"/>
        <v>7334.0999999999995</v>
      </c>
      <c r="I4497" s="791">
        <v>80</v>
      </c>
      <c r="J4497" s="805">
        <f t="shared" si="907"/>
        <v>2088</v>
      </c>
      <c r="K4497" s="1099">
        <f t="shared" si="908"/>
        <v>9422.0999999999985</v>
      </c>
      <c r="L4497" s="1061"/>
      <c r="N4497" s="793">
        <f t="shared" si="914"/>
        <v>26.099999999999998</v>
      </c>
      <c r="O4497" s="745">
        <v>0</v>
      </c>
      <c r="P4497" s="789">
        <v>26.099999999999998</v>
      </c>
      <c r="T4497" s="495"/>
    </row>
    <row r="4498" spans="1:20" s="492" customFormat="1">
      <c r="A4498" s="734"/>
      <c r="B4498" s="750"/>
      <c r="C4498" s="803"/>
      <c r="D4498" s="907"/>
      <c r="E4498" s="789">
        <f t="shared" si="905"/>
        <v>0</v>
      </c>
      <c r="F4498" s="790"/>
      <c r="G4498" s="807">
        <v>0</v>
      </c>
      <c r="H4498" s="808">
        <f t="shared" si="906"/>
        <v>0</v>
      </c>
      <c r="I4498" s="809">
        <v>0</v>
      </c>
      <c r="J4498" s="808">
        <f t="shared" si="907"/>
        <v>0</v>
      </c>
      <c r="K4498" s="1100">
        <f t="shared" si="908"/>
        <v>0</v>
      </c>
      <c r="L4498" s="1061"/>
      <c r="N4498" s="810">
        <f t="shared" si="914"/>
        <v>0</v>
      </c>
      <c r="O4498" s="745">
        <v>0</v>
      </c>
      <c r="P4498" s="789">
        <v>0</v>
      </c>
      <c r="T4498" s="495"/>
    </row>
    <row r="4499" spans="1:20" s="492" customFormat="1">
      <c r="A4499" s="734"/>
      <c r="B4499" s="750"/>
      <c r="C4499" s="803"/>
      <c r="D4499" s="907"/>
      <c r="E4499" s="789"/>
      <c r="F4499" s="790"/>
      <c r="G4499" s="807"/>
      <c r="H4499" s="808"/>
      <c r="I4499" s="809"/>
      <c r="J4499" s="808"/>
      <c r="K4499" s="1100"/>
      <c r="L4499" s="1061"/>
      <c r="N4499" s="810"/>
      <c r="O4499" s="745"/>
      <c r="P4499" s="789"/>
      <c r="T4499" s="495"/>
    </row>
    <row r="4500" spans="1:20" s="492" customFormat="1">
      <c r="A4500" s="734"/>
      <c r="B4500" s="750"/>
      <c r="C4500" s="803"/>
      <c r="D4500" s="907"/>
      <c r="E4500" s="789"/>
      <c r="F4500" s="790"/>
      <c r="G4500" s="807"/>
      <c r="H4500" s="808"/>
      <c r="I4500" s="809"/>
      <c r="J4500" s="808"/>
      <c r="K4500" s="1100"/>
      <c r="L4500" s="1061"/>
      <c r="N4500" s="810"/>
      <c r="O4500" s="745"/>
      <c r="P4500" s="789"/>
      <c r="T4500" s="495"/>
    </row>
    <row r="4501" spans="1:20" s="492" customFormat="1">
      <c r="A4501" s="734" t="s">
        <v>572</v>
      </c>
      <c r="B4501" s="750" t="s">
        <v>561</v>
      </c>
      <c r="C4501" s="803"/>
      <c r="D4501" s="907"/>
      <c r="E4501" s="789">
        <f t="shared" si="905"/>
        <v>0</v>
      </c>
      <c r="F4501" s="790"/>
      <c r="G4501" s="807">
        <v>0</v>
      </c>
      <c r="H4501" s="808">
        <f t="shared" si="906"/>
        <v>0</v>
      </c>
      <c r="I4501" s="809">
        <v>0</v>
      </c>
      <c r="J4501" s="808">
        <f t="shared" si="907"/>
        <v>0</v>
      </c>
      <c r="K4501" s="1100">
        <f t="shared" si="908"/>
        <v>0</v>
      </c>
      <c r="L4501" s="1061"/>
      <c r="N4501" s="810">
        <f t="shared" si="914"/>
        <v>0</v>
      </c>
      <c r="O4501" s="745">
        <v>0</v>
      </c>
      <c r="P4501" s="789">
        <v>0</v>
      </c>
      <c r="T4501" s="495"/>
    </row>
    <row r="4502" spans="1:20" s="492" customFormat="1">
      <c r="A4502" s="806"/>
      <c r="B4502" s="747" t="s">
        <v>469</v>
      </c>
      <c r="C4502" s="735" t="s">
        <v>546</v>
      </c>
      <c r="D4502" s="735"/>
      <c r="E4502" s="789">
        <f t="shared" ref="E4502:E4530" si="917">+N4502</f>
        <v>9.5</v>
      </c>
      <c r="F4502" s="790" t="s">
        <v>547</v>
      </c>
      <c r="G4502" s="807">
        <f>ROUNDUP(2227.6*0.05+5*2.95,0)</f>
        <v>127</v>
      </c>
      <c r="H4502" s="808">
        <f t="shared" ref="H4502" si="918">SUM(E4502*G4502)</f>
        <v>1206.5</v>
      </c>
      <c r="I4502" s="809">
        <v>82</v>
      </c>
      <c r="J4502" s="808">
        <f t="shared" si="907"/>
        <v>779</v>
      </c>
      <c r="K4502" s="1100">
        <f t="shared" si="908"/>
        <v>1985.5</v>
      </c>
      <c r="L4502" s="1061"/>
      <c r="N4502" s="810">
        <f t="shared" si="914"/>
        <v>9.5</v>
      </c>
      <c r="O4502" s="745">
        <v>0</v>
      </c>
      <c r="P4502" s="789">
        <v>9.5</v>
      </c>
      <c r="T4502" s="495"/>
    </row>
    <row r="4503" spans="1:20" s="492" customFormat="1">
      <c r="A4503" s="806"/>
      <c r="B4503" s="747" t="s">
        <v>469</v>
      </c>
      <c r="C4503" s="735" t="s">
        <v>548</v>
      </c>
      <c r="D4503" s="735"/>
      <c r="E4503" s="789">
        <f t="shared" si="917"/>
        <v>60</v>
      </c>
      <c r="F4503" s="790" t="s">
        <v>34</v>
      </c>
      <c r="G4503" s="807">
        <v>165</v>
      </c>
      <c r="H4503" s="808">
        <f t="shared" ref="H4503:H4506" si="919">+E4503*G4503</f>
        <v>9900</v>
      </c>
      <c r="I4503" s="809">
        <v>112</v>
      </c>
      <c r="J4503" s="808">
        <f t="shared" ref="J4503:J4530" si="920">+E4503*I4503</f>
        <v>6720</v>
      </c>
      <c r="K4503" s="1100">
        <f t="shared" ref="K4503:K4530" si="921">+H4503+J4503</f>
        <v>16620</v>
      </c>
      <c r="L4503" s="1061"/>
      <c r="N4503" s="810">
        <f t="shared" si="914"/>
        <v>60</v>
      </c>
      <c r="O4503" s="745">
        <v>0</v>
      </c>
      <c r="P4503" s="789">
        <v>60</v>
      </c>
      <c r="T4503" s="495"/>
    </row>
    <row r="4504" spans="1:20" s="492" customFormat="1">
      <c r="A4504" s="806"/>
      <c r="B4504" s="747" t="s">
        <v>469</v>
      </c>
      <c r="C4504" s="735" t="s">
        <v>551</v>
      </c>
      <c r="D4504" s="735"/>
      <c r="E4504" s="789">
        <f t="shared" si="917"/>
        <v>38</v>
      </c>
      <c r="F4504" s="790" t="s">
        <v>361</v>
      </c>
      <c r="G4504" s="807">
        <v>175</v>
      </c>
      <c r="H4504" s="808">
        <f t="shared" si="919"/>
        <v>6650</v>
      </c>
      <c r="I4504" s="809">
        <v>50</v>
      </c>
      <c r="J4504" s="808">
        <f t="shared" si="920"/>
        <v>1900</v>
      </c>
      <c r="K4504" s="1100">
        <f t="shared" si="921"/>
        <v>8550</v>
      </c>
      <c r="L4504" s="1061"/>
      <c r="N4504" s="810">
        <f t="shared" si="914"/>
        <v>38</v>
      </c>
      <c r="O4504" s="745">
        <v>0</v>
      </c>
      <c r="P4504" s="789">
        <v>38</v>
      </c>
      <c r="T4504" s="495"/>
    </row>
    <row r="4505" spans="1:20" s="492" customFormat="1">
      <c r="A4505" s="806"/>
      <c r="B4505" s="747" t="s">
        <v>469</v>
      </c>
      <c r="C4505" s="735" t="s">
        <v>558</v>
      </c>
      <c r="D4505" s="735"/>
      <c r="E4505" s="789">
        <f t="shared" si="917"/>
        <v>29</v>
      </c>
      <c r="F4505" s="790" t="s">
        <v>361</v>
      </c>
      <c r="G4505" s="807">
        <v>900</v>
      </c>
      <c r="H4505" s="808">
        <f t="shared" si="919"/>
        <v>26100</v>
      </c>
      <c r="I4505" s="809">
        <v>200</v>
      </c>
      <c r="J4505" s="808">
        <f t="shared" si="920"/>
        <v>5800</v>
      </c>
      <c r="K4505" s="1100">
        <f t="shared" si="921"/>
        <v>31900</v>
      </c>
      <c r="L4505" s="1061"/>
      <c r="N4505" s="810">
        <f t="shared" si="914"/>
        <v>29</v>
      </c>
      <c r="O4505" s="745">
        <v>0</v>
      </c>
      <c r="P4505" s="789">
        <v>29</v>
      </c>
      <c r="T4505" s="495"/>
    </row>
    <row r="4506" spans="1:20" s="492" customFormat="1">
      <c r="A4506" s="806"/>
      <c r="B4506" s="747" t="s">
        <v>469</v>
      </c>
      <c r="C4506" s="735" t="s">
        <v>549</v>
      </c>
      <c r="D4506" s="735"/>
      <c r="E4506" s="789">
        <f t="shared" si="917"/>
        <v>0</v>
      </c>
      <c r="F4506" s="790" t="s">
        <v>361</v>
      </c>
      <c r="G4506" s="807">
        <v>0</v>
      </c>
      <c r="H4506" s="808">
        <f t="shared" si="919"/>
        <v>0</v>
      </c>
      <c r="I4506" s="809">
        <v>0</v>
      </c>
      <c r="J4506" s="808">
        <f t="shared" si="920"/>
        <v>0</v>
      </c>
      <c r="K4506" s="1100">
        <f t="shared" si="921"/>
        <v>0</v>
      </c>
      <c r="L4506" s="1061"/>
      <c r="N4506" s="810">
        <f t="shared" si="914"/>
        <v>0</v>
      </c>
      <c r="O4506" s="745">
        <v>0</v>
      </c>
      <c r="P4506" s="789">
        <v>0</v>
      </c>
      <c r="T4506" s="495"/>
    </row>
    <row r="4507" spans="1:20" s="492" customFormat="1">
      <c r="A4507" s="806"/>
      <c r="B4507" s="747" t="s">
        <v>469</v>
      </c>
      <c r="C4507" s="735" t="s">
        <v>559</v>
      </c>
      <c r="D4507" s="735"/>
      <c r="E4507" s="789">
        <f t="shared" si="917"/>
        <v>6</v>
      </c>
      <c r="F4507" s="790" t="s">
        <v>547</v>
      </c>
      <c r="G4507" s="807">
        <f>ROUNDUP(2227.6*0.05+5*2.95,0)</f>
        <v>127</v>
      </c>
      <c r="H4507" s="808">
        <f t="shared" ref="H4507" si="922">SUM(E4507*G4507)</f>
        <v>762</v>
      </c>
      <c r="I4507" s="809">
        <v>82</v>
      </c>
      <c r="J4507" s="808">
        <f t="shared" si="920"/>
        <v>492</v>
      </c>
      <c r="K4507" s="1100">
        <f t="shared" si="921"/>
        <v>1254</v>
      </c>
      <c r="L4507" s="1061"/>
      <c r="N4507" s="810">
        <f t="shared" si="914"/>
        <v>6</v>
      </c>
      <c r="O4507" s="745">
        <v>0</v>
      </c>
      <c r="P4507" s="789">
        <v>6</v>
      </c>
      <c r="T4507" s="495"/>
    </row>
    <row r="4508" spans="1:20" s="492" customFormat="1">
      <c r="A4508" s="806"/>
      <c r="B4508" s="747" t="s">
        <v>469</v>
      </c>
      <c r="C4508" s="735" t="s">
        <v>553</v>
      </c>
      <c r="D4508" s="735"/>
      <c r="E4508" s="789">
        <f t="shared" si="917"/>
        <v>52.199999999999996</v>
      </c>
      <c r="F4508" s="790" t="s">
        <v>547</v>
      </c>
      <c r="G4508" s="807">
        <f>88+69</f>
        <v>157</v>
      </c>
      <c r="H4508" s="808">
        <f t="shared" ref="H4508:H4530" si="923">+E4508*G4508</f>
        <v>8195.4</v>
      </c>
      <c r="I4508" s="809">
        <f>82+28</f>
        <v>110</v>
      </c>
      <c r="J4508" s="808">
        <f t="shared" si="920"/>
        <v>5741.9999999999991</v>
      </c>
      <c r="K4508" s="1100">
        <f t="shared" si="921"/>
        <v>13937.399999999998</v>
      </c>
      <c r="L4508" s="1061"/>
      <c r="N4508" s="810">
        <f t="shared" si="914"/>
        <v>52.199999999999996</v>
      </c>
      <c r="O4508" s="745">
        <v>0</v>
      </c>
      <c r="P4508" s="789">
        <v>52.199999999999996</v>
      </c>
      <c r="T4508" s="495"/>
    </row>
    <row r="4509" spans="1:20" s="492" customFormat="1">
      <c r="A4509" s="806"/>
      <c r="B4509" s="747" t="s">
        <v>469</v>
      </c>
      <c r="C4509" s="735" t="s">
        <v>770</v>
      </c>
      <c r="D4509" s="735"/>
      <c r="E4509" s="789">
        <f t="shared" si="917"/>
        <v>26.099999999999998</v>
      </c>
      <c r="F4509" s="790" t="s">
        <v>34</v>
      </c>
      <c r="G4509" s="804">
        <v>281</v>
      </c>
      <c r="H4509" s="805">
        <f t="shared" si="923"/>
        <v>7334.0999999999995</v>
      </c>
      <c r="I4509" s="791">
        <v>80</v>
      </c>
      <c r="J4509" s="805">
        <f t="shared" si="920"/>
        <v>2088</v>
      </c>
      <c r="K4509" s="1099">
        <f t="shared" si="921"/>
        <v>9422.0999999999985</v>
      </c>
      <c r="L4509" s="1061"/>
      <c r="N4509" s="793">
        <f t="shared" si="914"/>
        <v>26.099999999999998</v>
      </c>
      <c r="O4509" s="745">
        <v>0</v>
      </c>
      <c r="P4509" s="789">
        <v>26.099999999999998</v>
      </c>
      <c r="T4509" s="495"/>
    </row>
    <row r="4510" spans="1:20" s="492" customFormat="1">
      <c r="A4510" s="734"/>
      <c r="B4510" s="750"/>
      <c r="C4510" s="803"/>
      <c r="D4510" s="907"/>
      <c r="E4510" s="789">
        <f>+N4510</f>
        <v>0</v>
      </c>
      <c r="F4510" s="790"/>
      <c r="G4510" s="807">
        <v>0</v>
      </c>
      <c r="H4510" s="808">
        <f t="shared" si="923"/>
        <v>0</v>
      </c>
      <c r="I4510" s="809">
        <v>0</v>
      </c>
      <c r="J4510" s="808">
        <f t="shared" si="920"/>
        <v>0</v>
      </c>
      <c r="K4510" s="1100">
        <f t="shared" si="921"/>
        <v>0</v>
      </c>
      <c r="L4510" s="1061"/>
      <c r="N4510" s="810">
        <f t="shared" si="914"/>
        <v>0</v>
      </c>
      <c r="O4510" s="745">
        <v>0</v>
      </c>
      <c r="P4510" s="789"/>
      <c r="T4510" s="495"/>
    </row>
    <row r="4511" spans="1:20" s="492" customFormat="1">
      <c r="A4511" s="734" t="s">
        <v>574</v>
      </c>
      <c r="B4511" s="750" t="s">
        <v>562</v>
      </c>
      <c r="C4511" s="803"/>
      <c r="D4511" s="907"/>
      <c r="E4511" s="789">
        <f t="shared" si="917"/>
        <v>0</v>
      </c>
      <c r="F4511" s="790"/>
      <c r="G4511" s="807">
        <v>0</v>
      </c>
      <c r="H4511" s="808">
        <f t="shared" si="923"/>
        <v>0</v>
      </c>
      <c r="I4511" s="809">
        <v>0</v>
      </c>
      <c r="J4511" s="808">
        <f t="shared" si="920"/>
        <v>0</v>
      </c>
      <c r="K4511" s="1100">
        <f t="shared" si="921"/>
        <v>0</v>
      </c>
      <c r="L4511" s="1061"/>
      <c r="N4511" s="810">
        <f t="shared" si="914"/>
        <v>0</v>
      </c>
      <c r="O4511" s="745">
        <v>0</v>
      </c>
      <c r="P4511" s="789">
        <v>0</v>
      </c>
      <c r="T4511" s="495"/>
    </row>
    <row r="4512" spans="1:20" s="492" customFormat="1">
      <c r="A4512" s="806"/>
      <c r="B4512" s="747" t="s">
        <v>469</v>
      </c>
      <c r="C4512" s="735" t="s">
        <v>546</v>
      </c>
      <c r="D4512" s="735"/>
      <c r="E4512" s="789">
        <f t="shared" si="917"/>
        <v>9.5</v>
      </c>
      <c r="F4512" s="790" t="s">
        <v>547</v>
      </c>
      <c r="G4512" s="807">
        <f>ROUNDUP(2227.6*0.05+5*2.95,0)</f>
        <v>127</v>
      </c>
      <c r="H4512" s="808">
        <f t="shared" ref="H4512" si="924">SUM(E4512*G4512)</f>
        <v>1206.5</v>
      </c>
      <c r="I4512" s="809">
        <v>82</v>
      </c>
      <c r="J4512" s="808">
        <f t="shared" si="920"/>
        <v>779</v>
      </c>
      <c r="K4512" s="1100">
        <f t="shared" si="921"/>
        <v>1985.5</v>
      </c>
      <c r="L4512" s="1061"/>
      <c r="N4512" s="810">
        <f t="shared" si="914"/>
        <v>9.5</v>
      </c>
      <c r="O4512" s="745">
        <v>0</v>
      </c>
      <c r="P4512" s="789">
        <v>9.5</v>
      </c>
      <c r="T4512" s="495"/>
    </row>
    <row r="4513" spans="1:20" s="492" customFormat="1">
      <c r="A4513" s="806"/>
      <c r="B4513" s="747" t="s">
        <v>469</v>
      </c>
      <c r="C4513" s="735" t="s">
        <v>548</v>
      </c>
      <c r="D4513" s="735"/>
      <c r="E4513" s="789">
        <f t="shared" si="917"/>
        <v>60</v>
      </c>
      <c r="F4513" s="790" t="s">
        <v>34</v>
      </c>
      <c r="G4513" s="807">
        <v>165</v>
      </c>
      <c r="H4513" s="808">
        <f t="shared" ref="H4513:H4516" si="925">+E4513*G4513</f>
        <v>9900</v>
      </c>
      <c r="I4513" s="809">
        <v>112</v>
      </c>
      <c r="J4513" s="808">
        <f t="shared" si="920"/>
        <v>6720</v>
      </c>
      <c r="K4513" s="1100">
        <f t="shared" si="921"/>
        <v>16620</v>
      </c>
      <c r="L4513" s="1061"/>
      <c r="N4513" s="810">
        <f t="shared" si="914"/>
        <v>60</v>
      </c>
      <c r="O4513" s="745">
        <v>0</v>
      </c>
      <c r="P4513" s="789">
        <v>60</v>
      </c>
      <c r="T4513" s="495"/>
    </row>
    <row r="4514" spans="1:20" s="492" customFormat="1">
      <c r="A4514" s="806"/>
      <c r="B4514" s="747" t="s">
        <v>469</v>
      </c>
      <c r="C4514" s="735" t="s">
        <v>551</v>
      </c>
      <c r="D4514" s="735"/>
      <c r="E4514" s="789">
        <f t="shared" si="917"/>
        <v>38</v>
      </c>
      <c r="F4514" s="790" t="s">
        <v>361</v>
      </c>
      <c r="G4514" s="807">
        <v>175</v>
      </c>
      <c r="H4514" s="808">
        <f t="shared" si="925"/>
        <v>6650</v>
      </c>
      <c r="I4514" s="809">
        <v>50</v>
      </c>
      <c r="J4514" s="808">
        <f t="shared" si="920"/>
        <v>1900</v>
      </c>
      <c r="K4514" s="1100">
        <f t="shared" si="921"/>
        <v>8550</v>
      </c>
      <c r="L4514" s="1061"/>
      <c r="N4514" s="810">
        <f t="shared" si="914"/>
        <v>38</v>
      </c>
      <c r="O4514" s="745">
        <v>0</v>
      </c>
      <c r="P4514" s="789">
        <v>38</v>
      </c>
      <c r="T4514" s="495"/>
    </row>
    <row r="4515" spans="1:20" s="492" customFormat="1">
      <c r="A4515" s="806"/>
      <c r="B4515" s="747" t="s">
        <v>469</v>
      </c>
      <c r="C4515" s="735" t="s">
        <v>558</v>
      </c>
      <c r="D4515" s="735"/>
      <c r="E4515" s="789">
        <f t="shared" si="917"/>
        <v>29</v>
      </c>
      <c r="F4515" s="790" t="s">
        <v>361</v>
      </c>
      <c r="G4515" s="807">
        <v>900</v>
      </c>
      <c r="H4515" s="808">
        <f t="shared" si="925"/>
        <v>26100</v>
      </c>
      <c r="I4515" s="809">
        <v>200</v>
      </c>
      <c r="J4515" s="808">
        <f t="shared" si="920"/>
        <v>5800</v>
      </c>
      <c r="K4515" s="1100">
        <f t="shared" si="921"/>
        <v>31900</v>
      </c>
      <c r="L4515" s="1061"/>
      <c r="N4515" s="810">
        <f t="shared" si="914"/>
        <v>29</v>
      </c>
      <c r="O4515" s="745">
        <v>0</v>
      </c>
      <c r="P4515" s="789">
        <v>29</v>
      </c>
      <c r="T4515" s="495"/>
    </row>
    <row r="4516" spans="1:20" s="492" customFormat="1">
      <c r="A4516" s="806"/>
      <c r="B4516" s="747" t="s">
        <v>469</v>
      </c>
      <c r="C4516" s="735" t="s">
        <v>549</v>
      </c>
      <c r="D4516" s="735"/>
      <c r="E4516" s="789">
        <f t="shared" si="917"/>
        <v>0</v>
      </c>
      <c r="F4516" s="790" t="s">
        <v>361</v>
      </c>
      <c r="G4516" s="807">
        <v>0</v>
      </c>
      <c r="H4516" s="808">
        <f t="shared" si="925"/>
        <v>0</v>
      </c>
      <c r="I4516" s="809">
        <v>0</v>
      </c>
      <c r="J4516" s="808">
        <f t="shared" si="920"/>
        <v>0</v>
      </c>
      <c r="K4516" s="1100">
        <f t="shared" si="921"/>
        <v>0</v>
      </c>
      <c r="L4516" s="1061"/>
      <c r="N4516" s="810">
        <f t="shared" si="914"/>
        <v>0</v>
      </c>
      <c r="O4516" s="745">
        <v>0</v>
      </c>
      <c r="P4516" s="789">
        <v>0</v>
      </c>
      <c r="T4516" s="495"/>
    </row>
    <row r="4517" spans="1:20" s="492" customFormat="1">
      <c r="A4517" s="806"/>
      <c r="B4517" s="747" t="s">
        <v>469</v>
      </c>
      <c r="C4517" s="735" t="s">
        <v>559</v>
      </c>
      <c r="D4517" s="735"/>
      <c r="E4517" s="789">
        <f t="shared" si="917"/>
        <v>6</v>
      </c>
      <c r="F4517" s="790" t="s">
        <v>547</v>
      </c>
      <c r="G4517" s="807">
        <f>ROUNDUP(2227.6*0.05+5*2.95,0)</f>
        <v>127</v>
      </c>
      <c r="H4517" s="808">
        <f t="shared" ref="H4517" si="926">SUM(E4517*G4517)</f>
        <v>762</v>
      </c>
      <c r="I4517" s="809">
        <v>82</v>
      </c>
      <c r="J4517" s="808">
        <f t="shared" si="920"/>
        <v>492</v>
      </c>
      <c r="K4517" s="1100">
        <f t="shared" si="921"/>
        <v>1254</v>
      </c>
      <c r="L4517" s="1061"/>
      <c r="N4517" s="810">
        <f t="shared" si="914"/>
        <v>6</v>
      </c>
      <c r="O4517" s="745">
        <v>0</v>
      </c>
      <c r="P4517" s="789">
        <v>6</v>
      </c>
      <c r="T4517" s="495"/>
    </row>
    <row r="4518" spans="1:20" s="492" customFormat="1">
      <c r="A4518" s="806"/>
      <c r="B4518" s="747" t="s">
        <v>469</v>
      </c>
      <c r="C4518" s="735" t="s">
        <v>553</v>
      </c>
      <c r="D4518" s="735"/>
      <c r="E4518" s="789">
        <f t="shared" si="917"/>
        <v>52.199999999999996</v>
      </c>
      <c r="F4518" s="790" t="s">
        <v>547</v>
      </c>
      <c r="G4518" s="807">
        <f>88+69</f>
        <v>157</v>
      </c>
      <c r="H4518" s="808">
        <f t="shared" ref="H4518:H4519" si="927">+E4518*G4518</f>
        <v>8195.4</v>
      </c>
      <c r="I4518" s="809">
        <f>82+28</f>
        <v>110</v>
      </c>
      <c r="J4518" s="808">
        <f t="shared" si="920"/>
        <v>5741.9999999999991</v>
      </c>
      <c r="K4518" s="1100">
        <f t="shared" si="921"/>
        <v>13937.399999999998</v>
      </c>
      <c r="L4518" s="1061"/>
      <c r="N4518" s="810">
        <f t="shared" si="914"/>
        <v>52.199999999999996</v>
      </c>
      <c r="O4518" s="745">
        <v>0</v>
      </c>
      <c r="P4518" s="789">
        <v>52.199999999999996</v>
      </c>
      <c r="T4518" s="495"/>
    </row>
    <row r="4519" spans="1:20" s="492" customFormat="1">
      <c r="A4519" s="806"/>
      <c r="B4519" s="747" t="s">
        <v>469</v>
      </c>
      <c r="C4519" s="735" t="s">
        <v>770</v>
      </c>
      <c r="D4519" s="735"/>
      <c r="E4519" s="789">
        <f t="shared" si="917"/>
        <v>26.099999999999998</v>
      </c>
      <c r="F4519" s="790" t="s">
        <v>34</v>
      </c>
      <c r="G4519" s="804">
        <v>281</v>
      </c>
      <c r="H4519" s="805">
        <f t="shared" si="927"/>
        <v>7334.0999999999995</v>
      </c>
      <c r="I4519" s="791">
        <v>80</v>
      </c>
      <c r="J4519" s="805">
        <f t="shared" si="920"/>
        <v>2088</v>
      </c>
      <c r="K4519" s="1099">
        <f t="shared" si="921"/>
        <v>9422.0999999999985</v>
      </c>
      <c r="L4519" s="1061"/>
      <c r="N4519" s="793">
        <f t="shared" si="914"/>
        <v>26.099999999999998</v>
      </c>
      <c r="O4519" s="745">
        <v>0</v>
      </c>
      <c r="P4519" s="789">
        <v>26.099999999999998</v>
      </c>
      <c r="T4519" s="495"/>
    </row>
    <row r="4520" spans="1:20" s="492" customFormat="1">
      <c r="A4520" s="806"/>
      <c r="B4520" s="747"/>
      <c r="C4520" s="735"/>
      <c r="D4520" s="735"/>
      <c r="E4520" s="789"/>
      <c r="F4520" s="790"/>
      <c r="G4520" s="807"/>
      <c r="H4520" s="808"/>
      <c r="I4520" s="809"/>
      <c r="J4520" s="808"/>
      <c r="K4520" s="1100"/>
      <c r="L4520" s="1061"/>
      <c r="N4520" s="810"/>
      <c r="O4520" s="745"/>
      <c r="P4520" s="789"/>
      <c r="T4520" s="495"/>
    </row>
    <row r="4521" spans="1:20" s="492" customFormat="1">
      <c r="A4521" s="734" t="s">
        <v>575</v>
      </c>
      <c r="B4521" s="750" t="s">
        <v>563</v>
      </c>
      <c r="C4521" s="803"/>
      <c r="D4521" s="907"/>
      <c r="E4521" s="789">
        <f t="shared" si="917"/>
        <v>0</v>
      </c>
      <c r="F4521" s="790"/>
      <c r="G4521" s="807">
        <v>0</v>
      </c>
      <c r="H4521" s="808">
        <f t="shared" si="923"/>
        <v>0</v>
      </c>
      <c r="I4521" s="809">
        <v>0</v>
      </c>
      <c r="J4521" s="808">
        <f t="shared" si="920"/>
        <v>0</v>
      </c>
      <c r="K4521" s="1100">
        <f t="shared" si="921"/>
        <v>0</v>
      </c>
      <c r="L4521" s="1061"/>
      <c r="N4521" s="810">
        <f t="shared" ref="N4521:N4538" si="928">+(1+O4521)*P4521</f>
        <v>0</v>
      </c>
      <c r="O4521" s="745">
        <v>0</v>
      </c>
      <c r="P4521" s="789">
        <v>0</v>
      </c>
      <c r="T4521" s="495"/>
    </row>
    <row r="4522" spans="1:20" s="492" customFormat="1">
      <c r="A4522" s="806"/>
      <c r="B4522" s="747" t="s">
        <v>469</v>
      </c>
      <c r="C4522" s="735" t="s">
        <v>2558</v>
      </c>
      <c r="D4522" s="735"/>
      <c r="E4522" s="789">
        <f t="shared" si="917"/>
        <v>19.5</v>
      </c>
      <c r="F4522" s="790" t="s">
        <v>547</v>
      </c>
      <c r="G4522" s="807">
        <f>113+583</f>
        <v>696</v>
      </c>
      <c r="H4522" s="808">
        <f t="shared" si="923"/>
        <v>13572</v>
      </c>
      <c r="I4522" s="809">
        <f>61+294</f>
        <v>355</v>
      </c>
      <c r="J4522" s="808">
        <f>+E4522*I4522</f>
        <v>6922.5</v>
      </c>
      <c r="K4522" s="1100">
        <f t="shared" si="921"/>
        <v>20494.5</v>
      </c>
      <c r="L4522" s="1061"/>
      <c r="N4522" s="810">
        <f t="shared" si="928"/>
        <v>19.5</v>
      </c>
      <c r="O4522" s="745">
        <v>0</v>
      </c>
      <c r="P4522" s="789">
        <v>19.5</v>
      </c>
      <c r="T4522" s="495"/>
    </row>
    <row r="4523" spans="1:20" s="492" customFormat="1">
      <c r="A4523" s="806"/>
      <c r="B4523" s="747" t="s">
        <v>469</v>
      </c>
      <c r="C4523" s="735" t="s">
        <v>548</v>
      </c>
      <c r="D4523" s="735"/>
      <c r="E4523" s="789">
        <f t="shared" si="917"/>
        <v>46</v>
      </c>
      <c r="F4523" s="790" t="s">
        <v>34</v>
      </c>
      <c r="G4523" s="807">
        <v>165</v>
      </c>
      <c r="H4523" s="808">
        <f t="shared" si="923"/>
        <v>7590</v>
      </c>
      <c r="I4523" s="809">
        <v>112</v>
      </c>
      <c r="J4523" s="808">
        <f t="shared" si="920"/>
        <v>5152</v>
      </c>
      <c r="K4523" s="1100">
        <f t="shared" si="921"/>
        <v>12742</v>
      </c>
      <c r="L4523" s="1061"/>
      <c r="N4523" s="810">
        <f t="shared" si="928"/>
        <v>46</v>
      </c>
      <c r="O4523" s="745">
        <v>0</v>
      </c>
      <c r="P4523" s="789">
        <v>46</v>
      </c>
      <c r="T4523" s="495"/>
    </row>
    <row r="4524" spans="1:20" s="492" customFormat="1">
      <c r="A4524" s="806"/>
      <c r="B4524" s="747" t="s">
        <v>469</v>
      </c>
      <c r="C4524" s="735" t="s">
        <v>551</v>
      </c>
      <c r="D4524" s="735"/>
      <c r="E4524" s="789">
        <f t="shared" si="917"/>
        <v>78</v>
      </c>
      <c r="F4524" s="790" t="s">
        <v>361</v>
      </c>
      <c r="G4524" s="807">
        <v>175</v>
      </c>
      <c r="H4524" s="808">
        <f t="shared" si="923"/>
        <v>13650</v>
      </c>
      <c r="I4524" s="809">
        <v>50</v>
      </c>
      <c r="J4524" s="808">
        <f t="shared" si="920"/>
        <v>3900</v>
      </c>
      <c r="K4524" s="1100">
        <f t="shared" si="921"/>
        <v>17550</v>
      </c>
      <c r="L4524" s="1061"/>
      <c r="N4524" s="810">
        <f t="shared" si="928"/>
        <v>78</v>
      </c>
      <c r="O4524" s="745">
        <v>0</v>
      </c>
      <c r="P4524" s="789">
        <v>78</v>
      </c>
      <c r="T4524" s="495"/>
    </row>
    <row r="4525" spans="1:20" s="492" customFormat="1">
      <c r="A4525" s="806"/>
      <c r="B4525" s="747" t="s">
        <v>469</v>
      </c>
      <c r="C4525" s="735" t="s">
        <v>2566</v>
      </c>
      <c r="D4525" s="735"/>
      <c r="E4525" s="789">
        <f t="shared" si="917"/>
        <v>18</v>
      </c>
      <c r="F4525" s="790" t="s">
        <v>361</v>
      </c>
      <c r="G4525" s="807">
        <v>2500</v>
      </c>
      <c r="H4525" s="808">
        <f t="shared" si="923"/>
        <v>45000</v>
      </c>
      <c r="I4525" s="809">
        <v>500</v>
      </c>
      <c r="J4525" s="808">
        <f t="shared" si="920"/>
        <v>9000</v>
      </c>
      <c r="K4525" s="1100">
        <f t="shared" si="921"/>
        <v>54000</v>
      </c>
      <c r="L4525" s="1061"/>
      <c r="N4525" s="810">
        <f t="shared" si="928"/>
        <v>18</v>
      </c>
      <c r="O4525" s="745">
        <v>0</v>
      </c>
      <c r="P4525" s="789">
        <v>18</v>
      </c>
      <c r="T4525" s="495"/>
    </row>
    <row r="4526" spans="1:20" s="492" customFormat="1">
      <c r="A4526" s="806"/>
      <c r="B4526" s="747" t="s">
        <v>469</v>
      </c>
      <c r="C4526" s="735" t="s">
        <v>2567</v>
      </c>
      <c r="D4526" s="735"/>
      <c r="E4526" s="789">
        <f t="shared" si="917"/>
        <v>0</v>
      </c>
      <c r="F4526" s="790" t="s">
        <v>361</v>
      </c>
      <c r="G4526" s="807">
        <v>1200</v>
      </c>
      <c r="H4526" s="808">
        <f t="shared" si="923"/>
        <v>0</v>
      </c>
      <c r="I4526" s="809">
        <v>500</v>
      </c>
      <c r="J4526" s="808">
        <f>+E4526*I4526</f>
        <v>0</v>
      </c>
      <c r="K4526" s="1100">
        <f t="shared" si="921"/>
        <v>0</v>
      </c>
      <c r="L4526" s="1061"/>
      <c r="N4526" s="810">
        <f t="shared" si="928"/>
        <v>0</v>
      </c>
      <c r="O4526" s="745">
        <v>0</v>
      </c>
      <c r="P4526" s="789">
        <v>0</v>
      </c>
      <c r="T4526" s="495"/>
    </row>
    <row r="4527" spans="1:20" s="492" customFormat="1">
      <c r="A4527" s="806"/>
      <c r="B4527" s="747" t="s">
        <v>469</v>
      </c>
      <c r="C4527" s="735" t="s">
        <v>552</v>
      </c>
      <c r="D4527" s="735"/>
      <c r="E4527" s="789">
        <f t="shared" si="917"/>
        <v>12</v>
      </c>
      <c r="F4527" s="790" t="s">
        <v>547</v>
      </c>
      <c r="G4527" s="807">
        <f>113+583</f>
        <v>696</v>
      </c>
      <c r="H4527" s="808">
        <f t="shared" si="923"/>
        <v>8352</v>
      </c>
      <c r="I4527" s="809">
        <f>61+294</f>
        <v>355</v>
      </c>
      <c r="J4527" s="808">
        <f t="shared" si="920"/>
        <v>4260</v>
      </c>
      <c r="K4527" s="1100">
        <f t="shared" si="921"/>
        <v>12612</v>
      </c>
      <c r="L4527" s="1061"/>
      <c r="N4527" s="810">
        <f t="shared" si="928"/>
        <v>12</v>
      </c>
      <c r="O4527" s="745">
        <v>0</v>
      </c>
      <c r="P4527" s="789">
        <v>12</v>
      </c>
      <c r="T4527" s="495"/>
    </row>
    <row r="4528" spans="1:20" s="492" customFormat="1">
      <c r="A4528" s="806"/>
      <c r="B4528" s="747" t="s">
        <v>469</v>
      </c>
      <c r="C4528" s="735" t="s">
        <v>553</v>
      </c>
      <c r="D4528" s="735"/>
      <c r="E4528" s="789">
        <f t="shared" si="917"/>
        <v>208.4</v>
      </c>
      <c r="F4528" s="790" t="s">
        <v>547</v>
      </c>
      <c r="G4528" s="807">
        <v>505</v>
      </c>
      <c r="H4528" s="808">
        <f t="shared" si="923"/>
        <v>105242</v>
      </c>
      <c r="I4528" s="809">
        <v>132</v>
      </c>
      <c r="J4528" s="808">
        <f t="shared" si="920"/>
        <v>27508.799999999999</v>
      </c>
      <c r="K4528" s="1100">
        <f t="shared" si="921"/>
        <v>132750.79999999999</v>
      </c>
      <c r="L4528" s="1061"/>
      <c r="N4528" s="810">
        <f t="shared" si="928"/>
        <v>208.4</v>
      </c>
      <c r="O4528" s="745">
        <v>0</v>
      </c>
      <c r="P4528" s="789">
        <v>208.4</v>
      </c>
      <c r="T4528" s="495"/>
    </row>
    <row r="4529" spans="1:24" s="492" customFormat="1">
      <c r="A4529" s="806"/>
      <c r="B4529" s="747" t="s">
        <v>469</v>
      </c>
      <c r="C4529" s="735" t="s">
        <v>769</v>
      </c>
      <c r="D4529" s="735"/>
      <c r="E4529" s="789">
        <f t="shared" si="917"/>
        <v>26.200000000000003</v>
      </c>
      <c r="F4529" s="790" t="s">
        <v>361</v>
      </c>
      <c r="G4529" s="804">
        <v>2500</v>
      </c>
      <c r="H4529" s="805">
        <f t="shared" si="923"/>
        <v>65500.000000000007</v>
      </c>
      <c r="I4529" s="791">
        <v>500</v>
      </c>
      <c r="J4529" s="805">
        <f t="shared" si="920"/>
        <v>13100.000000000002</v>
      </c>
      <c r="K4529" s="1099">
        <f t="shared" si="921"/>
        <v>78600.000000000015</v>
      </c>
      <c r="L4529" s="1061"/>
      <c r="N4529" s="793">
        <f t="shared" si="928"/>
        <v>26.200000000000003</v>
      </c>
      <c r="O4529" s="745">
        <v>0</v>
      </c>
      <c r="P4529" s="789">
        <v>26.200000000000003</v>
      </c>
      <c r="T4529" s="495"/>
    </row>
    <row r="4530" spans="1:24" s="492" customFormat="1">
      <c r="A4530" s="806"/>
      <c r="B4530" s="747" t="s">
        <v>469</v>
      </c>
      <c r="C4530" s="735" t="s">
        <v>770</v>
      </c>
      <c r="D4530" s="735"/>
      <c r="E4530" s="789">
        <f t="shared" si="917"/>
        <v>16.2</v>
      </c>
      <c r="F4530" s="790" t="s">
        <v>34</v>
      </c>
      <c r="G4530" s="804">
        <v>281</v>
      </c>
      <c r="H4530" s="805">
        <f t="shared" si="923"/>
        <v>4552.2</v>
      </c>
      <c r="I4530" s="791">
        <v>80</v>
      </c>
      <c r="J4530" s="805">
        <f t="shared" si="920"/>
        <v>1296</v>
      </c>
      <c r="K4530" s="1099">
        <f t="shared" si="921"/>
        <v>5848.2</v>
      </c>
      <c r="L4530" s="1061"/>
      <c r="N4530" s="793">
        <f t="shared" si="928"/>
        <v>16.2</v>
      </c>
      <c r="O4530" s="745">
        <v>0</v>
      </c>
      <c r="P4530" s="789">
        <v>16.2</v>
      </c>
      <c r="T4530" s="495"/>
    </row>
    <row r="4531" spans="1:24" s="492" customFormat="1">
      <c r="A4531" s="806"/>
      <c r="B4531" s="747"/>
      <c r="C4531" s="735"/>
      <c r="D4531" s="735"/>
      <c r="E4531" s="789"/>
      <c r="F4531" s="790"/>
      <c r="G4531" s="804"/>
      <c r="H4531" s="805"/>
      <c r="I4531" s="791"/>
      <c r="J4531" s="805"/>
      <c r="K4531" s="1099"/>
      <c r="L4531" s="1061"/>
      <c r="N4531" s="793"/>
      <c r="O4531" s="745"/>
      <c r="P4531" s="789"/>
      <c r="T4531" s="495"/>
    </row>
    <row r="4532" spans="1:24" s="492" customFormat="1">
      <c r="A4532" s="734" t="s">
        <v>576</v>
      </c>
      <c r="B4532" s="750" t="s">
        <v>771</v>
      </c>
      <c r="C4532" s="803"/>
      <c r="D4532" s="907"/>
      <c r="E4532" s="789">
        <f t="shared" ref="E4532:E4537" si="929">+N4532</f>
        <v>0</v>
      </c>
      <c r="F4532" s="790"/>
      <c r="G4532" s="807">
        <v>0</v>
      </c>
      <c r="H4532" s="808">
        <f t="shared" ref="H4532" si="930">+E4532*G4532</f>
        <v>0</v>
      </c>
      <c r="I4532" s="809">
        <v>0</v>
      </c>
      <c r="J4532" s="808">
        <f t="shared" ref="J4532" si="931">+E4532*I4532</f>
        <v>0</v>
      </c>
      <c r="K4532" s="1100">
        <f t="shared" ref="K4532:K4537" si="932">+H4532+J4532</f>
        <v>0</v>
      </c>
      <c r="L4532" s="1061"/>
      <c r="N4532" s="810">
        <f t="shared" ref="N4532:N4537" si="933">+(1+O4532)*P4532</f>
        <v>0</v>
      </c>
      <c r="O4532" s="745">
        <v>0</v>
      </c>
      <c r="P4532" s="789">
        <v>0</v>
      </c>
      <c r="T4532" s="495"/>
    </row>
    <row r="4533" spans="1:24" s="492" customFormat="1">
      <c r="A4533" s="806"/>
      <c r="B4533" s="747" t="s">
        <v>469</v>
      </c>
      <c r="C4533" s="735" t="s">
        <v>772</v>
      </c>
      <c r="D4533" s="735"/>
      <c r="E4533" s="789">
        <f t="shared" si="929"/>
        <v>467.58999999999992</v>
      </c>
      <c r="F4533" s="790" t="s">
        <v>547</v>
      </c>
      <c r="G4533" s="807">
        <v>135</v>
      </c>
      <c r="H4533" s="808">
        <f>+E4533*G4533</f>
        <v>63124.649999999987</v>
      </c>
      <c r="I4533" s="809">
        <v>58</v>
      </c>
      <c r="J4533" s="808">
        <f>+E4533*I4533</f>
        <v>27120.219999999994</v>
      </c>
      <c r="K4533" s="1100">
        <f t="shared" si="932"/>
        <v>90244.869999999981</v>
      </c>
      <c r="L4533" s="1061"/>
      <c r="N4533" s="810">
        <f t="shared" si="933"/>
        <v>467.58999999999992</v>
      </c>
      <c r="O4533" s="745">
        <v>0</v>
      </c>
      <c r="P4533" s="789">
        <v>467.58999999999992</v>
      </c>
      <c r="T4533" s="495"/>
    </row>
    <row r="4534" spans="1:24" s="492" customFormat="1">
      <c r="A4534" s="806"/>
      <c r="B4534" s="747" t="s">
        <v>469</v>
      </c>
      <c r="C4534" s="735" t="s">
        <v>773</v>
      </c>
      <c r="D4534" s="735"/>
      <c r="E4534" s="789">
        <f t="shared" si="929"/>
        <v>300</v>
      </c>
      <c r="F4534" s="790" t="s">
        <v>547</v>
      </c>
      <c r="G4534" s="807">
        <v>135</v>
      </c>
      <c r="H4534" s="808">
        <f t="shared" ref="H4534:H4537" si="934">+E4534*G4534</f>
        <v>40500</v>
      </c>
      <c r="I4534" s="809">
        <v>58</v>
      </c>
      <c r="J4534" s="808">
        <f t="shared" ref="J4534:J4536" si="935">+E4534*I4534</f>
        <v>17400</v>
      </c>
      <c r="K4534" s="1100">
        <f t="shared" si="932"/>
        <v>57900</v>
      </c>
      <c r="L4534" s="1061"/>
      <c r="N4534" s="810">
        <f t="shared" si="933"/>
        <v>300</v>
      </c>
      <c r="O4534" s="745">
        <v>0</v>
      </c>
      <c r="P4534" s="789">
        <v>300</v>
      </c>
      <c r="T4534" s="495"/>
    </row>
    <row r="4535" spans="1:24" s="492" customFormat="1">
      <c r="A4535" s="806"/>
      <c r="B4535" s="747" t="s">
        <v>469</v>
      </c>
      <c r="C4535" s="735" t="s">
        <v>774</v>
      </c>
      <c r="D4535" s="735"/>
      <c r="E4535" s="789">
        <f t="shared" si="929"/>
        <v>300</v>
      </c>
      <c r="F4535" s="790" t="s">
        <v>547</v>
      </c>
      <c r="G4535" s="807">
        <v>135</v>
      </c>
      <c r="H4535" s="808">
        <f t="shared" si="934"/>
        <v>40500</v>
      </c>
      <c r="I4535" s="809">
        <v>58</v>
      </c>
      <c r="J4535" s="808">
        <f t="shared" si="935"/>
        <v>17400</v>
      </c>
      <c r="K4535" s="1100">
        <f t="shared" si="932"/>
        <v>57900</v>
      </c>
      <c r="L4535" s="1061"/>
      <c r="N4535" s="810">
        <f t="shared" si="933"/>
        <v>300</v>
      </c>
      <c r="O4535" s="745">
        <v>0</v>
      </c>
      <c r="P4535" s="789">
        <v>300</v>
      </c>
      <c r="T4535" s="495"/>
    </row>
    <row r="4536" spans="1:24" s="492" customFormat="1">
      <c r="A4536" s="806"/>
      <c r="B4536" s="747" t="s">
        <v>469</v>
      </c>
      <c r="C4536" s="735" t="s">
        <v>775</v>
      </c>
      <c r="D4536" s="735"/>
      <c r="E4536" s="789">
        <f t="shared" si="929"/>
        <v>3.75</v>
      </c>
      <c r="F4536" s="790" t="s">
        <v>547</v>
      </c>
      <c r="G4536" s="807">
        <v>135</v>
      </c>
      <c r="H4536" s="808">
        <f t="shared" si="934"/>
        <v>506.25</v>
      </c>
      <c r="I4536" s="809">
        <v>58</v>
      </c>
      <c r="J4536" s="808">
        <f t="shared" si="935"/>
        <v>217.5</v>
      </c>
      <c r="K4536" s="1100">
        <f t="shared" si="932"/>
        <v>723.75</v>
      </c>
      <c r="L4536" s="1061"/>
      <c r="N4536" s="810">
        <f t="shared" si="933"/>
        <v>3.75</v>
      </c>
      <c r="O4536" s="745">
        <v>0</v>
      </c>
      <c r="P4536" s="789">
        <v>3.75</v>
      </c>
      <c r="T4536" s="495"/>
    </row>
    <row r="4537" spans="1:24" s="492" customFormat="1">
      <c r="A4537" s="806"/>
      <c r="B4537" s="747" t="s">
        <v>469</v>
      </c>
      <c r="C4537" s="735" t="s">
        <v>776</v>
      </c>
      <c r="D4537" s="735"/>
      <c r="E4537" s="789">
        <f t="shared" si="929"/>
        <v>3.75</v>
      </c>
      <c r="F4537" s="790" t="s">
        <v>547</v>
      </c>
      <c r="G4537" s="807">
        <v>135</v>
      </c>
      <c r="H4537" s="808">
        <f t="shared" si="934"/>
        <v>506.25</v>
      </c>
      <c r="I4537" s="809">
        <v>58</v>
      </c>
      <c r="J4537" s="808">
        <f>+E4537*I4537</f>
        <v>217.5</v>
      </c>
      <c r="K4537" s="1100">
        <f t="shared" si="932"/>
        <v>723.75</v>
      </c>
      <c r="L4537" s="1061"/>
      <c r="N4537" s="810">
        <f t="shared" si="933"/>
        <v>3.75</v>
      </c>
      <c r="O4537" s="745">
        <v>0</v>
      </c>
      <c r="P4537" s="789">
        <v>3.75</v>
      </c>
      <c r="T4537" s="495"/>
    </row>
    <row r="4538" spans="1:24" s="492" customFormat="1">
      <c r="A4538" s="658"/>
      <c r="B4538" s="2228" t="s">
        <v>564</v>
      </c>
      <c r="C4538" s="2228"/>
      <c r="D4538" s="2228"/>
      <c r="E4538" s="600"/>
      <c r="F4538" s="601"/>
      <c r="G4538" s="602"/>
      <c r="H4538" s="660">
        <f>SUBTOTAL(9,H4435:H4537)</f>
        <v>6331890.6700000009</v>
      </c>
      <c r="I4538" s="661"/>
      <c r="J4538" s="660">
        <f>SUBTOTAL(9,J4435:J4537)</f>
        <v>2098179.12</v>
      </c>
      <c r="K4538" s="1072">
        <f>SUBTOTAL(9,K4435:K4537)</f>
        <v>8430069.7899999991</v>
      </c>
      <c r="L4538" s="662"/>
      <c r="N4538" s="811">
        <f t="shared" si="928"/>
        <v>0</v>
      </c>
      <c r="O4538" s="909">
        <v>0</v>
      </c>
      <c r="P4538" s="600">
        <v>0</v>
      </c>
      <c r="T4538" s="495"/>
    </row>
    <row r="4539" spans="1:24" s="492" customFormat="1">
      <c r="A4539" s="910">
        <v>2.1</v>
      </c>
      <c r="B4539" s="1122" t="s">
        <v>37</v>
      </c>
      <c r="C4539" s="609"/>
      <c r="D4539" s="1123"/>
      <c r="E4539" s="610"/>
      <c r="F4539" s="611"/>
      <c r="G4539" s="612"/>
      <c r="H4539" s="613"/>
      <c r="I4539" s="614"/>
      <c r="J4539" s="613"/>
      <c r="K4539" s="1058"/>
      <c r="L4539" s="1059"/>
      <c r="N4539" s="812"/>
      <c r="O4539" s="616"/>
      <c r="P4539" s="610"/>
      <c r="T4539" s="495"/>
    </row>
    <row r="4540" spans="1:24" s="760" customFormat="1" ht="23.4">
      <c r="A4540" s="816" t="s">
        <v>777</v>
      </c>
      <c r="B4540" s="817" t="s">
        <v>37</v>
      </c>
      <c r="C4540" s="817"/>
      <c r="D4540" s="899"/>
      <c r="E4540" s="673"/>
      <c r="F4540" s="674"/>
      <c r="G4540" s="819"/>
      <c r="H4540" s="820">
        <f t="shared" ref="H4540:H4576" si="936">E4540*G4540</f>
        <v>0</v>
      </c>
      <c r="I4540" s="819"/>
      <c r="J4540" s="815">
        <f t="shared" ref="J4540:J4544" si="937">I4540*E4540</f>
        <v>0</v>
      </c>
      <c r="K4540" s="813">
        <f t="shared" ref="K4540:K4544" si="938">H4540+J4540</f>
        <v>0</v>
      </c>
      <c r="L4540" s="1083"/>
      <c r="M4540" s="683"/>
      <c r="N4540" s="818"/>
      <c r="O4540" s="681"/>
      <c r="P4540" s="673"/>
      <c r="Q4540" s="683"/>
      <c r="R4540" s="683"/>
      <c r="S4540" s="683"/>
      <c r="T4540" s="683"/>
      <c r="U4540" s="683"/>
      <c r="V4540" s="683"/>
      <c r="W4540" s="683"/>
      <c r="X4540" s="683"/>
    </row>
    <row r="4541" spans="1:24" s="760" customFormat="1" ht="23.4">
      <c r="A4541" s="816" t="s">
        <v>778</v>
      </c>
      <c r="B4541" s="817" t="s">
        <v>779</v>
      </c>
      <c r="C4541" s="817"/>
      <c r="D4541" s="899"/>
      <c r="E4541" s="673">
        <f>280+20+25+73+70+25</f>
        <v>493</v>
      </c>
      <c r="F4541" s="674" t="s">
        <v>226</v>
      </c>
      <c r="G4541" s="813">
        <v>1201</v>
      </c>
      <c r="H4541" s="814">
        <f t="shared" si="936"/>
        <v>592093</v>
      </c>
      <c r="I4541" s="706">
        <v>190</v>
      </c>
      <c r="J4541" s="815">
        <f t="shared" si="937"/>
        <v>93670</v>
      </c>
      <c r="K4541" s="813">
        <f t="shared" si="938"/>
        <v>685763</v>
      </c>
      <c r="L4541" s="1083"/>
      <c r="M4541" s="683"/>
      <c r="N4541" s="818"/>
      <c r="O4541" s="681"/>
      <c r="P4541" s="673"/>
      <c r="Q4541" s="683"/>
      <c r="R4541" s="683"/>
      <c r="S4541" s="683"/>
      <c r="T4541" s="683"/>
      <c r="U4541" s="683"/>
      <c r="V4541" s="683"/>
      <c r="W4541" s="683"/>
      <c r="X4541" s="683"/>
    </row>
    <row r="4542" spans="1:24" s="760" customFormat="1" ht="23.4">
      <c r="A4542" s="816" t="s">
        <v>780</v>
      </c>
      <c r="B4542" s="817" t="s">
        <v>781</v>
      </c>
      <c r="C4542" s="817"/>
      <c r="D4542" s="899"/>
      <c r="E4542" s="673">
        <v>4</v>
      </c>
      <c r="F4542" s="674" t="s">
        <v>363</v>
      </c>
      <c r="G4542" s="813">
        <v>5532</v>
      </c>
      <c r="H4542" s="814">
        <f t="shared" si="936"/>
        <v>22128</v>
      </c>
      <c r="I4542" s="706">
        <v>4320</v>
      </c>
      <c r="J4542" s="815">
        <f t="shared" si="937"/>
        <v>17280</v>
      </c>
      <c r="K4542" s="813">
        <f t="shared" si="938"/>
        <v>39408</v>
      </c>
      <c r="L4542" s="1083"/>
      <c r="M4542" s="683"/>
      <c r="N4542" s="818"/>
      <c r="O4542" s="681"/>
      <c r="P4542" s="673"/>
      <c r="Q4542" s="683"/>
      <c r="R4542" s="683"/>
      <c r="S4542" s="683"/>
      <c r="T4542" s="683"/>
      <c r="U4542" s="683"/>
      <c r="V4542" s="683"/>
      <c r="W4542" s="683"/>
      <c r="X4542" s="683"/>
    </row>
    <row r="4543" spans="1:24" s="760" customFormat="1" ht="23.4">
      <c r="A4543" s="816" t="s">
        <v>782</v>
      </c>
      <c r="B4543" s="817" t="s">
        <v>569</v>
      </c>
      <c r="C4543" s="817"/>
      <c r="D4543" s="899"/>
      <c r="E4543" s="673">
        <v>134</v>
      </c>
      <c r="F4543" s="674" t="s">
        <v>363</v>
      </c>
      <c r="G4543" s="813">
        <v>640</v>
      </c>
      <c r="H4543" s="814">
        <f t="shared" si="936"/>
        <v>85760</v>
      </c>
      <c r="I4543" s="706">
        <v>200</v>
      </c>
      <c r="J4543" s="815">
        <f t="shared" si="937"/>
        <v>26800</v>
      </c>
      <c r="K4543" s="813">
        <f t="shared" si="938"/>
        <v>112560</v>
      </c>
      <c r="L4543" s="1083"/>
      <c r="M4543" s="683"/>
      <c r="N4543" s="818"/>
      <c r="O4543" s="681"/>
      <c r="P4543" s="673"/>
      <c r="Q4543" s="683"/>
      <c r="R4543" s="683"/>
      <c r="S4543" s="683"/>
      <c r="T4543" s="683"/>
      <c r="U4543" s="683"/>
      <c r="V4543" s="683"/>
      <c r="W4543" s="683"/>
      <c r="X4543" s="683"/>
    </row>
    <row r="4544" spans="1:24" s="760" customFormat="1" ht="23.4">
      <c r="A4544" s="816" t="s">
        <v>783</v>
      </c>
      <c r="B4544" s="817" t="s">
        <v>784</v>
      </c>
      <c r="C4544" s="817"/>
      <c r="D4544" s="899"/>
      <c r="E4544" s="673">
        <f>((96+20+70)*0.135)*4</f>
        <v>100.44000000000001</v>
      </c>
      <c r="F4544" s="674" t="s">
        <v>34</v>
      </c>
      <c r="G4544" s="813">
        <v>61</v>
      </c>
      <c r="H4544" s="814">
        <f t="shared" si="936"/>
        <v>6126.8400000000011</v>
      </c>
      <c r="I4544" s="706">
        <v>38</v>
      </c>
      <c r="J4544" s="815">
        <f t="shared" si="937"/>
        <v>3816.7200000000003</v>
      </c>
      <c r="K4544" s="813">
        <f t="shared" si="938"/>
        <v>9943.5600000000013</v>
      </c>
      <c r="L4544" s="1083"/>
      <c r="M4544" s="683"/>
      <c r="N4544" s="818"/>
      <c r="O4544" s="681"/>
      <c r="P4544" s="673"/>
      <c r="Q4544" s="683"/>
      <c r="R4544" s="683"/>
      <c r="S4544" s="683"/>
      <c r="T4544" s="683"/>
      <c r="U4544" s="683"/>
      <c r="V4544" s="683"/>
      <c r="W4544" s="683"/>
      <c r="X4544" s="683"/>
    </row>
    <row r="4545" spans="1:24" s="760" customFormat="1" ht="23.4">
      <c r="A4545" s="816" t="s">
        <v>785</v>
      </c>
      <c r="B4545" s="817" t="s">
        <v>786</v>
      </c>
      <c r="C4545" s="817"/>
      <c r="D4545" s="899"/>
      <c r="E4545" s="673"/>
      <c r="F4545" s="674"/>
      <c r="G4545" s="813"/>
      <c r="H4545" s="814">
        <f t="shared" si="936"/>
        <v>0</v>
      </c>
      <c r="I4545" s="706"/>
      <c r="J4545" s="815">
        <f>I4545*E4545</f>
        <v>0</v>
      </c>
      <c r="K4545" s="813">
        <f>H4545+J4545</f>
        <v>0</v>
      </c>
      <c r="L4545" s="1083"/>
      <c r="M4545" s="683"/>
      <c r="N4545" s="818"/>
      <c r="O4545" s="681"/>
      <c r="P4545" s="673"/>
      <c r="Q4545" s="683"/>
      <c r="R4545" s="683"/>
      <c r="S4545" s="683"/>
      <c r="T4545" s="683"/>
      <c r="U4545" s="683"/>
      <c r="V4545" s="683"/>
      <c r="W4545" s="683"/>
      <c r="X4545" s="683"/>
    </row>
    <row r="4546" spans="1:24" s="760" customFormat="1" ht="23.4">
      <c r="A4546" s="816"/>
      <c r="B4546" s="817"/>
      <c r="C4546" s="817" t="s">
        <v>787</v>
      </c>
      <c r="D4546" s="899"/>
      <c r="E4546" s="673">
        <f>+(84+231+295)*5</f>
        <v>3050</v>
      </c>
      <c r="F4546" s="674" t="s">
        <v>226</v>
      </c>
      <c r="G4546" s="813">
        <v>40</v>
      </c>
      <c r="H4546" s="814">
        <f t="shared" si="936"/>
        <v>122000</v>
      </c>
      <c r="I4546" s="706">
        <v>0</v>
      </c>
      <c r="J4546" s="815">
        <f>I4546*E4546</f>
        <v>0</v>
      </c>
      <c r="K4546" s="813">
        <f>H4546+J4546</f>
        <v>122000</v>
      </c>
      <c r="L4546" s="1083"/>
      <c r="M4546" s="683"/>
      <c r="N4546" s="818"/>
      <c r="O4546" s="681"/>
      <c r="P4546" s="673"/>
      <c r="Q4546" s="683"/>
      <c r="R4546" s="683"/>
      <c r="S4546" s="683"/>
      <c r="T4546" s="683"/>
      <c r="U4546" s="683"/>
      <c r="V4546" s="683"/>
      <c r="W4546" s="683"/>
      <c r="X4546" s="683"/>
    </row>
    <row r="4547" spans="1:24" s="760" customFormat="1" ht="23.4">
      <c r="A4547" s="816"/>
      <c r="B4547" s="817"/>
      <c r="C4547" s="817" t="s">
        <v>573</v>
      </c>
      <c r="D4547" s="899"/>
      <c r="E4547" s="673">
        <f>15+23+12+29</f>
        <v>79</v>
      </c>
      <c r="F4547" s="674" t="s">
        <v>174</v>
      </c>
      <c r="G4547" s="813">
        <v>550</v>
      </c>
      <c r="H4547" s="814">
        <f t="shared" si="936"/>
        <v>43450</v>
      </c>
      <c r="I4547" s="706">
        <v>0</v>
      </c>
      <c r="J4547" s="815">
        <f>I4547*E4547</f>
        <v>0</v>
      </c>
      <c r="K4547" s="813">
        <f>H4547+J4547</f>
        <v>43450</v>
      </c>
      <c r="L4547" s="1083"/>
      <c r="M4547" s="683"/>
      <c r="N4547" s="818"/>
      <c r="O4547" s="681"/>
      <c r="P4547" s="673"/>
      <c r="Q4547" s="683"/>
      <c r="R4547" s="683"/>
      <c r="S4547" s="683"/>
      <c r="T4547" s="683"/>
      <c r="U4547" s="683"/>
      <c r="V4547" s="683"/>
      <c r="W4547" s="683"/>
      <c r="X4547" s="683"/>
    </row>
    <row r="4548" spans="1:24" s="760" customFormat="1" ht="23.4">
      <c r="A4548" s="816"/>
      <c r="B4548" s="817"/>
      <c r="C4548" s="817" t="s">
        <v>788</v>
      </c>
      <c r="D4548" s="899"/>
      <c r="E4548" s="673">
        <f>6+4</f>
        <v>10</v>
      </c>
      <c r="F4548" s="674" t="s">
        <v>363</v>
      </c>
      <c r="G4548" s="813">
        <v>2100</v>
      </c>
      <c r="H4548" s="814">
        <f t="shared" si="936"/>
        <v>21000</v>
      </c>
      <c r="I4548" s="706">
        <v>0</v>
      </c>
      <c r="J4548" s="815">
        <f>I4548*E4548</f>
        <v>0</v>
      </c>
      <c r="K4548" s="813">
        <f>H4548+J4548</f>
        <v>21000</v>
      </c>
      <c r="L4548" s="1083"/>
      <c r="M4548" s="683"/>
      <c r="N4548" s="818"/>
      <c r="O4548" s="681"/>
      <c r="P4548" s="673"/>
      <c r="Q4548" s="683"/>
      <c r="R4548" s="683"/>
      <c r="S4548" s="683"/>
      <c r="T4548" s="683"/>
      <c r="U4548" s="683"/>
      <c r="V4548" s="683"/>
      <c r="W4548" s="683"/>
      <c r="X4548" s="683"/>
    </row>
    <row r="4549" spans="1:24" s="760" customFormat="1" ht="23.4">
      <c r="A4549" s="816" t="s">
        <v>789</v>
      </c>
      <c r="B4549" s="817" t="s">
        <v>790</v>
      </c>
      <c r="C4549" s="817"/>
      <c r="D4549" s="899"/>
      <c r="E4549" s="673">
        <v>1</v>
      </c>
      <c r="F4549" s="674" t="s">
        <v>363</v>
      </c>
      <c r="G4549" s="813"/>
      <c r="H4549" s="814">
        <f t="shared" si="936"/>
        <v>0</v>
      </c>
      <c r="I4549" s="706"/>
      <c r="J4549" s="815">
        <f t="shared" ref="J4549:J4583" si="939">I4549*E4549</f>
        <v>0</v>
      </c>
      <c r="K4549" s="813">
        <f t="shared" ref="K4549:K4583" si="940">H4549+J4549</f>
        <v>0</v>
      </c>
      <c r="L4549" s="1083"/>
      <c r="M4549" s="683"/>
      <c r="N4549" s="818"/>
      <c r="O4549" s="681"/>
      <c r="P4549" s="673"/>
      <c r="Q4549" s="683"/>
      <c r="R4549" s="683"/>
      <c r="S4549" s="683"/>
      <c r="T4549" s="683"/>
      <c r="U4549" s="683"/>
      <c r="V4549" s="683"/>
      <c r="W4549" s="683"/>
      <c r="X4549" s="683"/>
    </row>
    <row r="4550" spans="1:24" s="760" customFormat="1" ht="23.4">
      <c r="A4550" s="816"/>
      <c r="B4550" s="817"/>
      <c r="C4550" s="817" t="s">
        <v>791</v>
      </c>
      <c r="D4550" s="899"/>
      <c r="E4550" s="673">
        <v>150</v>
      </c>
      <c r="F4550" s="674" t="s">
        <v>34</v>
      </c>
      <c r="G4550" s="813">
        <v>1955</v>
      </c>
      <c r="H4550" s="814">
        <f t="shared" si="936"/>
        <v>293250</v>
      </c>
      <c r="I4550" s="706">
        <v>2400</v>
      </c>
      <c r="J4550" s="815">
        <f t="shared" si="939"/>
        <v>360000</v>
      </c>
      <c r="K4550" s="813">
        <f>H4550+J4550</f>
        <v>653250</v>
      </c>
      <c r="L4550" s="1083"/>
      <c r="M4550" s="683"/>
      <c r="N4550" s="818"/>
      <c r="O4550" s="681"/>
      <c r="P4550" s="673"/>
      <c r="Q4550" s="683"/>
      <c r="R4550" s="683"/>
      <c r="S4550" s="683"/>
      <c r="T4550" s="683"/>
      <c r="U4550" s="683"/>
      <c r="V4550" s="683"/>
      <c r="W4550" s="683"/>
      <c r="X4550" s="683"/>
    </row>
    <row r="4551" spans="1:24" s="760" customFormat="1" ht="23.4">
      <c r="A4551" s="816"/>
      <c r="B4551" s="817"/>
      <c r="C4551" s="817" t="s">
        <v>792</v>
      </c>
      <c r="D4551" s="899"/>
      <c r="E4551" s="673">
        <v>4</v>
      </c>
      <c r="F4551" s="674" t="s">
        <v>363</v>
      </c>
      <c r="G4551" s="813">
        <v>118130</v>
      </c>
      <c r="H4551" s="814">
        <f t="shared" si="936"/>
        <v>472520</v>
      </c>
      <c r="I4551" s="706">
        <v>101190</v>
      </c>
      <c r="J4551" s="815">
        <f t="shared" si="939"/>
        <v>404760</v>
      </c>
      <c r="K4551" s="813">
        <f t="shared" ref="K4551:K4553" si="941">H4551+J4551</f>
        <v>877280</v>
      </c>
      <c r="L4551" s="1083"/>
      <c r="M4551" s="683"/>
      <c r="N4551" s="818"/>
      <c r="O4551" s="681"/>
      <c r="P4551" s="673"/>
      <c r="Q4551" s="683"/>
      <c r="R4551" s="683"/>
      <c r="S4551" s="683"/>
      <c r="T4551" s="683"/>
      <c r="U4551" s="683"/>
      <c r="V4551" s="683"/>
      <c r="W4551" s="683"/>
      <c r="X4551" s="683"/>
    </row>
    <row r="4552" spans="1:24" s="760" customFormat="1" ht="23.4">
      <c r="A4552" s="816"/>
      <c r="B4552" s="817"/>
      <c r="C4552" s="817" t="s">
        <v>793</v>
      </c>
      <c r="D4552" s="899"/>
      <c r="E4552" s="673">
        <v>4</v>
      </c>
      <c r="F4552" s="674" t="s">
        <v>363</v>
      </c>
      <c r="G4552" s="813">
        <v>74870</v>
      </c>
      <c r="H4552" s="814">
        <f t="shared" si="936"/>
        <v>299480</v>
      </c>
      <c r="I4552" s="706">
        <v>63570</v>
      </c>
      <c r="J4552" s="815">
        <f t="shared" si="939"/>
        <v>254280</v>
      </c>
      <c r="K4552" s="813">
        <f t="shared" si="941"/>
        <v>553760</v>
      </c>
      <c r="L4552" s="1083"/>
      <c r="M4552" s="683"/>
      <c r="N4552" s="818"/>
      <c r="O4552" s="681"/>
      <c r="P4552" s="673"/>
      <c r="Q4552" s="683"/>
      <c r="R4552" s="683"/>
      <c r="S4552" s="683"/>
      <c r="T4552" s="683"/>
      <c r="U4552" s="683"/>
      <c r="V4552" s="683"/>
      <c r="W4552" s="683"/>
      <c r="X4552" s="683"/>
    </row>
    <row r="4553" spans="1:24" s="760" customFormat="1" ht="23.4">
      <c r="A4553" s="816"/>
      <c r="B4553" s="817"/>
      <c r="C4553" s="817" t="s">
        <v>794</v>
      </c>
      <c r="D4553" s="899"/>
      <c r="E4553" s="673">
        <v>269</v>
      </c>
      <c r="F4553" s="674" t="s">
        <v>34</v>
      </c>
      <c r="G4553" s="813">
        <v>1296</v>
      </c>
      <c r="H4553" s="814">
        <f t="shared" si="936"/>
        <v>348624</v>
      </c>
      <c r="I4553" s="706">
        <v>1600</v>
      </c>
      <c r="J4553" s="815">
        <f t="shared" si="939"/>
        <v>430400</v>
      </c>
      <c r="K4553" s="813">
        <f t="shared" si="941"/>
        <v>779024</v>
      </c>
      <c r="L4553" s="1083"/>
      <c r="M4553" s="683"/>
      <c r="N4553" s="818"/>
      <c r="O4553" s="681"/>
      <c r="P4553" s="673"/>
      <c r="Q4553" s="683"/>
      <c r="R4553" s="683"/>
      <c r="S4553" s="683"/>
      <c r="T4553" s="683"/>
      <c r="U4553" s="683"/>
      <c r="V4553" s="683"/>
      <c r="W4553" s="683"/>
      <c r="X4553" s="683"/>
    </row>
    <row r="4554" spans="1:24" s="760" customFormat="1" ht="23.4">
      <c r="A4554" s="816"/>
      <c r="B4554" s="817"/>
      <c r="C4554" s="817" t="s">
        <v>795</v>
      </c>
      <c r="D4554" s="899"/>
      <c r="E4554" s="673">
        <v>47</v>
      </c>
      <c r="F4554" s="674" t="s">
        <v>226</v>
      </c>
      <c r="G4554" s="813">
        <v>127</v>
      </c>
      <c r="H4554" s="814">
        <f t="shared" si="936"/>
        <v>5969</v>
      </c>
      <c r="I4554" s="706">
        <v>82</v>
      </c>
      <c r="J4554" s="815">
        <f t="shared" si="939"/>
        <v>3854</v>
      </c>
      <c r="K4554" s="813">
        <f>H4554+J4554</f>
        <v>9823</v>
      </c>
      <c r="L4554" s="1083"/>
      <c r="M4554" s="683"/>
      <c r="N4554" s="818"/>
      <c r="O4554" s="681"/>
      <c r="P4554" s="673"/>
      <c r="Q4554" s="683"/>
      <c r="R4554" s="683"/>
      <c r="S4554" s="683"/>
      <c r="T4554" s="683"/>
      <c r="U4554" s="683"/>
      <c r="V4554" s="683"/>
      <c r="W4554" s="683"/>
      <c r="X4554" s="683"/>
    </row>
    <row r="4555" spans="1:24" s="760" customFormat="1" ht="23.4">
      <c r="A4555" s="816" t="s">
        <v>796</v>
      </c>
      <c r="B4555" s="817" t="s">
        <v>797</v>
      </c>
      <c r="C4555" s="817"/>
      <c r="D4555" s="899"/>
      <c r="E4555" s="673">
        <v>1</v>
      </c>
      <c r="F4555" s="674" t="s">
        <v>363</v>
      </c>
      <c r="G4555" s="813"/>
      <c r="H4555" s="814">
        <f t="shared" si="936"/>
        <v>0</v>
      </c>
      <c r="I4555" s="706"/>
      <c r="J4555" s="815">
        <f t="shared" si="939"/>
        <v>0</v>
      </c>
      <c r="K4555" s="813">
        <f t="shared" si="940"/>
        <v>0</v>
      </c>
      <c r="L4555" s="1083"/>
      <c r="M4555" s="683"/>
      <c r="N4555" s="818"/>
      <c r="O4555" s="681"/>
      <c r="P4555" s="673"/>
      <c r="Q4555" s="683"/>
      <c r="R4555" s="683"/>
      <c r="S4555" s="683"/>
      <c r="T4555" s="683"/>
      <c r="U4555" s="683"/>
      <c r="V4555" s="683"/>
      <c r="W4555" s="683"/>
      <c r="X4555" s="683"/>
    </row>
    <row r="4556" spans="1:24" s="760" customFormat="1" ht="23.4">
      <c r="A4556" s="816"/>
      <c r="B4556" s="817"/>
      <c r="C4556" s="817" t="s">
        <v>791</v>
      </c>
      <c r="D4556" s="899"/>
      <c r="E4556" s="673">
        <v>148</v>
      </c>
      <c r="F4556" s="674" t="s">
        <v>34</v>
      </c>
      <c r="G4556" s="813">
        <v>1955</v>
      </c>
      <c r="H4556" s="814">
        <f t="shared" si="936"/>
        <v>289340</v>
      </c>
      <c r="I4556" s="706">
        <v>2400</v>
      </c>
      <c r="J4556" s="815">
        <f t="shared" si="939"/>
        <v>355200</v>
      </c>
      <c r="K4556" s="813">
        <f>H4556+J4556</f>
        <v>644540</v>
      </c>
      <c r="L4556" s="1083"/>
      <c r="M4556" s="683"/>
      <c r="N4556" s="818"/>
      <c r="O4556" s="681"/>
      <c r="P4556" s="673"/>
      <c r="Q4556" s="683"/>
      <c r="R4556" s="683"/>
      <c r="S4556" s="683"/>
      <c r="T4556" s="683"/>
      <c r="U4556" s="683"/>
      <c r="V4556" s="683"/>
      <c r="W4556" s="683"/>
      <c r="X4556" s="683"/>
    </row>
    <row r="4557" spans="1:24" s="760" customFormat="1" ht="23.4">
      <c r="A4557" s="816"/>
      <c r="B4557" s="817"/>
      <c r="C4557" s="817" t="s">
        <v>798</v>
      </c>
      <c r="D4557" s="899"/>
      <c r="E4557" s="673">
        <v>4</v>
      </c>
      <c r="F4557" s="674" t="s">
        <v>363</v>
      </c>
      <c r="G4557" s="813">
        <v>49430</v>
      </c>
      <c r="H4557" s="814">
        <f t="shared" si="936"/>
        <v>197720</v>
      </c>
      <c r="I4557" s="706">
        <v>42060</v>
      </c>
      <c r="J4557" s="815">
        <f t="shared" si="939"/>
        <v>168240</v>
      </c>
      <c r="K4557" s="813">
        <f t="shared" ref="K4557:K4558" si="942">H4557+J4557</f>
        <v>365960</v>
      </c>
      <c r="L4557" s="1083"/>
      <c r="M4557" s="683"/>
      <c r="N4557" s="818"/>
      <c r="O4557" s="681"/>
      <c r="P4557" s="673"/>
      <c r="Q4557" s="683"/>
      <c r="R4557" s="683"/>
      <c r="S4557" s="683"/>
      <c r="T4557" s="683"/>
      <c r="U4557" s="683"/>
      <c r="V4557" s="683"/>
      <c r="W4557" s="683"/>
      <c r="X4557" s="683"/>
    </row>
    <row r="4558" spans="1:24" s="760" customFormat="1" ht="23.4">
      <c r="A4558" s="816"/>
      <c r="B4558" s="817"/>
      <c r="C4558" s="817" t="s">
        <v>794</v>
      </c>
      <c r="D4558" s="899"/>
      <c r="E4558" s="673">
        <v>228</v>
      </c>
      <c r="F4558" s="674" t="s">
        <v>34</v>
      </c>
      <c r="G4558" s="813">
        <v>1296</v>
      </c>
      <c r="H4558" s="814">
        <f t="shared" si="936"/>
        <v>295488</v>
      </c>
      <c r="I4558" s="706">
        <v>1600</v>
      </c>
      <c r="J4558" s="815">
        <f t="shared" si="939"/>
        <v>364800</v>
      </c>
      <c r="K4558" s="813">
        <f t="shared" si="942"/>
        <v>660288</v>
      </c>
      <c r="L4558" s="1083"/>
      <c r="M4558" s="683"/>
      <c r="N4558" s="818"/>
      <c r="O4558" s="681"/>
      <c r="P4558" s="673"/>
      <c r="Q4558" s="683"/>
      <c r="R4558" s="683"/>
      <c r="S4558" s="683"/>
      <c r="T4558" s="683"/>
      <c r="U4558" s="683"/>
      <c r="V4558" s="683"/>
      <c r="W4558" s="683"/>
      <c r="X4558" s="683"/>
    </row>
    <row r="4559" spans="1:24" s="760" customFormat="1" ht="23.4">
      <c r="A4559" s="816"/>
      <c r="B4559" s="817"/>
      <c r="C4559" s="817" t="s">
        <v>795</v>
      </c>
      <c r="D4559" s="899"/>
      <c r="E4559" s="673">
        <v>42</v>
      </c>
      <c r="F4559" s="674" t="s">
        <v>226</v>
      </c>
      <c r="G4559" s="813">
        <v>127</v>
      </c>
      <c r="H4559" s="814">
        <f t="shared" si="936"/>
        <v>5334</v>
      </c>
      <c r="I4559" s="706">
        <v>82</v>
      </c>
      <c r="J4559" s="815">
        <f t="shared" si="939"/>
        <v>3444</v>
      </c>
      <c r="K4559" s="813">
        <f>H4559+J4559</f>
        <v>8778</v>
      </c>
      <c r="L4559" s="1083"/>
      <c r="M4559" s="683"/>
      <c r="N4559" s="818"/>
      <c r="O4559" s="681"/>
      <c r="P4559" s="673"/>
      <c r="Q4559" s="683"/>
      <c r="R4559" s="683"/>
      <c r="S4559" s="683"/>
      <c r="T4559" s="683"/>
      <c r="U4559" s="683"/>
      <c r="V4559" s="683"/>
      <c r="W4559" s="683"/>
      <c r="X4559" s="683"/>
    </row>
    <row r="4560" spans="1:24" s="760" customFormat="1" ht="23.4">
      <c r="A4560" s="816" t="s">
        <v>799</v>
      </c>
      <c r="B4560" s="817" t="s">
        <v>800</v>
      </c>
      <c r="C4560" s="817"/>
      <c r="D4560" s="899"/>
      <c r="E4560" s="673">
        <v>1</v>
      </c>
      <c r="F4560" s="674" t="s">
        <v>363</v>
      </c>
      <c r="G4560" s="813"/>
      <c r="H4560" s="814">
        <f t="shared" si="936"/>
        <v>0</v>
      </c>
      <c r="I4560" s="706"/>
      <c r="J4560" s="815">
        <f t="shared" si="939"/>
        <v>0</v>
      </c>
      <c r="K4560" s="813">
        <f t="shared" ref="K4560" si="943">H4560+J4560</f>
        <v>0</v>
      </c>
      <c r="L4560" s="1083"/>
      <c r="M4560" s="683"/>
      <c r="N4560" s="818"/>
      <c r="O4560" s="681"/>
      <c r="P4560" s="673"/>
      <c r="Q4560" s="683"/>
      <c r="R4560" s="683"/>
      <c r="S4560" s="683"/>
      <c r="T4560" s="683"/>
      <c r="U4560" s="683"/>
      <c r="V4560" s="683"/>
      <c r="W4560" s="683"/>
      <c r="X4560" s="683"/>
    </row>
    <row r="4561" spans="1:24" s="760" customFormat="1" ht="23.4">
      <c r="A4561" s="816"/>
      <c r="B4561" s="817"/>
      <c r="C4561" s="817" t="s">
        <v>791</v>
      </c>
      <c r="D4561" s="899"/>
      <c r="E4561" s="673">
        <v>150</v>
      </c>
      <c r="F4561" s="674" t="s">
        <v>34</v>
      </c>
      <c r="G4561" s="813">
        <v>1955</v>
      </c>
      <c r="H4561" s="814">
        <f t="shared" si="936"/>
        <v>293250</v>
      </c>
      <c r="I4561" s="706">
        <v>2400</v>
      </c>
      <c r="J4561" s="815">
        <f t="shared" si="939"/>
        <v>360000</v>
      </c>
      <c r="K4561" s="813">
        <f>H4561+J4561</f>
        <v>653250</v>
      </c>
      <c r="L4561" s="1083"/>
      <c r="M4561" s="683"/>
      <c r="N4561" s="818"/>
      <c r="O4561" s="681"/>
      <c r="P4561" s="673"/>
      <c r="Q4561" s="683"/>
      <c r="R4561" s="683"/>
      <c r="S4561" s="683"/>
      <c r="T4561" s="683"/>
      <c r="U4561" s="683"/>
      <c r="V4561" s="683"/>
      <c r="W4561" s="683"/>
      <c r="X4561" s="683"/>
    </row>
    <row r="4562" spans="1:24" s="760" customFormat="1" ht="23.4">
      <c r="A4562" s="816"/>
      <c r="B4562" s="817"/>
      <c r="C4562" s="817" t="s">
        <v>801</v>
      </c>
      <c r="D4562" s="899"/>
      <c r="E4562" s="673">
        <v>5</v>
      </c>
      <c r="F4562" s="674" t="s">
        <v>363</v>
      </c>
      <c r="G4562" s="911">
        <v>79200</v>
      </c>
      <c r="H4562" s="814">
        <f t="shared" si="936"/>
        <v>396000</v>
      </c>
      <c r="I4562" s="912">
        <v>67340</v>
      </c>
      <c r="J4562" s="815">
        <f t="shared" si="939"/>
        <v>336700</v>
      </c>
      <c r="K4562" s="813">
        <f t="shared" ref="K4562:K4563" si="944">H4562+J4562</f>
        <v>732700</v>
      </c>
      <c r="L4562" s="1083"/>
      <c r="M4562" s="683"/>
      <c r="N4562" s="818"/>
      <c r="O4562" s="681"/>
      <c r="P4562" s="673"/>
      <c r="Q4562" s="683"/>
      <c r="R4562" s="683"/>
      <c r="S4562" s="683"/>
      <c r="T4562" s="683"/>
      <c r="U4562" s="683"/>
      <c r="V4562" s="683"/>
      <c r="W4562" s="683"/>
      <c r="X4562" s="683"/>
    </row>
    <row r="4563" spans="1:24" s="760" customFormat="1" ht="23.4">
      <c r="A4563" s="816"/>
      <c r="B4563" s="817"/>
      <c r="C4563" s="817" t="s">
        <v>794</v>
      </c>
      <c r="D4563" s="899"/>
      <c r="E4563" s="673">
        <v>239</v>
      </c>
      <c r="F4563" s="674" t="s">
        <v>34</v>
      </c>
      <c r="G4563" s="911">
        <v>1296</v>
      </c>
      <c r="H4563" s="814">
        <f t="shared" si="936"/>
        <v>309744</v>
      </c>
      <c r="I4563" s="912">
        <v>1600</v>
      </c>
      <c r="J4563" s="815">
        <f t="shared" si="939"/>
        <v>382400</v>
      </c>
      <c r="K4563" s="813">
        <f t="shared" si="944"/>
        <v>692144</v>
      </c>
      <c r="L4563" s="1083"/>
      <c r="M4563" s="683"/>
      <c r="N4563" s="818"/>
      <c r="O4563" s="681"/>
      <c r="P4563" s="673"/>
      <c r="Q4563" s="683"/>
      <c r="R4563" s="683"/>
      <c r="S4563" s="683"/>
      <c r="T4563" s="683"/>
      <c r="U4563" s="683"/>
      <c r="V4563" s="683"/>
      <c r="W4563" s="683"/>
      <c r="X4563" s="683"/>
    </row>
    <row r="4564" spans="1:24" s="760" customFormat="1" ht="23.4">
      <c r="A4564" s="816"/>
      <c r="B4564" s="817"/>
      <c r="C4564" s="817" t="s">
        <v>795</v>
      </c>
      <c r="D4564" s="899"/>
      <c r="E4564" s="673">
        <v>45</v>
      </c>
      <c r="F4564" s="674" t="s">
        <v>226</v>
      </c>
      <c r="G4564" s="911">
        <v>127</v>
      </c>
      <c r="H4564" s="814">
        <f t="shared" si="936"/>
        <v>5715</v>
      </c>
      <c r="I4564" s="912">
        <v>82</v>
      </c>
      <c r="J4564" s="815">
        <f t="shared" si="939"/>
        <v>3690</v>
      </c>
      <c r="K4564" s="813">
        <f>H4564+J4564</f>
        <v>9405</v>
      </c>
      <c r="L4564" s="1083"/>
      <c r="M4564" s="683"/>
      <c r="N4564" s="818"/>
      <c r="O4564" s="681"/>
      <c r="P4564" s="673"/>
      <c r="Q4564" s="683"/>
      <c r="R4564" s="683"/>
      <c r="S4564" s="683"/>
      <c r="T4564" s="683"/>
      <c r="U4564" s="683"/>
      <c r="V4564" s="683"/>
      <c r="W4564" s="683"/>
      <c r="X4564" s="683"/>
    </row>
    <row r="4565" spans="1:24" s="760" customFormat="1" ht="23.4">
      <c r="A4565" s="816"/>
      <c r="B4565" s="817" t="s">
        <v>802</v>
      </c>
      <c r="C4565" s="817"/>
      <c r="D4565" s="899"/>
      <c r="E4565" s="673"/>
      <c r="F4565" s="674"/>
      <c r="G4565" s="911"/>
      <c r="H4565" s="814">
        <f t="shared" si="936"/>
        <v>0</v>
      </c>
      <c r="I4565" s="912"/>
      <c r="J4565" s="815">
        <f t="shared" si="939"/>
        <v>0</v>
      </c>
      <c r="K4565" s="813">
        <f t="shared" ref="K4565:K4570" si="945">H4565+J4565</f>
        <v>0</v>
      </c>
      <c r="L4565" s="1083"/>
      <c r="M4565" s="683"/>
      <c r="N4565" s="818"/>
      <c r="O4565" s="681"/>
      <c r="P4565" s="673"/>
      <c r="Q4565" s="683"/>
      <c r="R4565" s="683"/>
      <c r="S4565" s="683"/>
      <c r="T4565" s="683"/>
      <c r="U4565" s="683"/>
      <c r="V4565" s="683"/>
      <c r="W4565" s="683"/>
      <c r="X4565" s="683"/>
    </row>
    <row r="4566" spans="1:24" s="760" customFormat="1" ht="23.4">
      <c r="A4566" s="816" t="s">
        <v>803</v>
      </c>
      <c r="B4566" s="817" t="s">
        <v>804</v>
      </c>
      <c r="C4566" s="817"/>
      <c r="D4566" s="899"/>
      <c r="E4566" s="673">
        <f>62+107</f>
        <v>169</v>
      </c>
      <c r="F4566" s="674" t="s">
        <v>361</v>
      </c>
      <c r="G4566" s="911">
        <v>2820</v>
      </c>
      <c r="H4566" s="814">
        <f t="shared" si="936"/>
        <v>476580</v>
      </c>
      <c r="I4566" s="912">
        <v>1970</v>
      </c>
      <c r="J4566" s="815">
        <f t="shared" si="939"/>
        <v>332930</v>
      </c>
      <c r="K4566" s="813">
        <f t="shared" si="945"/>
        <v>809510</v>
      </c>
      <c r="L4566" s="1083"/>
      <c r="M4566" s="683"/>
      <c r="N4566" s="818"/>
      <c r="O4566" s="681"/>
      <c r="P4566" s="673"/>
      <c r="Q4566" s="683"/>
      <c r="R4566" s="683"/>
      <c r="S4566" s="683"/>
      <c r="T4566" s="683"/>
      <c r="U4566" s="683"/>
      <c r="V4566" s="683"/>
      <c r="W4566" s="683"/>
      <c r="X4566" s="683"/>
    </row>
    <row r="4567" spans="1:24" s="760" customFormat="1" ht="23.4">
      <c r="A4567" s="816" t="s">
        <v>805</v>
      </c>
      <c r="B4567" s="817" t="s">
        <v>806</v>
      </c>
      <c r="C4567" s="817"/>
      <c r="D4567" s="899"/>
      <c r="E4567" s="673">
        <v>13</v>
      </c>
      <c r="F4567" s="674" t="s">
        <v>363</v>
      </c>
      <c r="G4567" s="911">
        <v>420</v>
      </c>
      <c r="H4567" s="814">
        <f t="shared" si="936"/>
        <v>5460</v>
      </c>
      <c r="I4567" s="912">
        <v>0</v>
      </c>
      <c r="J4567" s="815">
        <f t="shared" si="939"/>
        <v>0</v>
      </c>
      <c r="K4567" s="813">
        <f t="shared" si="945"/>
        <v>5460</v>
      </c>
      <c r="L4567" s="1083"/>
      <c r="M4567" s="683"/>
      <c r="N4567" s="818"/>
      <c r="O4567" s="681"/>
      <c r="P4567" s="673"/>
      <c r="Q4567" s="683"/>
      <c r="R4567" s="683"/>
      <c r="S4567" s="683"/>
      <c r="T4567" s="683"/>
      <c r="U4567" s="683"/>
      <c r="V4567" s="683"/>
      <c r="W4567" s="683"/>
      <c r="X4567" s="683"/>
    </row>
    <row r="4568" spans="1:24" s="760" customFormat="1" ht="23.4">
      <c r="A4568" s="816" t="s">
        <v>807</v>
      </c>
      <c r="B4568" s="817" t="s">
        <v>808</v>
      </c>
      <c r="C4568" s="817"/>
      <c r="D4568" s="899"/>
      <c r="E4568" s="673">
        <v>61</v>
      </c>
      <c r="F4568" s="674" t="s">
        <v>361</v>
      </c>
      <c r="G4568" s="911">
        <v>1940</v>
      </c>
      <c r="H4568" s="814">
        <f t="shared" si="936"/>
        <v>118340</v>
      </c>
      <c r="I4568" s="912">
        <v>1900</v>
      </c>
      <c r="J4568" s="815">
        <f t="shared" si="939"/>
        <v>115900</v>
      </c>
      <c r="K4568" s="813">
        <f t="shared" si="945"/>
        <v>234240</v>
      </c>
      <c r="L4568" s="1083"/>
      <c r="M4568" s="683"/>
      <c r="N4568" s="818"/>
      <c r="O4568" s="681"/>
      <c r="P4568" s="673"/>
      <c r="Q4568" s="683"/>
      <c r="R4568" s="683"/>
      <c r="S4568" s="683"/>
      <c r="T4568" s="683"/>
      <c r="U4568" s="683"/>
      <c r="V4568" s="683"/>
      <c r="W4568" s="683"/>
      <c r="X4568" s="683"/>
    </row>
    <row r="4569" spans="1:24" s="760" customFormat="1" ht="23.4">
      <c r="A4569" s="816" t="s">
        <v>809</v>
      </c>
      <c r="B4569" s="817" t="s">
        <v>810</v>
      </c>
      <c r="C4569" s="817"/>
      <c r="D4569" s="899"/>
      <c r="E4569" s="673">
        <f>47+33</f>
        <v>80</v>
      </c>
      <c r="F4569" s="674" t="s">
        <v>361</v>
      </c>
      <c r="G4569" s="911">
        <v>1980</v>
      </c>
      <c r="H4569" s="814">
        <f t="shared" si="936"/>
        <v>158400</v>
      </c>
      <c r="I4569" s="912">
        <v>2050</v>
      </c>
      <c r="J4569" s="815">
        <f t="shared" si="939"/>
        <v>164000</v>
      </c>
      <c r="K4569" s="813">
        <f t="shared" si="945"/>
        <v>322400</v>
      </c>
      <c r="L4569" s="1083"/>
      <c r="M4569" s="683"/>
      <c r="N4569" s="818"/>
      <c r="O4569" s="681"/>
      <c r="P4569" s="673"/>
      <c r="Q4569" s="683"/>
      <c r="R4569" s="683"/>
      <c r="S4569" s="683"/>
      <c r="T4569" s="683"/>
      <c r="U4569" s="683"/>
      <c r="V4569" s="683"/>
      <c r="W4569" s="683"/>
      <c r="X4569" s="683"/>
    </row>
    <row r="4570" spans="1:24" s="760" customFormat="1" ht="23.4">
      <c r="A4570" s="816" t="s">
        <v>811</v>
      </c>
      <c r="B4570" s="817" t="s">
        <v>812</v>
      </c>
      <c r="C4570" s="817"/>
      <c r="D4570" s="899"/>
      <c r="E4570" s="673"/>
      <c r="F4570" s="674"/>
      <c r="G4570" s="911"/>
      <c r="H4570" s="814">
        <f t="shared" si="936"/>
        <v>0</v>
      </c>
      <c r="I4570" s="912">
        <v>0</v>
      </c>
      <c r="J4570" s="815">
        <f t="shared" si="939"/>
        <v>0</v>
      </c>
      <c r="K4570" s="813">
        <f t="shared" si="945"/>
        <v>0</v>
      </c>
      <c r="L4570" s="1083"/>
      <c r="M4570" s="683"/>
      <c r="N4570" s="818"/>
      <c r="O4570" s="681"/>
      <c r="P4570" s="673"/>
      <c r="Q4570" s="683"/>
      <c r="R4570" s="683"/>
      <c r="S4570" s="683"/>
      <c r="T4570" s="683"/>
      <c r="U4570" s="683"/>
      <c r="V4570" s="683"/>
      <c r="W4570" s="683"/>
      <c r="X4570" s="683"/>
    </row>
    <row r="4571" spans="1:24" s="760" customFormat="1" ht="23.4">
      <c r="A4571" s="816"/>
      <c r="B4571" s="817"/>
      <c r="C4571" s="817" t="s">
        <v>813</v>
      </c>
      <c r="D4571" s="899"/>
      <c r="E4571" s="673">
        <f>3+(3*2*2)*2</f>
        <v>27</v>
      </c>
      <c r="F4571" s="674" t="s">
        <v>363</v>
      </c>
      <c r="G4571" s="813">
        <v>12190</v>
      </c>
      <c r="H4571" s="814">
        <f t="shared" si="936"/>
        <v>329130</v>
      </c>
      <c r="I4571" s="706">
        <v>4270</v>
      </c>
      <c r="J4571" s="815">
        <f t="shared" si="939"/>
        <v>115290</v>
      </c>
      <c r="K4571" s="813">
        <f t="shared" si="940"/>
        <v>444420</v>
      </c>
      <c r="L4571" s="1083"/>
      <c r="M4571" s="683"/>
      <c r="N4571" s="818"/>
      <c r="O4571" s="681"/>
      <c r="P4571" s="673"/>
      <c r="Q4571" s="683"/>
      <c r="R4571" s="683"/>
      <c r="S4571" s="683"/>
      <c r="T4571" s="683"/>
      <c r="U4571" s="683"/>
      <c r="V4571" s="683"/>
      <c r="W4571" s="683"/>
      <c r="X4571" s="683"/>
    </row>
    <row r="4572" spans="1:24" s="760" customFormat="1" ht="23.4">
      <c r="A4572" s="816"/>
      <c r="B4572" s="817"/>
      <c r="C4572" s="817" t="s">
        <v>814</v>
      </c>
      <c r="D4572" s="899"/>
      <c r="E4572" s="673">
        <f>3*2*2</f>
        <v>12</v>
      </c>
      <c r="F4572" s="674" t="s">
        <v>363</v>
      </c>
      <c r="G4572" s="813">
        <v>13480</v>
      </c>
      <c r="H4572" s="814">
        <f t="shared" si="936"/>
        <v>161760</v>
      </c>
      <c r="I4572" s="706">
        <v>4720</v>
      </c>
      <c r="J4572" s="815">
        <f t="shared" si="939"/>
        <v>56640</v>
      </c>
      <c r="K4572" s="813">
        <f t="shared" si="940"/>
        <v>218400</v>
      </c>
      <c r="L4572" s="1083"/>
      <c r="M4572" s="683"/>
      <c r="N4572" s="818"/>
      <c r="O4572" s="681"/>
      <c r="P4572" s="673"/>
      <c r="Q4572" s="683"/>
      <c r="R4572" s="683"/>
      <c r="S4572" s="683"/>
      <c r="T4572" s="683"/>
      <c r="U4572" s="683"/>
      <c r="V4572" s="683"/>
      <c r="W4572" s="683"/>
      <c r="X4572" s="683"/>
    </row>
    <row r="4573" spans="1:24" s="760" customFormat="1" ht="23.4">
      <c r="A4573" s="816"/>
      <c r="B4573" s="817"/>
      <c r="C4573" s="817" t="s">
        <v>815</v>
      </c>
      <c r="D4573" s="899"/>
      <c r="E4573" s="673">
        <f>3*2</f>
        <v>6</v>
      </c>
      <c r="F4573" s="674" t="s">
        <v>363</v>
      </c>
      <c r="G4573" s="821">
        <v>7810</v>
      </c>
      <c r="H4573" s="820">
        <f t="shared" si="936"/>
        <v>46860</v>
      </c>
      <c r="I4573" s="712">
        <v>2740</v>
      </c>
      <c r="J4573" s="815">
        <f t="shared" si="939"/>
        <v>16440</v>
      </c>
      <c r="K4573" s="813">
        <f t="shared" si="940"/>
        <v>63300</v>
      </c>
      <c r="L4573" s="1083"/>
      <c r="M4573" s="683"/>
      <c r="N4573" s="818"/>
      <c r="O4573" s="681"/>
      <c r="P4573" s="673"/>
      <c r="Q4573" s="683"/>
      <c r="R4573" s="683"/>
      <c r="S4573" s="683"/>
      <c r="T4573" s="683"/>
      <c r="U4573" s="683"/>
      <c r="V4573" s="683"/>
      <c r="W4573" s="683"/>
      <c r="X4573" s="683"/>
    </row>
    <row r="4574" spans="1:24" s="760" customFormat="1" ht="23.4">
      <c r="A4574" s="816"/>
      <c r="B4574" s="817" t="s">
        <v>816</v>
      </c>
      <c r="C4574" s="817"/>
      <c r="D4574" s="899"/>
      <c r="E4574" s="673"/>
      <c r="F4574" s="674"/>
      <c r="G4574" s="813"/>
      <c r="H4574" s="814">
        <f t="shared" si="936"/>
        <v>0</v>
      </c>
      <c r="I4574" s="706"/>
      <c r="J4574" s="815">
        <f t="shared" si="939"/>
        <v>0</v>
      </c>
      <c r="K4574" s="813">
        <f t="shared" si="940"/>
        <v>0</v>
      </c>
      <c r="L4574" s="1083"/>
      <c r="M4574" s="683"/>
      <c r="N4574" s="818"/>
      <c r="O4574" s="681"/>
      <c r="P4574" s="673"/>
      <c r="Q4574" s="683"/>
      <c r="R4574" s="683"/>
      <c r="S4574" s="683"/>
      <c r="T4574" s="683"/>
      <c r="U4574" s="683"/>
      <c r="V4574" s="683"/>
      <c r="W4574" s="683"/>
      <c r="X4574" s="683"/>
    </row>
    <row r="4575" spans="1:24" s="760" customFormat="1" ht="23.4">
      <c r="A4575" s="816" t="s">
        <v>817</v>
      </c>
      <c r="B4575" s="817" t="s">
        <v>818</v>
      </c>
      <c r="C4575" s="817"/>
      <c r="D4575" s="899"/>
      <c r="E4575" s="673">
        <v>1</v>
      </c>
      <c r="F4575" s="674" t="s">
        <v>363</v>
      </c>
      <c r="G4575" s="813">
        <v>111440</v>
      </c>
      <c r="H4575" s="814">
        <f t="shared" si="936"/>
        <v>111440</v>
      </c>
      <c r="I4575" s="706">
        <v>137580</v>
      </c>
      <c r="J4575" s="815">
        <f>I4575*E4575</f>
        <v>137580</v>
      </c>
      <c r="K4575" s="813">
        <f>H4575+J4575</f>
        <v>249020</v>
      </c>
      <c r="L4575" s="1083"/>
      <c r="M4575" s="683"/>
      <c r="N4575" s="818"/>
      <c r="O4575" s="681"/>
      <c r="P4575" s="673"/>
      <c r="Q4575" s="683"/>
      <c r="R4575" s="683"/>
      <c r="S4575" s="683"/>
      <c r="T4575" s="683"/>
      <c r="U4575" s="683"/>
      <c r="V4575" s="683"/>
      <c r="W4575" s="683"/>
      <c r="X4575" s="683"/>
    </row>
    <row r="4576" spans="1:24" s="760" customFormat="1" ht="23.4">
      <c r="A4576" s="816" t="s">
        <v>819</v>
      </c>
      <c r="B4576" s="817" t="s">
        <v>820</v>
      </c>
      <c r="C4576" s="817"/>
      <c r="D4576" s="899"/>
      <c r="E4576" s="673">
        <v>1</v>
      </c>
      <c r="F4576" s="674" t="s">
        <v>363</v>
      </c>
      <c r="G4576" s="813">
        <v>111440</v>
      </c>
      <c r="H4576" s="814">
        <f t="shared" si="936"/>
        <v>111440</v>
      </c>
      <c r="I4576" s="706">
        <v>137580</v>
      </c>
      <c r="J4576" s="815">
        <f>I4576*E4576</f>
        <v>137580</v>
      </c>
      <c r="K4576" s="813">
        <f>H4576+J4576</f>
        <v>249020</v>
      </c>
      <c r="L4576" s="1083"/>
      <c r="M4576" s="683"/>
      <c r="N4576" s="818"/>
      <c r="O4576" s="681"/>
      <c r="P4576" s="673"/>
      <c r="Q4576" s="683"/>
      <c r="R4576" s="683"/>
      <c r="S4576" s="683"/>
      <c r="T4576" s="683"/>
      <c r="U4576" s="683"/>
      <c r="V4576" s="683"/>
      <c r="W4576" s="683"/>
      <c r="X4576" s="683"/>
    </row>
    <row r="4577" spans="1:24" s="760" customFormat="1" ht="23.4">
      <c r="A4577" s="816"/>
      <c r="B4577" s="817" t="s">
        <v>821</v>
      </c>
      <c r="C4577" s="817"/>
      <c r="D4577" s="899"/>
      <c r="E4577" s="673"/>
      <c r="F4577" s="674"/>
      <c r="G4577" s="813"/>
      <c r="H4577" s="814"/>
      <c r="I4577" s="706"/>
      <c r="J4577" s="815"/>
      <c r="K4577" s="813"/>
      <c r="L4577" s="1083"/>
      <c r="M4577" s="683"/>
      <c r="N4577" s="818"/>
      <c r="O4577" s="681"/>
      <c r="P4577" s="673"/>
      <c r="Q4577" s="683"/>
      <c r="R4577" s="683"/>
      <c r="S4577" s="683"/>
      <c r="T4577" s="683"/>
      <c r="U4577" s="683"/>
      <c r="V4577" s="683"/>
      <c r="W4577" s="683"/>
      <c r="X4577" s="683"/>
    </row>
    <row r="4578" spans="1:24" s="760" customFormat="1" ht="23.4">
      <c r="A4578" s="816" t="s">
        <v>822</v>
      </c>
      <c r="B4578" s="817" t="s">
        <v>823</v>
      </c>
      <c r="C4578" s="817"/>
      <c r="D4578" s="899"/>
      <c r="E4578" s="673">
        <v>111.1</v>
      </c>
      <c r="F4578" s="674" t="s">
        <v>361</v>
      </c>
      <c r="G4578" s="813">
        <v>12120</v>
      </c>
      <c r="H4578" s="814">
        <f t="shared" ref="H4578:H4583" si="946">E4578*G4578</f>
        <v>1346532</v>
      </c>
      <c r="I4578" s="706">
        <v>4250</v>
      </c>
      <c r="J4578" s="815">
        <f t="shared" si="939"/>
        <v>472175</v>
      </c>
      <c r="K4578" s="813">
        <f t="shared" si="940"/>
        <v>1818707</v>
      </c>
      <c r="L4578" s="1083"/>
      <c r="M4578" s="683"/>
      <c r="N4578" s="818"/>
      <c r="O4578" s="681"/>
      <c r="P4578" s="673"/>
      <c r="Q4578" s="683"/>
      <c r="R4578" s="683"/>
      <c r="S4578" s="683"/>
      <c r="T4578" s="683"/>
      <c r="U4578" s="683"/>
      <c r="V4578" s="683"/>
      <c r="W4578" s="683"/>
      <c r="X4578" s="683"/>
    </row>
    <row r="4579" spans="1:24" s="760" customFormat="1" ht="23.4">
      <c r="A4579" s="816" t="s">
        <v>824</v>
      </c>
      <c r="B4579" s="817" t="s">
        <v>825</v>
      </c>
      <c r="C4579" s="817"/>
      <c r="D4579" s="899"/>
      <c r="E4579" s="673">
        <v>203.6</v>
      </c>
      <c r="F4579" s="674" t="s">
        <v>361</v>
      </c>
      <c r="G4579" s="813">
        <v>1620</v>
      </c>
      <c r="H4579" s="814">
        <f t="shared" si="946"/>
        <v>329832</v>
      </c>
      <c r="I4579" s="706">
        <v>650</v>
      </c>
      <c r="J4579" s="815">
        <f t="shared" si="939"/>
        <v>132340</v>
      </c>
      <c r="K4579" s="813">
        <f t="shared" si="940"/>
        <v>462172</v>
      </c>
      <c r="L4579" s="1083"/>
      <c r="M4579" s="683"/>
      <c r="N4579" s="818"/>
      <c r="O4579" s="681"/>
      <c r="P4579" s="673"/>
      <c r="Q4579" s="683"/>
      <c r="R4579" s="683"/>
      <c r="S4579" s="683"/>
      <c r="T4579" s="683"/>
      <c r="U4579" s="683"/>
      <c r="V4579" s="683"/>
      <c r="W4579" s="683"/>
      <c r="X4579" s="683"/>
    </row>
    <row r="4580" spans="1:24" s="760" customFormat="1" ht="23.4">
      <c r="A4580" s="816" t="s">
        <v>826</v>
      </c>
      <c r="B4580" s="817" t="s">
        <v>827</v>
      </c>
      <c r="C4580" s="817"/>
      <c r="D4580" s="899"/>
      <c r="E4580" s="673">
        <v>300</v>
      </c>
      <c r="F4580" s="674" t="s">
        <v>361</v>
      </c>
      <c r="G4580" s="813">
        <v>1760</v>
      </c>
      <c r="H4580" s="814">
        <f t="shared" si="946"/>
        <v>528000</v>
      </c>
      <c r="I4580" s="706">
        <v>260</v>
      </c>
      <c r="J4580" s="815">
        <f t="shared" si="939"/>
        <v>78000</v>
      </c>
      <c r="K4580" s="813">
        <f t="shared" si="940"/>
        <v>606000</v>
      </c>
      <c r="L4580" s="1083"/>
      <c r="M4580" s="683"/>
      <c r="N4580" s="818"/>
      <c r="O4580" s="681"/>
      <c r="P4580" s="673"/>
      <c r="Q4580" s="683"/>
      <c r="R4580" s="683"/>
      <c r="S4580" s="683"/>
      <c r="T4580" s="683"/>
      <c r="U4580" s="683"/>
      <c r="V4580" s="683"/>
      <c r="W4580" s="683"/>
      <c r="X4580" s="683"/>
    </row>
    <row r="4581" spans="1:24" s="760" customFormat="1" ht="23.4">
      <c r="A4581" s="816" t="s">
        <v>828</v>
      </c>
      <c r="B4581" s="817" t="s">
        <v>829</v>
      </c>
      <c r="C4581" s="817"/>
      <c r="D4581" s="899"/>
      <c r="E4581" s="673">
        <f>16+67+53</f>
        <v>136</v>
      </c>
      <c r="F4581" s="674" t="s">
        <v>361</v>
      </c>
      <c r="G4581" s="813">
        <v>800</v>
      </c>
      <c r="H4581" s="814">
        <f t="shared" si="946"/>
        <v>108800</v>
      </c>
      <c r="I4581" s="706">
        <v>550</v>
      </c>
      <c r="J4581" s="815">
        <f t="shared" si="939"/>
        <v>74800</v>
      </c>
      <c r="K4581" s="813">
        <f t="shared" si="940"/>
        <v>183600</v>
      </c>
      <c r="L4581" s="1083"/>
      <c r="M4581" s="683"/>
      <c r="N4581" s="818"/>
      <c r="O4581" s="681"/>
      <c r="P4581" s="673"/>
      <c r="Q4581" s="683"/>
      <c r="R4581" s="683"/>
      <c r="S4581" s="683"/>
      <c r="T4581" s="683"/>
      <c r="U4581" s="683"/>
      <c r="V4581" s="683"/>
      <c r="W4581" s="683"/>
      <c r="X4581" s="683"/>
    </row>
    <row r="4582" spans="1:24" s="760" customFormat="1" ht="23.4">
      <c r="A4582" s="816" t="s">
        <v>830</v>
      </c>
      <c r="B4582" s="817" t="s">
        <v>831</v>
      </c>
      <c r="C4582" s="817"/>
      <c r="D4582" s="899"/>
      <c r="E4582" s="673">
        <f>80*3</f>
        <v>240</v>
      </c>
      <c r="F4582" s="674" t="s">
        <v>361</v>
      </c>
      <c r="G4582" s="813">
        <v>4240</v>
      </c>
      <c r="H4582" s="814">
        <f t="shared" si="946"/>
        <v>1017600</v>
      </c>
      <c r="I4582" s="706">
        <v>1490</v>
      </c>
      <c r="J4582" s="815">
        <f t="shared" si="939"/>
        <v>357600</v>
      </c>
      <c r="K4582" s="813">
        <f t="shared" si="940"/>
        <v>1375200</v>
      </c>
      <c r="L4582" s="1083"/>
      <c r="M4582" s="683"/>
      <c r="N4582" s="818"/>
      <c r="O4582" s="681"/>
      <c r="P4582" s="673"/>
      <c r="Q4582" s="683"/>
      <c r="R4582" s="683"/>
      <c r="S4582" s="683"/>
      <c r="T4582" s="683"/>
      <c r="U4582" s="683"/>
      <c r="V4582" s="683"/>
      <c r="W4582" s="683"/>
      <c r="X4582" s="683"/>
    </row>
    <row r="4583" spans="1:24" s="760" customFormat="1" ht="23.4">
      <c r="A4583" s="816" t="s">
        <v>832</v>
      </c>
      <c r="B4583" s="817" t="s">
        <v>833</v>
      </c>
      <c r="C4583" s="817"/>
      <c r="D4583" s="899"/>
      <c r="E4583" s="673">
        <f>8*1.5*2</f>
        <v>24</v>
      </c>
      <c r="F4583" s="674" t="s">
        <v>34</v>
      </c>
      <c r="G4583" s="813">
        <v>8300</v>
      </c>
      <c r="H4583" s="814">
        <f t="shared" si="946"/>
        <v>199200</v>
      </c>
      <c r="I4583" s="706">
        <v>1660</v>
      </c>
      <c r="J4583" s="815">
        <f t="shared" si="939"/>
        <v>39840</v>
      </c>
      <c r="K4583" s="813">
        <f t="shared" si="940"/>
        <v>239040</v>
      </c>
      <c r="L4583" s="1083"/>
      <c r="M4583" s="683"/>
      <c r="N4583" s="818"/>
      <c r="O4583" s="681"/>
      <c r="P4583" s="673"/>
      <c r="Q4583" s="683"/>
      <c r="R4583" s="683"/>
      <c r="S4583" s="683"/>
      <c r="T4583" s="683"/>
      <c r="U4583" s="683"/>
      <c r="V4583" s="683"/>
      <c r="W4583" s="683"/>
      <c r="X4583" s="683"/>
    </row>
    <row r="4584" spans="1:24" s="760" customFormat="1" ht="23.4">
      <c r="A4584" s="816"/>
      <c r="B4584" s="817" t="s">
        <v>834</v>
      </c>
      <c r="C4584" s="817"/>
      <c r="D4584" s="899"/>
      <c r="E4584" s="673"/>
      <c r="F4584" s="674"/>
      <c r="G4584" s="813"/>
      <c r="H4584" s="814"/>
      <c r="I4584" s="706"/>
      <c r="J4584" s="815"/>
      <c r="K4584" s="813"/>
      <c r="L4584" s="1083"/>
      <c r="M4584" s="683"/>
      <c r="N4584" s="818"/>
      <c r="O4584" s="681"/>
      <c r="P4584" s="673"/>
      <c r="Q4584" s="683"/>
      <c r="R4584" s="683"/>
      <c r="S4584" s="683"/>
      <c r="T4584" s="683"/>
      <c r="U4584" s="683"/>
      <c r="V4584" s="683"/>
      <c r="W4584" s="683"/>
      <c r="X4584" s="683"/>
    </row>
    <row r="4585" spans="1:24" s="760" customFormat="1" ht="23.4">
      <c r="A4585" s="816" t="s">
        <v>835</v>
      </c>
      <c r="B4585" s="817"/>
      <c r="C4585" s="817" t="s">
        <v>836</v>
      </c>
      <c r="D4585" s="899"/>
      <c r="E4585" s="673"/>
      <c r="F4585" s="674" t="s">
        <v>363</v>
      </c>
      <c r="G4585" s="813">
        <v>833</v>
      </c>
      <c r="H4585" s="814">
        <f>E4585*G4585</f>
        <v>0</v>
      </c>
      <c r="I4585" s="706">
        <v>583</v>
      </c>
      <c r="J4585" s="815">
        <f>I4585*E4585</f>
        <v>0</v>
      </c>
      <c r="K4585" s="813">
        <f>H4585+J4585</f>
        <v>0</v>
      </c>
      <c r="L4585" s="1083"/>
      <c r="M4585" s="683"/>
      <c r="N4585" s="818"/>
      <c r="O4585" s="681"/>
      <c r="P4585" s="673"/>
      <c r="Q4585" s="683"/>
      <c r="R4585" s="683"/>
      <c r="S4585" s="683"/>
      <c r="T4585" s="683"/>
      <c r="U4585" s="683"/>
      <c r="V4585" s="683"/>
      <c r="W4585" s="683"/>
      <c r="X4585" s="683"/>
    </row>
    <row r="4586" spans="1:24" s="760" customFormat="1" ht="23.4">
      <c r="A4586" s="816" t="s">
        <v>837</v>
      </c>
      <c r="B4586" s="817"/>
      <c r="C4586" s="817" t="s">
        <v>838</v>
      </c>
      <c r="D4586" s="899"/>
      <c r="E4586" s="673">
        <f>(5+7+8+8+(8*9))*2</f>
        <v>200</v>
      </c>
      <c r="F4586" s="674" t="s">
        <v>363</v>
      </c>
      <c r="G4586" s="813">
        <v>840</v>
      </c>
      <c r="H4586" s="814">
        <f>E4586*G4586</f>
        <v>168000</v>
      </c>
      <c r="I4586" s="706">
        <v>590</v>
      </c>
      <c r="J4586" s="815">
        <f>I4586*E4586</f>
        <v>118000</v>
      </c>
      <c r="K4586" s="813">
        <f>H4586+J4586</f>
        <v>286000</v>
      </c>
      <c r="L4586" s="1083"/>
      <c r="M4586" s="683"/>
      <c r="N4586" s="818"/>
      <c r="O4586" s="681"/>
      <c r="P4586" s="673"/>
      <c r="Q4586" s="683"/>
      <c r="R4586" s="683"/>
      <c r="S4586" s="683"/>
      <c r="T4586" s="683"/>
      <c r="U4586" s="683"/>
      <c r="V4586" s="683"/>
      <c r="W4586" s="683"/>
      <c r="X4586" s="683"/>
    </row>
    <row r="4587" spans="1:24" s="760" customFormat="1" ht="23.4">
      <c r="A4587" s="816" t="s">
        <v>839</v>
      </c>
      <c r="B4587" s="817"/>
      <c r="C4587" s="817" t="s">
        <v>840</v>
      </c>
      <c r="D4587" s="899"/>
      <c r="E4587" s="673">
        <f>(1+1+1+1+(1*9))*2</f>
        <v>26</v>
      </c>
      <c r="F4587" s="674" t="s">
        <v>363</v>
      </c>
      <c r="G4587" s="813">
        <v>880</v>
      </c>
      <c r="H4587" s="814">
        <f>E4587*G4587</f>
        <v>22880</v>
      </c>
      <c r="I4587" s="706">
        <v>620</v>
      </c>
      <c r="J4587" s="815">
        <f>I4587*E4587</f>
        <v>16120</v>
      </c>
      <c r="K4587" s="813">
        <f>H4587+J4587</f>
        <v>39000</v>
      </c>
      <c r="L4587" s="1083"/>
      <c r="M4587" s="683"/>
      <c r="N4587" s="818"/>
      <c r="O4587" s="681"/>
      <c r="P4587" s="673"/>
      <c r="Q4587" s="683"/>
      <c r="R4587" s="683"/>
      <c r="S4587" s="683"/>
      <c r="T4587" s="683"/>
      <c r="U4587" s="683"/>
      <c r="V4587" s="683"/>
      <c r="W4587" s="683"/>
      <c r="X4587" s="683"/>
    </row>
    <row r="4588" spans="1:24" s="760" customFormat="1" ht="23.4">
      <c r="A4588" s="816"/>
      <c r="B4588" s="817" t="s">
        <v>841</v>
      </c>
      <c r="C4588" s="817"/>
      <c r="D4588" s="899"/>
      <c r="E4588" s="673"/>
      <c r="F4588" s="674"/>
      <c r="G4588" s="813"/>
      <c r="H4588" s="814">
        <f t="shared" ref="H4588:H4596" si="947">E4588*G4588</f>
        <v>0</v>
      </c>
      <c r="I4588" s="706">
        <v>0</v>
      </c>
      <c r="J4588" s="815">
        <f t="shared" ref="J4588:J4597" si="948">I4588*E4588</f>
        <v>0</v>
      </c>
      <c r="K4588" s="813">
        <f t="shared" ref="K4588:K4596" si="949">H4588+J4588</f>
        <v>0</v>
      </c>
      <c r="L4588" s="1083"/>
      <c r="M4588" s="683"/>
      <c r="N4588" s="818"/>
      <c r="O4588" s="681"/>
      <c r="P4588" s="673"/>
      <c r="Q4588" s="683"/>
      <c r="R4588" s="683"/>
      <c r="S4588" s="683"/>
      <c r="T4588" s="683"/>
      <c r="U4588" s="683"/>
      <c r="V4588" s="683"/>
      <c r="W4588" s="683"/>
      <c r="X4588" s="683"/>
    </row>
    <row r="4589" spans="1:24" s="760" customFormat="1" ht="23.4">
      <c r="A4589" s="816" t="s">
        <v>842</v>
      </c>
      <c r="B4589" s="817"/>
      <c r="C4589" s="817" t="s">
        <v>843</v>
      </c>
      <c r="D4589" s="899"/>
      <c r="E4589" s="673">
        <f>(0.9*8)+(1.1*200)+(1.4*26)+(20*1.2*2)+(1.6*11*2)</f>
        <v>346.8</v>
      </c>
      <c r="F4589" s="674" t="s">
        <v>226</v>
      </c>
      <c r="G4589" s="813">
        <v>1383</v>
      </c>
      <c r="H4589" s="814">
        <f t="shared" si="947"/>
        <v>479624.4</v>
      </c>
      <c r="I4589" s="706">
        <v>415</v>
      </c>
      <c r="J4589" s="815">
        <f t="shared" si="948"/>
        <v>143922</v>
      </c>
      <c r="K4589" s="813">
        <f t="shared" si="949"/>
        <v>623546.4</v>
      </c>
      <c r="L4589" s="1083"/>
      <c r="M4589" s="683"/>
      <c r="N4589" s="818"/>
      <c r="O4589" s="681"/>
      <c r="P4589" s="673"/>
      <c r="Q4589" s="683"/>
      <c r="R4589" s="683"/>
      <c r="S4589" s="683"/>
      <c r="T4589" s="683"/>
      <c r="U4589" s="683"/>
      <c r="V4589" s="683"/>
      <c r="W4589" s="683"/>
      <c r="X4589" s="683"/>
    </row>
    <row r="4590" spans="1:24" s="760" customFormat="1" ht="23.4">
      <c r="A4590" s="816" t="s">
        <v>844</v>
      </c>
      <c r="B4590" s="817"/>
      <c r="C4590" s="817" t="s">
        <v>845</v>
      </c>
      <c r="D4590" s="899"/>
      <c r="E4590" s="673">
        <f>8+9</f>
        <v>17</v>
      </c>
      <c r="F4590" s="674" t="s">
        <v>226</v>
      </c>
      <c r="G4590" s="813">
        <v>10340</v>
      </c>
      <c r="H4590" s="814">
        <f t="shared" si="947"/>
        <v>175780</v>
      </c>
      <c r="I4590" s="706">
        <v>5040</v>
      </c>
      <c r="J4590" s="815">
        <f t="shared" si="948"/>
        <v>85680</v>
      </c>
      <c r="K4590" s="813">
        <f t="shared" si="949"/>
        <v>261460</v>
      </c>
      <c r="L4590" s="1083"/>
      <c r="M4590" s="683"/>
      <c r="N4590" s="818"/>
      <c r="O4590" s="681"/>
      <c r="P4590" s="673"/>
      <c r="Q4590" s="683"/>
      <c r="R4590" s="683"/>
      <c r="S4590" s="683"/>
      <c r="T4590" s="683"/>
      <c r="U4590" s="683"/>
      <c r="V4590" s="683"/>
      <c r="W4590" s="683"/>
      <c r="X4590" s="683"/>
    </row>
    <row r="4591" spans="1:24" s="760" customFormat="1" ht="23.4">
      <c r="A4591" s="816" t="s">
        <v>846</v>
      </c>
      <c r="B4591" s="817" t="s">
        <v>847</v>
      </c>
      <c r="C4591" s="817"/>
      <c r="D4591" s="899"/>
      <c r="E4591" s="673"/>
      <c r="F4591" s="674" t="s">
        <v>226</v>
      </c>
      <c r="G4591" s="813">
        <v>2000</v>
      </c>
      <c r="H4591" s="814">
        <f t="shared" si="947"/>
        <v>0</v>
      </c>
      <c r="I4591" s="706">
        <v>400</v>
      </c>
      <c r="J4591" s="815">
        <f t="shared" si="948"/>
        <v>0</v>
      </c>
      <c r="K4591" s="813">
        <f t="shared" si="949"/>
        <v>0</v>
      </c>
      <c r="L4591" s="1083"/>
      <c r="M4591" s="683"/>
      <c r="N4591" s="818"/>
      <c r="O4591" s="681"/>
      <c r="P4591" s="673"/>
      <c r="Q4591" s="683"/>
      <c r="R4591" s="683"/>
      <c r="S4591" s="683"/>
      <c r="T4591" s="683"/>
      <c r="U4591" s="683"/>
      <c r="V4591" s="683"/>
      <c r="W4591" s="683"/>
      <c r="X4591" s="683"/>
    </row>
    <row r="4592" spans="1:24" s="760" customFormat="1" ht="23.4">
      <c r="A4592" s="816"/>
      <c r="B4592" s="817" t="s">
        <v>848</v>
      </c>
      <c r="C4592" s="817"/>
      <c r="D4592" s="899"/>
      <c r="E4592" s="673"/>
      <c r="F4592" s="674"/>
      <c r="G4592" s="813"/>
      <c r="H4592" s="814">
        <f t="shared" si="947"/>
        <v>0</v>
      </c>
      <c r="I4592" s="706"/>
      <c r="J4592" s="815">
        <f t="shared" si="948"/>
        <v>0</v>
      </c>
      <c r="K4592" s="813">
        <f t="shared" si="949"/>
        <v>0</v>
      </c>
      <c r="L4592" s="1083"/>
      <c r="M4592" s="683"/>
      <c r="N4592" s="818"/>
      <c r="O4592" s="681"/>
      <c r="P4592" s="673"/>
      <c r="Q4592" s="683"/>
      <c r="R4592" s="683"/>
      <c r="S4592" s="683"/>
      <c r="T4592" s="683"/>
      <c r="U4592" s="683"/>
      <c r="V4592" s="683"/>
      <c r="W4592" s="683"/>
      <c r="X4592" s="683"/>
    </row>
    <row r="4593" spans="1:24" s="760" customFormat="1" ht="23.4">
      <c r="A4593" s="816" t="s">
        <v>849</v>
      </c>
      <c r="B4593" s="817" t="s">
        <v>850</v>
      </c>
      <c r="C4593" s="817"/>
      <c r="D4593" s="899"/>
      <c r="E4593" s="673">
        <v>2</v>
      </c>
      <c r="F4593" s="674" t="s">
        <v>363</v>
      </c>
      <c r="G4593" s="813">
        <v>76290</v>
      </c>
      <c r="H4593" s="814">
        <f t="shared" si="947"/>
        <v>152580</v>
      </c>
      <c r="I4593" s="706">
        <v>0</v>
      </c>
      <c r="J4593" s="815">
        <f t="shared" si="948"/>
        <v>0</v>
      </c>
      <c r="K4593" s="813">
        <f t="shared" si="949"/>
        <v>152580</v>
      </c>
      <c r="L4593" s="1083"/>
      <c r="M4593" s="683"/>
      <c r="N4593" s="818"/>
      <c r="O4593" s="681"/>
      <c r="P4593" s="673"/>
      <c r="Q4593" s="683"/>
      <c r="R4593" s="683"/>
      <c r="S4593" s="683"/>
      <c r="T4593" s="683"/>
      <c r="U4593" s="683"/>
      <c r="V4593" s="683"/>
      <c r="W4593" s="683"/>
      <c r="X4593" s="683"/>
    </row>
    <row r="4594" spans="1:24" s="760" customFormat="1" ht="23.4">
      <c r="A4594" s="816" t="s">
        <v>851</v>
      </c>
      <c r="B4594" s="817" t="s">
        <v>852</v>
      </c>
      <c r="C4594" s="817"/>
      <c r="D4594" s="899"/>
      <c r="E4594" s="673">
        <v>2</v>
      </c>
      <c r="F4594" s="674" t="s">
        <v>363</v>
      </c>
      <c r="G4594" s="813">
        <v>29990</v>
      </c>
      <c r="H4594" s="814">
        <f t="shared" si="947"/>
        <v>59980</v>
      </c>
      <c r="I4594" s="706">
        <v>0</v>
      </c>
      <c r="J4594" s="815">
        <f t="shared" si="948"/>
        <v>0</v>
      </c>
      <c r="K4594" s="813">
        <f t="shared" si="949"/>
        <v>59980</v>
      </c>
      <c r="L4594" s="1083"/>
      <c r="M4594" s="683"/>
      <c r="N4594" s="818"/>
      <c r="O4594" s="681"/>
      <c r="P4594" s="673"/>
      <c r="Q4594" s="683"/>
      <c r="R4594" s="683"/>
      <c r="S4594" s="683"/>
      <c r="T4594" s="683"/>
      <c r="U4594" s="683"/>
      <c r="V4594" s="683"/>
      <c r="W4594" s="683"/>
      <c r="X4594" s="683"/>
    </row>
    <row r="4595" spans="1:24" s="760" customFormat="1" ht="23.4">
      <c r="A4595" s="816" t="s">
        <v>1090</v>
      </c>
      <c r="B4595" s="817" t="s">
        <v>1091</v>
      </c>
      <c r="C4595" s="1149"/>
      <c r="D4595" s="1150"/>
      <c r="E4595" s="1151">
        <v>24.43</v>
      </c>
      <c r="F4595" s="674" t="s">
        <v>361</v>
      </c>
      <c r="G4595" s="1152">
        <v>3500</v>
      </c>
      <c r="H4595" s="814">
        <f t="shared" si="947"/>
        <v>85505</v>
      </c>
      <c r="I4595" s="1154">
        <v>1250</v>
      </c>
      <c r="J4595" s="815">
        <f t="shared" si="948"/>
        <v>30537.5</v>
      </c>
      <c r="K4595" s="813">
        <f t="shared" si="949"/>
        <v>116042.5</v>
      </c>
      <c r="L4595" s="1156"/>
      <c r="M4595" s="683"/>
      <c r="N4595" s="1157"/>
      <c r="O4595" s="1158"/>
      <c r="P4595" s="1151"/>
      <c r="Q4595" s="1999"/>
      <c r="R4595" s="683"/>
      <c r="S4595" s="683"/>
      <c r="T4595" s="683"/>
      <c r="U4595" s="683"/>
      <c r="V4595" s="683"/>
      <c r="W4595" s="683"/>
      <c r="X4595" s="683"/>
    </row>
    <row r="4596" spans="1:24" s="760" customFormat="1" ht="23.4">
      <c r="A4596" s="816" t="s">
        <v>2551</v>
      </c>
      <c r="B4596" s="924" t="s">
        <v>2486</v>
      </c>
      <c r="C4596" s="1967"/>
      <c r="D4596" s="1967"/>
      <c r="E4596" s="1968">
        <v>0</v>
      </c>
      <c r="F4596" s="1974" t="s">
        <v>34</v>
      </c>
      <c r="G4596" s="1152">
        <v>850</v>
      </c>
      <c r="H4596" s="1153">
        <f t="shared" si="947"/>
        <v>0</v>
      </c>
      <c r="I4596" s="1154">
        <v>121</v>
      </c>
      <c r="J4596" s="1155">
        <f t="shared" si="948"/>
        <v>0</v>
      </c>
      <c r="K4596" s="1152">
        <f t="shared" si="949"/>
        <v>0</v>
      </c>
      <c r="L4596" s="1156"/>
      <c r="M4596" s="683"/>
      <c r="N4596" s="1157"/>
      <c r="O4596" s="1158"/>
      <c r="P4596" s="1151"/>
      <c r="Q4596" s="683"/>
      <c r="R4596" s="683"/>
      <c r="S4596" s="683"/>
      <c r="T4596" s="683"/>
      <c r="U4596" s="683"/>
      <c r="V4596" s="683"/>
      <c r="W4596" s="683"/>
      <c r="X4596" s="683"/>
    </row>
    <row r="4597" spans="1:24" s="492" customFormat="1">
      <c r="A4597" s="816" t="s">
        <v>2570</v>
      </c>
      <c r="B4597" s="924" t="s">
        <v>2571</v>
      </c>
      <c r="C4597" s="898"/>
      <c r="D4597" s="1148"/>
      <c r="E4597" s="654">
        <v>66</v>
      </c>
      <c r="F4597" s="674" t="s">
        <v>363</v>
      </c>
      <c r="G4597" s="1101"/>
      <c r="H4597" s="1102">
        <f t="shared" ref="H4597" si="950">G4597*E4597</f>
        <v>0</v>
      </c>
      <c r="I4597" s="1076">
        <v>1000</v>
      </c>
      <c r="J4597" s="1103">
        <f t="shared" si="948"/>
        <v>66000</v>
      </c>
      <c r="K4597" s="1104">
        <f t="shared" ref="K4597" si="951">J4597+H4597</f>
        <v>66000</v>
      </c>
      <c r="L4597" s="1077"/>
      <c r="N4597" s="897"/>
      <c r="O4597" s="657"/>
      <c r="P4597" s="654"/>
      <c r="S4597" s="913"/>
      <c r="T4597" s="495"/>
    </row>
    <row r="4598" spans="1:24" s="492" customFormat="1">
      <c r="A4598" s="658"/>
      <c r="B4598" s="2228" t="s">
        <v>577</v>
      </c>
      <c r="C4598" s="2228"/>
      <c r="D4598" s="2228"/>
      <c r="E4598" s="600">
        <v>0</v>
      </c>
      <c r="F4598" s="601"/>
      <c r="G4598" s="602"/>
      <c r="H4598" s="660">
        <f>SUBTOTAL(9,H4540:H4597)</f>
        <v>10298715.24</v>
      </c>
      <c r="I4598" s="661"/>
      <c r="J4598" s="603">
        <f>SUBTOTAL(9,J4540:J4597)</f>
        <v>6260709.2199999997</v>
      </c>
      <c r="K4598" s="1072">
        <f>SUBTOTAL(9,K4540:K4597)</f>
        <v>16559424.460000001</v>
      </c>
      <c r="L4598" s="662"/>
      <c r="N4598" s="811"/>
      <c r="O4598" s="606"/>
      <c r="P4598" s="600"/>
      <c r="T4598" s="495"/>
    </row>
    <row r="4599" spans="1:24" s="760" customFormat="1" ht="23.4">
      <c r="A4599" s="822">
        <v>2.11</v>
      </c>
      <c r="B4599" s="823" t="s">
        <v>179</v>
      </c>
      <c r="C4599" s="824"/>
      <c r="D4599" s="914"/>
      <c r="E4599" s="825">
        <v>0</v>
      </c>
      <c r="F4599" s="826"/>
      <c r="G4599" s="708"/>
      <c r="H4599" s="705"/>
      <c r="I4599" s="827"/>
      <c r="J4599" s="707"/>
      <c r="K4599" s="708"/>
      <c r="L4599" s="1105"/>
      <c r="M4599" s="683"/>
      <c r="N4599" s="828"/>
      <c r="O4599" s="829"/>
      <c r="P4599" s="825"/>
      <c r="Q4599" s="683"/>
      <c r="R4599" s="683"/>
      <c r="S4599" s="683"/>
      <c r="T4599" s="683"/>
      <c r="U4599" s="683"/>
      <c r="V4599" s="683"/>
      <c r="W4599" s="683"/>
      <c r="X4599" s="683"/>
    </row>
    <row r="4600" spans="1:24" s="760" customFormat="1" ht="23.4">
      <c r="A4600" s="830"/>
      <c r="B4600" s="831" t="s">
        <v>484</v>
      </c>
      <c r="C4600" s="817" t="s">
        <v>578</v>
      </c>
      <c r="D4600" s="906"/>
      <c r="E4600" s="673">
        <v>27</v>
      </c>
      <c r="F4600" s="674" t="s">
        <v>363</v>
      </c>
      <c r="G4600" s="708">
        <v>26960</v>
      </c>
      <c r="H4600" s="705">
        <f t="shared" ref="H4600" si="952">SUM(E4600*G4600)</f>
        <v>727920</v>
      </c>
      <c r="I4600" s="832">
        <v>0</v>
      </c>
      <c r="J4600" s="707">
        <f t="shared" ref="J4600" si="953">SUM(E4600*I4600)</f>
        <v>0</v>
      </c>
      <c r="K4600" s="708">
        <f t="shared" ref="K4600" si="954">SUM(H4600+J4600)</f>
        <v>727920</v>
      </c>
      <c r="L4600" s="1106"/>
      <c r="N4600" s="818"/>
      <c r="O4600" s="681"/>
      <c r="P4600" s="673"/>
    </row>
    <row r="4601" spans="1:24" s="760" customFormat="1" ht="23.4">
      <c r="A4601" s="830"/>
      <c r="B4601" s="831"/>
      <c r="C4601" s="817" t="s">
        <v>579</v>
      </c>
      <c r="D4601" s="906"/>
      <c r="E4601" s="673"/>
      <c r="F4601" s="674"/>
      <c r="G4601" s="708"/>
      <c r="H4601" s="705"/>
      <c r="I4601" s="832"/>
      <c r="J4601" s="707"/>
      <c r="K4601" s="708"/>
      <c r="L4601" s="1106"/>
      <c r="N4601" s="818"/>
      <c r="O4601" s="681"/>
      <c r="P4601" s="673"/>
    </row>
    <row r="4602" spans="1:24" s="760" customFormat="1" ht="23.4">
      <c r="A4602" s="830"/>
      <c r="B4602" s="831" t="s">
        <v>484</v>
      </c>
      <c r="C4602" s="817" t="s">
        <v>853</v>
      </c>
      <c r="D4602" s="906"/>
      <c r="E4602" s="673">
        <v>68</v>
      </c>
      <c r="F4602" s="674" t="s">
        <v>363</v>
      </c>
      <c r="G4602" s="708">
        <v>21600</v>
      </c>
      <c r="H4602" s="705">
        <f t="shared" ref="H4602" si="955">SUM(E4602*G4602)</f>
        <v>1468800</v>
      </c>
      <c r="I4602" s="832">
        <v>0</v>
      </c>
      <c r="J4602" s="707">
        <f t="shared" ref="J4602" si="956">SUM(E4602*I4602)</f>
        <v>0</v>
      </c>
      <c r="K4602" s="708">
        <f t="shared" ref="K4602" si="957">SUM(H4602+J4602)</f>
        <v>1468800</v>
      </c>
      <c r="L4602" s="1083"/>
      <c r="N4602" s="818"/>
      <c r="O4602" s="681"/>
      <c r="P4602" s="673"/>
    </row>
    <row r="4603" spans="1:24" s="760" customFormat="1" ht="23.4">
      <c r="A4603" s="830"/>
      <c r="B4603" s="831"/>
      <c r="C4603" s="817" t="s">
        <v>580</v>
      </c>
      <c r="D4603" s="906"/>
      <c r="E4603" s="673"/>
      <c r="F4603" s="674"/>
      <c r="G4603" s="708"/>
      <c r="H4603" s="705"/>
      <c r="I4603" s="832"/>
      <c r="J4603" s="707"/>
      <c r="K4603" s="708"/>
      <c r="L4603" s="1083"/>
      <c r="N4603" s="818"/>
      <c r="O4603" s="681"/>
      <c r="P4603" s="673"/>
    </row>
    <row r="4604" spans="1:24" s="760" customFormat="1" ht="23.4">
      <c r="A4604" s="830"/>
      <c r="B4604" s="831" t="s">
        <v>484</v>
      </c>
      <c r="C4604" s="817" t="s">
        <v>1087</v>
      </c>
      <c r="D4604" s="906"/>
      <c r="E4604" s="673">
        <v>249</v>
      </c>
      <c r="F4604" s="674" t="s">
        <v>363</v>
      </c>
      <c r="G4604" s="708">
        <v>4000</v>
      </c>
      <c r="H4604" s="705">
        <f t="shared" ref="H4604:H4622" si="958">SUM(E4604*G4604)</f>
        <v>996000</v>
      </c>
      <c r="I4604" s="832">
        <v>0</v>
      </c>
      <c r="J4604" s="707">
        <f t="shared" ref="J4604:J4622" si="959">SUM(E4604*I4604)</f>
        <v>0</v>
      </c>
      <c r="K4604" s="708">
        <f t="shared" ref="K4604:K4622" si="960">SUM(H4604+J4604)</f>
        <v>996000</v>
      </c>
      <c r="L4604" s="1083"/>
      <c r="N4604" s="818"/>
      <c r="O4604" s="681"/>
      <c r="P4604" s="673"/>
    </row>
    <row r="4605" spans="1:24" s="760" customFormat="1" ht="23.4">
      <c r="A4605" s="816"/>
      <c r="B4605" s="831" t="s">
        <v>484</v>
      </c>
      <c r="C4605" s="817" t="s">
        <v>854</v>
      </c>
      <c r="D4605" s="899"/>
      <c r="E4605" s="673">
        <v>17</v>
      </c>
      <c r="F4605" s="674" t="s">
        <v>363</v>
      </c>
      <c r="G4605" s="708">
        <v>3500</v>
      </c>
      <c r="H4605" s="705">
        <f t="shared" si="958"/>
        <v>59500</v>
      </c>
      <c r="I4605" s="832">
        <v>0</v>
      </c>
      <c r="J4605" s="707">
        <f t="shared" si="959"/>
        <v>0</v>
      </c>
      <c r="K4605" s="708">
        <f t="shared" si="960"/>
        <v>59500</v>
      </c>
      <c r="L4605" s="1083"/>
      <c r="N4605" s="818"/>
      <c r="O4605" s="681"/>
      <c r="P4605" s="673"/>
    </row>
    <row r="4606" spans="1:24" s="760" customFormat="1" ht="23.4">
      <c r="A4606" s="816"/>
      <c r="B4606" s="831" t="s">
        <v>484</v>
      </c>
      <c r="C4606" s="817" t="s">
        <v>1087</v>
      </c>
      <c r="D4606" s="899"/>
      <c r="E4606" s="673">
        <v>31</v>
      </c>
      <c r="F4606" s="674" t="s">
        <v>363</v>
      </c>
      <c r="G4606" s="708">
        <v>3500</v>
      </c>
      <c r="H4606" s="705">
        <f t="shared" si="958"/>
        <v>108500</v>
      </c>
      <c r="I4606" s="832">
        <v>0</v>
      </c>
      <c r="J4606" s="707">
        <f t="shared" si="959"/>
        <v>0</v>
      </c>
      <c r="K4606" s="708">
        <f t="shared" si="960"/>
        <v>108500</v>
      </c>
      <c r="L4606" s="1083"/>
      <c r="N4606" s="818"/>
      <c r="O4606" s="681"/>
      <c r="P4606" s="673"/>
    </row>
    <row r="4607" spans="1:24" s="760" customFormat="1" ht="23.4">
      <c r="A4607" s="816"/>
      <c r="B4607" s="831" t="s">
        <v>484</v>
      </c>
      <c r="C4607" s="817" t="s">
        <v>855</v>
      </c>
      <c r="D4607" s="899"/>
      <c r="E4607" s="673">
        <v>36</v>
      </c>
      <c r="F4607" s="674" t="s">
        <v>363</v>
      </c>
      <c r="G4607" s="708">
        <v>4860</v>
      </c>
      <c r="H4607" s="705">
        <f t="shared" si="958"/>
        <v>174960</v>
      </c>
      <c r="I4607" s="832">
        <v>0</v>
      </c>
      <c r="J4607" s="707">
        <f t="shared" si="959"/>
        <v>0</v>
      </c>
      <c r="K4607" s="708">
        <f t="shared" si="960"/>
        <v>174960</v>
      </c>
      <c r="L4607" s="1083"/>
      <c r="N4607" s="818"/>
      <c r="O4607" s="681"/>
      <c r="P4607" s="673"/>
    </row>
    <row r="4608" spans="1:24" s="760" customFormat="1" ht="23.4">
      <c r="A4608" s="816"/>
      <c r="B4608" s="831" t="s">
        <v>484</v>
      </c>
      <c r="C4608" s="817" t="s">
        <v>855</v>
      </c>
      <c r="D4608" s="899"/>
      <c r="E4608" s="673">
        <v>165</v>
      </c>
      <c r="F4608" s="674" t="s">
        <v>363</v>
      </c>
      <c r="G4608" s="708">
        <v>4860</v>
      </c>
      <c r="H4608" s="705">
        <f t="shared" si="958"/>
        <v>801900</v>
      </c>
      <c r="I4608" s="832">
        <v>0</v>
      </c>
      <c r="J4608" s="707">
        <f t="shared" si="959"/>
        <v>0</v>
      </c>
      <c r="K4608" s="708">
        <f t="shared" si="960"/>
        <v>801900</v>
      </c>
      <c r="L4608" s="1083"/>
      <c r="N4608" s="818"/>
      <c r="O4608" s="681"/>
      <c r="P4608" s="673"/>
    </row>
    <row r="4609" spans="1:24" s="760" customFormat="1" ht="23.4">
      <c r="A4609" s="816"/>
      <c r="B4609" s="831"/>
      <c r="C4609" s="817" t="s">
        <v>856</v>
      </c>
      <c r="D4609" s="899"/>
      <c r="E4609" s="673"/>
      <c r="F4609" s="674"/>
      <c r="G4609" s="708"/>
      <c r="H4609" s="705">
        <f t="shared" si="958"/>
        <v>0</v>
      </c>
      <c r="I4609" s="832">
        <v>0</v>
      </c>
      <c r="J4609" s="707">
        <f t="shared" si="959"/>
        <v>0</v>
      </c>
      <c r="K4609" s="708">
        <f t="shared" si="960"/>
        <v>0</v>
      </c>
      <c r="L4609" s="1083"/>
      <c r="N4609" s="818"/>
      <c r="O4609" s="681"/>
      <c r="P4609" s="673"/>
    </row>
    <row r="4610" spans="1:24" s="917" customFormat="1" ht="23.4">
      <c r="A4610" s="816"/>
      <c r="B4610" s="915" t="s">
        <v>484</v>
      </c>
      <c r="C4610" s="817" t="s">
        <v>1080</v>
      </c>
      <c r="D4610" s="916"/>
      <c r="E4610" s="715">
        <v>184</v>
      </c>
      <c r="F4610" s="886" t="s">
        <v>363</v>
      </c>
      <c r="G4610" s="708">
        <v>9400</v>
      </c>
      <c r="H4610" s="705">
        <f t="shared" si="958"/>
        <v>1729600</v>
      </c>
      <c r="I4610" s="832">
        <v>0</v>
      </c>
      <c r="J4610" s="707">
        <f t="shared" si="959"/>
        <v>0</v>
      </c>
      <c r="K4610" s="708">
        <f t="shared" si="960"/>
        <v>1729600</v>
      </c>
      <c r="L4610" s="1083"/>
      <c r="N4610" s="918"/>
      <c r="O4610" s="714"/>
      <c r="P4610" s="715"/>
    </row>
    <row r="4611" spans="1:24" s="917" customFormat="1" ht="23.4">
      <c r="A4611" s="816"/>
      <c r="B4611" s="915"/>
      <c r="C4611" s="817" t="s">
        <v>1081</v>
      </c>
      <c r="D4611" s="916"/>
      <c r="E4611" s="715"/>
      <c r="F4611" s="886"/>
      <c r="G4611" s="708"/>
      <c r="H4611" s="705"/>
      <c r="I4611" s="832"/>
      <c r="J4611" s="707"/>
      <c r="K4611" s="708"/>
      <c r="L4611" s="1083"/>
      <c r="N4611" s="918"/>
      <c r="O4611" s="714"/>
      <c r="P4611" s="715"/>
    </row>
    <row r="4612" spans="1:24" s="917" customFormat="1" ht="23.4">
      <c r="A4612" s="816"/>
      <c r="B4612" s="915" t="s">
        <v>484</v>
      </c>
      <c r="C4612" s="703" t="s">
        <v>2457</v>
      </c>
      <c r="D4612" s="916"/>
      <c r="E4612" s="715">
        <v>184</v>
      </c>
      <c r="F4612" s="886" t="s">
        <v>363</v>
      </c>
      <c r="G4612" s="708">
        <v>1900</v>
      </c>
      <c r="H4612" s="705">
        <f t="shared" si="958"/>
        <v>349600</v>
      </c>
      <c r="I4612" s="832">
        <v>0</v>
      </c>
      <c r="J4612" s="707">
        <f t="shared" si="959"/>
        <v>0</v>
      </c>
      <c r="K4612" s="708">
        <f t="shared" si="960"/>
        <v>349600</v>
      </c>
      <c r="L4612" s="1083"/>
      <c r="N4612" s="918"/>
      <c r="O4612" s="714"/>
      <c r="P4612" s="715"/>
    </row>
    <row r="4613" spans="1:24" s="917" customFormat="1" ht="23.4">
      <c r="A4613" s="816"/>
      <c r="B4613" s="915" t="s">
        <v>484</v>
      </c>
      <c r="C4613" s="703" t="s">
        <v>1082</v>
      </c>
      <c r="D4613" s="916"/>
      <c r="E4613" s="715">
        <v>2</v>
      </c>
      <c r="F4613" s="886" t="s">
        <v>363</v>
      </c>
      <c r="G4613" s="708">
        <v>9000</v>
      </c>
      <c r="H4613" s="705">
        <f t="shared" si="958"/>
        <v>18000</v>
      </c>
      <c r="I4613" s="832">
        <v>0</v>
      </c>
      <c r="J4613" s="707">
        <f t="shared" si="959"/>
        <v>0</v>
      </c>
      <c r="K4613" s="708">
        <f t="shared" si="960"/>
        <v>18000</v>
      </c>
      <c r="L4613" s="1083"/>
      <c r="N4613" s="918"/>
      <c r="O4613" s="714"/>
      <c r="P4613" s="715"/>
    </row>
    <row r="4614" spans="1:24" s="917" customFormat="1" ht="23.4">
      <c r="A4614" s="816"/>
      <c r="B4614" s="915" t="s">
        <v>484</v>
      </c>
      <c r="C4614" s="703" t="s">
        <v>1083</v>
      </c>
      <c r="D4614" s="899"/>
      <c r="E4614" s="715">
        <v>57</v>
      </c>
      <c r="F4614" s="886" t="s">
        <v>363</v>
      </c>
      <c r="G4614" s="708">
        <v>2000</v>
      </c>
      <c r="H4614" s="705">
        <f t="shared" si="958"/>
        <v>114000</v>
      </c>
      <c r="I4614" s="832">
        <v>0</v>
      </c>
      <c r="J4614" s="707">
        <f t="shared" si="959"/>
        <v>0</v>
      </c>
      <c r="K4614" s="708">
        <f t="shared" si="960"/>
        <v>114000</v>
      </c>
      <c r="L4614" s="1083"/>
      <c r="N4614" s="918"/>
      <c r="O4614" s="714"/>
      <c r="P4614" s="715"/>
    </row>
    <row r="4615" spans="1:24" s="760" customFormat="1" ht="23.4">
      <c r="A4615" s="816"/>
      <c r="B4615" s="831" t="s">
        <v>484</v>
      </c>
      <c r="C4615" s="817" t="s">
        <v>857</v>
      </c>
      <c r="D4615" s="899" t="s">
        <v>859</v>
      </c>
      <c r="E4615" s="673">
        <v>4</v>
      </c>
      <c r="F4615" s="674" t="s">
        <v>363</v>
      </c>
      <c r="G4615" s="708">
        <v>4850</v>
      </c>
      <c r="H4615" s="705">
        <f t="shared" si="958"/>
        <v>19400</v>
      </c>
      <c r="I4615" s="832">
        <v>0</v>
      </c>
      <c r="J4615" s="707">
        <f t="shared" si="959"/>
        <v>0</v>
      </c>
      <c r="K4615" s="708">
        <f t="shared" si="960"/>
        <v>19400</v>
      </c>
      <c r="L4615" s="1083"/>
      <c r="N4615" s="818"/>
      <c r="O4615" s="681"/>
      <c r="P4615" s="673"/>
    </row>
    <row r="4616" spans="1:24" s="760" customFormat="1" ht="23.4">
      <c r="A4616" s="816"/>
      <c r="B4616" s="831" t="s">
        <v>484</v>
      </c>
      <c r="C4616" s="817" t="s">
        <v>858</v>
      </c>
      <c r="D4616" s="899" t="s">
        <v>859</v>
      </c>
      <c r="E4616" s="673">
        <v>2</v>
      </c>
      <c r="F4616" s="674" t="s">
        <v>363</v>
      </c>
      <c r="G4616" s="708">
        <v>17500</v>
      </c>
      <c r="H4616" s="705">
        <f t="shared" si="958"/>
        <v>35000</v>
      </c>
      <c r="I4616" s="832">
        <v>0</v>
      </c>
      <c r="J4616" s="707">
        <f t="shared" si="959"/>
        <v>0</v>
      </c>
      <c r="K4616" s="708">
        <f t="shared" si="960"/>
        <v>35000</v>
      </c>
      <c r="L4616" s="1083"/>
      <c r="N4616" s="818"/>
      <c r="O4616" s="681"/>
      <c r="P4616" s="673"/>
    </row>
    <row r="4617" spans="1:24" s="917" customFormat="1" ht="23.4">
      <c r="A4617" s="816"/>
      <c r="B4617" s="915" t="s">
        <v>484</v>
      </c>
      <c r="C4617" s="703" t="s">
        <v>1084</v>
      </c>
      <c r="D4617" s="899"/>
      <c r="E4617" s="715">
        <v>1</v>
      </c>
      <c r="F4617" s="886" t="s">
        <v>363</v>
      </c>
      <c r="G4617" s="708">
        <v>140000</v>
      </c>
      <c r="H4617" s="705">
        <f t="shared" si="958"/>
        <v>140000</v>
      </c>
      <c r="I4617" s="832">
        <v>0</v>
      </c>
      <c r="J4617" s="707">
        <f t="shared" si="959"/>
        <v>0</v>
      </c>
      <c r="K4617" s="708">
        <f t="shared" si="960"/>
        <v>140000</v>
      </c>
      <c r="L4617" s="1083"/>
      <c r="N4617" s="918"/>
      <c r="O4617" s="714"/>
      <c r="P4617" s="715"/>
    </row>
    <row r="4618" spans="1:24" s="917" customFormat="1" ht="23.4">
      <c r="A4618" s="816"/>
      <c r="B4618" s="831" t="s">
        <v>484</v>
      </c>
      <c r="C4618" s="817" t="s">
        <v>1085</v>
      </c>
      <c r="D4618" s="899"/>
      <c r="E4618" s="673">
        <v>6</v>
      </c>
      <c r="F4618" s="674" t="s">
        <v>363</v>
      </c>
      <c r="G4618" s="708">
        <v>4000</v>
      </c>
      <c r="H4618" s="705">
        <f t="shared" si="958"/>
        <v>24000</v>
      </c>
      <c r="I4618" s="832">
        <v>0</v>
      </c>
      <c r="J4618" s="707">
        <f t="shared" si="959"/>
        <v>0</v>
      </c>
      <c r="K4618" s="708">
        <f t="shared" si="960"/>
        <v>24000</v>
      </c>
      <c r="L4618" s="1083"/>
      <c r="N4618" s="918"/>
      <c r="O4618" s="714"/>
      <c r="P4618" s="715"/>
    </row>
    <row r="4619" spans="1:24" s="917" customFormat="1" ht="23.4">
      <c r="A4619" s="816"/>
      <c r="B4619" s="831"/>
      <c r="C4619" s="817" t="s">
        <v>1086</v>
      </c>
      <c r="D4619" s="899"/>
      <c r="E4619" s="673"/>
      <c r="F4619" s="674"/>
      <c r="G4619" s="708"/>
      <c r="H4619" s="705"/>
      <c r="I4619" s="832"/>
      <c r="J4619" s="707"/>
      <c r="K4619" s="708"/>
      <c r="L4619" s="1083"/>
      <c r="N4619" s="918"/>
      <c r="O4619" s="714"/>
      <c r="P4619" s="715"/>
    </row>
    <row r="4620" spans="1:24" s="760" customFormat="1" ht="23.65" customHeight="1">
      <c r="A4620" s="816"/>
      <c r="B4620" s="915" t="s">
        <v>484</v>
      </c>
      <c r="C4620" s="703" t="s">
        <v>1088</v>
      </c>
      <c r="D4620" s="899"/>
      <c r="E4620" s="715">
        <v>29</v>
      </c>
      <c r="F4620" s="886" t="s">
        <v>363</v>
      </c>
      <c r="G4620" s="708">
        <v>1950</v>
      </c>
      <c r="H4620" s="705">
        <f t="shared" si="958"/>
        <v>56550</v>
      </c>
      <c r="I4620" s="832">
        <v>0</v>
      </c>
      <c r="J4620" s="707">
        <f t="shared" si="959"/>
        <v>0</v>
      </c>
      <c r="K4620" s="708">
        <f t="shared" si="960"/>
        <v>56550</v>
      </c>
      <c r="L4620" s="1083"/>
      <c r="N4620" s="818"/>
      <c r="O4620" s="681"/>
      <c r="P4620" s="673"/>
    </row>
    <row r="4621" spans="1:24" s="760" customFormat="1" ht="23.65" customHeight="1">
      <c r="A4621" s="816"/>
      <c r="B4621" s="831"/>
      <c r="C4621" s="817" t="s">
        <v>1089</v>
      </c>
      <c r="D4621" s="899"/>
      <c r="E4621" s="673"/>
      <c r="F4621" s="674"/>
      <c r="G4621" s="708"/>
      <c r="H4621" s="705">
        <f t="shared" si="958"/>
        <v>0</v>
      </c>
      <c r="I4621" s="832"/>
      <c r="J4621" s="707">
        <f t="shared" si="959"/>
        <v>0</v>
      </c>
      <c r="K4621" s="708">
        <f t="shared" si="960"/>
        <v>0</v>
      </c>
      <c r="L4621" s="1083"/>
      <c r="N4621" s="1159"/>
      <c r="O4621" s="1160"/>
      <c r="P4621" s="1161"/>
    </row>
    <row r="4622" spans="1:24" s="760" customFormat="1" ht="23.65" customHeight="1">
      <c r="A4622" s="816"/>
      <c r="B4622" s="831"/>
      <c r="C4622" s="817" t="s">
        <v>2458</v>
      </c>
      <c r="D4622" s="899"/>
      <c r="E4622" s="673">
        <v>1</v>
      </c>
      <c r="F4622" s="674" t="s">
        <v>2459</v>
      </c>
      <c r="G4622" s="708"/>
      <c r="H4622" s="705">
        <f t="shared" si="958"/>
        <v>0</v>
      </c>
      <c r="I4622" s="832">
        <v>2047119</v>
      </c>
      <c r="J4622" s="707">
        <f t="shared" si="959"/>
        <v>2047119</v>
      </c>
      <c r="K4622" s="708">
        <f t="shared" si="960"/>
        <v>2047119</v>
      </c>
      <c r="L4622" s="1083"/>
      <c r="N4622" s="1159"/>
      <c r="O4622" s="1160"/>
      <c r="P4622" s="1161"/>
    </row>
    <row r="4623" spans="1:24" s="760" customFormat="1" ht="23.4">
      <c r="A4623" s="833"/>
      <c r="B4623" s="2229" t="s">
        <v>581</v>
      </c>
      <c r="C4623" s="2229"/>
      <c r="D4623" s="2229"/>
      <c r="E4623" s="834">
        <v>0</v>
      </c>
      <c r="F4623" s="835"/>
      <c r="G4623" s="836"/>
      <c r="H4623" s="833">
        <f>SUBTOTAL(9,H4600:H4622)</f>
        <v>6823730</v>
      </c>
      <c r="I4623" s="837"/>
      <c r="J4623" s="833">
        <f>SUBTOTAL(9,J4600:J4622)</f>
        <v>2047119</v>
      </c>
      <c r="K4623" s="1107">
        <f>SUM(K4599:K4622)</f>
        <v>8870849</v>
      </c>
      <c r="L4623" s="833"/>
      <c r="N4623" s="838"/>
      <c r="O4623" s="839"/>
      <c r="P4623" s="834"/>
    </row>
    <row r="4624" spans="1:24" s="492" customFormat="1">
      <c r="A4624" s="840"/>
      <c r="E4624" s="841"/>
      <c r="L4624" s="842"/>
      <c r="N4624" s="843"/>
      <c r="O4624" s="844"/>
      <c r="P4624" s="841"/>
      <c r="T4624" s="495"/>
      <c r="U4624" s="495"/>
      <c r="V4624" s="495"/>
      <c r="W4624" s="495"/>
      <c r="X4624" s="495"/>
    </row>
    <row r="4626" spans="1:24" s="492" customFormat="1">
      <c r="A4626" s="845"/>
      <c r="E4626" s="841"/>
      <c r="K4626" s="1108"/>
      <c r="L4626" s="842"/>
      <c r="N4626" s="843"/>
      <c r="O4626" s="844"/>
      <c r="P4626" s="841"/>
      <c r="T4626" s="495"/>
      <c r="U4626" s="495"/>
      <c r="V4626" s="495"/>
      <c r="W4626" s="495"/>
      <c r="X4626" s="495"/>
    </row>
    <row r="4627" spans="1:24" s="492" customFormat="1">
      <c r="A4627" s="845"/>
      <c r="E4627" s="841"/>
      <c r="K4627" s="1108">
        <f>K4626/2</f>
        <v>0</v>
      </c>
      <c r="L4627" s="842"/>
      <c r="N4627" s="843"/>
      <c r="O4627" s="844"/>
      <c r="P4627" s="841"/>
      <c r="T4627" s="495"/>
      <c r="U4627" s="495"/>
      <c r="V4627" s="495"/>
      <c r="W4627" s="495"/>
      <c r="X4627" s="495"/>
    </row>
    <row r="4628" spans="1:24">
      <c r="K4628" s="913"/>
    </row>
  </sheetData>
  <mergeCells count="23">
    <mergeCell ref="B1334:D1334"/>
    <mergeCell ref="L7:L8"/>
    <mergeCell ref="A9:A10"/>
    <mergeCell ref="B9:D10"/>
    <mergeCell ref="E9:E10"/>
    <mergeCell ref="F9:F10"/>
    <mergeCell ref="G9:H9"/>
    <mergeCell ref="I9:J9"/>
    <mergeCell ref="L9:L10"/>
    <mergeCell ref="N9:N10"/>
    <mergeCell ref="P9:P10"/>
    <mergeCell ref="B37:D37"/>
    <mergeCell ref="C48:D48"/>
    <mergeCell ref="B494:D494"/>
    <mergeCell ref="B4538:D4538"/>
    <mergeCell ref="B4598:D4598"/>
    <mergeCell ref="B4623:D4623"/>
    <mergeCell ref="B1569:D1569"/>
    <mergeCell ref="B1600:D1600"/>
    <mergeCell ref="B1940:D1940"/>
    <mergeCell ref="B2086:D2086"/>
    <mergeCell ref="B4428:D4428"/>
    <mergeCell ref="B4433:D4433"/>
  </mergeCells>
  <pageMargins left="0.23622047244094499" right="0.23622047244094499" top="0.74803149606299202" bottom="0.39370078740157499" header="0.31496062992126" footer="0.196850393700787"/>
  <pageSetup paperSize="9" scale="65" fitToHeight="0" orientation="landscape" r:id="rId1"/>
  <headerFooter>
    <oddHeader xml:space="preserve">&amp;Rแผ่นที่ &amp;P ใน &amp;N แผ่น     </oddHeader>
    <oddFooter>&amp;Rงานสถาปัตยกรรม-อาคารทิศตะวันตก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1A1CC-B9A0-43BB-ACC3-0BE934FB9B9F}">
  <sheetPr>
    <tabColor rgb="FF92D050"/>
  </sheetPr>
  <dimension ref="A1:O131"/>
  <sheetViews>
    <sheetView showGridLines="0" view="pageBreakPreview" topLeftCell="A91" zoomScale="85" zoomScaleNormal="60" zoomScaleSheetLayoutView="85" workbookViewId="0">
      <selection activeCell="J116" sqref="J1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" style="1" customWidth="1"/>
    <col min="13" max="13" width="11.29296875" style="1" customWidth="1"/>
    <col min="14" max="14" width="12.87890625" style="1" customWidth="1"/>
    <col min="15" max="89" width="7.703125" style="1" customWidth="1"/>
    <col min="9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1851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531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H66</f>
        <v>171408</v>
      </c>
      <c r="I13" s="1197"/>
      <c r="J13" s="1196">
        <f>J66</f>
        <v>52165</v>
      </c>
      <c r="K13" s="1553">
        <f>SUM(H13:J13)</f>
        <v>223573</v>
      </c>
      <c r="L13" s="1531"/>
    </row>
    <row r="14" spans="1:12" s="1199" customFormat="1" ht="24" customHeight="1">
      <c r="A14" s="1564" t="str">
        <f>A67</f>
        <v>5.2</v>
      </c>
      <c r="B14" s="1565" t="str">
        <f>B67</f>
        <v xml:space="preserve">ระบบระบายน้ำโสโครก น้ำทิ้ง ระบายอากาศ และ ท่อน้ำทิ้งจากห้องครัว </v>
      </c>
      <c r="C14" s="1533"/>
      <c r="D14" s="1534"/>
      <c r="E14" s="1569">
        <v>1</v>
      </c>
      <c r="F14" s="1567" t="s">
        <v>19</v>
      </c>
      <c r="G14" s="1195"/>
      <c r="H14" s="1196">
        <f>H97</f>
        <v>228282</v>
      </c>
      <c r="I14" s="1197"/>
      <c r="J14" s="1196">
        <f>J97</f>
        <v>82023</v>
      </c>
      <c r="K14" s="1553">
        <f>SUM(H14:J14)</f>
        <v>310305</v>
      </c>
      <c r="L14" s="1531"/>
    </row>
    <row r="15" spans="1:12" s="1199" customFormat="1" ht="24" customHeight="1">
      <c r="A15" s="1572">
        <f>A98</f>
        <v>5.3</v>
      </c>
      <c r="B15" s="1573" t="str">
        <f>B98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87881</v>
      </c>
      <c r="I15" s="1230"/>
      <c r="J15" s="1229">
        <f>J109</f>
        <v>30561</v>
      </c>
      <c r="K15" s="1553">
        <f>SUM(H15:J15)</f>
        <v>118442</v>
      </c>
      <c r="L15" s="1628"/>
    </row>
    <row r="16" spans="1:12" s="1199" customFormat="1" ht="24" customHeight="1">
      <c r="A16" s="1564"/>
      <c r="B16" s="1565"/>
      <c r="C16" s="1533"/>
      <c r="D16" s="1534"/>
      <c r="E16" s="1566"/>
      <c r="F16" s="1567"/>
      <c r="G16" s="1195"/>
      <c r="H16" s="1196"/>
      <c r="I16" s="1197"/>
      <c r="J16" s="1196"/>
      <c r="K16" s="1553"/>
      <c r="L16" s="1531"/>
    </row>
    <row r="17" spans="1:12" s="1199" customFormat="1" ht="24" customHeight="1">
      <c r="A17" s="1564"/>
      <c r="B17" s="1565"/>
      <c r="C17" s="1533"/>
      <c r="D17" s="1534"/>
      <c r="E17" s="1566"/>
      <c r="F17" s="1567"/>
      <c r="G17" s="1195"/>
      <c r="H17" s="1196"/>
      <c r="I17" s="1197"/>
      <c r="J17" s="1196"/>
      <c r="K17" s="1553"/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9</v>
      </c>
      <c r="C34" s="2258"/>
      <c r="D34" s="2259"/>
      <c r="E34" s="1579"/>
      <c r="F34" s="1579"/>
      <c r="G34" s="1580"/>
      <c r="H34" s="1581">
        <f>SUM(H12:H33)</f>
        <v>487571</v>
      </c>
      <c r="I34" s="1582"/>
      <c r="J34" s="1581">
        <f>SUM(J12:J33)</f>
        <v>164749</v>
      </c>
      <c r="K34" s="1583">
        <f>SUM(K12:K33)</f>
        <v>652320</v>
      </c>
      <c r="L34" s="1583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330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596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596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269</v>
      </c>
      <c r="F38" s="1567" t="s">
        <v>226</v>
      </c>
      <c r="G38" s="1593">
        <v>35</v>
      </c>
      <c r="H38" s="1264">
        <f t="shared" ref="H38:H46" si="0">ROUND(E38*G38,)</f>
        <v>9415</v>
      </c>
      <c r="I38" s="1595">
        <v>30</v>
      </c>
      <c r="J38" s="1264">
        <f t="shared" ref="J38:J46" si="1">ROUND(E38*I38,)</f>
        <v>8070</v>
      </c>
      <c r="K38" s="1265">
        <f t="shared" ref="K38:K46" si="2">H38+J38</f>
        <v>17485</v>
      </c>
      <c r="L38" s="1596"/>
      <c r="M38" s="1532"/>
      <c r="N38" s="1532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170</v>
      </c>
      <c r="F39" s="1567" t="s">
        <v>226</v>
      </c>
      <c r="G39" s="1593">
        <v>46</v>
      </c>
      <c r="H39" s="1264">
        <f t="shared" si="0"/>
        <v>7820</v>
      </c>
      <c r="I39" s="1595">
        <v>30</v>
      </c>
      <c r="J39" s="1264">
        <f t="shared" si="1"/>
        <v>5100</v>
      </c>
      <c r="K39" s="1265">
        <f t="shared" si="2"/>
        <v>12920</v>
      </c>
      <c r="L39" s="1596"/>
      <c r="M39" s="1532"/>
      <c r="N39" s="1532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13</v>
      </c>
      <c r="F40" s="1567" t="s">
        <v>226</v>
      </c>
      <c r="G40" s="1593">
        <v>113</v>
      </c>
      <c r="H40" s="1264">
        <f t="shared" si="0"/>
        <v>1469</v>
      </c>
      <c r="I40" s="1595">
        <v>50</v>
      </c>
      <c r="J40" s="1264">
        <f t="shared" si="1"/>
        <v>650</v>
      </c>
      <c r="K40" s="1265">
        <f t="shared" si="2"/>
        <v>2119</v>
      </c>
      <c r="L40" s="1596"/>
      <c r="N40" s="1532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28</v>
      </c>
      <c r="F41" s="1567" t="s">
        <v>226</v>
      </c>
      <c r="G41" s="1593">
        <v>193</v>
      </c>
      <c r="H41" s="1264">
        <f t="shared" si="0"/>
        <v>5404</v>
      </c>
      <c r="I41" s="1595">
        <v>75</v>
      </c>
      <c r="J41" s="1264">
        <f t="shared" si="1"/>
        <v>2100</v>
      </c>
      <c r="K41" s="1265">
        <f t="shared" si="2"/>
        <v>7504</v>
      </c>
      <c r="L41" s="1596"/>
      <c r="M41" s="1532"/>
      <c r="N41" s="1532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69</v>
      </c>
      <c r="F42" s="1567" t="s">
        <v>226</v>
      </c>
      <c r="G42" s="1593">
        <v>287</v>
      </c>
      <c r="H42" s="1264">
        <f t="shared" si="0"/>
        <v>19803</v>
      </c>
      <c r="I42" s="1595">
        <v>100</v>
      </c>
      <c r="J42" s="1264">
        <f t="shared" si="1"/>
        <v>6900</v>
      </c>
      <c r="K42" s="1265">
        <f t="shared" si="2"/>
        <v>26703</v>
      </c>
      <c r="L42" s="1596"/>
      <c r="M42" s="1532"/>
      <c r="N42" s="1532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32</v>
      </c>
      <c r="F43" s="1567" t="s">
        <v>226</v>
      </c>
      <c r="G43" s="1593">
        <v>562</v>
      </c>
      <c r="H43" s="1264">
        <f>ROUND(E43*G43,)</f>
        <v>17984</v>
      </c>
      <c r="I43" s="1595">
        <v>120</v>
      </c>
      <c r="J43" s="1264">
        <f>ROUND(E43*I43,)</f>
        <v>3840</v>
      </c>
      <c r="K43" s="1273">
        <f>H43+J43</f>
        <v>21824</v>
      </c>
      <c r="L43" s="1596"/>
      <c r="M43" s="1532"/>
      <c r="N43" s="1532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SUM(H38:H43)*50%</f>
        <v>30947.5</v>
      </c>
      <c r="H44" s="1264">
        <f t="shared" si="0"/>
        <v>30948</v>
      </c>
      <c r="I44" s="1595">
        <f>ROUND(G44*0.3,)</f>
        <v>9284</v>
      </c>
      <c r="J44" s="1264">
        <f t="shared" si="1"/>
        <v>9284</v>
      </c>
      <c r="K44" s="1265">
        <f t="shared" si="2"/>
        <v>40232</v>
      </c>
      <c r="L44" s="1596"/>
      <c r="M44" s="1532"/>
      <c r="N44" s="1532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ROUND(SUM(H38:H43)*20%,)</f>
        <v>12379</v>
      </c>
      <c r="H45" s="1264">
        <f t="shared" si="0"/>
        <v>12379</v>
      </c>
      <c r="I45" s="1595">
        <f>ROUND(G45*0.3,)</f>
        <v>3714</v>
      </c>
      <c r="J45" s="1264">
        <f t="shared" si="1"/>
        <v>3714</v>
      </c>
      <c r="K45" s="1265">
        <f t="shared" si="2"/>
        <v>16093</v>
      </c>
      <c r="L45" s="1596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ROUND(SUM(H38:H43)*10%,)</f>
        <v>6190</v>
      </c>
      <c r="H46" s="1264">
        <f t="shared" si="0"/>
        <v>6190</v>
      </c>
      <c r="I46" s="1595">
        <f>ROUND(G46*0.3,)</f>
        <v>1857</v>
      </c>
      <c r="J46" s="1264">
        <f t="shared" si="1"/>
        <v>1857</v>
      </c>
      <c r="K46" s="1265">
        <f t="shared" si="2"/>
        <v>8047</v>
      </c>
      <c r="L46" s="1596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596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2</v>
      </c>
      <c r="F48" s="1567" t="s">
        <v>363</v>
      </c>
      <c r="G48" s="1593">
        <v>880</v>
      </c>
      <c r="H48" s="1264">
        <f t="shared" ref="H48:H49" si="3">ROUND(E48*G48,)</f>
        <v>1760</v>
      </c>
      <c r="I48" s="1595">
        <v>150</v>
      </c>
      <c r="J48" s="1264">
        <f t="shared" ref="J48:J49" si="4">ROUND(E48*I48,)</f>
        <v>300</v>
      </c>
      <c r="K48" s="1265">
        <f t="shared" ref="K48:K49" si="5">H48+J48</f>
        <v>2060</v>
      </c>
      <c r="L48" s="2082" t="s">
        <v>2667</v>
      </c>
    </row>
    <row r="49" spans="1:12" s="1199" customFormat="1" ht="24" customHeight="1">
      <c r="A49" s="1564"/>
      <c r="B49" s="1565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</row>
    <row r="50" spans="1:12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596"/>
    </row>
    <row r="51" spans="1:12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65">
        <f>H51+J51</f>
        <v>24460</v>
      </c>
      <c r="L51" s="1596"/>
    </row>
    <row r="52" spans="1:12" s="1199" customFormat="1" ht="24" customHeight="1">
      <c r="A52" s="1564"/>
      <c r="B52" s="1597" t="s">
        <v>1716</v>
      </c>
      <c r="C52" s="1533"/>
      <c r="D52" s="1534"/>
      <c r="E52" s="1566">
        <v>4</v>
      </c>
      <c r="F52" s="1567" t="s">
        <v>363</v>
      </c>
      <c r="G52" s="1593">
        <v>2218</v>
      </c>
      <c r="H52" s="1264">
        <f>ROUND(E52*G52,)</f>
        <v>8872</v>
      </c>
      <c r="I52" s="1595">
        <v>600</v>
      </c>
      <c r="J52" s="1264">
        <f>ROUND(E52*I52,)</f>
        <v>2400</v>
      </c>
      <c r="K52" s="1273">
        <f>H52+J52</f>
        <v>11272</v>
      </c>
      <c r="L52" s="1596"/>
    </row>
    <row r="53" spans="1:12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596"/>
    </row>
    <row r="54" spans="1:12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273"/>
    </row>
    <row r="55" spans="1:12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596"/>
    </row>
    <row r="56" spans="1:12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596"/>
    </row>
    <row r="57" spans="1:12" s="1199" customFormat="1" ht="24" customHeight="1">
      <c r="A57" s="1564"/>
      <c r="B57" s="1565" t="s">
        <v>1823</v>
      </c>
      <c r="C57" s="1533"/>
      <c r="D57" s="1534"/>
      <c r="E57" s="1566">
        <v>6</v>
      </c>
      <c r="F57" s="1567" t="s">
        <v>363</v>
      </c>
      <c r="G57" s="1603">
        <v>210</v>
      </c>
      <c r="H57" s="1264">
        <f>ROUND(E57*G57,)</f>
        <v>1260</v>
      </c>
      <c r="I57" s="1595">
        <v>100</v>
      </c>
      <c r="J57" s="1264">
        <f>ROUND(E57*I57,)</f>
        <v>600</v>
      </c>
      <c r="K57" s="1265">
        <f>H57+J57</f>
        <v>1860</v>
      </c>
      <c r="L57" s="1596"/>
    </row>
    <row r="58" spans="1:12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596"/>
    </row>
    <row r="59" spans="1:12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596"/>
    </row>
    <row r="60" spans="1:12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596"/>
    </row>
    <row r="61" spans="1:12" s="1199" customFormat="1" ht="24" customHeight="1">
      <c r="A61" s="1564"/>
      <c r="B61" s="1597" t="s">
        <v>1823</v>
      </c>
      <c r="C61" s="1533"/>
      <c r="D61" s="1534"/>
      <c r="E61" s="1566">
        <v>6</v>
      </c>
      <c r="F61" s="1567" t="s">
        <v>363</v>
      </c>
      <c r="G61" s="1593">
        <v>120</v>
      </c>
      <c r="H61" s="1264">
        <f>ROUND(E61*G61,)</f>
        <v>720</v>
      </c>
      <c r="I61" s="1595">
        <v>50</v>
      </c>
      <c r="J61" s="1264">
        <f>ROUND(I61*E61,)</f>
        <v>300</v>
      </c>
      <c r="K61" s="1273">
        <f>H61+J61</f>
        <v>1020</v>
      </c>
      <c r="L61" s="1596"/>
    </row>
    <row r="62" spans="1:12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596"/>
    </row>
    <row r="63" spans="1:12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596"/>
    </row>
    <row r="64" spans="1:12" s="1199" customFormat="1" ht="24" customHeight="1">
      <c r="A64" s="1564"/>
      <c r="B64" s="1597"/>
      <c r="C64" s="1533"/>
      <c r="D64" s="1534"/>
      <c r="E64" s="1566"/>
      <c r="F64" s="1567"/>
      <c r="G64" s="1593"/>
      <c r="H64" s="1264"/>
      <c r="I64" s="1595"/>
      <c r="J64" s="1264"/>
      <c r="K64" s="1273"/>
      <c r="L64" s="1596"/>
    </row>
    <row r="65" spans="1:15" s="1199" customFormat="1" ht="24" customHeight="1">
      <c r="A65" s="1564"/>
      <c r="B65" s="1597"/>
      <c r="C65" s="1533"/>
      <c r="D65" s="1534"/>
      <c r="E65" s="1566"/>
      <c r="F65" s="1567"/>
      <c r="G65" s="1593"/>
      <c r="H65" s="1264"/>
      <c r="I65" s="1595"/>
      <c r="J65" s="1264"/>
      <c r="K65" s="1273"/>
      <c r="L65" s="1596"/>
      <c r="M65" s="1532"/>
      <c r="N65" s="1532"/>
    </row>
    <row r="66" spans="1:15" s="1199" customFormat="1" ht="24" customHeight="1">
      <c r="A66" s="1578"/>
      <c r="B66" s="2257" t="str">
        <f>"รวมราคารายการที่ "&amp;A36</f>
        <v>รวมราคารายการที่ 5.1</v>
      </c>
      <c r="C66" s="2258"/>
      <c r="D66" s="2259"/>
      <c r="E66" s="1579"/>
      <c r="F66" s="1579"/>
      <c r="G66" s="1580"/>
      <c r="H66" s="1581">
        <f>SUM(H37:H65)</f>
        <v>171408</v>
      </c>
      <c r="I66" s="1582"/>
      <c r="J66" s="1581">
        <f>SUM(J36:J65)</f>
        <v>52165</v>
      </c>
      <c r="K66" s="1583">
        <f>SUM(K36:K65)</f>
        <v>223573</v>
      </c>
      <c r="L66" s="1583"/>
      <c r="M66" s="1532"/>
      <c r="N66" s="1532"/>
    </row>
    <row r="67" spans="1:15" s="1199" customFormat="1" ht="24" customHeight="1">
      <c r="A67" s="1605" t="s">
        <v>1744</v>
      </c>
      <c r="B67" s="1606" t="s">
        <v>1745</v>
      </c>
      <c r="C67" s="1607"/>
      <c r="D67" s="1608"/>
      <c r="E67" s="1609"/>
      <c r="F67" s="1610"/>
      <c r="G67" s="1611"/>
      <c r="H67" s="1612"/>
      <c r="I67" s="1613"/>
      <c r="J67" s="1612"/>
      <c r="K67" s="1614"/>
      <c r="L67" s="1614"/>
      <c r="M67" s="1532"/>
      <c r="N67" s="1532"/>
    </row>
    <row r="68" spans="1:15" s="1199" customFormat="1" ht="24" customHeight="1">
      <c r="A68" s="1572" t="s">
        <v>1746</v>
      </c>
      <c r="B68" s="1597" t="s">
        <v>1839</v>
      </c>
      <c r="C68" s="1533"/>
      <c r="D68" s="1534"/>
      <c r="E68" s="1566"/>
      <c r="F68" s="1567"/>
      <c r="G68" s="1516"/>
      <c r="H68" s="1264"/>
      <c r="I68" s="1265"/>
      <c r="J68" s="1264"/>
      <c r="K68" s="1273"/>
      <c r="L68" s="1273"/>
    </row>
    <row r="69" spans="1:15" s="1199" customFormat="1" ht="24" customHeight="1">
      <c r="A69" s="1564"/>
      <c r="B69" s="1597" t="s">
        <v>1340</v>
      </c>
      <c r="C69" s="1533"/>
      <c r="D69" s="1534"/>
      <c r="E69" s="1566">
        <v>192</v>
      </c>
      <c r="F69" s="1567" t="s">
        <v>226</v>
      </c>
      <c r="G69" s="1516">
        <v>127</v>
      </c>
      <c r="H69" s="1264">
        <f t="shared" ref="H69:H75" si="6">ROUND(E69*G69,)</f>
        <v>24384</v>
      </c>
      <c r="I69" s="1265">
        <v>40</v>
      </c>
      <c r="J69" s="1264">
        <f t="shared" ref="J69:J75" si="7">ROUND(I69*E69,)</f>
        <v>7680</v>
      </c>
      <c r="K69" s="1273">
        <f t="shared" ref="K69:K75" si="8">H69+J69</f>
        <v>32064</v>
      </c>
      <c r="L69" s="1596"/>
    </row>
    <row r="70" spans="1:15" s="1199" customFormat="1" ht="24" customHeight="1">
      <c r="A70" s="1564"/>
      <c r="B70" s="1597" t="s">
        <v>1342</v>
      </c>
      <c r="C70" s="1533"/>
      <c r="D70" s="1534"/>
      <c r="E70" s="1566">
        <v>41</v>
      </c>
      <c r="F70" s="1567" t="s">
        <v>226</v>
      </c>
      <c r="G70" s="1516">
        <v>258</v>
      </c>
      <c r="H70" s="1264">
        <f t="shared" si="6"/>
        <v>10578</v>
      </c>
      <c r="I70" s="1265">
        <v>75</v>
      </c>
      <c r="J70" s="1264">
        <f t="shared" si="7"/>
        <v>3075</v>
      </c>
      <c r="K70" s="1273">
        <f t="shared" si="8"/>
        <v>13653</v>
      </c>
      <c r="L70" s="1596"/>
    </row>
    <row r="71" spans="1:15" s="1199" customFormat="1" ht="24" customHeight="1">
      <c r="A71" s="1564"/>
      <c r="B71" s="1597" t="s">
        <v>1759</v>
      </c>
      <c r="C71" s="1533"/>
      <c r="D71" s="1534"/>
      <c r="E71" s="1566">
        <v>117</v>
      </c>
      <c r="F71" s="1567" t="s">
        <v>226</v>
      </c>
      <c r="G71" s="1516">
        <v>395</v>
      </c>
      <c r="H71" s="1264">
        <f t="shared" si="6"/>
        <v>46215</v>
      </c>
      <c r="I71" s="1265">
        <v>120</v>
      </c>
      <c r="J71" s="1264">
        <f t="shared" si="7"/>
        <v>14040</v>
      </c>
      <c r="K71" s="1273">
        <f t="shared" si="8"/>
        <v>60255</v>
      </c>
      <c r="L71" s="1596"/>
    </row>
    <row r="72" spans="1:15" s="1199" customFormat="1" ht="24" customHeight="1">
      <c r="A72" s="1564"/>
      <c r="B72" s="1597" t="s">
        <v>1754</v>
      </c>
      <c r="C72" s="1533"/>
      <c r="D72" s="1534"/>
      <c r="E72" s="1566">
        <v>32</v>
      </c>
      <c r="F72" s="1567" t="s">
        <v>226</v>
      </c>
      <c r="G72" s="1516">
        <v>789</v>
      </c>
      <c r="H72" s="1264">
        <f t="shared" si="6"/>
        <v>25248</v>
      </c>
      <c r="I72" s="1265">
        <v>250</v>
      </c>
      <c r="J72" s="1264">
        <f t="shared" si="7"/>
        <v>8000</v>
      </c>
      <c r="K72" s="1273">
        <f t="shared" si="8"/>
        <v>33248</v>
      </c>
      <c r="L72" s="1596"/>
      <c r="N72" s="1532"/>
    </row>
    <row r="73" spans="1:15" s="1199" customFormat="1" ht="24" customHeight="1">
      <c r="A73" s="1564"/>
      <c r="B73" s="1597" t="s">
        <v>1719</v>
      </c>
      <c r="C73" s="1533"/>
      <c r="D73" s="1534"/>
      <c r="E73" s="1566">
        <v>1</v>
      </c>
      <c r="F73" s="1567" t="s">
        <v>1104</v>
      </c>
      <c r="G73" s="1516">
        <f>ROUND(SUM(H69:H72)*40%,)</f>
        <v>42570</v>
      </c>
      <c r="H73" s="1264">
        <f t="shared" si="6"/>
        <v>42570</v>
      </c>
      <c r="I73" s="1595">
        <f>ROUND(G73*0.3,)</f>
        <v>12771</v>
      </c>
      <c r="J73" s="1264">
        <f t="shared" si="7"/>
        <v>12771</v>
      </c>
      <c r="K73" s="1273">
        <f t="shared" si="8"/>
        <v>55341</v>
      </c>
      <c r="L73" s="1273"/>
      <c r="N73" s="1532"/>
    </row>
    <row r="74" spans="1:15" s="1199" customFormat="1" ht="24" customHeight="1">
      <c r="A74" s="1564"/>
      <c r="B74" s="1597" t="s">
        <v>1720</v>
      </c>
      <c r="C74" s="1533"/>
      <c r="D74" s="1534"/>
      <c r="E74" s="1566">
        <v>1</v>
      </c>
      <c r="F74" s="1567" t="s">
        <v>1104</v>
      </c>
      <c r="G74" s="1516">
        <f>ROUND(SUM(H69:H72)*20%,)</f>
        <v>21285</v>
      </c>
      <c r="H74" s="1264">
        <f t="shared" si="6"/>
        <v>21285</v>
      </c>
      <c r="I74" s="1595">
        <f>ROUND(G74*0.3,)</f>
        <v>6386</v>
      </c>
      <c r="J74" s="1264">
        <f t="shared" si="7"/>
        <v>6386</v>
      </c>
      <c r="K74" s="1273">
        <f t="shared" si="8"/>
        <v>27671</v>
      </c>
      <c r="L74" s="1273"/>
      <c r="M74" s="1532"/>
      <c r="N74" s="1532"/>
    </row>
    <row r="75" spans="1:15" s="1199" customFormat="1" ht="24" customHeight="1">
      <c r="A75" s="1564"/>
      <c r="B75" s="1597" t="s">
        <v>1756</v>
      </c>
      <c r="C75" s="1533"/>
      <c r="D75" s="1534"/>
      <c r="E75" s="1566">
        <v>1</v>
      </c>
      <c r="F75" s="1567" t="s">
        <v>1104</v>
      </c>
      <c r="G75" s="1516">
        <f>ROUND(SUM(H69:H72)*10%,)</f>
        <v>10643</v>
      </c>
      <c r="H75" s="1264">
        <f t="shared" si="6"/>
        <v>10643</v>
      </c>
      <c r="I75" s="1595">
        <f>ROUND(G75*0.3,)</f>
        <v>3193</v>
      </c>
      <c r="J75" s="1264">
        <f t="shared" si="7"/>
        <v>3193</v>
      </c>
      <c r="K75" s="1273">
        <f t="shared" si="8"/>
        <v>13836</v>
      </c>
      <c r="L75" s="1273"/>
      <c r="M75" s="1532"/>
      <c r="N75" s="1532"/>
    </row>
    <row r="76" spans="1:15" s="1199" customFormat="1" ht="24" customHeight="1">
      <c r="A76" s="1572" t="s">
        <v>1752</v>
      </c>
      <c r="B76" s="1597" t="s">
        <v>1831</v>
      </c>
      <c r="C76" s="1533"/>
      <c r="D76" s="1534"/>
      <c r="E76" s="1566"/>
      <c r="F76" s="1567"/>
      <c r="G76" s="1516"/>
      <c r="H76" s="1264"/>
      <c r="I76" s="1265"/>
      <c r="J76" s="1264"/>
      <c r="K76" s="1273"/>
      <c r="L76" s="1273"/>
      <c r="M76" s="1532"/>
      <c r="N76" s="1532"/>
    </row>
    <row r="77" spans="1:15" s="1199" customFormat="1" ht="24" customHeight="1">
      <c r="A77" s="1564"/>
      <c r="B77" s="1597" t="s">
        <v>1338</v>
      </c>
      <c r="C77" s="1533"/>
      <c r="D77" s="1534"/>
      <c r="E77" s="1566">
        <v>110</v>
      </c>
      <c r="F77" s="1567" t="s">
        <v>226</v>
      </c>
      <c r="G77" s="1516">
        <v>20</v>
      </c>
      <c r="H77" s="1264">
        <f t="shared" ref="H77:H84" si="9">ROUND(E77*G77,)</f>
        <v>2200</v>
      </c>
      <c r="I77" s="1265">
        <v>30</v>
      </c>
      <c r="J77" s="1264">
        <f t="shared" ref="J77:J84" si="10">ROUND(I77*E77,)</f>
        <v>3300</v>
      </c>
      <c r="K77" s="1273">
        <f t="shared" ref="K77:K84" si="11">H77+J77</f>
        <v>5500</v>
      </c>
      <c r="L77" s="2082" t="s">
        <v>2667</v>
      </c>
      <c r="N77" s="1199">
        <v>79.17</v>
      </c>
      <c r="O77" s="1199">
        <f>ROUND(N77/4,)</f>
        <v>20</v>
      </c>
    </row>
    <row r="78" spans="1:15" s="1199" customFormat="1" ht="24" customHeight="1">
      <c r="A78" s="1564"/>
      <c r="B78" s="1597" t="s">
        <v>1339</v>
      </c>
      <c r="C78" s="1533"/>
      <c r="D78" s="1534"/>
      <c r="E78" s="1566">
        <v>22</v>
      </c>
      <c r="F78" s="1567" t="s">
        <v>226</v>
      </c>
      <c r="G78" s="1516">
        <v>26</v>
      </c>
      <c r="H78" s="1264">
        <f t="shared" si="9"/>
        <v>572</v>
      </c>
      <c r="I78" s="1265">
        <v>30</v>
      </c>
      <c r="J78" s="1264">
        <f t="shared" si="10"/>
        <v>660</v>
      </c>
      <c r="K78" s="1273">
        <f t="shared" si="11"/>
        <v>1232</v>
      </c>
      <c r="L78" s="2082" t="s">
        <v>2667</v>
      </c>
      <c r="N78" s="1199">
        <v>103.74</v>
      </c>
      <c r="O78" s="1199">
        <f t="shared" ref="O78:O81" si="12">ROUND(N78/4,)</f>
        <v>26</v>
      </c>
    </row>
    <row r="79" spans="1:15" s="1199" customFormat="1" ht="24" customHeight="1">
      <c r="A79" s="1564"/>
      <c r="B79" s="1597" t="s">
        <v>1340</v>
      </c>
      <c r="C79" s="1533"/>
      <c r="D79" s="1534"/>
      <c r="E79" s="1566">
        <v>36</v>
      </c>
      <c r="F79" s="1567" t="s">
        <v>226</v>
      </c>
      <c r="G79" s="1516">
        <v>41</v>
      </c>
      <c r="H79" s="1264">
        <f t="shared" si="9"/>
        <v>1476</v>
      </c>
      <c r="I79" s="1265">
        <v>40</v>
      </c>
      <c r="J79" s="1264">
        <f t="shared" si="10"/>
        <v>1440</v>
      </c>
      <c r="K79" s="1273">
        <f t="shared" si="11"/>
        <v>2916</v>
      </c>
      <c r="L79" s="2082" t="s">
        <v>2667</v>
      </c>
      <c r="N79" s="1199">
        <v>163.80000000000001</v>
      </c>
      <c r="O79" s="1199">
        <f t="shared" si="12"/>
        <v>41</v>
      </c>
    </row>
    <row r="80" spans="1:15" s="1199" customFormat="1" ht="24" customHeight="1">
      <c r="A80" s="1564"/>
      <c r="B80" s="1597" t="s">
        <v>1341</v>
      </c>
      <c r="C80" s="1533"/>
      <c r="D80" s="1534"/>
      <c r="E80" s="1566">
        <v>27</v>
      </c>
      <c r="F80" s="1567" t="s">
        <v>226</v>
      </c>
      <c r="G80" s="1516">
        <v>65</v>
      </c>
      <c r="H80" s="1264">
        <f t="shared" si="9"/>
        <v>1755</v>
      </c>
      <c r="I80" s="1265">
        <v>50</v>
      </c>
      <c r="J80" s="1264">
        <f t="shared" si="10"/>
        <v>1350</v>
      </c>
      <c r="K80" s="1273">
        <f t="shared" si="11"/>
        <v>3105</v>
      </c>
      <c r="L80" s="2082" t="s">
        <v>2667</v>
      </c>
      <c r="N80" s="1199">
        <v>259.35000000000002</v>
      </c>
      <c r="O80" s="1199">
        <f t="shared" si="12"/>
        <v>65</v>
      </c>
    </row>
    <row r="81" spans="1:15" s="1199" customFormat="1" ht="24" customHeight="1">
      <c r="A81" s="1564"/>
      <c r="B81" s="1597" t="s">
        <v>1342</v>
      </c>
      <c r="C81" s="1533"/>
      <c r="D81" s="1534"/>
      <c r="E81" s="1566">
        <v>92</v>
      </c>
      <c r="F81" s="1567" t="s">
        <v>226</v>
      </c>
      <c r="G81" s="1516">
        <v>90</v>
      </c>
      <c r="H81" s="1264">
        <f t="shared" si="9"/>
        <v>8280</v>
      </c>
      <c r="I81" s="1265">
        <v>75</v>
      </c>
      <c r="J81" s="1264">
        <f t="shared" si="10"/>
        <v>6900</v>
      </c>
      <c r="K81" s="1273">
        <f t="shared" si="11"/>
        <v>15180</v>
      </c>
      <c r="L81" s="2082" t="s">
        <v>2667</v>
      </c>
      <c r="N81" s="1199">
        <v>359.45</v>
      </c>
      <c r="O81" s="1199">
        <f t="shared" si="12"/>
        <v>90</v>
      </c>
    </row>
    <row r="82" spans="1:15" s="1199" customFormat="1" ht="24" customHeight="1">
      <c r="A82" s="1564"/>
      <c r="B82" s="1597" t="s">
        <v>1719</v>
      </c>
      <c r="C82" s="1533"/>
      <c r="D82" s="1534"/>
      <c r="E82" s="1566">
        <v>1</v>
      </c>
      <c r="F82" s="1567" t="s">
        <v>1104</v>
      </c>
      <c r="G82" s="1516">
        <f>ROUND(SUM(H77:H81)*40%,)</f>
        <v>5713</v>
      </c>
      <c r="H82" s="1264">
        <f t="shared" si="9"/>
        <v>5713</v>
      </c>
      <c r="I82" s="1595">
        <f>ROUND(G82*0.3,)</f>
        <v>1714</v>
      </c>
      <c r="J82" s="1264">
        <f t="shared" si="10"/>
        <v>1714</v>
      </c>
      <c r="K82" s="1273">
        <f t="shared" si="11"/>
        <v>7427</v>
      </c>
      <c r="L82" s="1596"/>
    </row>
    <row r="83" spans="1:15" s="1199" customFormat="1" ht="24" customHeight="1">
      <c r="A83" s="1564"/>
      <c r="B83" s="1597" t="s">
        <v>1720</v>
      </c>
      <c r="C83" s="1533"/>
      <c r="D83" s="1534"/>
      <c r="E83" s="1566">
        <v>1</v>
      </c>
      <c r="F83" s="1567" t="s">
        <v>1104</v>
      </c>
      <c r="G83" s="1516">
        <f>ROUND(SUM(H77:H81)*30%,)</f>
        <v>4285</v>
      </c>
      <c r="H83" s="1264">
        <f t="shared" si="9"/>
        <v>4285</v>
      </c>
      <c r="I83" s="1595">
        <f>ROUND(G83*0.3,)</f>
        <v>1286</v>
      </c>
      <c r="J83" s="1264">
        <f t="shared" si="10"/>
        <v>1286</v>
      </c>
      <c r="K83" s="1273">
        <f t="shared" si="11"/>
        <v>5571</v>
      </c>
      <c r="L83" s="1273"/>
    </row>
    <row r="84" spans="1:15" s="1199" customFormat="1" ht="24" customHeight="1">
      <c r="A84" s="1564"/>
      <c r="B84" s="1597" t="s">
        <v>1756</v>
      </c>
      <c r="C84" s="1533"/>
      <c r="D84" s="1534"/>
      <c r="E84" s="1566">
        <v>1</v>
      </c>
      <c r="F84" s="1567" t="s">
        <v>1104</v>
      </c>
      <c r="G84" s="1516">
        <f>ROUND(SUM(H77:H81)*10%,)</f>
        <v>1428</v>
      </c>
      <c r="H84" s="1264">
        <f t="shared" si="9"/>
        <v>1428</v>
      </c>
      <c r="I84" s="1595">
        <f>ROUND(G84*0.3,)</f>
        <v>428</v>
      </c>
      <c r="J84" s="1264">
        <f t="shared" si="10"/>
        <v>428</v>
      </c>
      <c r="K84" s="1273">
        <f t="shared" si="11"/>
        <v>1856</v>
      </c>
      <c r="L84" s="1273"/>
    </row>
    <row r="85" spans="1:15" s="1199" customFormat="1" ht="24" customHeight="1">
      <c r="A85" s="1564" t="s">
        <v>1757</v>
      </c>
      <c r="B85" s="1597" t="s">
        <v>1832</v>
      </c>
      <c r="C85" s="1533"/>
      <c r="D85" s="1534"/>
      <c r="E85" s="1566"/>
      <c r="F85" s="1567"/>
      <c r="G85" s="1516"/>
      <c r="H85" s="1264"/>
      <c r="I85" s="1265"/>
      <c r="J85" s="1264"/>
      <c r="K85" s="1273"/>
      <c r="L85" s="1273"/>
    </row>
    <row r="86" spans="1:15" s="1199" customFormat="1" ht="24" customHeight="1">
      <c r="A86" s="1564"/>
      <c r="B86" s="1597" t="s">
        <v>1340</v>
      </c>
      <c r="C86" s="1533"/>
      <c r="D86" s="1534"/>
      <c r="E86" s="1566">
        <v>34</v>
      </c>
      <c r="F86" s="1567" t="s">
        <v>363</v>
      </c>
      <c r="G86" s="1516">
        <f>ROUND(665*0.7,)</f>
        <v>466</v>
      </c>
      <c r="H86" s="1264">
        <f>ROUND(E86*G86,)</f>
        <v>15844</v>
      </c>
      <c r="I86" s="1265">
        <v>200</v>
      </c>
      <c r="J86" s="1264">
        <f>ROUND(I86*E86,)</f>
        <v>6800</v>
      </c>
      <c r="K86" s="1273">
        <f>H86+J86</f>
        <v>22644</v>
      </c>
      <c r="L86" s="1273"/>
    </row>
    <row r="87" spans="1:15" s="1199" customFormat="1" ht="24" customHeight="1">
      <c r="A87" s="1564" t="s">
        <v>1760</v>
      </c>
      <c r="B87" s="1597" t="s">
        <v>1780</v>
      </c>
      <c r="C87" s="1533"/>
      <c r="D87" s="1534"/>
      <c r="E87" s="1566"/>
      <c r="F87" s="1567"/>
      <c r="G87" s="1516"/>
      <c r="H87" s="1264"/>
      <c r="I87" s="1265"/>
      <c r="J87" s="1264"/>
      <c r="K87" s="1273"/>
      <c r="L87" s="1273"/>
    </row>
    <row r="88" spans="1:15" s="1199" customFormat="1" ht="24" customHeight="1">
      <c r="A88" s="1564"/>
      <c r="B88" s="1597" t="s">
        <v>1340</v>
      </c>
      <c r="C88" s="1533"/>
      <c r="D88" s="1534"/>
      <c r="E88" s="1566">
        <v>10</v>
      </c>
      <c r="F88" s="1567" t="s">
        <v>363</v>
      </c>
      <c r="G88" s="1516">
        <f>ROUND(240*0.75,)</f>
        <v>180</v>
      </c>
      <c r="H88" s="1264">
        <f>ROUND(E88*G88,)</f>
        <v>1800</v>
      </c>
      <c r="I88" s="1265">
        <v>100</v>
      </c>
      <c r="J88" s="1264">
        <f>ROUND(I88*E88,)</f>
        <v>1000</v>
      </c>
      <c r="K88" s="1273">
        <f>H88+J88</f>
        <v>2800</v>
      </c>
      <c r="L88" s="1273"/>
    </row>
    <row r="89" spans="1:15" s="1199" customFormat="1" ht="24" customHeight="1">
      <c r="A89" s="1564"/>
      <c r="B89" s="1597" t="s">
        <v>1342</v>
      </c>
      <c r="C89" s="1533"/>
      <c r="D89" s="1534"/>
      <c r="E89" s="1566">
        <v>4</v>
      </c>
      <c r="F89" s="1567" t="s">
        <v>363</v>
      </c>
      <c r="G89" s="1516">
        <f>ROUND(360*0.75,)</f>
        <v>270</v>
      </c>
      <c r="H89" s="1264">
        <f>ROUND(E89*G89,)</f>
        <v>1080</v>
      </c>
      <c r="I89" s="1265">
        <v>150</v>
      </c>
      <c r="J89" s="1264">
        <f>ROUND(I89*E89,)</f>
        <v>600</v>
      </c>
      <c r="K89" s="1273">
        <f>H89+J89</f>
        <v>1680</v>
      </c>
      <c r="L89" s="1273"/>
    </row>
    <row r="90" spans="1:15" s="1199" customFormat="1" ht="24" customHeight="1">
      <c r="A90" s="1637"/>
      <c r="B90" s="1597" t="s">
        <v>1759</v>
      </c>
      <c r="C90" s="1533"/>
      <c r="D90" s="1534"/>
      <c r="E90" s="1566">
        <v>4</v>
      </c>
      <c r="F90" s="1567" t="s">
        <v>363</v>
      </c>
      <c r="G90" s="1516">
        <f>ROUND(500*0.75,)</f>
        <v>375</v>
      </c>
      <c r="H90" s="1264">
        <f>ROUND(E90*G90,)</f>
        <v>1500</v>
      </c>
      <c r="I90" s="1265">
        <v>200</v>
      </c>
      <c r="J90" s="1264">
        <f>ROUND(I90*E90,)</f>
        <v>800</v>
      </c>
      <c r="K90" s="1273">
        <f>H90+J90</f>
        <v>2300</v>
      </c>
      <c r="L90" s="1273"/>
    </row>
    <row r="91" spans="1:15" s="1199" customFormat="1" ht="24" customHeight="1">
      <c r="A91" s="1564"/>
      <c r="B91" s="1597" t="s">
        <v>1754</v>
      </c>
      <c r="C91" s="1533"/>
      <c r="D91" s="1534"/>
      <c r="E91" s="1566">
        <v>2</v>
      </c>
      <c r="F91" s="1567" t="s">
        <v>363</v>
      </c>
      <c r="G91" s="1516">
        <f>ROUND(950*0.75,)</f>
        <v>713</v>
      </c>
      <c r="H91" s="1264">
        <f>ROUND(E91*G91,)</f>
        <v>1426</v>
      </c>
      <c r="I91" s="1265">
        <v>300</v>
      </c>
      <c r="J91" s="1264">
        <f>ROUND(I91*E91,)</f>
        <v>600</v>
      </c>
      <c r="K91" s="1273">
        <f>H91+J91</f>
        <v>2026</v>
      </c>
      <c r="L91" s="1273"/>
    </row>
    <row r="92" spans="1:15" s="1199" customFormat="1" ht="24" customHeight="1">
      <c r="A92" s="1564"/>
      <c r="B92" s="1565"/>
      <c r="C92" s="1533"/>
      <c r="D92" s="1604"/>
      <c r="E92" s="1566"/>
      <c r="F92" s="1534"/>
      <c r="G92" s="1516"/>
      <c r="H92" s="1264"/>
      <c r="I92" s="1265"/>
      <c r="J92" s="1264"/>
      <c r="K92" s="1273"/>
      <c r="L92" s="1273"/>
    </row>
    <row r="93" spans="1:15" s="1199" customFormat="1" ht="24" customHeight="1">
      <c r="A93" s="1564"/>
      <c r="B93" s="1565"/>
      <c r="C93" s="1533"/>
      <c r="D93" s="1604"/>
      <c r="E93" s="1566"/>
      <c r="F93" s="1534"/>
      <c r="G93" s="1516"/>
      <c r="H93" s="1264"/>
      <c r="I93" s="1265"/>
      <c r="J93" s="1264"/>
      <c r="K93" s="1273"/>
      <c r="L93" s="1273"/>
    </row>
    <row r="94" spans="1:15" s="1199" customFormat="1" ht="24" customHeight="1">
      <c r="A94" s="1564"/>
      <c r="B94" s="1565"/>
      <c r="C94" s="1533"/>
      <c r="D94" s="1604"/>
      <c r="E94" s="1566"/>
      <c r="F94" s="1534"/>
      <c r="G94" s="1516"/>
      <c r="H94" s="1264"/>
      <c r="I94" s="1265"/>
      <c r="J94" s="1264"/>
      <c r="K94" s="1273"/>
      <c r="L94" s="1273"/>
    </row>
    <row r="95" spans="1:15" s="1199" customFormat="1" ht="24" customHeight="1">
      <c r="A95" s="1564"/>
      <c r="B95" s="1565"/>
      <c r="C95" s="1533"/>
      <c r="D95" s="1604"/>
      <c r="E95" s="1566"/>
      <c r="F95" s="1534"/>
      <c r="G95" s="1516"/>
      <c r="H95" s="1264"/>
      <c r="I95" s="1265"/>
      <c r="J95" s="1264"/>
      <c r="K95" s="1273"/>
      <c r="L95" s="1273"/>
    </row>
    <row r="96" spans="1:15" s="1199" customFormat="1" ht="24" customHeight="1">
      <c r="A96" s="1349"/>
      <c r="B96" s="1615"/>
      <c r="C96" s="1375"/>
      <c r="D96" s="1375"/>
      <c r="E96" s="1616"/>
      <c r="F96" s="1395"/>
      <c r="G96" s="1617"/>
      <c r="H96" s="1618"/>
      <c r="I96" s="1600"/>
      <c r="J96" s="1618"/>
      <c r="K96" s="1619"/>
      <c r="L96" s="1619"/>
    </row>
    <row r="97" spans="1:12" s="1199" customFormat="1" ht="24" customHeight="1">
      <c r="A97" s="1578"/>
      <c r="B97" s="2257" t="str">
        <f>"รวมราคารายการที่ "&amp;A67</f>
        <v>รวมราคารายการที่ 5.2</v>
      </c>
      <c r="C97" s="2258"/>
      <c r="D97" s="2259"/>
      <c r="E97" s="1579"/>
      <c r="F97" s="1579"/>
      <c r="G97" s="1580"/>
      <c r="H97" s="1581">
        <f>SUM(H68:H96)</f>
        <v>228282</v>
      </c>
      <c r="I97" s="1582"/>
      <c r="J97" s="1581">
        <f>SUM(J68:J96)</f>
        <v>82023</v>
      </c>
      <c r="K97" s="1583">
        <f>SUM(K68:K96)</f>
        <v>310305</v>
      </c>
      <c r="L97" s="1583"/>
    </row>
    <row r="98" spans="1:12" s="1199" customFormat="1" ht="24" customHeight="1">
      <c r="A98" s="1584">
        <v>5.3</v>
      </c>
      <c r="B98" s="1606" t="s">
        <v>1768</v>
      </c>
      <c r="C98" s="1294"/>
      <c r="D98" s="1294"/>
      <c r="E98" s="1586"/>
      <c r="F98" s="1296"/>
      <c r="G98" s="1357"/>
      <c r="H98" s="1298"/>
      <c r="I98" s="1299"/>
      <c r="J98" s="1298"/>
      <c r="K98" s="1382"/>
      <c r="L98" s="1639"/>
    </row>
    <row r="99" spans="1:12" s="1199" customFormat="1" ht="24" customHeight="1">
      <c r="A99" s="1572" t="s">
        <v>1769</v>
      </c>
      <c r="B99" s="1573" t="s">
        <v>1778</v>
      </c>
      <c r="C99" s="1574"/>
      <c r="D99" s="1575"/>
      <c r="E99" s="1598"/>
      <c r="F99" s="1577"/>
      <c r="G99" s="1351"/>
      <c r="H99" s="1281"/>
      <c r="I99" s="1282"/>
      <c r="J99" s="1281"/>
      <c r="K99" s="1405"/>
      <c r="L99" s="1639"/>
    </row>
    <row r="100" spans="1:12" s="1199" customFormat="1" ht="24" customHeight="1">
      <c r="A100" s="1564"/>
      <c r="B100" s="1565" t="s">
        <v>1716</v>
      </c>
      <c r="C100" s="1533"/>
      <c r="D100" s="1534"/>
      <c r="E100" s="1566">
        <v>130</v>
      </c>
      <c r="F100" s="1567" t="s">
        <v>226</v>
      </c>
      <c r="G100" s="1516">
        <v>385</v>
      </c>
      <c r="H100" s="1264">
        <f>ROUND(E100*G100,)</f>
        <v>50050</v>
      </c>
      <c r="I100" s="1265">
        <v>145</v>
      </c>
      <c r="J100" s="1264">
        <f>ROUND(I100*E100,)</f>
        <v>18850</v>
      </c>
      <c r="K100" s="1273">
        <f>H100+J100</f>
        <v>68900</v>
      </c>
      <c r="L100" s="2082" t="s">
        <v>2667</v>
      </c>
    </row>
    <row r="101" spans="1:12" s="1199" customFormat="1" ht="24" customHeight="1">
      <c r="A101" s="1564"/>
      <c r="B101" s="1565" t="s">
        <v>1719</v>
      </c>
      <c r="C101" s="1533"/>
      <c r="D101" s="1534"/>
      <c r="E101" s="1566">
        <v>1</v>
      </c>
      <c r="F101" s="1567" t="s">
        <v>1104</v>
      </c>
      <c r="G101" s="1516">
        <f>SUM(H100:H100)*40%</f>
        <v>20020</v>
      </c>
      <c r="H101" s="1264">
        <f>ROUND(E101*G101,)</f>
        <v>20020</v>
      </c>
      <c r="I101" s="1595">
        <f>ROUND(G101*0.3,)</f>
        <v>6006</v>
      </c>
      <c r="J101" s="1264">
        <f>ROUND(I101*E101,)</f>
        <v>6006</v>
      </c>
      <c r="K101" s="1273">
        <f>H101+J101</f>
        <v>26026</v>
      </c>
      <c r="L101" s="1639"/>
    </row>
    <row r="102" spans="1:12" s="1199" customFormat="1" ht="24" customHeight="1">
      <c r="A102" s="1564"/>
      <c r="B102" s="1565" t="s">
        <v>1720</v>
      </c>
      <c r="C102" s="1533"/>
      <c r="D102" s="1534"/>
      <c r="E102" s="1566">
        <v>1</v>
      </c>
      <c r="F102" s="1567" t="s">
        <v>1104</v>
      </c>
      <c r="G102" s="1516">
        <f>SUM(H100:H100)*20%</f>
        <v>10010</v>
      </c>
      <c r="H102" s="1264">
        <f>ROUND(E102*G102,)</f>
        <v>10010</v>
      </c>
      <c r="I102" s="1595">
        <f>ROUND(G102*0.3,)</f>
        <v>3003</v>
      </c>
      <c r="J102" s="1264">
        <f>ROUND(I102*E102,)</f>
        <v>3003</v>
      </c>
      <c r="K102" s="1273">
        <f>H102+J102</f>
        <v>13013</v>
      </c>
      <c r="L102" s="1639"/>
    </row>
    <row r="103" spans="1:12" s="1199" customFormat="1" ht="24" customHeight="1">
      <c r="A103" s="1564"/>
      <c r="B103" s="1565" t="s">
        <v>1756</v>
      </c>
      <c r="C103" s="1533"/>
      <c r="D103" s="1534"/>
      <c r="E103" s="1566">
        <v>1</v>
      </c>
      <c r="F103" s="1567" t="s">
        <v>1104</v>
      </c>
      <c r="G103" s="1516">
        <f>ROUND(SUM(H100:H100)*10%,)</f>
        <v>5005</v>
      </c>
      <c r="H103" s="1264">
        <f>ROUND(E103*G103,)</f>
        <v>5005</v>
      </c>
      <c r="I103" s="1595">
        <f>ROUND(G103*0.3,)</f>
        <v>1502</v>
      </c>
      <c r="J103" s="1264">
        <f>ROUND(I103*E103,)</f>
        <v>1502</v>
      </c>
      <c r="K103" s="1273">
        <f>H103+J103</f>
        <v>6507</v>
      </c>
      <c r="L103" s="1639"/>
    </row>
    <row r="104" spans="1:12" s="1199" customFormat="1" ht="24" customHeight="1">
      <c r="A104" s="1564" t="s">
        <v>1775</v>
      </c>
      <c r="B104" s="1597" t="s">
        <v>1832</v>
      </c>
      <c r="C104" s="1533"/>
      <c r="E104" s="1566"/>
      <c r="F104" s="1567"/>
      <c r="G104" s="1516"/>
      <c r="H104" s="1264"/>
      <c r="I104" s="1265"/>
      <c r="J104" s="1264"/>
      <c r="K104" s="1273"/>
      <c r="L104" s="1639"/>
    </row>
    <row r="105" spans="1:12" s="1199" customFormat="1" ht="24" customHeight="1">
      <c r="A105" s="1564"/>
      <c r="B105" s="1597" t="s">
        <v>1340</v>
      </c>
      <c r="C105" s="1533"/>
      <c r="D105" s="1534"/>
      <c r="E105" s="1566">
        <v>6</v>
      </c>
      <c r="F105" s="1567" t="s">
        <v>363</v>
      </c>
      <c r="G105" s="1516">
        <f>ROUND(665*0.7,)</f>
        <v>466</v>
      </c>
      <c r="H105" s="1264">
        <f>ROUND(E105*G105,)</f>
        <v>2796</v>
      </c>
      <c r="I105" s="1265">
        <v>200</v>
      </c>
      <c r="J105" s="1264">
        <f>ROUND(I105*E105,)</f>
        <v>1200</v>
      </c>
      <c r="K105" s="1273">
        <f>H105+J105</f>
        <v>3996</v>
      </c>
      <c r="L105" s="1639"/>
    </row>
    <row r="106" spans="1:12" s="1199" customFormat="1" ht="24" customHeight="1">
      <c r="A106" s="1564"/>
      <c r="B106" s="1597"/>
      <c r="C106" s="1533"/>
      <c r="D106" s="1534"/>
      <c r="E106" s="1566"/>
      <c r="F106" s="1567"/>
      <c r="G106" s="1516"/>
      <c r="H106" s="1264"/>
      <c r="I106" s="1265"/>
      <c r="J106" s="1264"/>
      <c r="K106" s="1273"/>
      <c r="L106" s="1639"/>
    </row>
    <row r="107" spans="1:12" s="1199" customFormat="1" ht="24" customHeight="1">
      <c r="A107" s="1564"/>
      <c r="B107" s="1565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9"/>
    </row>
    <row r="108" spans="1:12" s="1199" customFormat="1" ht="24" customHeight="1">
      <c r="A108" s="1564"/>
      <c r="B108" s="1565"/>
      <c r="C108" s="1533"/>
      <c r="D108" s="1534"/>
      <c r="E108" s="1566"/>
      <c r="F108" s="1567"/>
      <c r="G108" s="1516"/>
      <c r="H108" s="1264"/>
      <c r="I108" s="1265"/>
      <c r="J108" s="1264"/>
      <c r="K108" s="1273"/>
      <c r="L108" s="1639"/>
    </row>
    <row r="109" spans="1:12" s="1199" customFormat="1" ht="24" customHeight="1">
      <c r="A109" s="1578"/>
      <c r="B109" s="2257" t="str">
        <f>"รวมราคารายการที่ "&amp;A98</f>
        <v>รวมราคารายการที่ 5.3</v>
      </c>
      <c r="C109" s="2258"/>
      <c r="D109" s="2259"/>
      <c r="E109" s="1579"/>
      <c r="F109" s="1579"/>
      <c r="G109" s="1580"/>
      <c r="H109" s="1581">
        <f>SUM(H99:H108)</f>
        <v>87881</v>
      </c>
      <c r="I109" s="1582"/>
      <c r="J109" s="1581">
        <f>SUM(J99:J108)</f>
        <v>30561</v>
      </c>
      <c r="K109" s="1583">
        <f>SUM(K99:K108)</f>
        <v>118442</v>
      </c>
      <c r="L109" s="1630"/>
    </row>
    <row r="110" spans="1:12" s="1199" customFormat="1" ht="21.3">
      <c r="A110" s="1427"/>
      <c r="E110" s="1570"/>
    </row>
    <row r="111" spans="1:12" s="1199" customFormat="1" ht="21.3">
      <c r="A111" s="1427"/>
      <c r="E111" s="1570"/>
    </row>
    <row r="112" spans="1:12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6:D66"/>
    <mergeCell ref="B97:D97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9-อาคารด้านทิศตะวันตก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656C1-022B-470D-B830-7D2C10A611F4}">
  <sheetPr>
    <tabColor rgb="FF92D050"/>
  </sheetPr>
  <dimension ref="A1:O131"/>
  <sheetViews>
    <sheetView showGridLines="0" view="pageBreakPreview" topLeftCell="A90" zoomScale="70" zoomScaleNormal="60" zoomScaleSheetLayoutView="70" workbookViewId="0">
      <selection activeCell="D106" sqref="D10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29296875" style="1" customWidth="1"/>
    <col min="13" max="13" width="10.87890625" style="1" customWidth="1"/>
    <col min="14" max="14" width="10" style="1" customWidth="1"/>
    <col min="15" max="91" width="7.703125" style="1" customWidth="1"/>
    <col min="92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1852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531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H65</f>
        <v>170738</v>
      </c>
      <c r="I13" s="1197"/>
      <c r="J13" s="1196">
        <f>J65</f>
        <v>51975</v>
      </c>
      <c r="K13" s="1553">
        <f>SUM(H13:J13)</f>
        <v>222713</v>
      </c>
      <c r="L13" s="1531"/>
    </row>
    <row r="14" spans="1:12" s="1199" customFormat="1" ht="24" customHeight="1">
      <c r="A14" s="1572" t="str">
        <f>A66</f>
        <v>5.2</v>
      </c>
      <c r="B14" s="1573" t="str">
        <f>B66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H96</f>
        <v>216917</v>
      </c>
      <c r="I14" s="1230"/>
      <c r="J14" s="1229">
        <f>J96</f>
        <v>79065</v>
      </c>
      <c r="K14" s="1553">
        <f>SUM(H14:J14)</f>
        <v>295982</v>
      </c>
      <c r="L14" s="1430"/>
    </row>
    <row r="15" spans="1:12" s="1199" customFormat="1" ht="24" customHeight="1">
      <c r="A15" s="1572">
        <f>A97</f>
        <v>5.3</v>
      </c>
      <c r="B15" s="1573" t="str">
        <f>B97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87881</v>
      </c>
      <c r="I15" s="1230"/>
      <c r="J15" s="1229">
        <f>J109</f>
        <v>30561</v>
      </c>
      <c r="K15" s="1553">
        <f>SUM(H15:J15)</f>
        <v>118442</v>
      </c>
      <c r="L15" s="1628"/>
    </row>
    <row r="16" spans="1:12" s="1199" customFormat="1" ht="24" customHeight="1">
      <c r="A16" s="1564"/>
      <c r="B16" s="1565"/>
      <c r="C16" s="1533"/>
      <c r="D16" s="1534"/>
      <c r="E16" s="1566"/>
      <c r="F16" s="1567"/>
      <c r="G16" s="1195"/>
      <c r="H16" s="1196"/>
      <c r="I16" s="1197"/>
      <c r="J16" s="1196"/>
      <c r="K16" s="1553"/>
      <c r="L16" s="1531"/>
    </row>
    <row r="17" spans="1:12" s="1199" customFormat="1" ht="24" customHeight="1">
      <c r="A17" s="1641"/>
      <c r="B17" s="1573"/>
      <c r="C17" s="1574"/>
      <c r="D17" s="1575"/>
      <c r="E17" s="1598"/>
      <c r="F17" s="1577"/>
      <c r="G17" s="1228"/>
      <c r="H17" s="1229"/>
      <c r="I17" s="1230"/>
      <c r="J17" s="1229"/>
      <c r="K17" s="1553"/>
      <c r="L17" s="1430"/>
    </row>
    <row r="18" spans="1:12" s="1199" customFormat="1" ht="24" customHeight="1">
      <c r="A18" s="1641"/>
      <c r="B18" s="1573"/>
      <c r="C18" s="1574"/>
      <c r="D18" s="1575"/>
      <c r="E18" s="1598"/>
      <c r="F18" s="1577"/>
      <c r="G18" s="1228"/>
      <c r="H18" s="1229"/>
      <c r="I18" s="1230"/>
      <c r="J18" s="1229"/>
      <c r="K18" s="1553"/>
      <c r="L18" s="1430"/>
    </row>
    <row r="19" spans="1:12" s="1199" customFormat="1" ht="24" customHeight="1">
      <c r="A19" s="1641"/>
      <c r="B19" s="1573"/>
      <c r="C19" s="1574"/>
      <c r="D19" s="1575"/>
      <c r="E19" s="1598"/>
      <c r="F19" s="1577"/>
      <c r="G19" s="1228"/>
      <c r="H19" s="1229"/>
      <c r="I19" s="1230"/>
      <c r="J19" s="1229"/>
      <c r="K19" s="1553"/>
      <c r="L19" s="1430"/>
    </row>
    <row r="20" spans="1:12" s="1199" customFormat="1" ht="24" customHeight="1">
      <c r="A20" s="1641"/>
      <c r="B20" s="1573"/>
      <c r="C20" s="1574"/>
      <c r="D20" s="1575"/>
      <c r="E20" s="1598"/>
      <c r="F20" s="1577"/>
      <c r="G20" s="1228"/>
      <c r="H20" s="1229"/>
      <c r="I20" s="1230"/>
      <c r="J20" s="1229"/>
      <c r="K20" s="1553"/>
      <c r="L20" s="1430"/>
    </row>
    <row r="21" spans="1:12" s="1199" customFormat="1" ht="24" customHeight="1">
      <c r="A21" s="1641"/>
      <c r="B21" s="1573"/>
      <c r="C21" s="1574"/>
      <c r="D21" s="1575"/>
      <c r="E21" s="1598"/>
      <c r="F21" s="1577"/>
      <c r="G21" s="1228"/>
      <c r="H21" s="1229"/>
      <c r="I21" s="1230"/>
      <c r="J21" s="1229"/>
      <c r="K21" s="1553"/>
      <c r="L21" s="1430"/>
    </row>
    <row r="22" spans="1:12" s="1199" customFormat="1" ht="24" customHeight="1">
      <c r="A22" s="1641"/>
      <c r="B22" s="1573"/>
      <c r="C22" s="1574"/>
      <c r="D22" s="1575"/>
      <c r="E22" s="1598"/>
      <c r="F22" s="1577"/>
      <c r="G22" s="1228"/>
      <c r="H22" s="1229"/>
      <c r="I22" s="1230"/>
      <c r="J22" s="1229"/>
      <c r="K22" s="1553"/>
      <c r="L22" s="1430"/>
    </row>
    <row r="23" spans="1:12" s="1199" customFormat="1" ht="24" customHeight="1">
      <c r="A23" s="1641"/>
      <c r="B23" s="1573"/>
      <c r="C23" s="1574"/>
      <c r="D23" s="1575"/>
      <c r="E23" s="1598"/>
      <c r="F23" s="1577"/>
      <c r="G23" s="1228"/>
      <c r="H23" s="1229"/>
      <c r="I23" s="1230"/>
      <c r="J23" s="1229"/>
      <c r="K23" s="1553"/>
      <c r="L23" s="1430"/>
    </row>
    <row r="24" spans="1:12" s="1199" customFormat="1" ht="24" customHeight="1">
      <c r="A24" s="1641"/>
      <c r="B24" s="1573"/>
      <c r="C24" s="1574"/>
      <c r="D24" s="1575"/>
      <c r="E24" s="1598"/>
      <c r="F24" s="1577"/>
      <c r="G24" s="1228"/>
      <c r="H24" s="1229"/>
      <c r="I24" s="1230"/>
      <c r="J24" s="1229"/>
      <c r="K24" s="1553"/>
      <c r="L24" s="1430"/>
    </row>
    <row r="25" spans="1:12" s="1199" customFormat="1" ht="24" customHeight="1">
      <c r="A25" s="1641"/>
      <c r="B25" s="1573"/>
      <c r="C25" s="1574"/>
      <c r="D25" s="1575"/>
      <c r="E25" s="1598"/>
      <c r="F25" s="1577"/>
      <c r="G25" s="1228"/>
      <c r="H25" s="1229"/>
      <c r="I25" s="1230"/>
      <c r="J25" s="1229"/>
      <c r="K25" s="1553"/>
      <c r="L25" s="1430"/>
    </row>
    <row r="26" spans="1:12" s="1199" customFormat="1" ht="24" customHeight="1">
      <c r="A26" s="1641"/>
      <c r="B26" s="1573"/>
      <c r="C26" s="1574"/>
      <c r="D26" s="1575"/>
      <c r="E26" s="1598"/>
      <c r="F26" s="1577"/>
      <c r="G26" s="1228"/>
      <c r="H26" s="1229"/>
      <c r="I26" s="1230"/>
      <c r="J26" s="1229"/>
      <c r="K26" s="1553"/>
      <c r="L26" s="1430"/>
    </row>
    <row r="27" spans="1:12" s="1199" customFormat="1" ht="24" customHeight="1">
      <c r="A27" s="1641"/>
      <c r="B27" s="1573"/>
      <c r="C27" s="1574"/>
      <c r="D27" s="1575"/>
      <c r="E27" s="1598"/>
      <c r="F27" s="1577"/>
      <c r="G27" s="1228"/>
      <c r="H27" s="1229"/>
      <c r="I27" s="1230"/>
      <c r="J27" s="1229"/>
      <c r="K27" s="1553"/>
      <c r="L27" s="1430"/>
    </row>
    <row r="28" spans="1:12" s="1199" customFormat="1" ht="24" customHeight="1">
      <c r="A28" s="1641"/>
      <c r="B28" s="1573"/>
      <c r="C28" s="1574"/>
      <c r="D28" s="1575"/>
      <c r="E28" s="1598"/>
      <c r="F28" s="1577"/>
      <c r="G28" s="1228"/>
      <c r="H28" s="1229"/>
      <c r="I28" s="1230"/>
      <c r="J28" s="1229"/>
      <c r="K28" s="1553"/>
      <c r="L28" s="1430"/>
    </row>
    <row r="29" spans="1:12" s="1199" customFormat="1" ht="24" customHeight="1">
      <c r="A29" s="1641"/>
      <c r="B29" s="1573"/>
      <c r="C29" s="1574"/>
      <c r="D29" s="1575"/>
      <c r="E29" s="1598"/>
      <c r="F29" s="1577"/>
      <c r="G29" s="1228"/>
      <c r="H29" s="1229"/>
      <c r="I29" s="1230"/>
      <c r="J29" s="1229"/>
      <c r="K29" s="1553"/>
      <c r="L29" s="1430"/>
    </row>
    <row r="30" spans="1:12" s="1199" customFormat="1" ht="24" customHeight="1">
      <c r="A30" s="1641"/>
      <c r="B30" s="1573"/>
      <c r="C30" s="1574"/>
      <c r="D30" s="1575"/>
      <c r="E30" s="1598"/>
      <c r="F30" s="1577"/>
      <c r="G30" s="1228"/>
      <c r="H30" s="1229"/>
      <c r="I30" s="1230"/>
      <c r="J30" s="1229"/>
      <c r="K30" s="1553"/>
      <c r="L30" s="1430"/>
    </row>
    <row r="31" spans="1:12" s="1199" customFormat="1" ht="24" customHeight="1">
      <c r="A31" s="1641"/>
      <c r="B31" s="1573"/>
      <c r="C31" s="1574"/>
      <c r="D31" s="1575"/>
      <c r="E31" s="1598"/>
      <c r="F31" s="1577"/>
      <c r="G31" s="1228"/>
      <c r="H31" s="1229"/>
      <c r="I31" s="1230"/>
      <c r="J31" s="1229"/>
      <c r="K31" s="1553"/>
      <c r="L31" s="1430"/>
    </row>
    <row r="32" spans="1:12" s="1199" customFormat="1" ht="24" customHeight="1">
      <c r="A32" s="1641"/>
      <c r="B32" s="1573"/>
      <c r="C32" s="1574"/>
      <c r="D32" s="1575"/>
      <c r="E32" s="1598"/>
      <c r="F32" s="1577"/>
      <c r="G32" s="1228"/>
      <c r="H32" s="1229"/>
      <c r="I32" s="1230"/>
      <c r="J32" s="1229"/>
      <c r="K32" s="1553"/>
      <c r="L32" s="1430"/>
    </row>
    <row r="33" spans="1:14" s="1199" customFormat="1" ht="24" customHeight="1">
      <c r="A33" s="1641"/>
      <c r="B33" s="1573"/>
      <c r="C33" s="1574"/>
      <c r="D33" s="1575"/>
      <c r="E33" s="1598"/>
      <c r="F33" s="1577"/>
      <c r="G33" s="1228"/>
      <c r="H33" s="1229"/>
      <c r="I33" s="1230"/>
      <c r="J33" s="1229"/>
      <c r="K33" s="1553"/>
      <c r="L33" s="1430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10</v>
      </c>
      <c r="C34" s="2258"/>
      <c r="D34" s="2259"/>
      <c r="E34" s="1579"/>
      <c r="F34" s="1579"/>
      <c r="G34" s="1580"/>
      <c r="H34" s="1581">
        <f>SUM(H12:H33)</f>
        <v>475536</v>
      </c>
      <c r="I34" s="1582"/>
      <c r="J34" s="1581">
        <f>SUM(J12:J33)</f>
        <v>161601</v>
      </c>
      <c r="K34" s="1583">
        <f>SUM(K12:K33)</f>
        <v>637137</v>
      </c>
      <c r="L34" s="1583"/>
      <c r="M34" s="1214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330"/>
      <c r="M35" s="1214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596"/>
      <c r="M36" s="1214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596"/>
      <c r="M37" s="1214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252</v>
      </c>
      <c r="F38" s="1567" t="s">
        <v>226</v>
      </c>
      <c r="G38" s="1593">
        <v>35</v>
      </c>
      <c r="H38" s="1264">
        <f t="shared" ref="H38:H46" si="0">ROUND(E38*G38,)</f>
        <v>8820</v>
      </c>
      <c r="I38" s="1595">
        <v>30</v>
      </c>
      <c r="J38" s="1264">
        <f t="shared" ref="J38:J46" si="1">ROUND(E38*I38,)</f>
        <v>7560</v>
      </c>
      <c r="K38" s="1265">
        <f t="shared" ref="K38:K46" si="2">H38+J38</f>
        <v>16380</v>
      </c>
      <c r="L38" s="1596"/>
      <c r="M38" s="1540"/>
      <c r="N38" s="1532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170</v>
      </c>
      <c r="F39" s="1567" t="s">
        <v>226</v>
      </c>
      <c r="G39" s="1593">
        <v>46</v>
      </c>
      <c r="H39" s="1264">
        <f t="shared" si="0"/>
        <v>7820</v>
      </c>
      <c r="I39" s="1595">
        <v>30</v>
      </c>
      <c r="J39" s="1264">
        <f t="shared" si="1"/>
        <v>5100</v>
      </c>
      <c r="K39" s="1265">
        <f t="shared" si="2"/>
        <v>12920</v>
      </c>
      <c r="L39" s="1596"/>
      <c r="M39" s="1540"/>
      <c r="N39" s="1532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30</v>
      </c>
      <c r="F40" s="1567" t="s">
        <v>226</v>
      </c>
      <c r="G40" s="1593">
        <v>113</v>
      </c>
      <c r="H40" s="1264">
        <f t="shared" si="0"/>
        <v>3390</v>
      </c>
      <c r="I40" s="1595">
        <v>50</v>
      </c>
      <c r="J40" s="1264">
        <f t="shared" si="1"/>
        <v>1500</v>
      </c>
      <c r="K40" s="1265">
        <f t="shared" si="2"/>
        <v>4890</v>
      </c>
      <c r="L40" s="1596"/>
      <c r="M40" s="1540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28</v>
      </c>
      <c r="F41" s="1567" t="s">
        <v>226</v>
      </c>
      <c r="G41" s="1593">
        <v>193</v>
      </c>
      <c r="H41" s="1264">
        <f t="shared" si="0"/>
        <v>5404</v>
      </c>
      <c r="I41" s="1595">
        <v>75</v>
      </c>
      <c r="J41" s="1264">
        <f t="shared" si="1"/>
        <v>2100</v>
      </c>
      <c r="K41" s="1265">
        <f t="shared" si="2"/>
        <v>7504</v>
      </c>
      <c r="L41" s="1596"/>
      <c r="M41" s="1540"/>
      <c r="N41" s="1532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67</v>
      </c>
      <c r="F42" s="1567" t="s">
        <v>226</v>
      </c>
      <c r="G42" s="1593">
        <v>287</v>
      </c>
      <c r="H42" s="1264">
        <f t="shared" si="0"/>
        <v>19229</v>
      </c>
      <c r="I42" s="1595">
        <v>100</v>
      </c>
      <c r="J42" s="1264">
        <f t="shared" si="1"/>
        <v>6700</v>
      </c>
      <c r="K42" s="1265">
        <f t="shared" si="2"/>
        <v>25929</v>
      </c>
      <c r="L42" s="1596"/>
      <c r="M42" s="1540"/>
      <c r="N42" s="1532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30</v>
      </c>
      <c r="F43" s="1567" t="s">
        <v>226</v>
      </c>
      <c r="G43" s="1593">
        <v>562</v>
      </c>
      <c r="H43" s="1264">
        <f>ROUND(E43*G43,)</f>
        <v>16860</v>
      </c>
      <c r="I43" s="1595">
        <v>120</v>
      </c>
      <c r="J43" s="1264">
        <f>ROUND(E43*I43,)</f>
        <v>3600</v>
      </c>
      <c r="K43" s="1273">
        <f>H43+J43</f>
        <v>20460</v>
      </c>
      <c r="L43" s="1596"/>
      <c r="M43" s="1540"/>
      <c r="N43" s="1532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SUM(H38:H43)*50%</f>
        <v>30761.5</v>
      </c>
      <c r="H44" s="1264">
        <f t="shared" si="0"/>
        <v>30762</v>
      </c>
      <c r="I44" s="1595">
        <f>ROUND(G44*0.3,)</f>
        <v>9228</v>
      </c>
      <c r="J44" s="1264">
        <f t="shared" si="1"/>
        <v>9228</v>
      </c>
      <c r="K44" s="1265">
        <f t="shared" si="2"/>
        <v>39990</v>
      </c>
      <c r="L44" s="1596"/>
      <c r="M44" s="1540"/>
      <c r="N44" s="1532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SUM(H38:H43)*20%</f>
        <v>12304.6</v>
      </c>
      <c r="H45" s="1264">
        <f t="shared" si="0"/>
        <v>12305</v>
      </c>
      <c r="I45" s="1595">
        <f>ROUND(G45*0.3,)</f>
        <v>3691</v>
      </c>
      <c r="J45" s="1264">
        <f t="shared" si="1"/>
        <v>3691</v>
      </c>
      <c r="K45" s="1265">
        <f t="shared" si="2"/>
        <v>15996</v>
      </c>
      <c r="L45" s="1596"/>
      <c r="M45" s="1214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SUM(H38:H43)*10%</f>
        <v>6152.3</v>
      </c>
      <c r="H46" s="1264">
        <f t="shared" si="0"/>
        <v>6152</v>
      </c>
      <c r="I46" s="1595">
        <f>ROUND(G46*0.3,)</f>
        <v>1846</v>
      </c>
      <c r="J46" s="1264">
        <f t="shared" si="1"/>
        <v>1846</v>
      </c>
      <c r="K46" s="1265">
        <f t="shared" si="2"/>
        <v>7998</v>
      </c>
      <c r="L46" s="1596"/>
      <c r="M46" s="1214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596"/>
      <c r="M47" s="1214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2</v>
      </c>
      <c r="F48" s="1567" t="s">
        <v>363</v>
      </c>
      <c r="G48" s="1593">
        <v>880</v>
      </c>
      <c r="H48" s="1264">
        <f t="shared" ref="H48:H49" si="3">ROUND(E48*G48,)</f>
        <v>1760</v>
      </c>
      <c r="I48" s="1595">
        <v>150</v>
      </c>
      <c r="J48" s="1264">
        <f t="shared" ref="J48:J49" si="4">ROUND(E48*I48,)</f>
        <v>300</v>
      </c>
      <c r="K48" s="1265">
        <f t="shared" ref="K48:K49" si="5">H48+J48</f>
        <v>2060</v>
      </c>
      <c r="L48" s="2082" t="s">
        <v>2667</v>
      </c>
      <c r="M48" s="1214"/>
    </row>
    <row r="49" spans="1:14" s="1199" customFormat="1" ht="24" customHeight="1">
      <c r="A49" s="1564"/>
      <c r="B49" s="1565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  <c r="M49" s="1214"/>
    </row>
    <row r="50" spans="1:14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596"/>
      <c r="M50" s="1214"/>
    </row>
    <row r="51" spans="1:14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65">
        <f>H51+J51</f>
        <v>24460</v>
      </c>
      <c r="L51" s="1273"/>
      <c r="M51" s="1214"/>
    </row>
    <row r="52" spans="1:14" s="1199" customFormat="1" ht="24" customHeight="1">
      <c r="A52" s="1564"/>
      <c r="B52" s="1597" t="s">
        <v>1716</v>
      </c>
      <c r="C52" s="1533"/>
      <c r="D52" s="1534"/>
      <c r="E52" s="1566">
        <v>4</v>
      </c>
      <c r="F52" s="1567" t="s">
        <v>363</v>
      </c>
      <c r="G52" s="1593">
        <v>2218</v>
      </c>
      <c r="H52" s="1264">
        <f>ROUND(E52*G52,)</f>
        <v>8872</v>
      </c>
      <c r="I52" s="1595">
        <v>600</v>
      </c>
      <c r="J52" s="1264">
        <f>ROUND(E52*I52,)</f>
        <v>2400</v>
      </c>
      <c r="K52" s="1273">
        <f>H52+J52</f>
        <v>11272</v>
      </c>
      <c r="L52" s="1596"/>
      <c r="M52" s="1214"/>
    </row>
    <row r="53" spans="1:14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596"/>
      <c r="M53" s="1214"/>
    </row>
    <row r="54" spans="1:14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273"/>
      <c r="M54" s="1214"/>
    </row>
    <row r="55" spans="1:14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596"/>
      <c r="M55" s="1214"/>
    </row>
    <row r="56" spans="1:14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596"/>
      <c r="M56" s="1214"/>
    </row>
    <row r="57" spans="1:14" s="1199" customFormat="1" ht="24" customHeight="1">
      <c r="A57" s="1564"/>
      <c r="B57" s="1565" t="s">
        <v>1823</v>
      </c>
      <c r="C57" s="1533"/>
      <c r="D57" s="1534"/>
      <c r="E57" s="1566">
        <v>6</v>
      </c>
      <c r="F57" s="1567" t="s">
        <v>363</v>
      </c>
      <c r="G57" s="1603">
        <v>210</v>
      </c>
      <c r="H57" s="1264">
        <f>ROUND(E57*G57,)</f>
        <v>1260</v>
      </c>
      <c r="I57" s="1595">
        <v>100</v>
      </c>
      <c r="J57" s="1264">
        <f>ROUND(E57*I57,)</f>
        <v>600</v>
      </c>
      <c r="K57" s="1265">
        <f>H57+J57</f>
        <v>1860</v>
      </c>
      <c r="L57" s="1596"/>
      <c r="M57" s="1214"/>
    </row>
    <row r="58" spans="1:14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596"/>
      <c r="M58" s="1214"/>
    </row>
    <row r="59" spans="1:14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596"/>
      <c r="M59" s="1214"/>
    </row>
    <row r="60" spans="1:14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596"/>
      <c r="M60" s="1214"/>
    </row>
    <row r="61" spans="1:14" s="1199" customFormat="1" ht="24" customHeight="1">
      <c r="A61" s="1564"/>
      <c r="B61" s="1597" t="s">
        <v>1823</v>
      </c>
      <c r="C61" s="1533"/>
      <c r="D61" s="1534"/>
      <c r="E61" s="1566">
        <v>6</v>
      </c>
      <c r="F61" s="1567" t="s">
        <v>363</v>
      </c>
      <c r="G61" s="1593">
        <v>120</v>
      </c>
      <c r="H61" s="1264">
        <f>ROUND(E61*G61,)</f>
        <v>720</v>
      </c>
      <c r="I61" s="1595">
        <v>50</v>
      </c>
      <c r="J61" s="1264">
        <f>ROUND(I61*E61,)</f>
        <v>300</v>
      </c>
      <c r="K61" s="1273">
        <f>H61+J61</f>
        <v>1020</v>
      </c>
      <c r="L61" s="1596"/>
      <c r="M61" s="1214"/>
    </row>
    <row r="62" spans="1:14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596"/>
      <c r="M62" s="1214"/>
    </row>
    <row r="63" spans="1:14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596"/>
    </row>
    <row r="64" spans="1:14" s="1199" customFormat="1" ht="24" customHeight="1">
      <c r="A64" s="1564"/>
      <c r="B64" s="1597"/>
      <c r="C64" s="1533"/>
      <c r="D64" s="1534"/>
      <c r="E64" s="1566"/>
      <c r="F64" s="1567"/>
      <c r="G64" s="1593"/>
      <c r="H64" s="1264"/>
      <c r="I64" s="1595"/>
      <c r="J64" s="1264"/>
      <c r="K64" s="1273"/>
      <c r="L64" s="1596"/>
      <c r="M64" s="1540"/>
      <c r="N64" s="1532"/>
    </row>
    <row r="65" spans="1:15" s="1199" customFormat="1" ht="24" customHeight="1">
      <c r="A65" s="1578"/>
      <c r="B65" s="2257" t="str">
        <f>"รวมราคารายการที่ "&amp;A36</f>
        <v>รวมราคารายการที่ 5.1</v>
      </c>
      <c r="C65" s="2258"/>
      <c r="D65" s="2259"/>
      <c r="E65" s="1579"/>
      <c r="F65" s="1579"/>
      <c r="G65" s="1580"/>
      <c r="H65" s="1581">
        <f>SUM(H37:H64)</f>
        <v>170738</v>
      </c>
      <c r="I65" s="1582"/>
      <c r="J65" s="1581">
        <f>SUM(J36:J64)</f>
        <v>51975</v>
      </c>
      <c r="K65" s="1583">
        <f>SUM(K36:K64)</f>
        <v>222713</v>
      </c>
      <c r="L65" s="1583"/>
      <c r="M65" s="1540"/>
      <c r="N65" s="1532"/>
    </row>
    <row r="66" spans="1:15" s="1199" customFormat="1" ht="24" customHeight="1">
      <c r="A66" s="1605" t="s">
        <v>1744</v>
      </c>
      <c r="B66" s="1606" t="s">
        <v>1745</v>
      </c>
      <c r="C66" s="1607"/>
      <c r="D66" s="1608"/>
      <c r="E66" s="1609"/>
      <c r="F66" s="1610"/>
      <c r="G66" s="1611"/>
      <c r="H66" s="1612"/>
      <c r="I66" s="1613"/>
      <c r="J66" s="1612"/>
      <c r="K66" s="1614"/>
      <c r="L66" s="1614"/>
      <c r="M66" s="1540"/>
      <c r="N66" s="1532"/>
    </row>
    <row r="67" spans="1:15" s="1199" customFormat="1" ht="24" customHeight="1">
      <c r="A67" s="1572" t="s">
        <v>1746</v>
      </c>
      <c r="B67" s="1597" t="s">
        <v>1839</v>
      </c>
      <c r="C67" s="1533"/>
      <c r="D67" s="1534"/>
      <c r="E67" s="1566"/>
      <c r="F67" s="1567"/>
      <c r="G67" s="1516"/>
      <c r="H67" s="1264"/>
      <c r="I67" s="1265"/>
      <c r="J67" s="1264"/>
      <c r="K67" s="1273"/>
      <c r="L67" s="1273"/>
      <c r="M67" s="1540"/>
      <c r="N67" s="1532"/>
    </row>
    <row r="68" spans="1:15" s="1199" customFormat="1" ht="24" customHeight="1">
      <c r="A68" s="1564"/>
      <c r="B68" s="1597" t="s">
        <v>1340</v>
      </c>
      <c r="C68" s="1533"/>
      <c r="D68" s="1534"/>
      <c r="E68" s="1566">
        <v>192</v>
      </c>
      <c r="F68" s="1567" t="s">
        <v>226</v>
      </c>
      <c r="G68" s="1516">
        <v>127</v>
      </c>
      <c r="H68" s="1264">
        <f t="shared" ref="H68:H75" si="6">ROUND(E68*G68,)</f>
        <v>24384</v>
      </c>
      <c r="I68" s="1265">
        <v>40</v>
      </c>
      <c r="J68" s="1264">
        <f t="shared" ref="J68:J75" si="7">ROUND(I68*E68,)</f>
        <v>7680</v>
      </c>
      <c r="K68" s="1273">
        <f t="shared" ref="K68:K75" si="8">H68+J68</f>
        <v>32064</v>
      </c>
      <c r="L68" s="1596"/>
    </row>
    <row r="69" spans="1:15" s="1199" customFormat="1" ht="24" customHeight="1">
      <c r="A69" s="1564"/>
      <c r="B69" s="1597" t="s">
        <v>1341</v>
      </c>
      <c r="C69" s="1533"/>
      <c r="D69" s="1534"/>
      <c r="E69" s="1566">
        <v>50</v>
      </c>
      <c r="F69" s="1567" t="s">
        <v>226</v>
      </c>
      <c r="G69" s="1516">
        <v>144</v>
      </c>
      <c r="H69" s="1264">
        <f t="shared" si="6"/>
        <v>7200</v>
      </c>
      <c r="I69" s="1265">
        <v>60</v>
      </c>
      <c r="J69" s="1264">
        <f t="shared" si="7"/>
        <v>3000</v>
      </c>
      <c r="K69" s="1273">
        <f t="shared" si="8"/>
        <v>10200</v>
      </c>
      <c r="L69" s="1273"/>
    </row>
    <row r="70" spans="1:15" s="1199" customFormat="1" ht="24" customHeight="1">
      <c r="A70" s="1564"/>
      <c r="B70" s="1597" t="s">
        <v>1342</v>
      </c>
      <c r="C70" s="1533"/>
      <c r="D70" s="1534"/>
      <c r="E70" s="1566">
        <v>115</v>
      </c>
      <c r="F70" s="1567" t="s">
        <v>226</v>
      </c>
      <c r="G70" s="1516">
        <v>258</v>
      </c>
      <c r="H70" s="1264">
        <f t="shared" si="6"/>
        <v>29670</v>
      </c>
      <c r="I70" s="1265">
        <v>75</v>
      </c>
      <c r="J70" s="1264">
        <f t="shared" si="7"/>
        <v>8625</v>
      </c>
      <c r="K70" s="1273">
        <f t="shared" si="8"/>
        <v>38295</v>
      </c>
      <c r="L70" s="1596"/>
    </row>
    <row r="71" spans="1:15" s="1199" customFormat="1" ht="24" customHeight="1">
      <c r="A71" s="1564"/>
      <c r="B71" s="1597" t="s">
        <v>1759</v>
      </c>
      <c r="C71" s="1533"/>
      <c r="D71" s="1534"/>
      <c r="E71" s="1566">
        <v>32</v>
      </c>
      <c r="F71" s="1567" t="s">
        <v>226</v>
      </c>
      <c r="G71" s="1516">
        <v>395</v>
      </c>
      <c r="H71" s="1264">
        <f t="shared" si="6"/>
        <v>12640</v>
      </c>
      <c r="I71" s="1265">
        <v>120</v>
      </c>
      <c r="J71" s="1264">
        <f t="shared" si="7"/>
        <v>3840</v>
      </c>
      <c r="K71" s="1273">
        <f t="shared" si="8"/>
        <v>16480</v>
      </c>
      <c r="L71" s="1596"/>
    </row>
    <row r="72" spans="1:15" s="1199" customFormat="1" ht="24" customHeight="1">
      <c r="A72" s="1564"/>
      <c r="B72" s="1597" t="s">
        <v>1754</v>
      </c>
      <c r="C72" s="1533"/>
      <c r="D72" s="1534"/>
      <c r="E72" s="1566">
        <v>33</v>
      </c>
      <c r="F72" s="1567" t="s">
        <v>226</v>
      </c>
      <c r="G72" s="1516">
        <v>789</v>
      </c>
      <c r="H72" s="1264">
        <f t="shared" si="6"/>
        <v>26037</v>
      </c>
      <c r="I72" s="1265">
        <v>250</v>
      </c>
      <c r="J72" s="1264">
        <f t="shared" si="7"/>
        <v>8250</v>
      </c>
      <c r="K72" s="1273">
        <f t="shared" si="8"/>
        <v>34287</v>
      </c>
      <c r="L72" s="1596"/>
      <c r="M72" s="1540"/>
    </row>
    <row r="73" spans="1:15" s="1199" customFormat="1" ht="24" customHeight="1">
      <c r="A73" s="1564"/>
      <c r="B73" s="1597" t="s">
        <v>1719</v>
      </c>
      <c r="C73" s="1533"/>
      <c r="D73" s="1534"/>
      <c r="E73" s="1566">
        <v>1</v>
      </c>
      <c r="F73" s="1567" t="s">
        <v>1104</v>
      </c>
      <c r="G73" s="1516">
        <f>ROUND(SUM(H68:H72)*40%,)</f>
        <v>39972</v>
      </c>
      <c r="H73" s="1264">
        <f t="shared" si="6"/>
        <v>39972</v>
      </c>
      <c r="I73" s="1595">
        <f>ROUND(G73*0.3,)</f>
        <v>11992</v>
      </c>
      <c r="J73" s="1264">
        <f t="shared" si="7"/>
        <v>11992</v>
      </c>
      <c r="K73" s="1273">
        <f t="shared" si="8"/>
        <v>51964</v>
      </c>
      <c r="L73" s="1273"/>
      <c r="M73" s="1540"/>
    </row>
    <row r="74" spans="1:15" s="1199" customFormat="1" ht="24" customHeight="1">
      <c r="A74" s="1564"/>
      <c r="B74" s="1597" t="s">
        <v>1720</v>
      </c>
      <c r="C74" s="1533"/>
      <c r="D74" s="1534"/>
      <c r="E74" s="1566">
        <v>1</v>
      </c>
      <c r="F74" s="1567" t="s">
        <v>1104</v>
      </c>
      <c r="G74" s="1516">
        <f>ROUND(SUM(H68:H72)*20%,)</f>
        <v>19986</v>
      </c>
      <c r="H74" s="1264">
        <f t="shared" si="6"/>
        <v>19986</v>
      </c>
      <c r="I74" s="1595">
        <f>ROUND(G74*0.3,)</f>
        <v>5996</v>
      </c>
      <c r="J74" s="1264">
        <f t="shared" si="7"/>
        <v>5996</v>
      </c>
      <c r="K74" s="1273">
        <f t="shared" si="8"/>
        <v>25982</v>
      </c>
      <c r="L74" s="1273"/>
      <c r="M74" s="1540"/>
      <c r="N74" s="1532"/>
    </row>
    <row r="75" spans="1:15" s="1199" customFormat="1" ht="24" customHeight="1">
      <c r="A75" s="1564"/>
      <c r="B75" s="1597" t="s">
        <v>1756</v>
      </c>
      <c r="C75" s="1533"/>
      <c r="D75" s="1534"/>
      <c r="E75" s="1566">
        <v>1</v>
      </c>
      <c r="F75" s="1567" t="s">
        <v>1104</v>
      </c>
      <c r="G75" s="1516">
        <f>ROUND(SUM(H68:H72)*10%,)</f>
        <v>9993</v>
      </c>
      <c r="H75" s="1264">
        <f t="shared" si="6"/>
        <v>9993</v>
      </c>
      <c r="I75" s="1595">
        <f>ROUND(G75*0.3,)</f>
        <v>2998</v>
      </c>
      <c r="J75" s="1264">
        <f t="shared" si="7"/>
        <v>2998</v>
      </c>
      <c r="K75" s="1273">
        <f t="shared" si="8"/>
        <v>12991</v>
      </c>
      <c r="L75" s="1273"/>
      <c r="M75" s="1540"/>
      <c r="N75" s="1532"/>
    </row>
    <row r="76" spans="1:15" s="1199" customFormat="1" ht="24" customHeight="1">
      <c r="A76" s="1572" t="s">
        <v>1752</v>
      </c>
      <c r="B76" s="1597" t="s">
        <v>1831</v>
      </c>
      <c r="C76" s="1533"/>
      <c r="D76" s="1534"/>
      <c r="E76" s="1566"/>
      <c r="F76" s="1567"/>
      <c r="G76" s="1516"/>
      <c r="H76" s="1264"/>
      <c r="I76" s="1265"/>
      <c r="J76" s="1264"/>
      <c r="K76" s="1273"/>
      <c r="L76" s="1273"/>
      <c r="M76" s="1540"/>
      <c r="N76" s="1532"/>
    </row>
    <row r="77" spans="1:15" s="1199" customFormat="1" ht="24" customHeight="1">
      <c r="A77" s="1564"/>
      <c r="B77" s="1597" t="s">
        <v>1338</v>
      </c>
      <c r="C77" s="1533"/>
      <c r="D77" s="1534"/>
      <c r="E77" s="1566">
        <v>110</v>
      </c>
      <c r="F77" s="1567" t="s">
        <v>226</v>
      </c>
      <c r="G77" s="1516">
        <v>20</v>
      </c>
      <c r="H77" s="1264">
        <f t="shared" ref="H77:H84" si="9">ROUND(E77*G77,)</f>
        <v>2200</v>
      </c>
      <c r="I77" s="1265">
        <v>30</v>
      </c>
      <c r="J77" s="1264">
        <f t="shared" ref="J77:J84" si="10">ROUND(I77*E77,)</f>
        <v>3300</v>
      </c>
      <c r="K77" s="1273">
        <f t="shared" ref="K77:K84" si="11">H77+J77</f>
        <v>5500</v>
      </c>
      <c r="L77" s="2082" t="s">
        <v>2667</v>
      </c>
      <c r="N77" s="1199">
        <v>79.17</v>
      </c>
      <c r="O77" s="1199">
        <f>ROUND(N77/4,)</f>
        <v>20</v>
      </c>
    </row>
    <row r="78" spans="1:15" s="1199" customFormat="1" ht="24" customHeight="1">
      <c r="A78" s="1564"/>
      <c r="B78" s="1597" t="s">
        <v>1339</v>
      </c>
      <c r="C78" s="1533"/>
      <c r="D78" s="1534"/>
      <c r="E78" s="1566">
        <v>22</v>
      </c>
      <c r="F78" s="1567" t="s">
        <v>226</v>
      </c>
      <c r="G78" s="1516">
        <v>26</v>
      </c>
      <c r="H78" s="1264">
        <f t="shared" si="9"/>
        <v>572</v>
      </c>
      <c r="I78" s="1265">
        <v>30</v>
      </c>
      <c r="J78" s="1264">
        <f t="shared" si="10"/>
        <v>660</v>
      </c>
      <c r="K78" s="1273">
        <f t="shared" si="11"/>
        <v>1232</v>
      </c>
      <c r="L78" s="2082" t="s">
        <v>2667</v>
      </c>
      <c r="N78" s="1199">
        <v>103.74</v>
      </c>
      <c r="O78" s="1199">
        <f t="shared" ref="O78:O81" si="12">ROUND(N78/4,)</f>
        <v>26</v>
      </c>
    </row>
    <row r="79" spans="1:15" s="1199" customFormat="1" ht="24" customHeight="1">
      <c r="A79" s="1564"/>
      <c r="B79" s="1597" t="s">
        <v>1340</v>
      </c>
      <c r="C79" s="1533"/>
      <c r="D79" s="1534"/>
      <c r="E79" s="1566">
        <v>36</v>
      </c>
      <c r="F79" s="1567" t="s">
        <v>226</v>
      </c>
      <c r="G79" s="1516">
        <v>41</v>
      </c>
      <c r="H79" s="1264">
        <f t="shared" si="9"/>
        <v>1476</v>
      </c>
      <c r="I79" s="1265">
        <v>40</v>
      </c>
      <c r="J79" s="1264">
        <f t="shared" si="10"/>
        <v>1440</v>
      </c>
      <c r="K79" s="1273">
        <f t="shared" si="11"/>
        <v>2916</v>
      </c>
      <c r="L79" s="2082" t="s">
        <v>2667</v>
      </c>
      <c r="N79" s="1199">
        <v>163.80000000000001</v>
      </c>
      <c r="O79" s="1199">
        <f t="shared" si="12"/>
        <v>41</v>
      </c>
    </row>
    <row r="80" spans="1:15" s="1199" customFormat="1" ht="24" customHeight="1">
      <c r="A80" s="1564"/>
      <c r="B80" s="1597" t="s">
        <v>1341</v>
      </c>
      <c r="C80" s="1533"/>
      <c r="D80" s="1534"/>
      <c r="E80" s="1566">
        <v>27</v>
      </c>
      <c r="F80" s="1567" t="s">
        <v>226</v>
      </c>
      <c r="G80" s="1516">
        <v>65</v>
      </c>
      <c r="H80" s="1264">
        <f t="shared" si="9"/>
        <v>1755</v>
      </c>
      <c r="I80" s="1265">
        <v>50</v>
      </c>
      <c r="J80" s="1264">
        <f t="shared" si="10"/>
        <v>1350</v>
      </c>
      <c r="K80" s="1273">
        <f t="shared" si="11"/>
        <v>3105</v>
      </c>
      <c r="L80" s="2082" t="s">
        <v>2667</v>
      </c>
      <c r="N80" s="1199">
        <v>259.35000000000002</v>
      </c>
      <c r="O80" s="1199">
        <f t="shared" si="12"/>
        <v>65</v>
      </c>
    </row>
    <row r="81" spans="1:15" s="1199" customFormat="1" ht="24" customHeight="1">
      <c r="A81" s="1564"/>
      <c r="B81" s="1597" t="s">
        <v>1342</v>
      </c>
      <c r="C81" s="1533"/>
      <c r="D81" s="1534"/>
      <c r="E81" s="1566">
        <v>90</v>
      </c>
      <c r="F81" s="1567" t="s">
        <v>226</v>
      </c>
      <c r="G81" s="1516">
        <v>90</v>
      </c>
      <c r="H81" s="1264">
        <f t="shared" si="9"/>
        <v>8100</v>
      </c>
      <c r="I81" s="1265">
        <v>75</v>
      </c>
      <c r="J81" s="1264">
        <f t="shared" si="10"/>
        <v>6750</v>
      </c>
      <c r="K81" s="1273">
        <f t="shared" si="11"/>
        <v>14850</v>
      </c>
      <c r="L81" s="2082" t="s">
        <v>2667</v>
      </c>
      <c r="N81" s="1199">
        <v>359.45</v>
      </c>
      <c r="O81" s="1199">
        <f t="shared" si="12"/>
        <v>90</v>
      </c>
    </row>
    <row r="82" spans="1:15" s="1199" customFormat="1" ht="24" customHeight="1">
      <c r="A82" s="1564"/>
      <c r="B82" s="1597" t="s">
        <v>1719</v>
      </c>
      <c r="C82" s="1533"/>
      <c r="D82" s="1534"/>
      <c r="E82" s="1566">
        <v>1</v>
      </c>
      <c r="F82" s="1567" t="s">
        <v>1104</v>
      </c>
      <c r="G82" s="1516">
        <f>SUM(H77:H81)*40%</f>
        <v>5641.2000000000007</v>
      </c>
      <c r="H82" s="1264">
        <f t="shared" si="9"/>
        <v>5641</v>
      </c>
      <c r="I82" s="1595">
        <f>ROUND(G82*0.3,)</f>
        <v>1692</v>
      </c>
      <c r="J82" s="1264">
        <f t="shared" si="10"/>
        <v>1692</v>
      </c>
      <c r="K82" s="1273">
        <f t="shared" si="11"/>
        <v>7333</v>
      </c>
      <c r="L82" s="1596"/>
    </row>
    <row r="83" spans="1:15" s="1199" customFormat="1" ht="24" customHeight="1">
      <c r="A83" s="1564"/>
      <c r="B83" s="1597" t="s">
        <v>1720</v>
      </c>
      <c r="C83" s="1533"/>
      <c r="D83" s="1534"/>
      <c r="E83" s="1566">
        <v>1</v>
      </c>
      <c r="F83" s="1567" t="s">
        <v>1104</v>
      </c>
      <c r="G83" s="1516">
        <f>ROUND(SUM(H77:H81)*30%,)</f>
        <v>4231</v>
      </c>
      <c r="H83" s="1264">
        <f t="shared" si="9"/>
        <v>4231</v>
      </c>
      <c r="I83" s="1595">
        <f>ROUND(G83*0.3,)</f>
        <v>1269</v>
      </c>
      <c r="J83" s="1264">
        <f t="shared" si="10"/>
        <v>1269</v>
      </c>
      <c r="K83" s="1273">
        <f t="shared" si="11"/>
        <v>5500</v>
      </c>
      <c r="L83" s="1273"/>
    </row>
    <row r="84" spans="1:15" s="1199" customFormat="1" ht="24" customHeight="1">
      <c r="A84" s="1564"/>
      <c r="B84" s="1597" t="s">
        <v>1756</v>
      </c>
      <c r="C84" s="1533"/>
      <c r="D84" s="1534"/>
      <c r="E84" s="1566">
        <v>1</v>
      </c>
      <c r="F84" s="1567" t="s">
        <v>1104</v>
      </c>
      <c r="G84" s="1516">
        <f>ROUND(SUM(H77:H81)*10%,)</f>
        <v>1410</v>
      </c>
      <c r="H84" s="1264">
        <f t="shared" si="9"/>
        <v>1410</v>
      </c>
      <c r="I84" s="1595">
        <f>ROUND(G84*0.3,)</f>
        <v>423</v>
      </c>
      <c r="J84" s="1264">
        <f t="shared" si="10"/>
        <v>423</v>
      </c>
      <c r="K84" s="1273">
        <f t="shared" si="11"/>
        <v>1833</v>
      </c>
      <c r="L84" s="1273"/>
    </row>
    <row r="85" spans="1:15" s="1199" customFormat="1" ht="24" customHeight="1">
      <c r="A85" s="1564"/>
      <c r="B85" s="1597"/>
      <c r="C85" s="1533"/>
      <c r="D85" s="1534"/>
      <c r="E85" s="1566"/>
      <c r="F85" s="1567"/>
      <c r="G85" s="1516"/>
      <c r="H85" s="1264"/>
      <c r="I85" s="1265"/>
      <c r="J85" s="1264"/>
      <c r="K85" s="1273"/>
      <c r="L85" s="1273"/>
    </row>
    <row r="86" spans="1:15" s="1199" customFormat="1" ht="24" customHeight="1">
      <c r="A86" s="1564" t="s">
        <v>1757</v>
      </c>
      <c r="B86" s="1597" t="s">
        <v>1832</v>
      </c>
      <c r="C86" s="1533"/>
      <c r="D86" s="1534"/>
      <c r="E86" s="1566"/>
      <c r="F86" s="1567"/>
      <c r="G86" s="1516"/>
      <c r="H86" s="1264"/>
      <c r="I86" s="1265"/>
      <c r="J86" s="1264"/>
      <c r="K86" s="1273"/>
      <c r="L86" s="1273"/>
    </row>
    <row r="87" spans="1:15" s="1199" customFormat="1" ht="24" customHeight="1">
      <c r="A87" s="1564"/>
      <c r="B87" s="1597" t="s">
        <v>1340</v>
      </c>
      <c r="C87" s="1533"/>
      <c r="D87" s="1534"/>
      <c r="E87" s="1566">
        <v>34</v>
      </c>
      <c r="F87" s="1567" t="s">
        <v>363</v>
      </c>
      <c r="G87" s="1516">
        <f>ROUND(665*0.7,)</f>
        <v>466</v>
      </c>
      <c r="H87" s="1264">
        <f>ROUND(E87*G87,)</f>
        <v>15844</v>
      </c>
      <c r="I87" s="1265">
        <v>200</v>
      </c>
      <c r="J87" s="1264">
        <f>ROUND(I87*E87,)</f>
        <v>6800</v>
      </c>
      <c r="K87" s="1273">
        <f>H87+J87</f>
        <v>22644</v>
      </c>
      <c r="L87" s="1273"/>
    </row>
    <row r="88" spans="1:15" s="1199" customFormat="1" ht="24" customHeight="1">
      <c r="A88" s="1564" t="s">
        <v>1760</v>
      </c>
      <c r="B88" s="1597" t="s">
        <v>1780</v>
      </c>
      <c r="C88" s="1533"/>
      <c r="D88" s="1534"/>
      <c r="E88" s="1566"/>
      <c r="F88" s="1567"/>
      <c r="G88" s="1516"/>
      <c r="H88" s="1264"/>
      <c r="I88" s="1265"/>
      <c r="J88" s="1264"/>
      <c r="K88" s="1273"/>
      <c r="L88" s="1273"/>
    </row>
    <row r="89" spans="1:15" s="1199" customFormat="1" ht="24" customHeight="1">
      <c r="A89" s="1564"/>
      <c r="B89" s="1597" t="s">
        <v>1340</v>
      </c>
      <c r="C89" s="1533"/>
      <c r="D89" s="1534"/>
      <c r="E89" s="1566">
        <v>10</v>
      </c>
      <c r="F89" s="1567" t="s">
        <v>363</v>
      </c>
      <c r="G89" s="1516">
        <f>ROUND(240*0.75,)</f>
        <v>180</v>
      </c>
      <c r="H89" s="1264">
        <f>ROUND(E89*G89,)</f>
        <v>1800</v>
      </c>
      <c r="I89" s="1265">
        <v>100</v>
      </c>
      <c r="J89" s="1264">
        <f>ROUND(I89*E89,)</f>
        <v>1000</v>
      </c>
      <c r="K89" s="1273">
        <f>H89+J89</f>
        <v>2800</v>
      </c>
      <c r="L89" s="1273"/>
    </row>
    <row r="90" spans="1:15" s="1199" customFormat="1" ht="24" customHeight="1">
      <c r="A90" s="1564"/>
      <c r="B90" s="1597" t="s">
        <v>1342</v>
      </c>
      <c r="C90" s="1533"/>
      <c r="D90" s="1534"/>
      <c r="E90" s="1566">
        <v>4</v>
      </c>
      <c r="F90" s="1567" t="s">
        <v>363</v>
      </c>
      <c r="G90" s="1516">
        <f>ROUND(360*0.75,)</f>
        <v>270</v>
      </c>
      <c r="H90" s="1264">
        <f>ROUND(E90*G90,)</f>
        <v>1080</v>
      </c>
      <c r="I90" s="1265">
        <v>150</v>
      </c>
      <c r="J90" s="1264">
        <f>ROUND(I90*E90,)</f>
        <v>600</v>
      </c>
      <c r="K90" s="1273">
        <f>H90+J90</f>
        <v>1680</v>
      </c>
      <c r="L90" s="1273"/>
    </row>
    <row r="91" spans="1:15" s="1199" customFormat="1" ht="24" customHeight="1">
      <c r="A91" s="1637"/>
      <c r="B91" s="1597" t="s">
        <v>1759</v>
      </c>
      <c r="C91" s="1533"/>
      <c r="D91" s="1534"/>
      <c r="E91" s="1566">
        <v>4</v>
      </c>
      <c r="F91" s="1567" t="s">
        <v>363</v>
      </c>
      <c r="G91" s="1516">
        <f>ROUND(500*0.75,)</f>
        <v>375</v>
      </c>
      <c r="H91" s="1264">
        <f>ROUND(E91*G91,)</f>
        <v>1500</v>
      </c>
      <c r="I91" s="1265">
        <v>200</v>
      </c>
      <c r="J91" s="1264">
        <f>ROUND(I91*E91,)</f>
        <v>800</v>
      </c>
      <c r="K91" s="1273">
        <f>H91+J91</f>
        <v>2300</v>
      </c>
      <c r="L91" s="1273"/>
    </row>
    <row r="92" spans="1:15" s="1199" customFormat="1" ht="24" customHeight="1">
      <c r="A92" s="1564"/>
      <c r="B92" s="1597" t="s">
        <v>1754</v>
      </c>
      <c r="C92" s="1533"/>
      <c r="D92" s="1534"/>
      <c r="E92" s="1566">
        <v>2</v>
      </c>
      <c r="F92" s="1567" t="s">
        <v>363</v>
      </c>
      <c r="G92" s="1516">
        <f>ROUND(950*0.75,)</f>
        <v>713</v>
      </c>
      <c r="H92" s="1264">
        <f>ROUND(E92*G92,)</f>
        <v>1426</v>
      </c>
      <c r="I92" s="1265">
        <v>300</v>
      </c>
      <c r="J92" s="1264">
        <f>ROUND(I92*E92,)</f>
        <v>600</v>
      </c>
      <c r="K92" s="1273">
        <f>H92+J92</f>
        <v>2026</v>
      </c>
      <c r="L92" s="1273"/>
    </row>
    <row r="93" spans="1:15" s="1199" customFormat="1" ht="24" customHeight="1">
      <c r="A93" s="1572"/>
      <c r="B93" s="1573"/>
      <c r="C93" s="1574"/>
      <c r="D93" s="1653"/>
      <c r="E93" s="1598"/>
      <c r="F93" s="1575"/>
      <c r="G93" s="1351"/>
      <c r="H93" s="1281"/>
      <c r="I93" s="1282"/>
      <c r="J93" s="1281"/>
      <c r="K93" s="1405"/>
      <c r="L93" s="1405"/>
    </row>
    <row r="94" spans="1:15" s="1199" customFormat="1" ht="24" customHeight="1">
      <c r="A94" s="1572"/>
      <c r="B94" s="1573"/>
      <c r="C94" s="1574"/>
      <c r="D94" s="1653"/>
      <c r="E94" s="1598"/>
      <c r="F94" s="1575"/>
      <c r="G94" s="1351"/>
      <c r="H94" s="1281"/>
      <c r="I94" s="1282"/>
      <c r="J94" s="1281"/>
      <c r="K94" s="1405"/>
      <c r="L94" s="1405"/>
    </row>
    <row r="95" spans="1:15" s="1199" customFormat="1" ht="24" customHeight="1">
      <c r="A95" s="1349"/>
      <c r="B95" s="1615"/>
      <c r="C95" s="1375"/>
      <c r="D95" s="1375"/>
      <c r="E95" s="1616"/>
      <c r="F95" s="1395"/>
      <c r="G95" s="1617"/>
      <c r="H95" s="1618"/>
      <c r="I95" s="1600"/>
      <c r="J95" s="1618"/>
      <c r="K95" s="1619"/>
      <c r="L95" s="1619"/>
    </row>
    <row r="96" spans="1:15" s="1199" customFormat="1" ht="24" customHeight="1">
      <c r="A96" s="1578"/>
      <c r="B96" s="2257" t="str">
        <f>"รวมราคารายการที่ "&amp;A66</f>
        <v>รวมราคารายการที่ 5.2</v>
      </c>
      <c r="C96" s="2258"/>
      <c r="D96" s="2259"/>
      <c r="E96" s="1579"/>
      <c r="F96" s="1579"/>
      <c r="G96" s="1580"/>
      <c r="H96" s="1581">
        <f>SUM(H67:H95)</f>
        <v>216917</v>
      </c>
      <c r="I96" s="1582"/>
      <c r="J96" s="1581">
        <f>SUM(J67:J95)</f>
        <v>79065</v>
      </c>
      <c r="K96" s="1583">
        <f>SUM(K67:K95)</f>
        <v>295982</v>
      </c>
      <c r="L96" s="1583"/>
      <c r="M96" s="1214"/>
    </row>
    <row r="97" spans="1:14" s="1199" customFormat="1" ht="24" customHeight="1">
      <c r="A97" s="1584">
        <v>5.3</v>
      </c>
      <c r="B97" s="1606" t="s">
        <v>1768</v>
      </c>
      <c r="C97" s="1294"/>
      <c r="D97" s="1294"/>
      <c r="E97" s="1586"/>
      <c r="F97" s="1296"/>
      <c r="G97" s="1357"/>
      <c r="H97" s="1298"/>
      <c r="I97" s="1299"/>
      <c r="J97" s="1298"/>
      <c r="K97" s="1382"/>
      <c r="L97" s="1639"/>
      <c r="M97" s="1540"/>
      <c r="N97" s="1532"/>
    </row>
    <row r="98" spans="1:14" s="1199" customFormat="1" ht="24" customHeight="1">
      <c r="A98" s="1572" t="s">
        <v>1769</v>
      </c>
      <c r="B98" s="1573" t="s">
        <v>1778</v>
      </c>
      <c r="C98" s="1574"/>
      <c r="D98" s="1575"/>
      <c r="E98" s="1598"/>
      <c r="F98" s="1577"/>
      <c r="G98" s="1351"/>
      <c r="H98" s="1281"/>
      <c r="I98" s="1282"/>
      <c r="J98" s="1281"/>
      <c r="K98" s="1405"/>
      <c r="L98" s="1639"/>
      <c r="M98" s="1540"/>
      <c r="N98" s="1532"/>
    </row>
    <row r="99" spans="1:14" s="1199" customFormat="1" ht="24" customHeight="1">
      <c r="A99" s="1564"/>
      <c r="B99" s="1565" t="s">
        <v>1716</v>
      </c>
      <c r="C99" s="1533"/>
      <c r="D99" s="1534"/>
      <c r="E99" s="1566">
        <v>130</v>
      </c>
      <c r="F99" s="1567" t="s">
        <v>226</v>
      </c>
      <c r="G99" s="1516">
        <v>385</v>
      </c>
      <c r="H99" s="1264">
        <f>ROUND(E99*G99,)</f>
        <v>50050</v>
      </c>
      <c r="I99" s="1265">
        <v>145</v>
      </c>
      <c r="J99" s="1264">
        <f>ROUND(I99*E99,)</f>
        <v>18850</v>
      </c>
      <c r="K99" s="1273">
        <f>H99+J99</f>
        <v>68900</v>
      </c>
      <c r="L99" s="2082" t="s">
        <v>2667</v>
      </c>
    </row>
    <row r="100" spans="1:14" s="1199" customFormat="1" ht="24" customHeight="1">
      <c r="A100" s="1564"/>
      <c r="B100" s="1565" t="s">
        <v>1719</v>
      </c>
      <c r="C100" s="1533"/>
      <c r="D100" s="1534"/>
      <c r="E100" s="1566">
        <v>1</v>
      </c>
      <c r="F100" s="1567" t="s">
        <v>1104</v>
      </c>
      <c r="G100" s="1516">
        <f>SUM(H99:H99)*40%</f>
        <v>20020</v>
      </c>
      <c r="H100" s="1264">
        <f>ROUND(E100*G100,)</f>
        <v>20020</v>
      </c>
      <c r="I100" s="1595">
        <f>ROUND(G100*0.3,)</f>
        <v>6006</v>
      </c>
      <c r="J100" s="1264">
        <f>ROUND(I100*E100,)</f>
        <v>6006</v>
      </c>
      <c r="K100" s="1273">
        <f>H100+J100</f>
        <v>26026</v>
      </c>
      <c r="L100" s="1639"/>
    </row>
    <row r="101" spans="1:14" s="1199" customFormat="1" ht="24" customHeight="1">
      <c r="A101" s="1564"/>
      <c r="B101" s="1565" t="s">
        <v>1720</v>
      </c>
      <c r="C101" s="1533"/>
      <c r="D101" s="1534"/>
      <c r="E101" s="1566">
        <v>1</v>
      </c>
      <c r="F101" s="1567" t="s">
        <v>1104</v>
      </c>
      <c r="G101" s="1516">
        <f>SUM(H99:H99)*20%</f>
        <v>10010</v>
      </c>
      <c r="H101" s="1264">
        <f>ROUND(E101*G101,)</f>
        <v>10010</v>
      </c>
      <c r="I101" s="1595">
        <f>ROUND(G101*0.3,)</f>
        <v>3003</v>
      </c>
      <c r="J101" s="1264">
        <f>ROUND(I101*E101,)</f>
        <v>3003</v>
      </c>
      <c r="K101" s="1273">
        <f>H101+J101</f>
        <v>13013</v>
      </c>
      <c r="L101" s="1639"/>
    </row>
    <row r="102" spans="1:14" s="1199" customFormat="1" ht="24" customHeight="1">
      <c r="A102" s="1564"/>
      <c r="B102" s="1565" t="s">
        <v>1756</v>
      </c>
      <c r="C102" s="1533"/>
      <c r="D102" s="1534"/>
      <c r="E102" s="1566">
        <v>1</v>
      </c>
      <c r="F102" s="1567" t="s">
        <v>1104</v>
      </c>
      <c r="G102" s="1516">
        <f>ROUND(SUM(H99:H99)*10%,)</f>
        <v>5005</v>
      </c>
      <c r="H102" s="1264">
        <f>ROUND(E102*G102,)</f>
        <v>5005</v>
      </c>
      <c r="I102" s="1595">
        <f>ROUND(G102*0.3,)</f>
        <v>1502</v>
      </c>
      <c r="J102" s="1264">
        <f>ROUND(I102*E102,)</f>
        <v>1502</v>
      </c>
      <c r="K102" s="1273">
        <f>H102+J102</f>
        <v>6507</v>
      </c>
      <c r="L102" s="1639"/>
    </row>
    <row r="103" spans="1:14" s="1199" customFormat="1" ht="24" customHeight="1">
      <c r="A103" s="1564" t="s">
        <v>1775</v>
      </c>
      <c r="B103" s="1597" t="s">
        <v>1832</v>
      </c>
      <c r="C103" s="1533"/>
      <c r="E103" s="1566"/>
      <c r="F103" s="1567"/>
      <c r="G103" s="1516"/>
      <c r="H103" s="1264"/>
      <c r="I103" s="1265"/>
      <c r="J103" s="1264"/>
      <c r="K103" s="1273"/>
      <c r="L103" s="1639"/>
    </row>
    <row r="104" spans="1:14" s="1199" customFormat="1" ht="24" customHeight="1">
      <c r="A104" s="1564"/>
      <c r="B104" s="1597" t="s">
        <v>1340</v>
      </c>
      <c r="C104" s="1533"/>
      <c r="D104" s="1534"/>
      <c r="E104" s="1566">
        <v>6</v>
      </c>
      <c r="F104" s="1567" t="s">
        <v>363</v>
      </c>
      <c r="G104" s="1516">
        <f>ROUND(665*0.7,)</f>
        <v>466</v>
      </c>
      <c r="H104" s="1264">
        <f>ROUND(E104*G104,)</f>
        <v>2796</v>
      </c>
      <c r="I104" s="1265">
        <v>200</v>
      </c>
      <c r="J104" s="1264">
        <f>ROUND(I104*E104,)</f>
        <v>1200</v>
      </c>
      <c r="K104" s="1273">
        <f>H104+J104</f>
        <v>3996</v>
      </c>
      <c r="L104" s="1639"/>
    </row>
    <row r="105" spans="1:14" s="1199" customFormat="1" ht="24" customHeight="1">
      <c r="A105" s="1564"/>
      <c r="B105" s="1597"/>
      <c r="C105" s="1533"/>
      <c r="D105" s="1534"/>
      <c r="E105" s="1566"/>
      <c r="F105" s="1567"/>
      <c r="G105" s="1516"/>
      <c r="H105" s="1264"/>
      <c r="I105" s="1265"/>
      <c r="J105" s="1264"/>
      <c r="K105" s="1273"/>
      <c r="L105" s="1639"/>
    </row>
    <row r="106" spans="1:14" s="1199" customFormat="1" ht="24" customHeight="1">
      <c r="A106" s="1564"/>
      <c r="B106" s="1597"/>
      <c r="C106" s="1533"/>
      <c r="D106" s="1534"/>
      <c r="E106" s="1566"/>
      <c r="F106" s="1567"/>
      <c r="G106" s="1516"/>
      <c r="H106" s="1264"/>
      <c r="I106" s="1265"/>
      <c r="J106" s="1264"/>
      <c r="K106" s="1273"/>
      <c r="L106" s="1639"/>
    </row>
    <row r="107" spans="1:14" s="1199" customFormat="1" ht="24" customHeight="1">
      <c r="A107" s="1564"/>
      <c r="B107" s="1565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9"/>
    </row>
    <row r="108" spans="1:14" s="1199" customFormat="1" ht="24" customHeight="1">
      <c r="A108" s="1564"/>
      <c r="B108" s="1565"/>
      <c r="C108" s="1533"/>
      <c r="D108" s="1534"/>
      <c r="E108" s="1566"/>
      <c r="F108" s="1567"/>
      <c r="G108" s="1516"/>
      <c r="H108" s="1264"/>
      <c r="I108" s="1265"/>
      <c r="J108" s="1264"/>
      <c r="K108" s="1273"/>
      <c r="L108" s="1639"/>
    </row>
    <row r="109" spans="1:14" s="1199" customFormat="1" ht="24" customHeight="1">
      <c r="A109" s="1578"/>
      <c r="B109" s="2257" t="str">
        <f>"รวมราคารายการที่ "&amp;A97</f>
        <v>รวมราคารายการที่ 5.3</v>
      </c>
      <c r="C109" s="2258"/>
      <c r="D109" s="2259"/>
      <c r="E109" s="1579"/>
      <c r="F109" s="1579"/>
      <c r="G109" s="1580"/>
      <c r="H109" s="1581">
        <f>SUM(H98:H108)</f>
        <v>87881</v>
      </c>
      <c r="I109" s="1582"/>
      <c r="J109" s="1581">
        <f>SUM(J98:J108)</f>
        <v>30561</v>
      </c>
      <c r="K109" s="1583">
        <f>SUM(K98:K108)</f>
        <v>118442</v>
      </c>
      <c r="L109" s="1630"/>
    </row>
    <row r="110" spans="1:14" s="1199" customFormat="1" ht="21.3">
      <c r="A110" s="1427"/>
      <c r="E110" s="1570"/>
    </row>
    <row r="111" spans="1:14" s="1199" customFormat="1" ht="21.3">
      <c r="A111" s="1427"/>
      <c r="E111" s="1570"/>
    </row>
    <row r="112" spans="1:14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5:D65"/>
    <mergeCell ref="B96:D96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10-อาคารด้านทิศตะวันตก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D25E7-4CDB-46DE-B769-7CF659D15F35}">
  <sheetPr>
    <tabColor rgb="FF92D050"/>
  </sheetPr>
  <dimension ref="A1:O131"/>
  <sheetViews>
    <sheetView showGridLines="0" view="pageBreakPreview" topLeftCell="A91" zoomScale="85" zoomScaleNormal="60" zoomScaleSheetLayoutView="85" workbookViewId="0">
      <selection activeCell="D107" sqref="D107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" style="1" customWidth="1"/>
    <col min="13" max="14" width="11.29296875" style="1" customWidth="1"/>
    <col min="15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1853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531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H66</f>
        <v>180803</v>
      </c>
      <c r="I13" s="1197"/>
      <c r="J13" s="1196">
        <f>J66</f>
        <v>57184</v>
      </c>
      <c r="K13" s="1553">
        <f>SUM(H13:J13)</f>
        <v>237987</v>
      </c>
      <c r="L13" s="1531"/>
    </row>
    <row r="14" spans="1:12" s="1199" customFormat="1" ht="24" customHeight="1">
      <c r="A14" s="1564" t="str">
        <f>A67</f>
        <v>5.2</v>
      </c>
      <c r="B14" s="1565" t="str">
        <f>B67</f>
        <v xml:space="preserve">ระบบระบายน้ำโสโครก น้ำทิ้ง ระบายอากาศ และ ท่อน้ำทิ้งจากห้องครัว </v>
      </c>
      <c r="C14" s="1533"/>
      <c r="D14" s="1534"/>
      <c r="E14" s="1569">
        <v>1</v>
      </c>
      <c r="F14" s="1567" t="s">
        <v>19</v>
      </c>
      <c r="G14" s="1195"/>
      <c r="H14" s="1196">
        <f>H94</f>
        <v>255009</v>
      </c>
      <c r="I14" s="1197"/>
      <c r="J14" s="1196">
        <f>J94</f>
        <v>94155</v>
      </c>
      <c r="K14" s="1553">
        <f>SUM(H14:J14)</f>
        <v>349164</v>
      </c>
      <c r="L14" s="1531"/>
    </row>
    <row r="15" spans="1:12" s="1199" customFormat="1" ht="24" customHeight="1">
      <c r="A15" s="1572">
        <f>A95</f>
        <v>5.3</v>
      </c>
      <c r="B15" s="1573" t="str">
        <f>B95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H109</f>
        <v>107605</v>
      </c>
      <c r="I15" s="1230"/>
      <c r="J15" s="1229">
        <f>J109</f>
        <v>37485</v>
      </c>
      <c r="K15" s="1553">
        <f>SUM(H15:J15)</f>
        <v>145090</v>
      </c>
      <c r="L15" s="1531"/>
    </row>
    <row r="16" spans="1:12" s="1199" customFormat="1" ht="24" customHeight="1">
      <c r="A16" s="1564"/>
      <c r="B16" s="1565"/>
      <c r="C16" s="1533"/>
      <c r="D16" s="1534"/>
      <c r="E16" s="1566"/>
      <c r="F16" s="1567"/>
      <c r="G16" s="1195"/>
      <c r="H16" s="1196"/>
      <c r="I16" s="1197"/>
      <c r="J16" s="1196"/>
      <c r="K16" s="1553"/>
      <c r="L16" s="1531"/>
    </row>
    <row r="17" spans="1:12" s="1199" customFormat="1" ht="24" customHeight="1">
      <c r="A17" s="1564"/>
      <c r="B17" s="1565"/>
      <c r="C17" s="1533"/>
      <c r="D17" s="1534"/>
      <c r="E17" s="1566"/>
      <c r="F17" s="1567"/>
      <c r="G17" s="1195"/>
      <c r="H17" s="1196"/>
      <c r="I17" s="1197"/>
      <c r="J17" s="1196"/>
      <c r="K17" s="1553"/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4" s="1199" customFormat="1" ht="30" customHeight="1">
      <c r="A34" s="1578"/>
      <c r="B34" s="2257" t="str">
        <f>"รวมราคา"&amp;B11</f>
        <v>รวมราคางานระบบสุขาภิบาล ชั้น 11</v>
      </c>
      <c r="C34" s="2258"/>
      <c r="D34" s="2259"/>
      <c r="E34" s="1579"/>
      <c r="F34" s="1579"/>
      <c r="G34" s="1580"/>
      <c r="H34" s="1581">
        <f>SUM(H12:H33)</f>
        <v>543417</v>
      </c>
      <c r="I34" s="1582"/>
      <c r="J34" s="1581">
        <f>SUM(J12:J33)</f>
        <v>188824</v>
      </c>
      <c r="K34" s="1583">
        <f>SUM(K12:K33)</f>
        <v>732241</v>
      </c>
      <c r="L34" s="1583"/>
    </row>
    <row r="35" spans="1:14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330"/>
    </row>
    <row r="36" spans="1:14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596"/>
    </row>
    <row r="37" spans="1:14" s="1199" customFormat="1" ht="24" customHeight="1">
      <c r="A37" s="1564" t="s">
        <v>1712</v>
      </c>
      <c r="B37" s="1597" t="s">
        <v>1820</v>
      </c>
      <c r="C37" s="1533"/>
      <c r="D37" s="1534"/>
      <c r="E37" s="1566"/>
      <c r="F37" s="1567"/>
      <c r="G37" s="1593"/>
      <c r="H37" s="1264"/>
      <c r="I37" s="1595"/>
      <c r="J37" s="1264"/>
      <c r="K37" s="1265"/>
      <c r="L37" s="1596"/>
    </row>
    <row r="38" spans="1:14" s="1199" customFormat="1" ht="24" customHeight="1">
      <c r="A38" s="1564"/>
      <c r="B38" s="1597" t="s">
        <v>1731</v>
      </c>
      <c r="C38" s="1533"/>
      <c r="D38" s="1534"/>
      <c r="E38" s="1566">
        <v>382</v>
      </c>
      <c r="F38" s="1567" t="s">
        <v>226</v>
      </c>
      <c r="G38" s="1593">
        <v>35</v>
      </c>
      <c r="H38" s="1264">
        <f t="shared" ref="H38:H46" si="0">ROUND(E38*G38,)</f>
        <v>13370</v>
      </c>
      <c r="I38" s="1595">
        <v>30</v>
      </c>
      <c r="J38" s="1264">
        <f t="shared" ref="J38:J46" si="1">ROUND(E38*I38,)</f>
        <v>11460</v>
      </c>
      <c r="K38" s="1265">
        <f t="shared" ref="K38:K46" si="2">H38+J38</f>
        <v>24830</v>
      </c>
      <c r="L38" s="1596"/>
      <c r="M38" s="1532"/>
      <c r="N38" s="1532"/>
    </row>
    <row r="39" spans="1:14" s="1199" customFormat="1" ht="24" customHeight="1">
      <c r="A39" s="1564"/>
      <c r="B39" s="1597" t="s">
        <v>1734</v>
      </c>
      <c r="C39" s="1533"/>
      <c r="D39" s="1534"/>
      <c r="E39" s="1566">
        <v>187</v>
      </c>
      <c r="F39" s="1567" t="s">
        <v>226</v>
      </c>
      <c r="G39" s="1593">
        <v>46</v>
      </c>
      <c r="H39" s="1264">
        <f t="shared" si="0"/>
        <v>8602</v>
      </c>
      <c r="I39" s="1595">
        <v>30</v>
      </c>
      <c r="J39" s="1264">
        <f t="shared" si="1"/>
        <v>5610</v>
      </c>
      <c r="K39" s="1265">
        <f t="shared" si="2"/>
        <v>14212</v>
      </c>
      <c r="L39" s="1596"/>
      <c r="M39" s="1532"/>
      <c r="N39" s="1532"/>
    </row>
    <row r="40" spans="1:14" s="1199" customFormat="1" ht="24" customHeight="1">
      <c r="A40" s="1564"/>
      <c r="B40" s="1597" t="s">
        <v>1836</v>
      </c>
      <c r="C40" s="1533"/>
      <c r="D40" s="1534"/>
      <c r="E40" s="1566">
        <v>13</v>
      </c>
      <c r="F40" s="1567" t="s">
        <v>226</v>
      </c>
      <c r="G40" s="1593">
        <v>113</v>
      </c>
      <c r="H40" s="1264">
        <f t="shared" si="0"/>
        <v>1469</v>
      </c>
      <c r="I40" s="1595">
        <v>50</v>
      </c>
      <c r="J40" s="1264">
        <f t="shared" si="1"/>
        <v>650</v>
      </c>
      <c r="K40" s="1265">
        <f t="shared" si="2"/>
        <v>2119</v>
      </c>
      <c r="L40" s="1596"/>
      <c r="M40" s="1532"/>
      <c r="N40" s="1532"/>
    </row>
    <row r="41" spans="1:14" s="1199" customFormat="1" ht="24" customHeight="1">
      <c r="A41" s="1564"/>
      <c r="B41" s="1597" t="s">
        <v>1827</v>
      </c>
      <c r="C41" s="1533"/>
      <c r="D41" s="1534"/>
      <c r="E41" s="1566">
        <v>26</v>
      </c>
      <c r="F41" s="1567" t="s">
        <v>226</v>
      </c>
      <c r="G41" s="1593">
        <v>193</v>
      </c>
      <c r="H41" s="1264">
        <f t="shared" si="0"/>
        <v>5018</v>
      </c>
      <c r="I41" s="1595">
        <v>75</v>
      </c>
      <c r="J41" s="1264">
        <f t="shared" si="1"/>
        <v>1950</v>
      </c>
      <c r="K41" s="1265">
        <f t="shared" si="2"/>
        <v>6968</v>
      </c>
      <c r="L41" s="1596"/>
      <c r="M41" s="1532"/>
      <c r="N41" s="1532"/>
    </row>
    <row r="42" spans="1:14" s="1199" customFormat="1" ht="24" customHeight="1">
      <c r="A42" s="1564"/>
      <c r="B42" s="1597" t="s">
        <v>1715</v>
      </c>
      <c r="C42" s="1533"/>
      <c r="D42" s="1534"/>
      <c r="E42" s="1566">
        <v>65</v>
      </c>
      <c r="F42" s="1567" t="s">
        <v>226</v>
      </c>
      <c r="G42" s="1593">
        <v>287</v>
      </c>
      <c r="H42" s="1264">
        <f t="shared" si="0"/>
        <v>18655</v>
      </c>
      <c r="I42" s="1595">
        <v>100</v>
      </c>
      <c r="J42" s="1264">
        <f t="shared" si="1"/>
        <v>6500</v>
      </c>
      <c r="K42" s="1265">
        <f t="shared" si="2"/>
        <v>25155</v>
      </c>
      <c r="L42" s="1596"/>
      <c r="M42" s="1532"/>
      <c r="N42" s="1532"/>
    </row>
    <row r="43" spans="1:14" s="1199" customFormat="1" ht="24" customHeight="1">
      <c r="A43" s="1564"/>
      <c r="B43" s="1597" t="s">
        <v>1716</v>
      </c>
      <c r="C43" s="1533"/>
      <c r="D43" s="1534"/>
      <c r="E43" s="1566">
        <v>32</v>
      </c>
      <c r="F43" s="1567" t="s">
        <v>226</v>
      </c>
      <c r="G43" s="1593">
        <v>562</v>
      </c>
      <c r="H43" s="1264">
        <f>ROUND(E43*G43,)</f>
        <v>17984</v>
      </c>
      <c r="I43" s="1595">
        <v>120</v>
      </c>
      <c r="J43" s="1264">
        <f>ROUND(E43*I43,)</f>
        <v>3840</v>
      </c>
      <c r="K43" s="1273">
        <f>H43+J43</f>
        <v>21824</v>
      </c>
      <c r="L43" s="1596"/>
      <c r="M43" s="1532"/>
      <c r="N43" s="1532"/>
    </row>
    <row r="44" spans="1:14" s="1199" customFormat="1" ht="24" customHeight="1">
      <c r="A44" s="1564"/>
      <c r="B44" s="1597" t="s">
        <v>1719</v>
      </c>
      <c r="C44" s="1533"/>
      <c r="D44" s="1534"/>
      <c r="E44" s="1566">
        <v>1</v>
      </c>
      <c r="F44" s="1567" t="s">
        <v>1104</v>
      </c>
      <c r="G44" s="1593">
        <f>SUM(H38:H43)*50%</f>
        <v>32549</v>
      </c>
      <c r="H44" s="1264">
        <f t="shared" si="0"/>
        <v>32549</v>
      </c>
      <c r="I44" s="1595">
        <f>ROUND(G44*0.3,)</f>
        <v>9765</v>
      </c>
      <c r="J44" s="1264">
        <f t="shared" si="1"/>
        <v>9765</v>
      </c>
      <c r="K44" s="1265">
        <f t="shared" si="2"/>
        <v>42314</v>
      </c>
      <c r="L44" s="1596"/>
    </row>
    <row r="45" spans="1:14" s="1199" customFormat="1" ht="24" customHeight="1">
      <c r="A45" s="1564"/>
      <c r="B45" s="1597" t="s">
        <v>1720</v>
      </c>
      <c r="C45" s="1533"/>
      <c r="D45" s="1534"/>
      <c r="E45" s="1566">
        <v>1</v>
      </c>
      <c r="F45" s="1567" t="s">
        <v>1104</v>
      </c>
      <c r="G45" s="1593">
        <f>ROUND(SUM(H38:H43)*20%,)</f>
        <v>13020</v>
      </c>
      <c r="H45" s="1264">
        <f t="shared" si="0"/>
        <v>13020</v>
      </c>
      <c r="I45" s="1595">
        <f>ROUND(G45*0.3,)</f>
        <v>3906</v>
      </c>
      <c r="J45" s="1264">
        <f t="shared" si="1"/>
        <v>3906</v>
      </c>
      <c r="K45" s="1265">
        <f t="shared" si="2"/>
        <v>16926</v>
      </c>
      <c r="L45" s="1596"/>
    </row>
    <row r="46" spans="1:14" s="1199" customFormat="1" ht="24" customHeight="1">
      <c r="A46" s="1564"/>
      <c r="B46" s="1597" t="s">
        <v>1721</v>
      </c>
      <c r="C46" s="1533"/>
      <c r="D46" s="1534"/>
      <c r="E46" s="1566">
        <v>1</v>
      </c>
      <c r="F46" s="1567" t="s">
        <v>1104</v>
      </c>
      <c r="G46" s="1593">
        <f>ROUND(SUM(H38:H43)*10%,)</f>
        <v>6510</v>
      </c>
      <c r="H46" s="1264">
        <f t="shared" si="0"/>
        <v>6510</v>
      </c>
      <c r="I46" s="1595">
        <f>ROUND(G46*0.3,)</f>
        <v>1953</v>
      </c>
      <c r="J46" s="1264">
        <f t="shared" si="1"/>
        <v>1953</v>
      </c>
      <c r="K46" s="1265">
        <f t="shared" si="2"/>
        <v>8463</v>
      </c>
      <c r="L46" s="1596"/>
    </row>
    <row r="47" spans="1:14" s="1199" customFormat="1" ht="24" customHeight="1">
      <c r="A47" s="1564" t="s">
        <v>1722</v>
      </c>
      <c r="B47" s="1597" t="s">
        <v>1725</v>
      </c>
      <c r="C47" s="1533"/>
      <c r="D47" s="1534"/>
      <c r="E47" s="1566"/>
      <c r="F47" s="1567"/>
      <c r="G47" s="1593"/>
      <c r="H47" s="1264"/>
      <c r="I47" s="1595"/>
      <c r="J47" s="1264"/>
      <c r="K47" s="1265"/>
      <c r="L47" s="1596"/>
    </row>
    <row r="48" spans="1:14" s="1199" customFormat="1" ht="24" customHeight="1">
      <c r="A48" s="1564"/>
      <c r="B48" s="1597" t="s">
        <v>1731</v>
      </c>
      <c r="C48" s="1533"/>
      <c r="D48" s="1534"/>
      <c r="E48" s="1566">
        <v>5</v>
      </c>
      <c r="F48" s="1567" t="s">
        <v>363</v>
      </c>
      <c r="G48" s="1593">
        <v>880</v>
      </c>
      <c r="H48" s="1264">
        <f t="shared" ref="H48:H49" si="3">ROUND(E48*G48,)</f>
        <v>4400</v>
      </c>
      <c r="I48" s="1595">
        <v>150</v>
      </c>
      <c r="J48" s="1264">
        <f t="shared" ref="J48:J49" si="4">ROUND(E48*I48,)</f>
        <v>750</v>
      </c>
      <c r="K48" s="1265">
        <f t="shared" ref="K48:K49" si="5">H48+J48</f>
        <v>5150</v>
      </c>
      <c r="L48" s="2082" t="s">
        <v>2667</v>
      </c>
    </row>
    <row r="49" spans="1:12" s="1199" customFormat="1" ht="24" customHeight="1">
      <c r="A49" s="1564"/>
      <c r="B49" s="1565" t="s">
        <v>1734</v>
      </c>
      <c r="C49" s="1533"/>
      <c r="D49" s="1534"/>
      <c r="E49" s="1566">
        <v>2</v>
      </c>
      <c r="F49" s="1567" t="s">
        <v>363</v>
      </c>
      <c r="G49" s="1593">
        <v>1316</v>
      </c>
      <c r="H49" s="1264">
        <f t="shared" si="3"/>
        <v>2632</v>
      </c>
      <c r="I49" s="1595">
        <v>200</v>
      </c>
      <c r="J49" s="1264">
        <f t="shared" si="4"/>
        <v>400</v>
      </c>
      <c r="K49" s="1265">
        <f t="shared" si="5"/>
        <v>3032</v>
      </c>
      <c r="L49" s="2082" t="s">
        <v>2667</v>
      </c>
    </row>
    <row r="50" spans="1:12" s="1199" customFormat="1" ht="24" customHeight="1">
      <c r="A50" s="1564" t="s">
        <v>1727</v>
      </c>
      <c r="B50" s="1597" t="s">
        <v>1723</v>
      </c>
      <c r="C50" s="1533"/>
      <c r="D50" s="1534"/>
      <c r="E50" s="1566"/>
      <c r="F50" s="1567"/>
      <c r="G50" s="1593"/>
      <c r="H50" s="1264"/>
      <c r="I50" s="1595"/>
      <c r="J50" s="1264"/>
      <c r="K50" s="1265"/>
      <c r="L50" s="1596"/>
    </row>
    <row r="51" spans="1:12" s="1199" customFormat="1" ht="24" customHeight="1">
      <c r="A51" s="1564"/>
      <c r="B51" s="1597" t="s">
        <v>1715</v>
      </c>
      <c r="C51" s="1533"/>
      <c r="D51" s="1534"/>
      <c r="E51" s="1566">
        <v>10</v>
      </c>
      <c r="F51" s="1567" t="s">
        <v>363</v>
      </c>
      <c r="G51" s="1593">
        <v>1946</v>
      </c>
      <c r="H51" s="1264">
        <f>ROUND(E51*G51,)</f>
        <v>19460</v>
      </c>
      <c r="I51" s="1595">
        <v>500</v>
      </c>
      <c r="J51" s="1264">
        <f>ROUND(E51*I51,)</f>
        <v>5000</v>
      </c>
      <c r="K51" s="1265">
        <f>H51+J51</f>
        <v>24460</v>
      </c>
      <c r="L51" s="1596"/>
    </row>
    <row r="52" spans="1:12" s="1199" customFormat="1" ht="24" customHeight="1">
      <c r="A52" s="1564"/>
      <c r="B52" s="1597" t="s">
        <v>1716</v>
      </c>
      <c r="C52" s="1533"/>
      <c r="D52" s="1534"/>
      <c r="E52" s="1566">
        <v>4</v>
      </c>
      <c r="F52" s="1567" t="s">
        <v>363</v>
      </c>
      <c r="G52" s="1593">
        <v>2218</v>
      </c>
      <c r="H52" s="1264">
        <f>ROUND(E52*G52,)</f>
        <v>8872</v>
      </c>
      <c r="I52" s="1595">
        <v>600</v>
      </c>
      <c r="J52" s="1264">
        <f>ROUND(E52*I52,)</f>
        <v>2400</v>
      </c>
      <c r="K52" s="1273">
        <f>H52+J52</f>
        <v>11272</v>
      </c>
      <c r="L52" s="1596"/>
    </row>
    <row r="53" spans="1:12" s="1199" customFormat="1" ht="24" customHeight="1">
      <c r="A53" s="1564" t="s">
        <v>1729</v>
      </c>
      <c r="B53" s="1597" t="s">
        <v>1828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596"/>
    </row>
    <row r="54" spans="1:12" s="1199" customFormat="1" ht="24" customHeight="1">
      <c r="A54" s="1564"/>
      <c r="B54" s="1597" t="s">
        <v>1837</v>
      </c>
      <c r="C54" s="1533"/>
      <c r="D54" s="1534"/>
      <c r="E54" s="1566">
        <v>2</v>
      </c>
      <c r="F54" s="1567" t="s">
        <v>363</v>
      </c>
      <c r="G54" s="1593">
        <v>1440</v>
      </c>
      <c r="H54" s="1264">
        <f>ROUND(E54*G54,)</f>
        <v>2880</v>
      </c>
      <c r="I54" s="1595">
        <v>165</v>
      </c>
      <c r="J54" s="1264">
        <f>ROUND(I54*E54,)</f>
        <v>330</v>
      </c>
      <c r="K54" s="1265">
        <f>H54+J54</f>
        <v>3210</v>
      </c>
      <c r="L54" s="1596"/>
    </row>
    <row r="55" spans="1:12" s="1199" customFormat="1" ht="24" customHeight="1">
      <c r="A55" s="1564"/>
      <c r="B55" s="1597" t="s">
        <v>1838</v>
      </c>
      <c r="C55" s="1533"/>
      <c r="D55" s="1534"/>
      <c r="E55" s="1566">
        <v>4</v>
      </c>
      <c r="F55" s="1567" t="s">
        <v>363</v>
      </c>
      <c r="G55" s="1593">
        <v>5603</v>
      </c>
      <c r="H55" s="1264">
        <f>ROUND(E55*G55,)</f>
        <v>22412</v>
      </c>
      <c r="I55" s="1595">
        <v>330</v>
      </c>
      <c r="J55" s="1264">
        <f>ROUND(I55*E55,)</f>
        <v>1320</v>
      </c>
      <c r="K55" s="1265">
        <f>H55+J55</f>
        <v>23732</v>
      </c>
      <c r="L55" s="1596"/>
    </row>
    <row r="56" spans="1:12" s="1199" customFormat="1" ht="24" customHeight="1">
      <c r="A56" s="1564" t="s">
        <v>1732</v>
      </c>
      <c r="B56" s="1565" t="s">
        <v>1822</v>
      </c>
      <c r="C56" s="1533"/>
      <c r="D56" s="1534"/>
      <c r="E56" s="1566"/>
      <c r="F56" s="1567"/>
      <c r="G56" s="1593"/>
      <c r="H56" s="1264"/>
      <c r="I56" s="1595"/>
      <c r="J56" s="1264"/>
      <c r="K56" s="1265"/>
      <c r="L56" s="1596"/>
    </row>
    <row r="57" spans="1:12" s="1199" customFormat="1" ht="24" customHeight="1">
      <c r="A57" s="1564"/>
      <c r="B57" s="1565" t="s">
        <v>1823</v>
      </c>
      <c r="C57" s="1533"/>
      <c r="D57" s="1534"/>
      <c r="E57" s="1566">
        <v>9</v>
      </c>
      <c r="F57" s="1567" t="s">
        <v>363</v>
      </c>
      <c r="G57" s="1603">
        <v>210</v>
      </c>
      <c r="H57" s="1264">
        <f>ROUND(E57*G57,)</f>
        <v>1890</v>
      </c>
      <c r="I57" s="1595">
        <v>100</v>
      </c>
      <c r="J57" s="1264">
        <f>ROUND(E57*I57,)</f>
        <v>900</v>
      </c>
      <c r="K57" s="1265">
        <f>H57+J57</f>
        <v>2790</v>
      </c>
      <c r="L57" s="1596"/>
    </row>
    <row r="58" spans="1:12" s="1199" customFormat="1" ht="24" customHeight="1">
      <c r="A58" s="1564"/>
      <c r="B58" s="1565"/>
      <c r="C58" s="1533"/>
      <c r="D58" s="1534"/>
      <c r="E58" s="1566"/>
      <c r="F58" s="1567"/>
      <c r="G58" s="1603"/>
      <c r="H58" s="1264"/>
      <c r="I58" s="1595"/>
      <c r="J58" s="1264"/>
      <c r="K58" s="1265"/>
      <c r="L58" s="1596"/>
    </row>
    <row r="59" spans="1:12" s="1199" customFormat="1" ht="24" customHeight="1">
      <c r="A59" s="1564"/>
      <c r="B59" s="1565"/>
      <c r="C59" s="1533"/>
      <c r="D59" s="1534"/>
      <c r="E59" s="1566"/>
      <c r="F59" s="1567"/>
      <c r="G59" s="1603"/>
      <c r="H59" s="1264"/>
      <c r="I59" s="1595"/>
      <c r="J59" s="1264"/>
      <c r="K59" s="1265"/>
      <c r="L59" s="1596"/>
    </row>
    <row r="60" spans="1:12" s="1199" customFormat="1" ht="24" customHeight="1">
      <c r="A60" s="1564" t="s">
        <v>1735</v>
      </c>
      <c r="B60" s="1597" t="s">
        <v>1824</v>
      </c>
      <c r="C60" s="1533"/>
      <c r="D60" s="1534"/>
      <c r="E60" s="1566"/>
      <c r="F60" s="1567"/>
      <c r="G60" s="1593"/>
      <c r="H60" s="1264"/>
      <c r="I60" s="1595"/>
      <c r="J60" s="1264"/>
      <c r="K60" s="1273"/>
      <c r="L60" s="1596"/>
    </row>
    <row r="61" spans="1:12" s="1199" customFormat="1" ht="24" customHeight="1">
      <c r="A61" s="1564"/>
      <c r="B61" s="1597" t="s">
        <v>1823</v>
      </c>
      <c r="C61" s="1533"/>
      <c r="D61" s="1534"/>
      <c r="E61" s="1566">
        <v>9</v>
      </c>
      <c r="F61" s="1567" t="s">
        <v>363</v>
      </c>
      <c r="G61" s="1593">
        <v>120</v>
      </c>
      <c r="H61" s="1264">
        <f>ROUND(E61*G61,)</f>
        <v>1080</v>
      </c>
      <c r="I61" s="1595">
        <v>50</v>
      </c>
      <c r="J61" s="1264">
        <f>ROUND(I61*E61,)</f>
        <v>450</v>
      </c>
      <c r="K61" s="1273">
        <f>H61+J61</f>
        <v>1530</v>
      </c>
      <c r="L61" s="1596"/>
    </row>
    <row r="62" spans="1:12" s="1199" customFormat="1" ht="24" customHeight="1">
      <c r="A62" s="1564"/>
      <c r="B62" s="1597"/>
      <c r="C62" s="1533"/>
      <c r="D62" s="1534"/>
      <c r="E62" s="1566"/>
      <c r="F62" s="1567"/>
      <c r="G62" s="1593"/>
      <c r="H62" s="1264"/>
      <c r="I62" s="1595"/>
      <c r="J62" s="1264"/>
      <c r="K62" s="1273"/>
      <c r="L62" s="1596"/>
    </row>
    <row r="63" spans="1:12" s="1199" customFormat="1" ht="24" customHeight="1">
      <c r="A63" s="1564"/>
      <c r="B63" s="1597"/>
      <c r="C63" s="1533"/>
      <c r="D63" s="1534"/>
      <c r="E63" s="1566"/>
      <c r="F63" s="1567"/>
      <c r="G63" s="1593"/>
      <c r="H63" s="1264"/>
      <c r="I63" s="1595"/>
      <c r="J63" s="1264"/>
      <c r="K63" s="1273"/>
      <c r="L63" s="1596"/>
    </row>
    <row r="64" spans="1:12" s="1199" customFormat="1" ht="24" customHeight="1">
      <c r="A64" s="1564"/>
      <c r="B64" s="1597"/>
      <c r="C64" s="1533"/>
      <c r="D64" s="1534"/>
      <c r="E64" s="1566"/>
      <c r="F64" s="1567"/>
      <c r="G64" s="1593"/>
      <c r="H64" s="1264"/>
      <c r="I64" s="1595"/>
      <c r="J64" s="1264"/>
      <c r="K64" s="1273"/>
      <c r="L64" s="1596"/>
    </row>
    <row r="65" spans="1:15" s="1199" customFormat="1" ht="24" customHeight="1">
      <c r="A65" s="1564"/>
      <c r="B65" s="1597"/>
      <c r="C65" s="1533"/>
      <c r="D65" s="1534"/>
      <c r="E65" s="1566"/>
      <c r="F65" s="1567"/>
      <c r="G65" s="1593"/>
      <c r="H65" s="1264"/>
      <c r="I65" s="1595"/>
      <c r="J65" s="1264"/>
      <c r="K65" s="1273"/>
      <c r="L65" s="1596"/>
    </row>
    <row r="66" spans="1:15" s="1199" customFormat="1" ht="24" customHeight="1">
      <c r="A66" s="1578"/>
      <c r="B66" s="2257" t="str">
        <f>"รวมราคารายการที่ "&amp;A36</f>
        <v>รวมราคารายการที่ 5.1</v>
      </c>
      <c r="C66" s="2258"/>
      <c r="D66" s="2259"/>
      <c r="E66" s="1579"/>
      <c r="F66" s="1579"/>
      <c r="G66" s="1580"/>
      <c r="H66" s="1581">
        <f>SUM(H37:H65)</f>
        <v>180803</v>
      </c>
      <c r="I66" s="1582"/>
      <c r="J66" s="1581">
        <f>SUM(J36:J65)</f>
        <v>57184</v>
      </c>
      <c r="K66" s="1583">
        <f>SUM(K36:K65)</f>
        <v>237987</v>
      </c>
      <c r="L66" s="1583"/>
    </row>
    <row r="67" spans="1:15" s="1199" customFormat="1" ht="24" customHeight="1">
      <c r="A67" s="1605" t="s">
        <v>1744</v>
      </c>
      <c r="B67" s="1606" t="s">
        <v>1745</v>
      </c>
      <c r="C67" s="1607"/>
      <c r="D67" s="1608"/>
      <c r="E67" s="1609"/>
      <c r="F67" s="1610"/>
      <c r="G67" s="1611"/>
      <c r="H67" s="1612"/>
      <c r="I67" s="1613"/>
      <c r="J67" s="1612"/>
      <c r="K67" s="1614"/>
      <c r="L67" s="1614"/>
      <c r="M67" s="1532"/>
      <c r="N67" s="1532"/>
    </row>
    <row r="68" spans="1:15" s="1199" customFormat="1" ht="24" customHeight="1">
      <c r="A68" s="1572" t="s">
        <v>1746</v>
      </c>
      <c r="B68" s="1597" t="s">
        <v>1839</v>
      </c>
      <c r="C68" s="1533"/>
      <c r="D68" s="1534"/>
      <c r="E68" s="1566"/>
      <c r="F68" s="1567"/>
      <c r="G68" s="1516"/>
      <c r="H68" s="1264"/>
      <c r="I68" s="1265"/>
      <c r="J68" s="1264"/>
      <c r="K68" s="1273"/>
      <c r="L68" s="1273"/>
      <c r="M68" s="1532"/>
      <c r="N68" s="1532"/>
    </row>
    <row r="69" spans="1:15" s="1199" customFormat="1" ht="24" customHeight="1">
      <c r="A69" s="1564"/>
      <c r="B69" s="1597" t="s">
        <v>1340</v>
      </c>
      <c r="C69" s="1533"/>
      <c r="D69" s="1534"/>
      <c r="E69" s="1566">
        <v>196</v>
      </c>
      <c r="F69" s="1567" t="s">
        <v>226</v>
      </c>
      <c r="G69" s="1516">
        <v>127</v>
      </c>
      <c r="H69" s="1264">
        <f t="shared" ref="H69:H75" si="6">ROUND(E69*G69,)</f>
        <v>24892</v>
      </c>
      <c r="I69" s="1265">
        <v>40</v>
      </c>
      <c r="J69" s="1264">
        <f t="shared" ref="J69:J75" si="7">ROUND(I69*E69,)</f>
        <v>7840</v>
      </c>
      <c r="K69" s="1273">
        <f t="shared" ref="K69:K75" si="8">H69+J69</f>
        <v>32732</v>
      </c>
      <c r="L69" s="1596"/>
      <c r="M69" s="1532"/>
      <c r="N69" s="1532"/>
    </row>
    <row r="70" spans="1:15" s="1199" customFormat="1" ht="24" customHeight="1">
      <c r="A70" s="1564"/>
      <c r="B70" s="1597" t="s">
        <v>1342</v>
      </c>
      <c r="C70" s="1533"/>
      <c r="D70" s="1534"/>
      <c r="E70" s="1566">
        <v>53</v>
      </c>
      <c r="F70" s="1567" t="s">
        <v>226</v>
      </c>
      <c r="G70" s="1516">
        <v>258</v>
      </c>
      <c r="H70" s="1264">
        <f t="shared" si="6"/>
        <v>13674</v>
      </c>
      <c r="I70" s="1265">
        <v>75</v>
      </c>
      <c r="J70" s="1264">
        <f t="shared" si="7"/>
        <v>3975</v>
      </c>
      <c r="K70" s="1273">
        <f t="shared" si="8"/>
        <v>17649</v>
      </c>
      <c r="L70" s="1596"/>
      <c r="M70" s="1532"/>
      <c r="N70" s="1532"/>
    </row>
    <row r="71" spans="1:15" s="1199" customFormat="1" ht="24" customHeight="1">
      <c r="A71" s="1564"/>
      <c r="B71" s="1597" t="s">
        <v>1759</v>
      </c>
      <c r="C71" s="1533"/>
      <c r="D71" s="1534"/>
      <c r="E71" s="1566">
        <v>125</v>
      </c>
      <c r="F71" s="1567" t="s">
        <v>226</v>
      </c>
      <c r="G71" s="1516">
        <v>395</v>
      </c>
      <c r="H71" s="1264">
        <f t="shared" si="6"/>
        <v>49375</v>
      </c>
      <c r="I71" s="1265">
        <v>120</v>
      </c>
      <c r="J71" s="1264">
        <f t="shared" si="7"/>
        <v>15000</v>
      </c>
      <c r="K71" s="1273">
        <f t="shared" si="8"/>
        <v>64375</v>
      </c>
      <c r="L71" s="1596"/>
    </row>
    <row r="72" spans="1:15" s="1199" customFormat="1" ht="24" customHeight="1">
      <c r="A72" s="1564"/>
      <c r="B72" s="1597" t="s">
        <v>1754</v>
      </c>
      <c r="C72" s="1533"/>
      <c r="D72" s="1534"/>
      <c r="E72" s="1566">
        <v>33</v>
      </c>
      <c r="F72" s="1567" t="s">
        <v>226</v>
      </c>
      <c r="G72" s="1516">
        <v>789</v>
      </c>
      <c r="H72" s="1264">
        <f t="shared" si="6"/>
        <v>26037</v>
      </c>
      <c r="I72" s="1265">
        <v>250</v>
      </c>
      <c r="J72" s="1264">
        <f t="shared" si="7"/>
        <v>8250</v>
      </c>
      <c r="K72" s="1273">
        <f t="shared" si="8"/>
        <v>34287</v>
      </c>
      <c r="L72" s="1596"/>
    </row>
    <row r="73" spans="1:15" s="1199" customFormat="1" ht="24" customHeight="1">
      <c r="A73" s="1564"/>
      <c r="B73" s="1597" t="s">
        <v>1719</v>
      </c>
      <c r="C73" s="1533"/>
      <c r="D73" s="1534"/>
      <c r="E73" s="1566">
        <v>1</v>
      </c>
      <c r="F73" s="1567" t="s">
        <v>1104</v>
      </c>
      <c r="G73" s="1516">
        <f>ROUND(SUM(H69:H72)*40%,)</f>
        <v>45591</v>
      </c>
      <c r="H73" s="1264">
        <f t="shared" si="6"/>
        <v>45591</v>
      </c>
      <c r="I73" s="1595">
        <f>ROUND(G73*0.3,)</f>
        <v>13677</v>
      </c>
      <c r="J73" s="1264">
        <f t="shared" si="7"/>
        <v>13677</v>
      </c>
      <c r="K73" s="1273">
        <f t="shared" si="8"/>
        <v>59268</v>
      </c>
      <c r="L73" s="1273"/>
    </row>
    <row r="74" spans="1:15" s="1199" customFormat="1" ht="24" customHeight="1">
      <c r="A74" s="1564"/>
      <c r="B74" s="1597" t="s">
        <v>1720</v>
      </c>
      <c r="C74" s="1533"/>
      <c r="D74" s="1534"/>
      <c r="E74" s="1566">
        <v>1</v>
      </c>
      <c r="F74" s="1567" t="s">
        <v>1104</v>
      </c>
      <c r="G74" s="1516">
        <f>ROUND(SUM(H69:H72)*20%,)</f>
        <v>22796</v>
      </c>
      <c r="H74" s="1264">
        <f t="shared" si="6"/>
        <v>22796</v>
      </c>
      <c r="I74" s="1595">
        <f>ROUND(G74*0.3,)</f>
        <v>6839</v>
      </c>
      <c r="J74" s="1264">
        <f t="shared" si="7"/>
        <v>6839</v>
      </c>
      <c r="K74" s="1273">
        <f t="shared" si="8"/>
        <v>29635</v>
      </c>
      <c r="L74" s="1273"/>
    </row>
    <row r="75" spans="1:15" s="1199" customFormat="1" ht="24" customHeight="1">
      <c r="A75" s="1564"/>
      <c r="B75" s="1597" t="s">
        <v>1756</v>
      </c>
      <c r="C75" s="1533"/>
      <c r="D75" s="1534"/>
      <c r="E75" s="1566">
        <v>1</v>
      </c>
      <c r="F75" s="1567" t="s">
        <v>1104</v>
      </c>
      <c r="G75" s="1516">
        <f>ROUND(SUM(H69:H72)*10%,)</f>
        <v>11398</v>
      </c>
      <c r="H75" s="1264">
        <f t="shared" si="6"/>
        <v>11398</v>
      </c>
      <c r="I75" s="1595">
        <f>ROUND(G75*0.3,)</f>
        <v>3419</v>
      </c>
      <c r="J75" s="1264">
        <f t="shared" si="7"/>
        <v>3419</v>
      </c>
      <c r="K75" s="1273">
        <f t="shared" si="8"/>
        <v>14817</v>
      </c>
      <c r="L75" s="1273"/>
      <c r="M75" s="1532"/>
    </row>
    <row r="76" spans="1:15" s="1199" customFormat="1" ht="24" customHeight="1">
      <c r="A76" s="1572" t="s">
        <v>1752</v>
      </c>
      <c r="B76" s="1597" t="s">
        <v>1831</v>
      </c>
      <c r="C76" s="1533"/>
      <c r="D76" s="1534"/>
      <c r="E76" s="1566"/>
      <c r="F76" s="1567"/>
      <c r="G76" s="1516"/>
      <c r="H76" s="1264"/>
      <c r="I76" s="1265"/>
      <c r="J76" s="1264"/>
      <c r="K76" s="1273"/>
      <c r="L76" s="1273"/>
      <c r="M76" s="1532"/>
    </row>
    <row r="77" spans="1:15" s="1199" customFormat="1" ht="24" customHeight="1">
      <c r="A77" s="1564"/>
      <c r="B77" s="1597" t="s">
        <v>1338</v>
      </c>
      <c r="C77" s="1533"/>
      <c r="D77" s="1534"/>
      <c r="E77" s="1566">
        <v>110</v>
      </c>
      <c r="F77" s="1567" t="s">
        <v>226</v>
      </c>
      <c r="G77" s="1516">
        <v>20</v>
      </c>
      <c r="H77" s="1264">
        <f t="shared" ref="H77:H84" si="9">ROUND(E77*G77,)</f>
        <v>2200</v>
      </c>
      <c r="I77" s="1265">
        <v>30</v>
      </c>
      <c r="J77" s="1264">
        <f t="shared" ref="J77:J84" si="10">ROUND(I77*E77,)</f>
        <v>3300</v>
      </c>
      <c r="K77" s="1273">
        <f t="shared" ref="K77:K84" si="11">H77+J77</f>
        <v>5500</v>
      </c>
      <c r="L77" s="2082" t="s">
        <v>2667</v>
      </c>
      <c r="N77" s="1199">
        <v>79.17</v>
      </c>
      <c r="O77" s="1199">
        <f>ROUND(N77/4,)</f>
        <v>20</v>
      </c>
    </row>
    <row r="78" spans="1:15" s="1199" customFormat="1" ht="24" customHeight="1">
      <c r="A78" s="1564"/>
      <c r="B78" s="1597" t="s">
        <v>1339</v>
      </c>
      <c r="C78" s="1533"/>
      <c r="D78" s="1534"/>
      <c r="E78" s="1566">
        <v>22</v>
      </c>
      <c r="F78" s="1567" t="s">
        <v>226</v>
      </c>
      <c r="G78" s="1516">
        <v>26</v>
      </c>
      <c r="H78" s="1264">
        <f t="shared" si="9"/>
        <v>572</v>
      </c>
      <c r="I78" s="1265">
        <v>30</v>
      </c>
      <c r="J78" s="1264">
        <f t="shared" si="10"/>
        <v>660</v>
      </c>
      <c r="K78" s="1273">
        <f t="shared" si="11"/>
        <v>1232</v>
      </c>
      <c r="L78" s="2082" t="s">
        <v>2667</v>
      </c>
      <c r="N78" s="1199">
        <v>103.74</v>
      </c>
      <c r="O78" s="1199">
        <f t="shared" ref="O78:O81" si="12">ROUND(N78/4,)</f>
        <v>26</v>
      </c>
    </row>
    <row r="79" spans="1:15" s="1199" customFormat="1" ht="24" customHeight="1">
      <c r="A79" s="1564"/>
      <c r="B79" s="1597" t="s">
        <v>1340</v>
      </c>
      <c r="C79" s="1533"/>
      <c r="D79" s="1534"/>
      <c r="E79" s="1566">
        <v>36</v>
      </c>
      <c r="F79" s="1567" t="s">
        <v>226</v>
      </c>
      <c r="G79" s="1516">
        <v>41</v>
      </c>
      <c r="H79" s="1264">
        <f t="shared" si="9"/>
        <v>1476</v>
      </c>
      <c r="I79" s="1265">
        <v>40</v>
      </c>
      <c r="J79" s="1264">
        <f t="shared" si="10"/>
        <v>1440</v>
      </c>
      <c r="K79" s="1273">
        <f t="shared" si="11"/>
        <v>2916</v>
      </c>
      <c r="L79" s="2082" t="s">
        <v>2667</v>
      </c>
      <c r="N79" s="1199">
        <v>163.80000000000001</v>
      </c>
      <c r="O79" s="1199">
        <f t="shared" si="12"/>
        <v>41</v>
      </c>
    </row>
    <row r="80" spans="1:15" s="1199" customFormat="1" ht="24" customHeight="1">
      <c r="A80" s="1564"/>
      <c r="B80" s="1597" t="s">
        <v>1341</v>
      </c>
      <c r="C80" s="1533"/>
      <c r="D80" s="1534"/>
      <c r="E80" s="1566">
        <v>28</v>
      </c>
      <c r="F80" s="1567" t="s">
        <v>226</v>
      </c>
      <c r="G80" s="1516">
        <v>65</v>
      </c>
      <c r="H80" s="1264">
        <f t="shared" si="9"/>
        <v>1820</v>
      </c>
      <c r="I80" s="1265">
        <v>50</v>
      </c>
      <c r="J80" s="1264">
        <f t="shared" si="10"/>
        <v>1400</v>
      </c>
      <c r="K80" s="1273">
        <f t="shared" si="11"/>
        <v>3220</v>
      </c>
      <c r="L80" s="2082" t="s">
        <v>2667</v>
      </c>
      <c r="N80" s="1199">
        <v>259.35000000000002</v>
      </c>
      <c r="O80" s="1199">
        <f t="shared" si="12"/>
        <v>65</v>
      </c>
    </row>
    <row r="81" spans="1:15" s="1199" customFormat="1" ht="24" customHeight="1">
      <c r="A81" s="1564"/>
      <c r="B81" s="1597" t="s">
        <v>1342</v>
      </c>
      <c r="C81" s="1533"/>
      <c r="D81" s="1534"/>
      <c r="E81" s="1566">
        <v>177</v>
      </c>
      <c r="F81" s="1567" t="s">
        <v>226</v>
      </c>
      <c r="G81" s="1516">
        <v>90</v>
      </c>
      <c r="H81" s="1264">
        <f t="shared" si="9"/>
        <v>15930</v>
      </c>
      <c r="I81" s="1265">
        <v>75</v>
      </c>
      <c r="J81" s="1264">
        <f t="shared" si="10"/>
        <v>13275</v>
      </c>
      <c r="K81" s="1273">
        <f t="shared" si="11"/>
        <v>29205</v>
      </c>
      <c r="L81" s="2082" t="s">
        <v>2667</v>
      </c>
      <c r="N81" s="1199">
        <v>359.45</v>
      </c>
      <c r="O81" s="1199">
        <f t="shared" si="12"/>
        <v>90</v>
      </c>
    </row>
    <row r="82" spans="1:15" s="1199" customFormat="1" ht="24" customHeight="1">
      <c r="A82" s="1564"/>
      <c r="B82" s="1597" t="s">
        <v>1719</v>
      </c>
      <c r="C82" s="1533"/>
      <c r="D82" s="1534"/>
      <c r="E82" s="1566">
        <v>1</v>
      </c>
      <c r="F82" s="1567" t="s">
        <v>1104</v>
      </c>
      <c r="G82" s="1516">
        <f>ROUND(SUM(H77:H81)*40%,)</f>
        <v>8799</v>
      </c>
      <c r="H82" s="1264">
        <f t="shared" si="9"/>
        <v>8799</v>
      </c>
      <c r="I82" s="1595">
        <f>ROUND(G82*0.3,)</f>
        <v>2640</v>
      </c>
      <c r="J82" s="1264">
        <f t="shared" si="10"/>
        <v>2640</v>
      </c>
      <c r="K82" s="1273">
        <f t="shared" si="11"/>
        <v>11439</v>
      </c>
      <c r="L82" s="1596"/>
    </row>
    <row r="83" spans="1:15" s="1199" customFormat="1" ht="24" customHeight="1">
      <c r="A83" s="1564"/>
      <c r="B83" s="1597" t="s">
        <v>1720</v>
      </c>
      <c r="C83" s="1533"/>
      <c r="D83" s="1534"/>
      <c r="E83" s="1566">
        <v>1</v>
      </c>
      <c r="F83" s="1567" t="s">
        <v>1104</v>
      </c>
      <c r="G83" s="1516">
        <f>ROUND(SUM(H77:H81)*30%,)</f>
        <v>6599</v>
      </c>
      <c r="H83" s="1264">
        <f t="shared" si="9"/>
        <v>6599</v>
      </c>
      <c r="I83" s="1595">
        <f>ROUND(G83*0.3,)</f>
        <v>1980</v>
      </c>
      <c r="J83" s="1264">
        <f t="shared" si="10"/>
        <v>1980</v>
      </c>
      <c r="K83" s="1273">
        <f t="shared" si="11"/>
        <v>8579</v>
      </c>
      <c r="L83" s="1273"/>
    </row>
    <row r="84" spans="1:15" s="1199" customFormat="1" ht="24" customHeight="1">
      <c r="A84" s="1564"/>
      <c r="B84" s="1597" t="s">
        <v>1756</v>
      </c>
      <c r="C84" s="1533"/>
      <c r="D84" s="1534"/>
      <c r="E84" s="1566">
        <v>1</v>
      </c>
      <c r="F84" s="1567" t="s">
        <v>1104</v>
      </c>
      <c r="G84" s="1516">
        <f>ROUND(SUM(H77:H81)*10%,)</f>
        <v>2200</v>
      </c>
      <c r="H84" s="1264">
        <f t="shared" si="9"/>
        <v>2200</v>
      </c>
      <c r="I84" s="1595">
        <f>ROUND(G84*0.3,)</f>
        <v>660</v>
      </c>
      <c r="J84" s="1264">
        <f t="shared" si="10"/>
        <v>660</v>
      </c>
      <c r="K84" s="1273">
        <f t="shared" si="11"/>
        <v>2860</v>
      </c>
      <c r="L84" s="1273"/>
    </row>
    <row r="85" spans="1:15" s="1199" customFormat="1" ht="24" customHeight="1">
      <c r="A85" s="1564" t="s">
        <v>1757</v>
      </c>
      <c r="B85" s="1597" t="s">
        <v>1832</v>
      </c>
      <c r="C85" s="1533"/>
      <c r="D85" s="1534"/>
      <c r="E85" s="1566"/>
      <c r="F85" s="1567"/>
      <c r="G85" s="1516"/>
      <c r="H85" s="1264"/>
      <c r="I85" s="1265"/>
      <c r="J85" s="1264"/>
      <c r="K85" s="1273"/>
      <c r="L85" s="1273"/>
    </row>
    <row r="86" spans="1:15" s="1199" customFormat="1" ht="24" customHeight="1">
      <c r="A86" s="1564"/>
      <c r="B86" s="1597" t="s">
        <v>1340</v>
      </c>
      <c r="C86" s="1533"/>
      <c r="D86" s="1534"/>
      <c r="E86" s="1566">
        <v>34</v>
      </c>
      <c r="F86" s="1567" t="s">
        <v>363</v>
      </c>
      <c r="G86" s="1516">
        <f>ROUND(665*0.7,)</f>
        <v>466</v>
      </c>
      <c r="H86" s="1264">
        <f>ROUND(E86*G86,)</f>
        <v>15844</v>
      </c>
      <c r="I86" s="1265">
        <v>200</v>
      </c>
      <c r="J86" s="1264">
        <f>ROUND(I86*E86,)</f>
        <v>6800</v>
      </c>
      <c r="K86" s="1273">
        <f>H86+J86</f>
        <v>22644</v>
      </c>
      <c r="L86" s="1273"/>
    </row>
    <row r="87" spans="1:15" s="1199" customFormat="1" ht="24" customHeight="1">
      <c r="A87" s="1564" t="s">
        <v>1760</v>
      </c>
      <c r="B87" s="1597" t="s">
        <v>1780</v>
      </c>
      <c r="C87" s="1533"/>
      <c r="D87" s="1534"/>
      <c r="E87" s="1566"/>
      <c r="F87" s="1567"/>
      <c r="G87" s="1516"/>
      <c r="H87" s="1264"/>
      <c r="I87" s="1265"/>
      <c r="J87" s="1264"/>
      <c r="K87" s="1273"/>
      <c r="L87" s="1273"/>
      <c r="M87" s="1532"/>
      <c r="N87" s="1532"/>
    </row>
    <row r="88" spans="1:15" s="1199" customFormat="1" ht="24" customHeight="1">
      <c r="A88" s="1564"/>
      <c r="B88" s="1597" t="s">
        <v>1340</v>
      </c>
      <c r="C88" s="1533"/>
      <c r="D88" s="1534"/>
      <c r="E88" s="1566">
        <v>10</v>
      </c>
      <c r="F88" s="1567" t="s">
        <v>363</v>
      </c>
      <c r="G88" s="1516">
        <f>ROUND(240*0.75,)</f>
        <v>180</v>
      </c>
      <c r="H88" s="1264">
        <f>ROUND(E88*G88,)</f>
        <v>1800</v>
      </c>
      <c r="I88" s="1265">
        <v>100</v>
      </c>
      <c r="J88" s="1264">
        <f>ROUND(I88*E88,)</f>
        <v>1000</v>
      </c>
      <c r="K88" s="1273">
        <f>H88+J88</f>
        <v>2800</v>
      </c>
      <c r="L88" s="1596"/>
      <c r="M88" s="1532"/>
      <c r="N88" s="1532"/>
    </row>
    <row r="89" spans="1:15" s="1199" customFormat="1" ht="24" customHeight="1">
      <c r="A89" s="1564"/>
      <c r="B89" s="1597" t="s">
        <v>1342</v>
      </c>
      <c r="C89" s="1533"/>
      <c r="D89" s="1534"/>
      <c r="E89" s="1566">
        <v>4</v>
      </c>
      <c r="F89" s="1567" t="s">
        <v>363</v>
      </c>
      <c r="G89" s="1516">
        <f>ROUND(360*0.75,)</f>
        <v>270</v>
      </c>
      <c r="H89" s="1264">
        <f>ROUND(E89*G89,)</f>
        <v>1080</v>
      </c>
      <c r="I89" s="1265">
        <v>150</v>
      </c>
      <c r="J89" s="1264">
        <f>ROUND(I89*E89,)</f>
        <v>600</v>
      </c>
      <c r="K89" s="1273">
        <f>H89+J89</f>
        <v>1680</v>
      </c>
      <c r="L89" s="1596"/>
    </row>
    <row r="90" spans="1:15" s="1199" customFormat="1" ht="24" customHeight="1">
      <c r="A90" s="1637"/>
      <c r="B90" s="1597" t="s">
        <v>1759</v>
      </c>
      <c r="C90" s="1533"/>
      <c r="D90" s="1534"/>
      <c r="E90" s="1566">
        <v>4</v>
      </c>
      <c r="F90" s="1567" t="s">
        <v>363</v>
      </c>
      <c r="G90" s="1516">
        <f>ROUND(500*0.75,)</f>
        <v>375</v>
      </c>
      <c r="H90" s="1264">
        <f>ROUND(E90*G90,)</f>
        <v>1500</v>
      </c>
      <c r="I90" s="1265">
        <v>200</v>
      </c>
      <c r="J90" s="1264">
        <f>ROUND(I90*E90,)</f>
        <v>800</v>
      </c>
      <c r="K90" s="1273">
        <f>H90+J90</f>
        <v>2300</v>
      </c>
      <c r="L90" s="1273"/>
    </row>
    <row r="91" spans="1:15" s="1199" customFormat="1" ht="24" customHeight="1">
      <c r="A91" s="1564"/>
      <c r="B91" s="1597" t="s">
        <v>1754</v>
      </c>
      <c r="C91" s="1533"/>
      <c r="D91" s="1534"/>
      <c r="E91" s="1566">
        <v>2</v>
      </c>
      <c r="F91" s="1567" t="s">
        <v>363</v>
      </c>
      <c r="G91" s="1516">
        <f>ROUND(950*0.75,)</f>
        <v>713</v>
      </c>
      <c r="H91" s="1264">
        <f>ROUND(E91*G91,)</f>
        <v>1426</v>
      </c>
      <c r="I91" s="1265">
        <v>300</v>
      </c>
      <c r="J91" s="1264">
        <f>ROUND(I91*E91,)</f>
        <v>600</v>
      </c>
      <c r="K91" s="1273">
        <f>H91+J91</f>
        <v>2026</v>
      </c>
      <c r="L91" s="1273"/>
    </row>
    <row r="92" spans="1:15" s="1199" customFormat="1" ht="24" customHeight="1">
      <c r="A92" s="1564"/>
      <c r="B92" s="1597"/>
      <c r="C92" s="1533"/>
      <c r="D92" s="1534"/>
      <c r="E92" s="1566"/>
      <c r="F92" s="1567"/>
      <c r="G92" s="1516"/>
      <c r="H92" s="1264"/>
      <c r="I92" s="1265"/>
      <c r="J92" s="1264"/>
      <c r="K92" s="1273"/>
      <c r="L92" s="1273"/>
      <c r="M92" s="1532"/>
      <c r="N92" s="1532"/>
    </row>
    <row r="93" spans="1:15" s="1199" customFormat="1" ht="24" customHeight="1">
      <c r="A93" s="1564"/>
      <c r="B93" s="1597"/>
      <c r="C93" s="1533"/>
      <c r="D93" s="1534"/>
      <c r="E93" s="1566"/>
      <c r="F93" s="1567"/>
      <c r="G93" s="1516"/>
      <c r="H93" s="1264"/>
      <c r="I93" s="1265"/>
      <c r="J93" s="1264"/>
      <c r="K93" s="1273"/>
      <c r="L93" s="1596"/>
      <c r="M93" s="1532"/>
      <c r="N93" s="1532"/>
    </row>
    <row r="94" spans="1:15" s="1199" customFormat="1" ht="24" customHeight="1">
      <c r="A94" s="1578"/>
      <c r="B94" s="2257" t="str">
        <f>"รวมราคารายการที่ "&amp;A67</f>
        <v>รวมราคารายการที่ 5.2</v>
      </c>
      <c r="C94" s="2258"/>
      <c r="D94" s="2259"/>
      <c r="E94" s="1579"/>
      <c r="F94" s="1579"/>
      <c r="G94" s="1580"/>
      <c r="H94" s="1581">
        <f>SUM(H68:H93)</f>
        <v>255009</v>
      </c>
      <c r="I94" s="1582"/>
      <c r="J94" s="1581">
        <f>SUM(J68:J93)</f>
        <v>94155</v>
      </c>
      <c r="K94" s="1581">
        <f>SUM(K68:K93)</f>
        <v>349164</v>
      </c>
      <c r="L94" s="1583"/>
      <c r="M94" s="1532"/>
      <c r="N94" s="1532"/>
    </row>
    <row r="95" spans="1:15" s="1199" customFormat="1" ht="24" customHeight="1">
      <c r="A95" s="1584">
        <v>5.3</v>
      </c>
      <c r="B95" s="1606" t="s">
        <v>1768</v>
      </c>
      <c r="C95" s="1294"/>
      <c r="D95" s="1294"/>
      <c r="E95" s="1586"/>
      <c r="F95" s="1296"/>
      <c r="G95" s="1357"/>
      <c r="H95" s="1298"/>
      <c r="I95" s="1299"/>
      <c r="J95" s="1298"/>
      <c r="K95" s="1382"/>
      <c r="L95" s="1639"/>
      <c r="M95" s="1532"/>
      <c r="N95" s="1532"/>
    </row>
    <row r="96" spans="1:15" s="1199" customFormat="1" ht="24" customHeight="1">
      <c r="A96" s="1572" t="s">
        <v>1769</v>
      </c>
      <c r="B96" s="1573" t="s">
        <v>1778</v>
      </c>
      <c r="C96" s="1574"/>
      <c r="D96" s="1575"/>
      <c r="E96" s="1598"/>
      <c r="F96" s="1577"/>
      <c r="G96" s="1351"/>
      <c r="H96" s="1281"/>
      <c r="I96" s="1282"/>
      <c r="J96" s="1281"/>
      <c r="K96" s="1405"/>
      <c r="L96" s="1639"/>
      <c r="M96" s="1532"/>
      <c r="N96" s="1532"/>
    </row>
    <row r="97" spans="1:15" s="1199" customFormat="1" ht="24" customHeight="1">
      <c r="A97" s="1564"/>
      <c r="B97" s="1565" t="s">
        <v>1716</v>
      </c>
      <c r="C97" s="1533"/>
      <c r="D97" s="1534"/>
      <c r="E97" s="1566">
        <v>158</v>
      </c>
      <c r="F97" s="1567" t="s">
        <v>226</v>
      </c>
      <c r="G97" s="1516">
        <v>385</v>
      </c>
      <c r="H97" s="1264">
        <f>ROUND(E97*G97,)</f>
        <v>60830</v>
      </c>
      <c r="I97" s="1265">
        <v>145</v>
      </c>
      <c r="J97" s="1264">
        <f>ROUND(I97*E97,)</f>
        <v>22910</v>
      </c>
      <c r="K97" s="1273">
        <f>H97+J97</f>
        <v>83740</v>
      </c>
      <c r="L97" s="2082" t="s">
        <v>2667</v>
      </c>
      <c r="N97" s="1199">
        <v>1440.18</v>
      </c>
      <c r="O97" s="1199">
        <f t="shared" ref="O97" si="13">ROUND(N97/6,)</f>
        <v>240</v>
      </c>
    </row>
    <row r="98" spans="1:15" s="1199" customFormat="1" ht="24" customHeight="1">
      <c r="A98" s="1564"/>
      <c r="B98" s="1565" t="s">
        <v>1719</v>
      </c>
      <c r="C98" s="1533"/>
      <c r="D98" s="1534"/>
      <c r="E98" s="1566">
        <v>1</v>
      </c>
      <c r="F98" s="1567" t="s">
        <v>1104</v>
      </c>
      <c r="G98" s="1516">
        <f>SUM(H97:H97)*40%</f>
        <v>24332</v>
      </c>
      <c r="H98" s="1264">
        <f>ROUND(E98*G98,)</f>
        <v>24332</v>
      </c>
      <c r="I98" s="1595">
        <f>ROUND(G98*0.3,)</f>
        <v>7300</v>
      </c>
      <c r="J98" s="1264">
        <f>ROUND(I98*E98,)</f>
        <v>7300</v>
      </c>
      <c r="K98" s="1273">
        <f>H98+J98</f>
        <v>31632</v>
      </c>
      <c r="L98" s="1639"/>
      <c r="M98" s="1532"/>
      <c r="N98" s="1532"/>
    </row>
    <row r="99" spans="1:15" s="1199" customFormat="1" ht="24" customHeight="1">
      <c r="A99" s="1564"/>
      <c r="B99" s="1565" t="s">
        <v>1720</v>
      </c>
      <c r="C99" s="1533"/>
      <c r="D99" s="1534"/>
      <c r="E99" s="1566">
        <v>1</v>
      </c>
      <c r="F99" s="1567" t="s">
        <v>1104</v>
      </c>
      <c r="G99" s="1516">
        <f>SUM(H97:H97)*20%</f>
        <v>12166</v>
      </c>
      <c r="H99" s="1264">
        <f>ROUND(E99*G99,)</f>
        <v>12166</v>
      </c>
      <c r="I99" s="1595">
        <f>ROUND(G99*0.3,)</f>
        <v>3650</v>
      </c>
      <c r="J99" s="1264">
        <f>ROUND(I99*E99,)</f>
        <v>3650</v>
      </c>
      <c r="K99" s="1273">
        <f>H99+J99</f>
        <v>15816</v>
      </c>
      <c r="L99" s="1639"/>
      <c r="M99" s="1532"/>
      <c r="N99" s="1532"/>
    </row>
    <row r="100" spans="1:15" s="1199" customFormat="1" ht="24" customHeight="1">
      <c r="A100" s="1564"/>
      <c r="B100" s="1565" t="s">
        <v>1756</v>
      </c>
      <c r="C100" s="1533"/>
      <c r="D100" s="1534"/>
      <c r="E100" s="1566">
        <v>1</v>
      </c>
      <c r="F100" s="1567" t="s">
        <v>1104</v>
      </c>
      <c r="G100" s="1516">
        <f>SUM(H97:H97)*10%</f>
        <v>6083</v>
      </c>
      <c r="H100" s="1264">
        <f>ROUND(E100*G100,)</f>
        <v>6083</v>
      </c>
      <c r="I100" s="1595">
        <f>ROUND(G100*0.3,)</f>
        <v>1825</v>
      </c>
      <c r="J100" s="1264">
        <f>ROUND(I100*E100,)</f>
        <v>1825</v>
      </c>
      <c r="K100" s="1273">
        <f>H100+J100</f>
        <v>7908</v>
      </c>
      <c r="L100" s="1639"/>
      <c r="M100" s="1532"/>
      <c r="N100" s="1532"/>
    </row>
    <row r="101" spans="1:15" s="1199" customFormat="1" ht="24" customHeight="1">
      <c r="A101" s="1564" t="s">
        <v>1775</v>
      </c>
      <c r="B101" s="1597" t="s">
        <v>1832</v>
      </c>
      <c r="C101" s="1533"/>
      <c r="D101" s="1534"/>
      <c r="E101" s="1566"/>
      <c r="F101" s="1567"/>
      <c r="G101" s="1516"/>
      <c r="H101" s="1264"/>
      <c r="I101" s="1265"/>
      <c r="J101" s="1264"/>
      <c r="K101" s="1273"/>
      <c r="L101" s="1639"/>
      <c r="M101" s="1532"/>
      <c r="N101" s="1532"/>
    </row>
    <row r="102" spans="1:15" s="1199" customFormat="1" ht="24" customHeight="1">
      <c r="A102" s="1564"/>
      <c r="B102" s="1597" t="s">
        <v>1340</v>
      </c>
      <c r="C102" s="1533"/>
      <c r="D102" s="1534"/>
      <c r="E102" s="1566">
        <v>9</v>
      </c>
      <c r="F102" s="1567" t="s">
        <v>363</v>
      </c>
      <c r="G102" s="1516">
        <f>ROUND(665*0.7,)</f>
        <v>466</v>
      </c>
      <c r="H102" s="1264">
        <f>ROUND(E102*G102,)</f>
        <v>4194</v>
      </c>
      <c r="I102" s="1265">
        <v>200</v>
      </c>
      <c r="J102" s="1264">
        <f>ROUND(I102*E102,)</f>
        <v>1800</v>
      </c>
      <c r="K102" s="1273">
        <f>H102+J102</f>
        <v>5994</v>
      </c>
      <c r="L102" s="1639"/>
      <c r="M102" s="1532"/>
      <c r="N102" s="1532"/>
    </row>
    <row r="103" spans="1:15" s="1199" customFormat="1" ht="24" customHeight="1">
      <c r="A103" s="1564"/>
      <c r="B103" s="1597"/>
      <c r="C103" s="1533"/>
      <c r="D103" s="1534"/>
      <c r="E103" s="1566"/>
      <c r="F103" s="1567"/>
      <c r="G103" s="1516"/>
      <c r="H103" s="1264"/>
      <c r="I103" s="1265"/>
      <c r="J103" s="1264"/>
      <c r="K103" s="1273"/>
      <c r="L103" s="1639"/>
      <c r="M103" s="1532"/>
      <c r="N103" s="1532"/>
    </row>
    <row r="104" spans="1:15" s="1199" customFormat="1" ht="24" customHeight="1">
      <c r="A104" s="1564"/>
      <c r="B104" s="1597"/>
      <c r="C104" s="1533"/>
      <c r="D104" s="1534"/>
      <c r="E104" s="1566"/>
      <c r="F104" s="1567"/>
      <c r="G104" s="1516"/>
      <c r="H104" s="1264"/>
      <c r="I104" s="1265"/>
      <c r="J104" s="1264"/>
      <c r="K104" s="1273"/>
      <c r="L104" s="1639"/>
      <c r="M104" s="1532"/>
      <c r="N104" s="1532"/>
    </row>
    <row r="105" spans="1:15" s="1199" customFormat="1" ht="24" customHeight="1">
      <c r="A105" s="1564"/>
      <c r="B105" s="1565"/>
      <c r="C105" s="1533"/>
      <c r="D105" s="1604"/>
      <c r="E105" s="1566"/>
      <c r="F105" s="1534"/>
      <c r="G105" s="1516"/>
      <c r="H105" s="1264"/>
      <c r="I105" s="1265"/>
      <c r="J105" s="1264"/>
      <c r="K105" s="1273"/>
      <c r="L105" s="1273"/>
      <c r="M105" s="1532"/>
      <c r="N105" s="1532"/>
    </row>
    <row r="106" spans="1:15" s="1199" customFormat="1" ht="24" customHeight="1">
      <c r="A106" s="1349"/>
      <c r="B106" s="1615"/>
      <c r="C106" s="1375"/>
      <c r="D106" s="1375"/>
      <c r="E106" s="1616"/>
      <c r="F106" s="1395"/>
      <c r="G106" s="1617"/>
      <c r="H106" s="1618"/>
      <c r="I106" s="1600"/>
      <c r="J106" s="1618"/>
      <c r="K106" s="1619"/>
      <c r="L106" s="1619"/>
      <c r="M106" s="1532"/>
      <c r="N106" s="1532"/>
    </row>
    <row r="107" spans="1:15" s="1199" customFormat="1" ht="24" customHeight="1">
      <c r="A107" s="1564"/>
      <c r="B107" s="1565"/>
      <c r="C107" s="1533"/>
      <c r="D107" s="1534"/>
      <c r="E107" s="1566"/>
      <c r="F107" s="1567"/>
      <c r="G107" s="1516"/>
      <c r="H107" s="1264"/>
      <c r="I107" s="1265"/>
      <c r="J107" s="1264"/>
      <c r="K107" s="1273"/>
      <c r="L107" s="1639"/>
    </row>
    <row r="108" spans="1:15" s="1199" customFormat="1" ht="24" customHeight="1">
      <c r="A108" s="1564"/>
      <c r="B108" s="1565"/>
      <c r="C108" s="1533"/>
      <c r="D108" s="1534"/>
      <c r="E108" s="1566"/>
      <c r="F108" s="1567"/>
      <c r="G108" s="1516"/>
      <c r="H108" s="1264"/>
      <c r="I108" s="1265"/>
      <c r="J108" s="1264"/>
      <c r="K108" s="1273"/>
      <c r="L108" s="1639"/>
    </row>
    <row r="109" spans="1:15" s="1199" customFormat="1" ht="24" customHeight="1">
      <c r="A109" s="1578"/>
      <c r="B109" s="2257" t="str">
        <f>"รวมราคารายการที่ "&amp;A95</f>
        <v>รวมราคารายการที่ 5.3</v>
      </c>
      <c r="C109" s="2258"/>
      <c r="D109" s="2259"/>
      <c r="E109" s="1579"/>
      <c r="F109" s="1579"/>
      <c r="G109" s="1580"/>
      <c r="H109" s="1581">
        <f>SUM(H96:H108)</f>
        <v>107605</v>
      </c>
      <c r="I109" s="1582"/>
      <c r="J109" s="1581">
        <f>SUM(J96:J108)</f>
        <v>37485</v>
      </c>
      <c r="K109" s="1583">
        <f>SUM(K96:K108)</f>
        <v>145090</v>
      </c>
      <c r="L109" s="1630"/>
    </row>
    <row r="110" spans="1:15" s="1199" customFormat="1" ht="21.3">
      <c r="A110" s="1427"/>
      <c r="E110" s="1570"/>
    </row>
    <row r="111" spans="1:15" s="1199" customFormat="1" ht="21.3">
      <c r="A111" s="1427"/>
      <c r="E111" s="1570"/>
    </row>
    <row r="112" spans="1:15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66:D66"/>
    <mergeCell ref="B94:D94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11-อาคารด้านทิศตะวันตก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98BD2-8F15-4498-8BCE-D735C9EEFF27}">
  <sheetPr>
    <tabColor rgb="FF92D050"/>
  </sheetPr>
  <dimension ref="A1:O111"/>
  <sheetViews>
    <sheetView showGridLines="0" view="pageBreakPreview" topLeftCell="A95" zoomScale="70" zoomScaleNormal="60" zoomScaleSheetLayoutView="7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" customWidth="1"/>
    <col min="13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1708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27</v>
      </c>
      <c r="B11" s="1561" t="s">
        <v>1854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ht="24" customHeight="1">
      <c r="A12" s="1564"/>
      <c r="B12" s="1568" t="str">
        <f>+B35</f>
        <v>งานระบบสุขาภิบาล</v>
      </c>
      <c r="C12" s="1533"/>
      <c r="D12" s="1534"/>
      <c r="E12" s="1566"/>
      <c r="F12" s="1567"/>
      <c r="G12" s="1195"/>
      <c r="H12" s="1196"/>
      <c r="I12" s="1197"/>
      <c r="J12" s="1196"/>
      <c r="K12" s="1553"/>
      <c r="L12" s="1531"/>
    </row>
    <row r="13" spans="1:12" s="1199" customFormat="1" ht="24" customHeight="1">
      <c r="A13" s="1564" t="str">
        <f>A36</f>
        <v>5.1</v>
      </c>
      <c r="B13" s="1565" t="str">
        <f>B36</f>
        <v>ระบบน้ำประปา (Cold Water Supply System)</v>
      </c>
      <c r="C13" s="1533"/>
      <c r="D13" s="1534"/>
      <c r="E13" s="1569">
        <v>1</v>
      </c>
      <c r="F13" s="1567" t="s">
        <v>19</v>
      </c>
      <c r="G13" s="1195"/>
      <c r="H13" s="1196">
        <f>H59</f>
        <v>39999</v>
      </c>
      <c r="I13" s="1197"/>
      <c r="J13" s="1196">
        <f>J59</f>
        <v>11100</v>
      </c>
      <c r="K13" s="1553">
        <f>SUM(H13:J13)</f>
        <v>51099</v>
      </c>
      <c r="L13" s="1531"/>
    </row>
    <row r="14" spans="1:12" s="1199" customFormat="1" ht="24" customHeight="1">
      <c r="A14" s="1572" t="str">
        <f>A60</f>
        <v>5.2</v>
      </c>
      <c r="B14" s="1573" t="str">
        <f>B60</f>
        <v xml:space="preserve">ระบบระบายน้ำโสโครก น้ำทิ้ง ระบายอากาศ และ ท่อน้ำทิ้งจากห้องครัว </v>
      </c>
      <c r="C14" s="1574"/>
      <c r="D14" s="1575"/>
      <c r="E14" s="1576">
        <v>1</v>
      </c>
      <c r="F14" s="1577" t="s">
        <v>19</v>
      </c>
      <c r="G14" s="1228"/>
      <c r="H14" s="1229">
        <f>H66</f>
        <v>2202</v>
      </c>
      <c r="I14" s="1230"/>
      <c r="J14" s="1229">
        <f>J66</f>
        <v>800</v>
      </c>
      <c r="K14" s="1553">
        <f>SUM(H14:J14)</f>
        <v>3002</v>
      </c>
      <c r="L14" s="1430"/>
    </row>
    <row r="15" spans="1:12" s="1199" customFormat="1" ht="24" customHeight="1">
      <c r="A15" s="1572">
        <f>A67</f>
        <v>5.3</v>
      </c>
      <c r="B15" s="1629" t="str">
        <f>B67</f>
        <v>ระบบระบายน้ำฝนและระบายน้ำในอาคาร (Storm Drain &amp; Building Drain System)</v>
      </c>
      <c r="C15" s="1574"/>
      <c r="D15" s="1575"/>
      <c r="E15" s="1576">
        <v>1</v>
      </c>
      <c r="F15" s="1577" t="s">
        <v>19</v>
      </c>
      <c r="G15" s="1228"/>
      <c r="H15" s="1229">
        <f>H86</f>
        <v>634621</v>
      </c>
      <c r="I15" s="1230"/>
      <c r="J15" s="1229">
        <f>J86</f>
        <v>224767</v>
      </c>
      <c r="K15" s="1553">
        <f>SUM(H15:J15)</f>
        <v>859388</v>
      </c>
      <c r="L15" s="1531"/>
    </row>
    <row r="16" spans="1:12" s="1199" customFormat="1" ht="24" customHeight="1">
      <c r="A16" s="1572" t="str">
        <f>A87</f>
        <v>5.4</v>
      </c>
      <c r="B16" s="1629" t="str">
        <f>B87</f>
        <v>ระบบรดน้ำต้นไม้ (Irrigation)</v>
      </c>
      <c r="C16" s="1574"/>
      <c r="D16" s="1575"/>
      <c r="E16" s="1576">
        <v>1</v>
      </c>
      <c r="F16" s="1577" t="s">
        <v>19</v>
      </c>
      <c r="G16" s="1228"/>
      <c r="H16" s="1229">
        <f>H111</f>
        <v>31783</v>
      </c>
      <c r="I16" s="1230"/>
      <c r="J16" s="1229">
        <f>J111</f>
        <v>6683</v>
      </c>
      <c r="K16" s="1553">
        <f>SUM(H16:J16)</f>
        <v>38466</v>
      </c>
      <c r="L16" s="1531"/>
    </row>
    <row r="17" spans="1:12" s="1199" customFormat="1" ht="24" customHeight="1">
      <c r="A17" s="1564"/>
      <c r="B17" s="1565"/>
      <c r="C17" s="1533"/>
      <c r="D17" s="1534"/>
      <c r="E17" s="1566"/>
      <c r="F17" s="1567"/>
      <c r="G17" s="1195"/>
      <c r="H17" s="1196"/>
      <c r="I17" s="1197"/>
      <c r="J17" s="1196"/>
      <c r="K17" s="1553"/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2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2" s="1199" customFormat="1" ht="30" customHeight="1">
      <c r="A34" s="1578"/>
      <c r="B34" s="2257" t="str">
        <f>"รวมราคา"&amp;B11</f>
        <v>รวมราคางานระบบสุขาภิบาล ชั้นดาดฟ้า และชั้นหลังคา</v>
      </c>
      <c r="C34" s="2258"/>
      <c r="D34" s="2259"/>
      <c r="E34" s="1579"/>
      <c r="F34" s="1579"/>
      <c r="G34" s="1580"/>
      <c r="H34" s="1581">
        <f>SUM(H12:H33)</f>
        <v>708605</v>
      </c>
      <c r="I34" s="1582"/>
      <c r="J34" s="1581">
        <f>SUM(J12:J33)</f>
        <v>243350</v>
      </c>
      <c r="K34" s="1583">
        <f>SUM(K12:K33)</f>
        <v>951955</v>
      </c>
      <c r="L34" s="1583"/>
    </row>
    <row r="35" spans="1:12" s="1199" customFormat="1" ht="24" customHeight="1">
      <c r="A35" s="1584"/>
      <c r="B35" s="1585" t="s">
        <v>1023</v>
      </c>
      <c r="C35" s="1294"/>
      <c r="D35" s="1294"/>
      <c r="E35" s="1586"/>
      <c r="F35" s="1402"/>
      <c r="G35" s="1587"/>
      <c r="H35" s="1588"/>
      <c r="I35" s="1589"/>
      <c r="J35" s="1588"/>
      <c r="K35" s="1589"/>
      <c r="L35" s="1330"/>
    </row>
    <row r="36" spans="1:12" s="1199" customFormat="1" ht="24" customHeight="1">
      <c r="A36" s="1590" t="s">
        <v>1710</v>
      </c>
      <c r="B36" s="1591" t="s">
        <v>1711</v>
      </c>
      <c r="C36" s="1592"/>
      <c r="D36" s="1534"/>
      <c r="E36" s="1566"/>
      <c r="F36" s="1567"/>
      <c r="G36" s="1593"/>
      <c r="H36" s="1594"/>
      <c r="I36" s="1595"/>
      <c r="J36" s="1594"/>
      <c r="K36" s="1595"/>
      <c r="L36" s="1596"/>
    </row>
    <row r="37" spans="1:12" s="1199" customFormat="1" ht="24" customHeight="1">
      <c r="A37" s="1572" t="s">
        <v>1712</v>
      </c>
      <c r="B37" s="1597" t="s">
        <v>1713</v>
      </c>
      <c r="C37" s="1533"/>
      <c r="D37" s="1575"/>
      <c r="E37" s="1598"/>
      <c r="F37" s="1577"/>
      <c r="G37" s="1599"/>
      <c r="H37" s="1281"/>
      <c r="I37" s="1600"/>
      <c r="J37" s="1281"/>
      <c r="K37" s="1282"/>
      <c r="L37" s="1596"/>
    </row>
    <row r="38" spans="1:12" s="1199" customFormat="1" ht="24" customHeight="1">
      <c r="A38" s="1564"/>
      <c r="B38" s="1597" t="s">
        <v>1714</v>
      </c>
      <c r="C38" s="1533"/>
      <c r="D38" s="1534"/>
      <c r="E38" s="1566"/>
      <c r="F38" s="1567"/>
      <c r="G38" s="1593"/>
      <c r="H38" s="1264"/>
      <c r="I38" s="1595"/>
      <c r="J38" s="1264"/>
      <c r="K38" s="1265"/>
      <c r="L38" s="1596"/>
    </row>
    <row r="39" spans="1:12" s="1199" customFormat="1" ht="24" customHeight="1">
      <c r="A39" s="1564"/>
      <c r="B39" s="1597" t="s">
        <v>1717</v>
      </c>
      <c r="C39" s="1533"/>
      <c r="D39" s="1534"/>
      <c r="E39" s="1566">
        <v>16</v>
      </c>
      <c r="F39" s="1567" t="s">
        <v>226</v>
      </c>
      <c r="G39" s="1593">
        <v>1088</v>
      </c>
      <c r="H39" s="1264">
        <f>ROUND(E39*G39,)</f>
        <v>17408</v>
      </c>
      <c r="I39" s="1595">
        <v>250</v>
      </c>
      <c r="J39" s="1264">
        <f>ROUND(E39*I39,)</f>
        <v>4000</v>
      </c>
      <c r="K39" s="1265">
        <f>H39+J39</f>
        <v>21408</v>
      </c>
      <c r="L39" s="1596"/>
    </row>
    <row r="40" spans="1:12" s="1199" customFormat="1" ht="24" customHeight="1">
      <c r="A40" s="1564"/>
      <c r="B40" s="1597" t="s">
        <v>1719</v>
      </c>
      <c r="C40" s="1533"/>
      <c r="D40" s="1534"/>
      <c r="E40" s="1566">
        <v>1</v>
      </c>
      <c r="F40" s="1567" t="s">
        <v>1104</v>
      </c>
      <c r="G40" s="1593">
        <f>SUM(H39:H39)*50%</f>
        <v>8704</v>
      </c>
      <c r="H40" s="1264">
        <f>ROUND(E40*G40,)</f>
        <v>8704</v>
      </c>
      <c r="I40" s="1595">
        <f>ROUND(G40*0.3,)</f>
        <v>2611</v>
      </c>
      <c r="J40" s="1264">
        <f>ROUND(E40*I40,)</f>
        <v>2611</v>
      </c>
      <c r="K40" s="1265">
        <f>H40+J40</f>
        <v>11315</v>
      </c>
      <c r="L40" s="1596"/>
    </row>
    <row r="41" spans="1:12" s="1199" customFormat="1" ht="24" customHeight="1">
      <c r="A41" s="1564"/>
      <c r="B41" s="1597" t="s">
        <v>1720</v>
      </c>
      <c r="C41" s="1533"/>
      <c r="D41" s="1534"/>
      <c r="E41" s="1566">
        <v>1</v>
      </c>
      <c r="F41" s="1567" t="s">
        <v>1104</v>
      </c>
      <c r="G41" s="1593">
        <f>SUM(H39)*20%</f>
        <v>3481.6000000000004</v>
      </c>
      <c r="H41" s="1264">
        <f>ROUND(E41*G41,)</f>
        <v>3482</v>
      </c>
      <c r="I41" s="1595">
        <f>ROUND(G41*0.3,)</f>
        <v>1044</v>
      </c>
      <c r="J41" s="1264">
        <f>ROUND(E41*I41,)</f>
        <v>1044</v>
      </c>
      <c r="K41" s="1265">
        <f>H41+J41</f>
        <v>4526</v>
      </c>
      <c r="L41" s="1596"/>
    </row>
    <row r="42" spans="1:12" s="1199" customFormat="1" ht="24" customHeight="1">
      <c r="A42" s="1564"/>
      <c r="B42" s="1597" t="s">
        <v>1721</v>
      </c>
      <c r="C42" s="1533"/>
      <c r="D42" s="1534"/>
      <c r="E42" s="1566">
        <v>1</v>
      </c>
      <c r="F42" s="1567" t="s">
        <v>1104</v>
      </c>
      <c r="G42" s="1593">
        <f>SUM(H39)*10%</f>
        <v>1740.8000000000002</v>
      </c>
      <c r="H42" s="1264">
        <f>ROUND(E42*G42,)</f>
        <v>1741</v>
      </c>
      <c r="I42" s="1595">
        <f>ROUND(G42*0.3,)</f>
        <v>522</v>
      </c>
      <c r="J42" s="1264">
        <f>ROUND(E42*I42,)</f>
        <v>522</v>
      </c>
      <c r="K42" s="1265">
        <f>H42+J42</f>
        <v>2263</v>
      </c>
      <c r="L42" s="1596"/>
    </row>
    <row r="43" spans="1:12" s="1199" customFormat="1" ht="24" customHeight="1">
      <c r="A43" s="1564" t="s">
        <v>1722</v>
      </c>
      <c r="B43" s="1573" t="s">
        <v>1855</v>
      </c>
      <c r="C43" s="1574"/>
      <c r="D43" s="1575"/>
      <c r="E43" s="1598"/>
      <c r="F43" s="1577"/>
      <c r="G43" s="1351"/>
      <c r="H43" s="1281"/>
      <c r="I43" s="1282"/>
      <c r="J43" s="1281"/>
      <c r="K43" s="1405"/>
      <c r="L43" s="1635"/>
    </row>
    <row r="44" spans="1:12" s="1199" customFormat="1" ht="24" customHeight="1">
      <c r="A44" s="1572"/>
      <c r="B44" s="1565" t="s">
        <v>1759</v>
      </c>
      <c r="C44" s="1533"/>
      <c r="D44" s="1534"/>
      <c r="E44" s="1566">
        <v>7</v>
      </c>
      <c r="F44" s="1567" t="s">
        <v>226</v>
      </c>
      <c r="G44" s="1516">
        <v>295</v>
      </c>
      <c r="H44" s="1264">
        <f t="shared" ref="H44:H47" si="0">ROUND(E44*G44,)</f>
        <v>2065</v>
      </c>
      <c r="I44" s="1265">
        <v>150</v>
      </c>
      <c r="J44" s="1264">
        <f t="shared" ref="J44:J47" si="1">ROUND(I44*E44,)</f>
        <v>1050</v>
      </c>
      <c r="K44" s="1273">
        <f t="shared" ref="K44:K47" si="2">H44+J44</f>
        <v>3115</v>
      </c>
      <c r="L44" s="1639"/>
    </row>
    <row r="45" spans="1:12" s="1199" customFormat="1" ht="24" customHeight="1">
      <c r="A45" s="1572"/>
      <c r="B45" s="1565" t="s">
        <v>1719</v>
      </c>
      <c r="C45" s="1533"/>
      <c r="D45" s="1534"/>
      <c r="E45" s="1566">
        <v>1</v>
      </c>
      <c r="F45" s="1567" t="s">
        <v>1104</v>
      </c>
      <c r="G45" s="1516">
        <f>ROUND(SUM(H44)*50%,)</f>
        <v>1033</v>
      </c>
      <c r="H45" s="1264">
        <f t="shared" si="0"/>
        <v>1033</v>
      </c>
      <c r="I45" s="1595">
        <f>ROUND(G45*0.3,)</f>
        <v>310</v>
      </c>
      <c r="J45" s="1264">
        <f t="shared" si="1"/>
        <v>310</v>
      </c>
      <c r="K45" s="1273">
        <f t="shared" si="2"/>
        <v>1343</v>
      </c>
      <c r="L45" s="1639"/>
    </row>
    <row r="46" spans="1:12" s="1199" customFormat="1" ht="24" customHeight="1">
      <c r="A46" s="1572"/>
      <c r="B46" s="1565" t="s">
        <v>1720</v>
      </c>
      <c r="C46" s="1533"/>
      <c r="D46" s="1534"/>
      <c r="E46" s="1566">
        <v>1</v>
      </c>
      <c r="F46" s="1567" t="s">
        <v>1104</v>
      </c>
      <c r="G46" s="1516">
        <f>SUM(H44)*20%</f>
        <v>413</v>
      </c>
      <c r="H46" s="1264">
        <f t="shared" si="0"/>
        <v>413</v>
      </c>
      <c r="I46" s="1595">
        <f>ROUND(G46*0.3,)</f>
        <v>124</v>
      </c>
      <c r="J46" s="1264">
        <f t="shared" si="1"/>
        <v>124</v>
      </c>
      <c r="K46" s="1273">
        <f t="shared" si="2"/>
        <v>537</v>
      </c>
      <c r="L46" s="1639"/>
    </row>
    <row r="47" spans="1:12" s="1199" customFormat="1" ht="24" customHeight="1">
      <c r="A47" s="1572"/>
      <c r="B47" s="1565" t="s">
        <v>1756</v>
      </c>
      <c r="C47" s="1533"/>
      <c r="D47" s="1534"/>
      <c r="E47" s="1566">
        <v>1</v>
      </c>
      <c r="F47" s="1567" t="s">
        <v>1104</v>
      </c>
      <c r="G47" s="1593">
        <f>ROUND(SUM(H44)*10%,)</f>
        <v>207</v>
      </c>
      <c r="H47" s="1264">
        <f t="shared" si="0"/>
        <v>207</v>
      </c>
      <c r="I47" s="1595">
        <f>ROUND(G47*0.3,)</f>
        <v>62</v>
      </c>
      <c r="J47" s="1264">
        <f t="shared" si="1"/>
        <v>62</v>
      </c>
      <c r="K47" s="1265">
        <f t="shared" si="2"/>
        <v>269</v>
      </c>
      <c r="L47" s="1596"/>
    </row>
    <row r="48" spans="1:12" s="1199" customFormat="1" ht="24" customHeight="1">
      <c r="A48" s="1564" t="s">
        <v>1727</v>
      </c>
      <c r="B48" s="1597" t="s">
        <v>1820</v>
      </c>
      <c r="C48" s="1533"/>
      <c r="D48" s="1534"/>
      <c r="E48" s="1566"/>
      <c r="F48" s="1567"/>
      <c r="G48" s="1593"/>
      <c r="H48" s="1264"/>
      <c r="I48" s="1595"/>
      <c r="J48" s="1264"/>
      <c r="K48" s="1265"/>
      <c r="L48" s="1596"/>
    </row>
    <row r="49" spans="1:12" s="1199" customFormat="1" ht="24" customHeight="1">
      <c r="A49" s="1572"/>
      <c r="B49" s="1597" t="s">
        <v>1731</v>
      </c>
      <c r="C49" s="1533"/>
      <c r="D49" s="1534"/>
      <c r="E49" s="1566">
        <v>15</v>
      </c>
      <c r="F49" s="1567" t="s">
        <v>226</v>
      </c>
      <c r="G49" s="1593">
        <v>35</v>
      </c>
      <c r="H49" s="1264">
        <f t="shared" ref="H49:H52" si="3">ROUND(E49*G49,)</f>
        <v>525</v>
      </c>
      <c r="I49" s="1595">
        <v>30</v>
      </c>
      <c r="J49" s="1264">
        <f t="shared" ref="J49:J52" si="4">ROUND(E49*I49,)</f>
        <v>450</v>
      </c>
      <c r="K49" s="1265">
        <f t="shared" ref="K49:K52" si="5">H49+J49</f>
        <v>975</v>
      </c>
      <c r="L49" s="1596"/>
    </row>
    <row r="50" spans="1:12" s="1199" customFormat="1" ht="24" customHeight="1">
      <c r="A50" s="1572"/>
      <c r="B50" s="1597" t="s">
        <v>1719</v>
      </c>
      <c r="C50" s="1533"/>
      <c r="D50" s="1534"/>
      <c r="E50" s="1566">
        <v>1</v>
      </c>
      <c r="F50" s="1567" t="s">
        <v>1104</v>
      </c>
      <c r="G50" s="1593">
        <f>SUM(H49)*50%</f>
        <v>262.5</v>
      </c>
      <c r="H50" s="1264">
        <f t="shared" si="3"/>
        <v>263</v>
      </c>
      <c r="I50" s="1595">
        <f>ROUND(G50*0.3,)</f>
        <v>79</v>
      </c>
      <c r="J50" s="1264">
        <f t="shared" si="4"/>
        <v>79</v>
      </c>
      <c r="K50" s="1265">
        <f t="shared" si="5"/>
        <v>342</v>
      </c>
      <c r="L50" s="1596"/>
    </row>
    <row r="51" spans="1:12" s="1199" customFormat="1" ht="24" customHeight="1">
      <c r="A51" s="1572"/>
      <c r="B51" s="1597" t="s">
        <v>1720</v>
      </c>
      <c r="C51" s="1533"/>
      <c r="D51" s="1534"/>
      <c r="E51" s="1598">
        <v>1</v>
      </c>
      <c r="F51" s="1577" t="s">
        <v>1104</v>
      </c>
      <c r="G51" s="1351">
        <f>SUM(H49)*20%</f>
        <v>105</v>
      </c>
      <c r="H51" s="1281">
        <f t="shared" si="3"/>
        <v>105</v>
      </c>
      <c r="I51" s="1595">
        <f>ROUND(G51*0.3,)</f>
        <v>32</v>
      </c>
      <c r="J51" s="1281">
        <f t="shared" si="4"/>
        <v>32</v>
      </c>
      <c r="K51" s="1405">
        <f t="shared" si="5"/>
        <v>137</v>
      </c>
      <c r="L51" s="1635"/>
    </row>
    <row r="52" spans="1:12" s="1199" customFormat="1" ht="24" customHeight="1">
      <c r="A52" s="1572"/>
      <c r="B52" s="1597" t="s">
        <v>1721</v>
      </c>
      <c r="C52" s="1533"/>
      <c r="D52" s="1534"/>
      <c r="E52" s="1566">
        <v>1</v>
      </c>
      <c r="F52" s="1567" t="s">
        <v>1104</v>
      </c>
      <c r="G52" s="1593">
        <f>SUM(H49)*10%</f>
        <v>52.5</v>
      </c>
      <c r="H52" s="1264">
        <f t="shared" si="3"/>
        <v>53</v>
      </c>
      <c r="I52" s="1595">
        <f>ROUND(G52*0.3,)</f>
        <v>16</v>
      </c>
      <c r="J52" s="1264">
        <f t="shared" si="4"/>
        <v>16</v>
      </c>
      <c r="K52" s="1265">
        <f t="shared" si="5"/>
        <v>69</v>
      </c>
      <c r="L52" s="1596"/>
    </row>
    <row r="53" spans="1:12" s="1199" customFormat="1" ht="24" customHeight="1">
      <c r="A53" s="1564" t="s">
        <v>1729</v>
      </c>
      <c r="B53" s="1597" t="s">
        <v>1725</v>
      </c>
      <c r="C53" s="1533"/>
      <c r="D53" s="1534"/>
      <c r="E53" s="1566"/>
      <c r="F53" s="1567"/>
      <c r="G53" s="1593"/>
      <c r="H53" s="1264"/>
      <c r="I53" s="1595"/>
      <c r="J53" s="1264"/>
      <c r="K53" s="1265"/>
      <c r="L53" s="1596"/>
    </row>
    <row r="54" spans="1:12" s="1199" customFormat="1" ht="24" customHeight="1">
      <c r="A54" s="1564"/>
      <c r="B54" s="1597" t="s">
        <v>1731</v>
      </c>
      <c r="C54" s="1533"/>
      <c r="D54" s="1534"/>
      <c r="E54" s="1566">
        <v>4</v>
      </c>
      <c r="F54" s="1567" t="s">
        <v>363</v>
      </c>
      <c r="G54" s="1593">
        <v>880</v>
      </c>
      <c r="H54" s="1264">
        <f t="shared" ref="H54" si="6">ROUND(E54*G54,)</f>
        <v>3520</v>
      </c>
      <c r="I54" s="1595">
        <v>150</v>
      </c>
      <c r="J54" s="1264">
        <f t="shared" ref="J54" si="7">ROUND(E54*I54,)</f>
        <v>600</v>
      </c>
      <c r="K54" s="1265">
        <f t="shared" ref="K54" si="8">H54+J54</f>
        <v>4120</v>
      </c>
      <c r="L54" s="2082" t="s">
        <v>2667</v>
      </c>
    </row>
    <row r="55" spans="1:12" s="1199" customFormat="1" ht="24" customHeight="1">
      <c r="A55" s="1564"/>
      <c r="B55" s="1597"/>
      <c r="C55" s="1533"/>
      <c r="D55" s="1534"/>
      <c r="E55" s="1598"/>
      <c r="F55" s="1577"/>
      <c r="G55" s="1351"/>
      <c r="H55" s="1281"/>
      <c r="I55" s="1282"/>
      <c r="J55" s="1281"/>
      <c r="K55" s="1405"/>
      <c r="L55" s="1635"/>
    </row>
    <row r="56" spans="1:12" s="1199" customFormat="1" ht="24" customHeight="1">
      <c r="A56" s="1564" t="s">
        <v>1735</v>
      </c>
      <c r="B56" s="1597" t="s">
        <v>1824</v>
      </c>
      <c r="C56" s="1533"/>
      <c r="D56" s="1534"/>
      <c r="E56" s="1566"/>
      <c r="F56" s="1567"/>
      <c r="G56" s="1593"/>
      <c r="H56" s="1264"/>
      <c r="I56" s="1595"/>
      <c r="J56" s="1264"/>
      <c r="K56" s="1273"/>
      <c r="L56" s="1330"/>
    </row>
    <row r="57" spans="1:12" s="1199" customFormat="1" ht="24" customHeight="1">
      <c r="A57" s="1564"/>
      <c r="B57" s="1597" t="s">
        <v>1823</v>
      </c>
      <c r="C57" s="1533"/>
      <c r="D57" s="1534"/>
      <c r="E57" s="1566">
        <v>4</v>
      </c>
      <c r="F57" s="1567" t="s">
        <v>363</v>
      </c>
      <c r="G57" s="1593">
        <v>120</v>
      </c>
      <c r="H57" s="1264">
        <f>ROUND(E57*G57,)</f>
        <v>480</v>
      </c>
      <c r="I57" s="1595">
        <v>50</v>
      </c>
      <c r="J57" s="1264">
        <f>ROUND(I57*E57,)</f>
        <v>200</v>
      </c>
      <c r="K57" s="1273">
        <f>H57+J57</f>
        <v>680</v>
      </c>
      <c r="L57" s="1330"/>
    </row>
    <row r="58" spans="1:12" s="1199" customFormat="1" ht="24" customHeight="1">
      <c r="A58" s="1564"/>
      <c r="B58" s="1597"/>
      <c r="C58" s="1533"/>
      <c r="D58" s="1604"/>
      <c r="E58" s="1566"/>
      <c r="F58" s="1534"/>
      <c r="G58" s="1593"/>
      <c r="H58" s="1264"/>
      <c r="I58" s="1595"/>
      <c r="J58" s="1264"/>
      <c r="K58" s="1265"/>
      <c r="L58" s="1330"/>
    </row>
    <row r="59" spans="1:12" s="1199" customFormat="1" ht="21.3">
      <c r="A59" s="1578"/>
      <c r="B59" s="2257" t="str">
        <f>"รวมราคารายการที่ "&amp;A36</f>
        <v>รวมราคารายการที่ 5.1</v>
      </c>
      <c r="C59" s="2258"/>
      <c r="D59" s="2259"/>
      <c r="E59" s="1579"/>
      <c r="F59" s="1579"/>
      <c r="G59" s="1580"/>
      <c r="H59" s="1581">
        <f>SUM(H37:H58)</f>
        <v>39999</v>
      </c>
      <c r="I59" s="1582"/>
      <c r="J59" s="1581">
        <f>SUM(J36:J58)</f>
        <v>11100</v>
      </c>
      <c r="K59" s="1583">
        <f>SUM(K36:K58)</f>
        <v>51099</v>
      </c>
      <c r="L59" s="1583"/>
    </row>
    <row r="60" spans="1:12" s="1199" customFormat="1" ht="21.3">
      <c r="A60" s="1605" t="s">
        <v>1744</v>
      </c>
      <c r="B60" s="1606" t="s">
        <v>1745</v>
      </c>
      <c r="C60" s="1607"/>
      <c r="D60" s="1608"/>
      <c r="E60" s="1609"/>
      <c r="F60" s="1610"/>
      <c r="G60" s="1611"/>
      <c r="H60" s="1612"/>
      <c r="I60" s="1613"/>
      <c r="J60" s="1612"/>
      <c r="K60" s="1614"/>
      <c r="L60" s="1614"/>
    </row>
    <row r="61" spans="1:12" s="1199" customFormat="1" ht="21.3">
      <c r="A61" s="1572" t="s">
        <v>1746</v>
      </c>
      <c r="B61" s="1597" t="s">
        <v>1839</v>
      </c>
      <c r="C61" s="1533"/>
      <c r="D61" s="1534"/>
      <c r="E61" s="1566"/>
      <c r="F61" s="1567"/>
      <c r="G61" s="1516"/>
      <c r="H61" s="1264"/>
      <c r="I61" s="1265"/>
      <c r="J61" s="1264"/>
      <c r="K61" s="1273"/>
      <c r="L61" s="1273"/>
    </row>
    <row r="62" spans="1:12" s="1199" customFormat="1" ht="21.3">
      <c r="A62" s="1564"/>
      <c r="B62" s="1597" t="s">
        <v>1340</v>
      </c>
      <c r="C62" s="1533"/>
      <c r="D62" s="1534"/>
      <c r="E62" s="1566">
        <v>10</v>
      </c>
      <c r="F62" s="1567" t="s">
        <v>226</v>
      </c>
      <c r="G62" s="1516">
        <v>127</v>
      </c>
      <c r="H62" s="1264">
        <f t="shared" ref="H62" si="9">ROUND(E62*G62,)</f>
        <v>1270</v>
      </c>
      <c r="I62" s="1265">
        <v>40</v>
      </c>
      <c r="J62" s="1264">
        <f t="shared" ref="J62" si="10">ROUND(I62*E62,)</f>
        <v>400</v>
      </c>
      <c r="K62" s="1273">
        <f t="shared" ref="K62" si="11">H62+J62</f>
        <v>1670</v>
      </c>
      <c r="L62" s="1273"/>
    </row>
    <row r="63" spans="1:12" s="1199" customFormat="1" ht="21.3">
      <c r="A63" s="1564" t="s">
        <v>1752</v>
      </c>
      <c r="B63" s="1597" t="s">
        <v>1832</v>
      </c>
      <c r="C63" s="1533"/>
      <c r="D63" s="1534"/>
      <c r="E63" s="1566"/>
      <c r="F63" s="1567"/>
      <c r="G63" s="1516"/>
      <c r="H63" s="1264"/>
      <c r="I63" s="1265"/>
      <c r="J63" s="1264"/>
      <c r="K63" s="1273"/>
      <c r="L63" s="1273"/>
    </row>
    <row r="64" spans="1:12" s="1199" customFormat="1" ht="21.3">
      <c r="A64" s="1564"/>
      <c r="B64" s="1597" t="s">
        <v>1340</v>
      </c>
      <c r="C64" s="1533"/>
      <c r="D64" s="1534"/>
      <c r="E64" s="1566">
        <v>2</v>
      </c>
      <c r="F64" s="1567" t="s">
        <v>363</v>
      </c>
      <c r="G64" s="1516">
        <f>ROUND(665*0.7,)</f>
        <v>466</v>
      </c>
      <c r="H64" s="1264">
        <f>ROUND(E64*G64,)</f>
        <v>932</v>
      </c>
      <c r="I64" s="1265">
        <v>200</v>
      </c>
      <c r="J64" s="1264">
        <f>ROUND(I64*E64,)</f>
        <v>400</v>
      </c>
      <c r="K64" s="1273">
        <f>H64+J64</f>
        <v>1332</v>
      </c>
      <c r="L64" s="1273"/>
    </row>
    <row r="65" spans="1:15" s="1199" customFormat="1" ht="21.3">
      <c r="A65" s="1564"/>
      <c r="B65" s="1565"/>
      <c r="C65" s="1533"/>
      <c r="D65" s="1534"/>
      <c r="E65" s="1566"/>
      <c r="F65" s="1567"/>
      <c r="G65" s="1516"/>
      <c r="H65" s="1264"/>
      <c r="I65" s="1265"/>
      <c r="J65" s="1264"/>
      <c r="K65" s="1273"/>
      <c r="L65" s="1273"/>
    </row>
    <row r="66" spans="1:15" s="1199" customFormat="1" ht="21.3">
      <c r="A66" s="1578"/>
      <c r="B66" s="2257" t="str">
        <f>"รวมราคารายการที่ "&amp;A60</f>
        <v>รวมราคารายการที่ 5.2</v>
      </c>
      <c r="C66" s="2258"/>
      <c r="D66" s="2259"/>
      <c r="E66" s="1579"/>
      <c r="F66" s="1579"/>
      <c r="G66" s="1580"/>
      <c r="H66" s="1581">
        <f>SUM(H61:H65)</f>
        <v>2202</v>
      </c>
      <c r="I66" s="1582"/>
      <c r="J66" s="1581">
        <f>SUM(J61:J65)</f>
        <v>800</v>
      </c>
      <c r="K66" s="1583">
        <f>SUM(K61:K65)</f>
        <v>3002</v>
      </c>
      <c r="L66" s="1583"/>
    </row>
    <row r="67" spans="1:15" s="1199" customFormat="1" ht="21.3">
      <c r="A67" s="1584">
        <v>5.3</v>
      </c>
      <c r="B67" s="1606" t="s">
        <v>1768</v>
      </c>
      <c r="C67" s="1294"/>
      <c r="D67" s="1294"/>
      <c r="E67" s="1586"/>
      <c r="F67" s="1296"/>
      <c r="G67" s="1357"/>
      <c r="H67" s="1298"/>
      <c r="I67" s="1299"/>
      <c r="J67" s="1298"/>
      <c r="K67" s="1382"/>
      <c r="L67" s="1638"/>
    </row>
    <row r="68" spans="1:15" s="1199" customFormat="1" ht="21.3">
      <c r="A68" s="1572" t="s">
        <v>1769</v>
      </c>
      <c r="B68" s="1573" t="s">
        <v>1778</v>
      </c>
      <c r="C68" s="1574"/>
      <c r="D68" s="1575"/>
      <c r="E68" s="1598"/>
      <c r="F68" s="1577"/>
      <c r="G68" s="1351"/>
      <c r="H68" s="1281"/>
      <c r="I68" s="1282"/>
      <c r="J68" s="1281"/>
      <c r="K68" s="1405"/>
      <c r="L68" s="1635"/>
    </row>
    <row r="69" spans="1:15" s="1199" customFormat="1" ht="21.3">
      <c r="A69" s="1572"/>
      <c r="B69" s="1565" t="s">
        <v>1846</v>
      </c>
      <c r="C69" s="1533"/>
      <c r="D69" s="1534"/>
      <c r="E69" s="1566">
        <v>10</v>
      </c>
      <c r="F69" s="1567" t="s">
        <v>226</v>
      </c>
      <c r="G69" s="1516">
        <v>240</v>
      </c>
      <c r="H69" s="1264">
        <f>ROUND(E69*G69,)</f>
        <v>2400</v>
      </c>
      <c r="I69" s="1265">
        <v>110</v>
      </c>
      <c r="J69" s="1264">
        <f>ROUND(I69*E69,)</f>
        <v>1100</v>
      </c>
      <c r="K69" s="1273">
        <f>H69+J69</f>
        <v>3500</v>
      </c>
      <c r="L69" s="2082" t="s">
        <v>2667</v>
      </c>
      <c r="N69" s="1199">
        <v>1440.18</v>
      </c>
      <c r="O69" s="1199">
        <f t="shared" ref="O69" si="12">ROUND(N69/6,)</f>
        <v>240</v>
      </c>
    </row>
    <row r="70" spans="1:15" s="1199" customFormat="1" ht="21.3">
      <c r="A70" s="1572"/>
      <c r="B70" s="1565" t="s">
        <v>1856</v>
      </c>
      <c r="C70" s="1533"/>
      <c r="D70" s="1534"/>
      <c r="E70" s="1566">
        <v>57</v>
      </c>
      <c r="F70" s="1567" t="s">
        <v>226</v>
      </c>
      <c r="G70" s="1516">
        <v>305</v>
      </c>
      <c r="H70" s="1264">
        <f t="shared" ref="H70:H76" si="13">ROUND(E70*G70,)</f>
        <v>17385</v>
      </c>
      <c r="I70" s="1265">
        <v>135</v>
      </c>
      <c r="J70" s="1264">
        <f t="shared" ref="J70:J76" si="14">ROUND(I70*E70,)</f>
        <v>7695</v>
      </c>
      <c r="K70" s="1273">
        <f t="shared" ref="K70:K76" si="15">H70+J70</f>
        <v>25080</v>
      </c>
      <c r="L70" s="2082" t="s">
        <v>2667</v>
      </c>
      <c r="N70" s="1199">
        <v>1831.05</v>
      </c>
      <c r="O70" s="1199">
        <f>ROUND(N70/6,)</f>
        <v>305</v>
      </c>
    </row>
    <row r="71" spans="1:15" s="1199" customFormat="1" ht="21.3">
      <c r="A71" s="1572"/>
      <c r="B71" s="1565" t="s">
        <v>1834</v>
      </c>
      <c r="C71" s="1533"/>
      <c r="D71" s="1534"/>
      <c r="E71" s="1566">
        <v>45</v>
      </c>
      <c r="F71" s="1567" t="s">
        <v>226</v>
      </c>
      <c r="G71" s="1516">
        <v>385</v>
      </c>
      <c r="H71" s="1264">
        <f t="shared" si="13"/>
        <v>17325</v>
      </c>
      <c r="I71" s="1265">
        <v>175</v>
      </c>
      <c r="J71" s="1264">
        <f t="shared" si="14"/>
        <v>7875</v>
      </c>
      <c r="K71" s="1273">
        <f t="shared" si="15"/>
        <v>25200</v>
      </c>
      <c r="L71" s="2082" t="s">
        <v>2667</v>
      </c>
      <c r="N71" s="1199">
        <v>2308.9499999999998</v>
      </c>
      <c r="O71" s="1199">
        <f t="shared" ref="O71" si="16">ROUND(N71/6,)</f>
        <v>385</v>
      </c>
    </row>
    <row r="72" spans="1:15" s="1199" customFormat="1" ht="21.3">
      <c r="A72" s="1572"/>
      <c r="B72" s="1565" t="s">
        <v>1759</v>
      </c>
      <c r="C72" s="1533"/>
      <c r="D72" s="1534"/>
      <c r="E72" s="1566">
        <v>51</v>
      </c>
      <c r="F72" s="1567" t="s">
        <v>226</v>
      </c>
      <c r="G72" s="1516">
        <v>561</v>
      </c>
      <c r="H72" s="1264">
        <f t="shared" si="13"/>
        <v>28611</v>
      </c>
      <c r="I72" s="1265">
        <v>200</v>
      </c>
      <c r="J72" s="1264">
        <f t="shared" si="14"/>
        <v>10200</v>
      </c>
      <c r="K72" s="1273">
        <f t="shared" si="15"/>
        <v>38811</v>
      </c>
      <c r="L72" s="2082" t="s">
        <v>2667</v>
      </c>
      <c r="N72" s="1199">
        <v>3364.2</v>
      </c>
      <c r="O72" s="1199">
        <f>ROUND(N72/6,)</f>
        <v>561</v>
      </c>
    </row>
    <row r="73" spans="1:15" s="1199" customFormat="1" ht="21.3">
      <c r="A73" s="1564"/>
      <c r="B73" s="1565" t="s">
        <v>1754</v>
      </c>
      <c r="C73" s="1533"/>
      <c r="D73" s="1534"/>
      <c r="E73" s="1566">
        <v>314</v>
      </c>
      <c r="F73" s="1567" t="s">
        <v>226</v>
      </c>
      <c r="G73" s="1516">
        <v>905</v>
      </c>
      <c r="H73" s="1264">
        <f t="shared" si="13"/>
        <v>284170</v>
      </c>
      <c r="I73" s="1265">
        <v>330</v>
      </c>
      <c r="J73" s="1264">
        <f t="shared" si="14"/>
        <v>103620</v>
      </c>
      <c r="K73" s="1273">
        <f t="shared" si="15"/>
        <v>387790</v>
      </c>
      <c r="L73" s="2082" t="s">
        <v>2667</v>
      </c>
      <c r="N73" s="1199">
        <v>5431.23</v>
      </c>
      <c r="O73" s="1199">
        <f t="shared" ref="O73" si="17">ROUND(N73/6,)</f>
        <v>905</v>
      </c>
    </row>
    <row r="74" spans="1:15" s="1199" customFormat="1" ht="21.3">
      <c r="A74" s="1564"/>
      <c r="B74" s="1565" t="s">
        <v>1719</v>
      </c>
      <c r="C74" s="1533"/>
      <c r="D74" s="1534"/>
      <c r="E74" s="1566">
        <v>1</v>
      </c>
      <c r="F74" s="1567" t="s">
        <v>1104</v>
      </c>
      <c r="G74" s="1516">
        <f>ROUND(SUM(H69:H73)*40%,)</f>
        <v>139956</v>
      </c>
      <c r="H74" s="1264">
        <f t="shared" si="13"/>
        <v>139956</v>
      </c>
      <c r="I74" s="1595">
        <f>ROUND(G74*0.3,)</f>
        <v>41987</v>
      </c>
      <c r="J74" s="1264">
        <f t="shared" si="14"/>
        <v>41987</v>
      </c>
      <c r="K74" s="1273">
        <f t="shared" si="15"/>
        <v>181943</v>
      </c>
      <c r="L74" s="1635"/>
    </row>
    <row r="75" spans="1:15" s="1199" customFormat="1" ht="21.3">
      <c r="A75" s="1564"/>
      <c r="B75" s="1565" t="s">
        <v>1720</v>
      </c>
      <c r="C75" s="1533"/>
      <c r="D75" s="1534"/>
      <c r="E75" s="1566">
        <v>1</v>
      </c>
      <c r="F75" s="1567" t="s">
        <v>1104</v>
      </c>
      <c r="G75" s="1516">
        <f>ROUND(SUM(H69:H73)*20%,)</f>
        <v>69978</v>
      </c>
      <c r="H75" s="1264">
        <f t="shared" si="13"/>
        <v>69978</v>
      </c>
      <c r="I75" s="1595">
        <f>ROUND(G75*0.3,)</f>
        <v>20993</v>
      </c>
      <c r="J75" s="1264">
        <f t="shared" si="14"/>
        <v>20993</v>
      </c>
      <c r="K75" s="1273">
        <f t="shared" si="15"/>
        <v>90971</v>
      </c>
      <c r="L75" s="1635"/>
    </row>
    <row r="76" spans="1:15" s="1199" customFormat="1" ht="21.3">
      <c r="A76" s="1564"/>
      <c r="B76" s="1565" t="s">
        <v>1756</v>
      </c>
      <c r="C76" s="1533"/>
      <c r="D76" s="1534"/>
      <c r="E76" s="1566">
        <v>1</v>
      </c>
      <c r="F76" s="1567" t="s">
        <v>1104</v>
      </c>
      <c r="G76" s="1516">
        <f>ROUND(SUM(H69:H73)*10%,)</f>
        <v>34989</v>
      </c>
      <c r="H76" s="1264">
        <f t="shared" si="13"/>
        <v>34989</v>
      </c>
      <c r="I76" s="1595">
        <f>ROUND(G76*0.3,)</f>
        <v>10497</v>
      </c>
      <c r="J76" s="1264">
        <f t="shared" si="14"/>
        <v>10497</v>
      </c>
      <c r="K76" s="1273">
        <f t="shared" si="15"/>
        <v>45486</v>
      </c>
      <c r="L76" s="1635"/>
    </row>
    <row r="77" spans="1:15" s="1199" customFormat="1" ht="21.3">
      <c r="A77" s="1564" t="s">
        <v>1775</v>
      </c>
      <c r="B77" s="1565" t="s">
        <v>1833</v>
      </c>
      <c r="C77" s="1533"/>
      <c r="D77" s="1534"/>
      <c r="E77" s="1566"/>
      <c r="F77" s="1567"/>
      <c r="G77" s="1516"/>
      <c r="H77" s="1264"/>
      <c r="I77" s="1265"/>
      <c r="J77" s="1264"/>
      <c r="K77" s="1273"/>
      <c r="L77" s="1635"/>
    </row>
    <row r="78" spans="1:15" s="1199" customFormat="1" ht="21.3">
      <c r="A78" s="1564"/>
      <c r="B78" s="1565" t="s">
        <v>1834</v>
      </c>
      <c r="C78" s="1533"/>
      <c r="D78" s="1534"/>
      <c r="E78" s="1566">
        <v>2</v>
      </c>
      <c r="F78" s="1567" t="s">
        <v>363</v>
      </c>
      <c r="G78" s="1516">
        <v>638</v>
      </c>
      <c r="H78" s="1264">
        <f>ROUND(E78*G78,)</f>
        <v>1276</v>
      </c>
      <c r="I78" s="1265">
        <v>300</v>
      </c>
      <c r="J78" s="1264">
        <f>ROUND(I78*E78,)</f>
        <v>600</v>
      </c>
      <c r="K78" s="1273">
        <f>H78+J78</f>
        <v>1876</v>
      </c>
      <c r="L78" s="1635"/>
    </row>
    <row r="79" spans="1:15" s="1199" customFormat="1" ht="21.3">
      <c r="A79" s="1564"/>
      <c r="B79" s="1565" t="s">
        <v>1759</v>
      </c>
      <c r="C79" s="1533"/>
      <c r="D79" s="1534"/>
      <c r="E79" s="1566">
        <v>2</v>
      </c>
      <c r="F79" s="1567" t="s">
        <v>363</v>
      </c>
      <c r="G79" s="1516">
        <v>648</v>
      </c>
      <c r="H79" s="1264">
        <f>ROUND(E79*G79,)</f>
        <v>1296</v>
      </c>
      <c r="I79" s="1265">
        <v>400</v>
      </c>
      <c r="J79" s="1264">
        <f>ROUND(I79*E79,)</f>
        <v>800</v>
      </c>
      <c r="K79" s="1273">
        <f>H79+J79</f>
        <v>2096</v>
      </c>
      <c r="L79" s="1635"/>
    </row>
    <row r="80" spans="1:15" s="1199" customFormat="1" ht="21.3">
      <c r="A80" s="1564"/>
      <c r="B80" s="1565" t="s">
        <v>1754</v>
      </c>
      <c r="C80" s="1533"/>
      <c r="D80" s="1534"/>
      <c r="E80" s="1566">
        <v>31</v>
      </c>
      <c r="F80" s="1567" t="s">
        <v>363</v>
      </c>
      <c r="G80" s="1516">
        <f>ROUND(1630*0.7,)</f>
        <v>1141</v>
      </c>
      <c r="H80" s="1264">
        <f>ROUND(E80*G80,)</f>
        <v>35371</v>
      </c>
      <c r="I80" s="1265">
        <v>600</v>
      </c>
      <c r="J80" s="1264">
        <f>ROUND(I80*E80,)</f>
        <v>18600</v>
      </c>
      <c r="K80" s="1273">
        <f>H80+J80</f>
        <v>53971</v>
      </c>
      <c r="L80" s="1635"/>
    </row>
    <row r="81" spans="1:12" s="1199" customFormat="1" ht="21.3">
      <c r="A81" s="1564" t="s">
        <v>1777</v>
      </c>
      <c r="B81" s="1597" t="s">
        <v>1832</v>
      </c>
      <c r="C81" s="1533"/>
      <c r="D81" s="1534"/>
      <c r="E81" s="1566"/>
      <c r="F81" s="1567"/>
      <c r="G81" s="1516"/>
      <c r="H81" s="1264"/>
      <c r="I81" s="1265"/>
      <c r="J81" s="1264"/>
      <c r="K81" s="1273"/>
      <c r="L81" s="1639"/>
    </row>
    <row r="82" spans="1:12" s="1199" customFormat="1" ht="21.3">
      <c r="A82" s="1564"/>
      <c r="B82" s="1597" t="s">
        <v>1340</v>
      </c>
      <c r="C82" s="1533"/>
      <c r="D82" s="1534"/>
      <c r="E82" s="1566">
        <v>4</v>
      </c>
      <c r="F82" s="1567" t="s">
        <v>363</v>
      </c>
      <c r="G82" s="1516">
        <f>ROUND(665*0.7,)</f>
        <v>466</v>
      </c>
      <c r="H82" s="1264">
        <f>ROUND(E82*G82,)</f>
        <v>1864</v>
      </c>
      <c r="I82" s="1265">
        <v>200</v>
      </c>
      <c r="J82" s="1264">
        <f>ROUND(I82*E82,)</f>
        <v>800</v>
      </c>
      <c r="K82" s="1273">
        <f>H82+J82</f>
        <v>2664</v>
      </c>
      <c r="L82" s="1640"/>
    </row>
    <row r="83" spans="1:12" s="1199" customFormat="1" ht="21.3">
      <c r="A83" s="1564"/>
      <c r="B83" s="1565"/>
      <c r="C83" s="1533"/>
      <c r="D83" s="1534"/>
      <c r="E83" s="1566"/>
      <c r="F83" s="1567"/>
      <c r="G83" s="1593"/>
      <c r="H83" s="1264"/>
      <c r="I83" s="1265"/>
      <c r="J83" s="1264"/>
      <c r="K83" s="1273"/>
      <c r="L83" s="1635"/>
    </row>
    <row r="84" spans="1:12" s="1199" customFormat="1" ht="21.3">
      <c r="A84" s="1564"/>
      <c r="B84" s="1565"/>
      <c r="C84" s="1533"/>
      <c r="D84" s="1534"/>
      <c r="E84" s="1566"/>
      <c r="F84" s="1567"/>
      <c r="G84" s="1593"/>
      <c r="H84" s="1264"/>
      <c r="I84" s="1265"/>
      <c r="J84" s="1264"/>
      <c r="K84" s="1273"/>
      <c r="L84" s="1635"/>
    </row>
    <row r="85" spans="1:12" s="1199" customFormat="1" ht="21.3">
      <c r="A85" s="1564"/>
      <c r="B85" s="1597"/>
      <c r="C85" s="1533"/>
      <c r="D85" s="1604"/>
      <c r="E85" s="1566"/>
      <c r="F85" s="1567"/>
      <c r="G85" s="1593"/>
      <c r="H85" s="1264"/>
      <c r="I85" s="1595"/>
      <c r="J85" s="1264"/>
      <c r="K85" s="1273"/>
      <c r="L85" s="1330"/>
    </row>
    <row r="86" spans="1:12" s="1199" customFormat="1" ht="21.3">
      <c r="A86" s="1578"/>
      <c r="B86" s="2257" t="str">
        <f>"รวมราคารายการที่ "&amp;A67</f>
        <v>รวมราคารายการที่ 5.3</v>
      </c>
      <c r="C86" s="2258"/>
      <c r="D86" s="2259"/>
      <c r="E86" s="1579"/>
      <c r="F86" s="1579"/>
      <c r="G86" s="1580"/>
      <c r="H86" s="1581">
        <f>SUM(H68:H82)</f>
        <v>634621</v>
      </c>
      <c r="I86" s="1582"/>
      <c r="J86" s="1581">
        <f>SUM(J68:J82)</f>
        <v>224767</v>
      </c>
      <c r="K86" s="1583">
        <f>SUM(K68:K82)</f>
        <v>859388</v>
      </c>
      <c r="L86" s="1630"/>
    </row>
    <row r="87" spans="1:12" s="1199" customFormat="1" ht="21.3">
      <c r="A87" s="1620" t="s">
        <v>1789</v>
      </c>
      <c r="B87" s="1621" t="s">
        <v>1842</v>
      </c>
      <c r="C87" s="1622"/>
      <c r="D87" s="1623"/>
      <c r="E87" s="1624"/>
      <c r="F87" s="1625"/>
      <c r="G87" s="1357"/>
      <c r="H87" s="1298"/>
      <c r="I87" s="1299"/>
      <c r="J87" s="1298"/>
      <c r="K87" s="1382"/>
      <c r="L87" s="1382"/>
    </row>
    <row r="88" spans="1:12" s="1199" customFormat="1" ht="21.3">
      <c r="A88" s="1564" t="s">
        <v>1791</v>
      </c>
      <c r="B88" s="1573" t="s">
        <v>1792</v>
      </c>
      <c r="C88" s="1533"/>
      <c r="D88" s="1534"/>
      <c r="E88" s="1566"/>
      <c r="F88" s="1567"/>
      <c r="G88" s="1593"/>
      <c r="H88" s="1264"/>
      <c r="I88" s="1595"/>
      <c r="J88" s="1264"/>
      <c r="K88" s="1265"/>
      <c r="L88" s="1596"/>
    </row>
    <row r="89" spans="1:12" s="1199" customFormat="1" ht="21.3">
      <c r="A89" s="1564"/>
      <c r="B89" s="1565" t="s">
        <v>1716</v>
      </c>
      <c r="C89" s="1533"/>
      <c r="D89" s="1534"/>
      <c r="E89" s="1566">
        <v>13</v>
      </c>
      <c r="F89" s="1567" t="s">
        <v>226</v>
      </c>
      <c r="G89" s="1593">
        <v>836</v>
      </c>
      <c r="H89" s="1264">
        <f>ROUND(E89*G89,)</f>
        <v>10868</v>
      </c>
      <c r="I89" s="1595">
        <v>175</v>
      </c>
      <c r="J89" s="1264">
        <f>ROUND(E89*I89,)</f>
        <v>2275</v>
      </c>
      <c r="K89" s="1265">
        <f>H89+J89</f>
        <v>13143</v>
      </c>
      <c r="L89" s="1596"/>
    </row>
    <row r="90" spans="1:12" s="1199" customFormat="1" ht="21.3">
      <c r="A90" s="1564"/>
      <c r="B90" s="1565" t="s">
        <v>1719</v>
      </c>
      <c r="C90" s="1533"/>
      <c r="D90" s="1534"/>
      <c r="E90" s="1566">
        <v>1</v>
      </c>
      <c r="F90" s="1567" t="s">
        <v>1104</v>
      </c>
      <c r="G90" s="1593">
        <f>SUM(H89)*50%</f>
        <v>5434</v>
      </c>
      <c r="H90" s="1264">
        <f>ROUND(E90*G90,)</f>
        <v>5434</v>
      </c>
      <c r="I90" s="1595">
        <f>ROUND(G90*0.3,)</f>
        <v>1630</v>
      </c>
      <c r="J90" s="1264">
        <f>ROUND(E90*I90,)</f>
        <v>1630</v>
      </c>
      <c r="K90" s="1265">
        <f>H90+J90</f>
        <v>7064</v>
      </c>
      <c r="L90" s="1596"/>
    </row>
    <row r="91" spans="1:12" s="1199" customFormat="1" ht="21.3">
      <c r="A91" s="1564"/>
      <c r="B91" s="1565" t="s">
        <v>1720</v>
      </c>
      <c r="C91" s="1533"/>
      <c r="D91" s="1534"/>
      <c r="E91" s="1566">
        <v>1</v>
      </c>
      <c r="F91" s="1567" t="s">
        <v>1104</v>
      </c>
      <c r="G91" s="1593">
        <f>ROUND(SUM(H89)*20%,)</f>
        <v>2174</v>
      </c>
      <c r="H91" s="1264">
        <f>ROUND(E91*G91,)</f>
        <v>2174</v>
      </c>
      <c r="I91" s="1595">
        <f>ROUND(G91*0.3,)</f>
        <v>652</v>
      </c>
      <c r="J91" s="1264">
        <f>ROUND(E91*I91,)</f>
        <v>652</v>
      </c>
      <c r="K91" s="1265">
        <f>H91+J91</f>
        <v>2826</v>
      </c>
      <c r="L91" s="1596"/>
    </row>
    <row r="92" spans="1:12">
      <c r="A92" s="1564"/>
      <c r="B92" s="1565" t="s">
        <v>1721</v>
      </c>
      <c r="C92" s="1533"/>
      <c r="D92" s="1534"/>
      <c r="E92" s="1566">
        <v>1</v>
      </c>
      <c r="F92" s="1567" t="s">
        <v>1104</v>
      </c>
      <c r="G92" s="1593">
        <f>ROUND(SUM(H89)*10%,)</f>
        <v>1087</v>
      </c>
      <c r="H92" s="1264">
        <f>ROUND(E92*G92,)</f>
        <v>1087</v>
      </c>
      <c r="I92" s="1595">
        <f>ROUND(G92*0.3,)</f>
        <v>326</v>
      </c>
      <c r="J92" s="1264">
        <f>ROUND(E92*I92,)</f>
        <v>326</v>
      </c>
      <c r="K92" s="1265">
        <f>H92+J92</f>
        <v>1413</v>
      </c>
      <c r="L92" s="1596"/>
    </row>
    <row r="93" spans="1:12">
      <c r="A93" s="1564" t="s">
        <v>1794</v>
      </c>
      <c r="B93" s="1565" t="s">
        <v>1725</v>
      </c>
      <c r="C93" s="1533"/>
      <c r="D93" s="1534"/>
      <c r="E93" s="1566"/>
      <c r="F93" s="1567"/>
      <c r="G93" s="1593"/>
      <c r="H93" s="1264"/>
      <c r="I93" s="1595"/>
      <c r="J93" s="1264"/>
      <c r="K93" s="1265"/>
      <c r="L93" s="1596"/>
    </row>
    <row r="94" spans="1:12">
      <c r="A94" s="1564"/>
      <c r="B94" s="1565" t="s">
        <v>1716</v>
      </c>
      <c r="C94" s="1533"/>
      <c r="D94" s="1534"/>
      <c r="E94" s="1566">
        <v>1</v>
      </c>
      <c r="F94" s="1567" t="s">
        <v>363</v>
      </c>
      <c r="G94" s="1587">
        <v>6146</v>
      </c>
      <c r="H94" s="1264">
        <f>ROUND(E94*G94,)</f>
        <v>6146</v>
      </c>
      <c r="I94" s="1589">
        <v>600</v>
      </c>
      <c r="J94" s="1264">
        <f>ROUND(E94*I94,)</f>
        <v>600</v>
      </c>
      <c r="K94" s="1265">
        <f>H94+J94</f>
        <v>6746</v>
      </c>
      <c r="L94" s="1596"/>
    </row>
    <row r="95" spans="1:12">
      <c r="A95" s="1564" t="s">
        <v>1795</v>
      </c>
      <c r="B95" s="1565" t="s">
        <v>1723</v>
      </c>
      <c r="C95" s="1533"/>
      <c r="D95" s="1534"/>
      <c r="E95" s="1566"/>
      <c r="F95" s="1567"/>
      <c r="G95" s="1593"/>
      <c r="H95" s="1264"/>
      <c r="I95" s="1595"/>
      <c r="J95" s="1264"/>
      <c r="K95" s="1265"/>
      <c r="L95" s="1596"/>
    </row>
    <row r="96" spans="1:12">
      <c r="A96" s="1564"/>
      <c r="B96" s="1565" t="s">
        <v>1716</v>
      </c>
      <c r="C96" s="1533"/>
      <c r="D96" s="1534"/>
      <c r="E96" s="1566">
        <v>1</v>
      </c>
      <c r="F96" s="1567" t="s">
        <v>363</v>
      </c>
      <c r="G96" s="1593">
        <v>1899</v>
      </c>
      <c r="H96" s="1264">
        <f>ROUND(E96*G96,)</f>
        <v>1899</v>
      </c>
      <c r="I96" s="1595">
        <v>600</v>
      </c>
      <c r="J96" s="1264">
        <f>ROUND(E96*I96,)</f>
        <v>600</v>
      </c>
      <c r="K96" s="1265">
        <f>H96+J96</f>
        <v>2499</v>
      </c>
      <c r="L96" s="1596"/>
    </row>
    <row r="97" spans="1:12">
      <c r="A97" s="1564" t="s">
        <v>1796</v>
      </c>
      <c r="B97" s="1565" t="s">
        <v>1857</v>
      </c>
      <c r="C97" s="1533"/>
      <c r="D97" s="1534"/>
      <c r="E97" s="1566"/>
      <c r="F97" s="1567"/>
      <c r="G97" s="1593"/>
      <c r="H97" s="1264"/>
      <c r="I97" s="1595"/>
      <c r="J97" s="1264"/>
      <c r="K97" s="1273"/>
      <c r="L97" s="1330"/>
    </row>
    <row r="98" spans="1:12">
      <c r="A98" s="1564"/>
      <c r="B98" s="1565" t="s">
        <v>1726</v>
      </c>
      <c r="C98" s="1533"/>
      <c r="D98" s="1534"/>
      <c r="E98" s="1566">
        <v>1</v>
      </c>
      <c r="F98" s="1567" t="s">
        <v>363</v>
      </c>
      <c r="G98" s="1593">
        <v>4175</v>
      </c>
      <c r="H98" s="1264">
        <f>ROUND(E98*G98,)</f>
        <v>4175</v>
      </c>
      <c r="I98" s="1595">
        <v>600</v>
      </c>
      <c r="J98" s="1264">
        <f>ROUND(I98*E98,)</f>
        <v>600</v>
      </c>
      <c r="K98" s="1273">
        <f>H98+J98</f>
        <v>4775</v>
      </c>
      <c r="L98" s="1596"/>
    </row>
    <row r="99" spans="1:12">
      <c r="A99" s="1564"/>
      <c r="B99" s="1565"/>
      <c r="C99" s="1533"/>
      <c r="D99" s="1534"/>
      <c r="E99" s="1566"/>
      <c r="F99" s="1567"/>
      <c r="G99" s="1587"/>
      <c r="H99" s="1264"/>
      <c r="I99" s="1589"/>
      <c r="J99" s="1264"/>
      <c r="K99" s="1265"/>
      <c r="L99" s="1596"/>
    </row>
    <row r="100" spans="1:12">
      <c r="A100" s="1564"/>
      <c r="B100" s="1565"/>
      <c r="C100" s="1533"/>
      <c r="D100" s="1534"/>
      <c r="E100" s="1566"/>
      <c r="F100" s="1567"/>
      <c r="G100" s="1587"/>
      <c r="H100" s="1264"/>
      <c r="I100" s="1589"/>
      <c r="J100" s="1264"/>
      <c r="K100" s="1265"/>
      <c r="L100" s="1596"/>
    </row>
    <row r="101" spans="1:12">
      <c r="A101" s="1564"/>
      <c r="B101" s="1565"/>
      <c r="C101" s="1533"/>
      <c r="D101" s="1534"/>
      <c r="E101" s="1566"/>
      <c r="F101" s="1567"/>
      <c r="G101" s="1587"/>
      <c r="H101" s="1264"/>
      <c r="I101" s="1589"/>
      <c r="J101" s="1264"/>
      <c r="K101" s="1265"/>
      <c r="L101" s="1596"/>
    </row>
    <row r="102" spans="1:12">
      <c r="A102" s="1564"/>
      <c r="B102" s="1565"/>
      <c r="C102" s="1533"/>
      <c r="D102" s="1534"/>
      <c r="E102" s="1566"/>
      <c r="F102" s="1567"/>
      <c r="G102" s="1587"/>
      <c r="H102" s="1264"/>
      <c r="I102" s="1589"/>
      <c r="J102" s="1264"/>
      <c r="K102" s="1265"/>
      <c r="L102" s="1596"/>
    </row>
    <row r="103" spans="1:12">
      <c r="A103" s="1564"/>
      <c r="B103" s="1565"/>
      <c r="C103" s="1533"/>
      <c r="D103" s="1534"/>
      <c r="E103" s="1566"/>
      <c r="F103" s="1567"/>
      <c r="G103" s="1587"/>
      <c r="H103" s="1264"/>
      <c r="I103" s="1589"/>
      <c r="J103" s="1264"/>
      <c r="K103" s="1265"/>
      <c r="L103" s="1596"/>
    </row>
    <row r="104" spans="1:12">
      <c r="A104" s="1564"/>
      <c r="B104" s="1565"/>
      <c r="C104" s="1533"/>
      <c r="D104" s="1534"/>
      <c r="E104" s="1566"/>
      <c r="F104" s="1567"/>
      <c r="G104" s="1587"/>
      <c r="H104" s="1264"/>
      <c r="I104" s="1589"/>
      <c r="J104" s="1264"/>
      <c r="K104" s="1265"/>
      <c r="L104" s="1596"/>
    </row>
    <row r="105" spans="1:12">
      <c r="A105" s="1564"/>
      <c r="B105" s="1565"/>
      <c r="C105" s="1533"/>
      <c r="D105" s="1534"/>
      <c r="E105" s="1566"/>
      <c r="F105" s="1567"/>
      <c r="G105" s="1587"/>
      <c r="H105" s="1264"/>
      <c r="I105" s="1589"/>
      <c r="J105" s="1264"/>
      <c r="K105" s="1265"/>
      <c r="L105" s="1596"/>
    </row>
    <row r="106" spans="1:12">
      <c r="A106" s="1564"/>
      <c r="B106" s="1565"/>
      <c r="C106" s="1533"/>
      <c r="D106" s="1534"/>
      <c r="E106" s="1566"/>
      <c r="F106" s="1567"/>
      <c r="G106" s="1587"/>
      <c r="H106" s="1264"/>
      <c r="I106" s="1589"/>
      <c r="J106" s="1264"/>
      <c r="K106" s="1265"/>
      <c r="L106" s="1596"/>
    </row>
    <row r="107" spans="1:12">
      <c r="A107" s="1564"/>
      <c r="B107" s="1565"/>
      <c r="C107" s="1533"/>
      <c r="D107" s="1534"/>
      <c r="E107" s="1566"/>
      <c r="F107" s="1567"/>
      <c r="G107" s="1587"/>
      <c r="H107" s="1264"/>
      <c r="I107" s="1589"/>
      <c r="J107" s="1264"/>
      <c r="K107" s="1265"/>
      <c r="L107" s="1596"/>
    </row>
    <row r="108" spans="1:12">
      <c r="A108" s="1564"/>
      <c r="B108" s="1565"/>
      <c r="C108" s="1533"/>
      <c r="D108" s="1534"/>
      <c r="E108" s="1566"/>
      <c r="F108" s="1567"/>
      <c r="G108" s="1587"/>
      <c r="H108" s="1264"/>
      <c r="I108" s="1589"/>
      <c r="J108" s="1264"/>
      <c r="K108" s="1265"/>
      <c r="L108" s="1596"/>
    </row>
    <row r="109" spans="1:12">
      <c r="A109" s="1564"/>
      <c r="B109" s="1565"/>
      <c r="C109" s="1533"/>
      <c r="D109" s="1534"/>
      <c r="E109" s="1566"/>
      <c r="F109" s="1567"/>
      <c r="G109" s="1587"/>
      <c r="H109" s="1264"/>
      <c r="I109" s="1589"/>
      <c r="J109" s="1264"/>
      <c r="K109" s="1265"/>
      <c r="L109" s="1596"/>
    </row>
    <row r="110" spans="1:12">
      <c r="A110" s="1564"/>
      <c r="B110" s="1565"/>
      <c r="C110" s="1533"/>
      <c r="D110" s="1534"/>
      <c r="E110" s="1566"/>
      <c r="F110" s="1567"/>
      <c r="G110" s="1587"/>
      <c r="H110" s="1264"/>
      <c r="I110" s="1589"/>
      <c r="J110" s="1264"/>
      <c r="K110" s="1265"/>
      <c r="L110" s="1596"/>
    </row>
    <row r="111" spans="1:12">
      <c r="A111" s="1578"/>
      <c r="B111" s="2257" t="str">
        <f>"รวมราคารายการที่ "&amp;A87</f>
        <v>รวมราคารายการที่ 5.4</v>
      </c>
      <c r="C111" s="2258"/>
      <c r="D111" s="2259"/>
      <c r="E111" s="1579"/>
      <c r="F111" s="1579"/>
      <c r="G111" s="1580"/>
      <c r="H111" s="1581">
        <f>SUM(H89:H110)</f>
        <v>31783</v>
      </c>
      <c r="I111" s="1582"/>
      <c r="J111" s="1581">
        <f>SUM(J89:J110)</f>
        <v>6683</v>
      </c>
      <c r="K111" s="1583">
        <f>SUM(K89:K110)</f>
        <v>38466</v>
      </c>
      <c r="L111" s="1583"/>
    </row>
  </sheetData>
  <mergeCells count="13"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59:D59"/>
    <mergeCell ref="B66:D66"/>
    <mergeCell ref="B86:D86"/>
    <mergeCell ref="B111:D111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ดาดฟ้า-อาคารด้านทิศตะวันตก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51156-B9D8-4654-9678-B8D1B52AD8B3}">
  <sheetPr>
    <tabColor rgb="FFF42CBB"/>
  </sheetPr>
  <dimension ref="A1:U34"/>
  <sheetViews>
    <sheetView showGridLines="0" view="pageBreakPreview" topLeftCell="A19" zoomScale="90" zoomScaleNormal="60" zoomScaleSheetLayoutView="9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5.703125" style="1" customWidth="1"/>
    <col min="13" max="14" width="7.703125" style="1" customWidth="1"/>
    <col min="15" max="15" width="12.5859375" style="1" bestFit="1" customWidth="1"/>
    <col min="16" max="99" width="7.703125" style="1" customWidth="1"/>
    <col min="100" max="16384" width="9" style="1"/>
  </cols>
  <sheetData>
    <row r="1" spans="1:15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5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5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5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5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5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5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5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5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5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5" ht="24" customHeight="1">
      <c r="A11" s="1560" t="s">
        <v>26</v>
      </c>
      <c r="B11" s="1561" t="s">
        <v>1024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429"/>
    </row>
    <row r="12" spans="1:15" ht="24" customHeight="1">
      <c r="A12" s="1564"/>
      <c r="B12" s="1565"/>
      <c r="C12" s="1533"/>
      <c r="D12" s="1534"/>
      <c r="E12" s="1566"/>
      <c r="F12" s="1567"/>
      <c r="G12" s="1195"/>
      <c r="H12" s="1196"/>
      <c r="I12" s="1197"/>
      <c r="J12" s="1196"/>
      <c r="K12" s="1553"/>
      <c r="L12" s="1531"/>
    </row>
    <row r="13" spans="1:15" ht="24" customHeight="1">
      <c r="A13" s="1564"/>
      <c r="B13" s="1568"/>
      <c r="C13" s="1533"/>
      <c r="D13" s="1534"/>
      <c r="E13" s="1569"/>
      <c r="F13" s="1567"/>
      <c r="G13" s="1195"/>
      <c r="H13" s="1196"/>
      <c r="I13" s="1197"/>
      <c r="J13" s="1196"/>
      <c r="K13" s="1553"/>
      <c r="L13" s="1531"/>
    </row>
    <row r="14" spans="1:15" s="1199" customFormat="1" ht="24" customHeight="1">
      <c r="A14" s="1564">
        <v>1</v>
      </c>
      <c r="B14" s="1565" t="str">
        <f>'06.FP อาคารทิศตะวันตก(Main)'!B11</f>
        <v>งานระบบดับเพลิงและป้องกันอัคคีภัย (Main Equipment)</v>
      </c>
      <c r="C14" s="1533"/>
      <c r="D14" s="1534"/>
      <c r="E14" s="1569">
        <v>1</v>
      </c>
      <c r="F14" s="1567" t="s">
        <v>19</v>
      </c>
      <c r="G14" s="1195"/>
      <c r="H14" s="1196">
        <f>'06.FP อาคารทิศตะวันตก(Main)'!H34</f>
        <v>2419848</v>
      </c>
      <c r="I14" s="1197"/>
      <c r="J14" s="1196">
        <f>'06.FP อาคารทิศตะวันตก(Main)'!J34</f>
        <v>735154</v>
      </c>
      <c r="K14" s="1196">
        <f>'06.FP อาคารทิศตะวันตก(Main)'!K34</f>
        <v>3155002</v>
      </c>
      <c r="L14" s="1531"/>
      <c r="O14" s="1570"/>
    </row>
    <row r="15" spans="1:15" s="1199" customFormat="1" ht="24" customHeight="1">
      <c r="A15" s="1564">
        <v>2</v>
      </c>
      <c r="B15" s="1565" t="str">
        <f>'06.FP อาคารทิศตะวันตก(B2)'!B11</f>
        <v>งานระบบดับเพลิงและป้องกันอัคคีภัย ชั้น B2</v>
      </c>
      <c r="C15" s="1533"/>
      <c r="D15" s="1534"/>
      <c r="E15" s="1569">
        <v>1</v>
      </c>
      <c r="F15" s="1567" t="s">
        <v>19</v>
      </c>
      <c r="G15" s="1195"/>
      <c r="H15" s="1196">
        <f>'06.FP อาคารทิศตะวันตก(B2)'!H34</f>
        <v>2584786</v>
      </c>
      <c r="I15" s="1197"/>
      <c r="J15" s="1196">
        <f>'06.FP อาคารทิศตะวันตก(B2)'!J34</f>
        <v>894597</v>
      </c>
      <c r="K15" s="1196">
        <f>'06.FP อาคารทิศตะวันตก(B2)'!K34</f>
        <v>3479383</v>
      </c>
      <c r="L15" s="1531"/>
      <c r="O15" s="1570"/>
    </row>
    <row r="16" spans="1:15" s="1199" customFormat="1" ht="24" customHeight="1">
      <c r="A16" s="1564">
        <v>3</v>
      </c>
      <c r="B16" s="1565" t="str">
        <f>'06.FP อาคารทิศตะวันตก(B1)'!B11</f>
        <v>งานระบบดับเพลิงและป้องกันอัคคีภัย ชั้น B1</v>
      </c>
      <c r="C16" s="1533"/>
      <c r="D16" s="1534"/>
      <c r="E16" s="1569">
        <v>1</v>
      </c>
      <c r="F16" s="1567" t="s">
        <v>19</v>
      </c>
      <c r="G16" s="1195"/>
      <c r="H16" s="1196">
        <f>'06.FP อาคารทิศตะวันตก(B1)'!H34</f>
        <v>2055951</v>
      </c>
      <c r="I16" s="1197"/>
      <c r="J16" s="1196">
        <f>'06.FP อาคารทิศตะวันตก(B1)'!J34</f>
        <v>696176</v>
      </c>
      <c r="K16" s="1196">
        <f>'06.FP อาคารทิศตะวันตก(B1)'!K34</f>
        <v>2752127</v>
      </c>
      <c r="L16" s="1531"/>
      <c r="O16" s="1570"/>
    </row>
    <row r="17" spans="1:15" s="1199" customFormat="1" ht="24" customHeight="1">
      <c r="A17" s="1564">
        <v>4</v>
      </c>
      <c r="B17" s="1565" t="str">
        <f>'06.FP อาคารทิศตะวันตก (FL1)'!B11</f>
        <v>งานระบบดับเพลิงและป้องกันอัคคีภัย ชั้น 1</v>
      </c>
      <c r="C17" s="1533"/>
      <c r="D17" s="1534"/>
      <c r="E17" s="1569">
        <v>1</v>
      </c>
      <c r="F17" s="1567" t="s">
        <v>19</v>
      </c>
      <c r="G17" s="1195"/>
      <c r="H17" s="1196">
        <f>'06.FP อาคารทิศตะวันตก (FL1)'!H34</f>
        <v>3902878</v>
      </c>
      <c r="I17" s="1197"/>
      <c r="J17" s="1196">
        <f>'06.FP อาคารทิศตะวันตก (FL1)'!J34</f>
        <v>537184</v>
      </c>
      <c r="K17" s="1196">
        <f>'06.FP อาคารทิศตะวันตก (FL1)'!K34</f>
        <v>4440062</v>
      </c>
      <c r="L17" s="1531"/>
      <c r="O17" s="1570"/>
    </row>
    <row r="18" spans="1:15" s="1199" customFormat="1" ht="24" customHeight="1">
      <c r="A18" s="1564">
        <v>5</v>
      </c>
      <c r="B18" s="1565" t="str">
        <f>'06.FP อาคารทิศตะวันตก (FL2)'!B11</f>
        <v>งานระบบดับเพลิงและป้องกันอัคคีภัย ชั้น 2</v>
      </c>
      <c r="C18" s="1533"/>
      <c r="D18" s="1534"/>
      <c r="E18" s="1569">
        <v>1</v>
      </c>
      <c r="F18" s="1567" t="s">
        <v>19</v>
      </c>
      <c r="G18" s="1195"/>
      <c r="H18" s="1196">
        <f>'06.FP อาคารทิศตะวันตก (FL2)'!H34</f>
        <v>1443468</v>
      </c>
      <c r="I18" s="1197"/>
      <c r="J18" s="1196">
        <f>'06.FP อาคารทิศตะวันตก (FL2)'!J34</f>
        <v>423075</v>
      </c>
      <c r="K18" s="1196">
        <f>'06.FP อาคารทิศตะวันตก (FL2)'!K34</f>
        <v>1866543</v>
      </c>
      <c r="L18" s="1531"/>
      <c r="O18" s="1570"/>
    </row>
    <row r="19" spans="1:15" s="1199" customFormat="1" ht="24" customHeight="1">
      <c r="A19" s="1564">
        <v>6</v>
      </c>
      <c r="B19" s="1565" t="str">
        <f>'06.FP อาคารทิศตะวันตก (FL3)'!B11</f>
        <v>งานระบบดับเพลิงและป้องกันอัคคีภัย ชั้น 3</v>
      </c>
      <c r="C19" s="1533"/>
      <c r="D19" s="1534"/>
      <c r="E19" s="1569">
        <v>1</v>
      </c>
      <c r="F19" s="1567" t="s">
        <v>19</v>
      </c>
      <c r="G19" s="1195"/>
      <c r="H19" s="1196">
        <f>'06.FP อาคารทิศตะวันตก (FL3)'!H34</f>
        <v>1510451</v>
      </c>
      <c r="I19" s="1197"/>
      <c r="J19" s="1196">
        <f>'06.FP อาคารทิศตะวันตก (FL3)'!J34</f>
        <v>486265</v>
      </c>
      <c r="K19" s="1196">
        <f>'06.FP อาคารทิศตะวันตก (FL3)'!K34</f>
        <v>1996716</v>
      </c>
      <c r="L19" s="1531"/>
      <c r="O19" s="1570"/>
    </row>
    <row r="20" spans="1:15" s="1199" customFormat="1" ht="24" customHeight="1">
      <c r="A20" s="1564">
        <v>7</v>
      </c>
      <c r="B20" s="1565" t="str">
        <f>'06.FP อาคารทิศตะวันตก (FL4)'!B11</f>
        <v>งานระบบดับเพลิงและป้องกันอัคคีภัย ชั้น 4</v>
      </c>
      <c r="C20" s="1533"/>
      <c r="D20" s="1534"/>
      <c r="E20" s="1566">
        <v>1</v>
      </c>
      <c r="F20" s="1567" t="s">
        <v>19</v>
      </c>
      <c r="G20" s="1195"/>
      <c r="H20" s="1196">
        <f>'06.FP อาคารทิศตะวันตก (FL4)'!H34</f>
        <v>1562176</v>
      </c>
      <c r="I20" s="1197"/>
      <c r="J20" s="1196">
        <f>'06.FP อาคารทิศตะวันตก (FL4)'!J34</f>
        <v>489522</v>
      </c>
      <c r="K20" s="1196">
        <f>'06.FP อาคารทิศตะวันตก (FL4)'!K34</f>
        <v>2051698</v>
      </c>
      <c r="L20" s="1531"/>
      <c r="O20" s="1570"/>
    </row>
    <row r="21" spans="1:15" s="1199" customFormat="1" ht="24" customHeight="1">
      <c r="A21" s="1564">
        <v>8</v>
      </c>
      <c r="B21" s="1565" t="str">
        <f>'06.FP อาคารทิศตะวันตก (FL5)'!B11</f>
        <v>งานระบบดับเพลิงและป้องกันอัคคีภัย ชั้น 5</v>
      </c>
      <c r="C21" s="1533"/>
      <c r="D21" s="1534"/>
      <c r="E21" s="1566">
        <v>1</v>
      </c>
      <c r="F21" s="1567" t="s">
        <v>19</v>
      </c>
      <c r="G21" s="1195"/>
      <c r="H21" s="1196">
        <f>'06.FP อาคารทิศตะวันตก (FL5)'!H34</f>
        <v>1663996</v>
      </c>
      <c r="I21" s="1197"/>
      <c r="J21" s="1196">
        <f>'06.FP อาคารทิศตะวันตก (FL5)'!J34</f>
        <v>520687</v>
      </c>
      <c r="K21" s="1196">
        <f>'06.FP อาคารทิศตะวันตก (FL5)'!K34</f>
        <v>2184683</v>
      </c>
      <c r="L21" s="1531"/>
      <c r="O21" s="1570"/>
    </row>
    <row r="22" spans="1:15" s="1199" customFormat="1" ht="24" customHeight="1">
      <c r="A22" s="1564">
        <v>9</v>
      </c>
      <c r="B22" s="1565" t="str">
        <f>'06.FP อาคารทิศตะวันตก (FL6)'!B11</f>
        <v>งานระบบดับเพลิงและป้องกันอัคคีภัย ชั้น 6</v>
      </c>
      <c r="C22" s="1533"/>
      <c r="D22" s="1534"/>
      <c r="E22" s="1566">
        <v>1</v>
      </c>
      <c r="F22" s="1567" t="s">
        <v>19</v>
      </c>
      <c r="G22" s="1195"/>
      <c r="H22" s="1196">
        <f>'06.FP อาคารทิศตะวันตก (FL6)'!H34</f>
        <v>1565198</v>
      </c>
      <c r="I22" s="1197"/>
      <c r="J22" s="1196">
        <f>'06.FP อาคารทิศตะวันตก (FL6)'!J34</f>
        <v>525298</v>
      </c>
      <c r="K22" s="1196">
        <f>'06.FP อาคารทิศตะวันตก (FL6)'!K34</f>
        <v>2090496</v>
      </c>
      <c r="L22" s="1531"/>
      <c r="O22" s="1570"/>
    </row>
    <row r="23" spans="1:15" s="1199" customFormat="1" ht="24" customHeight="1">
      <c r="A23" s="1564">
        <v>10</v>
      </c>
      <c r="B23" s="1565" t="str">
        <f>'06.FP อาคารทิศตะวันตก (FL7)'!B11</f>
        <v>งานระบบดับเพลิงและป้องกันอัคคีภัย ชั้น 7</v>
      </c>
      <c r="C23" s="1533"/>
      <c r="D23" s="1534"/>
      <c r="E23" s="1566">
        <v>1</v>
      </c>
      <c r="F23" s="1567" t="s">
        <v>19</v>
      </c>
      <c r="G23" s="1195"/>
      <c r="H23" s="1196">
        <f>'06.FP อาคารทิศตะวันตก (FL7)'!H34</f>
        <v>1516481</v>
      </c>
      <c r="I23" s="1197"/>
      <c r="J23" s="1196">
        <f>'06.FP อาคารทิศตะวันตก (FL7)'!J34</f>
        <v>505133</v>
      </c>
      <c r="K23" s="1196">
        <f>'06.FP อาคารทิศตะวันตก (FL7)'!K34</f>
        <v>2021614</v>
      </c>
      <c r="L23" s="1531"/>
      <c r="O23" s="1570"/>
    </row>
    <row r="24" spans="1:15" s="1199" customFormat="1" ht="24" customHeight="1">
      <c r="A24" s="1564">
        <v>11</v>
      </c>
      <c r="B24" s="1565" t="str">
        <f>'06.FP อาคารทิศตะวันตก (FL8)'!B11</f>
        <v>งานระบบดับเพลิงและป้องกันอัคคีภัย ชั้น 8</v>
      </c>
      <c r="C24" s="1533"/>
      <c r="D24" s="1534"/>
      <c r="E24" s="1566">
        <v>1</v>
      </c>
      <c r="F24" s="1567" t="s">
        <v>19</v>
      </c>
      <c r="G24" s="1195"/>
      <c r="H24" s="1196">
        <f>'06.FP อาคารทิศตะวันตก (FL8)'!H34</f>
        <v>1514928</v>
      </c>
      <c r="I24" s="1197"/>
      <c r="J24" s="1196">
        <f>'06.FP อาคารทิศตะวันตก (FL8)'!J34</f>
        <v>504540</v>
      </c>
      <c r="K24" s="1196">
        <f>'06.FP อาคารทิศตะวันตก (FL8)'!K34</f>
        <v>2019468</v>
      </c>
      <c r="L24" s="1531"/>
      <c r="O24" s="1570"/>
    </row>
    <row r="25" spans="1:15" s="1199" customFormat="1" ht="24" customHeight="1">
      <c r="A25" s="1564">
        <v>12</v>
      </c>
      <c r="B25" s="1565" t="str">
        <f>'06.FP อาคารทิศตะวันตก (FL9)'!B11</f>
        <v>งานระบบดับเพลิงและป้องกันอัคคีภัย ชั้น 9</v>
      </c>
      <c r="C25" s="1533"/>
      <c r="D25" s="1534"/>
      <c r="E25" s="1566">
        <v>1</v>
      </c>
      <c r="F25" s="1567" t="s">
        <v>19</v>
      </c>
      <c r="G25" s="1195"/>
      <c r="H25" s="1196">
        <f>'06.FP อาคารทิศตะวันตก (FL9)'!H34</f>
        <v>1481552</v>
      </c>
      <c r="I25" s="1197"/>
      <c r="J25" s="1196">
        <f>'06.FP อาคารทิศตะวันตก (FL9)'!J34</f>
        <v>490709</v>
      </c>
      <c r="K25" s="1196">
        <f>'06.FP อาคารทิศตะวันตก (FL9)'!K34</f>
        <v>1972261</v>
      </c>
      <c r="L25" s="1531"/>
      <c r="O25" s="1570"/>
    </row>
    <row r="26" spans="1:15" s="1199" customFormat="1" ht="24" customHeight="1">
      <c r="A26" s="1564">
        <v>13</v>
      </c>
      <c r="B26" s="1565" t="str">
        <f>'06.FP อาคารทิศตะวันตก (FL10)'!B11</f>
        <v>งานระบบดับเพลิงและป้องกันอัคคีภัย ชั้น 10</v>
      </c>
      <c r="C26" s="1533"/>
      <c r="D26" s="1534"/>
      <c r="E26" s="1566">
        <v>1</v>
      </c>
      <c r="F26" s="1567" t="s">
        <v>19</v>
      </c>
      <c r="G26" s="1195"/>
      <c r="H26" s="1196">
        <f>'06.FP อาคารทิศตะวันตก (FL10)'!H34</f>
        <v>1568381</v>
      </c>
      <c r="I26" s="1197"/>
      <c r="J26" s="1196">
        <f>'06.FP อาคารทิศตะวันตก (FL10)'!J34</f>
        <v>527557</v>
      </c>
      <c r="K26" s="1196">
        <f>'06.FP อาคารทิศตะวันตก (FL10)'!K34</f>
        <v>2095938</v>
      </c>
      <c r="L26" s="1531"/>
      <c r="O26" s="1570"/>
    </row>
    <row r="27" spans="1:15" s="1199" customFormat="1" ht="24" customHeight="1">
      <c r="A27" s="1564">
        <v>14</v>
      </c>
      <c r="B27" s="1565" t="str">
        <f>'06.FP อาคารทิศตะวันตก (FL11)'!B11</f>
        <v>งานระบบดับเพลิงและป้องกันอัคคีภัย ชั้น 11</v>
      </c>
      <c r="C27" s="1533"/>
      <c r="D27" s="1534"/>
      <c r="E27" s="1566">
        <v>1</v>
      </c>
      <c r="F27" s="1567" t="s">
        <v>19</v>
      </c>
      <c r="G27" s="1195"/>
      <c r="H27" s="1196">
        <f>'06.FP อาคารทิศตะวันตก (FL11)'!H34</f>
        <v>1409921</v>
      </c>
      <c r="I27" s="1197"/>
      <c r="J27" s="1196">
        <f>'06.FP อาคารทิศตะวันตก (FL11)'!J34</f>
        <v>457687</v>
      </c>
      <c r="K27" s="1196">
        <f>'06.FP อาคารทิศตะวันตก (FL11)'!K34</f>
        <v>1867608</v>
      </c>
      <c r="L27" s="1531"/>
      <c r="O27" s="1570"/>
    </row>
    <row r="28" spans="1:15" s="1199" customFormat="1" ht="24" customHeight="1">
      <c r="A28" s="1564">
        <v>15</v>
      </c>
      <c r="B28" s="1565" t="str">
        <f>'06.FP อาคารทิศตะวันตก (FLR)'!B11</f>
        <v>งานระบบดับเพลิงและป้องกันอัคคีภัย ชั้น ดาดฟ้า</v>
      </c>
      <c r="C28" s="1533"/>
      <c r="D28" s="1534"/>
      <c r="E28" s="1566">
        <v>1</v>
      </c>
      <c r="F28" s="1567" t="s">
        <v>19</v>
      </c>
      <c r="G28" s="1195"/>
      <c r="H28" s="1196">
        <f>'06.FP อาคารทิศตะวันตก (FLR)'!H34</f>
        <v>580861</v>
      </c>
      <c r="I28" s="1197"/>
      <c r="J28" s="1196">
        <f>'06.FP อาคารทิศตะวันตก (FLR)'!J34</f>
        <v>120700</v>
      </c>
      <c r="K28" s="1196">
        <f>'06.FP อาคารทิศตะวันตก (FLR)'!K34</f>
        <v>701561</v>
      </c>
      <c r="L28" s="1531"/>
      <c r="O28" s="1570"/>
    </row>
    <row r="29" spans="1:15" s="1199" customFormat="1" ht="24" customHeight="1">
      <c r="A29" s="1564"/>
      <c r="B29" s="1568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5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5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5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21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21" s="1199" customFormat="1" ht="30" customHeight="1">
      <c r="A34" s="1209"/>
      <c r="B34" s="1536" t="str">
        <f>"รวมราคา"&amp;B11</f>
        <v>รวมราคางานระบบดับเพลิงและป้องกันอัคคีภัย</v>
      </c>
      <c r="C34" s="1536"/>
      <c r="D34" s="1536"/>
      <c r="E34" s="1536"/>
      <c r="F34" s="1536"/>
      <c r="G34" s="1655"/>
      <c r="H34" s="1213">
        <f>SUM(H14:H33)</f>
        <v>26780876</v>
      </c>
      <c r="I34" s="1213"/>
      <c r="J34" s="1213">
        <f>SUM(J14:J33)</f>
        <v>7914284</v>
      </c>
      <c r="K34" s="1213">
        <f>SUM(K14:K33)</f>
        <v>34695160</v>
      </c>
      <c r="L34" s="1213"/>
      <c r="M34" s="1214"/>
      <c r="N34" s="1214"/>
      <c r="O34" s="1214"/>
      <c r="P34" s="1214"/>
      <c r="Q34" s="1214"/>
      <c r="R34" s="1214"/>
      <c r="S34" s="1214"/>
      <c r="T34" s="1214"/>
      <c r="U34" s="1214"/>
    </row>
  </sheetData>
  <mergeCells count="8"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&amp;Rหน้าสรุปงานระบบดับเพลิงและป้องกันอัคคีภัย-อาคารด้านทิศตะวันตก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85F54-0918-4D77-9FC4-AEBDBD0713B9}">
  <sheetPr>
    <tabColor rgb="FFF42CBB"/>
  </sheetPr>
  <dimension ref="A1:O131"/>
  <sheetViews>
    <sheetView showGridLines="0" view="pageBreakPreview" topLeftCell="A88" zoomScale="70" zoomScaleNormal="60" zoomScaleSheetLayoutView="7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87890625" style="1" customWidth="1"/>
    <col min="13" max="66" width="7.703125" style="1" customWidth="1"/>
    <col min="67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1859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429"/>
    </row>
    <row r="12" spans="1:12" s="1199" customFormat="1" ht="24" customHeight="1">
      <c r="A12" s="1564">
        <f>A36</f>
        <v>6.1</v>
      </c>
      <c r="B12" s="1565" t="str">
        <f>B36</f>
        <v>งานท่อน้ำ (Piping Work)</v>
      </c>
      <c r="C12" s="1533"/>
      <c r="D12" s="1534"/>
      <c r="E12" s="1566">
        <v>1</v>
      </c>
      <c r="F12" s="1567" t="s">
        <v>19</v>
      </c>
      <c r="G12" s="1195"/>
      <c r="H12" s="1196">
        <f>H59</f>
        <v>1383692</v>
      </c>
      <c r="I12" s="1197"/>
      <c r="J12" s="1196">
        <f>J59</f>
        <v>550718</v>
      </c>
      <c r="K12" s="1553">
        <f>SUM(H12:J12)</f>
        <v>1934410</v>
      </c>
      <c r="L12" s="1531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6">
        <v>1</v>
      </c>
      <c r="F13" s="1567" t="s">
        <v>19</v>
      </c>
      <c r="G13" s="1195"/>
      <c r="H13" s="1196">
        <f>H91</f>
        <v>586156</v>
      </c>
      <c r="I13" s="1197"/>
      <c r="J13" s="1196">
        <f>J91</f>
        <v>49436</v>
      </c>
      <c r="K13" s="1553">
        <f>SUM(H13:J13)</f>
        <v>635592</v>
      </c>
      <c r="L13" s="1531"/>
    </row>
    <row r="14" spans="1:12" s="1199" customFormat="1" ht="24" customHeight="1">
      <c r="A14" s="1564" t="str">
        <f>A92</f>
        <v>6.3</v>
      </c>
      <c r="B14" s="1565" t="str">
        <f>B92</f>
        <v>ระบบป้องกันไฟและควันลาม (Fire Barrier System)</v>
      </c>
      <c r="C14" s="1533"/>
      <c r="D14" s="1534"/>
      <c r="E14" s="1566">
        <v>1</v>
      </c>
      <c r="F14" s="1567" t="s">
        <v>19</v>
      </c>
      <c r="G14" s="1195"/>
      <c r="H14" s="1196">
        <f>H109</f>
        <v>450000</v>
      </c>
      <c r="I14" s="1197"/>
      <c r="J14" s="1196">
        <f>J109</f>
        <v>135000</v>
      </c>
      <c r="K14" s="1553">
        <f>SUM(H14:J14)</f>
        <v>585000</v>
      </c>
      <c r="L14" s="1531"/>
    </row>
    <row r="15" spans="1:12" s="1199" customFormat="1" ht="24" customHeight="1">
      <c r="A15" s="1564"/>
      <c r="B15" s="1565"/>
      <c r="C15" s="1533"/>
      <c r="D15" s="1534"/>
      <c r="E15" s="1566"/>
      <c r="F15" s="1567"/>
      <c r="G15" s="1195"/>
      <c r="H15" s="1196"/>
      <c r="I15" s="1197"/>
      <c r="J15" s="1196"/>
      <c r="K15" s="1553"/>
      <c r="L15" s="1531"/>
    </row>
    <row r="16" spans="1:12" s="1199" customFormat="1" ht="24" customHeight="1">
      <c r="A16" s="1564"/>
      <c r="B16" s="1565"/>
      <c r="C16" s="1533"/>
      <c r="D16" s="1534"/>
      <c r="E16" s="1566"/>
      <c r="F16" s="1567"/>
      <c r="G16" s="1195"/>
      <c r="H16" s="1196"/>
      <c r="I16" s="1197"/>
      <c r="J16" s="1196"/>
      <c r="K16" s="1553"/>
      <c r="L16" s="1531"/>
    </row>
    <row r="17" spans="1:12" s="1199" customFormat="1" ht="24" customHeight="1">
      <c r="A17" s="1564"/>
      <c r="B17" s="1565"/>
      <c r="C17" s="1533"/>
      <c r="D17" s="1534"/>
      <c r="E17" s="1566"/>
      <c r="F17" s="1567"/>
      <c r="G17" s="1195"/>
      <c r="H17" s="1196"/>
      <c r="I17" s="1197"/>
      <c r="J17" s="1196"/>
      <c r="K17" s="1553"/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3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3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(Main Equipment)</v>
      </c>
      <c r="C34" s="2258"/>
      <c r="D34" s="2259"/>
      <c r="E34" s="1579"/>
      <c r="F34" s="1579"/>
      <c r="G34" s="1580"/>
      <c r="H34" s="1581">
        <f>SUM(H12:H15)</f>
        <v>2419848</v>
      </c>
      <c r="I34" s="1582"/>
      <c r="J34" s="1581">
        <f>SUM(J12:J15)</f>
        <v>735154</v>
      </c>
      <c r="K34" s="1583">
        <f>SUM(K12:K15)</f>
        <v>3155002</v>
      </c>
      <c r="L34" s="1583"/>
    </row>
    <row r="35" spans="1:13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382"/>
    </row>
    <row r="36" spans="1:13" s="1199" customFormat="1" ht="24" customHeight="1">
      <c r="A36" s="1620">
        <v>6.1</v>
      </c>
      <c r="B36" s="1621" t="s">
        <v>1860</v>
      </c>
      <c r="C36" s="1656"/>
      <c r="D36" s="1623"/>
      <c r="E36" s="1624"/>
      <c r="F36" s="1625"/>
      <c r="G36" s="1357"/>
      <c r="H36" s="1298"/>
      <c r="I36" s="1299"/>
      <c r="J36" s="1298"/>
      <c r="K36" s="1382"/>
      <c r="L36" s="1382"/>
    </row>
    <row r="37" spans="1:13" s="1199" customFormat="1" ht="24" customHeight="1">
      <c r="A37" s="1564" t="s">
        <v>1861</v>
      </c>
      <c r="B37" s="1565" t="s">
        <v>1862</v>
      </c>
      <c r="C37" s="1533"/>
      <c r="D37" s="1534"/>
      <c r="E37" s="1566"/>
      <c r="F37" s="1567"/>
      <c r="G37" s="1516"/>
      <c r="H37" s="1298"/>
      <c r="I37" s="1299"/>
      <c r="J37" s="1298"/>
      <c r="K37" s="1382"/>
      <c r="L37" s="1382"/>
    </row>
    <row r="38" spans="1:13" s="1199" customFormat="1" ht="24" customHeight="1">
      <c r="A38" s="1564"/>
      <c r="B38" s="1565" t="s">
        <v>1863</v>
      </c>
      <c r="C38" s="1533"/>
      <c r="D38" s="1534"/>
      <c r="E38" s="1657"/>
      <c r="F38" s="1567"/>
      <c r="G38" s="1357"/>
      <c r="H38" s="1298"/>
      <c r="I38" s="1299"/>
      <c r="J38" s="1298"/>
      <c r="K38" s="1382"/>
      <c r="L38" s="1382"/>
    </row>
    <row r="39" spans="1:13" s="1199" customFormat="1" ht="24" customHeight="1">
      <c r="A39" s="1564"/>
      <c r="B39" s="1565" t="s">
        <v>1864</v>
      </c>
      <c r="C39" s="1533"/>
      <c r="D39" s="1534"/>
      <c r="E39" s="1658"/>
      <c r="F39" s="1567"/>
      <c r="G39" s="1357"/>
      <c r="H39" s="1298"/>
      <c r="I39" s="1299"/>
      <c r="J39" s="1298"/>
      <c r="K39" s="1382"/>
      <c r="L39" s="1382"/>
    </row>
    <row r="40" spans="1:13" s="1199" customFormat="1" ht="24" customHeight="1">
      <c r="A40" s="1564"/>
      <c r="B40" s="1565" t="s">
        <v>1865</v>
      </c>
      <c r="C40" s="1533"/>
      <c r="D40" s="1534"/>
      <c r="E40" s="1659"/>
      <c r="F40" s="1567"/>
      <c r="G40" s="1357"/>
      <c r="H40" s="1298"/>
      <c r="I40" s="1299"/>
      <c r="J40" s="1298"/>
      <c r="K40" s="1382"/>
      <c r="L40" s="1382"/>
    </row>
    <row r="41" spans="1:13" s="1199" customFormat="1" ht="24" customHeight="1">
      <c r="A41" s="1564"/>
      <c r="B41" s="1565" t="s">
        <v>1846</v>
      </c>
      <c r="C41" s="1533"/>
      <c r="D41" s="1534"/>
      <c r="E41" s="1659"/>
      <c r="F41" s="1567"/>
      <c r="G41" s="1357"/>
      <c r="H41" s="1298"/>
      <c r="I41" s="1299"/>
      <c r="J41" s="1298"/>
      <c r="K41" s="1382"/>
      <c r="L41" s="1382"/>
    </row>
    <row r="42" spans="1:13" s="1199" customFormat="1" ht="24" customHeight="1">
      <c r="A42" s="1564"/>
      <c r="B42" s="1565" t="s">
        <v>1856</v>
      </c>
      <c r="C42" s="1533"/>
      <c r="D42" s="1534"/>
      <c r="E42" s="1660"/>
      <c r="F42" s="1567" t="s">
        <v>226</v>
      </c>
      <c r="G42" s="1661"/>
      <c r="H42" s="1264">
        <f t="shared" ref="H42:H51" si="0">ROUND(E42*G42,)</f>
        <v>0</v>
      </c>
      <c r="I42" s="1589">
        <v>150</v>
      </c>
      <c r="J42" s="1264">
        <f t="shared" ref="J42:J51" si="1">ROUND(I42*E42,)</f>
        <v>0</v>
      </c>
      <c r="K42" s="1273">
        <f t="shared" ref="K42:K51" si="2">H42+J42</f>
        <v>0</v>
      </c>
      <c r="L42" s="1382"/>
      <c r="M42" s="1532"/>
    </row>
    <row r="43" spans="1:13" s="1199" customFormat="1" ht="24" customHeight="1">
      <c r="A43" s="1564"/>
      <c r="B43" s="1565" t="s">
        <v>1834</v>
      </c>
      <c r="C43" s="1533"/>
      <c r="D43" s="1534"/>
      <c r="E43" s="1662"/>
      <c r="F43" s="1567" t="s">
        <v>226</v>
      </c>
      <c r="G43" s="1661"/>
      <c r="H43" s="1264">
        <f t="shared" si="0"/>
        <v>0</v>
      </c>
      <c r="I43" s="1589">
        <v>200</v>
      </c>
      <c r="J43" s="1264">
        <f t="shared" si="1"/>
        <v>0</v>
      </c>
      <c r="K43" s="1273">
        <f t="shared" si="2"/>
        <v>0</v>
      </c>
      <c r="L43" s="1382"/>
      <c r="M43" s="1532"/>
    </row>
    <row r="44" spans="1:13" s="1199" customFormat="1" ht="24" customHeight="1">
      <c r="A44" s="1564"/>
      <c r="B44" s="1565" t="s">
        <v>1759</v>
      </c>
      <c r="C44" s="1533"/>
      <c r="D44" s="1534"/>
      <c r="E44" s="1662">
        <v>17</v>
      </c>
      <c r="F44" s="1567" t="s">
        <v>226</v>
      </c>
      <c r="G44" s="1661">
        <v>499</v>
      </c>
      <c r="H44" s="1264">
        <f t="shared" si="0"/>
        <v>8483</v>
      </c>
      <c r="I44" s="1589">
        <v>280</v>
      </c>
      <c r="J44" s="1264">
        <f>ROUND(I44*E44,)</f>
        <v>4760</v>
      </c>
      <c r="K44" s="1273">
        <f t="shared" si="2"/>
        <v>13243</v>
      </c>
      <c r="L44" s="1382"/>
    </row>
    <row r="45" spans="1:13" s="1199" customFormat="1" ht="24" customHeight="1">
      <c r="A45" s="1564"/>
      <c r="B45" s="1565" t="s">
        <v>1754</v>
      </c>
      <c r="C45" s="1533"/>
      <c r="D45" s="1534"/>
      <c r="E45" s="1662">
        <v>401</v>
      </c>
      <c r="F45" s="1567" t="s">
        <v>226</v>
      </c>
      <c r="G45" s="1661">
        <v>877</v>
      </c>
      <c r="H45" s="1264">
        <f t="shared" si="0"/>
        <v>351677</v>
      </c>
      <c r="I45" s="1589">
        <v>500</v>
      </c>
      <c r="J45" s="1264">
        <f t="shared" si="1"/>
        <v>200500</v>
      </c>
      <c r="K45" s="1273">
        <f t="shared" si="2"/>
        <v>552177</v>
      </c>
      <c r="L45" s="1382"/>
    </row>
    <row r="46" spans="1:13" s="1199" customFormat="1" ht="24" customHeight="1">
      <c r="A46" s="1564"/>
      <c r="B46" s="1565" t="s">
        <v>1755</v>
      </c>
      <c r="C46" s="1533"/>
      <c r="D46" s="1534"/>
      <c r="E46" s="1662">
        <v>205</v>
      </c>
      <c r="F46" s="1567" t="s">
        <v>226</v>
      </c>
      <c r="G46" s="1661">
        <v>1361</v>
      </c>
      <c r="H46" s="1264">
        <f t="shared" si="0"/>
        <v>279005</v>
      </c>
      <c r="I46" s="1589">
        <v>560</v>
      </c>
      <c r="J46" s="1264">
        <f t="shared" si="1"/>
        <v>114800</v>
      </c>
      <c r="K46" s="1273">
        <f t="shared" si="2"/>
        <v>393805</v>
      </c>
      <c r="L46" s="1382"/>
    </row>
    <row r="47" spans="1:13" s="1199" customFormat="1" ht="24" customHeight="1">
      <c r="A47" s="1564"/>
      <c r="B47" s="1565" t="s">
        <v>1866</v>
      </c>
      <c r="C47" s="1533"/>
      <c r="D47" s="1534"/>
      <c r="E47" s="1663"/>
      <c r="F47" s="1567" t="s">
        <v>226</v>
      </c>
      <c r="G47" s="1661">
        <v>2212</v>
      </c>
      <c r="H47" s="1264">
        <f t="shared" si="0"/>
        <v>0</v>
      </c>
      <c r="I47" s="1589">
        <v>700</v>
      </c>
      <c r="J47" s="1264">
        <f t="shared" si="1"/>
        <v>0</v>
      </c>
      <c r="K47" s="1273">
        <f t="shared" si="2"/>
        <v>0</v>
      </c>
      <c r="L47" s="1382"/>
    </row>
    <row r="48" spans="1:13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255666</v>
      </c>
      <c r="H48" s="1264">
        <f t="shared" si="0"/>
        <v>255666</v>
      </c>
      <c r="I48" s="1589">
        <f>ROUND(G48*0.3,)</f>
        <v>76700</v>
      </c>
      <c r="J48" s="1264">
        <f t="shared" si="1"/>
        <v>76700</v>
      </c>
      <c r="K48" s="1273">
        <f t="shared" si="2"/>
        <v>332366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127833</v>
      </c>
      <c r="H49" s="1264">
        <f t="shared" si="0"/>
        <v>127833</v>
      </c>
      <c r="I49" s="1589">
        <f>ROUND(G49*0.3,)</f>
        <v>38350</v>
      </c>
      <c r="J49" s="1264">
        <f t="shared" si="1"/>
        <v>38350</v>
      </c>
      <c r="K49" s="1273">
        <f t="shared" si="2"/>
        <v>166183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ROUND(SUM(H37:H47)*10%,)</f>
        <v>63917</v>
      </c>
      <c r="H50" s="1264">
        <f t="shared" si="0"/>
        <v>63917</v>
      </c>
      <c r="I50" s="1589">
        <f>ROUND(G50*0.3,)</f>
        <v>19175</v>
      </c>
      <c r="J50" s="1264">
        <f t="shared" si="1"/>
        <v>19175</v>
      </c>
      <c r="K50" s="1273">
        <f t="shared" si="2"/>
        <v>83092</v>
      </c>
      <c r="L50" s="1382"/>
    </row>
    <row r="51" spans="1:15" s="1199" customFormat="1" ht="24" customHeight="1">
      <c r="A51" s="1572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191750</v>
      </c>
      <c r="H51" s="1264">
        <f t="shared" si="0"/>
        <v>191750</v>
      </c>
      <c r="I51" s="1589">
        <f>ROUND(G51*0.3,)</f>
        <v>57525</v>
      </c>
      <c r="J51" s="1264">
        <f t="shared" si="1"/>
        <v>57525</v>
      </c>
      <c r="K51" s="1273">
        <f t="shared" si="2"/>
        <v>249275</v>
      </c>
      <c r="L51" s="1382"/>
    </row>
    <row r="52" spans="1:15" s="1199" customFormat="1" ht="24" customHeight="1">
      <c r="A52" s="1572"/>
      <c r="B52" s="1573"/>
      <c r="C52" s="1574"/>
      <c r="D52" s="1575"/>
      <c r="E52" s="1664"/>
      <c r="F52" s="1448"/>
      <c r="G52" s="1665"/>
      <c r="H52" s="1264"/>
      <c r="I52" s="1589"/>
      <c r="J52" s="1264"/>
      <c r="K52" s="1273"/>
      <c r="L52" s="1382"/>
    </row>
    <row r="53" spans="1:15" s="1199" customFormat="1" ht="24" customHeight="1">
      <c r="A53" s="1572" t="s">
        <v>1868</v>
      </c>
      <c r="B53" s="1573" t="s">
        <v>1869</v>
      </c>
      <c r="C53" s="1574"/>
      <c r="D53" s="1575"/>
      <c r="E53" s="1664"/>
      <c r="F53" s="1577"/>
      <c r="G53" s="1351"/>
      <c r="H53" s="1264"/>
      <c r="I53" s="1265"/>
      <c r="J53" s="1264"/>
      <c r="K53" s="1273"/>
      <c r="L53" s="1273"/>
    </row>
    <row r="54" spans="1:15" s="1199" customFormat="1" ht="24" customHeight="1">
      <c r="A54" s="1564"/>
      <c r="B54" s="1565" t="s">
        <v>1337</v>
      </c>
      <c r="C54" s="1533"/>
      <c r="D54" s="1534"/>
      <c r="E54" s="1666"/>
      <c r="F54" s="1567" t="s">
        <v>226</v>
      </c>
      <c r="G54" s="1516">
        <v>124</v>
      </c>
      <c r="H54" s="1264">
        <f>ROUND(E54*G54,)</f>
        <v>0</v>
      </c>
      <c r="I54" s="1265">
        <v>50</v>
      </c>
      <c r="J54" s="1264">
        <f t="shared" ref="J54:J55" si="3">ROUND(I54*E54,)</f>
        <v>0</v>
      </c>
      <c r="K54" s="1273">
        <f t="shared" ref="K54:K55" si="4">H54+J54</f>
        <v>0</v>
      </c>
      <c r="L54" s="2082" t="s">
        <v>2667</v>
      </c>
      <c r="N54" s="1199">
        <v>745.96</v>
      </c>
      <c r="O54" s="1199">
        <f>ROUND(N54/6,)</f>
        <v>124</v>
      </c>
    </row>
    <row r="55" spans="1:15" s="1199" customFormat="1" ht="24" customHeight="1">
      <c r="A55" s="1564"/>
      <c r="B55" s="1565" t="s">
        <v>1340</v>
      </c>
      <c r="C55" s="1533"/>
      <c r="D55" s="1534"/>
      <c r="E55" s="1666">
        <v>226</v>
      </c>
      <c r="F55" s="1567" t="s">
        <v>226</v>
      </c>
      <c r="G55" s="1516">
        <v>259</v>
      </c>
      <c r="H55" s="1264">
        <f t="shared" ref="H55" si="5">ROUND(E55*G55,)</f>
        <v>58534</v>
      </c>
      <c r="I55" s="1299">
        <v>110</v>
      </c>
      <c r="J55" s="1264">
        <f t="shared" si="3"/>
        <v>24860</v>
      </c>
      <c r="K55" s="1273">
        <f t="shared" si="4"/>
        <v>83394</v>
      </c>
      <c r="L55" s="2082" t="s">
        <v>2667</v>
      </c>
      <c r="N55" s="1199">
        <v>1554.48</v>
      </c>
      <c r="O55" s="1199">
        <f>ROUND(N55/6,)</f>
        <v>259</v>
      </c>
    </row>
    <row r="56" spans="1:15" s="1199" customFormat="1" ht="24" customHeight="1">
      <c r="A56" s="1564"/>
      <c r="B56" s="1565" t="s">
        <v>1719</v>
      </c>
      <c r="C56" s="1533"/>
      <c r="D56" s="1534"/>
      <c r="E56" s="1667">
        <v>1</v>
      </c>
      <c r="F56" s="1402" t="s">
        <v>1104</v>
      </c>
      <c r="G56" s="1661">
        <f>ROUND(SUM(H54:H55)*50%,)</f>
        <v>29267</v>
      </c>
      <c r="H56" s="1264">
        <f>ROUND(E56*G56,)</f>
        <v>29267</v>
      </c>
      <c r="I56" s="1589">
        <f>ROUND(G56*0.3,)</f>
        <v>8780</v>
      </c>
      <c r="J56" s="1264">
        <f>ROUND(I56*E56,)</f>
        <v>8780</v>
      </c>
      <c r="K56" s="1273">
        <f>H56+J56</f>
        <v>38047</v>
      </c>
      <c r="L56" s="1382"/>
    </row>
    <row r="57" spans="1:15" s="1199" customFormat="1" ht="24" customHeight="1">
      <c r="A57" s="1564"/>
      <c r="B57" s="1565" t="s">
        <v>1720</v>
      </c>
      <c r="C57" s="1533"/>
      <c r="D57" s="1534"/>
      <c r="E57" s="1667">
        <v>1</v>
      </c>
      <c r="F57" s="1402" t="s">
        <v>1104</v>
      </c>
      <c r="G57" s="1661">
        <f>ROUND(SUM(H54:H55)*20%,)</f>
        <v>11707</v>
      </c>
      <c r="H57" s="1264">
        <f>ROUND(E57*G57,)</f>
        <v>11707</v>
      </c>
      <c r="I57" s="1589">
        <f>ROUND(G57*0.3,)</f>
        <v>3512</v>
      </c>
      <c r="J57" s="1264">
        <f>ROUND(I57*E57,)</f>
        <v>3512</v>
      </c>
      <c r="K57" s="1273">
        <f>H57+J57</f>
        <v>15219</v>
      </c>
      <c r="L57" s="1382"/>
    </row>
    <row r="58" spans="1:15" s="1199" customFormat="1" ht="24" customHeight="1">
      <c r="A58" s="1564"/>
      <c r="B58" s="1565" t="s">
        <v>1721</v>
      </c>
      <c r="C58" s="1533"/>
      <c r="D58" s="1534"/>
      <c r="E58" s="1667">
        <v>1</v>
      </c>
      <c r="F58" s="1402" t="s">
        <v>1104</v>
      </c>
      <c r="G58" s="1661">
        <f>ROUND(SUM(H54:H55)*10%,)</f>
        <v>5853</v>
      </c>
      <c r="H58" s="1264">
        <f>ROUND(E58*G58,)</f>
        <v>5853</v>
      </c>
      <c r="I58" s="1589">
        <f>ROUND(G58*0.3,)</f>
        <v>1756</v>
      </c>
      <c r="J58" s="1264">
        <f>ROUND(I58*E58,)</f>
        <v>1756</v>
      </c>
      <c r="K58" s="1273">
        <f>H58+J58</f>
        <v>7609</v>
      </c>
      <c r="L58" s="1382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1383692</v>
      </c>
      <c r="I59" s="1582"/>
      <c r="J59" s="1581">
        <f>SUM(J37:J58)</f>
        <v>550718</v>
      </c>
      <c r="K59" s="1583">
        <f>SUM(K37:K58)</f>
        <v>1934410</v>
      </c>
      <c r="L59" s="1583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382"/>
    </row>
    <row r="61" spans="1:15" s="1675" customFormat="1" ht="24" customHeight="1">
      <c r="A61" s="1668" t="s">
        <v>1871</v>
      </c>
      <c r="B61" s="1669" t="s">
        <v>1872</v>
      </c>
      <c r="C61" s="1670"/>
      <c r="D61" s="1671"/>
      <c r="E61" s="1672"/>
      <c r="F61" s="1673"/>
      <c r="G61" s="1674"/>
      <c r="H61" s="1298"/>
      <c r="I61" s="1299"/>
      <c r="J61" s="1298"/>
      <c r="K61" s="1382"/>
      <c r="L61" s="1382"/>
    </row>
    <row r="62" spans="1:15" s="1675" customFormat="1" ht="24" customHeight="1">
      <c r="A62" s="1676"/>
      <c r="B62" s="1677" t="s">
        <v>1759</v>
      </c>
      <c r="C62" s="1678"/>
      <c r="D62" s="1679"/>
      <c r="E62" s="1680"/>
      <c r="F62" s="1681" t="s">
        <v>363</v>
      </c>
      <c r="G62" s="1682"/>
      <c r="H62" s="1264"/>
      <c r="I62" s="1299"/>
      <c r="J62" s="1264"/>
      <c r="K62" s="1273">
        <f>H62+J62</f>
        <v>0</v>
      </c>
      <c r="L62" s="1382"/>
    </row>
    <row r="63" spans="1:15" s="1675" customFormat="1" ht="24" customHeight="1">
      <c r="A63" s="1676"/>
      <c r="B63" s="1677" t="s">
        <v>1754</v>
      </c>
      <c r="C63" s="1678"/>
      <c r="D63" s="1679"/>
      <c r="E63" s="1680">
        <v>4</v>
      </c>
      <c r="F63" s="1681" t="s">
        <v>363</v>
      </c>
      <c r="G63" s="1682">
        <v>34000</v>
      </c>
      <c r="H63" s="1264">
        <f>ROUND(E63*G63,)</f>
        <v>136000</v>
      </c>
      <c r="I63" s="1299">
        <f>G63*0.1</f>
        <v>3400</v>
      </c>
      <c r="J63" s="1264">
        <f>ROUND(I63*E63,)</f>
        <v>13600</v>
      </c>
      <c r="K63" s="1273">
        <f>H63+J63</f>
        <v>149600</v>
      </c>
      <c r="L63" s="1382"/>
    </row>
    <row r="64" spans="1:15" s="1675" customFormat="1" ht="24" customHeight="1">
      <c r="A64" s="1676" t="s">
        <v>1873</v>
      </c>
      <c r="B64" s="1677" t="s">
        <v>1874</v>
      </c>
      <c r="C64" s="1678"/>
      <c r="D64" s="1679"/>
      <c r="E64" s="1680"/>
      <c r="F64" s="1681"/>
      <c r="G64" s="1682"/>
      <c r="H64" s="1298"/>
      <c r="I64" s="1299"/>
      <c r="J64" s="1298"/>
      <c r="K64" s="1382"/>
      <c r="L64" s="1382"/>
    </row>
    <row r="65" spans="1:12" s="1675" customFormat="1" ht="24" customHeight="1">
      <c r="A65" s="1676"/>
      <c r="B65" s="1677" t="s">
        <v>1340</v>
      </c>
      <c r="C65" s="1678"/>
      <c r="D65" s="1679"/>
      <c r="E65" s="1680"/>
      <c r="F65" s="1681" t="s">
        <v>363</v>
      </c>
      <c r="G65" s="1682"/>
      <c r="H65" s="1298"/>
      <c r="I65" s="1299"/>
      <c r="J65" s="1298"/>
      <c r="K65" s="1382"/>
      <c r="L65" s="1382"/>
    </row>
    <row r="66" spans="1:12" s="1675" customFormat="1" ht="24" customHeight="1">
      <c r="A66" s="1676"/>
      <c r="B66" s="1677" t="s">
        <v>1755</v>
      </c>
      <c r="C66" s="1678"/>
      <c r="D66" s="1679"/>
      <c r="E66" s="1680"/>
      <c r="F66" s="1681" t="s">
        <v>363</v>
      </c>
      <c r="G66" s="1682"/>
      <c r="H66" s="1298"/>
      <c r="I66" s="1299"/>
      <c r="J66" s="1298"/>
      <c r="K66" s="1382"/>
      <c r="L66" s="1382"/>
    </row>
    <row r="67" spans="1:12" s="1675" customFormat="1" ht="24" customHeight="1">
      <c r="A67" s="1676"/>
      <c r="B67" s="1677" t="s">
        <v>1866</v>
      </c>
      <c r="C67" s="1678"/>
      <c r="D67" s="1679"/>
      <c r="E67" s="1680"/>
      <c r="F67" s="1681" t="s">
        <v>363</v>
      </c>
      <c r="G67" s="1682"/>
      <c r="H67" s="1298"/>
      <c r="I67" s="1299"/>
      <c r="J67" s="1298"/>
      <c r="K67" s="1382"/>
      <c r="L67" s="1382"/>
    </row>
    <row r="68" spans="1:12" s="1675" customFormat="1" ht="24" customHeight="1">
      <c r="A68" s="1676" t="s">
        <v>1875</v>
      </c>
      <c r="B68" s="1677" t="s">
        <v>1876</v>
      </c>
      <c r="C68" s="1678"/>
      <c r="D68" s="1679"/>
      <c r="E68" s="1680"/>
      <c r="F68" s="1681"/>
      <c r="G68" s="1682"/>
      <c r="H68" s="1298"/>
      <c r="I68" s="1299"/>
      <c r="J68" s="1298"/>
      <c r="K68" s="1382"/>
      <c r="L68" s="1382"/>
    </row>
    <row r="69" spans="1:12" s="1675" customFormat="1" ht="24" customHeight="1">
      <c r="A69" s="1676"/>
      <c r="B69" s="1677" t="s">
        <v>1448</v>
      </c>
      <c r="C69" s="1678"/>
      <c r="D69" s="1679"/>
      <c r="E69" s="1680">
        <v>10</v>
      </c>
      <c r="F69" s="1681" t="s">
        <v>363</v>
      </c>
      <c r="G69" s="1682">
        <v>2400</v>
      </c>
      <c r="H69" s="1264">
        <f>ROUND(E69*G69,)</f>
        <v>24000</v>
      </c>
      <c r="I69" s="1299">
        <v>150</v>
      </c>
      <c r="J69" s="1264">
        <f>ROUND(I69*E69,)</f>
        <v>1500</v>
      </c>
      <c r="K69" s="1273">
        <f>H69+J69</f>
        <v>25500</v>
      </c>
      <c r="L69" s="1382"/>
    </row>
    <row r="70" spans="1:12" s="1675" customFormat="1" ht="24" customHeight="1">
      <c r="A70" s="1676" t="s">
        <v>1877</v>
      </c>
      <c r="B70" s="1677" t="s">
        <v>1878</v>
      </c>
      <c r="C70" s="1678"/>
      <c r="D70" s="1679"/>
      <c r="E70" s="1680"/>
      <c r="F70" s="1681"/>
      <c r="G70" s="1682"/>
      <c r="H70" s="1298"/>
      <c r="I70" s="1299"/>
      <c r="J70" s="1298"/>
      <c r="K70" s="1382"/>
      <c r="L70" s="1382"/>
    </row>
    <row r="71" spans="1:12" s="1675" customFormat="1" ht="24" customHeight="1">
      <c r="A71" s="1676"/>
      <c r="B71" s="1677" t="s">
        <v>1111</v>
      </c>
      <c r="C71" s="1678"/>
      <c r="D71" s="1679"/>
      <c r="E71" s="1680"/>
      <c r="F71" s="1681" t="s">
        <v>363</v>
      </c>
      <c r="G71" s="1682"/>
      <c r="H71" s="1264">
        <f>ROUND(E71*G71,)</f>
        <v>0</v>
      </c>
      <c r="I71" s="1299">
        <f>G71*0.1</f>
        <v>0</v>
      </c>
      <c r="J71" s="1264">
        <f>ROUND(I71*E71,)</f>
        <v>0</v>
      </c>
      <c r="K71" s="1273">
        <f>H71+J71</f>
        <v>0</v>
      </c>
      <c r="L71" s="1382"/>
    </row>
    <row r="72" spans="1:12" s="1675" customFormat="1" ht="24" customHeight="1">
      <c r="A72" s="1676" t="s">
        <v>1879</v>
      </c>
      <c r="B72" s="1677" t="s">
        <v>1880</v>
      </c>
      <c r="C72" s="1678"/>
      <c r="D72" s="1679"/>
      <c r="E72" s="1680"/>
      <c r="F72" s="1681"/>
      <c r="G72" s="1682"/>
      <c r="H72" s="1298"/>
      <c r="I72" s="1299"/>
      <c r="J72" s="1298"/>
      <c r="K72" s="1382"/>
      <c r="L72" s="1382"/>
    </row>
    <row r="73" spans="1:12" s="1675" customFormat="1" ht="24" customHeight="1">
      <c r="A73" s="1676"/>
      <c r="B73" s="1677" t="s">
        <v>1448</v>
      </c>
      <c r="C73" s="1678"/>
      <c r="D73" s="1679"/>
      <c r="E73" s="1680">
        <v>10</v>
      </c>
      <c r="F73" s="1681" t="s">
        <v>363</v>
      </c>
      <c r="G73" s="1682">
        <v>440</v>
      </c>
      <c r="H73" s="1264">
        <f>ROUND(E73*G73,)</f>
        <v>4400</v>
      </c>
      <c r="I73" s="1299">
        <v>200</v>
      </c>
      <c r="J73" s="1264">
        <f>ROUND(I73*E73,)</f>
        <v>2000</v>
      </c>
      <c r="K73" s="1273">
        <f>H73+J73</f>
        <v>6400</v>
      </c>
      <c r="L73" s="1382"/>
    </row>
    <row r="74" spans="1:12" s="1675" customFormat="1" ht="24" customHeight="1">
      <c r="A74" s="1676" t="s">
        <v>1881</v>
      </c>
      <c r="B74" s="1677" t="s">
        <v>1882</v>
      </c>
      <c r="C74" s="1678"/>
      <c r="D74" s="1679"/>
      <c r="E74" s="1680"/>
      <c r="F74" s="1681"/>
      <c r="G74" s="1682"/>
      <c r="H74" s="1298"/>
      <c r="I74" s="1299"/>
      <c r="J74" s="1298"/>
      <c r="K74" s="1382"/>
      <c r="L74" s="1382"/>
    </row>
    <row r="75" spans="1:12" s="1675" customFormat="1" ht="24" customHeight="1">
      <c r="A75" s="1676"/>
      <c r="B75" s="1677" t="s">
        <v>1350</v>
      </c>
      <c r="C75" s="1678"/>
      <c r="D75" s="1679"/>
      <c r="E75" s="1680">
        <v>4</v>
      </c>
      <c r="F75" s="1681" t="s">
        <v>363</v>
      </c>
      <c r="G75" s="1682">
        <v>18060</v>
      </c>
      <c r="H75" s="1264">
        <f>ROUND(E75*G75,)</f>
        <v>72240</v>
      </c>
      <c r="I75" s="1299">
        <v>100</v>
      </c>
      <c r="J75" s="1264">
        <f>ROUND(I75*E75,)</f>
        <v>400</v>
      </c>
      <c r="K75" s="1273">
        <f>H75+J75</f>
        <v>72640</v>
      </c>
      <c r="L75" s="1382"/>
    </row>
    <row r="76" spans="1:12" s="1675" customFormat="1" ht="24" customHeight="1">
      <c r="A76" s="1676" t="s">
        <v>1883</v>
      </c>
      <c r="B76" s="1677" t="s">
        <v>1884</v>
      </c>
      <c r="C76" s="1678"/>
      <c r="D76" s="1679"/>
      <c r="E76" s="1680"/>
      <c r="F76" s="1681"/>
      <c r="G76" s="1682"/>
      <c r="H76" s="1298"/>
      <c r="I76" s="1299"/>
      <c r="J76" s="1298"/>
      <c r="K76" s="1382"/>
      <c r="L76" s="1382"/>
    </row>
    <row r="77" spans="1:12" s="1675" customFormat="1" ht="24" customHeight="1">
      <c r="A77" s="1676"/>
      <c r="B77" s="1677" t="s">
        <v>1111</v>
      </c>
      <c r="C77" s="1678"/>
      <c r="D77" s="1679"/>
      <c r="E77" s="1680">
        <v>2</v>
      </c>
      <c r="F77" s="1681" t="s">
        <v>363</v>
      </c>
      <c r="G77" s="1682">
        <v>6500</v>
      </c>
      <c r="H77" s="1264">
        <f>ROUND(E77*G77,)</f>
        <v>13000</v>
      </c>
      <c r="I77" s="1299">
        <v>800</v>
      </c>
      <c r="J77" s="1264">
        <f>ROUND(I77*E77,)</f>
        <v>1600</v>
      </c>
      <c r="K77" s="1273">
        <f>H77+J77</f>
        <v>14600</v>
      </c>
      <c r="L77" s="1382"/>
    </row>
    <row r="78" spans="1:12" s="1675" customFormat="1" ht="24" customHeight="1">
      <c r="A78" s="1676"/>
      <c r="B78" s="1677" t="s">
        <v>1885</v>
      </c>
      <c r="C78" s="1678"/>
      <c r="D78" s="1679"/>
      <c r="E78" s="1680">
        <v>14</v>
      </c>
      <c r="F78" s="1681" t="s">
        <v>363</v>
      </c>
      <c r="G78" s="1682">
        <v>13100</v>
      </c>
      <c r="H78" s="1264">
        <f>ROUND(E78*G78,)</f>
        <v>183400</v>
      </c>
      <c r="I78" s="1299">
        <v>1200</v>
      </c>
      <c r="J78" s="1264">
        <f>ROUND(I78*E78,)</f>
        <v>16800</v>
      </c>
      <c r="K78" s="1273">
        <f>H78+J78</f>
        <v>200200</v>
      </c>
      <c r="L78" s="1382"/>
    </row>
    <row r="79" spans="1:12" s="1675" customFormat="1" ht="24" customHeight="1">
      <c r="A79" s="1676" t="s">
        <v>1886</v>
      </c>
      <c r="B79" s="1677" t="s">
        <v>1887</v>
      </c>
      <c r="C79" s="1678"/>
      <c r="D79" s="1679"/>
      <c r="E79" s="1680"/>
      <c r="F79" s="1681"/>
      <c r="G79" s="1682"/>
      <c r="H79" s="1298"/>
      <c r="I79" s="1299"/>
      <c r="J79" s="1298"/>
      <c r="K79" s="1382"/>
      <c r="L79" s="1382"/>
    </row>
    <row r="80" spans="1:12" s="1675" customFormat="1" ht="24" customHeight="1">
      <c r="A80" s="1676"/>
      <c r="B80" s="1677" t="s">
        <v>1864</v>
      </c>
      <c r="C80" s="1678"/>
      <c r="D80" s="1679"/>
      <c r="E80" s="1680"/>
      <c r="F80" s="1681" t="s">
        <v>363</v>
      </c>
      <c r="G80" s="1682">
        <v>471</v>
      </c>
      <c r="H80" s="1264">
        <f>ROUND(E80*G80,)</f>
        <v>0</v>
      </c>
      <c r="I80" s="1299">
        <v>150</v>
      </c>
      <c r="J80" s="1264">
        <f>ROUND(I80*E80,)</f>
        <v>0</v>
      </c>
      <c r="K80" s="1273">
        <f>H80+J80</f>
        <v>0</v>
      </c>
      <c r="L80" s="1382"/>
    </row>
    <row r="81" spans="1:12" s="1675" customFormat="1" ht="24" customHeight="1">
      <c r="A81" s="1676" t="s">
        <v>1888</v>
      </c>
      <c r="B81" s="1677" t="s">
        <v>1889</v>
      </c>
      <c r="C81" s="1678"/>
      <c r="D81" s="1679"/>
      <c r="E81" s="1680"/>
      <c r="F81" s="1681"/>
      <c r="G81" s="1682"/>
      <c r="H81" s="1298"/>
      <c r="I81" s="1299"/>
      <c r="J81" s="1298"/>
      <c r="K81" s="1382"/>
      <c r="L81" s="1382"/>
    </row>
    <row r="82" spans="1:12" s="1675" customFormat="1" ht="24" customHeight="1">
      <c r="A82" s="1676"/>
      <c r="B82" s="1677" t="s">
        <v>1890</v>
      </c>
      <c r="C82" s="1678"/>
      <c r="D82" s="1679"/>
      <c r="E82" s="1680">
        <v>4</v>
      </c>
      <c r="F82" s="1681" t="s">
        <v>363</v>
      </c>
      <c r="G82" s="1682">
        <v>14319</v>
      </c>
      <c r="H82" s="1264">
        <f>ROUND(E82*G82,)</f>
        <v>57276</v>
      </c>
      <c r="I82" s="1299">
        <v>1600</v>
      </c>
      <c r="J82" s="1264">
        <f>ROUND(I82*E82,)</f>
        <v>6400</v>
      </c>
      <c r="K82" s="1273">
        <f>H82+J82</f>
        <v>63676</v>
      </c>
      <c r="L82" s="1382"/>
    </row>
    <row r="83" spans="1:12" s="1675" customFormat="1" ht="24" customHeight="1">
      <c r="A83" s="1676" t="s">
        <v>1891</v>
      </c>
      <c r="B83" s="1677" t="s">
        <v>1892</v>
      </c>
      <c r="C83" s="1678"/>
      <c r="D83" s="1679"/>
      <c r="E83" s="1680"/>
      <c r="F83" s="1676"/>
      <c r="G83" s="1682"/>
      <c r="H83" s="1298"/>
      <c r="I83" s="1299"/>
      <c r="J83" s="1298"/>
      <c r="K83" s="1382"/>
      <c r="L83" s="1382"/>
    </row>
    <row r="84" spans="1:12" s="1675" customFormat="1" ht="24" customHeight="1">
      <c r="A84" s="1676"/>
      <c r="B84" s="1677" t="s">
        <v>1893</v>
      </c>
      <c r="C84" s="1678"/>
      <c r="D84" s="1679"/>
      <c r="E84" s="1680">
        <v>4</v>
      </c>
      <c r="F84" s="1676" t="s">
        <v>363</v>
      </c>
      <c r="G84" s="1682">
        <v>13040</v>
      </c>
      <c r="H84" s="1264">
        <f>ROUND(E84*G84,)</f>
        <v>52160</v>
      </c>
      <c r="I84" s="1265">
        <f>G84*0.1</f>
        <v>1304</v>
      </c>
      <c r="J84" s="1264">
        <f>ROUND(I84*E84,)</f>
        <v>5216</v>
      </c>
      <c r="K84" s="1273">
        <f>H84+J84</f>
        <v>57376</v>
      </c>
      <c r="L84" s="1273"/>
    </row>
    <row r="85" spans="1:12" s="1675" customFormat="1" ht="24" customHeight="1">
      <c r="A85" s="1676" t="s">
        <v>1894</v>
      </c>
      <c r="B85" s="1677" t="s">
        <v>1895</v>
      </c>
      <c r="C85" s="1678"/>
      <c r="D85" s="1679"/>
      <c r="E85" s="1680"/>
      <c r="F85" s="1676"/>
      <c r="G85" s="1682"/>
      <c r="H85" s="1298"/>
      <c r="I85" s="1299"/>
      <c r="J85" s="1298"/>
      <c r="K85" s="1382"/>
      <c r="L85" s="1382"/>
    </row>
    <row r="86" spans="1:12" s="1675" customFormat="1" ht="24" customHeight="1">
      <c r="A86" s="1676"/>
      <c r="B86" s="1677" t="s">
        <v>1893</v>
      </c>
      <c r="C86" s="1678"/>
      <c r="D86" s="1679"/>
      <c r="E86" s="1680">
        <v>2</v>
      </c>
      <c r="F86" s="1676" t="s">
        <v>363</v>
      </c>
      <c r="G86" s="1682">
        <v>9600</v>
      </c>
      <c r="H86" s="1264">
        <f>ROUND(E86*G86,)</f>
        <v>19200</v>
      </c>
      <c r="I86" s="1265">
        <f>G86*0.1</f>
        <v>960</v>
      </c>
      <c r="J86" s="1264">
        <f>ROUND(I86*E86,)</f>
        <v>1920</v>
      </c>
      <c r="K86" s="1273">
        <f>H86+J86</f>
        <v>21120</v>
      </c>
      <c r="L86" s="1273"/>
    </row>
    <row r="87" spans="1:12" s="1675" customFormat="1" ht="24" customHeight="1">
      <c r="A87" s="1564" t="s">
        <v>2552</v>
      </c>
      <c r="B87" s="1565" t="s">
        <v>1918</v>
      </c>
      <c r="C87" s="1533"/>
      <c r="D87" s="1534"/>
      <c r="E87" s="1566"/>
      <c r="F87" s="1564" t="s">
        <v>363</v>
      </c>
      <c r="G87" s="1516"/>
      <c r="H87" s="1298"/>
      <c r="I87" s="1299"/>
      <c r="J87" s="1298"/>
      <c r="K87" s="1382"/>
      <c r="L87" s="1382"/>
    </row>
    <row r="88" spans="1:12" s="1199" customFormat="1" ht="24" customHeight="1">
      <c r="A88" s="1564"/>
      <c r="B88" s="1565" t="s">
        <v>1919</v>
      </c>
      <c r="C88" s="1533"/>
      <c r="D88" s="1534"/>
      <c r="E88" s="1566">
        <v>24</v>
      </c>
      <c r="F88" s="1564" t="s">
        <v>363</v>
      </c>
      <c r="G88" s="1516">
        <v>110</v>
      </c>
      <c r="H88" s="1264">
        <f>ROUND(E88*G88,)</f>
        <v>2640</v>
      </c>
      <c r="I88" s="1299"/>
      <c r="J88" s="1264"/>
      <c r="K88" s="1273">
        <f>H88+J88</f>
        <v>2640</v>
      </c>
      <c r="L88" s="1382"/>
    </row>
    <row r="89" spans="1:12" s="1199" customFormat="1" ht="24" customHeight="1">
      <c r="A89" s="1564"/>
      <c r="B89" s="1565" t="s">
        <v>1920</v>
      </c>
      <c r="C89" s="1533"/>
      <c r="D89" s="1534"/>
      <c r="E89" s="1566">
        <v>24</v>
      </c>
      <c r="F89" s="1564" t="s">
        <v>363</v>
      </c>
      <c r="G89" s="1516">
        <v>110</v>
      </c>
      <c r="H89" s="1264">
        <f>ROUND(E89*G89,)</f>
        <v>2640</v>
      </c>
      <c r="I89" s="1299"/>
      <c r="J89" s="1264"/>
      <c r="K89" s="1273">
        <f>H89+J89</f>
        <v>2640</v>
      </c>
      <c r="L89" s="1382"/>
    </row>
    <row r="90" spans="1:12" s="1199" customFormat="1" ht="24" customHeight="1">
      <c r="A90" s="1676"/>
      <c r="B90" s="1677" t="s">
        <v>1956</v>
      </c>
      <c r="C90" s="1678"/>
      <c r="D90" s="1679"/>
      <c r="E90" s="1680">
        <v>24</v>
      </c>
      <c r="F90" s="1676" t="s">
        <v>363</v>
      </c>
      <c r="G90" s="1516">
        <v>800</v>
      </c>
      <c r="H90" s="1264">
        <f>ROUND(E90*G90,)</f>
        <v>19200</v>
      </c>
      <c r="I90" s="1299"/>
      <c r="J90" s="1264"/>
      <c r="K90" s="1273">
        <f>H90+J90</f>
        <v>19200</v>
      </c>
      <c r="L90" s="1382"/>
    </row>
    <row r="91" spans="1:12" s="1199" customFormat="1" ht="24" customHeight="1">
      <c r="A91" s="1578"/>
      <c r="B91" s="2257" t="str">
        <f>"รวมราคารายการที่ "&amp;A60</f>
        <v>รวมราคารายการที่ 6.2</v>
      </c>
      <c r="C91" s="2258"/>
      <c r="D91" s="2259"/>
      <c r="E91" s="1579"/>
      <c r="F91" s="1579"/>
      <c r="G91" s="1580"/>
      <c r="H91" s="1581">
        <f>SUM(H61:H90)</f>
        <v>586156</v>
      </c>
      <c r="I91" s="1582"/>
      <c r="J91" s="1581">
        <f>SUM(J61:J90)</f>
        <v>49436</v>
      </c>
      <c r="K91" s="1583">
        <f>SUM(K61:K90)</f>
        <v>635592</v>
      </c>
      <c r="L91" s="1583"/>
    </row>
    <row r="92" spans="1:12" s="1199" customFormat="1" ht="24" customHeight="1">
      <c r="A92" s="1620" t="s">
        <v>1897</v>
      </c>
      <c r="B92" s="1621" t="s">
        <v>1424</v>
      </c>
      <c r="C92" s="1622"/>
      <c r="D92" s="1623"/>
      <c r="E92" s="1624">
        <v>1</v>
      </c>
      <c r="F92" s="1637" t="s">
        <v>1104</v>
      </c>
      <c r="G92" s="1357">
        <v>450000</v>
      </c>
      <c r="H92" s="1264">
        <f>ROUND(E92*G92,)</f>
        <v>450000</v>
      </c>
      <c r="I92" s="1299">
        <f>G92*0.3</f>
        <v>135000</v>
      </c>
      <c r="J92" s="1264">
        <f>ROUND(I92*E92,)</f>
        <v>135000</v>
      </c>
      <c r="K92" s="1273">
        <f>H92+J92</f>
        <v>585000</v>
      </c>
      <c r="L92" s="1382"/>
    </row>
    <row r="93" spans="1:12" s="1199" customFormat="1" ht="24" customHeight="1">
      <c r="A93" s="1637"/>
      <c r="B93" s="1636"/>
      <c r="C93" s="1622"/>
      <c r="D93" s="1623"/>
      <c r="E93" s="1624"/>
      <c r="F93" s="1637"/>
      <c r="G93" s="1357"/>
      <c r="H93" s="1264"/>
      <c r="I93" s="1299"/>
      <c r="J93" s="1264"/>
      <c r="K93" s="1273"/>
      <c r="L93" s="1382"/>
    </row>
    <row r="94" spans="1:12" s="1199" customFormat="1" ht="24" customHeight="1">
      <c r="A94" s="1637"/>
      <c r="B94" s="1636"/>
      <c r="C94" s="1622"/>
      <c r="D94" s="1623"/>
      <c r="E94" s="1624"/>
      <c r="F94" s="1637"/>
      <c r="G94" s="1357"/>
      <c r="H94" s="1264"/>
      <c r="I94" s="1299"/>
      <c r="J94" s="1264"/>
      <c r="K94" s="1273"/>
      <c r="L94" s="1382"/>
    </row>
    <row r="95" spans="1:12" s="1199" customFormat="1" ht="24" customHeight="1">
      <c r="A95" s="1637"/>
      <c r="B95" s="1636"/>
      <c r="C95" s="1622"/>
      <c r="D95" s="1623"/>
      <c r="E95" s="1624"/>
      <c r="F95" s="1637"/>
      <c r="G95" s="1357"/>
      <c r="H95" s="1264"/>
      <c r="I95" s="1299"/>
      <c r="J95" s="1264"/>
      <c r="K95" s="1273"/>
      <c r="L95" s="1382"/>
    </row>
    <row r="96" spans="1:12" s="1199" customFormat="1" ht="24" customHeight="1">
      <c r="A96" s="1637"/>
      <c r="B96" s="1636"/>
      <c r="C96" s="1622"/>
      <c r="D96" s="1623"/>
      <c r="E96" s="1624"/>
      <c r="F96" s="1637"/>
      <c r="G96" s="1357"/>
      <c r="H96" s="1264"/>
      <c r="I96" s="1299"/>
      <c r="J96" s="1264"/>
      <c r="K96" s="1273"/>
      <c r="L96" s="1382"/>
    </row>
    <row r="97" spans="1:12" s="1199" customFormat="1" ht="24" customHeight="1">
      <c r="A97" s="1637"/>
      <c r="B97" s="1636"/>
      <c r="C97" s="1622"/>
      <c r="D97" s="1623"/>
      <c r="E97" s="1624"/>
      <c r="F97" s="1637"/>
      <c r="G97" s="1357"/>
      <c r="H97" s="1264"/>
      <c r="I97" s="1299"/>
      <c r="J97" s="1264"/>
      <c r="K97" s="1273"/>
      <c r="L97" s="1382"/>
    </row>
    <row r="98" spans="1:12" s="1199" customFormat="1" ht="24" customHeight="1">
      <c r="A98" s="1637"/>
      <c r="B98" s="1636"/>
      <c r="C98" s="1622"/>
      <c r="D98" s="1623"/>
      <c r="E98" s="1624"/>
      <c r="F98" s="1637"/>
      <c r="G98" s="1357"/>
      <c r="H98" s="1264"/>
      <c r="I98" s="1299"/>
      <c r="J98" s="1264"/>
      <c r="K98" s="1273"/>
      <c r="L98" s="1382"/>
    </row>
    <row r="99" spans="1:12" s="1199" customFormat="1" ht="24" customHeight="1">
      <c r="A99" s="1637"/>
      <c r="B99" s="1636"/>
      <c r="C99" s="1622"/>
      <c r="D99" s="1623"/>
      <c r="E99" s="1624"/>
      <c r="F99" s="1637"/>
      <c r="G99" s="1357"/>
      <c r="H99" s="1264"/>
      <c r="I99" s="1299"/>
      <c r="J99" s="1264"/>
      <c r="K99" s="1273"/>
      <c r="L99" s="1382"/>
    </row>
    <row r="100" spans="1:12" s="1199" customFormat="1" ht="24" customHeight="1">
      <c r="A100" s="1637"/>
      <c r="B100" s="1636"/>
      <c r="C100" s="1622"/>
      <c r="D100" s="1623"/>
      <c r="E100" s="1624"/>
      <c r="F100" s="1637"/>
      <c r="G100" s="1357"/>
      <c r="H100" s="1264"/>
      <c r="I100" s="1299"/>
      <c r="J100" s="1264"/>
      <c r="K100" s="1273"/>
      <c r="L100" s="1382"/>
    </row>
    <row r="101" spans="1:12" s="1199" customFormat="1" ht="24" customHeight="1">
      <c r="A101" s="1637"/>
      <c r="B101" s="1636"/>
      <c r="C101" s="1622"/>
      <c r="D101" s="1623"/>
      <c r="E101" s="1624"/>
      <c r="F101" s="1637"/>
      <c r="G101" s="1357"/>
      <c r="H101" s="1264"/>
      <c r="I101" s="1299"/>
      <c r="J101" s="1264"/>
      <c r="K101" s="1273"/>
      <c r="L101" s="1382"/>
    </row>
    <row r="102" spans="1:12" s="1199" customFormat="1" ht="24" customHeight="1">
      <c r="A102" s="1637"/>
      <c r="B102" s="1636"/>
      <c r="C102" s="1622"/>
      <c r="D102" s="1623"/>
      <c r="E102" s="1624"/>
      <c r="F102" s="1637"/>
      <c r="G102" s="1357"/>
      <c r="H102" s="1264"/>
      <c r="I102" s="1299"/>
      <c r="J102" s="1264"/>
      <c r="K102" s="1273"/>
      <c r="L102" s="1382"/>
    </row>
    <row r="103" spans="1:12" s="1199" customFormat="1" ht="24" customHeight="1">
      <c r="A103" s="1637"/>
      <c r="B103" s="1636"/>
      <c r="C103" s="1622"/>
      <c r="D103" s="1623"/>
      <c r="E103" s="1624"/>
      <c r="F103" s="1637"/>
      <c r="G103" s="1357"/>
      <c r="H103" s="1264"/>
      <c r="I103" s="1299"/>
      <c r="J103" s="1264"/>
      <c r="K103" s="1273"/>
      <c r="L103" s="1382"/>
    </row>
    <row r="104" spans="1:12" s="1199" customFormat="1" ht="24" customHeight="1">
      <c r="A104" s="1637"/>
      <c r="B104" s="1636"/>
      <c r="C104" s="1622"/>
      <c r="D104" s="1623"/>
      <c r="E104" s="1624"/>
      <c r="F104" s="1637"/>
      <c r="G104" s="1357"/>
      <c r="H104" s="1264"/>
      <c r="I104" s="1299"/>
      <c r="J104" s="1264"/>
      <c r="K104" s="1273"/>
      <c r="L104" s="1382"/>
    </row>
    <row r="105" spans="1:12" s="1199" customFormat="1" ht="24" customHeight="1">
      <c r="A105" s="1637"/>
      <c r="B105" s="1636"/>
      <c r="C105" s="1622"/>
      <c r="D105" s="1623"/>
      <c r="E105" s="1624"/>
      <c r="F105" s="1637"/>
      <c r="G105" s="1357"/>
      <c r="H105" s="1264"/>
      <c r="I105" s="1299"/>
      <c r="J105" s="1264"/>
      <c r="K105" s="1273"/>
      <c r="L105" s="1382"/>
    </row>
    <row r="106" spans="1:12" s="1199" customFormat="1" ht="24" customHeight="1">
      <c r="A106" s="1637"/>
      <c r="B106" s="1636"/>
      <c r="C106" s="1622"/>
      <c r="D106" s="1623"/>
      <c r="E106" s="1624"/>
      <c r="F106" s="1637"/>
      <c r="G106" s="1357"/>
      <c r="H106" s="1264"/>
      <c r="I106" s="1299"/>
      <c r="J106" s="1264"/>
      <c r="K106" s="1273"/>
      <c r="L106" s="1382"/>
    </row>
    <row r="107" spans="1:12" s="1199" customFormat="1" ht="24" customHeight="1">
      <c r="A107" s="1637"/>
      <c r="B107" s="1636"/>
      <c r="C107" s="1622"/>
      <c r="D107" s="1623"/>
      <c r="E107" s="1624"/>
      <c r="F107" s="1637"/>
      <c r="G107" s="1357"/>
      <c r="H107" s="1264"/>
      <c r="I107" s="1299"/>
      <c r="J107" s="1264"/>
      <c r="K107" s="1273"/>
      <c r="L107" s="1382"/>
    </row>
    <row r="108" spans="1:12" s="1199" customFormat="1" ht="24" customHeight="1">
      <c r="A108" s="1637"/>
      <c r="B108" s="1636"/>
      <c r="C108" s="1622"/>
      <c r="D108" s="1623"/>
      <c r="E108" s="1624"/>
      <c r="F108" s="1637"/>
      <c r="G108" s="1357"/>
      <c r="H108" s="1264"/>
      <c r="I108" s="1299"/>
      <c r="J108" s="1264"/>
      <c r="K108" s="1273"/>
      <c r="L108" s="1382"/>
    </row>
    <row r="109" spans="1:12" s="1199" customFormat="1" ht="24" customHeight="1">
      <c r="A109" s="1578"/>
      <c r="B109" s="2257" t="str">
        <f>"รวมราคารายการที่ "&amp;A92</f>
        <v>รวมราคารายการที่ 6.3</v>
      </c>
      <c r="C109" s="2258"/>
      <c r="D109" s="2259"/>
      <c r="E109" s="1579"/>
      <c r="F109" s="1579"/>
      <c r="G109" s="1580"/>
      <c r="H109" s="1581">
        <f>SUM(H92:H108)</f>
        <v>450000</v>
      </c>
      <c r="I109" s="1582"/>
      <c r="J109" s="1581">
        <f>SUM(J92:J108)</f>
        <v>135000</v>
      </c>
      <c r="K109" s="1583">
        <f>SUM(K92:K108)</f>
        <v>585000</v>
      </c>
      <c r="L109" s="1583"/>
    </row>
    <row r="110" spans="1:12" s="1199" customFormat="1" ht="21.3">
      <c r="A110" s="1427"/>
      <c r="E110" s="1570"/>
    </row>
    <row r="111" spans="1:12" s="1199" customFormat="1" ht="21.3">
      <c r="A111" s="1427"/>
      <c r="E111" s="1570"/>
    </row>
    <row r="112" spans="1:12" s="1199" customFormat="1" ht="21.3">
      <c r="A112" s="1427"/>
      <c r="E112" s="1570"/>
    </row>
    <row r="113" spans="1:5" s="1199" customFormat="1" ht="21.3">
      <c r="A113" s="1427"/>
      <c r="E113" s="1570"/>
    </row>
    <row r="114" spans="1:5" s="1199" customFormat="1" ht="21.3">
      <c r="A114" s="1427"/>
      <c r="E114" s="1570"/>
    </row>
    <row r="115" spans="1:5" s="1199" customFormat="1" ht="21.3">
      <c r="A115" s="1427"/>
      <c r="E115" s="1570"/>
    </row>
    <row r="116" spans="1:5" s="1199" customFormat="1" ht="21.3">
      <c r="A116" s="1427"/>
      <c r="E116" s="1570"/>
    </row>
    <row r="117" spans="1:5" s="1199" customFormat="1" ht="21.3">
      <c r="A117" s="1427"/>
      <c r="E117" s="1570"/>
    </row>
    <row r="118" spans="1:5" s="1199" customFormat="1" ht="21.3">
      <c r="A118" s="1427"/>
      <c r="E118" s="1570"/>
    </row>
    <row r="119" spans="1:5" s="1199" customFormat="1" ht="21.3">
      <c r="A119" s="1427"/>
      <c r="E119" s="1570"/>
    </row>
    <row r="120" spans="1:5" s="1199" customFormat="1" ht="21.3">
      <c r="A120" s="1427"/>
      <c r="E120" s="1570"/>
    </row>
    <row r="121" spans="1:5" s="1199" customFormat="1" ht="21.3">
      <c r="A121" s="1427"/>
      <c r="E121" s="1570"/>
    </row>
    <row r="122" spans="1:5" s="1199" customFormat="1" ht="21.3">
      <c r="A122" s="1427"/>
      <c r="E122" s="1570"/>
    </row>
    <row r="123" spans="1:5" s="1199" customFormat="1" ht="21.3">
      <c r="A123" s="1427"/>
      <c r="E123" s="1570"/>
    </row>
    <row r="124" spans="1:5" s="1199" customFormat="1" ht="21.3">
      <c r="A124" s="1427"/>
      <c r="E124" s="1570"/>
    </row>
    <row r="125" spans="1:5" s="1199" customFormat="1" ht="21.3">
      <c r="A125" s="1427"/>
      <c r="E125" s="1570"/>
    </row>
    <row r="126" spans="1:5" s="1199" customFormat="1" ht="21.3">
      <c r="A126" s="1427"/>
      <c r="E126" s="1570"/>
    </row>
    <row r="127" spans="1:5" s="1199" customFormat="1" ht="21.3">
      <c r="A127" s="1427"/>
      <c r="E127" s="1570"/>
    </row>
    <row r="128" spans="1:5" s="1199" customFormat="1" ht="21.3">
      <c r="A128" s="1427"/>
      <c r="E128" s="1570"/>
    </row>
    <row r="129" spans="1:5" s="1199" customFormat="1" ht="21.3">
      <c r="A129" s="1427"/>
      <c r="E129" s="1570"/>
    </row>
    <row r="130" spans="1:5" s="1199" customFormat="1" ht="21.3">
      <c r="A130" s="1427"/>
      <c r="E130" s="1570"/>
    </row>
    <row r="131" spans="1:5" s="1199" customFormat="1" ht="21.3">
      <c r="A131" s="1427"/>
      <c r="E131" s="1570"/>
    </row>
  </sheetData>
  <mergeCells count="12">
    <mergeCell ref="A9:A10"/>
    <mergeCell ref="B9:D10"/>
    <mergeCell ref="E9:E10"/>
    <mergeCell ref="F9:F10"/>
    <mergeCell ref="G9:H9"/>
    <mergeCell ref="B34:D34"/>
    <mergeCell ref="B59:D59"/>
    <mergeCell ref="B91:D91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&amp;Rงานระบบดับเพลิงและป้องกันอัคคีภัย(Main Equipment)-อาคารด้านทิศตะวันตก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A995D-9539-4FBF-8C15-CF652D1B2485}">
  <sheetPr>
    <tabColor rgb="FFF42CBB"/>
  </sheetPr>
  <dimension ref="A1:O156"/>
  <sheetViews>
    <sheetView showGridLines="0" view="pageBreakPreview" topLeftCell="A121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" customWidth="1"/>
    <col min="13" max="71" width="7.703125" style="1" customWidth="1"/>
    <col min="72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1898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683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1857084</v>
      </c>
      <c r="I12" s="1197"/>
      <c r="J12" s="1196">
        <f>J59</f>
        <v>804853</v>
      </c>
      <c r="K12" s="1553">
        <f t="shared" ref="K12:K17" si="0">SUM(H12:J12)</f>
        <v>2661937</v>
      </c>
      <c r="L12" s="1684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76">
        <v>1</v>
      </c>
      <c r="F13" s="1567" t="s">
        <v>19</v>
      </c>
      <c r="G13" s="1195"/>
      <c r="H13" s="1196">
        <f>H74</f>
        <v>212932</v>
      </c>
      <c r="I13" s="1197"/>
      <c r="J13" s="1196">
        <f>J74</f>
        <v>14000</v>
      </c>
      <c r="K13" s="1553">
        <f t="shared" si="0"/>
        <v>226932</v>
      </c>
      <c r="L13" s="1684"/>
    </row>
    <row r="14" spans="1:12" s="1199" customFormat="1" ht="24" customHeight="1">
      <c r="A14" s="1564">
        <f>A75</f>
        <v>6.3</v>
      </c>
      <c r="B14" s="1565" t="str">
        <f>B75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96030</v>
      </c>
      <c r="I14" s="1197"/>
      <c r="J14" s="1196">
        <f>J84</f>
        <v>44250</v>
      </c>
      <c r="K14" s="1553">
        <f t="shared" si="0"/>
        <v>140280</v>
      </c>
      <c r="L14" s="1684"/>
    </row>
    <row r="15" spans="1:12" s="1199" customFormat="1" ht="24" customHeight="1">
      <c r="A15" s="1564">
        <f>A85</f>
        <v>6.4</v>
      </c>
      <c r="B15" s="1565" t="str">
        <f>B85</f>
        <v>ตู้ดับเพลิงและถังดับเพลิงชนิดมือถือ (Fire Hose Cabinet &amp; Portable Fire Extinguisher)</v>
      </c>
      <c r="C15" s="1533"/>
      <c r="D15" s="1534"/>
      <c r="E15" s="1569">
        <v>1</v>
      </c>
      <c r="F15" s="1567" t="s">
        <v>19</v>
      </c>
      <c r="G15" s="1195"/>
      <c r="H15" s="1196">
        <f>H109</f>
        <v>279500</v>
      </c>
      <c r="I15" s="1197"/>
      <c r="J15" s="1196">
        <f>J109</f>
        <v>17570</v>
      </c>
      <c r="K15" s="1553">
        <f t="shared" si="0"/>
        <v>297070</v>
      </c>
      <c r="L15" s="1684"/>
    </row>
    <row r="16" spans="1:12" s="1199" customFormat="1" ht="24" customHeight="1">
      <c r="A16" s="1564">
        <f>A110</f>
        <v>6.5</v>
      </c>
      <c r="B16" s="1565" t="str">
        <f>B110</f>
        <v>ระบบไฟฟ้าและควบคุม (Electrical &amp; Control System) สำหรับระบบป้องกันอัคคีภัย</v>
      </c>
      <c r="C16" s="1533"/>
      <c r="D16" s="1534"/>
      <c r="E16" s="1566">
        <v>1</v>
      </c>
      <c r="F16" s="1567" t="s">
        <v>19</v>
      </c>
      <c r="G16" s="1195"/>
      <c r="H16" s="1196">
        <f>H130</f>
        <v>139240</v>
      </c>
      <c r="I16" s="1197"/>
      <c r="J16" s="1196">
        <f>J130</f>
        <v>13924</v>
      </c>
      <c r="K16" s="1553">
        <f t="shared" si="0"/>
        <v>153164</v>
      </c>
      <c r="L16" s="1684"/>
    </row>
    <row r="17" spans="1:12" s="1199" customFormat="1" ht="24" customHeight="1">
      <c r="A17" s="1564">
        <f>A131</f>
        <v>6.6</v>
      </c>
      <c r="B17" s="1565" t="str">
        <f>B131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684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684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684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684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84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84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84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84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84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84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84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84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84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84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84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84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84"/>
    </row>
    <row r="34" spans="1:14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B2</v>
      </c>
      <c r="C34" s="2258"/>
      <c r="D34" s="2259"/>
      <c r="E34" s="1579"/>
      <c r="F34" s="1579"/>
      <c r="G34" s="1580"/>
      <c r="H34" s="1581">
        <f>SUM(H12:H33)</f>
        <v>2584786</v>
      </c>
      <c r="I34" s="1582"/>
      <c r="J34" s="1581">
        <f>SUM(J12:J33)</f>
        <v>894597</v>
      </c>
      <c r="K34" s="1583">
        <f>SUM(K12:K33)</f>
        <v>3479383</v>
      </c>
      <c r="L34" s="1630"/>
    </row>
    <row r="35" spans="1:14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685"/>
    </row>
    <row r="36" spans="1:14" s="1199" customFormat="1" ht="24" customHeight="1">
      <c r="A36" s="1620" t="s">
        <v>1899</v>
      </c>
      <c r="B36" s="1621" t="s">
        <v>1860</v>
      </c>
      <c r="C36" s="1656"/>
      <c r="D36" s="1623"/>
      <c r="E36" s="1624"/>
      <c r="F36" s="1625"/>
      <c r="G36" s="1357"/>
      <c r="H36" s="1298"/>
      <c r="I36" s="1299"/>
      <c r="J36" s="1298"/>
      <c r="K36" s="1382"/>
      <c r="L36" s="1685"/>
    </row>
    <row r="37" spans="1:14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687"/>
    </row>
    <row r="38" spans="1:14" s="1199" customFormat="1" ht="24" customHeight="1">
      <c r="A38" s="1564"/>
      <c r="B38" s="1565" t="s">
        <v>1901</v>
      </c>
      <c r="C38" s="1533"/>
      <c r="D38" s="1534"/>
      <c r="E38" s="1688">
        <v>922</v>
      </c>
      <c r="F38" s="1567" t="s">
        <v>226</v>
      </c>
      <c r="G38" s="1516">
        <v>78</v>
      </c>
      <c r="H38" s="1264">
        <f t="shared" ref="H38:H51" si="1">ROUND(E38*G38,)</f>
        <v>71916</v>
      </c>
      <c r="I38" s="1265">
        <v>45</v>
      </c>
      <c r="J38" s="1264">
        <f t="shared" ref="J38:J51" si="2">ROUND(I38*E38,)</f>
        <v>41490</v>
      </c>
      <c r="K38" s="1273">
        <f t="shared" ref="K38:K51" si="3">H38+J38</f>
        <v>113406</v>
      </c>
      <c r="L38" s="1687"/>
      <c r="M38" s="1689"/>
    </row>
    <row r="39" spans="1:14" s="1199" customFormat="1" ht="24" customHeight="1">
      <c r="A39" s="1564"/>
      <c r="B39" s="1565" t="s">
        <v>1338</v>
      </c>
      <c r="C39" s="1533"/>
      <c r="D39" s="1534"/>
      <c r="E39" s="1688">
        <v>307</v>
      </c>
      <c r="F39" s="1567" t="s">
        <v>226</v>
      </c>
      <c r="G39" s="1516">
        <v>105</v>
      </c>
      <c r="H39" s="1264">
        <f t="shared" si="1"/>
        <v>32235</v>
      </c>
      <c r="I39" s="1299">
        <v>60</v>
      </c>
      <c r="J39" s="1264">
        <f t="shared" si="2"/>
        <v>18420</v>
      </c>
      <c r="K39" s="1273">
        <f t="shared" si="3"/>
        <v>50655</v>
      </c>
      <c r="L39" s="1690"/>
      <c r="M39" s="1689"/>
    </row>
    <row r="40" spans="1:14" s="1199" customFormat="1" ht="24" customHeight="1">
      <c r="A40" s="1564"/>
      <c r="B40" s="1565" t="s">
        <v>1339</v>
      </c>
      <c r="C40" s="1533"/>
      <c r="D40" s="1534"/>
      <c r="E40" s="1688">
        <v>546</v>
      </c>
      <c r="F40" s="1567" t="s">
        <v>226</v>
      </c>
      <c r="G40" s="1661">
        <v>126</v>
      </c>
      <c r="H40" s="1264">
        <f t="shared" si="1"/>
        <v>68796</v>
      </c>
      <c r="I40" s="1589">
        <v>70</v>
      </c>
      <c r="J40" s="1264">
        <f t="shared" si="2"/>
        <v>38220</v>
      </c>
      <c r="K40" s="1273">
        <f t="shared" si="3"/>
        <v>107016</v>
      </c>
      <c r="L40" s="1690"/>
      <c r="M40" s="1689"/>
    </row>
    <row r="41" spans="1:14" s="1199" customFormat="1" ht="24" customHeight="1">
      <c r="A41" s="1564"/>
      <c r="B41" s="1565" t="s">
        <v>1340</v>
      </c>
      <c r="C41" s="1533"/>
      <c r="D41" s="1534"/>
      <c r="E41" s="1688">
        <v>683</v>
      </c>
      <c r="F41" s="1567" t="s">
        <v>226</v>
      </c>
      <c r="G41" s="1661">
        <v>169</v>
      </c>
      <c r="H41" s="1264">
        <f t="shared" si="1"/>
        <v>115427</v>
      </c>
      <c r="I41" s="1589">
        <v>95</v>
      </c>
      <c r="J41" s="1264">
        <f t="shared" si="2"/>
        <v>64885</v>
      </c>
      <c r="K41" s="1273">
        <f t="shared" si="3"/>
        <v>180312</v>
      </c>
      <c r="L41" s="1690"/>
      <c r="M41" s="1689"/>
    </row>
    <row r="42" spans="1:14" s="1199" customFormat="1" ht="24" customHeight="1">
      <c r="A42" s="1564"/>
      <c r="B42" s="1565" t="s">
        <v>1341</v>
      </c>
      <c r="C42" s="1533"/>
      <c r="D42" s="1534"/>
      <c r="E42" s="1688">
        <v>145</v>
      </c>
      <c r="F42" s="1567" t="s">
        <v>226</v>
      </c>
      <c r="G42" s="1661">
        <v>268</v>
      </c>
      <c r="H42" s="1264">
        <f t="shared" si="1"/>
        <v>38860</v>
      </c>
      <c r="I42" s="1589">
        <v>150</v>
      </c>
      <c r="J42" s="1264">
        <f t="shared" si="2"/>
        <v>21750</v>
      </c>
      <c r="K42" s="1273">
        <f t="shared" si="3"/>
        <v>60610</v>
      </c>
      <c r="L42" s="1690"/>
      <c r="M42" s="1689"/>
    </row>
    <row r="43" spans="1:14" s="1199" customFormat="1" ht="24" customHeight="1">
      <c r="A43" s="1564"/>
      <c r="B43" s="1565" t="s">
        <v>1342</v>
      </c>
      <c r="C43" s="1533"/>
      <c r="D43" s="1534"/>
      <c r="E43" s="1688">
        <v>101</v>
      </c>
      <c r="F43" s="1567" t="s">
        <v>226</v>
      </c>
      <c r="G43" s="1661">
        <v>350</v>
      </c>
      <c r="H43" s="1264">
        <f t="shared" si="1"/>
        <v>35350</v>
      </c>
      <c r="I43" s="1589">
        <v>200</v>
      </c>
      <c r="J43" s="1264">
        <f t="shared" si="2"/>
        <v>20200</v>
      </c>
      <c r="K43" s="1273">
        <f t="shared" si="3"/>
        <v>55550</v>
      </c>
      <c r="L43" s="1690"/>
      <c r="M43" s="1689"/>
    </row>
    <row r="44" spans="1:14" s="1199" customFormat="1" ht="24" customHeight="1">
      <c r="A44" s="1564"/>
      <c r="B44" s="1565" t="s">
        <v>1759</v>
      </c>
      <c r="C44" s="1533"/>
      <c r="D44" s="1534"/>
      <c r="E44" s="1688">
        <v>177</v>
      </c>
      <c r="F44" s="1567" t="s">
        <v>226</v>
      </c>
      <c r="G44" s="1661">
        <v>499</v>
      </c>
      <c r="H44" s="1264">
        <f t="shared" si="1"/>
        <v>88323</v>
      </c>
      <c r="I44" s="1589">
        <v>280</v>
      </c>
      <c r="J44" s="1264">
        <f t="shared" si="2"/>
        <v>49560</v>
      </c>
      <c r="K44" s="1273">
        <f t="shared" si="3"/>
        <v>137883</v>
      </c>
      <c r="L44" s="1690"/>
    </row>
    <row r="45" spans="1:14" s="1199" customFormat="1" ht="24" customHeight="1">
      <c r="A45" s="1564"/>
      <c r="B45" s="1565" t="s">
        <v>1754</v>
      </c>
      <c r="C45" s="1533"/>
      <c r="D45" s="1534"/>
      <c r="E45" s="1688">
        <v>540</v>
      </c>
      <c r="F45" s="1567" t="s">
        <v>226</v>
      </c>
      <c r="G45" s="1661">
        <v>877</v>
      </c>
      <c r="H45" s="1264">
        <f t="shared" si="1"/>
        <v>473580</v>
      </c>
      <c r="I45" s="1589">
        <v>500</v>
      </c>
      <c r="J45" s="1264">
        <f t="shared" si="2"/>
        <v>270000</v>
      </c>
      <c r="K45" s="1273">
        <f t="shared" si="3"/>
        <v>743580</v>
      </c>
      <c r="L45" s="1690"/>
    </row>
    <row r="46" spans="1:14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690"/>
      <c r="N46" s="1691"/>
    </row>
    <row r="47" spans="1:14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690"/>
    </row>
    <row r="48" spans="1:14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369795</v>
      </c>
      <c r="H48" s="1264">
        <f t="shared" si="1"/>
        <v>369795</v>
      </c>
      <c r="I48" s="1589">
        <f>ROUND(G48*0.3,)</f>
        <v>110939</v>
      </c>
      <c r="J48" s="1264">
        <f t="shared" si="2"/>
        <v>110939</v>
      </c>
      <c r="K48" s="1273">
        <f t="shared" si="3"/>
        <v>480734</v>
      </c>
      <c r="L48" s="1690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184897</v>
      </c>
      <c r="H49" s="1264">
        <f t="shared" si="1"/>
        <v>184897</v>
      </c>
      <c r="I49" s="1589">
        <f>ROUND(G49*0.3,)</f>
        <v>55469</v>
      </c>
      <c r="J49" s="1264">
        <f t="shared" si="2"/>
        <v>55469</v>
      </c>
      <c r="K49" s="1273">
        <f t="shared" si="3"/>
        <v>240366</v>
      </c>
      <c r="L49" s="1690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ROUND(SUM(H37:H47)*10%,)</f>
        <v>92449</v>
      </c>
      <c r="H50" s="1264">
        <f t="shared" si="1"/>
        <v>92449</v>
      </c>
      <c r="I50" s="1589">
        <f>ROUND(G50*0.3,)</f>
        <v>27735</v>
      </c>
      <c r="J50" s="1264">
        <f t="shared" si="2"/>
        <v>27735</v>
      </c>
      <c r="K50" s="1273">
        <f t="shared" si="3"/>
        <v>120184</v>
      </c>
      <c r="L50" s="1690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277346</v>
      </c>
      <c r="H51" s="1264">
        <f t="shared" si="1"/>
        <v>277346</v>
      </c>
      <c r="I51" s="1589">
        <f>ROUND(G51*0.3,)</f>
        <v>83204</v>
      </c>
      <c r="J51" s="1264">
        <f t="shared" si="2"/>
        <v>83204</v>
      </c>
      <c r="K51" s="1273">
        <f t="shared" si="3"/>
        <v>360550</v>
      </c>
      <c r="L51" s="1690"/>
    </row>
    <row r="52" spans="1:15" s="1199" customFormat="1" ht="24" customHeight="1">
      <c r="A52" s="1564"/>
      <c r="B52" s="1597"/>
      <c r="C52" s="1533"/>
      <c r="D52" s="1534"/>
      <c r="E52" s="1566"/>
      <c r="F52" s="1567"/>
      <c r="G52" s="1516"/>
      <c r="H52" s="1264"/>
      <c r="I52" s="1265"/>
      <c r="J52" s="1264"/>
      <c r="K52" s="1273"/>
      <c r="L52" s="1685"/>
    </row>
    <row r="53" spans="1:15" s="1199" customFormat="1" ht="24" customHeight="1">
      <c r="A53" s="1564" t="s">
        <v>1868</v>
      </c>
      <c r="B53" s="1565" t="s">
        <v>1869</v>
      </c>
      <c r="C53" s="1533"/>
      <c r="D53" s="1534"/>
      <c r="E53" s="1566"/>
      <c r="F53" s="1567"/>
      <c r="G53" s="1516"/>
      <c r="H53" s="1298"/>
      <c r="I53" s="1299"/>
      <c r="J53" s="1298"/>
      <c r="K53" s="1382"/>
      <c r="L53" s="1690"/>
    </row>
    <row r="54" spans="1:15" s="1199" customFormat="1" ht="24" customHeight="1">
      <c r="A54" s="1564"/>
      <c r="B54" s="1565" t="s">
        <v>1901</v>
      </c>
      <c r="C54" s="1533"/>
      <c r="D54" s="1534"/>
      <c r="E54" s="825">
        <v>5</v>
      </c>
      <c r="F54" s="1567" t="s">
        <v>226</v>
      </c>
      <c r="G54" s="1516">
        <v>124</v>
      </c>
      <c r="H54" s="1264">
        <f>ROUND(E54*G54,)</f>
        <v>620</v>
      </c>
      <c r="I54" s="1265">
        <v>50</v>
      </c>
      <c r="J54" s="1264">
        <f t="shared" ref="J54:J55" si="4">ROUND(I54*E54,)</f>
        <v>250</v>
      </c>
      <c r="K54" s="1273">
        <f t="shared" ref="K54:K55" si="5">H54+J54</f>
        <v>870</v>
      </c>
      <c r="L54" s="2082" t="s">
        <v>2667</v>
      </c>
      <c r="N54" s="1199">
        <v>745.96</v>
      </c>
      <c r="O54" s="1199">
        <f>ROUND(N54/6,)</f>
        <v>124</v>
      </c>
    </row>
    <row r="55" spans="1:15" s="1199" customFormat="1" ht="24" customHeight="1">
      <c r="A55" s="1564"/>
      <c r="B55" s="1565" t="s">
        <v>1340</v>
      </c>
      <c r="C55" s="1533"/>
      <c r="D55" s="1534"/>
      <c r="E55" s="825">
        <v>15</v>
      </c>
      <c r="F55" s="1567" t="s">
        <v>226</v>
      </c>
      <c r="G55" s="1516">
        <v>259</v>
      </c>
      <c r="H55" s="1264">
        <f t="shared" ref="H55" si="6">ROUND(E55*G55,)</f>
        <v>3885</v>
      </c>
      <c r="I55" s="1299">
        <v>110</v>
      </c>
      <c r="J55" s="1264">
        <f t="shared" si="4"/>
        <v>1650</v>
      </c>
      <c r="K55" s="1273">
        <f t="shared" si="5"/>
        <v>5535</v>
      </c>
      <c r="L55" s="2082" t="s">
        <v>2667</v>
      </c>
      <c r="N55" s="1199">
        <v>1554.48</v>
      </c>
      <c r="O55" s="1199">
        <f>ROUND(N55/6,)</f>
        <v>259</v>
      </c>
    </row>
    <row r="56" spans="1:15" s="1199" customFormat="1" ht="24" customHeight="1">
      <c r="A56" s="1564"/>
      <c r="B56" s="1565" t="s">
        <v>1719</v>
      </c>
      <c r="C56" s="1533"/>
      <c r="D56" s="1534"/>
      <c r="E56" s="1686">
        <v>1</v>
      </c>
      <c r="F56" s="1402" t="s">
        <v>1104</v>
      </c>
      <c r="G56" s="1661">
        <f>ROUND(SUM(H54:H55)*50%,)</f>
        <v>2253</v>
      </c>
      <c r="H56" s="1264">
        <f>ROUND(E56*G56,)</f>
        <v>2253</v>
      </c>
      <c r="I56" s="1589">
        <f>ROUND(G56*0.3,)</f>
        <v>676</v>
      </c>
      <c r="J56" s="1264">
        <f>ROUND(I56*E56,)</f>
        <v>676</v>
      </c>
      <c r="K56" s="1273">
        <f>H56+J56</f>
        <v>2929</v>
      </c>
      <c r="L56" s="1690"/>
    </row>
    <row r="57" spans="1:15" s="1199" customFormat="1" ht="24" customHeight="1">
      <c r="A57" s="1564"/>
      <c r="B57" s="1565" t="s">
        <v>1720</v>
      </c>
      <c r="C57" s="1533"/>
      <c r="D57" s="1534"/>
      <c r="E57" s="1686">
        <v>1</v>
      </c>
      <c r="F57" s="1402" t="s">
        <v>1104</v>
      </c>
      <c r="G57" s="1661">
        <f>ROUND(SUM(H54:H55)*20%,)</f>
        <v>901</v>
      </c>
      <c r="H57" s="1264">
        <f>ROUND(E57*G57,)</f>
        <v>901</v>
      </c>
      <c r="I57" s="1589">
        <f>ROUND(G57*0.3,)</f>
        <v>270</v>
      </c>
      <c r="J57" s="1264">
        <f>ROUND(I57*E57,)</f>
        <v>270</v>
      </c>
      <c r="K57" s="1273">
        <f>H57+J57</f>
        <v>1171</v>
      </c>
      <c r="L57" s="1690"/>
    </row>
    <row r="58" spans="1:15" s="1199" customFormat="1" ht="24" customHeight="1">
      <c r="A58" s="1564"/>
      <c r="B58" s="1565" t="s">
        <v>1721</v>
      </c>
      <c r="C58" s="1533"/>
      <c r="D58" s="1534"/>
      <c r="E58" s="1686">
        <v>1</v>
      </c>
      <c r="F58" s="1402" t="s">
        <v>1104</v>
      </c>
      <c r="G58" s="1661">
        <f>ROUND(SUM(H54:H55)*10%,)</f>
        <v>451</v>
      </c>
      <c r="H58" s="1264">
        <f>ROUND(E58*G58,)</f>
        <v>451</v>
      </c>
      <c r="I58" s="1589">
        <f>ROUND(G58*0.3,)</f>
        <v>135</v>
      </c>
      <c r="J58" s="1264">
        <f>ROUND(I58*E58,)</f>
        <v>135</v>
      </c>
      <c r="K58" s="1273">
        <f>H58+J58</f>
        <v>586</v>
      </c>
      <c r="L58" s="1690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1857084</v>
      </c>
      <c r="I59" s="1582"/>
      <c r="J59" s="1581">
        <f>SUM(J37:J58)</f>
        <v>804853</v>
      </c>
      <c r="K59" s="1583">
        <f>SUM(K37:K58)</f>
        <v>2661937</v>
      </c>
      <c r="L59" s="1630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685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90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90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90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90"/>
    </row>
    <row r="65" spans="1:12" s="1199" customFormat="1" ht="24" customHeight="1">
      <c r="A65" s="1564" t="s">
        <v>1875</v>
      </c>
      <c r="B65" s="1565" t="s">
        <v>1904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690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690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690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690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690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690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690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690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690"/>
    </row>
    <row r="74" spans="1:12" s="1199" customFormat="1" ht="24" customHeight="1">
      <c r="A74" s="1578"/>
      <c r="B74" s="2257" t="str">
        <f>"รวมราคารายการที่ "&amp;A60</f>
        <v>รวมราคารายการที่ 6.2</v>
      </c>
      <c r="C74" s="2258"/>
      <c r="D74" s="2259"/>
      <c r="E74" s="1579"/>
      <c r="F74" s="1579"/>
      <c r="G74" s="1580"/>
      <c r="H74" s="1581">
        <f>SUM(H61:H73)</f>
        <v>212932</v>
      </c>
      <c r="I74" s="1582"/>
      <c r="J74" s="1581">
        <f>SUM(J61:J73)</f>
        <v>14000</v>
      </c>
      <c r="K74" s="1583">
        <f>SUM(K61:K73)</f>
        <v>226932</v>
      </c>
      <c r="L74" s="1630"/>
    </row>
    <row r="75" spans="1:12" s="1199" customFormat="1" ht="24" customHeight="1">
      <c r="A75" s="1620">
        <v>6.3</v>
      </c>
      <c r="B75" s="1621" t="s">
        <v>1907</v>
      </c>
      <c r="C75" s="1622"/>
      <c r="D75" s="1623"/>
      <c r="E75" s="1624"/>
      <c r="F75" s="1637"/>
      <c r="G75" s="1516"/>
      <c r="H75" s="1298"/>
      <c r="I75" s="1299"/>
      <c r="J75" s="1298"/>
      <c r="K75" s="1382"/>
      <c r="L75" s="1690"/>
    </row>
    <row r="76" spans="1:12" s="1199" customFormat="1" ht="24" customHeight="1">
      <c r="A76" s="1564" t="s">
        <v>1908</v>
      </c>
      <c r="B76" s="1565" t="s">
        <v>1909</v>
      </c>
      <c r="C76" s="1533"/>
      <c r="D76" s="1534"/>
      <c r="E76" s="1566">
        <v>24</v>
      </c>
      <c r="F76" s="1564" t="s">
        <v>363</v>
      </c>
      <c r="G76" s="1516">
        <v>110</v>
      </c>
      <c r="H76" s="1264">
        <f>ROUND(E76*G76,)</f>
        <v>2640</v>
      </c>
      <c r="I76" s="1299">
        <v>75</v>
      </c>
      <c r="J76" s="1264">
        <f>ROUND(I76*E76,)</f>
        <v>1800</v>
      </c>
      <c r="K76" s="1273">
        <f>H76+J76</f>
        <v>4440</v>
      </c>
      <c r="L76" s="1690"/>
    </row>
    <row r="77" spans="1:12" s="1199" customFormat="1" ht="24" customHeight="1">
      <c r="A77" s="1564" t="s">
        <v>1910</v>
      </c>
      <c r="B77" s="1565" t="s">
        <v>1911</v>
      </c>
      <c r="C77" s="1533"/>
      <c r="D77" s="1534"/>
      <c r="E77" s="1566"/>
      <c r="F77" s="1564" t="s">
        <v>363</v>
      </c>
      <c r="G77" s="1516"/>
      <c r="H77" s="1264">
        <f>ROUND(E77*G77,)</f>
        <v>0</v>
      </c>
      <c r="I77" s="1299"/>
      <c r="J77" s="1264">
        <f>ROUND(I77*E77,)</f>
        <v>0</v>
      </c>
      <c r="K77" s="1273">
        <f>H77+J77</f>
        <v>0</v>
      </c>
      <c r="L77" s="1690"/>
    </row>
    <row r="78" spans="1:12" s="1199" customFormat="1" ht="24" customHeight="1">
      <c r="A78" s="1564" t="s">
        <v>1912</v>
      </c>
      <c r="B78" s="1565" t="s">
        <v>1913</v>
      </c>
      <c r="C78" s="1533"/>
      <c r="D78" s="1534"/>
      <c r="E78" s="1566">
        <v>849</v>
      </c>
      <c r="F78" s="1564" t="s">
        <v>363</v>
      </c>
      <c r="G78" s="1516">
        <v>110</v>
      </c>
      <c r="H78" s="1264">
        <f>ROUND(E78*G78,)</f>
        <v>93390</v>
      </c>
      <c r="I78" s="1299">
        <v>50</v>
      </c>
      <c r="J78" s="1264">
        <f>ROUND(I78*E78,)</f>
        <v>42450</v>
      </c>
      <c r="K78" s="1273">
        <f>H78+J78</f>
        <v>135840</v>
      </c>
      <c r="L78" s="1690"/>
    </row>
    <row r="79" spans="1:12" s="1199" customFormat="1" ht="24" customHeight="1">
      <c r="A79" s="1564" t="s">
        <v>1914</v>
      </c>
      <c r="B79" s="1565" t="s">
        <v>1915</v>
      </c>
      <c r="C79" s="1533"/>
      <c r="D79" s="1534"/>
      <c r="E79" s="1566"/>
      <c r="F79" s="1564" t="s">
        <v>363</v>
      </c>
      <c r="G79" s="1516"/>
      <c r="H79" s="1298"/>
      <c r="I79" s="1299"/>
      <c r="J79" s="1298"/>
      <c r="K79" s="1382"/>
      <c r="L79" s="1690"/>
    </row>
    <row r="80" spans="1:12" s="1199" customFormat="1" ht="24" customHeight="1">
      <c r="A80" s="1564" t="s">
        <v>1916</v>
      </c>
      <c r="B80" s="1565" t="s">
        <v>1917</v>
      </c>
      <c r="C80" s="1533"/>
      <c r="D80" s="1534"/>
      <c r="E80" s="1566"/>
      <c r="F80" s="1564" t="s">
        <v>363</v>
      </c>
      <c r="G80" s="1516"/>
      <c r="H80" s="1298"/>
      <c r="I80" s="1299"/>
      <c r="J80" s="1298"/>
      <c r="K80" s="1382"/>
      <c r="L80" s="1690"/>
    </row>
    <row r="81" spans="1:12" s="1199" customFormat="1" ht="24" customHeight="1">
      <c r="A81" s="1564"/>
      <c r="B81" s="1565"/>
      <c r="C81" s="1533"/>
      <c r="D81" s="1534"/>
      <c r="E81" s="1566"/>
      <c r="F81" s="1564"/>
      <c r="G81" s="1516"/>
      <c r="H81" s="1298"/>
      <c r="I81" s="1299"/>
      <c r="J81" s="1298"/>
      <c r="K81" s="1382"/>
      <c r="L81" s="1690"/>
    </row>
    <row r="82" spans="1:12" s="1199" customFormat="1" ht="24" customHeight="1">
      <c r="A82" s="1564"/>
      <c r="B82" s="1565"/>
      <c r="C82" s="1533"/>
      <c r="D82" s="1534"/>
      <c r="E82" s="1566"/>
      <c r="F82" s="1564"/>
      <c r="G82" s="1516"/>
      <c r="H82" s="1264"/>
      <c r="I82" s="1299"/>
      <c r="J82" s="1264"/>
      <c r="K82" s="1273"/>
      <c r="L82" s="1690"/>
    </row>
    <row r="83" spans="1:12" s="1199" customFormat="1" ht="24" customHeight="1">
      <c r="A83" s="1564"/>
      <c r="B83" s="1565"/>
      <c r="C83" s="1533"/>
      <c r="D83" s="1534"/>
      <c r="E83" s="1566"/>
      <c r="F83" s="1564"/>
      <c r="G83" s="1516"/>
      <c r="H83" s="1264"/>
      <c r="I83" s="1299"/>
      <c r="J83" s="1264"/>
      <c r="K83" s="1273"/>
      <c r="L83" s="1690"/>
    </row>
    <row r="84" spans="1:12" s="1199" customFormat="1" ht="24" customHeight="1">
      <c r="A84" s="1578"/>
      <c r="B84" s="2257" t="str">
        <f>"รวมราคารายการที่ "&amp;A75</f>
        <v>รวมราคารายการที่ 6.3</v>
      </c>
      <c r="C84" s="2258"/>
      <c r="D84" s="2259"/>
      <c r="E84" s="1579"/>
      <c r="F84" s="1579"/>
      <c r="G84" s="1580"/>
      <c r="H84" s="1581">
        <f>SUM(H75:H83)</f>
        <v>96030</v>
      </c>
      <c r="I84" s="1582"/>
      <c r="J84" s="1581">
        <f>SUM(J75:J83)</f>
        <v>44250</v>
      </c>
      <c r="K84" s="1583">
        <f>SUM(K75:K83)</f>
        <v>140280</v>
      </c>
      <c r="L84" s="1630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693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687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2</v>
      </c>
      <c r="F87" s="1564" t="s">
        <v>363</v>
      </c>
      <c r="G87" s="1558">
        <v>6500</v>
      </c>
      <c r="H87" s="1264">
        <f>ROUND(E87*G87,)</f>
        <v>13000</v>
      </c>
      <c r="I87" s="1265">
        <f>G87*0.3</f>
        <v>1950</v>
      </c>
      <c r="J87" s="1264">
        <f>ROUND(I87*E87,)</f>
        <v>3900</v>
      </c>
      <c r="K87" s="1273">
        <f>H87+J87</f>
        <v>16900</v>
      </c>
      <c r="L87" s="1687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2</v>
      </c>
      <c r="F88" s="1572" t="s">
        <v>363</v>
      </c>
      <c r="G88" s="1694">
        <v>1200</v>
      </c>
      <c r="H88" s="1264">
        <f t="shared" ref="H88:H92" si="7">ROUND(E88*G88,)</f>
        <v>2400</v>
      </c>
      <c r="I88" s="1265" t="s">
        <v>1683</v>
      </c>
      <c r="J88" s="1264"/>
      <c r="K88" s="1273">
        <f>H88+J88</f>
        <v>2400</v>
      </c>
      <c r="L88" s="1687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2</v>
      </c>
      <c r="F89" s="1564" t="s">
        <v>363</v>
      </c>
      <c r="G89" s="1558">
        <v>19200</v>
      </c>
      <c r="H89" s="1264">
        <f t="shared" si="7"/>
        <v>38400</v>
      </c>
      <c r="I89" s="1265" t="s">
        <v>1683</v>
      </c>
      <c r="J89" s="1264"/>
      <c r="K89" s="1273">
        <f t="shared" ref="K89:K92" si="8">H89+J89</f>
        <v>38400</v>
      </c>
      <c r="L89" s="1687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2</v>
      </c>
      <c r="F90" s="1564" t="s">
        <v>363</v>
      </c>
      <c r="G90" s="1558">
        <v>4910</v>
      </c>
      <c r="H90" s="1264">
        <f t="shared" si="7"/>
        <v>9820</v>
      </c>
      <c r="I90" s="1265" t="s">
        <v>1683</v>
      </c>
      <c r="J90" s="1264"/>
      <c r="K90" s="1273">
        <f t="shared" si="8"/>
        <v>9820</v>
      </c>
      <c r="L90" s="1690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2</v>
      </c>
      <c r="F91" s="1564" t="s">
        <v>363</v>
      </c>
      <c r="G91" s="1558">
        <v>1420</v>
      </c>
      <c r="H91" s="1264">
        <f t="shared" si="7"/>
        <v>2840</v>
      </c>
      <c r="I91" s="1265" t="s">
        <v>1683</v>
      </c>
      <c r="J91" s="1264"/>
      <c r="K91" s="1273">
        <f t="shared" si="8"/>
        <v>2840</v>
      </c>
      <c r="L91" s="1690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2</v>
      </c>
      <c r="F92" s="1564" t="s">
        <v>363</v>
      </c>
      <c r="G92" s="1558">
        <v>720</v>
      </c>
      <c r="H92" s="1264">
        <f t="shared" si="7"/>
        <v>1440</v>
      </c>
      <c r="I92" s="1265" t="s">
        <v>1683</v>
      </c>
      <c r="J92" s="1264"/>
      <c r="K92" s="1273">
        <f t="shared" si="8"/>
        <v>1440</v>
      </c>
      <c r="L92" s="1690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690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6</v>
      </c>
      <c r="F94" s="1564" t="s">
        <v>363</v>
      </c>
      <c r="G94" s="1558">
        <f>6500*1.1</f>
        <v>7150.0000000000009</v>
      </c>
      <c r="H94" s="1264">
        <f t="shared" ref="H94:H99" si="9">ROUND(E94*G94,)</f>
        <v>42900</v>
      </c>
      <c r="I94" s="1265">
        <f>G94*0.3</f>
        <v>2145</v>
      </c>
      <c r="J94" s="1264">
        <f>ROUND(I94*E94,)</f>
        <v>12870</v>
      </c>
      <c r="K94" s="1273">
        <f t="shared" ref="K94:K99" si="10">H94+J94</f>
        <v>55770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6</v>
      </c>
      <c r="F95" s="1572" t="s">
        <v>363</v>
      </c>
      <c r="G95" s="1694">
        <v>1200</v>
      </c>
      <c r="H95" s="1264">
        <f t="shared" si="9"/>
        <v>7200</v>
      </c>
      <c r="I95" s="1265" t="s">
        <v>1683</v>
      </c>
      <c r="J95" s="1264"/>
      <c r="K95" s="1273">
        <f t="shared" si="10"/>
        <v>7200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6</v>
      </c>
      <c r="F96" s="1564" t="s">
        <v>363</v>
      </c>
      <c r="G96" s="1558">
        <v>19200</v>
      </c>
      <c r="H96" s="1264">
        <f t="shared" si="9"/>
        <v>115200</v>
      </c>
      <c r="I96" s="1265" t="s">
        <v>1683</v>
      </c>
      <c r="J96" s="1264"/>
      <c r="K96" s="1273">
        <f t="shared" si="10"/>
        <v>115200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6</v>
      </c>
      <c r="F97" s="1564" t="s">
        <v>363</v>
      </c>
      <c r="G97" s="1558">
        <v>4910</v>
      </c>
      <c r="H97" s="1264">
        <f t="shared" si="9"/>
        <v>29460</v>
      </c>
      <c r="I97" s="1265" t="s">
        <v>1683</v>
      </c>
      <c r="J97" s="1264"/>
      <c r="K97" s="1273">
        <f t="shared" si="10"/>
        <v>29460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6</v>
      </c>
      <c r="F98" s="1564" t="s">
        <v>363</v>
      </c>
      <c r="G98" s="1558">
        <v>1420</v>
      </c>
      <c r="H98" s="1264">
        <f t="shared" si="9"/>
        <v>8520</v>
      </c>
      <c r="I98" s="1265" t="s">
        <v>1683</v>
      </c>
      <c r="J98" s="1264"/>
      <c r="K98" s="1273">
        <f t="shared" si="10"/>
        <v>8520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6</v>
      </c>
      <c r="F99" s="1564" t="s">
        <v>363</v>
      </c>
      <c r="G99" s="1558">
        <v>720</v>
      </c>
      <c r="H99" s="1264">
        <f t="shared" si="9"/>
        <v>4320</v>
      </c>
      <c r="I99" s="1265" t="s">
        <v>1683</v>
      </c>
      <c r="J99" s="1264"/>
      <c r="K99" s="1273">
        <f t="shared" si="10"/>
        <v>4320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4</v>
      </c>
      <c r="F101" s="1564" t="s">
        <v>363</v>
      </c>
      <c r="G101" s="1558">
        <v>1000</v>
      </c>
      <c r="H101" s="1264">
        <f>ROUND(E101*G101,)</f>
        <v>4000</v>
      </c>
      <c r="I101" s="1695">
        <v>200</v>
      </c>
      <c r="J101" s="1264">
        <f>ROUND(I101*E101,)</f>
        <v>800</v>
      </c>
      <c r="K101" s="1273">
        <f>H101+J101</f>
        <v>4800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1117</v>
      </c>
      <c r="C104" s="1533"/>
      <c r="D104" s="1534"/>
      <c r="E104" s="1566"/>
      <c r="F104" s="1564"/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97"/>
      <c r="C105" s="1533"/>
      <c r="D105" s="1604"/>
      <c r="E105" s="1566"/>
      <c r="F105" s="1696"/>
      <c r="G105" s="1558"/>
      <c r="H105" s="1264"/>
      <c r="I105" s="1265"/>
      <c r="J105" s="1264"/>
      <c r="K105" s="1687"/>
      <c r="L105" s="1697"/>
    </row>
    <row r="106" spans="1:12" s="1199" customFormat="1" ht="24" customHeight="1">
      <c r="A106" s="1564"/>
      <c r="B106" s="1652"/>
      <c r="C106" s="1574"/>
      <c r="D106" s="1653"/>
      <c r="E106" s="1598"/>
      <c r="F106" s="1698"/>
      <c r="G106" s="1694"/>
      <c r="H106" s="1281"/>
      <c r="I106" s="1282"/>
      <c r="J106" s="1281"/>
      <c r="K106" s="1699"/>
      <c r="L106" s="1700"/>
    </row>
    <row r="107" spans="1:12" s="1199" customFormat="1" ht="24" customHeight="1">
      <c r="A107" s="1564"/>
      <c r="B107" s="1652"/>
      <c r="C107" s="1574"/>
      <c r="D107" s="1653"/>
      <c r="E107" s="1598"/>
      <c r="F107" s="1698"/>
      <c r="G107" s="1694"/>
      <c r="H107" s="1281"/>
      <c r="I107" s="1282"/>
      <c r="J107" s="1281"/>
      <c r="K107" s="1699"/>
      <c r="L107" s="1700"/>
    </row>
    <row r="108" spans="1:12" s="1199" customFormat="1" ht="24" customHeight="1">
      <c r="A108" s="1449"/>
      <c r="B108" s="1701"/>
      <c r="C108" s="1702"/>
      <c r="D108" s="1486"/>
      <c r="E108" s="1703"/>
      <c r="F108" s="1487"/>
      <c r="G108" s="1704"/>
      <c r="H108" s="1425"/>
      <c r="I108" s="1488"/>
      <c r="J108" s="1425"/>
      <c r="K108" s="1705"/>
      <c r="L108" s="1706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279500</v>
      </c>
      <c r="I109" s="1582"/>
      <c r="J109" s="1581">
        <f>SUM(J86:J108)</f>
        <v>17570</v>
      </c>
      <c r="K109" s="1583">
        <f>SUM(K86:K108)</f>
        <v>297070</v>
      </c>
      <c r="L109" s="1630"/>
    </row>
    <row r="110" spans="1:12" s="1199" customFormat="1" ht="24" customHeight="1">
      <c r="A110" s="1605">
        <v>6.5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693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20</v>
      </c>
      <c r="F111" s="1564" t="s">
        <v>363</v>
      </c>
      <c r="G111" s="1516">
        <v>4460</v>
      </c>
      <c r="H111" s="1264">
        <f>ROUND(E111*G111,)</f>
        <v>89200</v>
      </c>
      <c r="I111" s="1265">
        <f>G111*0.1</f>
        <v>446</v>
      </c>
      <c r="J111" s="1264">
        <f>ROUND(I111*E111,)</f>
        <v>8920</v>
      </c>
      <c r="K111" s="1273">
        <f>H111+J111</f>
        <v>98120</v>
      </c>
      <c r="L111" s="1697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685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>
        <v>4</v>
      </c>
      <c r="F113" s="1564" t="s">
        <v>363</v>
      </c>
      <c r="G113" s="1516">
        <v>6330</v>
      </c>
      <c r="H113" s="1264">
        <f>ROUND(E113*G113,)</f>
        <v>25320</v>
      </c>
      <c r="I113" s="1265">
        <f>G113*0.1</f>
        <v>633</v>
      </c>
      <c r="J113" s="1264">
        <f>ROUND(I113*E113,)</f>
        <v>2532</v>
      </c>
      <c r="K113" s="1273">
        <f>H113+J113</f>
        <v>27852</v>
      </c>
      <c r="L113" s="1685"/>
    </row>
    <row r="114" spans="1:12" s="1199" customFormat="1" ht="24" customHeight="1">
      <c r="A114" s="1564" t="s">
        <v>1945</v>
      </c>
      <c r="B114" s="1565" t="s">
        <v>1355</v>
      </c>
      <c r="C114" s="1533"/>
      <c r="D114" s="1534"/>
      <c r="E114" s="1566"/>
      <c r="F114" s="1564"/>
      <c r="G114" s="1516"/>
      <c r="H114" s="1264"/>
      <c r="I114" s="1265"/>
      <c r="J114" s="1264"/>
      <c r="K114" s="1273"/>
      <c r="L114" s="1685"/>
    </row>
    <row r="115" spans="1:12" s="1199" customFormat="1" ht="24" customHeight="1">
      <c r="A115" s="1564"/>
      <c r="B115" s="1565" t="s">
        <v>1811</v>
      </c>
      <c r="C115" s="1533"/>
      <c r="D115" s="1534"/>
      <c r="E115" s="1566"/>
      <c r="F115" s="1564" t="s">
        <v>226</v>
      </c>
      <c r="G115" s="1516"/>
      <c r="H115" s="1298"/>
      <c r="I115" s="1299"/>
      <c r="J115" s="1298"/>
      <c r="K115" s="1382"/>
      <c r="L115" s="1685"/>
    </row>
    <row r="116" spans="1:12" s="1199" customFormat="1" ht="24" customHeight="1">
      <c r="A116" s="1564"/>
      <c r="B116" s="1565" t="s">
        <v>1316</v>
      </c>
      <c r="C116" s="1533"/>
      <c r="D116" s="1534"/>
      <c r="E116" s="1566"/>
      <c r="F116" s="1564" t="s">
        <v>226</v>
      </c>
      <c r="G116" s="1516"/>
      <c r="H116" s="1298"/>
      <c r="I116" s="1299"/>
      <c r="J116" s="1298"/>
      <c r="K116" s="1382"/>
      <c r="L116" s="1685"/>
    </row>
    <row r="117" spans="1:12" s="1199" customFormat="1" ht="24" customHeight="1">
      <c r="A117" s="1564" t="s">
        <v>1946</v>
      </c>
      <c r="B117" s="1565" t="s">
        <v>1331</v>
      </c>
      <c r="C117" s="1533"/>
      <c r="D117" s="1534"/>
      <c r="E117" s="1566"/>
      <c r="F117" s="1564"/>
      <c r="G117" s="1516"/>
      <c r="H117" s="1298"/>
      <c r="I117" s="1299"/>
      <c r="J117" s="1298"/>
      <c r="K117" s="1382"/>
      <c r="L117" s="1685"/>
    </row>
    <row r="118" spans="1:12" s="1199" customFormat="1" ht="24" customHeight="1">
      <c r="A118" s="1564"/>
      <c r="B118" s="1565" t="s">
        <v>1947</v>
      </c>
      <c r="C118" s="1533"/>
      <c r="D118" s="1534"/>
      <c r="E118" s="1566"/>
      <c r="F118" s="1564" t="s">
        <v>226</v>
      </c>
      <c r="G118" s="1516"/>
      <c r="H118" s="1298"/>
      <c r="I118" s="1299"/>
      <c r="J118" s="1298"/>
      <c r="K118" s="1382"/>
      <c r="L118" s="1685"/>
    </row>
    <row r="119" spans="1:12" s="1199" customFormat="1" ht="24" customHeight="1">
      <c r="A119" s="1564"/>
      <c r="B119" s="1565" t="s">
        <v>1948</v>
      </c>
      <c r="C119" s="1533"/>
      <c r="D119" s="1534"/>
      <c r="E119" s="1566"/>
      <c r="F119" s="1564" t="s">
        <v>226</v>
      </c>
      <c r="G119" s="1516"/>
      <c r="H119" s="1298"/>
      <c r="I119" s="1299"/>
      <c r="J119" s="1298"/>
      <c r="K119" s="1382"/>
      <c r="L119" s="1685"/>
    </row>
    <row r="120" spans="1:12" s="1199" customFormat="1" ht="24" customHeight="1">
      <c r="A120" s="1564" t="s">
        <v>1949</v>
      </c>
      <c r="B120" s="1565" t="s">
        <v>1526</v>
      </c>
      <c r="C120" s="1533"/>
      <c r="D120" s="1534"/>
      <c r="E120" s="1566"/>
      <c r="F120" s="1564"/>
      <c r="G120" s="1516"/>
      <c r="H120" s="1298"/>
      <c r="I120" s="1299"/>
      <c r="J120" s="1298"/>
      <c r="K120" s="1382"/>
      <c r="L120" s="1685"/>
    </row>
    <row r="121" spans="1:12" s="1199" customFormat="1" ht="24" customHeight="1">
      <c r="A121" s="1564"/>
      <c r="B121" s="1565" t="s">
        <v>1350</v>
      </c>
      <c r="C121" s="1533"/>
      <c r="D121" s="1534"/>
      <c r="E121" s="1566"/>
      <c r="F121" s="1564" t="s">
        <v>226</v>
      </c>
      <c r="G121" s="1516"/>
      <c r="H121" s="1298"/>
      <c r="I121" s="1299"/>
      <c r="J121" s="1298"/>
      <c r="K121" s="1382"/>
      <c r="L121" s="1685"/>
    </row>
    <row r="122" spans="1:12" s="1199" customFormat="1" ht="24" customHeight="1">
      <c r="A122" s="1564"/>
      <c r="B122" s="1565" t="s">
        <v>1448</v>
      </c>
      <c r="C122" s="1533"/>
      <c r="D122" s="1534"/>
      <c r="E122" s="1566"/>
      <c r="F122" s="1564" t="s">
        <v>226</v>
      </c>
      <c r="G122" s="1516"/>
      <c r="H122" s="1298"/>
      <c r="I122" s="1299"/>
      <c r="J122" s="1298"/>
      <c r="K122" s="1382"/>
      <c r="L122" s="1685"/>
    </row>
    <row r="123" spans="1:12" s="1199" customFormat="1" ht="24" customHeight="1">
      <c r="A123" s="1564" t="s">
        <v>1950</v>
      </c>
      <c r="B123" s="1565" t="s">
        <v>1343</v>
      </c>
      <c r="C123" s="1533"/>
      <c r="D123" s="1534"/>
      <c r="E123" s="1566"/>
      <c r="F123" s="1564"/>
      <c r="G123" s="1516"/>
      <c r="H123" s="1298"/>
      <c r="I123" s="1299"/>
      <c r="J123" s="1298"/>
      <c r="K123" s="1382"/>
      <c r="L123" s="1685"/>
    </row>
    <row r="124" spans="1:12" s="1199" customFormat="1" ht="24" customHeight="1">
      <c r="A124" s="1564"/>
      <c r="B124" s="1565" t="s">
        <v>1401</v>
      </c>
      <c r="C124" s="1533"/>
      <c r="D124" s="1534"/>
      <c r="E124" s="1566"/>
      <c r="F124" s="1564" t="s">
        <v>226</v>
      </c>
      <c r="G124" s="1516"/>
      <c r="H124" s="1298"/>
      <c r="I124" s="1299"/>
      <c r="J124" s="1298"/>
      <c r="K124" s="1382"/>
      <c r="L124" s="1685"/>
    </row>
    <row r="125" spans="1:12" s="1199" customFormat="1" ht="24" customHeight="1">
      <c r="A125" s="1564"/>
      <c r="B125" s="1565" t="s">
        <v>1951</v>
      </c>
      <c r="C125" s="1533"/>
      <c r="D125" s="1534"/>
      <c r="E125" s="1566"/>
      <c r="F125" s="1564" t="s">
        <v>1104</v>
      </c>
      <c r="G125" s="1516"/>
      <c r="H125" s="1298"/>
      <c r="I125" s="1299"/>
      <c r="J125" s="1298"/>
      <c r="K125" s="1382"/>
      <c r="L125" s="1685"/>
    </row>
    <row r="126" spans="1:12" s="1199" customFormat="1" ht="24" customHeight="1">
      <c r="A126" s="1564"/>
      <c r="B126" s="1565" t="s">
        <v>1117</v>
      </c>
      <c r="C126" s="1533"/>
      <c r="D126" s="1534"/>
      <c r="E126" s="1566"/>
      <c r="F126" s="1564"/>
      <c r="G126" s="1516"/>
      <c r="H126" s="1298"/>
      <c r="I126" s="1299"/>
      <c r="J126" s="1298"/>
      <c r="K126" s="1382"/>
      <c r="L126" s="1685"/>
    </row>
    <row r="127" spans="1:12" s="1199" customFormat="1" ht="24" customHeight="1">
      <c r="A127" s="1564"/>
      <c r="B127" s="1565" t="s">
        <v>1896</v>
      </c>
      <c r="C127" s="1533"/>
      <c r="D127" s="1534"/>
      <c r="E127" s="1566"/>
      <c r="F127" s="1564"/>
      <c r="G127" s="1516"/>
      <c r="H127" s="1298"/>
      <c r="I127" s="1299"/>
      <c r="J127" s="1298"/>
      <c r="K127" s="1382"/>
      <c r="L127" s="1685"/>
    </row>
    <row r="128" spans="1:12" s="1199" customFormat="1" ht="24" customHeight="1">
      <c r="A128" s="1449"/>
      <c r="B128" s="1565" t="s">
        <v>1896</v>
      </c>
      <c r="C128" s="1437"/>
      <c r="D128" s="1278"/>
      <c r="E128" s="1651"/>
      <c r="F128" s="1296"/>
      <c r="G128" s="1516"/>
      <c r="H128" s="1298"/>
      <c r="I128" s="1299"/>
      <c r="J128" s="1298"/>
      <c r="K128" s="1382"/>
      <c r="L128" s="1685"/>
    </row>
    <row r="129" spans="1:12" s="1199" customFormat="1" ht="24" customHeight="1">
      <c r="A129" s="1449"/>
      <c r="B129" s="1707"/>
      <c r="C129" s="1437"/>
      <c r="D129" s="1278"/>
      <c r="E129" s="1651"/>
      <c r="F129" s="1296"/>
      <c r="G129" s="1516"/>
      <c r="H129" s="1298"/>
      <c r="I129" s="1299"/>
      <c r="J129" s="1298"/>
      <c r="K129" s="1382"/>
      <c r="L129" s="1685"/>
    </row>
    <row r="130" spans="1:12" s="1199" customFormat="1" ht="24" customHeight="1">
      <c r="A130" s="1578"/>
      <c r="B130" s="2257" t="str">
        <f>"รวมราคารายการที่ "&amp;A110</f>
        <v>รวมราคารายการที่ 6.5</v>
      </c>
      <c r="C130" s="2258"/>
      <c r="D130" s="2259"/>
      <c r="E130" s="1579"/>
      <c r="F130" s="1579"/>
      <c r="G130" s="1580"/>
      <c r="H130" s="1581">
        <f>SUM(H111:H129)</f>
        <v>139240</v>
      </c>
      <c r="I130" s="1582"/>
      <c r="J130" s="1581">
        <f>SUM(J111:J129)</f>
        <v>13924</v>
      </c>
      <c r="K130" s="1583">
        <f>SUM(K111:K129)</f>
        <v>153164</v>
      </c>
      <c r="L130" s="1630"/>
    </row>
    <row r="131" spans="1:12" s="1199" customFormat="1" ht="24" customHeight="1">
      <c r="A131" s="1620">
        <v>6.6</v>
      </c>
      <c r="B131" s="1621" t="s">
        <v>1424</v>
      </c>
      <c r="C131" s="1622"/>
      <c r="D131" s="1623"/>
      <c r="E131" s="1624">
        <v>1</v>
      </c>
      <c r="F131" s="1637" t="s">
        <v>1104</v>
      </c>
      <c r="G131" s="1708" t="s">
        <v>1952</v>
      </c>
      <c r="H131" s="1264"/>
      <c r="I131" s="1299"/>
      <c r="J131" s="1264"/>
      <c r="K131" s="1273"/>
      <c r="L131" s="1685"/>
    </row>
    <row r="132" spans="1:12" s="1199" customFormat="1" ht="24" customHeight="1">
      <c r="A132" s="1564"/>
      <c r="B132" s="1565"/>
      <c r="C132" s="1533"/>
      <c r="D132" s="1534"/>
      <c r="E132" s="1566"/>
      <c r="F132" s="1564"/>
      <c r="G132" s="1516"/>
      <c r="H132" s="1298"/>
      <c r="I132" s="1299"/>
      <c r="J132" s="1298"/>
      <c r="K132" s="1382"/>
      <c r="L132" s="1685"/>
    </row>
    <row r="133" spans="1:12" s="1199" customFormat="1" ht="24" customHeight="1">
      <c r="A133" s="1349"/>
      <c r="B133" s="1615"/>
      <c r="C133" s="1375"/>
      <c r="D133" s="1375"/>
      <c r="E133" s="1616"/>
      <c r="F133" s="1395"/>
      <c r="G133" s="1617"/>
      <c r="H133" s="1709"/>
      <c r="I133" s="1710"/>
      <c r="J133" s="1709"/>
      <c r="K133" s="1711"/>
      <c r="L133" s="1712"/>
    </row>
    <row r="134" spans="1:12" s="1199" customFormat="1" ht="24" customHeight="1">
      <c r="A134" s="1578"/>
      <c r="B134" s="2257" t="str">
        <f>"รวมราคารายการที่ "&amp;A131</f>
        <v>รวมราคารายการที่ 6.6</v>
      </c>
      <c r="C134" s="2258"/>
      <c r="D134" s="2259"/>
      <c r="E134" s="1579"/>
      <c r="F134" s="1579"/>
      <c r="G134" s="1580"/>
      <c r="H134" s="1581">
        <f>SUM(H131:H133)</f>
        <v>0</v>
      </c>
      <c r="I134" s="1582"/>
      <c r="J134" s="1581">
        <f>SUM(J131:J133)</f>
        <v>0</v>
      </c>
      <c r="K134" s="1583">
        <f>SUM(K131:K133)</f>
        <v>0</v>
      </c>
      <c r="L134" s="1630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4:D74"/>
    <mergeCell ref="B84:D84"/>
    <mergeCell ref="B109:D109"/>
    <mergeCell ref="B130:D13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B2-อาคารด้านทิศตะวันตก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0C666-75CE-481D-9236-E1D55DA5C639}">
  <sheetPr>
    <tabColor rgb="FFF42CBB"/>
  </sheetPr>
  <dimension ref="A1:O156"/>
  <sheetViews>
    <sheetView showGridLines="0" view="pageBreakPreview" topLeftCell="A118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87890625" style="1" customWidth="1"/>
    <col min="13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1953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76">
        <v>1</v>
      </c>
      <c r="F12" s="1567" t="s">
        <v>19</v>
      </c>
      <c r="G12" s="1195"/>
      <c r="H12" s="1196">
        <f>H59</f>
        <v>1429869</v>
      </c>
      <c r="I12" s="1197"/>
      <c r="J12" s="1196">
        <f>J59</f>
        <v>618600</v>
      </c>
      <c r="K12" s="1553">
        <f t="shared" ref="K12:K17" si="0">SUM(H12:J12)</f>
        <v>2048469</v>
      </c>
      <c r="L12" s="1627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627"/>
    </row>
    <row r="14" spans="1:12" s="1199" customFormat="1" ht="24" customHeight="1">
      <c r="A14" s="1564">
        <f>A77</f>
        <v>6.3</v>
      </c>
      <c r="B14" s="1565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90090</v>
      </c>
      <c r="I14" s="1197"/>
      <c r="J14" s="1196">
        <f>J84</f>
        <v>41550</v>
      </c>
      <c r="K14" s="1553">
        <f t="shared" si="0"/>
        <v>131640</v>
      </c>
      <c r="L14" s="1627"/>
    </row>
    <row r="15" spans="1:12" s="1199" customFormat="1" ht="24" customHeight="1">
      <c r="A15" s="1642">
        <f>A85</f>
        <v>6.4</v>
      </c>
      <c r="B15" s="1643" t="str">
        <f>B85</f>
        <v>ตู้ดับเพลิงและถังดับเพลิงชนิดมือถือ (Fire Hose Cabinet &amp; Portable Fire Extinguisher)</v>
      </c>
      <c r="C15" s="1607"/>
      <c r="D15" s="1608"/>
      <c r="E15" s="1566">
        <v>1</v>
      </c>
      <c r="F15" s="1610" t="s">
        <v>19</v>
      </c>
      <c r="G15" s="1645"/>
      <c r="H15" s="1646">
        <f>H104</f>
        <v>280500</v>
      </c>
      <c r="I15" s="1647"/>
      <c r="J15" s="1646">
        <f>J104</f>
        <v>17770</v>
      </c>
      <c r="K15" s="1553">
        <f t="shared" si="0"/>
        <v>298270</v>
      </c>
      <c r="L15" s="1648"/>
    </row>
    <row r="16" spans="1:12" s="1199" customFormat="1" ht="24" customHeight="1">
      <c r="A16" s="1572">
        <f>A105</f>
        <v>6.5</v>
      </c>
      <c r="B16" s="1573" t="str">
        <f>B105</f>
        <v>ระบบไฟฟ้าและควบคุม (Electrical &amp; Control System) สำหรับระบบป้องกันอัคคีภัย</v>
      </c>
      <c r="C16" s="1574"/>
      <c r="D16" s="1575"/>
      <c r="E16" s="1566">
        <v>1</v>
      </c>
      <c r="F16" s="1577" t="s">
        <v>19</v>
      </c>
      <c r="G16" s="1228"/>
      <c r="H16" s="1229">
        <f>H123</f>
        <v>42560</v>
      </c>
      <c r="I16" s="1230"/>
      <c r="J16" s="1229">
        <f>J123</f>
        <v>4256</v>
      </c>
      <c r="K16" s="1553">
        <f t="shared" si="0"/>
        <v>46816</v>
      </c>
      <c r="L16" s="1628"/>
    </row>
    <row r="17" spans="1:12" s="1199" customFormat="1" ht="24" customHeight="1">
      <c r="A17" s="1572">
        <f>A124</f>
        <v>6.6</v>
      </c>
      <c r="B17" s="1573" t="str">
        <f>B124</f>
        <v>ระบบป้องกันไฟและควันลาม (Fire Barrier System)</v>
      </c>
      <c r="C17" s="1574"/>
      <c r="D17" s="1575"/>
      <c r="E17" s="1598">
        <v>1</v>
      </c>
      <c r="F17" s="1577" t="s">
        <v>19</v>
      </c>
      <c r="G17" s="1228"/>
      <c r="H17" s="1229">
        <f>H134</f>
        <v>0</v>
      </c>
      <c r="I17" s="1230"/>
      <c r="J17" s="1229">
        <f>J134</f>
        <v>0</v>
      </c>
      <c r="K17" s="1553">
        <f t="shared" si="0"/>
        <v>0</v>
      </c>
      <c r="L17" s="1628"/>
    </row>
    <row r="18" spans="1:12" s="1199" customFormat="1" ht="24" customHeight="1">
      <c r="A18" s="1641"/>
      <c r="B18" s="1573"/>
      <c r="C18" s="1574"/>
      <c r="D18" s="1575"/>
      <c r="E18" s="1598"/>
      <c r="F18" s="1577"/>
      <c r="G18" s="1228"/>
      <c r="H18" s="1229"/>
      <c r="I18" s="1230"/>
      <c r="J18" s="1229"/>
      <c r="K18" s="1553"/>
      <c r="L18" s="1628"/>
    </row>
    <row r="19" spans="1:12" s="1199" customFormat="1" ht="24" customHeight="1">
      <c r="A19" s="1641"/>
      <c r="B19" s="1573"/>
      <c r="C19" s="1574"/>
      <c r="D19" s="1575"/>
      <c r="E19" s="1598"/>
      <c r="F19" s="1577"/>
      <c r="G19" s="1228"/>
      <c r="H19" s="1229"/>
      <c r="I19" s="1230"/>
      <c r="J19" s="1229"/>
      <c r="K19" s="1553"/>
      <c r="L19" s="1628"/>
    </row>
    <row r="20" spans="1:12" s="1199" customFormat="1" ht="24" customHeight="1">
      <c r="A20" s="1641"/>
      <c r="B20" s="1573"/>
      <c r="C20" s="1574"/>
      <c r="D20" s="1575"/>
      <c r="E20" s="1598"/>
      <c r="F20" s="1577"/>
      <c r="G20" s="1228"/>
      <c r="H20" s="1229"/>
      <c r="I20" s="1230"/>
      <c r="J20" s="1229"/>
      <c r="K20" s="1553"/>
      <c r="L20" s="1628"/>
    </row>
    <row r="21" spans="1:12" s="1199" customFormat="1" ht="24" customHeight="1">
      <c r="A21" s="1641"/>
      <c r="B21" s="1573"/>
      <c r="C21" s="1574"/>
      <c r="D21" s="1575"/>
      <c r="E21" s="1598"/>
      <c r="F21" s="1577"/>
      <c r="G21" s="1228"/>
      <c r="H21" s="1229"/>
      <c r="I21" s="1230"/>
      <c r="J21" s="1229"/>
      <c r="K21" s="1553"/>
      <c r="L21" s="1628"/>
    </row>
    <row r="22" spans="1:12" s="1199" customFormat="1" ht="24" customHeight="1">
      <c r="A22" s="1641"/>
      <c r="B22" s="1573"/>
      <c r="C22" s="1574"/>
      <c r="D22" s="1575"/>
      <c r="E22" s="1598"/>
      <c r="F22" s="1577"/>
      <c r="G22" s="1228"/>
      <c r="H22" s="1229"/>
      <c r="I22" s="1230"/>
      <c r="J22" s="1229"/>
      <c r="K22" s="1553"/>
      <c r="L22" s="1628"/>
    </row>
    <row r="23" spans="1:12" s="1199" customFormat="1" ht="24" customHeight="1">
      <c r="A23" s="1641"/>
      <c r="B23" s="1573"/>
      <c r="C23" s="1574"/>
      <c r="D23" s="1575"/>
      <c r="E23" s="1598"/>
      <c r="F23" s="1577"/>
      <c r="G23" s="1228"/>
      <c r="H23" s="1229"/>
      <c r="I23" s="1230"/>
      <c r="J23" s="1229"/>
      <c r="K23" s="1553"/>
      <c r="L23" s="1628"/>
    </row>
    <row r="24" spans="1:12" s="1199" customFormat="1" ht="24" customHeight="1">
      <c r="A24" s="1641"/>
      <c r="B24" s="1573"/>
      <c r="C24" s="1574"/>
      <c r="D24" s="1575"/>
      <c r="E24" s="1598"/>
      <c r="F24" s="1577"/>
      <c r="G24" s="1228"/>
      <c r="H24" s="1229"/>
      <c r="I24" s="1230"/>
      <c r="J24" s="1229"/>
      <c r="K24" s="1553"/>
      <c r="L24" s="1628"/>
    </row>
    <row r="25" spans="1:12" s="1199" customFormat="1" ht="24" customHeight="1">
      <c r="A25" s="1641"/>
      <c r="B25" s="1573"/>
      <c r="C25" s="1574"/>
      <c r="D25" s="1575"/>
      <c r="E25" s="1598"/>
      <c r="F25" s="1577"/>
      <c r="G25" s="1228"/>
      <c r="H25" s="1229"/>
      <c r="I25" s="1230"/>
      <c r="J25" s="1229"/>
      <c r="K25" s="1553"/>
      <c r="L25" s="1628"/>
    </row>
    <row r="26" spans="1:12" s="1199" customFormat="1" ht="24" customHeight="1">
      <c r="A26" s="1641"/>
      <c r="B26" s="1573"/>
      <c r="C26" s="1574"/>
      <c r="D26" s="1575"/>
      <c r="E26" s="1598"/>
      <c r="F26" s="1577"/>
      <c r="G26" s="1228"/>
      <c r="H26" s="1229"/>
      <c r="I26" s="1230"/>
      <c r="J26" s="1229"/>
      <c r="K26" s="1553"/>
      <c r="L26" s="1628"/>
    </row>
    <row r="27" spans="1:12" s="1199" customFormat="1" ht="24" customHeight="1">
      <c r="A27" s="1641"/>
      <c r="B27" s="1573"/>
      <c r="C27" s="1574"/>
      <c r="D27" s="1575"/>
      <c r="E27" s="1598"/>
      <c r="F27" s="1577"/>
      <c r="G27" s="1228"/>
      <c r="H27" s="1229"/>
      <c r="I27" s="1230"/>
      <c r="J27" s="1229"/>
      <c r="K27" s="1553"/>
      <c r="L27" s="1628"/>
    </row>
    <row r="28" spans="1:12" s="1199" customFormat="1" ht="24" customHeight="1">
      <c r="A28" s="1641"/>
      <c r="B28" s="1573"/>
      <c r="C28" s="1574"/>
      <c r="D28" s="1575"/>
      <c r="E28" s="1598"/>
      <c r="F28" s="1577"/>
      <c r="G28" s="1228"/>
      <c r="H28" s="1229"/>
      <c r="I28" s="1230"/>
      <c r="J28" s="1229"/>
      <c r="K28" s="1553"/>
      <c r="L28" s="1628"/>
    </row>
    <row r="29" spans="1:12" s="1199" customFormat="1" ht="24" customHeight="1">
      <c r="A29" s="1641"/>
      <c r="B29" s="1573"/>
      <c r="C29" s="1574"/>
      <c r="D29" s="1575"/>
      <c r="E29" s="1598"/>
      <c r="F29" s="1577"/>
      <c r="G29" s="1228"/>
      <c r="H29" s="1229"/>
      <c r="I29" s="1230"/>
      <c r="J29" s="1229"/>
      <c r="K29" s="1553"/>
      <c r="L29" s="1628"/>
    </row>
    <row r="30" spans="1:12" s="1199" customFormat="1" ht="24" customHeight="1">
      <c r="A30" s="1641"/>
      <c r="B30" s="1573"/>
      <c r="C30" s="1574"/>
      <c r="D30" s="1575"/>
      <c r="E30" s="1598"/>
      <c r="F30" s="1577"/>
      <c r="G30" s="1228"/>
      <c r="H30" s="1229"/>
      <c r="I30" s="1230"/>
      <c r="J30" s="1229"/>
      <c r="K30" s="1553"/>
      <c r="L30" s="1628"/>
    </row>
    <row r="31" spans="1:12" s="1199" customFormat="1" ht="24" customHeight="1">
      <c r="A31" s="1641"/>
      <c r="B31" s="1573"/>
      <c r="C31" s="1574"/>
      <c r="D31" s="1575"/>
      <c r="E31" s="1598"/>
      <c r="F31" s="1577"/>
      <c r="G31" s="1228"/>
      <c r="H31" s="1229"/>
      <c r="I31" s="1230"/>
      <c r="J31" s="1229"/>
      <c r="K31" s="1553"/>
      <c r="L31" s="1628"/>
    </row>
    <row r="32" spans="1:12" s="1199" customFormat="1" ht="24" customHeight="1">
      <c r="A32" s="1641"/>
      <c r="B32" s="1573"/>
      <c r="C32" s="1574"/>
      <c r="D32" s="1575"/>
      <c r="E32" s="1598"/>
      <c r="F32" s="1577"/>
      <c r="G32" s="1228"/>
      <c r="H32" s="1229"/>
      <c r="I32" s="1230"/>
      <c r="J32" s="1229"/>
      <c r="K32" s="1553"/>
      <c r="L32" s="1628"/>
    </row>
    <row r="33" spans="1:14" s="1199" customFormat="1" ht="24" customHeight="1">
      <c r="A33" s="1641"/>
      <c r="B33" s="1573"/>
      <c r="C33" s="1574"/>
      <c r="D33" s="1575"/>
      <c r="E33" s="1598"/>
      <c r="F33" s="1577"/>
      <c r="G33" s="1228"/>
      <c r="H33" s="1229"/>
      <c r="I33" s="1230"/>
      <c r="J33" s="1229"/>
      <c r="K33" s="1553"/>
      <c r="L33" s="1628"/>
    </row>
    <row r="34" spans="1:14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B1</v>
      </c>
      <c r="C34" s="2258"/>
      <c r="D34" s="2259"/>
      <c r="E34" s="1579"/>
      <c r="F34" s="1579"/>
      <c r="G34" s="1580"/>
      <c r="H34" s="1581">
        <f>SUM(H12:H33)</f>
        <v>2055951</v>
      </c>
      <c r="I34" s="1582"/>
      <c r="J34" s="1581">
        <f>SUM(J12:J33)</f>
        <v>696176</v>
      </c>
      <c r="K34" s="1583">
        <f>SUM(K12:K33)</f>
        <v>2752127</v>
      </c>
      <c r="L34" s="1630"/>
    </row>
    <row r="35" spans="1:14" s="1199" customFormat="1" ht="24" customHeight="1">
      <c r="A35" s="1564"/>
      <c r="B35" s="1568" t="s">
        <v>1024</v>
      </c>
      <c r="C35" s="1533"/>
      <c r="D35" s="1534"/>
      <c r="E35" s="1566"/>
      <c r="F35" s="1567"/>
      <c r="G35" s="1516"/>
      <c r="H35" s="1264"/>
      <c r="I35" s="1265"/>
      <c r="J35" s="1264"/>
      <c r="K35" s="1273"/>
      <c r="L35" s="1635"/>
    </row>
    <row r="36" spans="1:14" s="1199" customFormat="1" ht="24" customHeight="1">
      <c r="A36" s="1620" t="s">
        <v>1899</v>
      </c>
      <c r="B36" s="1621" t="s">
        <v>1860</v>
      </c>
      <c r="C36" s="1656"/>
      <c r="D36" s="1623"/>
      <c r="E36" s="1624"/>
      <c r="F36" s="1625"/>
      <c r="G36" s="1357"/>
      <c r="H36" s="1298"/>
      <c r="I36" s="1299"/>
      <c r="J36" s="1298"/>
      <c r="K36" s="1382"/>
      <c r="L36" s="1638"/>
    </row>
    <row r="37" spans="1:14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4" s="1199" customFormat="1" ht="24" customHeight="1">
      <c r="A38" s="1564"/>
      <c r="B38" s="1565" t="s">
        <v>1901</v>
      </c>
      <c r="C38" s="1533"/>
      <c r="D38" s="1534"/>
      <c r="E38" s="1688">
        <v>1110</v>
      </c>
      <c r="F38" s="1567" t="s">
        <v>226</v>
      </c>
      <c r="G38" s="1516">
        <v>78</v>
      </c>
      <c r="H38" s="1264">
        <f t="shared" ref="H38:H51" si="1">ROUND(E38*G38,)</f>
        <v>86580</v>
      </c>
      <c r="I38" s="1265">
        <v>45</v>
      </c>
      <c r="J38" s="1264">
        <f t="shared" ref="J38:J51" si="2">ROUND(I38*E38,)</f>
        <v>49950</v>
      </c>
      <c r="K38" s="1273">
        <f t="shared" ref="K38:K51" si="3">H38+J38</f>
        <v>136530</v>
      </c>
      <c r="L38" s="1273"/>
    </row>
    <row r="39" spans="1:14" s="1199" customFormat="1" ht="24" customHeight="1">
      <c r="A39" s="1564"/>
      <c r="B39" s="1565" t="s">
        <v>1338</v>
      </c>
      <c r="C39" s="1533"/>
      <c r="D39" s="1534"/>
      <c r="E39" s="1688">
        <v>367</v>
      </c>
      <c r="F39" s="1567" t="s">
        <v>226</v>
      </c>
      <c r="G39" s="1516">
        <v>105</v>
      </c>
      <c r="H39" s="1264">
        <f t="shared" si="1"/>
        <v>38535</v>
      </c>
      <c r="I39" s="1299">
        <v>60</v>
      </c>
      <c r="J39" s="1264">
        <f t="shared" si="2"/>
        <v>22020</v>
      </c>
      <c r="K39" s="1273">
        <f t="shared" si="3"/>
        <v>60555</v>
      </c>
      <c r="L39" s="1382"/>
    </row>
    <row r="40" spans="1:14" s="1199" customFormat="1" ht="24" customHeight="1">
      <c r="A40" s="1564"/>
      <c r="B40" s="1565" t="s">
        <v>1339</v>
      </c>
      <c r="C40" s="1533"/>
      <c r="D40" s="1534"/>
      <c r="E40" s="1688">
        <v>540</v>
      </c>
      <c r="F40" s="1567" t="s">
        <v>226</v>
      </c>
      <c r="G40" s="1661">
        <v>126</v>
      </c>
      <c r="H40" s="1264">
        <f t="shared" si="1"/>
        <v>68040</v>
      </c>
      <c r="I40" s="1589">
        <v>70</v>
      </c>
      <c r="J40" s="1264">
        <f t="shared" si="2"/>
        <v>37800</v>
      </c>
      <c r="K40" s="1273">
        <f t="shared" si="3"/>
        <v>105840</v>
      </c>
      <c r="L40" s="1382"/>
    </row>
    <row r="41" spans="1:14" s="1199" customFormat="1" ht="24" customHeight="1">
      <c r="A41" s="1564"/>
      <c r="B41" s="1565" t="s">
        <v>1340</v>
      </c>
      <c r="C41" s="1533"/>
      <c r="D41" s="1534"/>
      <c r="E41" s="1688">
        <v>521</v>
      </c>
      <c r="F41" s="1567" t="s">
        <v>226</v>
      </c>
      <c r="G41" s="1661">
        <v>169</v>
      </c>
      <c r="H41" s="1264">
        <f t="shared" si="1"/>
        <v>88049</v>
      </c>
      <c r="I41" s="1589">
        <v>95</v>
      </c>
      <c r="J41" s="1264">
        <f t="shared" si="2"/>
        <v>49495</v>
      </c>
      <c r="K41" s="1273">
        <f t="shared" si="3"/>
        <v>137544</v>
      </c>
      <c r="L41" s="1382"/>
    </row>
    <row r="42" spans="1:14" s="1199" customFormat="1" ht="24" customHeight="1">
      <c r="A42" s="1564"/>
      <c r="B42" s="1565" t="s">
        <v>1341</v>
      </c>
      <c r="C42" s="1533"/>
      <c r="D42" s="1534"/>
      <c r="E42" s="1688">
        <v>139</v>
      </c>
      <c r="F42" s="1567" t="s">
        <v>226</v>
      </c>
      <c r="G42" s="1661">
        <v>268</v>
      </c>
      <c r="H42" s="1264">
        <f t="shared" si="1"/>
        <v>37252</v>
      </c>
      <c r="I42" s="1589">
        <v>150</v>
      </c>
      <c r="J42" s="1264">
        <f t="shared" si="2"/>
        <v>20850</v>
      </c>
      <c r="K42" s="1273">
        <f t="shared" si="3"/>
        <v>58102</v>
      </c>
      <c r="L42" s="1382"/>
    </row>
    <row r="43" spans="1:14" s="1199" customFormat="1" ht="24" customHeight="1">
      <c r="A43" s="1564"/>
      <c r="B43" s="1565" t="s">
        <v>1342</v>
      </c>
      <c r="C43" s="1533"/>
      <c r="D43" s="1534"/>
      <c r="E43" s="1688">
        <v>111</v>
      </c>
      <c r="F43" s="1567" t="s">
        <v>226</v>
      </c>
      <c r="G43" s="1661">
        <v>350</v>
      </c>
      <c r="H43" s="1264">
        <f t="shared" si="1"/>
        <v>38850</v>
      </c>
      <c r="I43" s="1589">
        <v>200</v>
      </c>
      <c r="J43" s="1264">
        <f t="shared" si="2"/>
        <v>22200</v>
      </c>
      <c r="K43" s="1273">
        <f t="shared" si="3"/>
        <v>61050</v>
      </c>
      <c r="L43" s="1382"/>
    </row>
    <row r="44" spans="1:14" s="1199" customFormat="1" ht="24" customHeight="1">
      <c r="A44" s="1564"/>
      <c r="B44" s="1565" t="s">
        <v>1759</v>
      </c>
      <c r="C44" s="1533"/>
      <c r="D44" s="1534"/>
      <c r="E44" s="1688">
        <v>343</v>
      </c>
      <c r="F44" s="1567" t="s">
        <v>226</v>
      </c>
      <c r="G44" s="1661">
        <v>499</v>
      </c>
      <c r="H44" s="1264">
        <f t="shared" si="1"/>
        <v>171157</v>
      </c>
      <c r="I44" s="1589">
        <v>280</v>
      </c>
      <c r="J44" s="1264">
        <f t="shared" si="2"/>
        <v>96040</v>
      </c>
      <c r="K44" s="1273">
        <f t="shared" si="3"/>
        <v>267197</v>
      </c>
      <c r="L44" s="1382"/>
    </row>
    <row r="45" spans="1:14" s="1199" customFormat="1" ht="24" customHeight="1">
      <c r="A45" s="1564"/>
      <c r="B45" s="1565" t="s">
        <v>1754</v>
      </c>
      <c r="C45" s="1533"/>
      <c r="D45" s="1534"/>
      <c r="E45" s="1688">
        <v>208</v>
      </c>
      <c r="F45" s="1567" t="s">
        <v>226</v>
      </c>
      <c r="G45" s="1661">
        <v>877</v>
      </c>
      <c r="H45" s="1264">
        <f t="shared" si="1"/>
        <v>182416</v>
      </c>
      <c r="I45" s="1589">
        <v>500</v>
      </c>
      <c r="J45" s="1264">
        <f t="shared" si="2"/>
        <v>104000</v>
      </c>
      <c r="K45" s="1273">
        <f t="shared" si="3"/>
        <v>286416</v>
      </c>
      <c r="L45" s="1382"/>
    </row>
    <row r="46" spans="1:14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  <c r="N46" s="1691"/>
    </row>
    <row r="47" spans="1:14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4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284352</v>
      </c>
      <c r="H48" s="1264">
        <f t="shared" si="1"/>
        <v>284352</v>
      </c>
      <c r="I48" s="1589">
        <f>ROUND(G48*0.3,)</f>
        <v>85306</v>
      </c>
      <c r="J48" s="1264">
        <f t="shared" si="2"/>
        <v>85306</v>
      </c>
      <c r="K48" s="1273">
        <f t="shared" si="3"/>
        <v>369658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142176</v>
      </c>
      <c r="H49" s="1264">
        <f t="shared" si="1"/>
        <v>142176</v>
      </c>
      <c r="I49" s="1589">
        <f>ROUND(G49*0.3,)</f>
        <v>42653</v>
      </c>
      <c r="J49" s="1264">
        <f t="shared" si="2"/>
        <v>42653</v>
      </c>
      <c r="K49" s="1273">
        <f t="shared" si="3"/>
        <v>184829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71088</v>
      </c>
      <c r="H50" s="1264">
        <f t="shared" si="1"/>
        <v>71088</v>
      </c>
      <c r="I50" s="1589">
        <f>ROUND(G50*0.3,)</f>
        <v>21326</v>
      </c>
      <c r="J50" s="1264">
        <f t="shared" si="2"/>
        <v>21326</v>
      </c>
      <c r="K50" s="1273">
        <f t="shared" si="3"/>
        <v>92414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213264</v>
      </c>
      <c r="H51" s="1264">
        <f t="shared" si="1"/>
        <v>213264</v>
      </c>
      <c r="I51" s="1589">
        <f>ROUND(G51*0.3,)</f>
        <v>63979</v>
      </c>
      <c r="J51" s="1264">
        <f t="shared" si="2"/>
        <v>63979</v>
      </c>
      <c r="K51" s="1273">
        <f t="shared" si="3"/>
        <v>277243</v>
      </c>
      <c r="L51" s="1382"/>
    </row>
    <row r="52" spans="1:15" s="1199" customFormat="1" ht="24" customHeight="1">
      <c r="A52" s="1564"/>
      <c r="B52" s="1597"/>
      <c r="C52" s="1533"/>
      <c r="D52" s="1534"/>
      <c r="E52" s="1566"/>
      <c r="F52" s="1567"/>
      <c r="G52" s="1516"/>
      <c r="H52" s="1264"/>
      <c r="I52" s="1265"/>
      <c r="J52" s="1264"/>
      <c r="K52" s="1273"/>
      <c r="L52" s="1638"/>
    </row>
    <row r="53" spans="1:15" s="1199" customFormat="1" ht="24" customHeight="1">
      <c r="A53" s="1564" t="s">
        <v>1868</v>
      </c>
      <c r="B53" s="1565" t="s">
        <v>1869</v>
      </c>
      <c r="C53" s="1533"/>
      <c r="D53" s="1534"/>
      <c r="E53" s="1566"/>
      <c r="F53" s="1567"/>
      <c r="G53" s="1516"/>
      <c r="H53" s="1298"/>
      <c r="I53" s="1299"/>
      <c r="J53" s="1298"/>
      <c r="K53" s="1382"/>
      <c r="L53" s="1382"/>
    </row>
    <row r="54" spans="1:15" s="1199" customFormat="1" ht="24" customHeight="1">
      <c r="A54" s="1564"/>
      <c r="B54" s="1565" t="s">
        <v>1901</v>
      </c>
      <c r="C54" s="1533"/>
      <c r="D54" s="1534"/>
      <c r="E54" s="825">
        <v>5</v>
      </c>
      <c r="F54" s="1567" t="s">
        <v>226</v>
      </c>
      <c r="G54" s="1516">
        <v>124</v>
      </c>
      <c r="H54" s="1264">
        <f>ROUND(E54*G54,)</f>
        <v>620</v>
      </c>
      <c r="I54" s="1265">
        <v>50</v>
      </c>
      <c r="J54" s="1264">
        <f t="shared" ref="J54:J55" si="4">ROUND(I54*E54,)</f>
        <v>250</v>
      </c>
      <c r="K54" s="1273">
        <f t="shared" ref="K54:K55" si="5">H54+J54</f>
        <v>870</v>
      </c>
      <c r="L54" s="2082" t="s">
        <v>2667</v>
      </c>
      <c r="N54" s="1199">
        <v>745.96</v>
      </c>
      <c r="O54" s="1199">
        <f>ROUND(N54/6,)</f>
        <v>124</v>
      </c>
    </row>
    <row r="55" spans="1:15" s="1199" customFormat="1" ht="24" customHeight="1">
      <c r="A55" s="1564"/>
      <c r="B55" s="1565" t="s">
        <v>1340</v>
      </c>
      <c r="C55" s="1533"/>
      <c r="D55" s="1534"/>
      <c r="E55" s="825">
        <v>15</v>
      </c>
      <c r="F55" s="1567" t="s">
        <v>226</v>
      </c>
      <c r="G55" s="1516">
        <v>259</v>
      </c>
      <c r="H55" s="1264">
        <f t="shared" ref="H55" si="6">ROUND(E55*G55,)</f>
        <v>3885</v>
      </c>
      <c r="I55" s="1299">
        <v>110</v>
      </c>
      <c r="J55" s="1264">
        <f t="shared" si="4"/>
        <v>1650</v>
      </c>
      <c r="K55" s="1273">
        <f t="shared" si="5"/>
        <v>5535</v>
      </c>
      <c r="L55" s="2082" t="s">
        <v>2667</v>
      </c>
      <c r="N55" s="1199">
        <v>1554.48</v>
      </c>
      <c r="O55" s="1199">
        <f>ROUND(N55/6,)</f>
        <v>259</v>
      </c>
    </row>
    <row r="56" spans="1:15" s="1199" customFormat="1" ht="24" customHeight="1">
      <c r="A56" s="1564"/>
      <c r="B56" s="1565" t="s">
        <v>1719</v>
      </c>
      <c r="C56" s="1533"/>
      <c r="D56" s="1534"/>
      <c r="E56" s="1686">
        <v>1</v>
      </c>
      <c r="F56" s="1402" t="s">
        <v>1104</v>
      </c>
      <c r="G56" s="1661">
        <f>ROUND(SUM(H54:H55)*50%,)</f>
        <v>2253</v>
      </c>
      <c r="H56" s="1264">
        <f>ROUND(E56*G56,)</f>
        <v>2253</v>
      </c>
      <c r="I56" s="1589">
        <f>ROUND(G56*0.3,)</f>
        <v>676</v>
      </c>
      <c r="J56" s="1264">
        <f>ROUND(I56*E56,)</f>
        <v>676</v>
      </c>
      <c r="K56" s="1273">
        <f>H56+J56</f>
        <v>2929</v>
      </c>
      <c r="L56" s="1382"/>
    </row>
    <row r="57" spans="1:15" s="1199" customFormat="1" ht="24" customHeight="1">
      <c r="A57" s="1564"/>
      <c r="B57" s="1565" t="s">
        <v>1720</v>
      </c>
      <c r="C57" s="1533"/>
      <c r="D57" s="1534"/>
      <c r="E57" s="1686">
        <v>1</v>
      </c>
      <c r="F57" s="1402" t="s">
        <v>1104</v>
      </c>
      <c r="G57" s="1661">
        <f>ROUND(SUM(H54:H55)*20%,)</f>
        <v>901</v>
      </c>
      <c r="H57" s="1264">
        <f>ROUND(E57*G57,)</f>
        <v>901</v>
      </c>
      <c r="I57" s="1589">
        <f>ROUND(G57*0.3,)</f>
        <v>270</v>
      </c>
      <c r="J57" s="1264">
        <f>ROUND(I57*E57,)</f>
        <v>270</v>
      </c>
      <c r="K57" s="1273">
        <f>H57+J57</f>
        <v>1171</v>
      </c>
      <c r="L57" s="1382"/>
    </row>
    <row r="58" spans="1:15" s="1199" customFormat="1" ht="24" customHeight="1">
      <c r="A58" s="1564"/>
      <c r="B58" s="1565" t="s">
        <v>1721</v>
      </c>
      <c r="C58" s="1533"/>
      <c r="D58" s="1534"/>
      <c r="E58" s="1686">
        <v>1</v>
      </c>
      <c r="F58" s="1402" t="s">
        <v>1104</v>
      </c>
      <c r="G58" s="1661">
        <f>ROUND(SUM(H54:H55)*10%,)</f>
        <v>451</v>
      </c>
      <c r="H58" s="1264">
        <f>ROUND(E58*G58,)</f>
        <v>451</v>
      </c>
      <c r="I58" s="1589">
        <f>ROUND(G58*0.3,)</f>
        <v>135</v>
      </c>
      <c r="J58" s="1264">
        <f>ROUND(I58*E58,)</f>
        <v>135</v>
      </c>
      <c r="K58" s="1273">
        <f>H58+J58</f>
        <v>586</v>
      </c>
      <c r="L58" s="1382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SUM(H36:H58)</f>
        <v>1429869</v>
      </c>
      <c r="I59" s="1582"/>
      <c r="J59" s="1581">
        <f>SUM(J36:J58)</f>
        <v>618600</v>
      </c>
      <c r="K59" s="1583">
        <f>SUM(K36:K58)</f>
        <v>2048469</v>
      </c>
      <c r="L59" s="1630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638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65" t="s">
        <v>1896</v>
      </c>
      <c r="C75" s="1533"/>
      <c r="D75" s="1534"/>
      <c r="E75" s="1566"/>
      <c r="F75" s="1567"/>
      <c r="G75" s="1516"/>
      <c r="H75" s="1298"/>
      <c r="I75" s="1299"/>
      <c r="J75" s="1298"/>
      <c r="K75" s="1382"/>
      <c r="L75" s="1638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SUM(H61:H75)</f>
        <v>212932</v>
      </c>
      <c r="I76" s="1582"/>
      <c r="J76" s="1581">
        <f>SUM(J61:J75)</f>
        <v>14000</v>
      </c>
      <c r="K76" s="1583">
        <f>SUM(K61:K75)</f>
        <v>226932</v>
      </c>
      <c r="L76" s="1630"/>
    </row>
    <row r="77" spans="1:12" s="1199" customFormat="1" ht="24" customHeight="1">
      <c r="A77" s="1620">
        <v>6.3</v>
      </c>
      <c r="B77" s="1621" t="s">
        <v>1907</v>
      </c>
      <c r="C77" s="1622"/>
      <c r="D77" s="1623"/>
      <c r="E77" s="1624"/>
      <c r="F77" s="1637"/>
      <c r="G77" s="1516"/>
      <c r="H77" s="1298"/>
      <c r="I77" s="1299"/>
      <c r="J77" s="1298"/>
      <c r="K77" s="1382"/>
      <c r="L77" s="1638"/>
    </row>
    <row r="78" spans="1:12" s="1199" customFormat="1" ht="24" customHeight="1">
      <c r="A78" s="1564" t="s">
        <v>1908</v>
      </c>
      <c r="B78" s="1565" t="s">
        <v>1909</v>
      </c>
      <c r="C78" s="1533"/>
      <c r="D78" s="1534"/>
      <c r="E78" s="1566">
        <v>24</v>
      </c>
      <c r="F78" s="1564" t="s">
        <v>363</v>
      </c>
      <c r="G78" s="1516">
        <v>110</v>
      </c>
      <c r="H78" s="1264">
        <f>ROUND(E78*G78,)</f>
        <v>2640</v>
      </c>
      <c r="I78" s="1299">
        <v>75</v>
      </c>
      <c r="J78" s="1264">
        <f>ROUND(I78*E78,)</f>
        <v>1800</v>
      </c>
      <c r="K78" s="1273">
        <f>H78+J78</f>
        <v>4440</v>
      </c>
      <c r="L78" s="1382"/>
    </row>
    <row r="79" spans="1:12" s="1199" customFormat="1" ht="24" customHeight="1">
      <c r="A79" s="1564" t="s">
        <v>1910</v>
      </c>
      <c r="B79" s="1565" t="s">
        <v>1911</v>
      </c>
      <c r="C79" s="1533"/>
      <c r="D79" s="1534"/>
      <c r="E79" s="1566"/>
      <c r="F79" s="1564" t="s">
        <v>363</v>
      </c>
      <c r="G79" s="1516"/>
      <c r="H79" s="1264">
        <f>ROUND(E79*G79,)</f>
        <v>0</v>
      </c>
      <c r="I79" s="1299"/>
      <c r="J79" s="1264">
        <f>ROUND(I79*E79,)</f>
        <v>0</v>
      </c>
      <c r="K79" s="1273">
        <f>H79+J79</f>
        <v>0</v>
      </c>
      <c r="L79" s="1382"/>
    </row>
    <row r="80" spans="1:12" s="1199" customFormat="1" ht="24" customHeight="1">
      <c r="A80" s="1564" t="s">
        <v>1912</v>
      </c>
      <c r="B80" s="1565" t="s">
        <v>1913</v>
      </c>
      <c r="C80" s="1533"/>
      <c r="D80" s="1534"/>
      <c r="E80" s="1566">
        <v>795</v>
      </c>
      <c r="F80" s="1564" t="s">
        <v>363</v>
      </c>
      <c r="G80" s="1516">
        <v>110</v>
      </c>
      <c r="H80" s="1264">
        <f>ROUND(E80*G80,)</f>
        <v>87450</v>
      </c>
      <c r="I80" s="1299">
        <v>50</v>
      </c>
      <c r="J80" s="1264">
        <f>ROUND(I80*E80,)</f>
        <v>39750</v>
      </c>
      <c r="K80" s="1273">
        <f>H80+J80</f>
        <v>127200</v>
      </c>
      <c r="L80" s="1382"/>
    </row>
    <row r="81" spans="1:12" s="1199" customFormat="1" ht="24" customHeight="1">
      <c r="A81" s="1564" t="s">
        <v>1914</v>
      </c>
      <c r="B81" s="1565" t="s">
        <v>1915</v>
      </c>
      <c r="C81" s="1533"/>
      <c r="D81" s="1534"/>
      <c r="E81" s="1566"/>
      <c r="F81" s="1564" t="s">
        <v>363</v>
      </c>
      <c r="G81" s="1516"/>
      <c r="H81" s="1298"/>
      <c r="I81" s="1299"/>
      <c r="J81" s="1298"/>
      <c r="K81" s="1382"/>
      <c r="L81" s="1382"/>
    </row>
    <row r="82" spans="1:12" s="1199" customFormat="1" ht="24" customHeight="1">
      <c r="A82" s="1564" t="s">
        <v>1916</v>
      </c>
      <c r="B82" s="1565" t="s">
        <v>1917</v>
      </c>
      <c r="C82" s="1533"/>
      <c r="D82" s="1534"/>
      <c r="E82" s="1566"/>
      <c r="F82" s="1564" t="s">
        <v>363</v>
      </c>
      <c r="G82" s="1516"/>
      <c r="H82" s="1298"/>
      <c r="I82" s="1299"/>
      <c r="J82" s="1298"/>
      <c r="K82" s="1382"/>
      <c r="L82" s="1382"/>
    </row>
    <row r="83" spans="1:12" s="1199" customFormat="1" ht="24" customHeight="1">
      <c r="A83" s="1564"/>
      <c r="B83" s="1565"/>
      <c r="C83" s="1533"/>
      <c r="D83" s="1534"/>
      <c r="E83" s="1566"/>
      <c r="F83" s="1564"/>
      <c r="G83" s="1516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90090</v>
      </c>
      <c r="I84" s="1582"/>
      <c r="J84" s="1581">
        <f>SUM(J78:J83)</f>
        <v>41550</v>
      </c>
      <c r="K84" s="1583">
        <f>SUM(K78:K83)</f>
        <v>131640</v>
      </c>
      <c r="L84" s="1630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713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2</v>
      </c>
      <c r="F87" s="1564" t="s">
        <v>363</v>
      </c>
      <c r="G87" s="1558">
        <v>6500</v>
      </c>
      <c r="H87" s="1264">
        <f t="shared" ref="H87:H92" si="7">ROUND(E87*G87,)</f>
        <v>13000</v>
      </c>
      <c r="I87" s="1265">
        <f>G87*0.3</f>
        <v>1950</v>
      </c>
      <c r="J87" s="1264">
        <f>ROUND(I87*E87,)</f>
        <v>3900</v>
      </c>
      <c r="K87" s="1273">
        <f t="shared" ref="K87:K92" si="8">H87+J87</f>
        <v>16900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2</v>
      </c>
      <c r="F88" s="1572" t="s">
        <v>363</v>
      </c>
      <c r="G88" s="1694">
        <v>1200</v>
      </c>
      <c r="H88" s="1264">
        <f t="shared" si="7"/>
        <v>2400</v>
      </c>
      <c r="I88" s="1265" t="s">
        <v>1683</v>
      </c>
      <c r="J88" s="1264"/>
      <c r="K88" s="1273">
        <f t="shared" si="8"/>
        <v>2400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2</v>
      </c>
      <c r="F89" s="1564" t="s">
        <v>363</v>
      </c>
      <c r="G89" s="1558">
        <v>19200</v>
      </c>
      <c r="H89" s="1264">
        <f t="shared" si="7"/>
        <v>38400</v>
      </c>
      <c r="I89" s="1265" t="s">
        <v>1683</v>
      </c>
      <c r="J89" s="1264"/>
      <c r="K89" s="1273">
        <f t="shared" si="8"/>
        <v>38400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2</v>
      </c>
      <c r="F90" s="1564" t="s">
        <v>363</v>
      </c>
      <c r="G90" s="1558">
        <v>4910</v>
      </c>
      <c r="H90" s="1264">
        <f t="shared" si="7"/>
        <v>9820</v>
      </c>
      <c r="I90" s="1265" t="s">
        <v>1683</v>
      </c>
      <c r="J90" s="1264"/>
      <c r="K90" s="1273">
        <f t="shared" si="8"/>
        <v>9820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2</v>
      </c>
      <c r="F91" s="1564" t="s">
        <v>363</v>
      </c>
      <c r="G91" s="1558">
        <v>1420</v>
      </c>
      <c r="H91" s="1264">
        <f t="shared" si="7"/>
        <v>2840</v>
      </c>
      <c r="I91" s="1265" t="s">
        <v>1683</v>
      </c>
      <c r="J91" s="1264"/>
      <c r="K91" s="1273">
        <f t="shared" si="8"/>
        <v>2840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2</v>
      </c>
      <c r="F92" s="1564" t="s">
        <v>363</v>
      </c>
      <c r="G92" s="1558">
        <v>720</v>
      </c>
      <c r="H92" s="1264">
        <f t="shared" si="7"/>
        <v>1440</v>
      </c>
      <c r="I92" s="1265" t="s">
        <v>1683</v>
      </c>
      <c r="J92" s="1264"/>
      <c r="K92" s="1273">
        <f t="shared" si="8"/>
        <v>1440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6</v>
      </c>
      <c r="F94" s="1564" t="s">
        <v>363</v>
      </c>
      <c r="G94" s="1558">
        <f>6500*1.1</f>
        <v>7150.0000000000009</v>
      </c>
      <c r="H94" s="1264">
        <f t="shared" ref="H94:H99" si="9">ROUND(E94*G94,)</f>
        <v>42900</v>
      </c>
      <c r="I94" s="1265">
        <f>G94*0.3</f>
        <v>2145</v>
      </c>
      <c r="J94" s="1264">
        <f>ROUND(I94*E94,)</f>
        <v>12870</v>
      </c>
      <c r="K94" s="1273">
        <f t="shared" ref="K94:K99" si="10">H94+J94</f>
        <v>55770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6</v>
      </c>
      <c r="F95" s="1572" t="s">
        <v>363</v>
      </c>
      <c r="G95" s="1694">
        <v>1200</v>
      </c>
      <c r="H95" s="1264">
        <f t="shared" si="9"/>
        <v>7200</v>
      </c>
      <c r="I95" s="1265" t="s">
        <v>1683</v>
      </c>
      <c r="J95" s="1264"/>
      <c r="K95" s="1273">
        <f t="shared" si="10"/>
        <v>7200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6</v>
      </c>
      <c r="F96" s="1564" t="s">
        <v>363</v>
      </c>
      <c r="G96" s="1558">
        <v>19200</v>
      </c>
      <c r="H96" s="1264">
        <f t="shared" si="9"/>
        <v>115200</v>
      </c>
      <c r="I96" s="1265" t="s">
        <v>1683</v>
      </c>
      <c r="J96" s="1264"/>
      <c r="K96" s="1273">
        <f t="shared" si="10"/>
        <v>115200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6</v>
      </c>
      <c r="F97" s="1564" t="s">
        <v>363</v>
      </c>
      <c r="G97" s="1558">
        <v>4910</v>
      </c>
      <c r="H97" s="1264">
        <f t="shared" si="9"/>
        <v>29460</v>
      </c>
      <c r="I97" s="1265" t="s">
        <v>1683</v>
      </c>
      <c r="J97" s="1264"/>
      <c r="K97" s="1273">
        <f t="shared" si="10"/>
        <v>29460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6</v>
      </c>
      <c r="F98" s="1564" t="s">
        <v>363</v>
      </c>
      <c r="G98" s="1558">
        <v>1420</v>
      </c>
      <c r="H98" s="1264">
        <f t="shared" si="9"/>
        <v>8520</v>
      </c>
      <c r="I98" s="1265" t="s">
        <v>1683</v>
      </c>
      <c r="J98" s="1264"/>
      <c r="K98" s="1273">
        <f t="shared" si="10"/>
        <v>8520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6</v>
      </c>
      <c r="F99" s="1564" t="s">
        <v>363</v>
      </c>
      <c r="G99" s="1558">
        <v>720</v>
      </c>
      <c r="H99" s="1264">
        <f t="shared" si="9"/>
        <v>4320</v>
      </c>
      <c r="I99" s="1265" t="s">
        <v>1683</v>
      </c>
      <c r="J99" s="1264"/>
      <c r="K99" s="1273">
        <f t="shared" si="10"/>
        <v>4320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5</v>
      </c>
      <c r="F101" s="1564" t="s">
        <v>363</v>
      </c>
      <c r="G101" s="1558">
        <v>1000</v>
      </c>
      <c r="H101" s="1264">
        <f>ROUND(E101*G101,)</f>
        <v>5000</v>
      </c>
      <c r="I101" s="1695">
        <v>200</v>
      </c>
      <c r="J101" s="1264">
        <f>ROUND(I101*E101,)</f>
        <v>1000</v>
      </c>
      <c r="K101" s="1273">
        <f>H101+J101</f>
        <v>6000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78"/>
      <c r="B104" s="2257" t="str">
        <f>"รวมราคารายการที่ "&amp;A85</f>
        <v>รวมราคารายการที่ 6.4</v>
      </c>
      <c r="C104" s="2258"/>
      <c r="D104" s="2259"/>
      <c r="E104" s="1579"/>
      <c r="F104" s="1579"/>
      <c r="G104" s="1580"/>
      <c r="H104" s="1581">
        <f>SUM(H86:H103)</f>
        <v>280500</v>
      </c>
      <c r="I104" s="1582"/>
      <c r="J104" s="1581">
        <f>SUM(J86:J103)</f>
        <v>17770</v>
      </c>
      <c r="K104" s="1583">
        <f>SUM(K86:K103)</f>
        <v>298270</v>
      </c>
      <c r="L104" s="1630"/>
    </row>
    <row r="105" spans="1:12" s="1199" customFormat="1" ht="24" customHeight="1">
      <c r="A105" s="1605">
        <v>6.5</v>
      </c>
      <c r="B105" s="1606" t="s">
        <v>1938</v>
      </c>
      <c r="C105" s="1607"/>
      <c r="D105" s="1608"/>
      <c r="E105" s="1609"/>
      <c r="F105" s="1642"/>
      <c r="G105" s="1611"/>
      <c r="H105" s="1255"/>
      <c r="I105" s="1256"/>
      <c r="J105" s="1255"/>
      <c r="K105" s="1502"/>
      <c r="L105" s="1713"/>
    </row>
    <row r="106" spans="1:12" s="1199" customFormat="1" ht="24" customHeight="1">
      <c r="A106" s="1564" t="s">
        <v>1939</v>
      </c>
      <c r="B106" s="1565" t="s">
        <v>1940</v>
      </c>
      <c r="C106" s="1533"/>
      <c r="D106" s="1534"/>
      <c r="E106" s="1566">
        <v>4</v>
      </c>
      <c r="F106" s="1564" t="s">
        <v>363</v>
      </c>
      <c r="G106" s="1516">
        <v>4460</v>
      </c>
      <c r="H106" s="1264">
        <f>ROUND(E106*G106,)</f>
        <v>17840</v>
      </c>
      <c r="I106" s="1265">
        <f>G106*0.1</f>
        <v>446</v>
      </c>
      <c r="J106" s="1264">
        <f>ROUND(I106*E106,)</f>
        <v>1784</v>
      </c>
      <c r="K106" s="1273">
        <f>H106+J106</f>
        <v>19624</v>
      </c>
      <c r="L106" s="1635"/>
    </row>
    <row r="107" spans="1:12" s="1199" customFormat="1" ht="24" customHeight="1">
      <c r="A107" s="1564" t="s">
        <v>1941</v>
      </c>
      <c r="B107" s="1565" t="s">
        <v>1942</v>
      </c>
      <c r="C107" s="1533"/>
      <c r="D107" s="1534"/>
      <c r="E107" s="1566">
        <v>4</v>
      </c>
      <c r="F107" s="1564" t="s">
        <v>363</v>
      </c>
      <c r="G107" s="1516">
        <v>6180</v>
      </c>
      <c r="H107" s="1264">
        <f>ROUND(E107*G107,)</f>
        <v>24720</v>
      </c>
      <c r="I107" s="1265">
        <f>G107*0.1</f>
        <v>618</v>
      </c>
      <c r="J107" s="1264">
        <f>ROUND(I107*E107,)</f>
        <v>2472</v>
      </c>
      <c r="K107" s="1273">
        <f>H107+J107</f>
        <v>27192</v>
      </c>
      <c r="L107" s="1638"/>
    </row>
    <row r="108" spans="1:12" s="1199" customFormat="1" ht="24" customHeight="1">
      <c r="A108" s="1564" t="s">
        <v>1943</v>
      </c>
      <c r="B108" s="1565" t="s">
        <v>1944</v>
      </c>
      <c r="C108" s="1533"/>
      <c r="D108" s="1534"/>
      <c r="E108" s="1566"/>
      <c r="F108" s="1564" t="s">
        <v>363</v>
      </c>
      <c r="G108" s="1516"/>
      <c r="H108" s="1264"/>
      <c r="I108" s="1265"/>
      <c r="J108" s="1264"/>
      <c r="K108" s="1273"/>
      <c r="L108" s="1638"/>
    </row>
    <row r="109" spans="1:12" s="1199" customFormat="1" ht="24" customHeight="1">
      <c r="A109" s="1564"/>
      <c r="B109" s="1565"/>
      <c r="C109" s="1533"/>
      <c r="D109" s="1534"/>
      <c r="E109" s="1566"/>
      <c r="F109" s="1564"/>
      <c r="G109" s="1516"/>
      <c r="H109" s="1264"/>
      <c r="I109" s="1265"/>
      <c r="J109" s="1264"/>
      <c r="K109" s="1273"/>
      <c r="L109" s="1638"/>
    </row>
    <row r="110" spans="1:12" s="1199" customFormat="1" ht="24" customHeight="1">
      <c r="A110" s="1564" t="s">
        <v>1945</v>
      </c>
      <c r="B110" s="1565" t="s">
        <v>1355</v>
      </c>
      <c r="C110" s="1533"/>
      <c r="D110" s="1534"/>
      <c r="E110" s="1566"/>
      <c r="F110" s="1564"/>
      <c r="G110" s="1516"/>
      <c r="H110" s="1264"/>
      <c r="I110" s="1265"/>
      <c r="J110" s="1264"/>
      <c r="K110" s="1273"/>
      <c r="L110" s="1638"/>
    </row>
    <row r="111" spans="1:12" s="1199" customFormat="1" ht="24" customHeight="1">
      <c r="A111" s="1564"/>
      <c r="B111" s="1565" t="s">
        <v>1811</v>
      </c>
      <c r="C111" s="1533"/>
      <c r="D111" s="1534"/>
      <c r="E111" s="1566"/>
      <c r="F111" s="1564" t="s">
        <v>226</v>
      </c>
      <c r="G111" s="1516"/>
      <c r="H111" s="1298"/>
      <c r="I111" s="1299"/>
      <c r="J111" s="1298"/>
      <c r="K111" s="1382"/>
      <c r="L111" s="1638"/>
    </row>
    <row r="112" spans="1:12" s="1199" customFormat="1" ht="24" customHeight="1">
      <c r="A112" s="1564"/>
      <c r="B112" s="1565" t="s">
        <v>1316</v>
      </c>
      <c r="C112" s="1533"/>
      <c r="D112" s="1534"/>
      <c r="E112" s="1566"/>
      <c r="F112" s="1564" t="s">
        <v>226</v>
      </c>
      <c r="G112" s="1516"/>
      <c r="H112" s="1298"/>
      <c r="I112" s="1299"/>
      <c r="J112" s="1298"/>
      <c r="K112" s="1382"/>
      <c r="L112" s="1638"/>
    </row>
    <row r="113" spans="1:12" s="1199" customFormat="1" ht="24" customHeight="1">
      <c r="A113" s="1564" t="s">
        <v>1946</v>
      </c>
      <c r="B113" s="1565" t="s">
        <v>1331</v>
      </c>
      <c r="C113" s="1533"/>
      <c r="D113" s="1534"/>
      <c r="E113" s="1566"/>
      <c r="F113" s="1564"/>
      <c r="G113" s="1516"/>
      <c r="H113" s="1298"/>
      <c r="I113" s="1299"/>
      <c r="J113" s="1298"/>
      <c r="K113" s="1382"/>
      <c r="L113" s="1638"/>
    </row>
    <row r="114" spans="1:12" s="1199" customFormat="1" ht="24" customHeight="1">
      <c r="A114" s="1564"/>
      <c r="B114" s="1565" t="s">
        <v>1947</v>
      </c>
      <c r="C114" s="1533"/>
      <c r="D114" s="1534"/>
      <c r="E114" s="1566"/>
      <c r="F114" s="1564" t="s">
        <v>226</v>
      </c>
      <c r="G114" s="1516"/>
      <c r="H114" s="1298"/>
      <c r="I114" s="1299"/>
      <c r="J114" s="1298"/>
      <c r="K114" s="1382"/>
      <c r="L114" s="1638"/>
    </row>
    <row r="115" spans="1:12" s="1199" customFormat="1" ht="24" customHeight="1">
      <c r="A115" s="1564"/>
      <c r="B115" s="1565" t="s">
        <v>1948</v>
      </c>
      <c r="C115" s="1533"/>
      <c r="D115" s="1534"/>
      <c r="E115" s="1566"/>
      <c r="F115" s="1564" t="s">
        <v>226</v>
      </c>
      <c r="G115" s="1516"/>
      <c r="H115" s="1298"/>
      <c r="I115" s="1299"/>
      <c r="J115" s="1298"/>
      <c r="K115" s="1382"/>
      <c r="L115" s="1638"/>
    </row>
    <row r="116" spans="1:12" s="1199" customFormat="1" ht="24" customHeight="1">
      <c r="A116" s="1564" t="s">
        <v>1949</v>
      </c>
      <c r="B116" s="1565" t="s">
        <v>1526</v>
      </c>
      <c r="C116" s="1533"/>
      <c r="D116" s="1534"/>
      <c r="E116" s="1566"/>
      <c r="F116" s="1564"/>
      <c r="G116" s="1516"/>
      <c r="H116" s="1298"/>
      <c r="I116" s="1299"/>
      <c r="J116" s="1298"/>
      <c r="K116" s="1382"/>
      <c r="L116" s="1638"/>
    </row>
    <row r="117" spans="1:12" s="1199" customFormat="1" ht="24" customHeight="1">
      <c r="A117" s="1564"/>
      <c r="B117" s="1565" t="s">
        <v>1350</v>
      </c>
      <c r="C117" s="1533"/>
      <c r="D117" s="1534"/>
      <c r="E117" s="1566"/>
      <c r="F117" s="1564" t="s">
        <v>226</v>
      </c>
      <c r="G117" s="1516"/>
      <c r="H117" s="1298"/>
      <c r="I117" s="1299"/>
      <c r="J117" s="1298"/>
      <c r="K117" s="1382"/>
      <c r="L117" s="1638"/>
    </row>
    <row r="118" spans="1:12" s="1199" customFormat="1" ht="24" customHeight="1">
      <c r="A118" s="1564"/>
      <c r="B118" s="1565" t="s">
        <v>1448</v>
      </c>
      <c r="C118" s="1533"/>
      <c r="D118" s="1534"/>
      <c r="E118" s="1566"/>
      <c r="F118" s="1564" t="s">
        <v>226</v>
      </c>
      <c r="G118" s="1516"/>
      <c r="H118" s="1298"/>
      <c r="I118" s="1299"/>
      <c r="J118" s="1298"/>
      <c r="K118" s="1382"/>
      <c r="L118" s="1638"/>
    </row>
    <row r="119" spans="1:12" s="1199" customFormat="1" ht="24" customHeight="1">
      <c r="A119" s="1564" t="s">
        <v>1950</v>
      </c>
      <c r="B119" s="1565" t="s">
        <v>1117</v>
      </c>
      <c r="C119" s="1533"/>
      <c r="D119" s="1534"/>
      <c r="E119" s="1566"/>
      <c r="F119" s="1564"/>
      <c r="G119" s="1516"/>
      <c r="H119" s="1298"/>
      <c r="I119" s="1299"/>
      <c r="J119" s="1298"/>
      <c r="K119" s="1382"/>
      <c r="L119" s="1638"/>
    </row>
    <row r="120" spans="1:12" s="1199" customFormat="1" ht="24" customHeight="1">
      <c r="A120" s="1564"/>
      <c r="B120" s="1565" t="s">
        <v>1896</v>
      </c>
      <c r="C120" s="1533"/>
      <c r="D120" s="1534"/>
      <c r="E120" s="1566"/>
      <c r="F120" s="1564"/>
      <c r="G120" s="1516"/>
      <c r="H120" s="1298"/>
      <c r="I120" s="1299"/>
      <c r="J120" s="1298"/>
      <c r="K120" s="1382"/>
      <c r="L120" s="1638"/>
    </row>
    <row r="121" spans="1:12" s="1199" customFormat="1" ht="24" customHeight="1">
      <c r="A121" s="1449"/>
      <c r="B121" s="1565" t="s">
        <v>1896</v>
      </c>
      <c r="C121" s="1437"/>
      <c r="D121" s="1278"/>
      <c r="E121" s="1651"/>
      <c r="F121" s="1296"/>
      <c r="G121" s="1516"/>
      <c r="H121" s="1298"/>
      <c r="I121" s="1299"/>
      <c r="J121" s="1298"/>
      <c r="K121" s="1382"/>
      <c r="L121" s="1638"/>
    </row>
    <row r="122" spans="1:12" s="1199" customFormat="1" ht="24" customHeight="1">
      <c r="A122" s="1449"/>
      <c r="B122" s="1707"/>
      <c r="C122" s="1437"/>
      <c r="D122" s="1278"/>
      <c r="E122" s="1651"/>
      <c r="F122" s="1296"/>
      <c r="G122" s="1516"/>
      <c r="H122" s="1298"/>
      <c r="I122" s="1299"/>
      <c r="J122" s="1298"/>
      <c r="K122" s="1382"/>
      <c r="L122" s="1638"/>
    </row>
    <row r="123" spans="1:12" s="1199" customFormat="1" ht="24" customHeight="1">
      <c r="A123" s="1578"/>
      <c r="B123" s="2257" t="str">
        <f>"รวมราคารายการที่ "&amp;A105</f>
        <v>รวมราคารายการที่ 6.5</v>
      </c>
      <c r="C123" s="2258"/>
      <c r="D123" s="2259"/>
      <c r="E123" s="1579"/>
      <c r="F123" s="1579"/>
      <c r="G123" s="1580"/>
      <c r="H123" s="1581">
        <f>SUM(H106:H122)</f>
        <v>42560</v>
      </c>
      <c r="I123" s="1582"/>
      <c r="J123" s="1581">
        <f>SUM(J106:J122)</f>
        <v>4256</v>
      </c>
      <c r="K123" s="1583">
        <f>SUM(K106:K122)</f>
        <v>46816</v>
      </c>
      <c r="L123" s="1630"/>
    </row>
    <row r="124" spans="1:12" s="1199" customFormat="1" ht="24" customHeight="1">
      <c r="A124" s="1590">
        <v>6.6</v>
      </c>
      <c r="B124" s="1568" t="s">
        <v>1424</v>
      </c>
      <c r="C124" s="1533"/>
      <c r="D124" s="1534"/>
      <c r="E124" s="1566">
        <v>1</v>
      </c>
      <c r="F124" s="1564" t="s">
        <v>1104</v>
      </c>
      <c r="G124" s="1708" t="s">
        <v>1952</v>
      </c>
      <c r="H124" s="1298"/>
      <c r="I124" s="1299"/>
      <c r="J124" s="1298"/>
      <c r="K124" s="1382"/>
      <c r="L124" s="1638"/>
    </row>
    <row r="125" spans="1:12" s="1199" customFormat="1" ht="24" customHeight="1">
      <c r="A125" s="1564"/>
      <c r="B125" s="1565"/>
      <c r="C125" s="1533"/>
      <c r="D125" s="1534"/>
      <c r="E125" s="1566"/>
      <c r="F125" s="1564"/>
      <c r="G125" s="1516"/>
      <c r="H125" s="1298"/>
      <c r="I125" s="1299"/>
      <c r="J125" s="1298"/>
      <c r="K125" s="1382"/>
      <c r="L125" s="1638"/>
    </row>
    <row r="126" spans="1:12" s="1199" customFormat="1" ht="24" customHeight="1">
      <c r="A126" s="1564"/>
      <c r="B126" s="1565"/>
      <c r="C126" s="1533"/>
      <c r="D126" s="1534"/>
      <c r="E126" s="1566"/>
      <c r="F126" s="1564"/>
      <c r="G126" s="1516"/>
      <c r="H126" s="1298"/>
      <c r="I126" s="1299"/>
      <c r="J126" s="1298"/>
      <c r="K126" s="1382"/>
      <c r="L126" s="1638"/>
    </row>
    <row r="127" spans="1:12" s="1199" customFormat="1" ht="24" customHeight="1">
      <c r="A127" s="1564"/>
      <c r="B127" s="1565"/>
      <c r="C127" s="1533"/>
      <c r="D127" s="1534"/>
      <c r="E127" s="1566"/>
      <c r="F127" s="1564"/>
      <c r="G127" s="1516"/>
      <c r="H127" s="1298"/>
      <c r="I127" s="1299"/>
      <c r="J127" s="1298"/>
      <c r="K127" s="1382"/>
      <c r="L127" s="1638"/>
    </row>
    <row r="128" spans="1:12" s="1199" customFormat="1" ht="24" customHeight="1">
      <c r="A128" s="1564"/>
      <c r="B128" s="1565"/>
      <c r="C128" s="1533"/>
      <c r="D128" s="1534"/>
      <c r="E128" s="1566"/>
      <c r="F128" s="1564"/>
      <c r="G128" s="1516"/>
      <c r="H128" s="1298"/>
      <c r="I128" s="1299"/>
      <c r="J128" s="1298"/>
      <c r="K128" s="1382"/>
      <c r="L128" s="1638"/>
    </row>
    <row r="129" spans="1:12" s="1199" customFormat="1" ht="24" customHeight="1">
      <c r="A129" s="1564"/>
      <c r="B129" s="1565"/>
      <c r="C129" s="1533"/>
      <c r="D129" s="1534"/>
      <c r="E129" s="1566"/>
      <c r="F129" s="1564"/>
      <c r="G129" s="1516"/>
      <c r="H129" s="1298"/>
      <c r="I129" s="1299"/>
      <c r="J129" s="1298"/>
      <c r="K129" s="1382"/>
      <c r="L129" s="1638"/>
    </row>
    <row r="130" spans="1:12" s="1199" customFormat="1" ht="24" customHeight="1">
      <c r="A130" s="1564"/>
      <c r="B130" s="1565"/>
      <c r="C130" s="1533"/>
      <c r="D130" s="1534"/>
      <c r="E130" s="1566"/>
      <c r="F130" s="1564"/>
      <c r="G130" s="1516"/>
      <c r="H130" s="1298"/>
      <c r="I130" s="1299"/>
      <c r="J130" s="1298"/>
      <c r="K130" s="1382"/>
      <c r="L130" s="1638"/>
    </row>
    <row r="131" spans="1:12" s="1199" customFormat="1" ht="24" customHeight="1">
      <c r="A131" s="1564"/>
      <c r="B131" s="1565"/>
      <c r="C131" s="1533"/>
      <c r="D131" s="1534"/>
      <c r="E131" s="1566"/>
      <c r="F131" s="1564"/>
      <c r="G131" s="1516"/>
      <c r="H131" s="1298"/>
      <c r="I131" s="1299"/>
      <c r="J131" s="1298"/>
      <c r="K131" s="1382"/>
      <c r="L131" s="1638"/>
    </row>
    <row r="132" spans="1:12" s="1199" customFormat="1" ht="24" customHeight="1">
      <c r="A132" s="1564"/>
      <c r="B132" s="1565"/>
      <c r="C132" s="1533"/>
      <c r="D132" s="1534"/>
      <c r="E132" s="1566"/>
      <c r="F132" s="1564"/>
      <c r="G132" s="1516"/>
      <c r="H132" s="1298"/>
      <c r="I132" s="1299"/>
      <c r="J132" s="1298"/>
      <c r="K132" s="1382"/>
      <c r="L132" s="1638"/>
    </row>
    <row r="133" spans="1:12" s="1199" customFormat="1" ht="24" customHeight="1">
      <c r="A133" s="1564"/>
      <c r="B133" s="1565"/>
      <c r="C133" s="1533"/>
      <c r="D133" s="1534"/>
      <c r="E133" s="1566"/>
      <c r="F133" s="1564"/>
      <c r="G133" s="1516"/>
      <c r="H133" s="1298"/>
      <c r="I133" s="1299"/>
      <c r="J133" s="1298"/>
      <c r="K133" s="1382"/>
      <c r="L133" s="1638"/>
    </row>
    <row r="134" spans="1:12" s="1199" customFormat="1" ht="24" customHeight="1">
      <c r="A134" s="1578"/>
      <c r="B134" s="2257" t="str">
        <f>"รวมราคารายการที่ "&amp;A124</f>
        <v>รวมราคารายการที่ 6.6</v>
      </c>
      <c r="C134" s="2258"/>
      <c r="D134" s="2259"/>
      <c r="E134" s="1579"/>
      <c r="F134" s="1579"/>
      <c r="G134" s="1580"/>
      <c r="H134" s="1581">
        <f>SUM(H124:H133)</f>
        <v>0</v>
      </c>
      <c r="I134" s="1582"/>
      <c r="J134" s="1581">
        <f>SUM(J124:J133)</f>
        <v>0</v>
      </c>
      <c r="K134" s="1583">
        <f>SUM(K124:K133)</f>
        <v>0</v>
      </c>
      <c r="L134" s="1630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4:D104"/>
    <mergeCell ref="B123:D123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B1-อาคารด้านทิศตะวันตก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4452E-37AA-4B70-BD34-C7232BC11277}">
  <sheetPr>
    <tabColor rgb="FFF42CBB"/>
  </sheetPr>
  <dimension ref="A1:O156"/>
  <sheetViews>
    <sheetView showGridLines="0" view="pageBreakPreview" topLeftCell="A118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703125" style="1" customWidth="1"/>
    <col min="13" max="14" width="7.703125" style="1" customWidth="1"/>
    <col min="15" max="15" width="27.29296875" style="1" customWidth="1"/>
    <col min="16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1954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928084</v>
      </c>
      <c r="I12" s="1197"/>
      <c r="J12" s="1196">
        <f>J59</f>
        <v>402413</v>
      </c>
      <c r="K12" s="1553">
        <f t="shared" ref="K12:K18" si="0">SUM(H12:J12)</f>
        <v>1330497</v>
      </c>
      <c r="L12" s="1627"/>
    </row>
    <row r="13" spans="1:12" s="1199" customFormat="1" ht="24" customHeight="1">
      <c r="A13" s="1564">
        <f>A60</f>
        <v>6.2</v>
      </c>
      <c r="B13" s="1714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627"/>
    </row>
    <row r="14" spans="1:12" s="1199" customFormat="1" ht="24" customHeight="1">
      <c r="A14" s="1564" t="str">
        <f>A77</f>
        <v>6.3</v>
      </c>
      <c r="B14" s="1714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72410</v>
      </c>
      <c r="I14" s="1197"/>
      <c r="J14" s="1196">
        <f>J84</f>
        <v>42475</v>
      </c>
      <c r="K14" s="1553">
        <f t="shared" si="0"/>
        <v>114885</v>
      </c>
      <c r="L14" s="1627"/>
    </row>
    <row r="15" spans="1:12" s="1199" customFormat="1" ht="24" customHeight="1">
      <c r="A15" s="1642">
        <f>A85</f>
        <v>6.4</v>
      </c>
      <c r="B15" s="1643" t="str">
        <f>B85</f>
        <v>ตู้ดับเพลิงและถังดับเพลิงชนิดมือถือ (Fire Hose Cabinet &amp; Portable Fire Extinguisher)</v>
      </c>
      <c r="C15" s="1607"/>
      <c r="D15" s="1608"/>
      <c r="E15" s="1644">
        <v>1</v>
      </c>
      <c r="F15" s="1610" t="s">
        <v>19</v>
      </c>
      <c r="G15" s="1645"/>
      <c r="H15" s="1646">
        <f>H109</f>
        <v>243950</v>
      </c>
      <c r="I15" s="1647"/>
      <c r="J15" s="1646">
        <f>J109</f>
        <v>15040</v>
      </c>
      <c r="K15" s="1553">
        <f t="shared" si="0"/>
        <v>258990</v>
      </c>
      <c r="L15" s="1648"/>
    </row>
    <row r="16" spans="1:12" s="1199" customFormat="1" ht="24" customHeight="1">
      <c r="A16" s="1564" t="str">
        <f>A110</f>
        <v>6.5</v>
      </c>
      <c r="B16" s="1565" t="str">
        <f>B110</f>
        <v>Clean Agent (Novec 1230) Fire Suppression System</v>
      </c>
      <c r="C16" s="1533"/>
      <c r="D16" s="1534"/>
      <c r="E16" s="1566">
        <v>1</v>
      </c>
      <c r="F16" s="1567" t="s">
        <v>19</v>
      </c>
      <c r="G16" s="1195"/>
      <c r="H16" s="1196">
        <f>H118</f>
        <v>2402942</v>
      </c>
      <c r="I16" s="1197"/>
      <c r="J16" s="1196">
        <f>J118</f>
        <v>59000</v>
      </c>
      <c r="K16" s="1553">
        <f t="shared" si="0"/>
        <v>2461942</v>
      </c>
      <c r="L16" s="1627"/>
    </row>
    <row r="17" spans="1:12" s="1199" customFormat="1" ht="24" customHeight="1">
      <c r="A17" s="1641" t="str">
        <f>A119</f>
        <v>6.6</v>
      </c>
      <c r="B17" s="1573" t="str">
        <f>B119</f>
        <v>ระบบไฟฟ้าและควบคุม (Electrical &amp; Control System) สำหรับระบบป้องกันอัคคีภัย</v>
      </c>
      <c r="C17" s="1574"/>
      <c r="D17" s="1575"/>
      <c r="E17" s="1598">
        <v>1</v>
      </c>
      <c r="F17" s="1577" t="s">
        <v>19</v>
      </c>
      <c r="G17" s="1228"/>
      <c r="H17" s="1229">
        <f>H126</f>
        <v>42560</v>
      </c>
      <c r="I17" s="1230"/>
      <c r="J17" s="1229">
        <f>J126</f>
        <v>4256</v>
      </c>
      <c r="K17" s="1553">
        <f t="shared" si="0"/>
        <v>46816</v>
      </c>
      <c r="L17" s="1628"/>
    </row>
    <row r="18" spans="1:12" s="1199" customFormat="1" ht="24" customHeight="1">
      <c r="A18" s="1564" t="str">
        <f>A127</f>
        <v>6.7</v>
      </c>
      <c r="B18" s="1565" t="str">
        <f>B127</f>
        <v>ระบบป้องกันไฟและควันลาม (Fire Barrier System)</v>
      </c>
      <c r="C18" s="1533"/>
      <c r="D18" s="1534"/>
      <c r="E18" s="1566">
        <v>1</v>
      </c>
      <c r="F18" s="1567" t="s">
        <v>19</v>
      </c>
      <c r="G18" s="1195"/>
      <c r="H18" s="1196">
        <f>H134</f>
        <v>0</v>
      </c>
      <c r="I18" s="1197"/>
      <c r="J18" s="1196">
        <f>J134</f>
        <v>0</v>
      </c>
      <c r="K18" s="1553">
        <f t="shared" si="0"/>
        <v>0</v>
      </c>
      <c r="L18" s="1627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627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627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4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1</v>
      </c>
      <c r="C34" s="2258"/>
      <c r="D34" s="2259"/>
      <c r="E34" s="1579"/>
      <c r="F34" s="1579"/>
      <c r="G34" s="1580"/>
      <c r="H34" s="1581">
        <f>SUM(H12:H33)</f>
        <v>3902878</v>
      </c>
      <c r="I34" s="1582"/>
      <c r="J34" s="1581">
        <f>SUM(J12:J33)</f>
        <v>537184</v>
      </c>
      <c r="K34" s="1583">
        <f>SUM(K12:K33)</f>
        <v>4440062</v>
      </c>
      <c r="L34" s="1630"/>
    </row>
    <row r="35" spans="1:14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638"/>
    </row>
    <row r="36" spans="1:14" s="1199" customFormat="1" ht="24" customHeight="1">
      <c r="A36" s="1620" t="s">
        <v>1899</v>
      </c>
      <c r="B36" s="1621" t="s">
        <v>1860</v>
      </c>
      <c r="C36" s="1656"/>
      <c r="D36" s="1623"/>
      <c r="E36" s="1624"/>
      <c r="F36" s="1625"/>
      <c r="G36" s="1357"/>
      <c r="H36" s="1298"/>
      <c r="I36" s="1299"/>
      <c r="J36" s="1298"/>
      <c r="K36" s="1382"/>
      <c r="L36" s="1638"/>
    </row>
    <row r="37" spans="1:14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4" s="1199" customFormat="1" ht="24" customHeight="1">
      <c r="A38" s="1564"/>
      <c r="B38" s="1565" t="s">
        <v>1901</v>
      </c>
      <c r="C38" s="1533"/>
      <c r="D38" s="1534"/>
      <c r="E38" s="1688">
        <v>1284</v>
      </c>
      <c r="F38" s="1567" t="s">
        <v>226</v>
      </c>
      <c r="G38" s="1516">
        <v>78</v>
      </c>
      <c r="H38" s="1264">
        <f t="shared" ref="H38:H51" si="1">ROUND(E38*G38,)</f>
        <v>100152</v>
      </c>
      <c r="I38" s="1265">
        <v>45</v>
      </c>
      <c r="J38" s="1264">
        <f>ROUND(I38*E38,)</f>
        <v>57780</v>
      </c>
      <c r="K38" s="1273">
        <f>H38+J38</f>
        <v>157932</v>
      </c>
      <c r="L38" s="1273"/>
      <c r="N38" s="1691"/>
    </row>
    <row r="39" spans="1:14" s="1199" customFormat="1" ht="24" customHeight="1">
      <c r="A39" s="1564"/>
      <c r="B39" s="1565" t="s">
        <v>1338</v>
      </c>
      <c r="C39" s="1533"/>
      <c r="D39" s="1534"/>
      <c r="E39" s="1688">
        <v>224</v>
      </c>
      <c r="F39" s="1567" t="s">
        <v>226</v>
      </c>
      <c r="G39" s="1516">
        <v>105</v>
      </c>
      <c r="H39" s="1264">
        <f t="shared" si="1"/>
        <v>23520</v>
      </c>
      <c r="I39" s="1299">
        <v>60</v>
      </c>
      <c r="J39" s="1264">
        <f t="shared" ref="J39:J51" si="2">ROUND(I39*E39,)</f>
        <v>13440</v>
      </c>
      <c r="K39" s="1273">
        <f t="shared" ref="K39:K51" si="3">H39+J39</f>
        <v>36960</v>
      </c>
      <c r="L39" s="1382"/>
    </row>
    <row r="40" spans="1:14" s="1199" customFormat="1" ht="24" customHeight="1">
      <c r="A40" s="1564"/>
      <c r="B40" s="1565" t="s">
        <v>1339</v>
      </c>
      <c r="C40" s="1533"/>
      <c r="D40" s="1534"/>
      <c r="E40" s="1688">
        <v>155</v>
      </c>
      <c r="F40" s="1567" t="s">
        <v>226</v>
      </c>
      <c r="G40" s="1661">
        <v>126</v>
      </c>
      <c r="H40" s="1264">
        <f>ROUND(E40*G40,)</f>
        <v>19530</v>
      </c>
      <c r="I40" s="1589">
        <v>70</v>
      </c>
      <c r="J40" s="1264">
        <f t="shared" si="2"/>
        <v>10850</v>
      </c>
      <c r="K40" s="1273">
        <f t="shared" si="3"/>
        <v>30380</v>
      </c>
      <c r="L40" s="1382"/>
    </row>
    <row r="41" spans="1:14" s="1199" customFormat="1" ht="24" customHeight="1">
      <c r="A41" s="1564"/>
      <c r="B41" s="1565" t="s">
        <v>1340</v>
      </c>
      <c r="C41" s="1533"/>
      <c r="D41" s="1534"/>
      <c r="E41" s="1688">
        <v>231</v>
      </c>
      <c r="F41" s="1567" t="s">
        <v>226</v>
      </c>
      <c r="G41" s="1661">
        <v>169</v>
      </c>
      <c r="H41" s="1264">
        <f>ROUND(E41*G41,)</f>
        <v>39039</v>
      </c>
      <c r="I41" s="1589">
        <v>95</v>
      </c>
      <c r="J41" s="1264">
        <f t="shared" si="2"/>
        <v>21945</v>
      </c>
      <c r="K41" s="1273">
        <f t="shared" si="3"/>
        <v>60984</v>
      </c>
      <c r="L41" s="1382"/>
    </row>
    <row r="42" spans="1:14" s="1199" customFormat="1" ht="24" customHeight="1">
      <c r="A42" s="1564"/>
      <c r="B42" s="1565" t="s">
        <v>1341</v>
      </c>
      <c r="C42" s="1533"/>
      <c r="D42" s="1534"/>
      <c r="E42" s="1688">
        <v>130</v>
      </c>
      <c r="F42" s="1567" t="s">
        <v>226</v>
      </c>
      <c r="G42" s="1661">
        <v>268</v>
      </c>
      <c r="H42" s="1264">
        <f t="shared" si="1"/>
        <v>34840</v>
      </c>
      <c r="I42" s="1589">
        <v>150</v>
      </c>
      <c r="J42" s="1264">
        <f t="shared" si="2"/>
        <v>19500</v>
      </c>
      <c r="K42" s="1273">
        <f t="shared" si="3"/>
        <v>54340</v>
      </c>
      <c r="L42" s="1382"/>
    </row>
    <row r="43" spans="1:14" s="1199" customFormat="1" ht="24" customHeight="1">
      <c r="A43" s="1564"/>
      <c r="B43" s="1565" t="s">
        <v>1342</v>
      </c>
      <c r="C43" s="1533"/>
      <c r="D43" s="1534"/>
      <c r="E43" s="1688">
        <v>77</v>
      </c>
      <c r="F43" s="1567" t="s">
        <v>226</v>
      </c>
      <c r="G43" s="1661">
        <v>350</v>
      </c>
      <c r="H43" s="1264">
        <f t="shared" si="1"/>
        <v>26950</v>
      </c>
      <c r="I43" s="1589">
        <v>200</v>
      </c>
      <c r="J43" s="1264">
        <f t="shared" si="2"/>
        <v>15400</v>
      </c>
      <c r="K43" s="1273">
        <f t="shared" si="3"/>
        <v>42350</v>
      </c>
      <c r="L43" s="1382"/>
    </row>
    <row r="44" spans="1:14" s="1199" customFormat="1" ht="24" customHeight="1">
      <c r="A44" s="1564"/>
      <c r="B44" s="1565" t="s">
        <v>1759</v>
      </c>
      <c r="C44" s="1533"/>
      <c r="D44" s="1534"/>
      <c r="E44" s="1688">
        <v>134</v>
      </c>
      <c r="F44" s="1567" t="s">
        <v>226</v>
      </c>
      <c r="G44" s="1661">
        <v>499</v>
      </c>
      <c r="H44" s="1264">
        <f t="shared" si="1"/>
        <v>66866</v>
      </c>
      <c r="I44" s="1589">
        <v>280</v>
      </c>
      <c r="J44" s="1264">
        <f t="shared" si="2"/>
        <v>37520</v>
      </c>
      <c r="K44" s="1273">
        <f t="shared" si="3"/>
        <v>104386</v>
      </c>
      <c r="L44" s="1382"/>
    </row>
    <row r="45" spans="1:14" s="1199" customFormat="1" ht="24" customHeight="1">
      <c r="A45" s="1564"/>
      <c r="B45" s="1565" t="s">
        <v>1754</v>
      </c>
      <c r="C45" s="1533"/>
      <c r="D45" s="1534"/>
      <c r="E45" s="1688">
        <v>170</v>
      </c>
      <c r="F45" s="1567" t="s">
        <v>226</v>
      </c>
      <c r="G45" s="1661">
        <v>877</v>
      </c>
      <c r="H45" s="1264">
        <f t="shared" si="1"/>
        <v>149090</v>
      </c>
      <c r="I45" s="1589">
        <v>500</v>
      </c>
      <c r="J45" s="1264">
        <f t="shared" si="2"/>
        <v>85000</v>
      </c>
      <c r="K45" s="1273">
        <f t="shared" si="3"/>
        <v>234090</v>
      </c>
      <c r="L45" s="1382"/>
    </row>
    <row r="46" spans="1:14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4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4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183995</v>
      </c>
      <c r="H48" s="1264">
        <f t="shared" si="1"/>
        <v>183995</v>
      </c>
      <c r="I48" s="1589">
        <f>ROUND(G48*0.3,)</f>
        <v>55199</v>
      </c>
      <c r="J48" s="1264">
        <f t="shared" si="2"/>
        <v>55199</v>
      </c>
      <c r="K48" s="1273">
        <f t="shared" si="3"/>
        <v>239194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91997</v>
      </c>
      <c r="H49" s="1264">
        <f t="shared" si="1"/>
        <v>91997</v>
      </c>
      <c r="I49" s="1589">
        <f>ROUND(G49*0.3,)</f>
        <v>27599</v>
      </c>
      <c r="J49" s="1264">
        <f t="shared" si="2"/>
        <v>27599</v>
      </c>
      <c r="K49" s="1273">
        <f t="shared" si="3"/>
        <v>119596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45999</v>
      </c>
      <c r="H50" s="1264">
        <f t="shared" si="1"/>
        <v>45999</v>
      </c>
      <c r="I50" s="1589">
        <f>ROUND(G50*0.3,)</f>
        <v>13800</v>
      </c>
      <c r="J50" s="1264">
        <f t="shared" si="2"/>
        <v>13800</v>
      </c>
      <c r="K50" s="1273">
        <f t="shared" si="3"/>
        <v>59799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137996</v>
      </c>
      <c r="H51" s="1264">
        <f t="shared" si="1"/>
        <v>137996</v>
      </c>
      <c r="I51" s="1589">
        <f>ROUND(G51*0.3,)</f>
        <v>41399</v>
      </c>
      <c r="J51" s="1264">
        <f t="shared" si="2"/>
        <v>41399</v>
      </c>
      <c r="K51" s="1273">
        <f t="shared" si="3"/>
        <v>179395</v>
      </c>
      <c r="L51" s="1382"/>
    </row>
    <row r="52" spans="1:15" s="1199" customFormat="1" ht="24" customHeight="1">
      <c r="A52" s="1564" t="s">
        <v>1868</v>
      </c>
      <c r="B52" s="1565" t="s">
        <v>1869</v>
      </c>
      <c r="C52" s="1533"/>
      <c r="D52" s="1534"/>
      <c r="E52" s="1566"/>
      <c r="F52" s="1567"/>
      <c r="G52" s="1516"/>
      <c r="H52" s="1298"/>
      <c r="I52" s="1299"/>
      <c r="J52" s="1298"/>
      <c r="K52" s="1382"/>
      <c r="L52" s="1382"/>
    </row>
    <row r="53" spans="1:15" s="1199" customFormat="1" ht="24" customHeight="1">
      <c r="A53" s="1564"/>
      <c r="B53" s="1565" t="s">
        <v>1901</v>
      </c>
      <c r="C53" s="1533"/>
      <c r="D53" s="1534"/>
      <c r="E53" s="825">
        <v>5</v>
      </c>
      <c r="F53" s="1567" t="s">
        <v>226</v>
      </c>
      <c r="G53" s="1516">
        <v>124</v>
      </c>
      <c r="H53" s="1264">
        <f>ROUND(E53*G53,)</f>
        <v>620</v>
      </c>
      <c r="I53" s="1265">
        <v>50</v>
      </c>
      <c r="J53" s="1264">
        <f t="shared" ref="J53:J54" si="4">ROUND(I53*E53,)</f>
        <v>250</v>
      </c>
      <c r="K53" s="1273">
        <f t="shared" ref="K53:K54" si="5">H53+J53</f>
        <v>870</v>
      </c>
      <c r="L53" s="2082" t="s">
        <v>2667</v>
      </c>
      <c r="N53" s="1199">
        <v>745.96</v>
      </c>
      <c r="O53" s="1199">
        <f>ROUND(N53/6,)</f>
        <v>124</v>
      </c>
    </row>
    <row r="54" spans="1:15" s="1199" customFormat="1" ht="24" customHeight="1">
      <c r="A54" s="1564"/>
      <c r="B54" s="1565" t="s">
        <v>1340</v>
      </c>
      <c r="C54" s="1533"/>
      <c r="D54" s="1534"/>
      <c r="E54" s="825">
        <v>15</v>
      </c>
      <c r="F54" s="1567" t="s">
        <v>226</v>
      </c>
      <c r="G54" s="1516">
        <v>259</v>
      </c>
      <c r="H54" s="1264">
        <f t="shared" ref="H54" si="6">ROUND(E54*G54,)</f>
        <v>3885</v>
      </c>
      <c r="I54" s="1299">
        <v>110</v>
      </c>
      <c r="J54" s="1264">
        <f t="shared" si="4"/>
        <v>1650</v>
      </c>
      <c r="K54" s="1273">
        <f t="shared" si="5"/>
        <v>5535</v>
      </c>
      <c r="L54" s="2082" t="s">
        <v>2667</v>
      </c>
      <c r="N54" s="1199">
        <v>1554.48</v>
      </c>
      <c r="O54" s="1199">
        <f>ROUND(N54/6,)</f>
        <v>259</v>
      </c>
    </row>
    <row r="55" spans="1:15" s="1199" customFormat="1" ht="24" customHeight="1">
      <c r="A55" s="1564"/>
      <c r="B55" s="1565" t="s">
        <v>1719</v>
      </c>
      <c r="C55" s="1533"/>
      <c r="D55" s="1534"/>
      <c r="E55" s="1686">
        <v>1</v>
      </c>
      <c r="F55" s="1402" t="s">
        <v>1104</v>
      </c>
      <c r="G55" s="1661">
        <f>ROUND(SUM(H53:H54)*50%,)</f>
        <v>2253</v>
      </c>
      <c r="H55" s="1264">
        <f>ROUND(E55*G55,)</f>
        <v>2253</v>
      </c>
      <c r="I55" s="1589">
        <f>ROUND(G55*0.3,)</f>
        <v>676</v>
      </c>
      <c r="J55" s="1264">
        <f>ROUND(I55*E55,)</f>
        <v>676</v>
      </c>
      <c r="K55" s="1273">
        <f>H55+J55</f>
        <v>2929</v>
      </c>
      <c r="L55" s="1382"/>
    </row>
    <row r="56" spans="1:15" s="1199" customFormat="1" ht="24" customHeight="1">
      <c r="A56" s="1564"/>
      <c r="B56" s="1565" t="s">
        <v>1720</v>
      </c>
      <c r="C56" s="1533"/>
      <c r="D56" s="1534"/>
      <c r="E56" s="1686">
        <v>1</v>
      </c>
      <c r="F56" s="1402" t="s">
        <v>1104</v>
      </c>
      <c r="G56" s="1661">
        <f>ROUND(SUM(H53:H54)*20%,)</f>
        <v>901</v>
      </c>
      <c r="H56" s="1264">
        <f>ROUND(E56*G56,)</f>
        <v>901</v>
      </c>
      <c r="I56" s="1589">
        <f>ROUND(G56*0.3,)</f>
        <v>270</v>
      </c>
      <c r="J56" s="1264">
        <f>ROUND(I56*E56,)</f>
        <v>270</v>
      </c>
      <c r="K56" s="1273">
        <f>H56+J56</f>
        <v>1171</v>
      </c>
      <c r="L56" s="1382"/>
    </row>
    <row r="57" spans="1:15" s="1199" customFormat="1" ht="24" customHeight="1">
      <c r="A57" s="1564"/>
      <c r="B57" s="1565" t="s">
        <v>1721</v>
      </c>
      <c r="C57" s="1533"/>
      <c r="D57" s="1534"/>
      <c r="E57" s="1686">
        <v>1</v>
      </c>
      <c r="F57" s="1402" t="s">
        <v>1104</v>
      </c>
      <c r="G57" s="1661">
        <f>ROUND(SUM(H53:H54)*10%,)</f>
        <v>451</v>
      </c>
      <c r="H57" s="1264">
        <f>ROUND(E57*G57,)</f>
        <v>451</v>
      </c>
      <c r="I57" s="1589">
        <f>ROUND(G57*0.3,)</f>
        <v>135</v>
      </c>
      <c r="J57" s="1264">
        <f>ROUND(I57*E57,)</f>
        <v>135</v>
      </c>
      <c r="K57" s="1273">
        <f>H57+J57</f>
        <v>586</v>
      </c>
      <c r="L57" s="1382"/>
    </row>
    <row r="58" spans="1:15" s="1199" customFormat="1" ht="24" customHeight="1">
      <c r="A58" s="1564"/>
      <c r="B58" s="1597" t="s">
        <v>1117</v>
      </c>
      <c r="C58" s="1533"/>
      <c r="D58" s="1534"/>
      <c r="E58" s="1566"/>
      <c r="F58" s="1567"/>
      <c r="G58" s="1516"/>
      <c r="H58" s="1264"/>
      <c r="I58" s="1265"/>
      <c r="J58" s="1264"/>
      <c r="K58" s="1273"/>
      <c r="L58" s="1638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SUM(H38:H58)</f>
        <v>928084</v>
      </c>
      <c r="I59" s="1582"/>
      <c r="J59" s="1581">
        <f>SUM(J38:J58)</f>
        <v>402413</v>
      </c>
      <c r="K59" s="1581">
        <f>SUM(K38:K58)</f>
        <v>1330497</v>
      </c>
      <c r="L59" s="1630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638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65" t="s">
        <v>1896</v>
      </c>
      <c r="C75" s="1533"/>
      <c r="D75" s="1534"/>
      <c r="E75" s="1566"/>
      <c r="F75" s="1567"/>
      <c r="G75" s="1516"/>
      <c r="H75" s="1298"/>
      <c r="I75" s="1299"/>
      <c r="J75" s="1298"/>
      <c r="K75" s="1382"/>
      <c r="L75" s="1638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SUM(H60:H75)</f>
        <v>212932</v>
      </c>
      <c r="I76" s="1582"/>
      <c r="J76" s="1581">
        <f>SUM(J60:J75)</f>
        <v>14000</v>
      </c>
      <c r="K76" s="1583">
        <f>SUM(K60:K75)</f>
        <v>226932</v>
      </c>
      <c r="L76" s="1630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16"/>
      <c r="H77" s="1298"/>
      <c r="I77" s="1299"/>
      <c r="J77" s="1298"/>
      <c r="K77" s="1382"/>
      <c r="L77" s="1638"/>
    </row>
    <row r="78" spans="1:12" s="1199" customFormat="1" ht="24" customHeight="1">
      <c r="A78" s="1564" t="s">
        <v>1908</v>
      </c>
      <c r="B78" s="1565" t="s">
        <v>1909</v>
      </c>
      <c r="C78" s="1533"/>
      <c r="D78" s="1534"/>
      <c r="E78" s="1566">
        <v>533</v>
      </c>
      <c r="F78" s="1564" t="s">
        <v>363</v>
      </c>
      <c r="G78" s="1516">
        <v>110</v>
      </c>
      <c r="H78" s="1264">
        <f>ROUND(E78*G78,)</f>
        <v>58630</v>
      </c>
      <c r="I78" s="1299">
        <v>75</v>
      </c>
      <c r="J78" s="1264">
        <f>ROUND(I78*E78,)</f>
        <v>39975</v>
      </c>
      <c r="K78" s="1273">
        <f>H78+J78</f>
        <v>98605</v>
      </c>
      <c r="L78" s="1382"/>
    </row>
    <row r="79" spans="1:12" s="1199" customFormat="1" ht="24" customHeight="1">
      <c r="A79" s="1564" t="s">
        <v>1910</v>
      </c>
      <c r="B79" s="1565" t="s">
        <v>1911</v>
      </c>
      <c r="C79" s="1533"/>
      <c r="D79" s="1534"/>
      <c r="E79" s="1566"/>
      <c r="F79" s="1564" t="s">
        <v>363</v>
      </c>
      <c r="G79" s="1516"/>
      <c r="H79" s="1264">
        <f>ROUND(E79*G79,)</f>
        <v>0</v>
      </c>
      <c r="I79" s="1299"/>
      <c r="J79" s="1264">
        <f>ROUND(I79*E79,)</f>
        <v>0</v>
      </c>
      <c r="K79" s="1273">
        <f>H79+J79</f>
        <v>0</v>
      </c>
      <c r="L79" s="1382"/>
    </row>
    <row r="80" spans="1:12" s="1199" customFormat="1" ht="24" customHeight="1">
      <c r="A80" s="1564" t="s">
        <v>1912</v>
      </c>
      <c r="B80" s="1677" t="s">
        <v>1955</v>
      </c>
      <c r="C80" s="1678"/>
      <c r="D80" s="1679"/>
      <c r="E80" s="1680">
        <v>12</v>
      </c>
      <c r="F80" s="1676" t="s">
        <v>363</v>
      </c>
      <c r="G80" s="1516">
        <v>800</v>
      </c>
      <c r="H80" s="1264">
        <f>ROUND(E80*G80,)</f>
        <v>9600</v>
      </c>
      <c r="I80" s="1299">
        <v>50</v>
      </c>
      <c r="J80" s="1264">
        <f>ROUND(I80*E80,)</f>
        <v>600</v>
      </c>
      <c r="K80" s="1273">
        <f>H80+J80</f>
        <v>10200</v>
      </c>
      <c r="L80" s="1382"/>
    </row>
    <row r="81" spans="1:12" s="1199" customFormat="1" ht="24" customHeight="1">
      <c r="A81" s="1564" t="s">
        <v>1914</v>
      </c>
      <c r="B81" s="1565" t="s">
        <v>1913</v>
      </c>
      <c r="C81" s="1533"/>
      <c r="D81" s="1534"/>
      <c r="E81" s="1566">
        <v>38</v>
      </c>
      <c r="F81" s="1564" t="s">
        <v>363</v>
      </c>
      <c r="G81" s="1516">
        <v>110</v>
      </c>
      <c r="H81" s="1264">
        <f>ROUND(E81*G81,)</f>
        <v>4180</v>
      </c>
      <c r="I81" s="1299">
        <v>50</v>
      </c>
      <c r="J81" s="1264">
        <f>ROUND(I81*E81,)</f>
        <v>1900</v>
      </c>
      <c r="K81" s="1273">
        <f>H81+J81</f>
        <v>6080</v>
      </c>
      <c r="L81" s="1382"/>
    </row>
    <row r="82" spans="1:12" s="1199" customFormat="1" ht="24" customHeight="1">
      <c r="A82" s="1564" t="s">
        <v>1916</v>
      </c>
      <c r="B82" s="1565" t="s">
        <v>1917</v>
      </c>
      <c r="C82" s="1533"/>
      <c r="D82" s="1534"/>
      <c r="E82" s="1566"/>
      <c r="F82" s="1564" t="s">
        <v>363</v>
      </c>
      <c r="G82" s="1516"/>
      <c r="H82" s="1298"/>
      <c r="I82" s="1299"/>
      <c r="J82" s="1298"/>
      <c r="K82" s="1382"/>
      <c r="L82" s="1382"/>
    </row>
    <row r="83" spans="1:12" s="1199" customFormat="1" ht="24" customHeight="1">
      <c r="A83" s="1564"/>
      <c r="B83" s="1565"/>
      <c r="C83" s="1533"/>
      <c r="D83" s="1534"/>
      <c r="E83" s="1566"/>
      <c r="F83" s="1564"/>
      <c r="G83" s="1516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72410</v>
      </c>
      <c r="I84" s="1582"/>
      <c r="J84" s="1581">
        <f>SUM(J78:J83)</f>
        <v>42475</v>
      </c>
      <c r="K84" s="1581">
        <f>SUM(K78:K83)</f>
        <v>114885</v>
      </c>
      <c r="L84" s="1630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713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5</v>
      </c>
      <c r="F87" s="1564" t="s">
        <v>363</v>
      </c>
      <c r="G87" s="1558">
        <v>6500</v>
      </c>
      <c r="H87" s="1264">
        <f t="shared" ref="H87:H92" si="7">ROUND(E87*G87,)</f>
        <v>32500</v>
      </c>
      <c r="I87" s="1265">
        <f>G87*0.3</f>
        <v>1950</v>
      </c>
      <c r="J87" s="1264">
        <f>ROUND(I87*E87,)</f>
        <v>9750</v>
      </c>
      <c r="K87" s="1273">
        <f t="shared" ref="K87:K92" si="8">H87+J87</f>
        <v>42250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5</v>
      </c>
      <c r="F88" s="1572" t="s">
        <v>363</v>
      </c>
      <c r="G88" s="1694">
        <v>1200</v>
      </c>
      <c r="H88" s="1264">
        <f t="shared" si="7"/>
        <v>6000</v>
      </c>
      <c r="I88" s="1265" t="s">
        <v>1683</v>
      </c>
      <c r="J88" s="1264"/>
      <c r="K88" s="1273">
        <f t="shared" si="8"/>
        <v>6000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5</v>
      </c>
      <c r="F89" s="1564" t="s">
        <v>363</v>
      </c>
      <c r="G89" s="1558">
        <v>19200</v>
      </c>
      <c r="H89" s="1264">
        <f t="shared" si="7"/>
        <v>96000</v>
      </c>
      <c r="I89" s="1265" t="s">
        <v>1683</v>
      </c>
      <c r="J89" s="1264"/>
      <c r="K89" s="1273">
        <f t="shared" si="8"/>
        <v>96000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5</v>
      </c>
      <c r="F90" s="1564" t="s">
        <v>363</v>
      </c>
      <c r="G90" s="1558">
        <v>4910</v>
      </c>
      <c r="H90" s="1264">
        <f t="shared" si="7"/>
        <v>24550</v>
      </c>
      <c r="I90" s="1265" t="s">
        <v>1683</v>
      </c>
      <c r="J90" s="1264"/>
      <c r="K90" s="1273">
        <f t="shared" si="8"/>
        <v>24550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5</v>
      </c>
      <c r="F91" s="1564" t="s">
        <v>363</v>
      </c>
      <c r="G91" s="1558">
        <v>1420</v>
      </c>
      <c r="H91" s="1264">
        <f t="shared" si="7"/>
        <v>7100</v>
      </c>
      <c r="I91" s="1265" t="s">
        <v>1683</v>
      </c>
      <c r="J91" s="1264"/>
      <c r="K91" s="1273">
        <f t="shared" si="8"/>
        <v>7100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5</v>
      </c>
      <c r="F92" s="1564" t="s">
        <v>363</v>
      </c>
      <c r="G92" s="1558">
        <v>720</v>
      </c>
      <c r="H92" s="1264">
        <f t="shared" si="7"/>
        <v>3600</v>
      </c>
      <c r="I92" s="1265" t="s">
        <v>1683</v>
      </c>
      <c r="J92" s="1264"/>
      <c r="K92" s="1273">
        <f t="shared" si="8"/>
        <v>3600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5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5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5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5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5" s="1199" customFormat="1" ht="24" customHeight="1">
      <c r="A101" s="1564"/>
      <c r="B101" s="1565" t="s">
        <v>1935</v>
      </c>
      <c r="C101" s="1533"/>
      <c r="D101" s="1534"/>
      <c r="E101" s="1566">
        <v>5</v>
      </c>
      <c r="F101" s="1564" t="s">
        <v>363</v>
      </c>
      <c r="G101" s="1558">
        <v>1000</v>
      </c>
      <c r="H101" s="1264">
        <f>ROUND(E101*G101,)</f>
        <v>5000</v>
      </c>
      <c r="I101" s="1695">
        <v>200</v>
      </c>
      <c r="J101" s="1264">
        <f>ROUND(I101*E101,)</f>
        <v>1000</v>
      </c>
      <c r="K101" s="1273">
        <f>H101+J101</f>
        <v>6000</v>
      </c>
      <c r="L101" s="1687"/>
    </row>
    <row r="102" spans="1:15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5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265"/>
      <c r="J103" s="1264"/>
      <c r="K103" s="1273"/>
      <c r="L103" s="1687"/>
    </row>
    <row r="104" spans="1:15" s="1199" customFormat="1" ht="24" customHeight="1">
      <c r="A104" s="1564"/>
      <c r="B104" s="1565"/>
      <c r="C104" s="1533"/>
      <c r="D104" s="1534"/>
      <c r="E104" s="1566"/>
      <c r="F104" s="1564"/>
      <c r="G104" s="1558"/>
      <c r="H104" s="1264"/>
      <c r="I104" s="1265"/>
      <c r="J104" s="1264"/>
      <c r="K104" s="1273"/>
      <c r="L104" s="1687"/>
    </row>
    <row r="105" spans="1:15" s="1199" customFormat="1" ht="24" customHeight="1">
      <c r="A105" s="1564"/>
      <c r="B105" s="1565"/>
      <c r="C105" s="1533"/>
      <c r="D105" s="1534"/>
      <c r="E105" s="1566"/>
      <c r="F105" s="1564"/>
      <c r="G105" s="1558"/>
      <c r="H105" s="1264"/>
      <c r="I105" s="1265"/>
      <c r="J105" s="1264"/>
      <c r="K105" s="1273"/>
      <c r="L105" s="1687"/>
    </row>
    <row r="106" spans="1:15" s="1199" customFormat="1" ht="24" customHeight="1">
      <c r="A106" s="1637"/>
      <c r="B106" s="1636"/>
      <c r="C106" s="1622"/>
      <c r="D106" s="1623"/>
      <c r="E106" s="1624"/>
      <c r="F106" s="1637"/>
      <c r="G106" s="1558"/>
      <c r="H106" s="1264"/>
      <c r="I106" s="1695"/>
      <c r="J106" s="1264"/>
      <c r="K106" s="1687"/>
      <c r="L106" s="1687"/>
    </row>
    <row r="107" spans="1:15" s="1199" customFormat="1" ht="24" customHeight="1">
      <c r="A107" s="1564"/>
      <c r="B107" s="1565"/>
      <c r="C107" s="1533"/>
      <c r="D107" s="1534"/>
      <c r="E107" s="1566"/>
      <c r="F107" s="1564"/>
      <c r="G107" s="1558"/>
      <c r="H107" s="1264"/>
      <c r="I107" s="1695"/>
      <c r="J107" s="1264"/>
      <c r="K107" s="1273"/>
      <c r="L107" s="1687"/>
    </row>
    <row r="108" spans="1:15" s="1199" customFormat="1" ht="24" customHeight="1">
      <c r="A108" s="1572"/>
      <c r="B108" s="1573"/>
      <c r="C108" s="1574"/>
      <c r="D108" s="1575"/>
      <c r="E108" s="1598"/>
      <c r="F108" s="1572"/>
      <c r="G108" s="1558"/>
      <c r="H108" s="1264"/>
      <c r="I108" s="1695"/>
      <c r="J108" s="1264"/>
      <c r="K108" s="1687"/>
      <c r="L108" s="1687"/>
    </row>
    <row r="109" spans="1:15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SUM(H86:H103)</f>
        <v>243950</v>
      </c>
      <c r="I109" s="1582"/>
      <c r="J109" s="1581">
        <f>SUM(J86:J103)</f>
        <v>15040</v>
      </c>
      <c r="K109" s="1583">
        <f>SUM(K86:K103)</f>
        <v>258990</v>
      </c>
      <c r="L109" s="1630"/>
    </row>
    <row r="110" spans="1:15" s="1199" customFormat="1" ht="24" customHeight="1">
      <c r="A110" s="1715" t="s">
        <v>1957</v>
      </c>
      <c r="B110" s="1716" t="s">
        <v>1958</v>
      </c>
      <c r="C110" s="1717"/>
      <c r="D110" s="1718"/>
      <c r="E110" s="1719"/>
      <c r="F110" s="1720"/>
      <c r="G110" s="1721"/>
      <c r="H110" s="1255"/>
      <c r="I110" s="1256"/>
      <c r="J110" s="1255"/>
      <c r="K110" s="1502"/>
      <c r="L110" s="1713"/>
    </row>
    <row r="111" spans="1:15" s="1722" customFormat="1" ht="24" customHeight="1">
      <c r="A111" s="1564" t="s">
        <v>1939</v>
      </c>
      <c r="B111" s="1565" t="s">
        <v>1959</v>
      </c>
      <c r="C111" s="1533"/>
      <c r="D111" s="1534"/>
      <c r="E111" s="1566"/>
      <c r="F111" s="1564"/>
      <c r="G111" s="1516"/>
      <c r="H111" s="1264"/>
      <c r="I111" s="1265"/>
      <c r="J111" s="1264"/>
      <c r="K111" s="1273"/>
      <c r="L111" s="1635"/>
    </row>
    <row r="112" spans="1:15" s="1199" customFormat="1" ht="24" customHeight="1">
      <c r="A112" s="1723"/>
      <c r="B112" s="1724" t="s">
        <v>1960</v>
      </c>
      <c r="C112" s="1725"/>
      <c r="D112" s="1726"/>
      <c r="E112" s="1727">
        <v>1</v>
      </c>
      <c r="F112" s="1728" t="s">
        <v>19</v>
      </c>
      <c r="G112" s="1516">
        <v>1230895.8999999999</v>
      </c>
      <c r="H112" s="1264">
        <f>ROUND(E112*G112,)</f>
        <v>1230896</v>
      </c>
      <c r="I112" s="1299"/>
      <c r="J112" s="1264">
        <v>0</v>
      </c>
      <c r="K112" s="1273">
        <f>H112+J112</f>
        <v>1230896</v>
      </c>
      <c r="L112" s="1382"/>
      <c r="N112" s="1"/>
      <c r="O112" s="1"/>
    </row>
    <row r="113" spans="1:15" s="1199" customFormat="1" ht="24" customHeight="1">
      <c r="A113" s="1723"/>
      <c r="B113" s="1724" t="s">
        <v>1961</v>
      </c>
      <c r="C113" s="1725"/>
      <c r="D113" s="1726"/>
      <c r="E113" s="1727">
        <v>1</v>
      </c>
      <c r="F113" s="1728" t="s">
        <v>19</v>
      </c>
      <c r="G113" s="1516">
        <v>1172045.8999999999</v>
      </c>
      <c r="H113" s="1264">
        <f>ROUND(E113*G113,)</f>
        <v>1172046</v>
      </c>
      <c r="I113" s="1299"/>
      <c r="J113" s="1264">
        <v>0</v>
      </c>
      <c r="K113" s="1273">
        <f>H113+J113</f>
        <v>1172046</v>
      </c>
      <c r="L113" s="1382"/>
      <c r="N113" s="1"/>
      <c r="O113" s="1"/>
    </row>
    <row r="114" spans="1:15" s="1199" customFormat="1" ht="24" customHeight="1">
      <c r="A114" s="1564"/>
      <c r="B114" s="1565" t="s">
        <v>1962</v>
      </c>
      <c r="C114" s="1533"/>
      <c r="D114" s="1534"/>
      <c r="E114" s="1566">
        <v>1</v>
      </c>
      <c r="F114" s="1564" t="s">
        <v>1104</v>
      </c>
      <c r="G114" s="1516"/>
      <c r="H114" s="1298"/>
      <c r="I114" s="1299">
        <v>59000</v>
      </c>
      <c r="J114" s="1264">
        <v>59000</v>
      </c>
      <c r="K114" s="1273">
        <v>59000</v>
      </c>
      <c r="L114" s="1638"/>
      <c r="N114" s="1"/>
      <c r="O114" s="1"/>
    </row>
    <row r="115" spans="1:15" s="1199" customFormat="1" ht="24" customHeight="1">
      <c r="A115" s="1564"/>
      <c r="B115" s="1565" t="s">
        <v>1117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638"/>
      <c r="N115" s="1"/>
      <c r="O115" s="1"/>
    </row>
    <row r="116" spans="1:15" s="1199" customFormat="1" ht="24" customHeight="1">
      <c r="A116" s="1564"/>
      <c r="B116" s="1565" t="s">
        <v>1118</v>
      </c>
      <c r="C116" s="1533"/>
      <c r="D116" s="1534"/>
      <c r="E116" s="1566"/>
      <c r="F116" s="1564"/>
      <c r="G116" s="1516"/>
      <c r="H116" s="1298"/>
      <c r="I116" s="1299"/>
      <c r="J116" s="1298"/>
      <c r="K116" s="1382"/>
      <c r="L116" s="1638"/>
      <c r="N116" s="1"/>
      <c r="O116" s="1"/>
    </row>
    <row r="117" spans="1:15" s="1199" customFormat="1" ht="24" customHeight="1">
      <c r="A117" s="1564"/>
      <c r="B117" s="1565" t="s">
        <v>1118</v>
      </c>
      <c r="C117" s="1533"/>
      <c r="D117" s="1534"/>
      <c r="E117" s="1566"/>
      <c r="F117" s="1564"/>
      <c r="G117" s="1516"/>
      <c r="H117" s="1298"/>
      <c r="I117" s="1299"/>
      <c r="J117" s="1298"/>
      <c r="K117" s="1382"/>
      <c r="L117" s="1638"/>
      <c r="N117" s="1"/>
      <c r="O117" s="1"/>
    </row>
    <row r="118" spans="1:15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2402942</v>
      </c>
      <c r="I118" s="1582"/>
      <c r="J118" s="1581">
        <f>SUM(J111:J117)</f>
        <v>59000</v>
      </c>
      <c r="K118" s="1583">
        <f>SUM(K111:K117)</f>
        <v>2461942</v>
      </c>
      <c r="L118" s="1630"/>
      <c r="N118" s="1"/>
      <c r="O118" s="880"/>
    </row>
    <row r="119" spans="1:15" s="1199" customFormat="1" ht="24" customHeight="1">
      <c r="A119" s="1605" t="s">
        <v>1963</v>
      </c>
      <c r="B119" s="1606" t="s">
        <v>1938</v>
      </c>
      <c r="C119" s="1607"/>
      <c r="D119" s="1608"/>
      <c r="E119" s="1609"/>
      <c r="F119" s="1642"/>
      <c r="G119" s="1611"/>
      <c r="H119" s="1255"/>
      <c r="I119" s="1256"/>
      <c r="J119" s="1255"/>
      <c r="K119" s="1502"/>
      <c r="L119" s="1713"/>
      <c r="N119" s="1"/>
      <c r="O119" s="1"/>
    </row>
    <row r="120" spans="1:15" s="1199" customFormat="1" ht="24" customHeight="1">
      <c r="A120" s="1564" t="s">
        <v>1964</v>
      </c>
      <c r="B120" s="1565" t="s">
        <v>1940</v>
      </c>
      <c r="C120" s="1533"/>
      <c r="D120" s="1534"/>
      <c r="E120" s="1566">
        <v>4</v>
      </c>
      <c r="F120" s="1564" t="s">
        <v>363</v>
      </c>
      <c r="G120" s="1516">
        <v>4460</v>
      </c>
      <c r="H120" s="1264">
        <f>ROUND(E120*G120,)</f>
        <v>17840</v>
      </c>
      <c r="I120" s="1265">
        <f>G120*0.1</f>
        <v>446</v>
      </c>
      <c r="J120" s="1264">
        <f>ROUND(I120*E120,)</f>
        <v>1784</v>
      </c>
      <c r="K120" s="1273">
        <f>H120+J120</f>
        <v>19624</v>
      </c>
      <c r="L120" s="1635"/>
      <c r="N120" s="1"/>
      <c r="O120" s="1"/>
    </row>
    <row r="121" spans="1:15" s="1199" customFormat="1" ht="24" customHeight="1">
      <c r="A121" s="1564" t="s">
        <v>1965</v>
      </c>
      <c r="B121" s="1565" t="s">
        <v>1942</v>
      </c>
      <c r="C121" s="1533"/>
      <c r="D121" s="1534"/>
      <c r="E121" s="1566">
        <v>4</v>
      </c>
      <c r="F121" s="1564" t="s">
        <v>363</v>
      </c>
      <c r="G121" s="1516">
        <v>6180</v>
      </c>
      <c r="H121" s="1264">
        <f>ROUND(E121*G121,)</f>
        <v>24720</v>
      </c>
      <c r="I121" s="1265">
        <f>G121*0.1</f>
        <v>618</v>
      </c>
      <c r="J121" s="1264">
        <f>ROUND(I121*E121,)</f>
        <v>2472</v>
      </c>
      <c r="K121" s="1273">
        <f>H121+J121</f>
        <v>27192</v>
      </c>
      <c r="L121" s="1638"/>
    </row>
    <row r="122" spans="1:15" s="1199" customFormat="1" ht="24" customHeight="1">
      <c r="A122" s="1564" t="s">
        <v>1966</v>
      </c>
      <c r="B122" s="1565" t="s">
        <v>1944</v>
      </c>
      <c r="C122" s="1533"/>
      <c r="D122" s="1534"/>
      <c r="E122" s="1566"/>
      <c r="F122" s="1564" t="s">
        <v>363</v>
      </c>
      <c r="G122" s="1516"/>
      <c r="H122" s="1264"/>
      <c r="I122" s="1265"/>
      <c r="J122" s="1264"/>
      <c r="K122" s="1273"/>
      <c r="L122" s="1638"/>
    </row>
    <row r="123" spans="1:15" s="1199" customFormat="1" ht="24" customHeight="1">
      <c r="A123" s="1564"/>
      <c r="B123" s="1565" t="s">
        <v>1117</v>
      </c>
      <c r="C123" s="1533"/>
      <c r="D123" s="1534"/>
      <c r="E123" s="1566"/>
      <c r="F123" s="1564"/>
      <c r="G123" s="1516"/>
      <c r="H123" s="1298"/>
      <c r="I123" s="1299"/>
      <c r="J123" s="1298"/>
      <c r="K123" s="1382"/>
      <c r="L123" s="1638"/>
    </row>
    <row r="124" spans="1:15" s="1199" customFormat="1" ht="24" customHeight="1">
      <c r="A124" s="1564"/>
      <c r="B124" s="1565" t="s">
        <v>1896</v>
      </c>
      <c r="C124" s="1533"/>
      <c r="D124" s="1534"/>
      <c r="E124" s="1566"/>
      <c r="F124" s="1564"/>
      <c r="G124" s="1516"/>
      <c r="H124" s="1298"/>
      <c r="I124" s="1299"/>
      <c r="J124" s="1298"/>
      <c r="K124" s="1382"/>
      <c r="L124" s="1638"/>
    </row>
    <row r="125" spans="1:15" s="1199" customFormat="1" ht="24" customHeight="1">
      <c r="A125" s="1449"/>
      <c r="B125" s="1565" t="s">
        <v>1896</v>
      </c>
      <c r="C125" s="1437"/>
      <c r="D125" s="1278"/>
      <c r="E125" s="1651"/>
      <c r="F125" s="1296"/>
      <c r="G125" s="1516"/>
      <c r="H125" s="1298"/>
      <c r="I125" s="1299"/>
      <c r="J125" s="1298"/>
      <c r="K125" s="1382"/>
      <c r="L125" s="1638"/>
    </row>
    <row r="126" spans="1:15" s="1199" customFormat="1" ht="24" customHeight="1">
      <c r="A126" s="1578"/>
      <c r="B126" s="2257" t="str">
        <f>"รวมราคารายการที่ "&amp;A119</f>
        <v>รวมราคารายการที่ 6.6</v>
      </c>
      <c r="C126" s="2258"/>
      <c r="D126" s="2259"/>
      <c r="E126" s="1579"/>
      <c r="F126" s="1579"/>
      <c r="G126" s="1580"/>
      <c r="H126" s="1581">
        <f>SUM(H120:H125)</f>
        <v>42560</v>
      </c>
      <c r="I126" s="1582"/>
      <c r="J126" s="1581">
        <f>SUM(J120:J125)</f>
        <v>4256</v>
      </c>
      <c r="K126" s="1583">
        <f>SUM(K120:K125)</f>
        <v>46816</v>
      </c>
      <c r="L126" s="1630"/>
    </row>
    <row r="127" spans="1:15" s="1199" customFormat="1" ht="24" customHeight="1">
      <c r="A127" s="1620" t="s">
        <v>1967</v>
      </c>
      <c r="B127" s="1621" t="s">
        <v>1424</v>
      </c>
      <c r="C127" s="1622"/>
      <c r="D127" s="1623"/>
      <c r="E127" s="1624">
        <v>1</v>
      </c>
      <c r="F127" s="1637" t="s">
        <v>1104</v>
      </c>
      <c r="G127" s="1708" t="s">
        <v>1952</v>
      </c>
      <c r="H127" s="1264"/>
      <c r="I127" s="1299"/>
      <c r="J127" s="1264"/>
      <c r="K127" s="1273"/>
      <c r="L127" s="1638"/>
    </row>
    <row r="128" spans="1:15" s="1199" customFormat="1" ht="24" customHeight="1">
      <c r="A128" s="1637"/>
      <c r="B128" s="1636"/>
      <c r="C128" s="1622"/>
      <c r="D128" s="1623"/>
      <c r="E128" s="1624"/>
      <c r="F128" s="1637"/>
      <c r="G128" s="1708"/>
      <c r="H128" s="1264"/>
      <c r="I128" s="1299"/>
      <c r="J128" s="1264"/>
      <c r="K128" s="1273"/>
      <c r="L128" s="1638"/>
    </row>
    <row r="129" spans="1:12" s="1199" customFormat="1" ht="24" customHeight="1">
      <c r="A129" s="1637"/>
      <c r="B129" s="1636"/>
      <c r="C129" s="1622"/>
      <c r="D129" s="1623"/>
      <c r="E129" s="1624"/>
      <c r="F129" s="1637"/>
      <c r="G129" s="1708"/>
      <c r="H129" s="1264"/>
      <c r="I129" s="1299"/>
      <c r="J129" s="1264"/>
      <c r="K129" s="1273"/>
      <c r="L129" s="1638"/>
    </row>
    <row r="130" spans="1:12" s="1199" customFormat="1" ht="24" customHeight="1">
      <c r="A130" s="1637"/>
      <c r="B130" s="1636"/>
      <c r="C130" s="1622"/>
      <c r="D130" s="1623"/>
      <c r="E130" s="1624"/>
      <c r="F130" s="1637"/>
      <c r="G130" s="1708"/>
      <c r="H130" s="1264"/>
      <c r="I130" s="1299"/>
      <c r="J130" s="1264"/>
      <c r="K130" s="1273"/>
      <c r="L130" s="1638"/>
    </row>
    <row r="131" spans="1:12" s="1199" customFormat="1" ht="24" customHeight="1">
      <c r="A131" s="1637"/>
      <c r="B131" s="1636"/>
      <c r="C131" s="1622"/>
      <c r="D131" s="1623"/>
      <c r="E131" s="1624"/>
      <c r="F131" s="1637"/>
      <c r="G131" s="1708"/>
      <c r="H131" s="1264"/>
      <c r="I131" s="1299"/>
      <c r="J131" s="1264"/>
      <c r="K131" s="1273"/>
      <c r="L131" s="1638"/>
    </row>
    <row r="132" spans="1:12" s="1199" customFormat="1" ht="24" customHeight="1">
      <c r="A132" s="1637"/>
      <c r="B132" s="1636"/>
      <c r="C132" s="1622"/>
      <c r="D132" s="1623"/>
      <c r="E132" s="1624"/>
      <c r="F132" s="1637"/>
      <c r="G132" s="1708"/>
      <c r="H132" s="1264"/>
      <c r="I132" s="1299"/>
      <c r="J132" s="1264"/>
      <c r="K132" s="1273"/>
      <c r="L132" s="1638"/>
    </row>
    <row r="133" spans="1:12" s="1199" customFormat="1" ht="24" customHeight="1">
      <c r="A133" s="1637"/>
      <c r="B133" s="1636"/>
      <c r="C133" s="1622"/>
      <c r="D133" s="1623"/>
      <c r="E133" s="1624"/>
      <c r="F133" s="1637"/>
      <c r="G133" s="1708"/>
      <c r="H133" s="1264"/>
      <c r="I133" s="1299"/>
      <c r="J133" s="1264"/>
      <c r="K133" s="1273"/>
      <c r="L133" s="1638"/>
    </row>
    <row r="134" spans="1:12" s="1199" customFormat="1" ht="24" customHeight="1">
      <c r="A134" s="1578"/>
      <c r="B134" s="2257" t="str">
        <f>"รวมราคารายการที่ "&amp;A127</f>
        <v>รวมราคารายการที่ 6.7</v>
      </c>
      <c r="C134" s="2258"/>
      <c r="D134" s="2259"/>
      <c r="E134" s="1579"/>
      <c r="F134" s="1579"/>
      <c r="G134" s="1580"/>
      <c r="H134" s="1581">
        <f>SUM(H127:H133)</f>
        <v>0</v>
      </c>
      <c r="I134" s="1582"/>
      <c r="J134" s="1581">
        <f>SUM(J127:J133)</f>
        <v>0</v>
      </c>
      <c r="K134" s="1583">
        <f>SUM(K127:K133)</f>
        <v>0</v>
      </c>
      <c r="L134" s="1630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6">
    <mergeCell ref="L7:L8"/>
    <mergeCell ref="A9:A10"/>
    <mergeCell ref="B9:D10"/>
    <mergeCell ref="E9:E10"/>
    <mergeCell ref="F9:F10"/>
    <mergeCell ref="G9:H9"/>
    <mergeCell ref="I9:J9"/>
    <mergeCell ref="L9:L10"/>
    <mergeCell ref="B126:D126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1-อาคารด้านทิศตะวันตก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DFD18-1F8E-42CB-93A3-B8D06C1DE528}">
  <sheetPr>
    <tabColor rgb="FFF42CBB"/>
  </sheetPr>
  <dimension ref="A1:O156"/>
  <sheetViews>
    <sheetView showGridLines="0" view="pageBreakPreview" topLeftCell="A121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29296875" style="1" customWidth="1"/>
    <col min="13" max="13" width="10.5859375" style="1" customWidth="1"/>
    <col min="14" max="91" width="7.703125" style="1" customWidth="1"/>
    <col min="92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1968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801066</v>
      </c>
      <c r="I12" s="1197"/>
      <c r="J12" s="1196">
        <f>J59</f>
        <v>347154</v>
      </c>
      <c r="K12" s="1553">
        <f t="shared" ref="K12:K17" si="0">SUM(H12:J12)</f>
        <v>1148220</v>
      </c>
      <c r="L12" s="1627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627"/>
    </row>
    <row r="14" spans="1:12" s="1199" customFormat="1" ht="24" customHeight="1">
      <c r="A14" s="1564" t="str">
        <f>A77</f>
        <v>6.3</v>
      </c>
      <c r="B14" s="1565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143960</v>
      </c>
      <c r="I14" s="1197"/>
      <c r="J14" s="1196">
        <f>J84</f>
        <v>42825</v>
      </c>
      <c r="K14" s="1553">
        <f t="shared" si="0"/>
        <v>186785</v>
      </c>
      <c r="L14" s="1627"/>
    </row>
    <row r="15" spans="1:12" s="1199" customFormat="1" ht="24" customHeight="1">
      <c r="A15" s="1642">
        <f>A85</f>
        <v>6.4</v>
      </c>
      <c r="B15" s="1643" t="str">
        <f>B85</f>
        <v>ตู้ดับเพลิงและถังดับเพลิงชนิดมือถือ (Fire Hose Cabinet &amp; Portable Fire Extinguisher)</v>
      </c>
      <c r="C15" s="1607"/>
      <c r="D15" s="1608"/>
      <c r="E15" s="1644">
        <v>1</v>
      </c>
      <c r="F15" s="1610" t="s">
        <v>19</v>
      </c>
      <c r="G15" s="1645"/>
      <c r="H15" s="1646">
        <f>H109</f>
        <v>242950</v>
      </c>
      <c r="I15" s="1647"/>
      <c r="J15" s="1646">
        <f>J109</f>
        <v>14840</v>
      </c>
      <c r="K15" s="1553">
        <f t="shared" si="0"/>
        <v>257790</v>
      </c>
      <c r="L15" s="1648"/>
    </row>
    <row r="16" spans="1:12" s="1199" customFormat="1" ht="24" customHeight="1">
      <c r="A16" s="1641" t="str">
        <f>A110</f>
        <v>6.5</v>
      </c>
      <c r="B16" s="1573" t="str">
        <f>B110</f>
        <v>ระบบไฟฟ้าและควบคุม (Electrical &amp; Control System) สำหรับระบบป้องกันอัคคีภัย</v>
      </c>
      <c r="C16" s="1574"/>
      <c r="D16" s="1575"/>
      <c r="E16" s="1598">
        <v>1</v>
      </c>
      <c r="F16" s="1577" t="s">
        <v>19</v>
      </c>
      <c r="G16" s="1228"/>
      <c r="H16" s="1229">
        <f>H118</f>
        <v>42560</v>
      </c>
      <c r="I16" s="1230"/>
      <c r="J16" s="1229">
        <f>J118</f>
        <v>4256</v>
      </c>
      <c r="K16" s="1553">
        <f t="shared" si="0"/>
        <v>46816</v>
      </c>
      <c r="L16" s="1628"/>
    </row>
    <row r="17" spans="1:12" s="1199" customFormat="1" ht="24" customHeight="1">
      <c r="A17" s="1564">
        <f>A119</f>
        <v>6.6</v>
      </c>
      <c r="B17" s="1565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627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627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627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4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2</v>
      </c>
      <c r="C34" s="2258"/>
      <c r="D34" s="2259"/>
      <c r="E34" s="1579"/>
      <c r="F34" s="1579"/>
      <c r="G34" s="1580"/>
      <c r="H34" s="1581">
        <f>SUM(H12:H33)</f>
        <v>1443468</v>
      </c>
      <c r="I34" s="1582"/>
      <c r="J34" s="1581">
        <f>SUM(J12:J33)</f>
        <v>423075</v>
      </c>
      <c r="K34" s="1583">
        <f>SUM(K12:K33)</f>
        <v>1866543</v>
      </c>
      <c r="L34" s="1630"/>
      <c r="M34" s="1214"/>
    </row>
    <row r="35" spans="1:14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638"/>
    </row>
    <row r="36" spans="1:14" s="1199" customFormat="1" ht="24" customHeight="1">
      <c r="A36" s="1620" t="s">
        <v>1899</v>
      </c>
      <c r="B36" s="1591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635"/>
    </row>
    <row r="37" spans="1:14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4" s="1199" customFormat="1" ht="24" customHeight="1">
      <c r="A38" s="1564"/>
      <c r="B38" s="1565" t="s">
        <v>1901</v>
      </c>
      <c r="C38" s="1533"/>
      <c r="D38" s="1534"/>
      <c r="E38" s="1688">
        <v>1225</v>
      </c>
      <c r="F38" s="1567" t="s">
        <v>226</v>
      </c>
      <c r="G38" s="1516">
        <v>78</v>
      </c>
      <c r="H38" s="1264">
        <f t="shared" ref="H38:H51" si="1">ROUND(E38*G38,)</f>
        <v>95550</v>
      </c>
      <c r="I38" s="1265">
        <v>45</v>
      </c>
      <c r="J38" s="1264">
        <f t="shared" ref="J38:J51" si="2">ROUND(I38*E38,)</f>
        <v>55125</v>
      </c>
      <c r="K38" s="1273">
        <f t="shared" ref="K38:K51" si="3">H38+J38</f>
        <v>150675</v>
      </c>
      <c r="L38" s="1273"/>
      <c r="N38" s="1691"/>
    </row>
    <row r="39" spans="1:14" s="1199" customFormat="1" ht="24" customHeight="1">
      <c r="A39" s="1564"/>
      <c r="B39" s="1565" t="s">
        <v>1338</v>
      </c>
      <c r="C39" s="1533"/>
      <c r="D39" s="1534"/>
      <c r="E39" s="1688">
        <v>140</v>
      </c>
      <c r="F39" s="1567" t="s">
        <v>226</v>
      </c>
      <c r="G39" s="1516">
        <v>105</v>
      </c>
      <c r="H39" s="1264">
        <f t="shared" si="1"/>
        <v>14700</v>
      </c>
      <c r="I39" s="1299">
        <v>60</v>
      </c>
      <c r="J39" s="1264">
        <f t="shared" si="2"/>
        <v>8400</v>
      </c>
      <c r="K39" s="1273">
        <f t="shared" si="3"/>
        <v>23100</v>
      </c>
      <c r="L39" s="1382"/>
    </row>
    <row r="40" spans="1:14" s="1199" customFormat="1" ht="24" customHeight="1">
      <c r="A40" s="1564"/>
      <c r="B40" s="1565" t="s">
        <v>1339</v>
      </c>
      <c r="C40" s="1533"/>
      <c r="D40" s="1534"/>
      <c r="E40" s="1688">
        <v>78</v>
      </c>
      <c r="F40" s="1567" t="s">
        <v>226</v>
      </c>
      <c r="G40" s="1661">
        <v>126</v>
      </c>
      <c r="H40" s="1264">
        <f t="shared" si="1"/>
        <v>9828</v>
      </c>
      <c r="I40" s="1589">
        <v>70</v>
      </c>
      <c r="J40" s="1264">
        <f t="shared" si="2"/>
        <v>5460</v>
      </c>
      <c r="K40" s="1273">
        <f t="shared" si="3"/>
        <v>15288</v>
      </c>
      <c r="L40" s="1382"/>
    </row>
    <row r="41" spans="1:14" s="1199" customFormat="1" ht="24" customHeight="1">
      <c r="A41" s="1564"/>
      <c r="B41" s="1565" t="s">
        <v>1340</v>
      </c>
      <c r="C41" s="1533"/>
      <c r="D41" s="1534"/>
      <c r="E41" s="1688">
        <v>325</v>
      </c>
      <c r="F41" s="1567" t="s">
        <v>226</v>
      </c>
      <c r="G41" s="1661">
        <v>169</v>
      </c>
      <c r="H41" s="1264">
        <f t="shared" si="1"/>
        <v>54925</v>
      </c>
      <c r="I41" s="1589">
        <v>95</v>
      </c>
      <c r="J41" s="1264">
        <f t="shared" si="2"/>
        <v>30875</v>
      </c>
      <c r="K41" s="1273">
        <f t="shared" si="3"/>
        <v>85800</v>
      </c>
      <c r="L41" s="1382"/>
    </row>
    <row r="42" spans="1:14" s="1199" customFormat="1" ht="24" customHeight="1">
      <c r="A42" s="1564"/>
      <c r="B42" s="1565" t="s">
        <v>1341</v>
      </c>
      <c r="C42" s="1533"/>
      <c r="D42" s="1534"/>
      <c r="E42" s="1688">
        <v>225</v>
      </c>
      <c r="F42" s="1567" t="s">
        <v>226</v>
      </c>
      <c r="G42" s="1661">
        <v>268</v>
      </c>
      <c r="H42" s="1264">
        <f t="shared" si="1"/>
        <v>60300</v>
      </c>
      <c r="I42" s="1589">
        <v>150</v>
      </c>
      <c r="J42" s="1264">
        <f t="shared" si="2"/>
        <v>33750</v>
      </c>
      <c r="K42" s="1273">
        <f t="shared" si="3"/>
        <v>94050</v>
      </c>
      <c r="L42" s="1382"/>
    </row>
    <row r="43" spans="1:14" s="1199" customFormat="1" ht="24" customHeight="1">
      <c r="A43" s="1564"/>
      <c r="B43" s="1565" t="s">
        <v>1342</v>
      </c>
      <c r="C43" s="1533"/>
      <c r="D43" s="1534"/>
      <c r="E43" s="1688">
        <v>137</v>
      </c>
      <c r="F43" s="1567" t="s">
        <v>226</v>
      </c>
      <c r="G43" s="1661">
        <v>350</v>
      </c>
      <c r="H43" s="1264">
        <f t="shared" si="1"/>
        <v>47950</v>
      </c>
      <c r="I43" s="1589">
        <v>200</v>
      </c>
      <c r="J43" s="1264">
        <f t="shared" si="2"/>
        <v>27400</v>
      </c>
      <c r="K43" s="1273">
        <f t="shared" si="3"/>
        <v>75350</v>
      </c>
      <c r="L43" s="1382"/>
    </row>
    <row r="44" spans="1:14" s="1199" customFormat="1" ht="24" customHeight="1">
      <c r="A44" s="1564"/>
      <c r="B44" s="1565" t="s">
        <v>1759</v>
      </c>
      <c r="C44" s="1533"/>
      <c r="D44" s="1534"/>
      <c r="E44" s="1688">
        <v>74</v>
      </c>
      <c r="F44" s="1567" t="s">
        <v>226</v>
      </c>
      <c r="G44" s="1661">
        <v>499</v>
      </c>
      <c r="H44" s="1264">
        <f t="shared" si="1"/>
        <v>36926</v>
      </c>
      <c r="I44" s="1589">
        <v>280</v>
      </c>
      <c r="J44" s="1264">
        <f t="shared" si="2"/>
        <v>20720</v>
      </c>
      <c r="K44" s="1273">
        <f t="shared" si="3"/>
        <v>57646</v>
      </c>
      <c r="L44" s="1382"/>
    </row>
    <row r="45" spans="1:14" s="1199" customFormat="1" ht="24" customHeight="1">
      <c r="A45" s="1564"/>
      <c r="B45" s="1565" t="s">
        <v>1754</v>
      </c>
      <c r="C45" s="1533"/>
      <c r="D45" s="1534"/>
      <c r="E45" s="1688">
        <v>87</v>
      </c>
      <c r="F45" s="1567" t="s">
        <v>226</v>
      </c>
      <c r="G45" s="1661">
        <v>877</v>
      </c>
      <c r="H45" s="1264">
        <f t="shared" si="1"/>
        <v>76299</v>
      </c>
      <c r="I45" s="1589">
        <v>500</v>
      </c>
      <c r="J45" s="1264">
        <f t="shared" si="2"/>
        <v>43500</v>
      </c>
      <c r="K45" s="1273">
        <f t="shared" si="3"/>
        <v>119799</v>
      </c>
      <c r="L45" s="1382"/>
    </row>
    <row r="46" spans="1:14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4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4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158591</v>
      </c>
      <c r="H48" s="1264">
        <f t="shared" si="1"/>
        <v>158591</v>
      </c>
      <c r="I48" s="1589">
        <f>ROUND(G48*0.3,)</f>
        <v>47577</v>
      </c>
      <c r="J48" s="1264">
        <f t="shared" si="2"/>
        <v>47577</v>
      </c>
      <c r="K48" s="1273">
        <f t="shared" si="3"/>
        <v>206168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79296</v>
      </c>
      <c r="H49" s="1264">
        <f t="shared" si="1"/>
        <v>79296</v>
      </c>
      <c r="I49" s="1589">
        <f>ROUND(G49*0.3,)</f>
        <v>23789</v>
      </c>
      <c r="J49" s="1264">
        <f t="shared" si="2"/>
        <v>23789</v>
      </c>
      <c r="K49" s="1273">
        <f t="shared" si="3"/>
        <v>103085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39648</v>
      </c>
      <c r="H50" s="1264">
        <f t="shared" si="1"/>
        <v>39648</v>
      </c>
      <c r="I50" s="1589">
        <f>ROUND(G50*0.3,)</f>
        <v>11894</v>
      </c>
      <c r="J50" s="1264">
        <f t="shared" si="2"/>
        <v>11894</v>
      </c>
      <c r="K50" s="1273">
        <f t="shared" si="3"/>
        <v>51542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118943</v>
      </c>
      <c r="H51" s="1264">
        <f t="shared" si="1"/>
        <v>118943</v>
      </c>
      <c r="I51" s="1589">
        <f>ROUND(G51*0.3,)</f>
        <v>35683</v>
      </c>
      <c r="J51" s="1264">
        <f t="shared" si="2"/>
        <v>35683</v>
      </c>
      <c r="K51" s="1273">
        <f t="shared" si="3"/>
        <v>154626</v>
      </c>
      <c r="L51" s="1382"/>
    </row>
    <row r="52" spans="1:15" s="1199" customFormat="1" ht="24" customHeight="1">
      <c r="A52" s="1564"/>
      <c r="B52" s="1597"/>
      <c r="C52" s="1533"/>
      <c r="D52" s="1534"/>
      <c r="E52" s="1566"/>
      <c r="F52" s="1567"/>
      <c r="G52" s="1516"/>
      <c r="H52" s="1264"/>
      <c r="I52" s="1265"/>
      <c r="J52" s="1264"/>
      <c r="K52" s="1273"/>
      <c r="L52" s="1638"/>
    </row>
    <row r="53" spans="1:15" s="1199" customFormat="1" ht="24" customHeight="1">
      <c r="A53" s="1564" t="s">
        <v>1868</v>
      </c>
      <c r="B53" s="1565" t="s">
        <v>1869</v>
      </c>
      <c r="C53" s="1533"/>
      <c r="D53" s="1534"/>
      <c r="E53" s="1566"/>
      <c r="F53" s="1567"/>
      <c r="G53" s="1516"/>
      <c r="H53" s="1298"/>
      <c r="I53" s="1299"/>
      <c r="J53" s="1298"/>
      <c r="K53" s="1382"/>
      <c r="L53" s="1382"/>
    </row>
    <row r="54" spans="1:15" s="1199" customFormat="1" ht="24" customHeight="1">
      <c r="A54" s="1564"/>
      <c r="B54" s="1565" t="s">
        <v>1901</v>
      </c>
      <c r="C54" s="1533"/>
      <c r="D54" s="1534"/>
      <c r="E54" s="825">
        <v>5</v>
      </c>
      <c r="F54" s="1567" t="s">
        <v>226</v>
      </c>
      <c r="G54" s="1516">
        <v>124</v>
      </c>
      <c r="H54" s="1264">
        <f>ROUND(E54*G54,)</f>
        <v>620</v>
      </c>
      <c r="I54" s="1265">
        <v>50</v>
      </c>
      <c r="J54" s="1264">
        <f t="shared" ref="J54:J55" si="4">ROUND(I54*E54,)</f>
        <v>250</v>
      </c>
      <c r="K54" s="1273">
        <f t="shared" ref="K54:K55" si="5">H54+J54</f>
        <v>870</v>
      </c>
      <c r="L54" s="2082" t="s">
        <v>2667</v>
      </c>
      <c r="N54" s="1199">
        <v>745.96</v>
      </c>
      <c r="O54" s="1199">
        <f>ROUND(N54/6,)</f>
        <v>124</v>
      </c>
    </row>
    <row r="55" spans="1:15" s="1199" customFormat="1" ht="24" customHeight="1">
      <c r="A55" s="1564"/>
      <c r="B55" s="1565" t="s">
        <v>1340</v>
      </c>
      <c r="C55" s="1533"/>
      <c r="D55" s="1534"/>
      <c r="E55" s="825">
        <v>15</v>
      </c>
      <c r="F55" s="1567" t="s">
        <v>226</v>
      </c>
      <c r="G55" s="1516">
        <v>259</v>
      </c>
      <c r="H55" s="1264">
        <f t="shared" ref="H55" si="6">ROUND(E55*G55,)</f>
        <v>3885</v>
      </c>
      <c r="I55" s="1299">
        <v>110</v>
      </c>
      <c r="J55" s="1264">
        <f t="shared" si="4"/>
        <v>1650</v>
      </c>
      <c r="K55" s="1273">
        <f t="shared" si="5"/>
        <v>5535</v>
      </c>
      <c r="L55" s="2082" t="s">
        <v>2667</v>
      </c>
      <c r="N55" s="1199">
        <v>1554.48</v>
      </c>
      <c r="O55" s="1199">
        <f>ROUND(N55/6,)</f>
        <v>259</v>
      </c>
    </row>
    <row r="56" spans="1:15" s="1199" customFormat="1" ht="24" customHeight="1">
      <c r="A56" s="1564"/>
      <c r="B56" s="1565" t="s">
        <v>1719</v>
      </c>
      <c r="C56" s="1533"/>
      <c r="D56" s="1534"/>
      <c r="E56" s="1686">
        <v>1</v>
      </c>
      <c r="F56" s="1402" t="s">
        <v>1104</v>
      </c>
      <c r="G56" s="1661">
        <f>ROUND(SUM(H54:H55)*50%,)</f>
        <v>2253</v>
      </c>
      <c r="H56" s="1264">
        <f>ROUND(E56*G56,)</f>
        <v>2253</v>
      </c>
      <c r="I56" s="1589">
        <f>ROUND(G56*0.3,)</f>
        <v>676</v>
      </c>
      <c r="J56" s="1264">
        <f>ROUND(I56*E56,)</f>
        <v>676</v>
      </c>
      <c r="K56" s="1273">
        <f>H56+J56</f>
        <v>2929</v>
      </c>
      <c r="L56" s="1382"/>
    </row>
    <row r="57" spans="1:15" s="1199" customFormat="1" ht="24" customHeight="1">
      <c r="A57" s="1564"/>
      <c r="B57" s="1565" t="s">
        <v>1720</v>
      </c>
      <c r="C57" s="1533"/>
      <c r="D57" s="1534"/>
      <c r="E57" s="1686">
        <v>1</v>
      </c>
      <c r="F57" s="1402" t="s">
        <v>1104</v>
      </c>
      <c r="G57" s="1661">
        <f>ROUND(SUM(H54:H55)*20%,)</f>
        <v>901</v>
      </c>
      <c r="H57" s="1264">
        <f>ROUND(E57*G57,)</f>
        <v>901</v>
      </c>
      <c r="I57" s="1589">
        <f>ROUND(G57*0.3,)</f>
        <v>270</v>
      </c>
      <c r="J57" s="1264">
        <f>ROUND(I57*E57,)</f>
        <v>270</v>
      </c>
      <c r="K57" s="1273">
        <f>H57+J57</f>
        <v>1171</v>
      </c>
      <c r="L57" s="1382"/>
    </row>
    <row r="58" spans="1:15" s="1199" customFormat="1" ht="24" customHeight="1">
      <c r="A58" s="1564"/>
      <c r="B58" s="1565" t="s">
        <v>1721</v>
      </c>
      <c r="C58" s="1533"/>
      <c r="D58" s="1534"/>
      <c r="E58" s="1686">
        <v>1</v>
      </c>
      <c r="F58" s="1402" t="s">
        <v>1104</v>
      </c>
      <c r="G58" s="1661">
        <f>ROUND(SUM(H54:H55)*10%,)</f>
        <v>451</v>
      </c>
      <c r="H58" s="1264">
        <f>ROUND(E58*G58,)</f>
        <v>451</v>
      </c>
      <c r="I58" s="1589">
        <f>ROUND(G58*0.3,)</f>
        <v>135</v>
      </c>
      <c r="J58" s="1264">
        <f>ROUND(I58*E58,)</f>
        <v>135</v>
      </c>
      <c r="K58" s="1273">
        <f>H58+J58</f>
        <v>586</v>
      </c>
      <c r="L58" s="1382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SUM(H38:H58)</f>
        <v>801066</v>
      </c>
      <c r="I59" s="1582"/>
      <c r="J59" s="1581">
        <f>SUM(J38:J58)</f>
        <v>347154</v>
      </c>
      <c r="K59" s="1583">
        <f>SUM(K38:K58)</f>
        <v>1148220</v>
      </c>
      <c r="L59" s="1630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638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729"/>
      <c r="B75" s="1730"/>
      <c r="C75" s="1731"/>
      <c r="D75" s="1732"/>
      <c r="E75" s="1733"/>
      <c r="F75" s="1734"/>
      <c r="G75" s="1735"/>
      <c r="H75" s="1425"/>
      <c r="I75" s="1488"/>
      <c r="J75" s="1425"/>
      <c r="K75" s="1426"/>
      <c r="L75" s="1736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SUM(H60:H74)</f>
        <v>212932</v>
      </c>
      <c r="I76" s="1582"/>
      <c r="J76" s="1581">
        <f>SUM(J60:J74)</f>
        <v>14000</v>
      </c>
      <c r="K76" s="1583">
        <f>SUM(K60:K74)</f>
        <v>226932</v>
      </c>
      <c r="L76" s="1630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16"/>
      <c r="H77" s="1298"/>
      <c r="I77" s="1299"/>
      <c r="J77" s="1298"/>
      <c r="K77" s="1382"/>
      <c r="L77" s="1638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463</v>
      </c>
      <c r="F78" s="1676" t="s">
        <v>363</v>
      </c>
      <c r="G78" s="1516">
        <v>110</v>
      </c>
      <c r="H78" s="1264">
        <f>ROUND(E78*G78,)</f>
        <v>50930</v>
      </c>
      <c r="I78" s="1299">
        <v>75</v>
      </c>
      <c r="J78" s="1264">
        <f>ROUND(I78*E78,)</f>
        <v>34725</v>
      </c>
      <c r="K78" s="1273">
        <f>H78+J78</f>
        <v>85655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16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>
        <v>109</v>
      </c>
      <c r="F80" s="1676" t="s">
        <v>363</v>
      </c>
      <c r="G80" s="1516">
        <v>800</v>
      </c>
      <c r="H80" s="1264">
        <f>ROUND(E80*G80,)</f>
        <v>87200</v>
      </c>
      <c r="I80" s="1299">
        <v>50</v>
      </c>
      <c r="J80" s="1264">
        <f>ROUND(I80*E80,)</f>
        <v>5450</v>
      </c>
      <c r="K80" s="1273">
        <f>H80+J80</f>
        <v>92650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53</v>
      </c>
      <c r="F81" s="1676" t="s">
        <v>363</v>
      </c>
      <c r="G81" s="1516">
        <v>110</v>
      </c>
      <c r="H81" s="1264">
        <f>ROUND(E81*G81,)</f>
        <v>5830</v>
      </c>
      <c r="I81" s="1299">
        <v>50</v>
      </c>
      <c r="J81" s="1264">
        <f>ROUND(I81*E81,)</f>
        <v>2650</v>
      </c>
      <c r="K81" s="1273">
        <f>H81+J81</f>
        <v>8480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516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16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143960</v>
      </c>
      <c r="I84" s="1582"/>
      <c r="J84" s="1581">
        <f>SUM(J78:J83)</f>
        <v>42825</v>
      </c>
      <c r="K84" s="1583">
        <f>SUM(K78:K83)</f>
        <v>186785</v>
      </c>
      <c r="L84" s="1630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713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5</v>
      </c>
      <c r="F87" s="1564" t="s">
        <v>363</v>
      </c>
      <c r="G87" s="1558">
        <v>6500</v>
      </c>
      <c r="H87" s="1264">
        <f t="shared" ref="H87:H92" si="7">ROUND(E87*G87,)</f>
        <v>32500</v>
      </c>
      <c r="I87" s="1265">
        <f>G87*0.3</f>
        <v>1950</v>
      </c>
      <c r="J87" s="1264">
        <f>ROUND(I87*E87,)</f>
        <v>9750</v>
      </c>
      <c r="K87" s="1273">
        <f t="shared" ref="K87:K92" si="8">H87+J87</f>
        <v>42250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5</v>
      </c>
      <c r="F88" s="1572" t="s">
        <v>363</v>
      </c>
      <c r="G88" s="1694">
        <v>1200</v>
      </c>
      <c r="H88" s="1264">
        <f t="shared" si="7"/>
        <v>6000</v>
      </c>
      <c r="I88" s="1265" t="s">
        <v>1683</v>
      </c>
      <c r="J88" s="1264"/>
      <c r="K88" s="1273">
        <f t="shared" si="8"/>
        <v>6000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5</v>
      </c>
      <c r="F89" s="1564" t="s">
        <v>363</v>
      </c>
      <c r="G89" s="1558">
        <v>19200</v>
      </c>
      <c r="H89" s="1264">
        <f t="shared" si="7"/>
        <v>96000</v>
      </c>
      <c r="I89" s="1265" t="s">
        <v>1683</v>
      </c>
      <c r="J89" s="1264"/>
      <c r="K89" s="1273">
        <f t="shared" si="8"/>
        <v>96000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5</v>
      </c>
      <c r="F90" s="1564" t="s">
        <v>363</v>
      </c>
      <c r="G90" s="1558">
        <v>4910</v>
      </c>
      <c r="H90" s="1264">
        <f t="shared" si="7"/>
        <v>24550</v>
      </c>
      <c r="I90" s="1265" t="s">
        <v>1683</v>
      </c>
      <c r="J90" s="1264"/>
      <c r="K90" s="1273">
        <f t="shared" si="8"/>
        <v>24550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5</v>
      </c>
      <c r="F91" s="1564" t="s">
        <v>363</v>
      </c>
      <c r="G91" s="1558">
        <v>1420</v>
      </c>
      <c r="H91" s="1264">
        <f t="shared" si="7"/>
        <v>7100</v>
      </c>
      <c r="I91" s="1265" t="s">
        <v>1683</v>
      </c>
      <c r="J91" s="1264"/>
      <c r="K91" s="1273">
        <f t="shared" si="8"/>
        <v>7100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5</v>
      </c>
      <c r="F92" s="1564" t="s">
        <v>363</v>
      </c>
      <c r="G92" s="1558">
        <v>720</v>
      </c>
      <c r="H92" s="1264">
        <f t="shared" si="7"/>
        <v>3600</v>
      </c>
      <c r="I92" s="1265" t="s">
        <v>1683</v>
      </c>
      <c r="J92" s="1264"/>
      <c r="K92" s="1273">
        <f t="shared" si="8"/>
        <v>3600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/>
      <c r="B100" s="1636"/>
      <c r="C100" s="1622"/>
      <c r="D100" s="1623"/>
      <c r="E100" s="1624"/>
      <c r="F100" s="1637"/>
      <c r="G100" s="1558"/>
      <c r="H100" s="1264"/>
      <c r="I100" s="1265"/>
      <c r="J100" s="1264"/>
      <c r="K100" s="1273"/>
      <c r="L100" s="1687"/>
    </row>
    <row r="101" spans="1:12" s="1199" customFormat="1" ht="24" customHeight="1">
      <c r="A101" s="1637" t="s">
        <v>1933</v>
      </c>
      <c r="B101" s="1636" t="s">
        <v>1934</v>
      </c>
      <c r="C101" s="1622"/>
      <c r="D101" s="1623"/>
      <c r="E101" s="1624"/>
      <c r="F101" s="1637"/>
      <c r="G101" s="1558"/>
      <c r="H101" s="1264"/>
      <c r="I101" s="1695"/>
      <c r="J101" s="1264"/>
      <c r="K101" s="1687"/>
      <c r="L101" s="1687"/>
    </row>
    <row r="102" spans="1:12" s="1199" customFormat="1" ht="24" customHeight="1">
      <c r="A102" s="1564"/>
      <c r="B102" s="1565" t="s">
        <v>1935</v>
      </c>
      <c r="C102" s="1533"/>
      <c r="D102" s="1534"/>
      <c r="E102" s="1566">
        <v>4</v>
      </c>
      <c r="F102" s="1564" t="s">
        <v>363</v>
      </c>
      <c r="G102" s="1558">
        <v>1000</v>
      </c>
      <c r="H102" s="1264">
        <f>ROUND(E102*G102,)</f>
        <v>4000</v>
      </c>
      <c r="I102" s="1695">
        <v>200</v>
      </c>
      <c r="J102" s="1264">
        <f>ROUND(I102*E102,)</f>
        <v>800</v>
      </c>
      <c r="K102" s="1273">
        <f>H102+J102</f>
        <v>4800</v>
      </c>
      <c r="L102" s="1687"/>
    </row>
    <row r="103" spans="1:12" s="1199" customFormat="1" ht="24" customHeight="1">
      <c r="A103" s="1572"/>
      <c r="B103" s="1573" t="s">
        <v>1936</v>
      </c>
      <c r="C103" s="1574"/>
      <c r="D103" s="1575"/>
      <c r="E103" s="1598"/>
      <c r="F103" s="1572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1937</v>
      </c>
      <c r="C104" s="1533"/>
      <c r="D104" s="1534"/>
      <c r="E104" s="1566"/>
      <c r="F104" s="1564" t="s">
        <v>363</v>
      </c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 t="s">
        <v>1117</v>
      </c>
      <c r="C105" s="1533"/>
      <c r="D105" s="1534"/>
      <c r="E105" s="1566"/>
      <c r="F105" s="1564"/>
      <c r="G105" s="1558"/>
      <c r="H105" s="1264"/>
      <c r="I105" s="1265"/>
      <c r="J105" s="1264"/>
      <c r="K105" s="1273"/>
      <c r="L105" s="1687"/>
    </row>
    <row r="106" spans="1:12" s="1199" customFormat="1" ht="24" customHeight="1">
      <c r="A106" s="1637"/>
      <c r="B106" s="1636"/>
      <c r="C106" s="1622"/>
      <c r="D106" s="1623"/>
      <c r="E106" s="1624"/>
      <c r="F106" s="1637"/>
      <c r="G106" s="1558"/>
      <c r="H106" s="1264"/>
      <c r="I106" s="1265"/>
      <c r="J106" s="1264"/>
      <c r="K106" s="1273"/>
      <c r="L106" s="1687"/>
    </row>
    <row r="107" spans="1:12" s="1199" customFormat="1" ht="24" customHeight="1">
      <c r="A107" s="1637"/>
      <c r="B107" s="1636"/>
      <c r="C107" s="1622"/>
      <c r="D107" s="1623"/>
      <c r="E107" s="1624"/>
      <c r="F107" s="1637"/>
      <c r="G107" s="1558"/>
      <c r="H107" s="1264"/>
      <c r="I107" s="1695"/>
      <c r="J107" s="1264"/>
      <c r="K107" s="1687"/>
      <c r="L107" s="1687"/>
    </row>
    <row r="108" spans="1:12" s="1199" customFormat="1" ht="24" customHeight="1">
      <c r="A108" s="1564"/>
      <c r="B108" s="1565"/>
      <c r="C108" s="1533"/>
      <c r="D108" s="1534"/>
      <c r="E108" s="1566"/>
      <c r="F108" s="1564"/>
      <c r="G108" s="1558"/>
      <c r="H108" s="1264"/>
      <c r="I108" s="1265"/>
      <c r="J108" s="1264"/>
      <c r="K108" s="1273"/>
      <c r="L108" s="168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SUM(H86:H105)</f>
        <v>242950</v>
      </c>
      <c r="I109" s="1582"/>
      <c r="J109" s="1581">
        <f>SUM(J86:J105)</f>
        <v>14840</v>
      </c>
      <c r="K109" s="1583">
        <f>SUM(K86:K105)</f>
        <v>257790</v>
      </c>
      <c r="L109" s="1630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713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635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638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638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638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638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638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638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630"/>
    </row>
    <row r="119" spans="1:12" s="1199" customFormat="1" ht="24" customHeight="1">
      <c r="A119" s="1590">
        <v>6.6</v>
      </c>
      <c r="B119" s="1568" t="s">
        <v>1424</v>
      </c>
      <c r="C119" s="1533"/>
      <c r="D119" s="1534"/>
      <c r="E119" s="1566">
        <v>1</v>
      </c>
      <c r="F119" s="1564" t="s">
        <v>1104</v>
      </c>
      <c r="G119" s="1708" t="s">
        <v>1952</v>
      </c>
      <c r="H119" s="1298"/>
      <c r="I119" s="1299"/>
      <c r="J119" s="1298"/>
      <c r="K119" s="1382"/>
      <c r="L119" s="1638"/>
    </row>
    <row r="120" spans="1:12" s="1199" customFormat="1" ht="24" customHeight="1">
      <c r="A120" s="1564"/>
      <c r="B120" s="1565"/>
      <c r="C120" s="1533"/>
      <c r="D120" s="1534"/>
      <c r="E120" s="1566"/>
      <c r="F120" s="1564"/>
      <c r="G120" s="1516"/>
      <c r="H120" s="1298"/>
      <c r="I120" s="1299"/>
      <c r="J120" s="1298"/>
      <c r="K120" s="1382"/>
      <c r="L120" s="1638"/>
    </row>
    <row r="121" spans="1:12" s="1199" customFormat="1" ht="24" customHeight="1">
      <c r="A121" s="1564"/>
      <c r="B121" s="1565"/>
      <c r="C121" s="1533"/>
      <c r="D121" s="1534"/>
      <c r="E121" s="1566"/>
      <c r="F121" s="1564"/>
      <c r="G121" s="1516"/>
      <c r="H121" s="1298"/>
      <c r="I121" s="1299"/>
      <c r="J121" s="1298"/>
      <c r="K121" s="1382"/>
      <c r="L121" s="1638"/>
    </row>
    <row r="122" spans="1:12" s="1199" customFormat="1" ht="24" customHeight="1">
      <c r="A122" s="1564"/>
      <c r="B122" s="1565"/>
      <c r="C122" s="1533"/>
      <c r="D122" s="1534"/>
      <c r="E122" s="1566"/>
      <c r="F122" s="1564"/>
      <c r="G122" s="1516"/>
      <c r="H122" s="1298"/>
      <c r="I122" s="1299"/>
      <c r="J122" s="1298"/>
      <c r="K122" s="1382"/>
      <c r="L122" s="1638"/>
    </row>
    <row r="123" spans="1:12" s="1199" customFormat="1" ht="24" customHeight="1">
      <c r="A123" s="1564"/>
      <c r="B123" s="1565"/>
      <c r="C123" s="1533"/>
      <c r="D123" s="1534"/>
      <c r="E123" s="1566"/>
      <c r="F123" s="1564"/>
      <c r="G123" s="1516"/>
      <c r="H123" s="1298"/>
      <c r="I123" s="1299"/>
      <c r="J123" s="1298"/>
      <c r="K123" s="1382"/>
      <c r="L123" s="1638"/>
    </row>
    <row r="124" spans="1:12" s="1199" customFormat="1" ht="24" customHeight="1">
      <c r="A124" s="1564"/>
      <c r="B124" s="1565"/>
      <c r="C124" s="1533"/>
      <c r="D124" s="1534"/>
      <c r="E124" s="1566"/>
      <c r="F124" s="1564"/>
      <c r="G124" s="1516"/>
      <c r="H124" s="1298"/>
      <c r="I124" s="1299"/>
      <c r="J124" s="1298"/>
      <c r="K124" s="1382"/>
      <c r="L124" s="1638"/>
    </row>
    <row r="125" spans="1:12" s="1199" customFormat="1" ht="24" customHeight="1">
      <c r="A125" s="1564"/>
      <c r="B125" s="1565"/>
      <c r="C125" s="1533"/>
      <c r="D125" s="1534"/>
      <c r="E125" s="1566"/>
      <c r="F125" s="1564"/>
      <c r="G125" s="1516"/>
      <c r="H125" s="1298"/>
      <c r="I125" s="1299"/>
      <c r="J125" s="1298"/>
      <c r="K125" s="1382"/>
      <c r="L125" s="1638"/>
    </row>
    <row r="126" spans="1:12" s="1199" customFormat="1" ht="24" customHeight="1">
      <c r="A126" s="1564"/>
      <c r="B126" s="1565"/>
      <c r="C126" s="1533"/>
      <c r="D126" s="1534"/>
      <c r="E126" s="1566"/>
      <c r="F126" s="1564"/>
      <c r="G126" s="1516"/>
      <c r="H126" s="1298"/>
      <c r="I126" s="1299"/>
      <c r="J126" s="1298"/>
      <c r="K126" s="1382"/>
      <c r="L126" s="1638"/>
    </row>
    <row r="127" spans="1:12" s="1199" customFormat="1" ht="24" customHeight="1">
      <c r="A127" s="1564"/>
      <c r="B127" s="1565"/>
      <c r="C127" s="1533"/>
      <c r="D127" s="1534"/>
      <c r="E127" s="1566"/>
      <c r="F127" s="1564"/>
      <c r="G127" s="1516"/>
      <c r="H127" s="1298"/>
      <c r="I127" s="1299"/>
      <c r="J127" s="1298"/>
      <c r="K127" s="1382"/>
      <c r="L127" s="1638"/>
    </row>
    <row r="128" spans="1:12" s="1199" customFormat="1" ht="24" customHeight="1">
      <c r="A128" s="1564"/>
      <c r="B128" s="1565"/>
      <c r="C128" s="1533"/>
      <c r="D128" s="1534"/>
      <c r="E128" s="1566"/>
      <c r="F128" s="1564"/>
      <c r="G128" s="1516"/>
      <c r="H128" s="1298"/>
      <c r="I128" s="1299"/>
      <c r="J128" s="1298"/>
      <c r="K128" s="1382"/>
      <c r="L128" s="1638"/>
    </row>
    <row r="129" spans="1:13" s="1199" customFormat="1" ht="24" customHeight="1">
      <c r="A129" s="1564"/>
      <c r="B129" s="1565"/>
      <c r="C129" s="1533"/>
      <c r="D129" s="1534"/>
      <c r="E129" s="1566"/>
      <c r="F129" s="1564"/>
      <c r="G129" s="1516"/>
      <c r="H129" s="1298"/>
      <c r="I129" s="1299"/>
      <c r="J129" s="1298"/>
      <c r="K129" s="1382"/>
      <c r="L129" s="1638"/>
    </row>
    <row r="130" spans="1:13" s="1199" customFormat="1" ht="24" customHeight="1">
      <c r="A130" s="1564"/>
      <c r="B130" s="1565"/>
      <c r="C130" s="1533"/>
      <c r="D130" s="1534"/>
      <c r="E130" s="1566"/>
      <c r="F130" s="1564"/>
      <c r="G130" s="1516"/>
      <c r="H130" s="1298"/>
      <c r="I130" s="1299"/>
      <c r="J130" s="1298"/>
      <c r="K130" s="1382"/>
      <c r="L130" s="1638"/>
    </row>
    <row r="131" spans="1:13" s="1199" customFormat="1" ht="24" customHeight="1">
      <c r="A131" s="1564"/>
      <c r="B131" s="1565"/>
      <c r="C131" s="1533"/>
      <c r="D131" s="1534"/>
      <c r="E131" s="1566"/>
      <c r="F131" s="1564"/>
      <c r="G131" s="1516"/>
      <c r="H131" s="1298"/>
      <c r="I131" s="1299"/>
      <c r="J131" s="1298"/>
      <c r="K131" s="1382"/>
      <c r="L131" s="1638"/>
    </row>
    <row r="132" spans="1:13" s="1199" customFormat="1" ht="24" customHeight="1">
      <c r="A132" s="1564"/>
      <c r="B132" s="1565"/>
      <c r="C132" s="1533"/>
      <c r="D132" s="1534"/>
      <c r="E132" s="1566"/>
      <c r="F132" s="1564"/>
      <c r="G132" s="1516"/>
      <c r="H132" s="1298"/>
      <c r="I132" s="1299"/>
      <c r="J132" s="1298"/>
      <c r="K132" s="1382"/>
      <c r="L132" s="1638"/>
    </row>
    <row r="133" spans="1:13" s="1199" customFormat="1" ht="24" customHeight="1">
      <c r="A133" s="1564"/>
      <c r="B133" s="1565"/>
      <c r="C133" s="1533"/>
      <c r="D133" s="1534"/>
      <c r="E133" s="1566"/>
      <c r="F133" s="1564"/>
      <c r="G133" s="1516"/>
      <c r="H133" s="1298"/>
      <c r="I133" s="1299"/>
      <c r="J133" s="1298"/>
      <c r="K133" s="1382"/>
      <c r="L133" s="1638"/>
    </row>
    <row r="134" spans="1:13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630"/>
      <c r="M134" s="1214"/>
    </row>
    <row r="135" spans="1:13" s="1199" customFormat="1" ht="21.3">
      <c r="A135" s="1427"/>
      <c r="E135" s="1570"/>
    </row>
    <row r="136" spans="1:13" s="1199" customFormat="1" ht="21.3">
      <c r="A136" s="1427"/>
      <c r="E136" s="1570"/>
    </row>
    <row r="137" spans="1:13" s="1199" customFormat="1" ht="21.3">
      <c r="A137" s="1427"/>
      <c r="E137" s="1570"/>
    </row>
    <row r="138" spans="1:13" s="1199" customFormat="1" ht="21.3">
      <c r="A138" s="1427"/>
      <c r="E138" s="1570"/>
    </row>
    <row r="139" spans="1:13" s="1199" customFormat="1" ht="21.3">
      <c r="A139" s="1427"/>
      <c r="E139" s="1570"/>
    </row>
    <row r="140" spans="1:13" s="1199" customFormat="1" ht="21.3">
      <c r="A140" s="1427"/>
      <c r="E140" s="1570"/>
    </row>
    <row r="141" spans="1:13" s="1199" customFormat="1" ht="21.3">
      <c r="A141" s="1427"/>
      <c r="E141" s="1570"/>
    </row>
    <row r="142" spans="1:13" s="1199" customFormat="1" ht="21.3">
      <c r="A142" s="1427"/>
      <c r="E142" s="1570"/>
    </row>
    <row r="143" spans="1:13" s="1199" customFormat="1" ht="21.3">
      <c r="A143" s="1427"/>
      <c r="E143" s="1570"/>
    </row>
    <row r="144" spans="1:13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2-อาคารด้านทิศตะวันตก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4303-09D0-44E9-AE68-D968CEDAF90B}">
  <sheetPr>
    <tabColor rgb="FF92D050"/>
  </sheetPr>
  <dimension ref="A1:U34"/>
  <sheetViews>
    <sheetView view="pageBreakPreview" topLeftCell="A19" zoomScale="85" zoomScaleNormal="100" zoomScaleSheetLayoutView="85" workbookViewId="0">
      <selection activeCell="G2" sqref="G2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5.703125" style="1217" customWidth="1"/>
    <col min="13" max="13" width="7.703125" style="1" customWidth="1"/>
    <col min="14" max="14" width="33.703125" style="1" customWidth="1"/>
    <col min="15" max="99" width="7.703125" style="1" customWidth="1"/>
    <col min="100" max="16384" width="9" style="1"/>
  </cols>
  <sheetData>
    <row r="1" spans="1:15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1167"/>
    </row>
    <row r="2" spans="1:15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169"/>
    </row>
    <row r="3" spans="1:15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1171"/>
    </row>
    <row r="4" spans="1:15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1171"/>
    </row>
    <row r="5" spans="1:15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1171"/>
    </row>
    <row r="6" spans="1:15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1173"/>
    </row>
    <row r="7" spans="1:15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53" t="s">
        <v>7</v>
      </c>
    </row>
    <row r="8" spans="1:15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54"/>
    </row>
    <row r="9" spans="1:15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55" t="s">
        <v>15</v>
      </c>
    </row>
    <row r="10" spans="1:15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56"/>
    </row>
    <row r="11" spans="1:15" ht="24" customHeight="1">
      <c r="A11" s="1175" t="s">
        <v>30</v>
      </c>
      <c r="B11" s="1176" t="s">
        <v>29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185"/>
    </row>
    <row r="12" spans="1:15" ht="24" customHeight="1">
      <c r="A12" s="1186"/>
      <c r="B12" s="1187"/>
      <c r="C12" s="1188"/>
      <c r="D12" s="1178"/>
      <c r="E12" s="1179"/>
      <c r="F12" s="1180"/>
      <c r="G12" s="1181"/>
      <c r="H12" s="1182"/>
      <c r="I12" s="1183"/>
      <c r="J12" s="1182"/>
      <c r="K12" s="1184"/>
      <c r="L12" s="1185"/>
    </row>
    <row r="13" spans="1:15" s="1199" customFormat="1" ht="24" customHeight="1">
      <c r="A13" s="1189">
        <v>1</v>
      </c>
      <c r="B13" s="1190" t="str">
        <f>'03.EE-ทิศตะวันตก (Main)'!B11</f>
        <v>งานระบบไฟฟ้าและสื่อสาร (Main Equipment)</v>
      </c>
      <c r="C13" s="1191"/>
      <c r="D13" s="1192"/>
      <c r="E13" s="1193">
        <v>1</v>
      </c>
      <c r="F13" s="1194" t="s">
        <v>19</v>
      </c>
      <c r="G13" s="1195"/>
      <c r="H13" s="1196">
        <f>'03.EE-ทิศตะวันตก (Main)'!H34</f>
        <v>73208260</v>
      </c>
      <c r="I13" s="1197"/>
      <c r="J13" s="1196">
        <f>'03.EE-ทิศตะวันตก (Main)'!J34</f>
        <v>9804978</v>
      </c>
      <c r="K13" s="1196">
        <f>'03.EE-ทิศตะวันตก (Main)'!K34</f>
        <v>83013118.299999997</v>
      </c>
      <c r="L13" s="1198"/>
      <c r="N13" s="1200"/>
      <c r="O13" s="1532"/>
    </row>
    <row r="14" spans="1:15" s="1199" customFormat="1" ht="24" customHeight="1">
      <c r="A14" s="1189">
        <v>2</v>
      </c>
      <c r="B14" s="1190" t="str">
        <f>'03.EE-ทิศตะวันตก (B2)'!B11</f>
        <v>งานระบบไฟฟ้าและสื่อสาร ชั้น B2</v>
      </c>
      <c r="C14" s="1201"/>
      <c r="D14" s="1192"/>
      <c r="E14" s="1193">
        <v>1</v>
      </c>
      <c r="F14" s="1194" t="s">
        <v>19</v>
      </c>
      <c r="G14" s="1195"/>
      <c r="H14" s="1196">
        <f>'03.EE-ทิศตะวันตก (B2)'!H34</f>
        <v>5261394</v>
      </c>
      <c r="I14" s="1197"/>
      <c r="J14" s="1196">
        <f>'03.EE-ทิศตะวันตก (B2)'!J34</f>
        <v>1319072</v>
      </c>
      <c r="K14" s="1196">
        <f>'03.EE-ทิศตะวันตก (B2)'!K34</f>
        <v>6580466</v>
      </c>
      <c r="L14" s="1198"/>
      <c r="N14" s="1200"/>
      <c r="O14" s="1532"/>
    </row>
    <row r="15" spans="1:15" s="1199" customFormat="1" ht="24" customHeight="1">
      <c r="A15" s="1189">
        <v>3</v>
      </c>
      <c r="B15" s="1190" t="str">
        <f>'03.EE-ทิศตะวันตก (B1)'!B11</f>
        <v>งานระบบไฟฟ้าและสื่อสาร ชั้น B1</v>
      </c>
      <c r="C15" s="1202"/>
      <c r="D15" s="1203"/>
      <c r="E15" s="1193">
        <v>1</v>
      </c>
      <c r="F15" s="1194" t="s">
        <v>19</v>
      </c>
      <c r="G15" s="1195"/>
      <c r="H15" s="1196">
        <f>'03.EE-ทิศตะวันตก (B1)'!H34</f>
        <v>5288880</v>
      </c>
      <c r="I15" s="1197"/>
      <c r="J15" s="1196">
        <f>'03.EE-ทิศตะวันตก (B1)'!J34</f>
        <v>1209499</v>
      </c>
      <c r="K15" s="1196">
        <f>'03.EE-ทิศตะวันตก (B1)'!K34</f>
        <v>6498379</v>
      </c>
      <c r="L15" s="1198"/>
      <c r="N15" s="1200"/>
      <c r="O15" s="1532"/>
    </row>
    <row r="16" spans="1:15" s="1199" customFormat="1" ht="24" customHeight="1">
      <c r="A16" s="1189">
        <v>4</v>
      </c>
      <c r="B16" s="1190" t="str">
        <f>'03.EE-ทิศตะวันตก (1FL)'!B11</f>
        <v>งานระบบไฟฟ้าและสื่อสาร ชั้น 1</v>
      </c>
      <c r="C16" s="1202"/>
      <c r="D16" s="1203"/>
      <c r="E16" s="1193">
        <v>1</v>
      </c>
      <c r="F16" s="1194" t="s">
        <v>19</v>
      </c>
      <c r="G16" s="1195"/>
      <c r="H16" s="1196">
        <f>'03.EE-ทิศตะวันตก (1FL)'!H34</f>
        <v>3998734</v>
      </c>
      <c r="I16" s="1197"/>
      <c r="J16" s="1196">
        <f>'03.EE-ทิศตะวันตก (1FL)'!J34</f>
        <v>628090</v>
      </c>
      <c r="K16" s="1196">
        <f>'03.EE-ทิศตะวันตก (1FL)'!K34</f>
        <v>4626824</v>
      </c>
      <c r="L16" s="1198"/>
      <c r="N16" s="1200"/>
      <c r="O16" s="1532"/>
    </row>
    <row r="17" spans="1:15" s="1199" customFormat="1" ht="24" customHeight="1">
      <c r="A17" s="1189">
        <v>5</v>
      </c>
      <c r="B17" s="1190" t="str">
        <f>'03.EE-ทิศตะวันตก (2FL)'!B11</f>
        <v>งานระบบไฟฟ้าและสื่อสาร ชั้น 2</v>
      </c>
      <c r="C17" s="1202"/>
      <c r="D17" s="1203"/>
      <c r="E17" s="1193">
        <v>1</v>
      </c>
      <c r="F17" s="1194" t="s">
        <v>19</v>
      </c>
      <c r="G17" s="1195"/>
      <c r="H17" s="1196">
        <f>'03.EE-ทิศตะวันตก (2FL)'!H34</f>
        <v>2690550</v>
      </c>
      <c r="I17" s="1197"/>
      <c r="J17" s="1196">
        <f>'03.EE-ทิศตะวันตก (2FL)'!J34</f>
        <v>429330</v>
      </c>
      <c r="K17" s="1196">
        <f>'03.EE-ทิศตะวันตก (2FL)'!K34</f>
        <v>3119880</v>
      </c>
      <c r="L17" s="1198"/>
      <c r="N17" s="1200"/>
      <c r="O17" s="1532"/>
    </row>
    <row r="18" spans="1:15" s="1199" customFormat="1" ht="24" customHeight="1">
      <c r="A18" s="1189">
        <v>6</v>
      </c>
      <c r="B18" s="1190" t="str">
        <f>'03.EE-ทิศตะวันตก (3FL)'!B11</f>
        <v>งานระบบไฟฟ้าและสื่อสาร ชั้น 3</v>
      </c>
      <c r="C18" s="1202"/>
      <c r="D18" s="1203"/>
      <c r="E18" s="1193">
        <v>1</v>
      </c>
      <c r="F18" s="1194" t="s">
        <v>19</v>
      </c>
      <c r="G18" s="1195"/>
      <c r="H18" s="1196">
        <f>'03.EE-ทิศตะวันตก (3FL)'!H34</f>
        <v>2879025</v>
      </c>
      <c r="I18" s="1197"/>
      <c r="J18" s="1196">
        <f>'03.EE-ทิศตะวันตก (3FL)'!J34</f>
        <v>420205</v>
      </c>
      <c r="K18" s="1196">
        <f>'03.EE-ทิศตะวันตก (3FL)'!K34</f>
        <v>3299230</v>
      </c>
      <c r="L18" s="1198"/>
      <c r="N18" s="1200"/>
      <c r="O18" s="1532"/>
    </row>
    <row r="19" spans="1:15" s="1199" customFormat="1" ht="24" customHeight="1">
      <c r="A19" s="1189">
        <v>7</v>
      </c>
      <c r="B19" s="1190" t="str">
        <f>'03.EE-ทิศตะวันตก (4FL)'!B11</f>
        <v>งานระบบไฟฟ้าและสื่อสาร ชั้น 4</v>
      </c>
      <c r="C19" s="1202"/>
      <c r="D19" s="1203"/>
      <c r="E19" s="1193">
        <v>1</v>
      </c>
      <c r="F19" s="1194" t="s">
        <v>19</v>
      </c>
      <c r="G19" s="1195"/>
      <c r="H19" s="1196">
        <f>'03.EE-ทิศตะวันตก (4FL)'!H34</f>
        <v>3413489</v>
      </c>
      <c r="I19" s="1197"/>
      <c r="J19" s="1196">
        <f>'03.EE-ทิศตะวันตก (4FL)'!J34</f>
        <v>528920</v>
      </c>
      <c r="K19" s="1196">
        <f>'03.EE-ทิศตะวันตก (4FL)'!K34</f>
        <v>3942409</v>
      </c>
      <c r="L19" s="1198"/>
      <c r="N19" s="1200"/>
      <c r="O19" s="1532"/>
    </row>
    <row r="20" spans="1:15" s="1199" customFormat="1" ht="24" customHeight="1">
      <c r="A20" s="1189">
        <v>8</v>
      </c>
      <c r="B20" s="1190" t="str">
        <f>'03.EE-ทิศตะวันตก (5FL)'!B11</f>
        <v>งานระบบไฟฟ้าและสื่อสาร ชั้น 5</v>
      </c>
      <c r="C20" s="1202"/>
      <c r="D20" s="1203"/>
      <c r="E20" s="1193">
        <v>1</v>
      </c>
      <c r="F20" s="1194" t="s">
        <v>19</v>
      </c>
      <c r="G20" s="1195"/>
      <c r="H20" s="1196">
        <f>'03.EE-ทิศตะวันตก (5FL)'!H34</f>
        <v>2733754</v>
      </c>
      <c r="I20" s="1197"/>
      <c r="J20" s="1196">
        <f>'03.EE-ทิศตะวันตก (5FL)'!J34</f>
        <v>431127</v>
      </c>
      <c r="K20" s="1196">
        <f>'03.EE-ทิศตะวันตก (5FL)'!K34</f>
        <v>3164881</v>
      </c>
      <c r="L20" s="1198"/>
      <c r="N20" s="1200"/>
      <c r="O20" s="1532"/>
    </row>
    <row r="21" spans="1:15" s="1199" customFormat="1" ht="24" customHeight="1">
      <c r="A21" s="1189">
        <v>9</v>
      </c>
      <c r="B21" s="1190" t="str">
        <f>'03.EE-ทิศตะวันตก (6FL)'!B11</f>
        <v>งานระบบไฟฟ้าและสื่อสาร ชั้น 6</v>
      </c>
      <c r="C21" s="1202"/>
      <c r="D21" s="1203"/>
      <c r="E21" s="1193">
        <v>1</v>
      </c>
      <c r="F21" s="1194" t="s">
        <v>19</v>
      </c>
      <c r="G21" s="1195"/>
      <c r="H21" s="1196">
        <f>'03.EE-ทิศตะวันตก (6FL)'!H34</f>
        <v>2941967</v>
      </c>
      <c r="I21" s="1197"/>
      <c r="J21" s="1196">
        <f>'03.EE-ทิศตะวันตก (6FL)'!J34</f>
        <v>446872</v>
      </c>
      <c r="K21" s="1196">
        <f>'03.EE-ทิศตะวันตก (6FL)'!K34</f>
        <v>3388839</v>
      </c>
      <c r="L21" s="1198"/>
      <c r="N21" s="1200"/>
      <c r="O21" s="1532"/>
    </row>
    <row r="22" spans="1:15" s="1199" customFormat="1" ht="24" customHeight="1">
      <c r="A22" s="1189">
        <v>10</v>
      </c>
      <c r="B22" s="1190" t="str">
        <f>'03.EE-ทิศตะวันตก (7FL)'!B11</f>
        <v>งานระบบไฟฟ้าและสื่อสาร ชั้น 7</v>
      </c>
      <c r="C22" s="1202"/>
      <c r="D22" s="1203"/>
      <c r="E22" s="1193">
        <v>1</v>
      </c>
      <c r="F22" s="1194" t="s">
        <v>19</v>
      </c>
      <c r="G22" s="1195"/>
      <c r="H22" s="1196">
        <f>'03.EE-ทิศตะวันตก (7FL)'!H34</f>
        <v>3057009</v>
      </c>
      <c r="I22" s="1197"/>
      <c r="J22" s="1196">
        <f>'03.EE-ทิศตะวันตก (7FL)'!J34</f>
        <v>429152</v>
      </c>
      <c r="K22" s="1196">
        <f>'03.EE-ทิศตะวันตก (7FL)'!K34</f>
        <v>3486161</v>
      </c>
      <c r="L22" s="1198"/>
      <c r="N22" s="1200"/>
      <c r="O22" s="1532"/>
    </row>
    <row r="23" spans="1:15" s="1199" customFormat="1" ht="24" customHeight="1">
      <c r="A23" s="1189">
        <v>11</v>
      </c>
      <c r="B23" s="1190" t="str">
        <f>'03.EE-ทิศตะวันตก (8FL)'!B11</f>
        <v>งานระบบไฟฟ้าและสื่อสาร ชั้น 8</v>
      </c>
      <c r="C23" s="1202"/>
      <c r="D23" s="1203"/>
      <c r="E23" s="1193">
        <v>1</v>
      </c>
      <c r="F23" s="1194" t="s">
        <v>19</v>
      </c>
      <c r="G23" s="1195"/>
      <c r="H23" s="1196">
        <f>'03.EE-ทิศตะวันตก (8FL)'!H34</f>
        <v>2750519</v>
      </c>
      <c r="I23" s="1197"/>
      <c r="J23" s="1196">
        <f>'03.EE-ทิศตะวันตก (8FL)'!J34</f>
        <v>424907</v>
      </c>
      <c r="K23" s="1196">
        <f>'03.EE-ทิศตะวันตก (8FL)'!K34</f>
        <v>3175426</v>
      </c>
      <c r="L23" s="1198"/>
      <c r="N23" s="1200"/>
      <c r="O23" s="1532"/>
    </row>
    <row r="24" spans="1:15" s="1199" customFormat="1" ht="24" customHeight="1">
      <c r="A24" s="1189">
        <v>12</v>
      </c>
      <c r="B24" s="1190" t="str">
        <f>'03.EE-ทิศตะวันตก (9FL)'!B11</f>
        <v>งานระบบไฟฟ้าและสื่อสาร ชั้น 9</v>
      </c>
      <c r="C24" s="1202"/>
      <c r="D24" s="1203"/>
      <c r="E24" s="1193">
        <v>1</v>
      </c>
      <c r="F24" s="1194" t="s">
        <v>19</v>
      </c>
      <c r="G24" s="1195"/>
      <c r="H24" s="1196">
        <f>'03.EE-ทิศตะวันตก (9FL)'!H34</f>
        <v>3008959</v>
      </c>
      <c r="I24" s="1197"/>
      <c r="J24" s="1196">
        <f>'03.EE-ทิศตะวันตก (9FL)'!J34</f>
        <v>442867</v>
      </c>
      <c r="K24" s="1196">
        <f>'03.EE-ทิศตะวันตก (9FL)'!K34</f>
        <v>3451826</v>
      </c>
      <c r="L24" s="1198"/>
      <c r="N24" s="1200"/>
      <c r="O24" s="1532"/>
    </row>
    <row r="25" spans="1:15" s="1199" customFormat="1" ht="24" customHeight="1">
      <c r="A25" s="1189">
        <v>13</v>
      </c>
      <c r="B25" s="1190" t="str">
        <f>'03.EE-ทิศตะวันตก (10FL)'!B11</f>
        <v>งานระบบไฟฟ้าและสื่อสาร ชั้น 10</v>
      </c>
      <c r="C25" s="1202"/>
      <c r="D25" s="1203"/>
      <c r="E25" s="1193">
        <v>1</v>
      </c>
      <c r="F25" s="1194" t="s">
        <v>19</v>
      </c>
      <c r="G25" s="1195"/>
      <c r="H25" s="1196">
        <f>'03.EE-ทิศตะวันตก (10FL)'!H34</f>
        <v>3031151</v>
      </c>
      <c r="I25" s="1197"/>
      <c r="J25" s="1196">
        <f>'03.EE-ทิศตะวันตก (10FL)'!J34</f>
        <v>426872</v>
      </c>
      <c r="K25" s="1196">
        <f>'03.EE-ทิศตะวันตก (10FL)'!K34</f>
        <v>3458023</v>
      </c>
      <c r="L25" s="1198"/>
      <c r="N25" s="1200"/>
      <c r="O25" s="1532"/>
    </row>
    <row r="26" spans="1:15" s="1199" customFormat="1" ht="24" customHeight="1">
      <c r="A26" s="1189">
        <v>14</v>
      </c>
      <c r="B26" s="1190" t="str">
        <f>'03.EE-ทิศตะวันตก (11FL)'!B11</f>
        <v>งานระบบไฟฟ้าและสื่อสาร ชั้น 11</v>
      </c>
      <c r="C26" s="1202"/>
      <c r="D26" s="1203"/>
      <c r="E26" s="1193">
        <v>1</v>
      </c>
      <c r="F26" s="1194" t="s">
        <v>19</v>
      </c>
      <c r="G26" s="1195"/>
      <c r="H26" s="1196">
        <f>'03.EE-ทิศตะวันตก (11FL)'!H34</f>
        <v>2737576</v>
      </c>
      <c r="I26" s="1197"/>
      <c r="J26" s="1196">
        <f>'03.EE-ทิศตะวันตก (11FL)'!J34</f>
        <v>443529</v>
      </c>
      <c r="K26" s="1196">
        <f>'03.EE-ทิศตะวันตก (11FL)'!K34</f>
        <v>3181105</v>
      </c>
      <c r="L26" s="1198"/>
      <c r="N26" s="1200"/>
      <c r="O26" s="1532"/>
    </row>
    <row r="27" spans="1:15" s="1199" customFormat="1" ht="24" customHeight="1">
      <c r="A27" s="1189">
        <v>15</v>
      </c>
      <c r="B27" s="1190" t="str">
        <f>'03.EE-ทิศตะวันตก (RFL)'!B11</f>
        <v>งานระบบไฟฟ้าและสื่อสาร ชั้น ดาดฟ้า</v>
      </c>
      <c r="C27" s="1202"/>
      <c r="D27" s="1203"/>
      <c r="E27" s="1193">
        <v>1</v>
      </c>
      <c r="F27" s="1194" t="s">
        <v>19</v>
      </c>
      <c r="G27" s="1195"/>
      <c r="H27" s="1196">
        <f>'03.EE-ทิศตะวันตก (RFL)'!H34</f>
        <v>3759747</v>
      </c>
      <c r="I27" s="1197"/>
      <c r="J27" s="1196">
        <f>'03.EE-ทิศตะวันตก (RFL)'!J34</f>
        <v>847457</v>
      </c>
      <c r="K27" s="1196">
        <f>'03.EE-ทิศตะวันตก (RFL)'!K34</f>
        <v>4607204</v>
      </c>
      <c r="L27" s="1198"/>
      <c r="N27" s="1200"/>
      <c r="O27" s="1532"/>
    </row>
    <row r="28" spans="1:15" s="1199" customFormat="1" ht="24" customHeight="1">
      <c r="A28" s="1204"/>
      <c r="B28" s="1190"/>
      <c r="C28" s="1202"/>
      <c r="D28" s="1203"/>
      <c r="E28" s="1193"/>
      <c r="F28" s="1194"/>
      <c r="G28" s="1195"/>
      <c r="H28" s="1196"/>
      <c r="I28" s="1197"/>
      <c r="J28" s="1196"/>
      <c r="K28" s="1196"/>
      <c r="L28" s="1198"/>
    </row>
    <row r="29" spans="1:15" s="1199" customFormat="1" ht="24" customHeight="1">
      <c r="A29" s="1204"/>
      <c r="B29" s="1190"/>
      <c r="C29" s="1202"/>
      <c r="D29" s="1203"/>
      <c r="E29" s="1193"/>
      <c r="F29" s="1194"/>
      <c r="G29" s="1195"/>
      <c r="H29" s="1196"/>
      <c r="I29" s="1197"/>
      <c r="J29" s="1196"/>
      <c r="K29" s="1196"/>
      <c r="L29" s="1198"/>
    </row>
    <row r="30" spans="1:15" s="1199" customFormat="1" ht="24" customHeight="1">
      <c r="A30" s="1204"/>
      <c r="B30" s="1190"/>
      <c r="C30" s="1202"/>
      <c r="D30" s="1203"/>
      <c r="E30" s="1193"/>
      <c r="F30" s="1194"/>
      <c r="G30" s="1195"/>
      <c r="H30" s="1196"/>
      <c r="I30" s="1197"/>
      <c r="J30" s="1196"/>
      <c r="K30" s="1196"/>
      <c r="L30" s="1198"/>
    </row>
    <row r="31" spans="1:15" s="1199" customFormat="1" ht="24" customHeight="1">
      <c r="A31" s="1204"/>
      <c r="B31" s="2174"/>
      <c r="C31" s="1202"/>
      <c r="D31" s="1203"/>
      <c r="E31" s="1206"/>
      <c r="F31" s="1207"/>
      <c r="G31" s="1208"/>
      <c r="H31" s="1196"/>
      <c r="I31" s="1197"/>
      <c r="J31" s="1196"/>
      <c r="K31" s="1196"/>
      <c r="L31" s="1198"/>
    </row>
    <row r="32" spans="1:15" s="1199" customFormat="1" ht="24" customHeight="1">
      <c r="A32" s="1204"/>
      <c r="B32" s="2174"/>
      <c r="C32" s="1202"/>
      <c r="D32" s="1203"/>
      <c r="E32" s="1206"/>
      <c r="F32" s="1207"/>
      <c r="G32" s="1208"/>
      <c r="H32" s="1196"/>
      <c r="I32" s="1197"/>
      <c r="J32" s="1196"/>
      <c r="K32" s="1196"/>
      <c r="L32" s="1198"/>
    </row>
    <row r="33" spans="1:21" s="1199" customFormat="1" ht="24" customHeight="1">
      <c r="A33" s="1209"/>
      <c r="B33" s="2252" t="str">
        <f>"รวมราคา"&amp;B11</f>
        <v>รวมราคางานระบบไฟฟ้าและสื่อสาร</v>
      </c>
      <c r="C33" s="2252"/>
      <c r="D33" s="2252"/>
      <c r="E33" s="1210"/>
      <c r="F33" s="1211"/>
      <c r="G33" s="1212"/>
      <c r="H33" s="1213">
        <f>SUM(H13:H32)</f>
        <v>120761014</v>
      </c>
      <c r="I33" s="1213"/>
      <c r="J33" s="1213">
        <f>SUM(J13:J32)</f>
        <v>18232877</v>
      </c>
      <c r="K33" s="1213">
        <f>SUM(K13:K32)</f>
        <v>138993771.30000001</v>
      </c>
      <c r="L33" s="1213"/>
      <c r="M33" s="1214"/>
      <c r="N33" s="1214"/>
      <c r="O33" s="1214"/>
      <c r="P33" s="1214"/>
      <c r="Q33" s="1214"/>
      <c r="R33" s="1214"/>
      <c r="S33" s="1214"/>
      <c r="T33" s="1214"/>
      <c r="U33" s="1214"/>
    </row>
    <row r="34" spans="1:21">
      <c r="J34" s="1216"/>
      <c r="K34" s="1216"/>
    </row>
  </sheetData>
  <mergeCells count="9">
    <mergeCell ref="B33:D33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70866141732283505" right="0.196850393700787" top="0.74803149606299202" bottom="0.59055118110236204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&amp;Rหน้าสรุปงานระบบไฟฟ้าและสื่อสาร-อาคารทิศตะวันตก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F6793-657C-440F-9147-AC13F5959D51}">
  <sheetPr>
    <tabColor rgb="FFF42CBB"/>
  </sheetPr>
  <dimension ref="A1:O156"/>
  <sheetViews>
    <sheetView showGridLines="0" view="pageBreakPreview" topLeftCell="A118" zoomScale="90" zoomScaleNormal="60" zoomScaleSheetLayoutView="9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5859375" style="1" customWidth="1"/>
    <col min="13" max="73" width="7.703125" style="1" customWidth="1"/>
    <col min="74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1970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948429</v>
      </c>
      <c r="I12" s="1197"/>
      <c r="J12" s="1196">
        <f>J59</f>
        <v>410569</v>
      </c>
      <c r="K12" s="1553">
        <f t="shared" ref="K12:K17" si="0">SUM(H12:J12)</f>
        <v>1358998</v>
      </c>
      <c r="L12" s="1627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627"/>
    </row>
    <row r="14" spans="1:12" s="1199" customFormat="1" ht="24" customHeight="1">
      <c r="A14" s="1564" t="str">
        <f>A77</f>
        <v>6.3</v>
      </c>
      <c r="B14" s="1565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63580</v>
      </c>
      <c r="I14" s="1197"/>
      <c r="J14" s="1196">
        <f>J84</f>
        <v>42600</v>
      </c>
      <c r="K14" s="1553">
        <f t="shared" si="0"/>
        <v>106180</v>
      </c>
      <c r="L14" s="1627"/>
    </row>
    <row r="15" spans="1:12" s="1199" customFormat="1" ht="24" customHeight="1">
      <c r="A15" s="1642">
        <f>A85</f>
        <v>6.4</v>
      </c>
      <c r="B15" s="1738" t="str">
        <f>B85</f>
        <v>ตู้ดับเพลิงและถังดับเพลิงชนิดมือถือ (Fire Hose Cabinet &amp; Portable Fire Extinguisher)</v>
      </c>
      <c r="C15" s="1607"/>
      <c r="D15" s="1608"/>
      <c r="E15" s="1644">
        <v>1</v>
      </c>
      <c r="F15" s="1610" t="s">
        <v>19</v>
      </c>
      <c r="G15" s="1645"/>
      <c r="H15" s="1646">
        <f>H109</f>
        <v>242950</v>
      </c>
      <c r="I15" s="1647"/>
      <c r="J15" s="1646">
        <f>J109</f>
        <v>14840</v>
      </c>
      <c r="K15" s="1553">
        <f t="shared" si="0"/>
        <v>257790</v>
      </c>
      <c r="L15" s="1648"/>
    </row>
    <row r="16" spans="1:12" s="1199" customFormat="1" ht="24" customHeight="1">
      <c r="A16" s="1739" t="str">
        <f>A110</f>
        <v>6.5</v>
      </c>
      <c r="B16" s="1573" t="str">
        <f>B110</f>
        <v>ระบบไฟฟ้าและควบคุม (Electrical &amp; Control System) สำหรับระบบป้องกันอัคคีภัย</v>
      </c>
      <c r="C16" s="1574"/>
      <c r="D16" s="1575"/>
      <c r="E16" s="1598">
        <v>1</v>
      </c>
      <c r="F16" s="1577" t="s">
        <v>19</v>
      </c>
      <c r="G16" s="1228"/>
      <c r="H16" s="1229">
        <f>H118</f>
        <v>42560</v>
      </c>
      <c r="I16" s="1230"/>
      <c r="J16" s="1229">
        <f>J118</f>
        <v>4256</v>
      </c>
      <c r="K16" s="1553">
        <f t="shared" si="0"/>
        <v>46816</v>
      </c>
      <c r="L16" s="1628"/>
    </row>
    <row r="17" spans="1:12" s="1199" customFormat="1" ht="24" customHeight="1">
      <c r="A17" s="1564">
        <f>A119</f>
        <v>6.6</v>
      </c>
      <c r="B17" s="1565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627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627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627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2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2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3</v>
      </c>
      <c r="C34" s="2258"/>
      <c r="D34" s="2259"/>
      <c r="E34" s="1579"/>
      <c r="F34" s="1579"/>
      <c r="G34" s="1580"/>
      <c r="H34" s="1581">
        <f>SUM(H12:H33)</f>
        <v>1510451</v>
      </c>
      <c r="I34" s="1582"/>
      <c r="J34" s="1581">
        <f>SUM(J12:J33)</f>
        <v>486265</v>
      </c>
      <c r="K34" s="1583">
        <f>SUM(K12:K33)</f>
        <v>1996716</v>
      </c>
      <c r="L34" s="1630"/>
    </row>
    <row r="35" spans="1:12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638"/>
    </row>
    <row r="36" spans="1:12" s="1199" customFormat="1" ht="24" customHeight="1">
      <c r="A36" s="1620" t="s">
        <v>1899</v>
      </c>
      <c r="B36" s="1591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635"/>
    </row>
    <row r="37" spans="1:12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2" s="1199" customFormat="1" ht="24" customHeight="1">
      <c r="A38" s="1564"/>
      <c r="B38" s="1565" t="s">
        <v>1901</v>
      </c>
      <c r="C38" s="1533"/>
      <c r="D38" s="1534"/>
      <c r="E38" s="1688">
        <v>1321</v>
      </c>
      <c r="F38" s="1567" t="s">
        <v>226</v>
      </c>
      <c r="G38" s="1516">
        <v>78</v>
      </c>
      <c r="H38" s="1264">
        <f t="shared" ref="H38:H51" si="1">ROUND(E38*G38,)</f>
        <v>103038</v>
      </c>
      <c r="I38" s="1265">
        <v>45</v>
      </c>
      <c r="J38" s="1264">
        <f t="shared" ref="J38:J51" si="2">ROUND(I38*E38,)</f>
        <v>59445</v>
      </c>
      <c r="K38" s="1273">
        <f t="shared" ref="K38:K51" si="3">H38+J38</f>
        <v>162483</v>
      </c>
      <c r="L38" s="1273"/>
    </row>
    <row r="39" spans="1:12" s="1199" customFormat="1" ht="24" customHeight="1">
      <c r="A39" s="1564"/>
      <c r="B39" s="1565" t="s">
        <v>1338</v>
      </c>
      <c r="C39" s="1533"/>
      <c r="D39" s="1534"/>
      <c r="E39" s="1688">
        <v>326</v>
      </c>
      <c r="F39" s="1567" t="s">
        <v>226</v>
      </c>
      <c r="G39" s="1516">
        <v>105</v>
      </c>
      <c r="H39" s="1264">
        <f t="shared" si="1"/>
        <v>34230</v>
      </c>
      <c r="I39" s="1299">
        <v>60</v>
      </c>
      <c r="J39" s="1264">
        <f t="shared" si="2"/>
        <v>19560</v>
      </c>
      <c r="K39" s="1273">
        <f t="shared" si="3"/>
        <v>53790</v>
      </c>
      <c r="L39" s="1382"/>
    </row>
    <row r="40" spans="1:12" s="1199" customFormat="1" ht="24" customHeight="1">
      <c r="A40" s="1564"/>
      <c r="B40" s="1565" t="s">
        <v>1339</v>
      </c>
      <c r="C40" s="1533"/>
      <c r="D40" s="1534"/>
      <c r="E40" s="1688">
        <v>322</v>
      </c>
      <c r="F40" s="1567" t="s">
        <v>226</v>
      </c>
      <c r="G40" s="1661">
        <v>126</v>
      </c>
      <c r="H40" s="1264">
        <f t="shared" si="1"/>
        <v>40572</v>
      </c>
      <c r="I40" s="1589">
        <v>70</v>
      </c>
      <c r="J40" s="1264">
        <f t="shared" si="2"/>
        <v>22540</v>
      </c>
      <c r="K40" s="1273">
        <f t="shared" si="3"/>
        <v>63112</v>
      </c>
      <c r="L40" s="1382"/>
    </row>
    <row r="41" spans="1:12" s="1199" customFormat="1" ht="24" customHeight="1">
      <c r="A41" s="1564"/>
      <c r="B41" s="1565" t="s">
        <v>1340</v>
      </c>
      <c r="C41" s="1533"/>
      <c r="D41" s="1534"/>
      <c r="E41" s="1688">
        <v>205</v>
      </c>
      <c r="F41" s="1567" t="s">
        <v>226</v>
      </c>
      <c r="G41" s="1661">
        <v>169</v>
      </c>
      <c r="H41" s="1264">
        <f t="shared" si="1"/>
        <v>34645</v>
      </c>
      <c r="I41" s="1589">
        <v>95</v>
      </c>
      <c r="J41" s="1264">
        <f t="shared" si="2"/>
        <v>19475</v>
      </c>
      <c r="K41" s="1273">
        <f t="shared" si="3"/>
        <v>54120</v>
      </c>
      <c r="L41" s="1382"/>
    </row>
    <row r="42" spans="1:12" s="1199" customFormat="1" ht="24" customHeight="1">
      <c r="A42" s="1564"/>
      <c r="B42" s="1565" t="s">
        <v>1341</v>
      </c>
      <c r="C42" s="1533"/>
      <c r="D42" s="1534"/>
      <c r="E42" s="1688">
        <v>146</v>
      </c>
      <c r="F42" s="1567" t="s">
        <v>226</v>
      </c>
      <c r="G42" s="1661">
        <v>268</v>
      </c>
      <c r="H42" s="1264">
        <f t="shared" si="1"/>
        <v>39128</v>
      </c>
      <c r="I42" s="1589">
        <v>150</v>
      </c>
      <c r="J42" s="1264">
        <f t="shared" si="2"/>
        <v>21900</v>
      </c>
      <c r="K42" s="1273">
        <f t="shared" si="3"/>
        <v>61028</v>
      </c>
      <c r="L42" s="1382"/>
    </row>
    <row r="43" spans="1:12" s="1199" customFormat="1" ht="24" customHeight="1">
      <c r="A43" s="1564"/>
      <c r="B43" s="1565" t="s">
        <v>1342</v>
      </c>
      <c r="C43" s="1533"/>
      <c r="D43" s="1534"/>
      <c r="E43" s="1688">
        <v>110</v>
      </c>
      <c r="F43" s="1567" t="s">
        <v>226</v>
      </c>
      <c r="G43" s="1661">
        <v>350</v>
      </c>
      <c r="H43" s="1264">
        <f t="shared" si="1"/>
        <v>38500</v>
      </c>
      <c r="I43" s="1589">
        <v>200</v>
      </c>
      <c r="J43" s="1264">
        <f t="shared" si="2"/>
        <v>22000</v>
      </c>
      <c r="K43" s="1273">
        <f t="shared" si="3"/>
        <v>60500</v>
      </c>
      <c r="L43" s="1382"/>
    </row>
    <row r="44" spans="1:12" s="1199" customFormat="1" ht="24" customHeight="1">
      <c r="A44" s="1564"/>
      <c r="B44" s="1565" t="s">
        <v>1759</v>
      </c>
      <c r="C44" s="1533"/>
      <c r="D44" s="1534"/>
      <c r="E44" s="1688">
        <v>229</v>
      </c>
      <c r="F44" s="1567" t="s">
        <v>226</v>
      </c>
      <c r="G44" s="1661">
        <v>499</v>
      </c>
      <c r="H44" s="1264">
        <f t="shared" si="1"/>
        <v>114271</v>
      </c>
      <c r="I44" s="1589">
        <v>280</v>
      </c>
      <c r="J44" s="1264">
        <f t="shared" si="2"/>
        <v>64120</v>
      </c>
      <c r="K44" s="1273">
        <f t="shared" si="3"/>
        <v>178391</v>
      </c>
      <c r="L44" s="1382"/>
    </row>
    <row r="45" spans="1:12" s="1199" customFormat="1" ht="24" customHeight="1">
      <c r="A45" s="1564"/>
      <c r="B45" s="1565" t="s">
        <v>1754</v>
      </c>
      <c r="C45" s="1533"/>
      <c r="D45" s="1534"/>
      <c r="E45" s="1688">
        <v>75</v>
      </c>
      <c r="F45" s="1567" t="s">
        <v>226</v>
      </c>
      <c r="G45" s="1661">
        <v>877</v>
      </c>
      <c r="H45" s="1264">
        <f t="shared" si="1"/>
        <v>65775</v>
      </c>
      <c r="I45" s="1589">
        <v>500</v>
      </c>
      <c r="J45" s="1264">
        <f t="shared" si="2"/>
        <v>37500</v>
      </c>
      <c r="K45" s="1273">
        <f t="shared" si="3"/>
        <v>103275</v>
      </c>
      <c r="L45" s="1382"/>
    </row>
    <row r="46" spans="1:12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2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2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188064</v>
      </c>
      <c r="H48" s="1264">
        <f t="shared" si="1"/>
        <v>188064</v>
      </c>
      <c r="I48" s="1589">
        <f>ROUND(G48*0.3,)</f>
        <v>56419</v>
      </c>
      <c r="J48" s="1264">
        <f>ROUND(I48*E48,)</f>
        <v>56419</v>
      </c>
      <c r="K48" s="1273">
        <f t="shared" si="3"/>
        <v>244483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94032</v>
      </c>
      <c r="H49" s="1264">
        <f t="shared" si="1"/>
        <v>94032</v>
      </c>
      <c r="I49" s="1589">
        <f>ROUND(G49*0.3,)</f>
        <v>28210</v>
      </c>
      <c r="J49" s="1264">
        <f t="shared" si="2"/>
        <v>28210</v>
      </c>
      <c r="K49" s="1273">
        <f t="shared" si="3"/>
        <v>122242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47016</v>
      </c>
      <c r="H50" s="1264">
        <f t="shared" si="1"/>
        <v>47016</v>
      </c>
      <c r="I50" s="1589">
        <f>ROUND(G50*0.3,)</f>
        <v>14105</v>
      </c>
      <c r="J50" s="1264">
        <f t="shared" si="2"/>
        <v>14105</v>
      </c>
      <c r="K50" s="1273">
        <f t="shared" si="3"/>
        <v>61121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141048</v>
      </c>
      <c r="H51" s="1264">
        <f t="shared" si="1"/>
        <v>141048</v>
      </c>
      <c r="I51" s="1589">
        <f>ROUND(G51*0.3,)</f>
        <v>42314</v>
      </c>
      <c r="J51" s="1264">
        <f t="shared" si="2"/>
        <v>42314</v>
      </c>
      <c r="K51" s="1273">
        <f t="shared" si="3"/>
        <v>183362</v>
      </c>
      <c r="L51" s="1382"/>
    </row>
    <row r="52" spans="1:15" s="1199" customFormat="1" ht="24" customHeight="1">
      <c r="A52" s="1564" t="s">
        <v>1868</v>
      </c>
      <c r="B52" s="1565" t="s">
        <v>1869</v>
      </c>
      <c r="C52" s="1533"/>
      <c r="D52" s="1534"/>
      <c r="E52" s="1566"/>
      <c r="F52" s="1567"/>
      <c r="G52" s="1516"/>
      <c r="H52" s="1298"/>
      <c r="I52" s="1299"/>
      <c r="J52" s="1298"/>
      <c r="K52" s="1382"/>
      <c r="L52" s="1382"/>
    </row>
    <row r="53" spans="1:15" s="1199" customFormat="1" ht="24" customHeight="1">
      <c r="A53" s="1564"/>
      <c r="B53" s="1565" t="s">
        <v>1901</v>
      </c>
      <c r="C53" s="1533"/>
      <c r="D53" s="1534"/>
      <c r="E53" s="825">
        <v>5</v>
      </c>
      <c r="F53" s="1567" t="s">
        <v>226</v>
      </c>
      <c r="G53" s="1516">
        <v>124</v>
      </c>
      <c r="H53" s="1264">
        <f>ROUND(E53*G53,)</f>
        <v>620</v>
      </c>
      <c r="I53" s="1265">
        <v>50</v>
      </c>
      <c r="J53" s="1264">
        <f t="shared" ref="J53:J54" si="4">ROUND(I53*E53,)</f>
        <v>250</v>
      </c>
      <c r="K53" s="1273">
        <f t="shared" ref="K53:K54" si="5">H53+J53</f>
        <v>870</v>
      </c>
      <c r="L53" s="2082" t="s">
        <v>2667</v>
      </c>
      <c r="N53" s="1199">
        <v>745.96</v>
      </c>
      <c r="O53" s="1199">
        <f>ROUND(N53/6,)</f>
        <v>124</v>
      </c>
    </row>
    <row r="54" spans="1:15" s="1199" customFormat="1" ht="24" customHeight="1">
      <c r="A54" s="1564"/>
      <c r="B54" s="1565" t="s">
        <v>1340</v>
      </c>
      <c r="C54" s="1533"/>
      <c r="D54" s="1534"/>
      <c r="E54" s="825">
        <v>15</v>
      </c>
      <c r="F54" s="1567" t="s">
        <v>226</v>
      </c>
      <c r="G54" s="1516">
        <v>259</v>
      </c>
      <c r="H54" s="1264">
        <f t="shared" ref="H54" si="6">ROUND(E54*G54,)</f>
        <v>3885</v>
      </c>
      <c r="I54" s="1299">
        <v>110</v>
      </c>
      <c r="J54" s="1264">
        <f t="shared" si="4"/>
        <v>1650</v>
      </c>
      <c r="K54" s="1273">
        <f t="shared" si="5"/>
        <v>5535</v>
      </c>
      <c r="L54" s="2082" t="s">
        <v>2667</v>
      </c>
      <c r="N54" s="1199">
        <v>1554.48</v>
      </c>
      <c r="O54" s="1199">
        <f>ROUND(N54/6,)</f>
        <v>259</v>
      </c>
    </row>
    <row r="55" spans="1:15" s="1199" customFormat="1" ht="24" customHeight="1">
      <c r="A55" s="1564"/>
      <c r="B55" s="1565" t="s">
        <v>1719</v>
      </c>
      <c r="C55" s="1533"/>
      <c r="D55" s="1534"/>
      <c r="E55" s="1686">
        <v>1</v>
      </c>
      <c r="F55" s="1402" t="s">
        <v>1104</v>
      </c>
      <c r="G55" s="1661">
        <f>ROUND(SUM(H53:H54)*50%,)</f>
        <v>2253</v>
      </c>
      <c r="H55" s="1264">
        <f>ROUND(E55*G55,)</f>
        <v>2253</v>
      </c>
      <c r="I55" s="1589">
        <f>ROUND(G55*0.3,)</f>
        <v>676</v>
      </c>
      <c r="J55" s="1264">
        <f>ROUND(I55*E55,)</f>
        <v>676</v>
      </c>
      <c r="K55" s="1273">
        <f>H55+J55</f>
        <v>2929</v>
      </c>
      <c r="L55" s="1382"/>
    </row>
    <row r="56" spans="1:15" s="1199" customFormat="1" ht="24" customHeight="1">
      <c r="A56" s="1564"/>
      <c r="B56" s="1565" t="s">
        <v>1720</v>
      </c>
      <c r="C56" s="1533"/>
      <c r="D56" s="1534"/>
      <c r="E56" s="1686">
        <v>1</v>
      </c>
      <c r="F56" s="1402" t="s">
        <v>1104</v>
      </c>
      <c r="G56" s="1661">
        <f>ROUND(SUM(H53:H54)*20%,)</f>
        <v>901</v>
      </c>
      <c r="H56" s="1264">
        <f>ROUND(E56*G56,)</f>
        <v>901</v>
      </c>
      <c r="I56" s="1589">
        <f>ROUND(G56*0.3,)</f>
        <v>270</v>
      </c>
      <c r="J56" s="1264">
        <f>ROUND(I56*E56,)</f>
        <v>270</v>
      </c>
      <c r="K56" s="1273">
        <f>H56+J56</f>
        <v>1171</v>
      </c>
      <c r="L56" s="1382"/>
    </row>
    <row r="57" spans="1:15" s="1199" customFormat="1" ht="24" customHeight="1">
      <c r="A57" s="1564"/>
      <c r="B57" s="1565" t="s">
        <v>1721</v>
      </c>
      <c r="C57" s="1533"/>
      <c r="D57" s="1534"/>
      <c r="E57" s="1686">
        <v>1</v>
      </c>
      <c r="F57" s="1402" t="s">
        <v>1104</v>
      </c>
      <c r="G57" s="1661">
        <f>ROUND(SUM(H53:H54)*10%,)</f>
        <v>451</v>
      </c>
      <c r="H57" s="1264">
        <f>ROUND(E57*G57,)</f>
        <v>451</v>
      </c>
      <c r="I57" s="1589">
        <f>ROUND(G57*0.3,)</f>
        <v>135</v>
      </c>
      <c r="J57" s="1264">
        <f>ROUND(I57*E57,)</f>
        <v>135</v>
      </c>
      <c r="K57" s="1273">
        <f>H57+J57</f>
        <v>586</v>
      </c>
      <c r="L57" s="1382"/>
    </row>
    <row r="58" spans="1:15" s="1199" customFormat="1" ht="24" customHeight="1">
      <c r="A58" s="1564"/>
      <c r="B58" s="1597" t="s">
        <v>1117</v>
      </c>
      <c r="C58" s="1533"/>
      <c r="D58" s="1534"/>
      <c r="E58" s="1566"/>
      <c r="F58" s="1567"/>
      <c r="G58" s="1516"/>
      <c r="H58" s="1264"/>
      <c r="I58" s="1265"/>
      <c r="J58" s="1264"/>
      <c r="K58" s="1273"/>
      <c r="L58" s="1638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SUM(H38:H58)</f>
        <v>948429</v>
      </c>
      <c r="I59" s="1582"/>
      <c r="J59" s="1581">
        <f>SUM(J38:J58)</f>
        <v>410569</v>
      </c>
      <c r="K59" s="1583">
        <f>SUM(K38:K58)</f>
        <v>1358998</v>
      </c>
      <c r="L59" s="1630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638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73"/>
      <c r="C75" s="1533"/>
      <c r="D75" s="1653"/>
      <c r="E75" s="1566"/>
      <c r="F75" s="1623"/>
      <c r="G75" s="1516"/>
      <c r="H75" s="1298"/>
      <c r="I75" s="1299"/>
      <c r="J75" s="1298"/>
      <c r="K75" s="1382"/>
      <c r="L75" s="1638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SUM(H60:H75)</f>
        <v>212932</v>
      </c>
      <c r="I76" s="1582"/>
      <c r="J76" s="1581">
        <f>SUM(J60:J75)</f>
        <v>14000</v>
      </c>
      <c r="K76" s="1583">
        <f>SUM(K60:K75)</f>
        <v>226932</v>
      </c>
      <c r="L76" s="1630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16"/>
      <c r="H77" s="1298"/>
      <c r="I77" s="1299"/>
      <c r="J77" s="1298"/>
      <c r="K77" s="1382"/>
      <c r="L77" s="1638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548</v>
      </c>
      <c r="F78" s="1676" t="s">
        <v>363</v>
      </c>
      <c r="G78" s="1516">
        <v>110</v>
      </c>
      <c r="H78" s="1264">
        <f>ROUND(E78*G78,)</f>
        <v>60280</v>
      </c>
      <c r="I78" s="1299">
        <v>75</v>
      </c>
      <c r="J78" s="1264">
        <f>ROUND(I78*E78,)</f>
        <v>41100</v>
      </c>
      <c r="K78" s="1273">
        <f>H78+J78</f>
        <v>101380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16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/>
      <c r="F80" s="1676" t="s">
        <v>363</v>
      </c>
      <c r="G80" s="1516">
        <v>800</v>
      </c>
      <c r="H80" s="1264">
        <f>ROUND(E80*G80,)</f>
        <v>0</v>
      </c>
      <c r="I80" s="1299">
        <v>50</v>
      </c>
      <c r="J80" s="1264">
        <f>ROUND(I80*E80,)</f>
        <v>0</v>
      </c>
      <c r="K80" s="1273">
        <f>H80+J80</f>
        <v>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30</v>
      </c>
      <c r="F81" s="1676" t="s">
        <v>363</v>
      </c>
      <c r="G81" s="1516">
        <v>110</v>
      </c>
      <c r="H81" s="1264">
        <f>ROUND(E81*G81,)</f>
        <v>3300</v>
      </c>
      <c r="I81" s="1299">
        <v>50</v>
      </c>
      <c r="J81" s="1264">
        <f>ROUND(I81*E81,)</f>
        <v>1500</v>
      </c>
      <c r="K81" s="1273">
        <f>H81+J81</f>
        <v>4800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516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16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63580</v>
      </c>
      <c r="I84" s="1582"/>
      <c r="J84" s="1581">
        <f>SUM(J78:J83)</f>
        <v>42600</v>
      </c>
      <c r="K84" s="1583">
        <f>SUM(K78:K83)</f>
        <v>106180</v>
      </c>
      <c r="L84" s="1630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713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5</v>
      </c>
      <c r="F87" s="1564" t="s">
        <v>363</v>
      </c>
      <c r="G87" s="1558">
        <v>6500</v>
      </c>
      <c r="H87" s="1264">
        <f t="shared" ref="H87:H92" si="7">ROUND(E87*G87,)</f>
        <v>32500</v>
      </c>
      <c r="I87" s="1265">
        <f>G87*0.3</f>
        <v>1950</v>
      </c>
      <c r="J87" s="1264">
        <f>ROUND(I87*E87,)</f>
        <v>9750</v>
      </c>
      <c r="K87" s="1273">
        <f t="shared" ref="K87:K92" si="8">H87+J87</f>
        <v>42250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5</v>
      </c>
      <c r="F88" s="1572" t="s">
        <v>363</v>
      </c>
      <c r="G88" s="1694">
        <v>1200</v>
      </c>
      <c r="H88" s="1264">
        <f t="shared" si="7"/>
        <v>6000</v>
      </c>
      <c r="I88" s="1265" t="s">
        <v>1683</v>
      </c>
      <c r="J88" s="1264"/>
      <c r="K88" s="1273">
        <f t="shared" si="8"/>
        <v>6000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5</v>
      </c>
      <c r="F89" s="1564" t="s">
        <v>363</v>
      </c>
      <c r="G89" s="1558">
        <v>19200</v>
      </c>
      <c r="H89" s="1264">
        <f t="shared" si="7"/>
        <v>96000</v>
      </c>
      <c r="I89" s="1265" t="s">
        <v>1683</v>
      </c>
      <c r="J89" s="1264"/>
      <c r="K89" s="1273">
        <f t="shared" si="8"/>
        <v>96000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5</v>
      </c>
      <c r="F90" s="1564" t="s">
        <v>363</v>
      </c>
      <c r="G90" s="1558">
        <v>4910</v>
      </c>
      <c r="H90" s="1264">
        <f t="shared" si="7"/>
        <v>24550</v>
      </c>
      <c r="I90" s="1265" t="s">
        <v>1683</v>
      </c>
      <c r="J90" s="1264"/>
      <c r="K90" s="1273">
        <f t="shared" si="8"/>
        <v>24550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5</v>
      </c>
      <c r="F91" s="1564" t="s">
        <v>363</v>
      </c>
      <c r="G91" s="1558">
        <v>1420</v>
      </c>
      <c r="H91" s="1264">
        <f t="shared" si="7"/>
        <v>7100</v>
      </c>
      <c r="I91" s="1265" t="s">
        <v>1683</v>
      </c>
      <c r="J91" s="1264"/>
      <c r="K91" s="1273">
        <f t="shared" si="8"/>
        <v>7100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5</v>
      </c>
      <c r="F92" s="1564" t="s">
        <v>363</v>
      </c>
      <c r="G92" s="1558">
        <v>720</v>
      </c>
      <c r="H92" s="1264">
        <f t="shared" si="7"/>
        <v>3600</v>
      </c>
      <c r="I92" s="1265" t="s">
        <v>1683</v>
      </c>
      <c r="J92" s="1264"/>
      <c r="K92" s="1273">
        <f t="shared" si="8"/>
        <v>3600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/>
      <c r="B100" s="1636"/>
      <c r="C100" s="1622"/>
      <c r="D100" s="1623"/>
      <c r="E100" s="1624"/>
      <c r="F100" s="1637"/>
      <c r="G100" s="1558"/>
      <c r="H100" s="1264"/>
      <c r="I100" s="1265"/>
      <c r="J100" s="1264"/>
      <c r="K100" s="1273"/>
      <c r="L100" s="1687"/>
    </row>
    <row r="101" spans="1:12" s="1199" customFormat="1" ht="24" customHeight="1">
      <c r="A101" s="1637" t="s">
        <v>1933</v>
      </c>
      <c r="B101" s="1636" t="s">
        <v>1934</v>
      </c>
      <c r="C101" s="1622"/>
      <c r="D101" s="1623"/>
      <c r="E101" s="1624"/>
      <c r="F101" s="1637"/>
      <c r="G101" s="1558"/>
      <c r="H101" s="1264"/>
      <c r="I101" s="1695"/>
      <c r="J101" s="1264"/>
      <c r="K101" s="1687"/>
      <c r="L101" s="1687"/>
    </row>
    <row r="102" spans="1:12" s="1199" customFormat="1" ht="24" customHeight="1">
      <c r="A102" s="1564"/>
      <c r="B102" s="1565" t="s">
        <v>1935</v>
      </c>
      <c r="C102" s="1533"/>
      <c r="D102" s="1534"/>
      <c r="E102" s="1566">
        <v>4</v>
      </c>
      <c r="F102" s="1564" t="s">
        <v>363</v>
      </c>
      <c r="G102" s="1558">
        <v>1000</v>
      </c>
      <c r="H102" s="1264">
        <f>ROUND(E102*G102,)</f>
        <v>4000</v>
      </c>
      <c r="I102" s="1695">
        <v>200</v>
      </c>
      <c r="J102" s="1264">
        <f>ROUND(I102*E102,)</f>
        <v>800</v>
      </c>
      <c r="K102" s="1273">
        <f>H102+J102</f>
        <v>4800</v>
      </c>
      <c r="L102" s="1687"/>
    </row>
    <row r="103" spans="1:12" s="1199" customFormat="1" ht="24" customHeight="1">
      <c r="A103" s="1572"/>
      <c r="B103" s="1573" t="s">
        <v>1936</v>
      </c>
      <c r="C103" s="1574"/>
      <c r="D103" s="1575"/>
      <c r="E103" s="1598"/>
      <c r="F103" s="1572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1937</v>
      </c>
      <c r="C104" s="1533"/>
      <c r="D104" s="1534"/>
      <c r="E104" s="1566"/>
      <c r="F104" s="1564" t="s">
        <v>363</v>
      </c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 t="s">
        <v>1117</v>
      </c>
      <c r="C105" s="1533"/>
      <c r="D105" s="1534"/>
      <c r="E105" s="1566"/>
      <c r="F105" s="1564"/>
      <c r="G105" s="1558"/>
      <c r="H105" s="1264"/>
      <c r="I105" s="1695"/>
      <c r="J105" s="1264"/>
      <c r="K105" s="1687"/>
      <c r="L105" s="1687"/>
    </row>
    <row r="106" spans="1:12" s="1199" customFormat="1" ht="24" customHeight="1">
      <c r="A106" s="1572"/>
      <c r="B106" s="1565"/>
      <c r="C106" s="1533"/>
      <c r="D106" s="1534"/>
      <c r="E106" s="1566"/>
      <c r="F106" s="1564"/>
      <c r="G106" s="1558"/>
      <c r="H106" s="1264"/>
      <c r="I106" s="1695"/>
      <c r="J106" s="1264"/>
      <c r="K106" s="1273"/>
      <c r="L106" s="1687"/>
    </row>
    <row r="107" spans="1:12" s="1199" customFormat="1" ht="24" customHeight="1">
      <c r="A107" s="1572"/>
      <c r="B107" s="1565"/>
      <c r="C107" s="1533"/>
      <c r="D107" s="1534"/>
      <c r="E107" s="1566"/>
      <c r="F107" s="1564"/>
      <c r="G107" s="1558"/>
      <c r="H107" s="1264"/>
      <c r="I107" s="1695"/>
      <c r="J107" s="1264"/>
      <c r="K107" s="1273"/>
      <c r="L107" s="1687"/>
    </row>
    <row r="108" spans="1:12" s="1199" customFormat="1" ht="24" customHeight="1">
      <c r="A108" s="1572"/>
      <c r="B108" s="1597" t="s">
        <v>1896</v>
      </c>
      <c r="C108" s="1533"/>
      <c r="D108" s="1534"/>
      <c r="E108" s="1566"/>
      <c r="F108" s="1564"/>
      <c r="G108" s="1558"/>
      <c r="H108" s="1264"/>
      <c r="I108" s="1695"/>
      <c r="J108" s="1264"/>
      <c r="K108" s="1273"/>
      <c r="L108" s="169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SUM(H85:H108)</f>
        <v>242950</v>
      </c>
      <c r="I109" s="1582"/>
      <c r="J109" s="1581">
        <f>SUM(J85:J108)</f>
        <v>14840</v>
      </c>
      <c r="K109" s="1583">
        <f>SUM(K85:K108)</f>
        <v>257790</v>
      </c>
      <c r="L109" s="1630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713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635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638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638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638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638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638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638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630"/>
    </row>
    <row r="119" spans="1:12" s="1199" customFormat="1" ht="24" customHeight="1">
      <c r="A119" s="1620">
        <v>6.6</v>
      </c>
      <c r="B119" s="1621" t="s">
        <v>1424</v>
      </c>
      <c r="C119" s="1622"/>
      <c r="D119" s="1623"/>
      <c r="E119" s="1624">
        <v>1</v>
      </c>
      <c r="F119" s="1637" t="s">
        <v>1104</v>
      </c>
      <c r="G119" s="1708" t="s">
        <v>1952</v>
      </c>
      <c r="H119" s="1264"/>
      <c r="I119" s="1299"/>
      <c r="J119" s="1264">
        <f>ROUND(I119*E119,)</f>
        <v>0</v>
      </c>
      <c r="K119" s="1273">
        <f>H119+J119</f>
        <v>0</v>
      </c>
      <c r="L119" s="1638"/>
    </row>
    <row r="120" spans="1:12" s="1199" customFormat="1" ht="24" customHeight="1">
      <c r="A120" s="1637"/>
      <c r="B120" s="1636"/>
      <c r="C120" s="1622"/>
      <c r="D120" s="1623"/>
      <c r="E120" s="1624"/>
      <c r="F120" s="1637"/>
      <c r="G120" s="1357"/>
      <c r="H120" s="1264"/>
      <c r="I120" s="1299"/>
      <c r="J120" s="1264"/>
      <c r="K120" s="1273"/>
      <c r="L120" s="1638"/>
    </row>
    <row r="121" spans="1:12" s="1199" customFormat="1" ht="24" customHeight="1">
      <c r="A121" s="1637"/>
      <c r="B121" s="1636"/>
      <c r="C121" s="1622"/>
      <c r="D121" s="1623"/>
      <c r="E121" s="1624"/>
      <c r="F121" s="1637"/>
      <c r="G121" s="1357"/>
      <c r="H121" s="1264"/>
      <c r="I121" s="1299"/>
      <c r="J121" s="1264"/>
      <c r="K121" s="1273"/>
      <c r="L121" s="1638"/>
    </row>
    <row r="122" spans="1:12" s="1199" customFormat="1" ht="24" customHeight="1">
      <c r="A122" s="1637"/>
      <c r="B122" s="1636"/>
      <c r="C122" s="1622"/>
      <c r="D122" s="1623"/>
      <c r="E122" s="1624"/>
      <c r="F122" s="1637"/>
      <c r="G122" s="1357"/>
      <c r="H122" s="1264"/>
      <c r="I122" s="1299"/>
      <c r="J122" s="1264"/>
      <c r="K122" s="1273"/>
      <c r="L122" s="1638"/>
    </row>
    <row r="123" spans="1:12" s="1199" customFormat="1" ht="24" customHeight="1">
      <c r="A123" s="1637"/>
      <c r="B123" s="1636"/>
      <c r="C123" s="1622"/>
      <c r="D123" s="1623"/>
      <c r="E123" s="1624"/>
      <c r="F123" s="1637"/>
      <c r="G123" s="1357"/>
      <c r="H123" s="1264"/>
      <c r="I123" s="1299"/>
      <c r="J123" s="1264"/>
      <c r="K123" s="1273"/>
      <c r="L123" s="1638"/>
    </row>
    <row r="124" spans="1:12" s="1199" customFormat="1" ht="24" customHeight="1">
      <c r="A124" s="1637"/>
      <c r="B124" s="1636"/>
      <c r="C124" s="1622"/>
      <c r="D124" s="1623"/>
      <c r="E124" s="1624"/>
      <c r="F124" s="1637"/>
      <c r="G124" s="1357"/>
      <c r="H124" s="1264"/>
      <c r="I124" s="1299"/>
      <c r="J124" s="1264"/>
      <c r="K124" s="1273"/>
      <c r="L124" s="1638"/>
    </row>
    <row r="125" spans="1:12" s="1199" customFormat="1" ht="24" customHeight="1">
      <c r="A125" s="1637"/>
      <c r="B125" s="1636"/>
      <c r="C125" s="1622"/>
      <c r="D125" s="1623"/>
      <c r="E125" s="1624"/>
      <c r="F125" s="1637"/>
      <c r="G125" s="1357"/>
      <c r="H125" s="1264"/>
      <c r="I125" s="1299"/>
      <c r="J125" s="1264"/>
      <c r="K125" s="1273"/>
      <c r="L125" s="1638"/>
    </row>
    <row r="126" spans="1:12" s="1199" customFormat="1" ht="24" customHeight="1">
      <c r="A126" s="1637"/>
      <c r="B126" s="1636"/>
      <c r="C126" s="1622"/>
      <c r="D126" s="1623"/>
      <c r="E126" s="1624"/>
      <c r="F126" s="1637"/>
      <c r="G126" s="1357"/>
      <c r="H126" s="1264"/>
      <c r="I126" s="1299"/>
      <c r="J126" s="1264"/>
      <c r="K126" s="1273"/>
      <c r="L126" s="1638"/>
    </row>
    <row r="127" spans="1:12" s="1199" customFormat="1" ht="24" customHeight="1">
      <c r="A127" s="1637"/>
      <c r="B127" s="1636"/>
      <c r="C127" s="1622"/>
      <c r="D127" s="1623"/>
      <c r="E127" s="1624"/>
      <c r="F127" s="1637"/>
      <c r="G127" s="1357"/>
      <c r="H127" s="1264"/>
      <c r="I127" s="1299"/>
      <c r="J127" s="1264"/>
      <c r="K127" s="1273"/>
      <c r="L127" s="1638"/>
    </row>
    <row r="128" spans="1:12" s="1199" customFormat="1" ht="24" customHeight="1">
      <c r="A128" s="1637"/>
      <c r="B128" s="1636"/>
      <c r="C128" s="1622"/>
      <c r="D128" s="1623"/>
      <c r="E128" s="1624"/>
      <c r="F128" s="1637"/>
      <c r="G128" s="1357"/>
      <c r="H128" s="1264"/>
      <c r="I128" s="1299"/>
      <c r="J128" s="1264"/>
      <c r="K128" s="1273"/>
      <c r="L128" s="1638"/>
    </row>
    <row r="129" spans="1:12" s="1199" customFormat="1" ht="24" customHeight="1">
      <c r="A129" s="1637"/>
      <c r="B129" s="1636"/>
      <c r="C129" s="1622"/>
      <c r="D129" s="1623"/>
      <c r="E129" s="1624"/>
      <c r="F129" s="1637"/>
      <c r="G129" s="1357"/>
      <c r="H129" s="1264"/>
      <c r="I129" s="1299"/>
      <c r="J129" s="1264"/>
      <c r="K129" s="1273"/>
      <c r="L129" s="1638"/>
    </row>
    <row r="130" spans="1:12" s="1199" customFormat="1" ht="24" customHeight="1">
      <c r="A130" s="1637"/>
      <c r="B130" s="1636"/>
      <c r="C130" s="1622"/>
      <c r="D130" s="1623"/>
      <c r="E130" s="1624"/>
      <c r="F130" s="1637"/>
      <c r="G130" s="1357"/>
      <c r="H130" s="1264"/>
      <c r="I130" s="1299"/>
      <c r="J130" s="1264"/>
      <c r="K130" s="1273"/>
      <c r="L130" s="1638"/>
    </row>
    <row r="131" spans="1:12" s="1199" customFormat="1" ht="24" customHeight="1">
      <c r="A131" s="1637"/>
      <c r="B131" s="1636"/>
      <c r="C131" s="1622"/>
      <c r="D131" s="1623"/>
      <c r="E131" s="1624"/>
      <c r="F131" s="1637"/>
      <c r="G131" s="1357"/>
      <c r="H131" s="1264"/>
      <c r="I131" s="1299"/>
      <c r="J131" s="1264"/>
      <c r="K131" s="1273"/>
      <c r="L131" s="1638"/>
    </row>
    <row r="132" spans="1:12" s="1199" customFormat="1" ht="24" customHeight="1">
      <c r="A132" s="1637"/>
      <c r="B132" s="1636"/>
      <c r="C132" s="1622"/>
      <c r="D132" s="1623"/>
      <c r="E132" s="1624"/>
      <c r="F132" s="1637"/>
      <c r="G132" s="1357"/>
      <c r="H132" s="1264"/>
      <c r="I132" s="1299"/>
      <c r="J132" s="1264"/>
      <c r="K132" s="1273"/>
      <c r="L132" s="1638"/>
    </row>
    <row r="133" spans="1:12" s="1199" customFormat="1" ht="24" customHeight="1">
      <c r="A133" s="1637"/>
      <c r="B133" s="1636"/>
      <c r="C133" s="1622"/>
      <c r="D133" s="1623"/>
      <c r="E133" s="1624"/>
      <c r="F133" s="1637"/>
      <c r="G133" s="1357"/>
      <c r="H133" s="1264"/>
      <c r="I133" s="1299"/>
      <c r="J133" s="1264"/>
      <c r="K133" s="1273"/>
      <c r="L133" s="1638"/>
    </row>
    <row r="134" spans="1:12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630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3-อาคารด้านทิศตะวันตก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2F268-9402-49F8-B28B-9A5C7A12C8BA}">
  <sheetPr>
    <tabColor rgb="FFF42CBB"/>
  </sheetPr>
  <dimension ref="A1:O156"/>
  <sheetViews>
    <sheetView showGridLines="0" view="pageBreakPreview" topLeftCell="A118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" style="1" customWidth="1"/>
    <col min="13" max="13" width="12.29296875" style="1" customWidth="1"/>
    <col min="14" max="88" width="7.703125" style="1" customWidth="1"/>
    <col min="8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1971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/>
      <c r="B12" s="1568" t="str">
        <f>B35</f>
        <v>งานระบบดับเพลิงและป้องกันอัคคีภัย</v>
      </c>
      <c r="C12" s="1533"/>
      <c r="D12" s="1534"/>
      <c r="E12" s="1569"/>
      <c r="F12" s="1567"/>
      <c r="G12" s="1195"/>
      <c r="H12" s="1196"/>
      <c r="I12" s="1197"/>
      <c r="J12" s="1196"/>
      <c r="K12" s="1553"/>
      <c r="L12" s="1627"/>
    </row>
    <row r="13" spans="1:12" s="1199" customFormat="1" ht="24" customHeight="1">
      <c r="A13" s="1564" t="str">
        <f>A36</f>
        <v>6.1</v>
      </c>
      <c r="B13" s="1565" t="str">
        <f>B36</f>
        <v>งานท่อน้ำ (Piping Work)</v>
      </c>
      <c r="C13" s="1533"/>
      <c r="D13" s="1534"/>
      <c r="E13" s="1569">
        <v>1</v>
      </c>
      <c r="F13" s="1567" t="s">
        <v>19</v>
      </c>
      <c r="G13" s="1195"/>
      <c r="H13" s="1196">
        <f>H59</f>
        <v>951914</v>
      </c>
      <c r="I13" s="1197"/>
      <c r="J13" s="1196">
        <f>J59</f>
        <v>412301</v>
      </c>
      <c r="K13" s="1553">
        <f t="shared" ref="K13:K18" si="0">SUM(H13:J13)</f>
        <v>1364215</v>
      </c>
      <c r="L13" s="1627"/>
    </row>
    <row r="14" spans="1:12" s="1199" customFormat="1" ht="24" customHeight="1">
      <c r="A14" s="1564">
        <f>A60</f>
        <v>6.2</v>
      </c>
      <c r="B14" s="1565" t="str">
        <f>B60</f>
        <v>วาล์วและอุปกรณ์ (Valve &amp; Pipe Accessories)</v>
      </c>
      <c r="C14" s="1533"/>
      <c r="D14" s="1534"/>
      <c r="E14" s="1569">
        <v>1</v>
      </c>
      <c r="F14" s="1567" t="s">
        <v>19</v>
      </c>
      <c r="G14" s="1195"/>
      <c r="H14" s="1196">
        <f>H76</f>
        <v>212932</v>
      </c>
      <c r="I14" s="1197"/>
      <c r="J14" s="1196">
        <f>J76</f>
        <v>14000</v>
      </c>
      <c r="K14" s="1553">
        <f t="shared" si="0"/>
        <v>226932</v>
      </c>
      <c r="L14" s="1627"/>
    </row>
    <row r="15" spans="1:12" s="1199" customFormat="1" ht="24" customHeight="1">
      <c r="A15" s="1564" t="str">
        <f>A77</f>
        <v>6.3</v>
      </c>
      <c r="B15" s="1565" t="str">
        <f>B77</f>
        <v>ระบบหัวกระจายน้ำดับเพลิง (Sprinkler System)</v>
      </c>
      <c r="C15" s="1533"/>
      <c r="D15" s="1534"/>
      <c r="E15" s="1569">
        <v>1</v>
      </c>
      <c r="F15" s="1567" t="s">
        <v>19</v>
      </c>
      <c r="G15" s="1195"/>
      <c r="H15" s="1196">
        <f>H84</f>
        <v>143770</v>
      </c>
      <c r="I15" s="1197"/>
      <c r="J15" s="1196">
        <f>J84</f>
        <v>45675</v>
      </c>
      <c r="K15" s="1553">
        <f t="shared" si="0"/>
        <v>189445</v>
      </c>
      <c r="L15" s="1627"/>
    </row>
    <row r="16" spans="1:12" s="1199" customFormat="1" ht="24" customHeight="1">
      <c r="A16" s="1642">
        <f>A85</f>
        <v>6.4</v>
      </c>
      <c r="B16" s="1643" t="str">
        <f>B85</f>
        <v>ตู้ดับเพลิงและถังดับเพลิงชนิดมือถือ (Fire Hose Cabinet &amp; Portable Fire Extinguisher)</v>
      </c>
      <c r="C16" s="1607"/>
      <c r="D16" s="1608"/>
      <c r="E16" s="1644">
        <v>1</v>
      </c>
      <c r="F16" s="1610" t="s">
        <v>19</v>
      </c>
      <c r="G16" s="1645"/>
      <c r="H16" s="1646">
        <f>H109</f>
        <v>211000</v>
      </c>
      <c r="I16" s="1647"/>
      <c r="J16" s="1646">
        <f>J109</f>
        <v>13290</v>
      </c>
      <c r="K16" s="1553">
        <f t="shared" si="0"/>
        <v>224290</v>
      </c>
      <c r="L16" s="1648"/>
    </row>
    <row r="17" spans="1:12" s="1199" customFormat="1" ht="24" customHeight="1">
      <c r="A17" s="1641" t="str">
        <f>A110</f>
        <v>6.5</v>
      </c>
      <c r="B17" s="1573" t="str">
        <f>B110</f>
        <v>ระบบไฟฟ้าและควบคุม (Electrical &amp; Control System) สำหรับระบบป้องกันอัคคีภัย</v>
      </c>
      <c r="C17" s="1574"/>
      <c r="D17" s="1575"/>
      <c r="E17" s="1598">
        <v>1</v>
      </c>
      <c r="F17" s="1577" t="s">
        <v>19</v>
      </c>
      <c r="G17" s="1228"/>
      <c r="H17" s="1229">
        <f>H118</f>
        <v>42560</v>
      </c>
      <c r="I17" s="1230"/>
      <c r="J17" s="1229">
        <f>J118</f>
        <v>4256</v>
      </c>
      <c r="K17" s="1553">
        <f t="shared" si="0"/>
        <v>46816</v>
      </c>
      <c r="L17" s="1628"/>
    </row>
    <row r="18" spans="1:12" s="1199" customFormat="1" ht="24" customHeight="1">
      <c r="A18" s="1564">
        <f>A119</f>
        <v>6.6</v>
      </c>
      <c r="B18" s="1565" t="str">
        <f>B119</f>
        <v>ระบบป้องกันไฟและควันลาม (Fire Barrier System)</v>
      </c>
      <c r="C18" s="1533"/>
      <c r="D18" s="1534"/>
      <c r="E18" s="1566">
        <v>1</v>
      </c>
      <c r="F18" s="1567" t="s">
        <v>19</v>
      </c>
      <c r="G18" s="1195"/>
      <c r="H18" s="1196">
        <f>H134</f>
        <v>0</v>
      </c>
      <c r="I18" s="1197"/>
      <c r="J18" s="1196">
        <f>J134</f>
        <v>0</v>
      </c>
      <c r="K18" s="1553">
        <f t="shared" si="0"/>
        <v>0</v>
      </c>
      <c r="L18" s="1627"/>
    </row>
    <row r="19" spans="1:12" s="1199" customFormat="1" ht="24" customHeight="1">
      <c r="A19" s="1641"/>
      <c r="B19" s="1573"/>
      <c r="C19" s="1574"/>
      <c r="D19" s="1575"/>
      <c r="E19" s="1598"/>
      <c r="F19" s="1577"/>
      <c r="G19" s="1228"/>
      <c r="H19" s="1229"/>
      <c r="I19" s="1230"/>
      <c r="J19" s="1229"/>
      <c r="K19" s="1553"/>
      <c r="L19" s="1628"/>
    </row>
    <row r="20" spans="1:12" s="1199" customFormat="1" ht="24" customHeight="1">
      <c r="A20" s="1641"/>
      <c r="B20" s="1573"/>
      <c r="C20" s="1574"/>
      <c r="D20" s="1575"/>
      <c r="E20" s="1598"/>
      <c r="F20" s="1577"/>
      <c r="G20" s="1228"/>
      <c r="H20" s="1229"/>
      <c r="I20" s="1230"/>
      <c r="J20" s="1229"/>
      <c r="K20" s="1553"/>
      <c r="L20" s="1628"/>
    </row>
    <row r="21" spans="1:12" s="1199" customFormat="1" ht="24" customHeight="1">
      <c r="A21" s="1641"/>
      <c r="B21" s="1573"/>
      <c r="C21" s="1574"/>
      <c r="D21" s="1575"/>
      <c r="E21" s="1598"/>
      <c r="F21" s="1577"/>
      <c r="G21" s="1228"/>
      <c r="H21" s="1229"/>
      <c r="I21" s="1230"/>
      <c r="J21" s="1229"/>
      <c r="K21" s="1553"/>
      <c r="L21" s="1628"/>
    </row>
    <row r="22" spans="1:12" s="1199" customFormat="1" ht="24" customHeight="1">
      <c r="A22" s="1641"/>
      <c r="B22" s="1573"/>
      <c r="C22" s="1574"/>
      <c r="D22" s="1575"/>
      <c r="E22" s="1598"/>
      <c r="F22" s="1577"/>
      <c r="G22" s="1228"/>
      <c r="H22" s="1229"/>
      <c r="I22" s="1230"/>
      <c r="J22" s="1229"/>
      <c r="K22" s="1553"/>
      <c r="L22" s="1628"/>
    </row>
    <row r="23" spans="1:12" s="1199" customFormat="1" ht="24" customHeight="1">
      <c r="A23" s="1641"/>
      <c r="B23" s="1573"/>
      <c r="C23" s="1574"/>
      <c r="D23" s="1575"/>
      <c r="E23" s="1598"/>
      <c r="F23" s="1577"/>
      <c r="G23" s="1228"/>
      <c r="H23" s="1229"/>
      <c r="I23" s="1230"/>
      <c r="J23" s="1229"/>
      <c r="K23" s="1553"/>
      <c r="L23" s="1628"/>
    </row>
    <row r="24" spans="1:12" s="1199" customFormat="1" ht="24" customHeight="1">
      <c r="A24" s="1641"/>
      <c r="B24" s="1573"/>
      <c r="C24" s="1574"/>
      <c r="D24" s="1575"/>
      <c r="E24" s="1598"/>
      <c r="F24" s="1577"/>
      <c r="G24" s="1228"/>
      <c r="H24" s="1229"/>
      <c r="I24" s="1230"/>
      <c r="J24" s="1229"/>
      <c r="K24" s="1553"/>
      <c r="L24" s="1628"/>
    </row>
    <row r="25" spans="1:12" s="1199" customFormat="1" ht="24" customHeight="1">
      <c r="A25" s="1641"/>
      <c r="B25" s="1573"/>
      <c r="C25" s="1574"/>
      <c r="D25" s="1575"/>
      <c r="E25" s="1598"/>
      <c r="F25" s="1577"/>
      <c r="G25" s="1228"/>
      <c r="H25" s="1229"/>
      <c r="I25" s="1230"/>
      <c r="J25" s="1229"/>
      <c r="K25" s="1553"/>
      <c r="L25" s="1628"/>
    </row>
    <row r="26" spans="1:12" s="1199" customFormat="1" ht="24" customHeight="1">
      <c r="A26" s="1641"/>
      <c r="B26" s="1573"/>
      <c r="C26" s="1574"/>
      <c r="D26" s="1575"/>
      <c r="E26" s="1598"/>
      <c r="F26" s="1577"/>
      <c r="G26" s="1228"/>
      <c r="H26" s="1229"/>
      <c r="I26" s="1230"/>
      <c r="J26" s="1229"/>
      <c r="K26" s="1553"/>
      <c r="L26" s="1628"/>
    </row>
    <row r="27" spans="1:12" s="1199" customFormat="1" ht="24" customHeight="1">
      <c r="A27" s="1641"/>
      <c r="B27" s="1573"/>
      <c r="C27" s="1574"/>
      <c r="D27" s="1575"/>
      <c r="E27" s="1598"/>
      <c r="F27" s="1577"/>
      <c r="G27" s="1228"/>
      <c r="H27" s="1229"/>
      <c r="I27" s="1230"/>
      <c r="J27" s="1229"/>
      <c r="K27" s="1553"/>
      <c r="L27" s="1628"/>
    </row>
    <row r="28" spans="1:12" s="1199" customFormat="1" ht="24" customHeight="1">
      <c r="A28" s="1641"/>
      <c r="B28" s="1573"/>
      <c r="C28" s="1574"/>
      <c r="D28" s="1575"/>
      <c r="E28" s="1598"/>
      <c r="F28" s="1577"/>
      <c r="G28" s="1228"/>
      <c r="H28" s="1229"/>
      <c r="I28" s="1230"/>
      <c r="J28" s="1229"/>
      <c r="K28" s="1553"/>
      <c r="L28" s="1628"/>
    </row>
    <row r="29" spans="1:12" s="1199" customFormat="1" ht="24" customHeight="1">
      <c r="A29" s="1641"/>
      <c r="B29" s="1573"/>
      <c r="C29" s="1574"/>
      <c r="D29" s="1575"/>
      <c r="E29" s="1598"/>
      <c r="F29" s="1577"/>
      <c r="G29" s="1228"/>
      <c r="H29" s="1229"/>
      <c r="I29" s="1230"/>
      <c r="J29" s="1229"/>
      <c r="K29" s="1553"/>
      <c r="L29" s="1628"/>
    </row>
    <row r="30" spans="1:12" s="1199" customFormat="1" ht="24" customHeight="1">
      <c r="A30" s="1641"/>
      <c r="B30" s="1573"/>
      <c r="C30" s="1574"/>
      <c r="D30" s="1575"/>
      <c r="E30" s="1598"/>
      <c r="F30" s="1577"/>
      <c r="G30" s="1228"/>
      <c r="H30" s="1229"/>
      <c r="I30" s="1230"/>
      <c r="J30" s="1229"/>
      <c r="K30" s="1553"/>
      <c r="L30" s="1628"/>
    </row>
    <row r="31" spans="1:12" s="1199" customFormat="1" ht="24" customHeight="1">
      <c r="A31" s="1641"/>
      <c r="B31" s="1573"/>
      <c r="C31" s="1574"/>
      <c r="D31" s="1575"/>
      <c r="E31" s="1598"/>
      <c r="F31" s="1577"/>
      <c r="G31" s="1228"/>
      <c r="H31" s="1229"/>
      <c r="I31" s="1230"/>
      <c r="J31" s="1229"/>
      <c r="K31" s="1553"/>
      <c r="L31" s="1628"/>
    </row>
    <row r="32" spans="1:12" s="1199" customFormat="1" ht="24" customHeight="1">
      <c r="A32" s="1641"/>
      <c r="B32" s="1573"/>
      <c r="C32" s="1574"/>
      <c r="D32" s="1575"/>
      <c r="E32" s="1598"/>
      <c r="F32" s="1577"/>
      <c r="G32" s="1228"/>
      <c r="H32" s="1229"/>
      <c r="I32" s="1230"/>
      <c r="J32" s="1229"/>
      <c r="K32" s="1553"/>
      <c r="L32" s="1628"/>
    </row>
    <row r="33" spans="1:12" s="1199" customFormat="1" ht="24" customHeight="1">
      <c r="A33" s="1641"/>
      <c r="B33" s="1573"/>
      <c r="C33" s="1574"/>
      <c r="D33" s="1575"/>
      <c r="E33" s="1598"/>
      <c r="F33" s="1577"/>
      <c r="G33" s="1228"/>
      <c r="H33" s="1229"/>
      <c r="I33" s="1230"/>
      <c r="J33" s="1229"/>
      <c r="K33" s="1553"/>
      <c r="L33" s="1628"/>
    </row>
    <row r="34" spans="1:12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4</v>
      </c>
      <c r="C34" s="2258"/>
      <c r="D34" s="2259"/>
      <c r="E34" s="1579"/>
      <c r="F34" s="1579"/>
      <c r="G34" s="1580"/>
      <c r="H34" s="1581">
        <f>SUM(H12:H33)</f>
        <v>1562176</v>
      </c>
      <c r="I34" s="1582"/>
      <c r="J34" s="1581">
        <f>SUM(J12:J33)</f>
        <v>489522</v>
      </c>
      <c r="K34" s="1583">
        <f>SUM(K12:K33)</f>
        <v>2051698</v>
      </c>
      <c r="L34" s="1630"/>
    </row>
    <row r="35" spans="1:12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638"/>
    </row>
    <row r="36" spans="1:12" s="1199" customFormat="1" ht="24" customHeight="1">
      <c r="A36" s="1620" t="s">
        <v>1899</v>
      </c>
      <c r="B36" s="1568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635"/>
    </row>
    <row r="37" spans="1:12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2" s="1199" customFormat="1" ht="24" customHeight="1">
      <c r="A38" s="1564"/>
      <c r="B38" s="1565" t="s">
        <v>1901</v>
      </c>
      <c r="C38" s="1533"/>
      <c r="D38" s="1534"/>
      <c r="E38" s="1688">
        <v>1379</v>
      </c>
      <c r="F38" s="1567" t="s">
        <v>226</v>
      </c>
      <c r="G38" s="1516">
        <v>78</v>
      </c>
      <c r="H38" s="1264">
        <f t="shared" ref="H38:H51" si="1">ROUND(E38*G38,)</f>
        <v>107562</v>
      </c>
      <c r="I38" s="1265">
        <v>45</v>
      </c>
      <c r="J38" s="1264">
        <f t="shared" ref="J38:J51" si="2">ROUND(I38*E38,)</f>
        <v>62055</v>
      </c>
      <c r="K38" s="1273">
        <f t="shared" ref="K38:K51" si="3">H38+J38</f>
        <v>169617</v>
      </c>
      <c r="L38" s="1273"/>
    </row>
    <row r="39" spans="1:12" s="1199" customFormat="1" ht="24" customHeight="1">
      <c r="A39" s="1564"/>
      <c r="B39" s="1565" t="s">
        <v>1338</v>
      </c>
      <c r="C39" s="1533"/>
      <c r="D39" s="1534"/>
      <c r="E39" s="1688">
        <v>177</v>
      </c>
      <c r="F39" s="1567" t="s">
        <v>226</v>
      </c>
      <c r="G39" s="1516">
        <v>105</v>
      </c>
      <c r="H39" s="1264">
        <f t="shared" si="1"/>
        <v>18585</v>
      </c>
      <c r="I39" s="1299">
        <v>60</v>
      </c>
      <c r="J39" s="1264">
        <f t="shared" si="2"/>
        <v>10620</v>
      </c>
      <c r="K39" s="1273">
        <f t="shared" si="3"/>
        <v>29205</v>
      </c>
      <c r="L39" s="1382"/>
    </row>
    <row r="40" spans="1:12" s="1199" customFormat="1" ht="24" customHeight="1">
      <c r="A40" s="1564"/>
      <c r="B40" s="1565" t="s">
        <v>1339</v>
      </c>
      <c r="C40" s="1533"/>
      <c r="D40" s="1534"/>
      <c r="E40" s="1688">
        <v>145</v>
      </c>
      <c r="F40" s="1567" t="s">
        <v>226</v>
      </c>
      <c r="G40" s="1661">
        <v>126</v>
      </c>
      <c r="H40" s="1264">
        <f t="shared" si="1"/>
        <v>18270</v>
      </c>
      <c r="I40" s="1589">
        <v>70</v>
      </c>
      <c r="J40" s="1264">
        <f t="shared" si="2"/>
        <v>10150</v>
      </c>
      <c r="K40" s="1273">
        <f t="shared" si="3"/>
        <v>28420</v>
      </c>
      <c r="L40" s="1382"/>
    </row>
    <row r="41" spans="1:12" s="1199" customFormat="1" ht="24" customHeight="1">
      <c r="A41" s="1564"/>
      <c r="B41" s="1565" t="s">
        <v>1340</v>
      </c>
      <c r="C41" s="1533"/>
      <c r="D41" s="1534"/>
      <c r="E41" s="1688">
        <v>365</v>
      </c>
      <c r="F41" s="1567" t="s">
        <v>226</v>
      </c>
      <c r="G41" s="1661">
        <v>169</v>
      </c>
      <c r="H41" s="1264">
        <f t="shared" si="1"/>
        <v>61685</v>
      </c>
      <c r="I41" s="1589">
        <v>95</v>
      </c>
      <c r="J41" s="1264">
        <f t="shared" si="2"/>
        <v>34675</v>
      </c>
      <c r="K41" s="1273">
        <f t="shared" si="3"/>
        <v>96360</v>
      </c>
      <c r="L41" s="1382"/>
    </row>
    <row r="42" spans="1:12" s="1199" customFormat="1" ht="24" customHeight="1">
      <c r="A42" s="1564"/>
      <c r="B42" s="1565" t="s">
        <v>1341</v>
      </c>
      <c r="C42" s="1533"/>
      <c r="D42" s="1534"/>
      <c r="E42" s="1688">
        <v>211</v>
      </c>
      <c r="F42" s="1567" t="s">
        <v>226</v>
      </c>
      <c r="G42" s="1661">
        <v>268</v>
      </c>
      <c r="H42" s="1264">
        <f t="shared" si="1"/>
        <v>56548</v>
      </c>
      <c r="I42" s="1589">
        <v>150</v>
      </c>
      <c r="J42" s="1264">
        <f t="shared" si="2"/>
        <v>31650</v>
      </c>
      <c r="K42" s="1273">
        <f t="shared" si="3"/>
        <v>88198</v>
      </c>
      <c r="L42" s="1382"/>
    </row>
    <row r="43" spans="1:12" s="1199" customFormat="1" ht="24" customHeight="1">
      <c r="A43" s="1564"/>
      <c r="B43" s="1565" t="s">
        <v>1342</v>
      </c>
      <c r="C43" s="1533"/>
      <c r="D43" s="1534"/>
      <c r="E43" s="1688">
        <v>140</v>
      </c>
      <c r="F43" s="1567" t="s">
        <v>226</v>
      </c>
      <c r="G43" s="1661">
        <v>350</v>
      </c>
      <c r="H43" s="1264">
        <f t="shared" si="1"/>
        <v>49000</v>
      </c>
      <c r="I43" s="1589">
        <v>200</v>
      </c>
      <c r="J43" s="1264">
        <f t="shared" si="2"/>
        <v>28000</v>
      </c>
      <c r="K43" s="1273">
        <f t="shared" si="3"/>
        <v>77000</v>
      </c>
      <c r="L43" s="1382"/>
    </row>
    <row r="44" spans="1:12" s="1199" customFormat="1" ht="24" customHeight="1">
      <c r="A44" s="1564"/>
      <c r="B44" s="1565" t="s">
        <v>1759</v>
      </c>
      <c r="C44" s="1533"/>
      <c r="D44" s="1534"/>
      <c r="E44" s="1688">
        <v>170</v>
      </c>
      <c r="F44" s="1567" t="s">
        <v>226</v>
      </c>
      <c r="G44" s="1661">
        <v>499</v>
      </c>
      <c r="H44" s="1264">
        <f t="shared" si="1"/>
        <v>84830</v>
      </c>
      <c r="I44" s="1589">
        <v>280</v>
      </c>
      <c r="J44" s="1264">
        <f t="shared" si="2"/>
        <v>47600</v>
      </c>
      <c r="K44" s="1273">
        <f t="shared" si="3"/>
        <v>132430</v>
      </c>
      <c r="L44" s="1382"/>
    </row>
    <row r="45" spans="1:12" s="1199" customFormat="1" ht="24" customHeight="1">
      <c r="A45" s="1564"/>
      <c r="B45" s="1565" t="s">
        <v>1754</v>
      </c>
      <c r="C45" s="1533"/>
      <c r="D45" s="1534"/>
      <c r="E45" s="1688">
        <v>86</v>
      </c>
      <c r="F45" s="1567" t="s">
        <v>226</v>
      </c>
      <c r="G45" s="1661">
        <v>877</v>
      </c>
      <c r="H45" s="1264">
        <f t="shared" si="1"/>
        <v>75422</v>
      </c>
      <c r="I45" s="1589">
        <v>500</v>
      </c>
      <c r="J45" s="1264">
        <f t="shared" si="2"/>
        <v>43000</v>
      </c>
      <c r="K45" s="1273">
        <f t="shared" si="3"/>
        <v>118422</v>
      </c>
      <c r="L45" s="1382"/>
    </row>
    <row r="46" spans="1:12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2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2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188761</v>
      </c>
      <c r="H48" s="1264">
        <f t="shared" si="1"/>
        <v>188761</v>
      </c>
      <c r="I48" s="1589">
        <f>ROUND(G48*0.3,)</f>
        <v>56628</v>
      </c>
      <c r="J48" s="1264">
        <f t="shared" si="2"/>
        <v>56628</v>
      </c>
      <c r="K48" s="1273">
        <f t="shared" si="3"/>
        <v>245389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94380</v>
      </c>
      <c r="H49" s="1264">
        <f t="shared" si="1"/>
        <v>94380</v>
      </c>
      <c r="I49" s="1589">
        <f>ROUND(G49*0.3,)</f>
        <v>28314</v>
      </c>
      <c r="J49" s="1264">
        <f t="shared" si="2"/>
        <v>28314</v>
      </c>
      <c r="K49" s="1273">
        <f t="shared" si="3"/>
        <v>122694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47190</v>
      </c>
      <c r="H50" s="1264">
        <f t="shared" si="1"/>
        <v>47190</v>
      </c>
      <c r="I50" s="1589">
        <f>ROUND(G50*0.3,)</f>
        <v>14157</v>
      </c>
      <c r="J50" s="1264">
        <f t="shared" si="2"/>
        <v>14157</v>
      </c>
      <c r="K50" s="1273">
        <f t="shared" si="3"/>
        <v>61347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141571</v>
      </c>
      <c r="H51" s="1264">
        <f t="shared" si="1"/>
        <v>141571</v>
      </c>
      <c r="I51" s="1589">
        <f>ROUND(G51*0.3,)</f>
        <v>42471</v>
      </c>
      <c r="J51" s="1264">
        <f t="shared" si="2"/>
        <v>42471</v>
      </c>
      <c r="K51" s="1273">
        <f t="shared" si="3"/>
        <v>184042</v>
      </c>
      <c r="L51" s="1382"/>
    </row>
    <row r="52" spans="1:15" s="1199" customFormat="1" ht="24" customHeight="1">
      <c r="A52" s="1564"/>
      <c r="B52" s="1597"/>
      <c r="C52" s="1533"/>
      <c r="D52" s="1534"/>
      <c r="E52" s="1566"/>
      <c r="F52" s="1567"/>
      <c r="G52" s="1516"/>
      <c r="H52" s="1264"/>
      <c r="I52" s="1265"/>
      <c r="J52" s="1264"/>
      <c r="K52" s="1273"/>
      <c r="L52" s="1638"/>
    </row>
    <row r="53" spans="1:15" s="1199" customFormat="1" ht="24" customHeight="1">
      <c r="A53" s="1564" t="s">
        <v>1868</v>
      </c>
      <c r="B53" s="1565" t="s">
        <v>1869</v>
      </c>
      <c r="C53" s="1533"/>
      <c r="D53" s="1534"/>
      <c r="E53" s="1566"/>
      <c r="F53" s="1567"/>
      <c r="G53" s="1516"/>
      <c r="H53" s="1298"/>
      <c r="I53" s="1299"/>
      <c r="J53" s="1298"/>
      <c r="K53" s="1382"/>
      <c r="L53" s="1382"/>
    </row>
    <row r="54" spans="1:15" s="1199" customFormat="1" ht="24" customHeight="1">
      <c r="A54" s="1564"/>
      <c r="B54" s="1565" t="s">
        <v>1901</v>
      </c>
      <c r="C54" s="1533"/>
      <c r="D54" s="1534"/>
      <c r="E54" s="825">
        <v>5</v>
      </c>
      <c r="F54" s="1567" t="s">
        <v>226</v>
      </c>
      <c r="G54" s="1516">
        <v>124</v>
      </c>
      <c r="H54" s="1264">
        <f>ROUND(E54*G54,)</f>
        <v>620</v>
      </c>
      <c r="I54" s="1265">
        <v>50</v>
      </c>
      <c r="J54" s="1264">
        <f t="shared" ref="J54:J55" si="4">ROUND(I54*E54,)</f>
        <v>250</v>
      </c>
      <c r="K54" s="1273">
        <f t="shared" ref="K54:K55" si="5">H54+J54</f>
        <v>870</v>
      </c>
      <c r="L54" s="2082" t="s">
        <v>2667</v>
      </c>
      <c r="N54" s="1199">
        <v>745.96</v>
      </c>
      <c r="O54" s="1199">
        <f>ROUND(N54/6,)</f>
        <v>124</v>
      </c>
    </row>
    <row r="55" spans="1:15" s="1199" customFormat="1" ht="24" customHeight="1">
      <c r="A55" s="1564"/>
      <c r="B55" s="1565" t="s">
        <v>1340</v>
      </c>
      <c r="C55" s="1533"/>
      <c r="D55" s="1534"/>
      <c r="E55" s="825">
        <v>15</v>
      </c>
      <c r="F55" s="1567" t="s">
        <v>226</v>
      </c>
      <c r="G55" s="1516">
        <v>259</v>
      </c>
      <c r="H55" s="1264">
        <f t="shared" ref="H55" si="6">ROUND(E55*G55,)</f>
        <v>3885</v>
      </c>
      <c r="I55" s="1299">
        <v>110</v>
      </c>
      <c r="J55" s="1264">
        <f t="shared" si="4"/>
        <v>1650</v>
      </c>
      <c r="K55" s="1273">
        <f t="shared" si="5"/>
        <v>5535</v>
      </c>
      <c r="L55" s="2082" t="s">
        <v>2667</v>
      </c>
      <c r="N55" s="1199">
        <v>1554.48</v>
      </c>
      <c r="O55" s="1199">
        <f>ROUND(N55/6,)</f>
        <v>259</v>
      </c>
    </row>
    <row r="56" spans="1:15" s="1199" customFormat="1" ht="24" customHeight="1">
      <c r="A56" s="1564"/>
      <c r="B56" s="1565" t="s">
        <v>1719</v>
      </c>
      <c r="C56" s="1533"/>
      <c r="D56" s="1534"/>
      <c r="E56" s="1686">
        <v>1</v>
      </c>
      <c r="F56" s="1402" t="s">
        <v>1104</v>
      </c>
      <c r="G56" s="1661">
        <f>ROUND(SUM(H54:H55)*50%,)</f>
        <v>2253</v>
      </c>
      <c r="H56" s="1264">
        <f>ROUND(E56*G56,)</f>
        <v>2253</v>
      </c>
      <c r="I56" s="1589">
        <f>ROUND(G56*0.3,)</f>
        <v>676</v>
      </c>
      <c r="J56" s="1264">
        <f>ROUND(I56*E56,)</f>
        <v>676</v>
      </c>
      <c r="K56" s="1273">
        <f>H56+J56</f>
        <v>2929</v>
      </c>
      <c r="L56" s="1382"/>
    </row>
    <row r="57" spans="1:15" s="1199" customFormat="1" ht="24" customHeight="1">
      <c r="A57" s="1564"/>
      <c r="B57" s="1565" t="s">
        <v>1720</v>
      </c>
      <c r="C57" s="1533"/>
      <c r="D57" s="1534"/>
      <c r="E57" s="1686">
        <v>1</v>
      </c>
      <c r="F57" s="1402" t="s">
        <v>1104</v>
      </c>
      <c r="G57" s="1661">
        <f>ROUND(SUM(H54:H55)*20%,)</f>
        <v>901</v>
      </c>
      <c r="H57" s="1264">
        <f>ROUND(E57*G57,)</f>
        <v>901</v>
      </c>
      <c r="I57" s="1589">
        <f>ROUND(G57*0.3,)</f>
        <v>270</v>
      </c>
      <c r="J57" s="1264">
        <f>ROUND(I57*E57,)</f>
        <v>270</v>
      </c>
      <c r="K57" s="1273">
        <f>H57+J57</f>
        <v>1171</v>
      </c>
      <c r="L57" s="1382"/>
    </row>
    <row r="58" spans="1:15" s="1199" customFormat="1" ht="24" customHeight="1">
      <c r="A58" s="1564"/>
      <c r="B58" s="1565" t="s">
        <v>1721</v>
      </c>
      <c r="C58" s="1533"/>
      <c r="D58" s="1534"/>
      <c r="E58" s="1686">
        <v>1</v>
      </c>
      <c r="F58" s="1402" t="s">
        <v>1104</v>
      </c>
      <c r="G58" s="1661">
        <f>ROUND(SUM(H54:H55)*10%,)</f>
        <v>451</v>
      </c>
      <c r="H58" s="1264">
        <f>ROUND(E58*G58,)</f>
        <v>451</v>
      </c>
      <c r="I58" s="1589">
        <f>ROUND(G58*0.3,)</f>
        <v>135</v>
      </c>
      <c r="J58" s="1264">
        <f>ROUND(I58*E58,)</f>
        <v>135</v>
      </c>
      <c r="K58" s="1273">
        <f>H58+J58</f>
        <v>586</v>
      </c>
      <c r="L58" s="1382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951914</v>
      </c>
      <c r="I59" s="1582"/>
      <c r="J59" s="1581">
        <f>SUM(J37:J58)</f>
        <v>412301</v>
      </c>
      <c r="K59" s="1583">
        <f>SUM(K37:K58)</f>
        <v>1364215</v>
      </c>
      <c r="L59" s="1630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638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73"/>
      <c r="C75" s="1533"/>
      <c r="D75" s="1653"/>
      <c r="E75" s="1566"/>
      <c r="F75" s="1623"/>
      <c r="G75" s="1516"/>
      <c r="H75" s="1298"/>
      <c r="I75" s="1299"/>
      <c r="J75" s="1298"/>
      <c r="K75" s="1382"/>
      <c r="L75" s="1638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SUM(H61:H75)</f>
        <v>212932</v>
      </c>
      <c r="I76" s="1582"/>
      <c r="J76" s="1581">
        <f>SUM(J61:J75)</f>
        <v>14000</v>
      </c>
      <c r="K76" s="1583">
        <f>SUM(K61:K75)</f>
        <v>226932</v>
      </c>
      <c r="L76" s="1630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16"/>
      <c r="H77" s="1298"/>
      <c r="I77" s="1299"/>
      <c r="J77" s="1298"/>
      <c r="K77" s="1382"/>
      <c r="L77" s="1638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455</v>
      </c>
      <c r="F78" s="1676" t="s">
        <v>363</v>
      </c>
      <c r="G78" s="1516">
        <v>110</v>
      </c>
      <c r="H78" s="1264">
        <f>ROUND(E78*G78,)</f>
        <v>50050</v>
      </c>
      <c r="I78" s="1299">
        <v>75</v>
      </c>
      <c r="J78" s="1264">
        <f>ROUND(I78*E78,)</f>
        <v>34125</v>
      </c>
      <c r="K78" s="1273">
        <f>H78+J78</f>
        <v>84175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16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>
        <v>99</v>
      </c>
      <c r="F80" s="1676" t="s">
        <v>363</v>
      </c>
      <c r="G80" s="1516">
        <v>800</v>
      </c>
      <c r="H80" s="1264">
        <f>ROUND(E80*G80,)</f>
        <v>79200</v>
      </c>
      <c r="I80" s="1299">
        <v>50</v>
      </c>
      <c r="J80" s="1264">
        <f>ROUND(I80*E80,)</f>
        <v>4950</v>
      </c>
      <c r="K80" s="1273">
        <f>H80+J80</f>
        <v>84150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132</v>
      </c>
      <c r="F81" s="1676" t="s">
        <v>363</v>
      </c>
      <c r="G81" s="1516">
        <v>110</v>
      </c>
      <c r="H81" s="1264">
        <f>ROUND(E81*G81,)</f>
        <v>14520</v>
      </c>
      <c r="I81" s="1299">
        <v>50</v>
      </c>
      <c r="J81" s="1264">
        <f>ROUND(I81*E81,)</f>
        <v>6600</v>
      </c>
      <c r="K81" s="1273">
        <f>H81+J81</f>
        <v>21120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516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16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143770</v>
      </c>
      <c r="I84" s="1582"/>
      <c r="J84" s="1581">
        <f>SUM(J78:J83)</f>
        <v>45675</v>
      </c>
      <c r="K84" s="1583">
        <f>SUM(K78:K83)</f>
        <v>189445</v>
      </c>
      <c r="L84" s="1630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713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4</v>
      </c>
      <c r="F87" s="1564" t="s">
        <v>363</v>
      </c>
      <c r="G87" s="1558">
        <v>6500</v>
      </c>
      <c r="H87" s="1264">
        <f t="shared" ref="H87:H92" si="7">ROUND(E87*G87,)</f>
        <v>26000</v>
      </c>
      <c r="I87" s="1265">
        <f>G87*0.3</f>
        <v>1950</v>
      </c>
      <c r="J87" s="1264">
        <f>ROUND(I87*E87,)</f>
        <v>7800</v>
      </c>
      <c r="K87" s="1273">
        <f t="shared" ref="K87:K92" si="8">H87+J87</f>
        <v>33800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4</v>
      </c>
      <c r="F88" s="1572" t="s">
        <v>363</v>
      </c>
      <c r="G88" s="1694">
        <v>1200</v>
      </c>
      <c r="H88" s="1264">
        <f t="shared" si="7"/>
        <v>4800</v>
      </c>
      <c r="I88" s="1265" t="s">
        <v>1683</v>
      </c>
      <c r="J88" s="1264"/>
      <c r="K88" s="1273">
        <f t="shared" si="8"/>
        <v>4800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4</v>
      </c>
      <c r="F89" s="1564" t="s">
        <v>363</v>
      </c>
      <c r="G89" s="1558">
        <v>19200</v>
      </c>
      <c r="H89" s="1264">
        <f t="shared" si="7"/>
        <v>76800</v>
      </c>
      <c r="I89" s="1265" t="s">
        <v>1683</v>
      </c>
      <c r="J89" s="1264"/>
      <c r="K89" s="1273">
        <f t="shared" si="8"/>
        <v>76800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4</v>
      </c>
      <c r="F90" s="1564" t="s">
        <v>363</v>
      </c>
      <c r="G90" s="1558">
        <v>4910</v>
      </c>
      <c r="H90" s="1264">
        <f t="shared" si="7"/>
        <v>19640</v>
      </c>
      <c r="I90" s="1265" t="s">
        <v>1683</v>
      </c>
      <c r="J90" s="1264"/>
      <c r="K90" s="1273">
        <f t="shared" si="8"/>
        <v>19640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4</v>
      </c>
      <c r="F91" s="1564" t="s">
        <v>363</v>
      </c>
      <c r="G91" s="1558">
        <v>1420</v>
      </c>
      <c r="H91" s="1264">
        <f t="shared" si="7"/>
        <v>5680</v>
      </c>
      <c r="I91" s="1265" t="s">
        <v>1683</v>
      </c>
      <c r="J91" s="1264"/>
      <c r="K91" s="1273">
        <f t="shared" si="8"/>
        <v>5680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4</v>
      </c>
      <c r="F92" s="1564" t="s">
        <v>363</v>
      </c>
      <c r="G92" s="1558">
        <v>720</v>
      </c>
      <c r="H92" s="1264">
        <f t="shared" si="7"/>
        <v>2880</v>
      </c>
      <c r="I92" s="1265" t="s">
        <v>1683</v>
      </c>
      <c r="J92" s="1264"/>
      <c r="K92" s="1273">
        <f t="shared" si="8"/>
        <v>2880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/>
      <c r="B100" s="1636"/>
      <c r="C100" s="1622"/>
      <c r="D100" s="1623"/>
      <c r="E100" s="1624"/>
      <c r="F100" s="1637"/>
      <c r="G100" s="1558"/>
      <c r="H100" s="1264"/>
      <c r="I100" s="1265"/>
      <c r="J100" s="1264"/>
      <c r="K100" s="1273"/>
      <c r="L100" s="1687"/>
    </row>
    <row r="101" spans="1:12" s="1199" customFormat="1" ht="24" customHeight="1">
      <c r="A101" s="1637" t="s">
        <v>1933</v>
      </c>
      <c r="B101" s="1636" t="s">
        <v>1934</v>
      </c>
      <c r="C101" s="1622"/>
      <c r="D101" s="1623"/>
      <c r="E101" s="1624"/>
      <c r="F101" s="1637"/>
      <c r="G101" s="1558"/>
      <c r="H101" s="1264"/>
      <c r="I101" s="1695"/>
      <c r="J101" s="1264"/>
      <c r="K101" s="1687"/>
      <c r="L101" s="1687"/>
    </row>
    <row r="102" spans="1:12" s="1199" customFormat="1" ht="24" customHeight="1">
      <c r="A102" s="1564"/>
      <c r="B102" s="1565" t="s">
        <v>1935</v>
      </c>
      <c r="C102" s="1533"/>
      <c r="D102" s="1534"/>
      <c r="E102" s="1566">
        <v>6</v>
      </c>
      <c r="F102" s="1564" t="s">
        <v>363</v>
      </c>
      <c r="G102" s="1558">
        <v>1000</v>
      </c>
      <c r="H102" s="1264">
        <f>ROUND(E102*G102,)</f>
        <v>6000</v>
      </c>
      <c r="I102" s="1695">
        <v>200</v>
      </c>
      <c r="J102" s="1264">
        <f>ROUND(I102*E102,)</f>
        <v>1200</v>
      </c>
      <c r="K102" s="1273">
        <f>H102+J102</f>
        <v>7200</v>
      </c>
      <c r="L102" s="1687"/>
    </row>
    <row r="103" spans="1:12" s="1199" customFormat="1" ht="24" customHeight="1">
      <c r="A103" s="1572"/>
      <c r="B103" s="1573" t="s">
        <v>1936</v>
      </c>
      <c r="C103" s="1574"/>
      <c r="D103" s="1575"/>
      <c r="E103" s="1598"/>
      <c r="F103" s="1572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1937</v>
      </c>
      <c r="C104" s="1533"/>
      <c r="D104" s="1534"/>
      <c r="E104" s="1566"/>
      <c r="F104" s="1564" t="s">
        <v>363</v>
      </c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 t="s">
        <v>1117</v>
      </c>
      <c r="C105" s="1533"/>
      <c r="D105" s="1534"/>
      <c r="E105" s="1566"/>
      <c r="F105" s="1564"/>
      <c r="G105" s="1558"/>
      <c r="H105" s="1264"/>
      <c r="I105" s="1695"/>
      <c r="J105" s="1264"/>
      <c r="K105" s="1687"/>
      <c r="L105" s="1687"/>
    </row>
    <row r="106" spans="1:12" s="1199" customFormat="1" ht="24" customHeight="1">
      <c r="A106" s="1564"/>
      <c r="B106" s="1565"/>
      <c r="C106" s="1533"/>
      <c r="D106" s="1534"/>
      <c r="E106" s="1566"/>
      <c r="F106" s="1564"/>
      <c r="G106" s="1558"/>
      <c r="H106" s="1264"/>
      <c r="I106" s="1695"/>
      <c r="J106" s="1264"/>
      <c r="K106" s="1687"/>
      <c r="L106" s="1687"/>
    </row>
    <row r="107" spans="1:12" s="1199" customFormat="1" ht="24" customHeight="1">
      <c r="A107" s="1564"/>
      <c r="B107" s="1565"/>
      <c r="C107" s="1533"/>
      <c r="D107" s="1534"/>
      <c r="E107" s="1566"/>
      <c r="F107" s="1564"/>
      <c r="G107" s="1558"/>
      <c r="H107" s="1264"/>
      <c r="I107" s="1695"/>
      <c r="J107" s="1264"/>
      <c r="K107" s="1687"/>
      <c r="L107" s="1687"/>
    </row>
    <row r="108" spans="1:12" s="1199" customFormat="1" ht="24" customHeight="1">
      <c r="A108" s="1564"/>
      <c r="B108" s="1565"/>
      <c r="C108" s="1533"/>
      <c r="D108" s="1534"/>
      <c r="E108" s="1566"/>
      <c r="F108" s="1564"/>
      <c r="G108" s="1558"/>
      <c r="H108" s="1264"/>
      <c r="I108" s="1695"/>
      <c r="J108" s="1264"/>
      <c r="K108" s="1687"/>
      <c r="L108" s="169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211000</v>
      </c>
      <c r="I109" s="1582"/>
      <c r="J109" s="1581">
        <f>SUM(J86:J108)</f>
        <v>13290</v>
      </c>
      <c r="K109" s="1583">
        <f>SUM(K86:K108)</f>
        <v>224290</v>
      </c>
      <c r="L109" s="1630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713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635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638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638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638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638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638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638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630"/>
    </row>
    <row r="119" spans="1:12" s="1199" customFormat="1" ht="24" customHeight="1">
      <c r="A119" s="1637">
        <v>6.6</v>
      </c>
      <c r="B119" s="1636" t="s">
        <v>1424</v>
      </c>
      <c r="C119" s="1622"/>
      <c r="D119" s="1623"/>
      <c r="E119" s="1624">
        <v>1</v>
      </c>
      <c r="F119" s="1637" t="s">
        <v>1104</v>
      </c>
      <c r="G119" s="1708" t="s">
        <v>1952</v>
      </c>
      <c r="H119" s="1264"/>
      <c r="I119" s="1299"/>
      <c r="J119" s="1264">
        <f>ROUND(I119*E119,)</f>
        <v>0</v>
      </c>
      <c r="K119" s="1273">
        <f>H119+J119</f>
        <v>0</v>
      </c>
      <c r="L119" s="1638"/>
    </row>
    <row r="120" spans="1:12" s="1199" customFormat="1" ht="24" customHeight="1">
      <c r="A120" s="1564"/>
      <c r="B120" s="1565"/>
      <c r="C120" s="1533"/>
      <c r="D120" s="1534"/>
      <c r="E120" s="1566"/>
      <c r="F120" s="1564"/>
      <c r="G120" s="1516"/>
      <c r="H120" s="1298"/>
      <c r="I120" s="1299"/>
      <c r="J120" s="1298"/>
      <c r="K120" s="1382"/>
      <c r="L120" s="1564"/>
    </row>
    <row r="121" spans="1:12" s="1199" customFormat="1" ht="24" customHeight="1">
      <c r="A121" s="1564"/>
      <c r="B121" s="1565"/>
      <c r="C121" s="1533"/>
      <c r="D121" s="1534"/>
      <c r="E121" s="1566"/>
      <c r="F121" s="1564"/>
      <c r="G121" s="1516"/>
      <c r="H121" s="1298"/>
      <c r="I121" s="1299"/>
      <c r="J121" s="1298"/>
      <c r="K121" s="1382"/>
      <c r="L121" s="1564"/>
    </row>
    <row r="122" spans="1:12" s="1199" customFormat="1" ht="24" customHeight="1">
      <c r="A122" s="1564"/>
      <c r="B122" s="1565"/>
      <c r="C122" s="1533"/>
      <c r="D122" s="1534"/>
      <c r="E122" s="1566"/>
      <c r="F122" s="1564"/>
      <c r="G122" s="1516"/>
      <c r="H122" s="1298"/>
      <c r="I122" s="1299"/>
      <c r="J122" s="1298"/>
      <c r="K122" s="1382"/>
      <c r="L122" s="1564"/>
    </row>
    <row r="123" spans="1:12" s="1199" customFormat="1" ht="24" customHeight="1">
      <c r="A123" s="1564"/>
      <c r="B123" s="1565"/>
      <c r="C123" s="1533"/>
      <c r="D123" s="1534"/>
      <c r="E123" s="1566"/>
      <c r="F123" s="1564"/>
      <c r="G123" s="1516"/>
      <c r="H123" s="1298"/>
      <c r="I123" s="1299"/>
      <c r="J123" s="1298"/>
      <c r="K123" s="1382"/>
      <c r="L123" s="1564"/>
    </row>
    <row r="124" spans="1:12" s="1199" customFormat="1" ht="24" customHeight="1">
      <c r="A124" s="1564"/>
      <c r="B124" s="1565"/>
      <c r="C124" s="1533"/>
      <c r="D124" s="1534"/>
      <c r="E124" s="1566"/>
      <c r="F124" s="1564"/>
      <c r="G124" s="1516"/>
      <c r="H124" s="1298"/>
      <c r="I124" s="1299"/>
      <c r="J124" s="1298"/>
      <c r="K124" s="1382"/>
      <c r="L124" s="1564"/>
    </row>
    <row r="125" spans="1:12" s="1199" customFormat="1" ht="24" customHeight="1">
      <c r="A125" s="1564"/>
      <c r="B125" s="1565"/>
      <c r="C125" s="1533"/>
      <c r="D125" s="1534"/>
      <c r="E125" s="1566"/>
      <c r="F125" s="1564"/>
      <c r="G125" s="1516"/>
      <c r="H125" s="1298"/>
      <c r="I125" s="1299"/>
      <c r="J125" s="1298"/>
      <c r="K125" s="1382"/>
      <c r="L125" s="1564"/>
    </row>
    <row r="126" spans="1:12" s="1199" customFormat="1" ht="24" customHeight="1">
      <c r="A126" s="1564"/>
      <c r="B126" s="1565"/>
      <c r="C126" s="1533"/>
      <c r="D126" s="1534"/>
      <c r="E126" s="1566"/>
      <c r="F126" s="1564"/>
      <c r="G126" s="1516"/>
      <c r="H126" s="1298"/>
      <c r="I126" s="1299"/>
      <c r="J126" s="1298"/>
      <c r="K126" s="1382"/>
      <c r="L126" s="1564"/>
    </row>
    <row r="127" spans="1:12" s="1199" customFormat="1" ht="24" customHeight="1">
      <c r="A127" s="1564"/>
      <c r="B127" s="1565"/>
      <c r="C127" s="1533"/>
      <c r="D127" s="1534"/>
      <c r="E127" s="1566"/>
      <c r="F127" s="1564"/>
      <c r="G127" s="1516"/>
      <c r="H127" s="1298"/>
      <c r="I127" s="1299"/>
      <c r="J127" s="1298"/>
      <c r="K127" s="1382"/>
      <c r="L127" s="1564"/>
    </row>
    <row r="128" spans="1:12" s="1199" customFormat="1" ht="24" customHeight="1">
      <c r="A128" s="1564"/>
      <c r="B128" s="1565"/>
      <c r="C128" s="1533"/>
      <c r="D128" s="1534"/>
      <c r="E128" s="1566"/>
      <c r="F128" s="1564"/>
      <c r="G128" s="1516"/>
      <c r="H128" s="1298"/>
      <c r="I128" s="1299"/>
      <c r="J128" s="1298"/>
      <c r="K128" s="1382"/>
      <c r="L128" s="1564"/>
    </row>
    <row r="129" spans="1:12" s="1199" customFormat="1" ht="24" customHeight="1">
      <c r="A129" s="1564"/>
      <c r="B129" s="1565"/>
      <c r="C129" s="1533"/>
      <c r="D129" s="1534"/>
      <c r="E129" s="1566"/>
      <c r="F129" s="1564"/>
      <c r="G129" s="1516"/>
      <c r="H129" s="1298"/>
      <c r="I129" s="1299"/>
      <c r="J129" s="1298"/>
      <c r="K129" s="1382"/>
      <c r="L129" s="1564"/>
    </row>
    <row r="130" spans="1:12" s="1199" customFormat="1" ht="24" customHeight="1">
      <c r="A130" s="1564"/>
      <c r="B130" s="1565"/>
      <c r="C130" s="1533"/>
      <c r="D130" s="1534"/>
      <c r="E130" s="1566"/>
      <c r="F130" s="1564"/>
      <c r="G130" s="1516"/>
      <c r="H130" s="1298"/>
      <c r="I130" s="1299"/>
      <c r="J130" s="1298"/>
      <c r="K130" s="1382"/>
      <c r="L130" s="1564"/>
    </row>
    <row r="131" spans="1:12" s="1199" customFormat="1" ht="24" customHeight="1">
      <c r="A131" s="1564"/>
      <c r="B131" s="1565"/>
      <c r="C131" s="1533"/>
      <c r="D131" s="1534"/>
      <c r="E131" s="1566"/>
      <c r="F131" s="1564"/>
      <c r="G131" s="1516"/>
      <c r="H131" s="1298"/>
      <c r="I131" s="1299"/>
      <c r="J131" s="1298"/>
      <c r="K131" s="1382"/>
      <c r="L131" s="1564"/>
    </row>
    <row r="132" spans="1:12" s="1199" customFormat="1" ht="24" customHeight="1">
      <c r="A132" s="1564"/>
      <c r="B132" s="1565"/>
      <c r="C132" s="1533"/>
      <c r="D132" s="1534"/>
      <c r="E132" s="1566"/>
      <c r="F132" s="1564"/>
      <c r="G132" s="1516"/>
      <c r="H132" s="1298"/>
      <c r="I132" s="1299"/>
      <c r="J132" s="1298"/>
      <c r="K132" s="1382"/>
      <c r="L132" s="1564"/>
    </row>
    <row r="133" spans="1:12" s="1199" customFormat="1" ht="24" customHeight="1">
      <c r="A133" s="1564"/>
      <c r="B133" s="1565"/>
      <c r="C133" s="1533"/>
      <c r="D133" s="1534"/>
      <c r="E133" s="1566"/>
      <c r="F133" s="1564"/>
      <c r="G133" s="1516"/>
      <c r="H133" s="1298"/>
      <c r="I133" s="1299"/>
      <c r="J133" s="1298"/>
      <c r="K133" s="1382"/>
      <c r="L133" s="1564"/>
    </row>
    <row r="134" spans="1:12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630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4-อาคารด้านทิศตะวันตก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9137F-D51B-4DFE-996E-EB8A756BAE89}">
  <sheetPr>
    <tabColor rgb="FFF42CBB"/>
  </sheetPr>
  <dimension ref="A1:O156"/>
  <sheetViews>
    <sheetView showGridLines="0" view="pageBreakPreview" topLeftCell="A121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" style="1" customWidth="1"/>
    <col min="13" max="13" width="12.703125" style="1" customWidth="1"/>
    <col min="14" max="86" width="7.703125" style="1" customWidth="1"/>
    <col min="87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1972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1015514</v>
      </c>
      <c r="I12" s="1197"/>
      <c r="J12" s="1196">
        <f>J59</f>
        <v>439766</v>
      </c>
      <c r="K12" s="1553">
        <f t="shared" ref="K12:K17" si="0">SUM(H12:J12)</f>
        <v>1455280</v>
      </c>
      <c r="L12" s="1627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627"/>
    </row>
    <row r="14" spans="1:12" s="1199" customFormat="1" ht="24" customHeight="1">
      <c r="A14" s="1564" t="str">
        <f>A77</f>
        <v>6.3</v>
      </c>
      <c r="B14" s="1714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183990</v>
      </c>
      <c r="I14" s="1197"/>
      <c r="J14" s="1196">
        <f>J84</f>
        <v>49775</v>
      </c>
      <c r="K14" s="1553">
        <f t="shared" si="0"/>
        <v>233765</v>
      </c>
      <c r="L14" s="1627"/>
    </row>
    <row r="15" spans="1:12" s="1199" customFormat="1" ht="24" customHeight="1">
      <c r="A15" s="1642">
        <f>A85</f>
        <v>6.4</v>
      </c>
      <c r="B15" s="1643" t="str">
        <f>B85</f>
        <v>ตู้ดับเพลิงและถังดับเพลิงชนิดมือถือ (Fire Hose Cabinet &amp; Portable Fire Extinguisher)</v>
      </c>
      <c r="C15" s="1607"/>
      <c r="D15" s="1608"/>
      <c r="E15" s="1644">
        <v>1</v>
      </c>
      <c r="F15" s="1610" t="s">
        <v>19</v>
      </c>
      <c r="G15" s="1645"/>
      <c r="H15" s="1646">
        <f>H109</f>
        <v>209000</v>
      </c>
      <c r="I15" s="1647"/>
      <c r="J15" s="1646">
        <f>J109</f>
        <v>12890</v>
      </c>
      <c r="K15" s="1553">
        <f t="shared" si="0"/>
        <v>221890</v>
      </c>
      <c r="L15" s="1648"/>
    </row>
    <row r="16" spans="1:12" s="1199" customFormat="1" ht="24" customHeight="1">
      <c r="A16" s="1572" t="str">
        <f>A110</f>
        <v>6.5</v>
      </c>
      <c r="B16" s="1573" t="str">
        <f>B110</f>
        <v>ระบบไฟฟ้าและควบคุม (Electrical &amp; Control System) สำหรับระบบป้องกันอัคคีภัย</v>
      </c>
      <c r="C16" s="1574"/>
      <c r="D16" s="1575"/>
      <c r="E16" s="1598">
        <v>1</v>
      </c>
      <c r="F16" s="1577" t="s">
        <v>19</v>
      </c>
      <c r="G16" s="1228"/>
      <c r="H16" s="1229">
        <f>H118</f>
        <v>42560</v>
      </c>
      <c r="I16" s="1230"/>
      <c r="J16" s="1229">
        <f>J118</f>
        <v>4256</v>
      </c>
      <c r="K16" s="1553">
        <f t="shared" si="0"/>
        <v>46816</v>
      </c>
      <c r="L16" s="1628"/>
    </row>
    <row r="17" spans="1:12" s="1199" customFormat="1" ht="24" customHeight="1">
      <c r="A17" s="1564">
        <f>A119</f>
        <v>6.6</v>
      </c>
      <c r="B17" s="1565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627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627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627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2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2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5</v>
      </c>
      <c r="C34" s="2258"/>
      <c r="D34" s="2259"/>
      <c r="E34" s="1579"/>
      <c r="F34" s="1579"/>
      <c r="G34" s="1580"/>
      <c r="H34" s="1581">
        <f>SUM(H12:H33)</f>
        <v>1663996</v>
      </c>
      <c r="I34" s="1582"/>
      <c r="J34" s="1581">
        <f>SUM(J12:J33)</f>
        <v>520687</v>
      </c>
      <c r="K34" s="1583">
        <f>SUM(K12:K33)</f>
        <v>2184683</v>
      </c>
      <c r="L34" s="1630"/>
    </row>
    <row r="35" spans="1:12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638"/>
    </row>
    <row r="36" spans="1:12" s="1199" customFormat="1" ht="24" customHeight="1">
      <c r="A36" s="1620" t="s">
        <v>1899</v>
      </c>
      <c r="B36" s="1568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635"/>
    </row>
    <row r="37" spans="1:12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2" s="1199" customFormat="1" ht="24" customHeight="1">
      <c r="A38" s="1564"/>
      <c r="B38" s="1565" t="s">
        <v>1901</v>
      </c>
      <c r="C38" s="1533"/>
      <c r="D38" s="1534"/>
      <c r="E38" s="1688">
        <v>1349</v>
      </c>
      <c r="F38" s="1567" t="s">
        <v>226</v>
      </c>
      <c r="G38" s="1516">
        <v>78</v>
      </c>
      <c r="H38" s="1264">
        <f t="shared" ref="H38:H51" si="1">ROUND(E38*G38,)</f>
        <v>105222</v>
      </c>
      <c r="I38" s="1265">
        <v>45</v>
      </c>
      <c r="J38" s="1264">
        <f t="shared" ref="J38:J51" si="2">ROUND(I38*E38,)</f>
        <v>60705</v>
      </c>
      <c r="K38" s="1273">
        <f t="shared" ref="K38:K51" si="3">H38+J38</f>
        <v>165927</v>
      </c>
      <c r="L38" s="1273"/>
    </row>
    <row r="39" spans="1:12" s="1199" customFormat="1" ht="24" customHeight="1">
      <c r="A39" s="1564"/>
      <c r="B39" s="1565" t="s">
        <v>1338</v>
      </c>
      <c r="C39" s="1533"/>
      <c r="D39" s="1534"/>
      <c r="E39" s="1688">
        <v>241</v>
      </c>
      <c r="F39" s="1567" t="s">
        <v>226</v>
      </c>
      <c r="G39" s="1516">
        <v>105</v>
      </c>
      <c r="H39" s="1264">
        <f t="shared" si="1"/>
        <v>25305</v>
      </c>
      <c r="I39" s="1299">
        <v>60</v>
      </c>
      <c r="J39" s="1264">
        <f t="shared" si="2"/>
        <v>14460</v>
      </c>
      <c r="K39" s="1273">
        <f t="shared" si="3"/>
        <v>39765</v>
      </c>
      <c r="L39" s="1382"/>
    </row>
    <row r="40" spans="1:12" s="1199" customFormat="1" ht="24" customHeight="1">
      <c r="A40" s="1564"/>
      <c r="B40" s="1565" t="s">
        <v>1339</v>
      </c>
      <c r="C40" s="1533"/>
      <c r="D40" s="1534"/>
      <c r="E40" s="1688">
        <v>170</v>
      </c>
      <c r="F40" s="1567" t="s">
        <v>226</v>
      </c>
      <c r="G40" s="1661">
        <v>126</v>
      </c>
      <c r="H40" s="1264">
        <f t="shared" si="1"/>
        <v>21420</v>
      </c>
      <c r="I40" s="1589">
        <v>70</v>
      </c>
      <c r="J40" s="1264">
        <f t="shared" si="2"/>
        <v>11900</v>
      </c>
      <c r="K40" s="1273">
        <f t="shared" si="3"/>
        <v>33320</v>
      </c>
      <c r="L40" s="1382"/>
    </row>
    <row r="41" spans="1:12" s="1199" customFormat="1" ht="24" customHeight="1">
      <c r="A41" s="1564"/>
      <c r="B41" s="1565" t="s">
        <v>1340</v>
      </c>
      <c r="C41" s="1533"/>
      <c r="D41" s="1534"/>
      <c r="E41" s="1688">
        <v>214</v>
      </c>
      <c r="F41" s="1567" t="s">
        <v>226</v>
      </c>
      <c r="G41" s="1661">
        <v>169</v>
      </c>
      <c r="H41" s="1264">
        <f t="shared" si="1"/>
        <v>36166</v>
      </c>
      <c r="I41" s="1589">
        <v>95</v>
      </c>
      <c r="J41" s="1264">
        <f t="shared" si="2"/>
        <v>20330</v>
      </c>
      <c r="K41" s="1273">
        <f t="shared" si="3"/>
        <v>56496</v>
      </c>
      <c r="L41" s="1382"/>
    </row>
    <row r="42" spans="1:12" s="1199" customFormat="1" ht="24" customHeight="1">
      <c r="A42" s="1564"/>
      <c r="B42" s="1565" t="s">
        <v>1341</v>
      </c>
      <c r="C42" s="1533"/>
      <c r="D42" s="1534"/>
      <c r="E42" s="1688">
        <v>216</v>
      </c>
      <c r="F42" s="1567" t="s">
        <v>226</v>
      </c>
      <c r="G42" s="1661">
        <v>268</v>
      </c>
      <c r="H42" s="1264">
        <f t="shared" si="1"/>
        <v>57888</v>
      </c>
      <c r="I42" s="1589">
        <v>150</v>
      </c>
      <c r="J42" s="1264">
        <f t="shared" si="2"/>
        <v>32400</v>
      </c>
      <c r="K42" s="1273">
        <f t="shared" si="3"/>
        <v>90288</v>
      </c>
      <c r="L42" s="1382"/>
    </row>
    <row r="43" spans="1:12" s="1199" customFormat="1" ht="24" customHeight="1">
      <c r="A43" s="1564"/>
      <c r="B43" s="1565" t="s">
        <v>1342</v>
      </c>
      <c r="C43" s="1533"/>
      <c r="D43" s="1534"/>
      <c r="E43" s="1688">
        <v>188</v>
      </c>
      <c r="F43" s="1567" t="s">
        <v>226</v>
      </c>
      <c r="G43" s="1661">
        <v>350</v>
      </c>
      <c r="H43" s="1264">
        <f t="shared" si="1"/>
        <v>65800</v>
      </c>
      <c r="I43" s="1589">
        <v>200</v>
      </c>
      <c r="J43" s="1264">
        <f t="shared" si="2"/>
        <v>37600</v>
      </c>
      <c r="K43" s="1273">
        <f t="shared" si="3"/>
        <v>103400</v>
      </c>
      <c r="L43" s="1382"/>
    </row>
    <row r="44" spans="1:12" s="1199" customFormat="1" ht="24" customHeight="1">
      <c r="A44" s="1564"/>
      <c r="B44" s="1565" t="s">
        <v>1759</v>
      </c>
      <c r="C44" s="1533"/>
      <c r="D44" s="1534"/>
      <c r="E44" s="1688">
        <v>251</v>
      </c>
      <c r="F44" s="1567" t="s">
        <v>226</v>
      </c>
      <c r="G44" s="1661">
        <v>499</v>
      </c>
      <c r="H44" s="1264">
        <f t="shared" si="1"/>
        <v>125249</v>
      </c>
      <c r="I44" s="1589">
        <v>280</v>
      </c>
      <c r="J44" s="1264">
        <f t="shared" si="2"/>
        <v>70280</v>
      </c>
      <c r="K44" s="1273">
        <f t="shared" si="3"/>
        <v>195529</v>
      </c>
      <c r="L44" s="1382"/>
    </row>
    <row r="45" spans="1:12" s="1199" customFormat="1" ht="24" customHeight="1">
      <c r="A45" s="1564"/>
      <c r="B45" s="1565" t="s">
        <v>1754</v>
      </c>
      <c r="C45" s="1533"/>
      <c r="D45" s="1534"/>
      <c r="E45" s="1688">
        <v>76</v>
      </c>
      <c r="F45" s="1567" t="s">
        <v>226</v>
      </c>
      <c r="G45" s="1661">
        <v>877</v>
      </c>
      <c r="H45" s="1264">
        <f t="shared" si="1"/>
        <v>66652</v>
      </c>
      <c r="I45" s="1589">
        <v>500</v>
      </c>
      <c r="J45" s="1264">
        <f t="shared" si="2"/>
        <v>38000</v>
      </c>
      <c r="K45" s="1273">
        <f t="shared" si="3"/>
        <v>104652</v>
      </c>
      <c r="L45" s="1382"/>
    </row>
    <row r="46" spans="1:12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2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2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201481</v>
      </c>
      <c r="H48" s="1264">
        <f t="shared" si="1"/>
        <v>201481</v>
      </c>
      <c r="I48" s="1589">
        <f>ROUND(G48*0.3,)</f>
        <v>60444</v>
      </c>
      <c r="J48" s="1264">
        <f t="shared" si="2"/>
        <v>60444</v>
      </c>
      <c r="K48" s="1273">
        <f t="shared" si="3"/>
        <v>261925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100740</v>
      </c>
      <c r="H49" s="1264">
        <f t="shared" si="1"/>
        <v>100740</v>
      </c>
      <c r="I49" s="1589">
        <f>ROUND(G49*0.3,)</f>
        <v>30222</v>
      </c>
      <c r="J49" s="1264">
        <f t="shared" si="2"/>
        <v>30222</v>
      </c>
      <c r="K49" s="1273">
        <f t="shared" si="3"/>
        <v>130962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50370</v>
      </c>
      <c r="H50" s="1264">
        <f t="shared" si="1"/>
        <v>50370</v>
      </c>
      <c r="I50" s="1589">
        <f>ROUND(G50*0.3,)</f>
        <v>15111</v>
      </c>
      <c r="J50" s="1264">
        <f t="shared" si="2"/>
        <v>15111</v>
      </c>
      <c r="K50" s="1273">
        <f t="shared" si="3"/>
        <v>65481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151111</v>
      </c>
      <c r="H51" s="1264">
        <f t="shared" si="1"/>
        <v>151111</v>
      </c>
      <c r="I51" s="1589">
        <f>ROUND(G51*0.3,)</f>
        <v>45333</v>
      </c>
      <c r="J51" s="1264">
        <f t="shared" si="2"/>
        <v>45333</v>
      </c>
      <c r="K51" s="1273">
        <f t="shared" si="3"/>
        <v>196444</v>
      </c>
      <c r="L51" s="1382"/>
    </row>
    <row r="52" spans="1:15" s="1199" customFormat="1" ht="24" customHeight="1">
      <c r="A52" s="1564" t="s">
        <v>1868</v>
      </c>
      <c r="B52" s="1565" t="s">
        <v>1869</v>
      </c>
      <c r="C52" s="1533"/>
      <c r="D52" s="1534"/>
      <c r="E52" s="1566"/>
      <c r="F52" s="1567"/>
      <c r="G52" s="1516"/>
      <c r="H52" s="1298"/>
      <c r="I52" s="1299"/>
      <c r="J52" s="1298"/>
      <c r="K52" s="1382"/>
      <c r="L52" s="1382"/>
    </row>
    <row r="53" spans="1:15" s="1199" customFormat="1" ht="24" customHeight="1">
      <c r="A53" s="1564"/>
      <c r="B53" s="1565" t="s">
        <v>1901</v>
      </c>
      <c r="C53" s="1533"/>
      <c r="D53" s="1534"/>
      <c r="E53" s="825">
        <v>5</v>
      </c>
      <c r="F53" s="1567" t="s">
        <v>226</v>
      </c>
      <c r="G53" s="1516">
        <v>124</v>
      </c>
      <c r="H53" s="1264">
        <f>ROUND(E53*G53,)</f>
        <v>620</v>
      </c>
      <c r="I53" s="1265">
        <v>50</v>
      </c>
      <c r="J53" s="1264">
        <f t="shared" ref="J53:J54" si="4">ROUND(I53*E53,)</f>
        <v>250</v>
      </c>
      <c r="K53" s="1273">
        <f t="shared" ref="K53:K54" si="5">H53+J53</f>
        <v>870</v>
      </c>
      <c r="L53" s="2082" t="s">
        <v>2667</v>
      </c>
      <c r="N53" s="1199">
        <v>745.96</v>
      </c>
      <c r="O53" s="1199">
        <f>ROUND(N53/6,)</f>
        <v>124</v>
      </c>
    </row>
    <row r="54" spans="1:15" s="1199" customFormat="1" ht="24" customHeight="1">
      <c r="A54" s="1564"/>
      <c r="B54" s="1565" t="s">
        <v>1340</v>
      </c>
      <c r="C54" s="1533"/>
      <c r="D54" s="1534"/>
      <c r="E54" s="825">
        <v>15</v>
      </c>
      <c r="F54" s="1567" t="s">
        <v>226</v>
      </c>
      <c r="G54" s="1516">
        <v>259</v>
      </c>
      <c r="H54" s="1264">
        <f t="shared" ref="H54" si="6">ROUND(E54*G54,)</f>
        <v>3885</v>
      </c>
      <c r="I54" s="1299">
        <v>110</v>
      </c>
      <c r="J54" s="1264">
        <f t="shared" si="4"/>
        <v>1650</v>
      </c>
      <c r="K54" s="1273">
        <f t="shared" si="5"/>
        <v>5535</v>
      </c>
      <c r="L54" s="2082" t="s">
        <v>2667</v>
      </c>
      <c r="N54" s="1199">
        <v>1554.48</v>
      </c>
      <c r="O54" s="1199">
        <f>ROUND(N54/6,)</f>
        <v>259</v>
      </c>
    </row>
    <row r="55" spans="1:15" s="1199" customFormat="1" ht="24" customHeight="1">
      <c r="A55" s="1564"/>
      <c r="B55" s="1565" t="s">
        <v>1719</v>
      </c>
      <c r="C55" s="1533"/>
      <c r="D55" s="1534"/>
      <c r="E55" s="1686">
        <v>1</v>
      </c>
      <c r="F55" s="1402" t="s">
        <v>1104</v>
      </c>
      <c r="G55" s="1661">
        <f>ROUND(SUM(H53:H54)*50%,)</f>
        <v>2253</v>
      </c>
      <c r="H55" s="1264">
        <f>ROUND(E55*G55,)</f>
        <v>2253</v>
      </c>
      <c r="I55" s="1589">
        <f>ROUND(G55*0.3,)</f>
        <v>676</v>
      </c>
      <c r="J55" s="1264">
        <f>ROUND(I55*E55,)</f>
        <v>676</v>
      </c>
      <c r="K55" s="1273">
        <f>H55+J55</f>
        <v>2929</v>
      </c>
      <c r="L55" s="1382"/>
    </row>
    <row r="56" spans="1:15" s="1199" customFormat="1" ht="24" customHeight="1">
      <c r="A56" s="1564"/>
      <c r="B56" s="1565" t="s">
        <v>1720</v>
      </c>
      <c r="C56" s="1533"/>
      <c r="D56" s="1534"/>
      <c r="E56" s="1686">
        <v>1</v>
      </c>
      <c r="F56" s="1402" t="s">
        <v>1104</v>
      </c>
      <c r="G56" s="1661">
        <f>ROUND(SUM(H53:H54)*20%,)</f>
        <v>901</v>
      </c>
      <c r="H56" s="1264">
        <f>ROUND(E56*G56,)</f>
        <v>901</v>
      </c>
      <c r="I56" s="1589">
        <f>ROUND(G56*0.3,)</f>
        <v>270</v>
      </c>
      <c r="J56" s="1264">
        <f>ROUND(I56*E56,)</f>
        <v>270</v>
      </c>
      <c r="K56" s="1273">
        <f>H56+J56</f>
        <v>1171</v>
      </c>
      <c r="L56" s="1382"/>
    </row>
    <row r="57" spans="1:15" s="1199" customFormat="1" ht="24" customHeight="1">
      <c r="A57" s="1564"/>
      <c r="B57" s="1565" t="s">
        <v>1721</v>
      </c>
      <c r="C57" s="1533"/>
      <c r="D57" s="1534"/>
      <c r="E57" s="1686">
        <v>1</v>
      </c>
      <c r="F57" s="1402" t="s">
        <v>1104</v>
      </c>
      <c r="G57" s="1661">
        <f>ROUND(SUM(H53:H54)*10%,)</f>
        <v>451</v>
      </c>
      <c r="H57" s="1264">
        <f>ROUND(E57*G57,)</f>
        <v>451</v>
      </c>
      <c r="I57" s="1589">
        <f>ROUND(G57*0.3,)</f>
        <v>135</v>
      </c>
      <c r="J57" s="1264">
        <f>ROUND(I57*E57,)</f>
        <v>135</v>
      </c>
      <c r="K57" s="1273">
        <f>H57+J57</f>
        <v>586</v>
      </c>
      <c r="L57" s="1382"/>
    </row>
    <row r="58" spans="1:15" s="1199" customFormat="1" ht="24" customHeight="1">
      <c r="A58" s="1564"/>
      <c r="B58" s="1597" t="s">
        <v>1117</v>
      </c>
      <c r="C58" s="1533"/>
      <c r="D58" s="1534"/>
      <c r="E58" s="1566"/>
      <c r="F58" s="1567"/>
      <c r="G58" s="1516"/>
      <c r="H58" s="1264"/>
      <c r="I58" s="1265"/>
      <c r="J58" s="1264"/>
      <c r="K58" s="1273"/>
      <c r="L58" s="1638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1015514</v>
      </c>
      <c r="I59" s="1582"/>
      <c r="J59" s="1581">
        <f>SUM(J37:J58)</f>
        <v>439766</v>
      </c>
      <c r="K59" s="1583">
        <f>SUM(K37:K58)</f>
        <v>1455280</v>
      </c>
      <c r="L59" s="1630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638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65" t="s">
        <v>1896</v>
      </c>
      <c r="C75" s="1533"/>
      <c r="D75" s="1534"/>
      <c r="E75" s="1566"/>
      <c r="F75" s="1567"/>
      <c r="G75" s="1516"/>
      <c r="H75" s="1264"/>
      <c r="I75" s="1265"/>
      <c r="J75" s="1264"/>
      <c r="K75" s="1273"/>
      <c r="L75" s="1635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SUM(H61:H75)</f>
        <v>212932</v>
      </c>
      <c r="I76" s="1582"/>
      <c r="J76" s="1581">
        <f>SUM(J61:J75)</f>
        <v>14000</v>
      </c>
      <c r="K76" s="1583">
        <f>SUM(K61:K75)</f>
        <v>226932</v>
      </c>
      <c r="L76" s="1630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58"/>
      <c r="H77" s="1298"/>
      <c r="I77" s="1299"/>
      <c r="J77" s="1298"/>
      <c r="K77" s="1382"/>
      <c r="L77" s="1638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515</v>
      </c>
      <c r="F78" s="1676" t="s">
        <v>363</v>
      </c>
      <c r="G78" s="1558">
        <v>110</v>
      </c>
      <c r="H78" s="1264">
        <f>ROUND(E78*G78,)</f>
        <v>56650</v>
      </c>
      <c r="I78" s="1299">
        <v>75</v>
      </c>
      <c r="J78" s="1264">
        <f>ROUND(I78*E78,)</f>
        <v>38625</v>
      </c>
      <c r="K78" s="1273">
        <f>H78+J78</f>
        <v>95275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58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>
        <v>149</v>
      </c>
      <c r="F80" s="1676" t="s">
        <v>363</v>
      </c>
      <c r="G80" s="1558">
        <v>800</v>
      </c>
      <c r="H80" s="1264">
        <f>ROUND(E80*G80,)</f>
        <v>119200</v>
      </c>
      <c r="I80" s="1299">
        <v>50</v>
      </c>
      <c r="J80" s="1264">
        <f>ROUND(I80*E80,)</f>
        <v>7450</v>
      </c>
      <c r="K80" s="1273">
        <f>H80+J80</f>
        <v>126650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74</v>
      </c>
      <c r="F81" s="1676" t="s">
        <v>363</v>
      </c>
      <c r="G81" s="1558">
        <v>110</v>
      </c>
      <c r="H81" s="1264">
        <f>ROUND(E81*G81,)</f>
        <v>8140</v>
      </c>
      <c r="I81" s="1299">
        <v>50</v>
      </c>
      <c r="J81" s="1264">
        <f>ROUND(I81*E81,)</f>
        <v>3700</v>
      </c>
      <c r="K81" s="1273">
        <f>H81+J81</f>
        <v>11840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558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58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SUM(H77:H83)</f>
        <v>183990</v>
      </c>
      <c r="I84" s="1582"/>
      <c r="J84" s="1581">
        <f>SUM(J77:J83)</f>
        <v>49775</v>
      </c>
      <c r="K84" s="1583">
        <f>SUM(K77:K83)</f>
        <v>233765</v>
      </c>
      <c r="L84" s="1630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713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4</v>
      </c>
      <c r="F87" s="1564" t="s">
        <v>363</v>
      </c>
      <c r="G87" s="1558">
        <v>6500</v>
      </c>
      <c r="H87" s="1264">
        <f t="shared" ref="H87:H92" si="7">ROUND(E87*G87,)</f>
        <v>26000</v>
      </c>
      <c r="I87" s="1265">
        <f>G87*0.3</f>
        <v>1950</v>
      </c>
      <c r="J87" s="1264">
        <f>ROUND(I87*E87,)</f>
        <v>7800</v>
      </c>
      <c r="K87" s="1273">
        <f t="shared" ref="K87:K92" si="8">H87+J87</f>
        <v>33800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4</v>
      </c>
      <c r="F88" s="1572" t="s">
        <v>363</v>
      </c>
      <c r="G88" s="1694">
        <v>1200</v>
      </c>
      <c r="H88" s="1264">
        <f t="shared" si="7"/>
        <v>4800</v>
      </c>
      <c r="I88" s="1265" t="s">
        <v>1683</v>
      </c>
      <c r="J88" s="1264"/>
      <c r="K88" s="1273">
        <f t="shared" si="8"/>
        <v>4800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4</v>
      </c>
      <c r="F89" s="1564" t="s">
        <v>363</v>
      </c>
      <c r="G89" s="1558">
        <v>19200</v>
      </c>
      <c r="H89" s="1264">
        <f t="shared" si="7"/>
        <v>76800</v>
      </c>
      <c r="I89" s="1265" t="s">
        <v>1683</v>
      </c>
      <c r="J89" s="1264"/>
      <c r="K89" s="1273">
        <f t="shared" si="8"/>
        <v>76800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4</v>
      </c>
      <c r="F90" s="1564" t="s">
        <v>363</v>
      </c>
      <c r="G90" s="1558">
        <v>4910</v>
      </c>
      <c r="H90" s="1264">
        <f t="shared" si="7"/>
        <v>19640</v>
      </c>
      <c r="I90" s="1265" t="s">
        <v>1683</v>
      </c>
      <c r="J90" s="1264"/>
      <c r="K90" s="1273">
        <f t="shared" si="8"/>
        <v>19640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4</v>
      </c>
      <c r="F91" s="1564" t="s">
        <v>363</v>
      </c>
      <c r="G91" s="1558">
        <v>1420</v>
      </c>
      <c r="H91" s="1264">
        <f t="shared" si="7"/>
        <v>5680</v>
      </c>
      <c r="I91" s="1265" t="s">
        <v>1683</v>
      </c>
      <c r="J91" s="1264"/>
      <c r="K91" s="1273">
        <f t="shared" si="8"/>
        <v>5680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4</v>
      </c>
      <c r="F92" s="1564" t="s">
        <v>363</v>
      </c>
      <c r="G92" s="1558">
        <v>720</v>
      </c>
      <c r="H92" s="1264">
        <f t="shared" si="7"/>
        <v>2880</v>
      </c>
      <c r="I92" s="1265" t="s">
        <v>1683</v>
      </c>
      <c r="J92" s="1264"/>
      <c r="K92" s="1273">
        <f t="shared" si="8"/>
        <v>2880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4</v>
      </c>
      <c r="F101" s="1564" t="s">
        <v>363</v>
      </c>
      <c r="G101" s="1558">
        <v>1000</v>
      </c>
      <c r="H101" s="1264">
        <f>ROUND(E101*G101,)</f>
        <v>4000</v>
      </c>
      <c r="I101" s="1695">
        <v>200</v>
      </c>
      <c r="J101" s="1264">
        <f>ROUND(I101*E101,)</f>
        <v>800</v>
      </c>
      <c r="K101" s="1273">
        <f>H101+J101</f>
        <v>4800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1117</v>
      </c>
      <c r="C104" s="1533"/>
      <c r="D104" s="1534"/>
      <c r="E104" s="1566"/>
      <c r="F104" s="1564"/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/>
      <c r="C105" s="1533"/>
      <c r="D105" s="1534"/>
      <c r="E105" s="1566"/>
      <c r="F105" s="1564"/>
      <c r="G105" s="1558"/>
      <c r="H105" s="1264"/>
      <c r="I105" s="1695"/>
      <c r="J105" s="1264"/>
      <c r="K105" s="1687"/>
      <c r="L105" s="1687"/>
    </row>
    <row r="106" spans="1:12" s="1199" customFormat="1" ht="24" customHeight="1">
      <c r="A106" s="1564"/>
      <c r="B106" s="1565"/>
      <c r="C106" s="1533"/>
      <c r="D106" s="1534"/>
      <c r="E106" s="1566"/>
      <c r="F106" s="1564"/>
      <c r="G106" s="1558"/>
      <c r="H106" s="1264"/>
      <c r="I106" s="1695"/>
      <c r="J106" s="1264"/>
      <c r="K106" s="1687"/>
      <c r="L106" s="1697"/>
    </row>
    <row r="107" spans="1:12" s="1199" customFormat="1" ht="24" customHeight="1">
      <c r="A107" s="1564"/>
      <c r="B107" s="1565" t="s">
        <v>1896</v>
      </c>
      <c r="C107" s="1533"/>
      <c r="D107" s="1534"/>
      <c r="E107" s="1566"/>
      <c r="F107" s="1564"/>
      <c r="G107" s="1558"/>
      <c r="H107" s="1264"/>
      <c r="I107" s="1695"/>
      <c r="J107" s="1264"/>
      <c r="K107" s="1273"/>
      <c r="L107" s="1697"/>
    </row>
    <row r="108" spans="1:12" s="1199" customFormat="1" ht="24" customHeight="1">
      <c r="A108" s="1564"/>
      <c r="B108" s="1565" t="s">
        <v>1896</v>
      </c>
      <c r="C108" s="1533"/>
      <c r="D108" s="1534"/>
      <c r="E108" s="1566"/>
      <c r="F108" s="1564"/>
      <c r="G108" s="1558"/>
      <c r="H108" s="1264"/>
      <c r="I108" s="1695"/>
      <c r="J108" s="1264"/>
      <c r="K108" s="1273"/>
      <c r="L108" s="169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209000</v>
      </c>
      <c r="I109" s="1582"/>
      <c r="J109" s="1581">
        <f>SUM(J86:J108)</f>
        <v>12890</v>
      </c>
      <c r="K109" s="1583">
        <f>SUM(K86:K108)</f>
        <v>221890</v>
      </c>
      <c r="L109" s="1630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713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635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638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638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638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638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638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638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630"/>
    </row>
    <row r="119" spans="1:12" s="1199" customFormat="1" ht="24" customHeight="1">
      <c r="A119" s="1637">
        <v>6.6</v>
      </c>
      <c r="B119" s="1636" t="s">
        <v>1424</v>
      </c>
      <c r="C119" s="1622"/>
      <c r="D119" s="1623"/>
      <c r="E119" s="1624">
        <v>1</v>
      </c>
      <c r="F119" s="1637" t="s">
        <v>1104</v>
      </c>
      <c r="G119" s="1708" t="s">
        <v>1952</v>
      </c>
      <c r="H119" s="1264"/>
      <c r="I119" s="1299"/>
      <c r="J119" s="1264"/>
      <c r="K119" s="1273"/>
      <c r="L119" s="1638"/>
    </row>
    <row r="120" spans="1:12" s="1199" customFormat="1" ht="24" customHeight="1">
      <c r="A120" s="1637"/>
      <c r="B120" s="1636"/>
      <c r="C120" s="1622"/>
      <c r="D120" s="1623"/>
      <c r="E120" s="1624"/>
      <c r="F120" s="1637"/>
      <c r="G120" s="1357"/>
      <c r="H120" s="1264"/>
      <c r="I120" s="1299"/>
      <c r="J120" s="1264"/>
      <c r="K120" s="1273"/>
      <c r="L120" s="1638"/>
    </row>
    <row r="121" spans="1:12" s="1199" customFormat="1" ht="24" customHeight="1">
      <c r="A121" s="1637"/>
      <c r="B121" s="1636"/>
      <c r="C121" s="1622"/>
      <c r="D121" s="1623"/>
      <c r="E121" s="1624"/>
      <c r="F121" s="1637"/>
      <c r="G121" s="1357"/>
      <c r="H121" s="1264"/>
      <c r="I121" s="1299"/>
      <c r="J121" s="1264"/>
      <c r="K121" s="1273"/>
      <c r="L121" s="1638"/>
    </row>
    <row r="122" spans="1:12" s="1199" customFormat="1" ht="24" customHeight="1">
      <c r="A122" s="1637"/>
      <c r="B122" s="1636"/>
      <c r="C122" s="1622"/>
      <c r="D122" s="1623"/>
      <c r="E122" s="1624"/>
      <c r="F122" s="1637"/>
      <c r="G122" s="1357"/>
      <c r="H122" s="1264"/>
      <c r="I122" s="1299"/>
      <c r="J122" s="1264"/>
      <c r="K122" s="1273"/>
      <c r="L122" s="1638"/>
    </row>
    <row r="123" spans="1:12" s="1199" customFormat="1" ht="24" customHeight="1">
      <c r="A123" s="1637"/>
      <c r="B123" s="1636"/>
      <c r="C123" s="1622"/>
      <c r="D123" s="1623"/>
      <c r="E123" s="1624"/>
      <c r="F123" s="1637"/>
      <c r="G123" s="1357"/>
      <c r="H123" s="1264"/>
      <c r="I123" s="1299"/>
      <c r="J123" s="1264"/>
      <c r="K123" s="1273"/>
      <c r="L123" s="1638"/>
    </row>
    <row r="124" spans="1:12" s="1199" customFormat="1" ht="24" customHeight="1">
      <c r="A124" s="1637"/>
      <c r="B124" s="1636"/>
      <c r="C124" s="1622"/>
      <c r="D124" s="1623"/>
      <c r="E124" s="1624"/>
      <c r="F124" s="1637"/>
      <c r="G124" s="1357"/>
      <c r="H124" s="1264"/>
      <c r="I124" s="1299"/>
      <c r="J124" s="1264"/>
      <c r="K124" s="1273"/>
      <c r="L124" s="1638"/>
    </row>
    <row r="125" spans="1:12" s="1199" customFormat="1" ht="24" customHeight="1">
      <c r="A125" s="1637"/>
      <c r="B125" s="1636"/>
      <c r="C125" s="1622"/>
      <c r="D125" s="1623"/>
      <c r="E125" s="1624"/>
      <c r="F125" s="1637"/>
      <c r="G125" s="1357"/>
      <c r="H125" s="1264"/>
      <c r="I125" s="1299"/>
      <c r="J125" s="1264"/>
      <c r="K125" s="1273"/>
      <c r="L125" s="1638"/>
    </row>
    <row r="126" spans="1:12" s="1199" customFormat="1" ht="24" customHeight="1">
      <c r="A126" s="1637"/>
      <c r="B126" s="1636"/>
      <c r="C126" s="1622"/>
      <c r="D126" s="1623"/>
      <c r="E126" s="1624"/>
      <c r="F126" s="1637"/>
      <c r="G126" s="1357"/>
      <c r="H126" s="1264"/>
      <c r="I126" s="1299"/>
      <c r="J126" s="1264"/>
      <c r="K126" s="1273"/>
      <c r="L126" s="1638"/>
    </row>
    <row r="127" spans="1:12" s="1199" customFormat="1" ht="24" customHeight="1">
      <c r="A127" s="1637"/>
      <c r="B127" s="1636"/>
      <c r="C127" s="1622"/>
      <c r="D127" s="1623"/>
      <c r="E127" s="1624"/>
      <c r="F127" s="1637"/>
      <c r="G127" s="1357"/>
      <c r="H127" s="1264"/>
      <c r="I127" s="1299"/>
      <c r="J127" s="1264"/>
      <c r="K127" s="1273"/>
      <c r="L127" s="1638"/>
    </row>
    <row r="128" spans="1:12" s="1199" customFormat="1" ht="24" customHeight="1">
      <c r="A128" s="1637"/>
      <c r="B128" s="1636"/>
      <c r="C128" s="1622"/>
      <c r="D128" s="1623"/>
      <c r="E128" s="1624"/>
      <c r="F128" s="1637"/>
      <c r="G128" s="1357"/>
      <c r="H128" s="1264"/>
      <c r="I128" s="1299"/>
      <c r="J128" s="1264"/>
      <c r="K128" s="1273"/>
      <c r="L128" s="1638"/>
    </row>
    <row r="129" spans="1:12" s="1199" customFormat="1" ht="24" customHeight="1">
      <c r="A129" s="1637"/>
      <c r="B129" s="1636"/>
      <c r="C129" s="1622"/>
      <c r="D129" s="1623"/>
      <c r="E129" s="1624"/>
      <c r="F129" s="1637"/>
      <c r="G129" s="1357"/>
      <c r="H129" s="1264"/>
      <c r="I129" s="1299"/>
      <c r="J129" s="1264"/>
      <c r="K129" s="1273"/>
      <c r="L129" s="1638"/>
    </row>
    <row r="130" spans="1:12" s="1199" customFormat="1" ht="24" customHeight="1">
      <c r="A130" s="1637"/>
      <c r="B130" s="1636"/>
      <c r="C130" s="1622"/>
      <c r="D130" s="1623"/>
      <c r="E130" s="1624"/>
      <c r="F130" s="1637"/>
      <c r="G130" s="1357"/>
      <c r="H130" s="1264"/>
      <c r="I130" s="1299"/>
      <c r="J130" s="1264"/>
      <c r="K130" s="1273"/>
      <c r="L130" s="1638"/>
    </row>
    <row r="131" spans="1:12" s="1199" customFormat="1" ht="24" customHeight="1">
      <c r="A131" s="1637"/>
      <c r="B131" s="1636"/>
      <c r="C131" s="1622"/>
      <c r="D131" s="1623"/>
      <c r="E131" s="1624"/>
      <c r="F131" s="1637"/>
      <c r="G131" s="1357"/>
      <c r="H131" s="1264"/>
      <c r="I131" s="1299"/>
      <c r="J131" s="1264"/>
      <c r="K131" s="1273"/>
      <c r="L131" s="1638"/>
    </row>
    <row r="132" spans="1:12" s="1199" customFormat="1" ht="24" customHeight="1">
      <c r="A132" s="1637"/>
      <c r="B132" s="1636"/>
      <c r="C132" s="1622"/>
      <c r="D132" s="1623"/>
      <c r="E132" s="1624"/>
      <c r="F132" s="1637"/>
      <c r="G132" s="1357"/>
      <c r="H132" s="1264"/>
      <c r="I132" s="1299"/>
      <c r="J132" s="1264"/>
      <c r="K132" s="1273"/>
      <c r="L132" s="1638"/>
    </row>
    <row r="133" spans="1:12" s="1199" customFormat="1" ht="24" customHeight="1">
      <c r="A133" s="1637"/>
      <c r="B133" s="1636"/>
      <c r="C133" s="1622"/>
      <c r="D133" s="1623"/>
      <c r="E133" s="1624"/>
      <c r="F133" s="1637"/>
      <c r="G133" s="1357"/>
      <c r="H133" s="1264"/>
      <c r="I133" s="1299"/>
      <c r="J133" s="1264"/>
      <c r="K133" s="1273"/>
      <c r="L133" s="1638"/>
    </row>
    <row r="134" spans="1:12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630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5-อาคารด้านทิศตะวันตก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46620-5666-4306-8B3D-3A7AF0ACC862}">
  <sheetPr>
    <tabColor rgb="FFF42CBB"/>
  </sheetPr>
  <dimension ref="A1:O156"/>
  <sheetViews>
    <sheetView showGridLines="0" view="pageBreakPreview" topLeftCell="A121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" style="1" customWidth="1"/>
    <col min="13" max="13" width="14.703125" style="1" customWidth="1"/>
    <col min="14" max="92" width="7.703125" style="1" customWidth="1"/>
    <col min="93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66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67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1973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97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1026016</v>
      </c>
      <c r="I12" s="1197"/>
      <c r="J12" s="1196">
        <f>J59</f>
        <v>444652</v>
      </c>
      <c r="K12" s="1553">
        <f>SUM(H12:J12)</f>
        <v>1470668</v>
      </c>
      <c r="L12" s="1627"/>
    </row>
    <row r="13" spans="1:12" s="1199" customFormat="1" ht="24" customHeight="1">
      <c r="A13" s="1564">
        <f>A60</f>
        <v>6.2</v>
      </c>
      <c r="B13" s="1714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ref="K13:K17" si="0">SUM(H13:J13)</f>
        <v>226932</v>
      </c>
      <c r="L13" s="1627"/>
    </row>
    <row r="14" spans="1:12" s="1199" customFormat="1" ht="24" customHeight="1">
      <c r="A14" s="1564" t="str">
        <f>A77</f>
        <v>6.3</v>
      </c>
      <c r="B14" s="1597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74690</v>
      </c>
      <c r="I14" s="1197"/>
      <c r="J14" s="1196">
        <f>J84</f>
        <v>49500</v>
      </c>
      <c r="K14" s="1553">
        <f t="shared" si="0"/>
        <v>124190</v>
      </c>
      <c r="L14" s="1627"/>
    </row>
    <row r="15" spans="1:12" s="1199" customFormat="1" ht="24" customHeight="1">
      <c r="A15" s="1642">
        <f>A85</f>
        <v>6.4</v>
      </c>
      <c r="B15" s="1597" t="str">
        <f>B85</f>
        <v>ตู้ดับเพลิงและถังดับเพลิงชนิดมือถือ (Fire Hose Cabinet &amp; Portable Fire Extinguisher)</v>
      </c>
      <c r="C15" s="1533"/>
      <c r="D15" s="1534"/>
      <c r="E15" s="1569">
        <v>1</v>
      </c>
      <c r="F15" s="1567" t="s">
        <v>19</v>
      </c>
      <c r="G15" s="1195"/>
      <c r="H15" s="1196">
        <f>H109</f>
        <v>209000</v>
      </c>
      <c r="I15" s="1197"/>
      <c r="J15" s="1196">
        <f>J109</f>
        <v>12890</v>
      </c>
      <c r="K15" s="1553">
        <f t="shared" si="0"/>
        <v>221890</v>
      </c>
      <c r="L15" s="1627"/>
    </row>
    <row r="16" spans="1:12" s="1199" customFormat="1" ht="24" customHeight="1">
      <c r="A16" s="1572" t="str">
        <f>A110</f>
        <v>6.5</v>
      </c>
      <c r="B16" s="1597" t="str">
        <f>B110</f>
        <v>ระบบไฟฟ้าและควบคุม (Electrical &amp; Control System) สำหรับระบบป้องกันอัคคีภัย</v>
      </c>
      <c r="C16" s="1533"/>
      <c r="D16" s="1534"/>
      <c r="E16" s="1566">
        <v>1</v>
      </c>
      <c r="F16" s="1567" t="s">
        <v>19</v>
      </c>
      <c r="G16" s="1195"/>
      <c r="H16" s="1196">
        <f>H118</f>
        <v>42560</v>
      </c>
      <c r="I16" s="1197"/>
      <c r="J16" s="1196">
        <f>J118</f>
        <v>4256</v>
      </c>
      <c r="K16" s="1553">
        <f t="shared" si="0"/>
        <v>46816</v>
      </c>
      <c r="L16" s="1627"/>
    </row>
    <row r="17" spans="1:12" s="1199" customFormat="1" ht="24" customHeight="1">
      <c r="A17" s="1564">
        <f>A119</f>
        <v>6.6</v>
      </c>
      <c r="B17" s="1597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627"/>
    </row>
    <row r="18" spans="1:12" s="1199" customFormat="1" ht="24" customHeight="1">
      <c r="A18" s="1564"/>
      <c r="B18" s="1597"/>
      <c r="C18" s="1533"/>
      <c r="D18" s="1534"/>
      <c r="E18" s="1566"/>
      <c r="F18" s="1567"/>
      <c r="G18" s="1195"/>
      <c r="H18" s="1196"/>
      <c r="I18" s="1197"/>
      <c r="J18" s="1196"/>
      <c r="K18" s="1553"/>
      <c r="L18" s="1627"/>
    </row>
    <row r="19" spans="1:12" s="1199" customFormat="1" ht="24" customHeight="1">
      <c r="A19" s="1564"/>
      <c r="B19" s="1597"/>
      <c r="C19" s="1533"/>
      <c r="D19" s="1534"/>
      <c r="E19" s="1566"/>
      <c r="F19" s="1567"/>
      <c r="G19" s="1195"/>
      <c r="H19" s="1196"/>
      <c r="I19" s="1197"/>
      <c r="J19" s="1196"/>
      <c r="K19" s="1553"/>
      <c r="L19" s="1627"/>
    </row>
    <row r="20" spans="1:12" s="1199" customFormat="1" ht="24" customHeight="1">
      <c r="A20" s="1564"/>
      <c r="B20" s="1597"/>
      <c r="C20" s="1533"/>
      <c r="D20" s="1534"/>
      <c r="E20" s="1566"/>
      <c r="F20" s="1567"/>
      <c r="G20" s="1195"/>
      <c r="H20" s="1196"/>
      <c r="I20" s="1197"/>
      <c r="J20" s="1196"/>
      <c r="K20" s="1553"/>
      <c r="L20" s="1627"/>
    </row>
    <row r="21" spans="1:12" s="1199" customFormat="1" ht="24" customHeight="1">
      <c r="A21" s="1564"/>
      <c r="B21" s="1597"/>
      <c r="C21" s="1533"/>
      <c r="D21" s="1534"/>
      <c r="E21" s="1566"/>
      <c r="F21" s="1567"/>
      <c r="G21" s="1195"/>
      <c r="H21" s="1196"/>
      <c r="I21" s="1197"/>
      <c r="J21" s="1196"/>
      <c r="K21" s="1553"/>
      <c r="L21" s="1627"/>
    </row>
    <row r="22" spans="1:12" s="1199" customFormat="1" ht="24" customHeight="1">
      <c r="A22" s="1564"/>
      <c r="B22" s="1597"/>
      <c r="C22" s="1533"/>
      <c r="D22" s="1534"/>
      <c r="E22" s="1566"/>
      <c r="F22" s="1567"/>
      <c r="G22" s="1195"/>
      <c r="H22" s="1196"/>
      <c r="I22" s="1197"/>
      <c r="J22" s="1196"/>
      <c r="K22" s="1553"/>
      <c r="L22" s="1627"/>
    </row>
    <row r="23" spans="1:12" s="1199" customFormat="1" ht="24" customHeight="1">
      <c r="A23" s="1564"/>
      <c r="B23" s="1597"/>
      <c r="C23" s="1533"/>
      <c r="D23" s="1534"/>
      <c r="E23" s="1566"/>
      <c r="F23" s="1567"/>
      <c r="G23" s="1195"/>
      <c r="H23" s="1196"/>
      <c r="I23" s="1197"/>
      <c r="J23" s="1196"/>
      <c r="K23" s="1553"/>
      <c r="L23" s="1627"/>
    </row>
    <row r="24" spans="1:12" s="1199" customFormat="1" ht="24" customHeight="1">
      <c r="A24" s="1564"/>
      <c r="B24" s="1597"/>
      <c r="C24" s="1533"/>
      <c r="D24" s="1534"/>
      <c r="E24" s="1566"/>
      <c r="F24" s="1567"/>
      <c r="G24" s="1195"/>
      <c r="H24" s="1196"/>
      <c r="I24" s="1197"/>
      <c r="J24" s="1196"/>
      <c r="K24" s="1553"/>
      <c r="L24" s="1627"/>
    </row>
    <row r="25" spans="1:12" s="1199" customFormat="1" ht="24" customHeight="1">
      <c r="A25" s="1564"/>
      <c r="B25" s="1597"/>
      <c r="C25" s="1533"/>
      <c r="D25" s="1534"/>
      <c r="E25" s="1566"/>
      <c r="F25" s="1567"/>
      <c r="G25" s="1195"/>
      <c r="H25" s="1196"/>
      <c r="I25" s="1197"/>
      <c r="J25" s="1196"/>
      <c r="K25" s="1553"/>
      <c r="L25" s="1627"/>
    </row>
    <row r="26" spans="1:12" s="1199" customFormat="1" ht="24" customHeight="1">
      <c r="A26" s="1564"/>
      <c r="B26" s="1597"/>
      <c r="C26" s="1533"/>
      <c r="D26" s="1534"/>
      <c r="E26" s="1566"/>
      <c r="F26" s="1567"/>
      <c r="G26" s="1195"/>
      <c r="H26" s="1196"/>
      <c r="I26" s="1197"/>
      <c r="J26" s="1196"/>
      <c r="K26" s="1553"/>
      <c r="L26" s="1627"/>
    </row>
    <row r="27" spans="1:12" s="1199" customFormat="1" ht="24" customHeight="1">
      <c r="A27" s="1564"/>
      <c r="B27" s="1597"/>
      <c r="C27" s="1533"/>
      <c r="D27" s="1534"/>
      <c r="E27" s="1566"/>
      <c r="F27" s="1567"/>
      <c r="G27" s="1195"/>
      <c r="H27" s="1196"/>
      <c r="I27" s="1197"/>
      <c r="J27" s="1196"/>
      <c r="K27" s="1553"/>
      <c r="L27" s="1627"/>
    </row>
    <row r="28" spans="1:12" s="1199" customFormat="1" ht="24" customHeight="1">
      <c r="A28" s="1564"/>
      <c r="B28" s="1597"/>
      <c r="C28" s="1533"/>
      <c r="D28" s="1534"/>
      <c r="E28" s="1566"/>
      <c r="F28" s="1567"/>
      <c r="G28" s="1195"/>
      <c r="H28" s="1196"/>
      <c r="I28" s="1197"/>
      <c r="J28" s="1196"/>
      <c r="K28" s="1553"/>
      <c r="L28" s="1627"/>
    </row>
    <row r="29" spans="1:12" s="1199" customFormat="1" ht="24" customHeight="1">
      <c r="A29" s="1564"/>
      <c r="B29" s="1597"/>
      <c r="C29" s="1533"/>
      <c r="D29" s="1534"/>
      <c r="E29" s="1566"/>
      <c r="F29" s="1567"/>
      <c r="G29" s="1195"/>
      <c r="H29" s="1196"/>
      <c r="I29" s="1197"/>
      <c r="J29" s="1196"/>
      <c r="K29" s="1553"/>
      <c r="L29" s="1627"/>
    </row>
    <row r="30" spans="1:12" s="1199" customFormat="1" ht="24" customHeight="1">
      <c r="A30" s="1564"/>
      <c r="B30" s="1597"/>
      <c r="C30" s="1533"/>
      <c r="D30" s="1534"/>
      <c r="E30" s="1566"/>
      <c r="F30" s="1567"/>
      <c r="G30" s="1195"/>
      <c r="H30" s="1196"/>
      <c r="I30" s="1197"/>
      <c r="J30" s="1196"/>
      <c r="K30" s="1553"/>
      <c r="L30" s="1627"/>
    </row>
    <row r="31" spans="1:12" s="1199" customFormat="1" ht="24" customHeight="1">
      <c r="A31" s="1564"/>
      <c r="B31" s="1597"/>
      <c r="C31" s="1533"/>
      <c r="D31" s="1534"/>
      <c r="E31" s="1566"/>
      <c r="F31" s="1567"/>
      <c r="G31" s="1195"/>
      <c r="H31" s="1196"/>
      <c r="I31" s="1197"/>
      <c r="J31" s="1196"/>
      <c r="K31" s="1553"/>
      <c r="L31" s="1627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627"/>
    </row>
    <row r="33" spans="1:14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627"/>
    </row>
    <row r="34" spans="1:14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6</v>
      </c>
      <c r="C34" s="2258"/>
      <c r="D34" s="2259"/>
      <c r="E34" s="1579"/>
      <c r="F34" s="1579"/>
      <c r="G34" s="1580"/>
      <c r="H34" s="1581">
        <f>SUM(H12:H33)</f>
        <v>1565198</v>
      </c>
      <c r="I34" s="1582"/>
      <c r="J34" s="1581">
        <f>SUM(J12:J33)</f>
        <v>525298</v>
      </c>
      <c r="K34" s="1583">
        <f>SUM(K12:K33)</f>
        <v>2090496</v>
      </c>
      <c r="L34" s="1630"/>
      <c r="M34" s="1214"/>
      <c r="N34" s="1214"/>
    </row>
    <row r="35" spans="1:14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638"/>
    </row>
    <row r="36" spans="1:14" s="1199" customFormat="1" ht="24" customHeight="1">
      <c r="A36" s="1620" t="s">
        <v>1899</v>
      </c>
      <c r="B36" s="1591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635"/>
    </row>
    <row r="37" spans="1:14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4" s="1199" customFormat="1" ht="24" customHeight="1">
      <c r="A38" s="1564"/>
      <c r="B38" s="1565" t="s">
        <v>1901</v>
      </c>
      <c r="C38" s="1533"/>
      <c r="D38" s="1534"/>
      <c r="E38" s="1688">
        <v>1625</v>
      </c>
      <c r="F38" s="1567" t="s">
        <v>226</v>
      </c>
      <c r="G38" s="1516">
        <v>78</v>
      </c>
      <c r="H38" s="1264">
        <f t="shared" ref="H38:H51" si="1">ROUND(E38*G38,)</f>
        <v>126750</v>
      </c>
      <c r="I38" s="1265">
        <v>45</v>
      </c>
      <c r="J38" s="1264">
        <f t="shared" ref="J38:J51" si="2">ROUND(I38*E38,)</f>
        <v>73125</v>
      </c>
      <c r="K38" s="1273">
        <f t="shared" ref="K38:K51" si="3">H38+J38</f>
        <v>199875</v>
      </c>
      <c r="L38" s="1273"/>
    </row>
    <row r="39" spans="1:14" s="1199" customFormat="1" ht="24" customHeight="1">
      <c r="A39" s="1564"/>
      <c r="B39" s="1565" t="s">
        <v>1338</v>
      </c>
      <c r="C39" s="1533"/>
      <c r="D39" s="1534"/>
      <c r="E39" s="1688">
        <v>392</v>
      </c>
      <c r="F39" s="1567" t="s">
        <v>226</v>
      </c>
      <c r="G39" s="1516">
        <v>105</v>
      </c>
      <c r="H39" s="1264">
        <f t="shared" si="1"/>
        <v>41160</v>
      </c>
      <c r="I39" s="1299">
        <v>60</v>
      </c>
      <c r="J39" s="1264">
        <f t="shared" si="2"/>
        <v>23520</v>
      </c>
      <c r="K39" s="1273">
        <f t="shared" si="3"/>
        <v>64680</v>
      </c>
      <c r="L39" s="1382"/>
    </row>
    <row r="40" spans="1:14" s="1199" customFormat="1" ht="24" customHeight="1">
      <c r="A40" s="1564"/>
      <c r="B40" s="1565" t="s">
        <v>1339</v>
      </c>
      <c r="C40" s="1533"/>
      <c r="D40" s="1534"/>
      <c r="E40" s="1688">
        <v>181</v>
      </c>
      <c r="F40" s="1567" t="s">
        <v>226</v>
      </c>
      <c r="G40" s="1661">
        <v>126</v>
      </c>
      <c r="H40" s="1264">
        <f t="shared" si="1"/>
        <v>22806</v>
      </c>
      <c r="I40" s="1589">
        <v>70</v>
      </c>
      <c r="J40" s="1264">
        <f t="shared" si="2"/>
        <v>12670</v>
      </c>
      <c r="K40" s="1273">
        <f t="shared" si="3"/>
        <v>35476</v>
      </c>
      <c r="L40" s="1382"/>
    </row>
    <row r="41" spans="1:14" s="1199" customFormat="1" ht="24" customHeight="1">
      <c r="A41" s="1564"/>
      <c r="B41" s="1565" t="s">
        <v>1340</v>
      </c>
      <c r="C41" s="1533"/>
      <c r="D41" s="1534"/>
      <c r="E41" s="1688">
        <v>108</v>
      </c>
      <c r="F41" s="1567" t="s">
        <v>226</v>
      </c>
      <c r="G41" s="1661">
        <v>169</v>
      </c>
      <c r="H41" s="1264">
        <f t="shared" si="1"/>
        <v>18252</v>
      </c>
      <c r="I41" s="1589">
        <v>95</v>
      </c>
      <c r="J41" s="1264">
        <f t="shared" si="2"/>
        <v>10260</v>
      </c>
      <c r="K41" s="1273">
        <f t="shared" si="3"/>
        <v>28512</v>
      </c>
      <c r="L41" s="1382"/>
    </row>
    <row r="42" spans="1:14" s="1199" customFormat="1" ht="24" customHeight="1">
      <c r="A42" s="1564"/>
      <c r="B42" s="1565" t="s">
        <v>1341</v>
      </c>
      <c r="C42" s="1533"/>
      <c r="D42" s="1534"/>
      <c r="E42" s="1688">
        <v>93</v>
      </c>
      <c r="F42" s="1567" t="s">
        <v>226</v>
      </c>
      <c r="G42" s="1661">
        <v>268</v>
      </c>
      <c r="H42" s="1264">
        <f t="shared" si="1"/>
        <v>24924</v>
      </c>
      <c r="I42" s="1589">
        <v>150</v>
      </c>
      <c r="J42" s="1264">
        <f t="shared" si="2"/>
        <v>13950</v>
      </c>
      <c r="K42" s="1273">
        <f t="shared" si="3"/>
        <v>38874</v>
      </c>
      <c r="L42" s="1382"/>
    </row>
    <row r="43" spans="1:14" s="1199" customFormat="1" ht="24" customHeight="1">
      <c r="A43" s="1564"/>
      <c r="B43" s="1565" t="s">
        <v>1342</v>
      </c>
      <c r="C43" s="1533"/>
      <c r="D43" s="1534"/>
      <c r="E43" s="1688">
        <v>93</v>
      </c>
      <c r="F43" s="1567" t="s">
        <v>226</v>
      </c>
      <c r="G43" s="1661">
        <v>350</v>
      </c>
      <c r="H43" s="1264">
        <f t="shared" si="1"/>
        <v>32550</v>
      </c>
      <c r="I43" s="1589">
        <v>200</v>
      </c>
      <c r="J43" s="1264">
        <f t="shared" si="2"/>
        <v>18600</v>
      </c>
      <c r="K43" s="1273">
        <f t="shared" si="3"/>
        <v>51150</v>
      </c>
      <c r="L43" s="1382"/>
    </row>
    <row r="44" spans="1:14" s="1199" customFormat="1" ht="24" customHeight="1">
      <c r="A44" s="1564"/>
      <c r="B44" s="1565" t="s">
        <v>1759</v>
      </c>
      <c r="C44" s="1533"/>
      <c r="D44" s="1534"/>
      <c r="E44" s="1688">
        <v>312</v>
      </c>
      <c r="F44" s="1567" t="s">
        <v>226</v>
      </c>
      <c r="G44" s="1661">
        <v>499</v>
      </c>
      <c r="H44" s="1264">
        <f t="shared" si="1"/>
        <v>155688</v>
      </c>
      <c r="I44" s="1589">
        <v>280</v>
      </c>
      <c r="J44" s="1264">
        <f t="shared" si="2"/>
        <v>87360</v>
      </c>
      <c r="K44" s="1273">
        <f t="shared" si="3"/>
        <v>243048</v>
      </c>
      <c r="L44" s="1382"/>
    </row>
    <row r="45" spans="1:14" s="1199" customFormat="1" ht="24" customHeight="1">
      <c r="A45" s="1564"/>
      <c r="B45" s="1565" t="s">
        <v>1754</v>
      </c>
      <c r="C45" s="1533"/>
      <c r="D45" s="1534"/>
      <c r="E45" s="1688">
        <v>99</v>
      </c>
      <c r="F45" s="1567" t="s">
        <v>226</v>
      </c>
      <c r="G45" s="1661">
        <v>877</v>
      </c>
      <c r="H45" s="1264">
        <f t="shared" si="1"/>
        <v>86823</v>
      </c>
      <c r="I45" s="1589">
        <v>500</v>
      </c>
      <c r="J45" s="1264">
        <f t="shared" si="2"/>
        <v>49500</v>
      </c>
      <c r="K45" s="1273">
        <f t="shared" si="3"/>
        <v>136323</v>
      </c>
      <c r="L45" s="1382"/>
    </row>
    <row r="46" spans="1:14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4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4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203581</v>
      </c>
      <c r="H48" s="1264">
        <f t="shared" si="1"/>
        <v>203581</v>
      </c>
      <c r="I48" s="1589">
        <f>ROUND(G48*0.3,)</f>
        <v>61074</v>
      </c>
      <c r="J48" s="1264">
        <f t="shared" si="2"/>
        <v>61074</v>
      </c>
      <c r="K48" s="1273">
        <f t="shared" si="3"/>
        <v>264655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101791</v>
      </c>
      <c r="H49" s="1264">
        <f t="shared" si="1"/>
        <v>101791</v>
      </c>
      <c r="I49" s="1589">
        <f>ROUND(G49*0.3,)</f>
        <v>30537</v>
      </c>
      <c r="J49" s="1264">
        <f t="shared" si="2"/>
        <v>30537</v>
      </c>
      <c r="K49" s="1273">
        <f t="shared" si="3"/>
        <v>132328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50895</v>
      </c>
      <c r="H50" s="1264">
        <f t="shared" si="1"/>
        <v>50895</v>
      </c>
      <c r="I50" s="1589">
        <f>ROUND(G50*0.3,)</f>
        <v>15269</v>
      </c>
      <c r="J50" s="1264">
        <f t="shared" si="2"/>
        <v>15269</v>
      </c>
      <c r="K50" s="1273">
        <f t="shared" si="3"/>
        <v>66164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152686</v>
      </c>
      <c r="H51" s="1264">
        <f t="shared" si="1"/>
        <v>152686</v>
      </c>
      <c r="I51" s="1589">
        <f>ROUND(G51*0.3,)</f>
        <v>45806</v>
      </c>
      <c r="J51" s="1264">
        <f t="shared" si="2"/>
        <v>45806</v>
      </c>
      <c r="K51" s="1273">
        <f t="shared" si="3"/>
        <v>198492</v>
      </c>
      <c r="L51" s="1382"/>
    </row>
    <row r="52" spans="1:15" s="1199" customFormat="1" ht="24" customHeight="1">
      <c r="A52" s="1564" t="s">
        <v>1868</v>
      </c>
      <c r="B52" s="1565" t="s">
        <v>1869</v>
      </c>
      <c r="C52" s="1533"/>
      <c r="D52" s="1534"/>
      <c r="E52" s="1566"/>
      <c r="F52" s="1567"/>
      <c r="G52" s="1516"/>
      <c r="H52" s="1298"/>
      <c r="I52" s="1299"/>
      <c r="J52" s="1298"/>
      <c r="K52" s="1382"/>
      <c r="L52" s="1382"/>
    </row>
    <row r="53" spans="1:15" s="1199" customFormat="1" ht="24" customHeight="1">
      <c r="A53" s="1564"/>
      <c r="B53" s="1565" t="s">
        <v>1901</v>
      </c>
      <c r="C53" s="1533"/>
      <c r="D53" s="1534"/>
      <c r="E53" s="825">
        <v>5</v>
      </c>
      <c r="F53" s="1567" t="s">
        <v>226</v>
      </c>
      <c r="G53" s="1516">
        <v>124</v>
      </c>
      <c r="H53" s="1264">
        <f>ROUND(E53*G53,)</f>
        <v>620</v>
      </c>
      <c r="I53" s="1265">
        <v>50</v>
      </c>
      <c r="J53" s="1264">
        <f t="shared" ref="J53:J54" si="4">ROUND(I53*E53,)</f>
        <v>250</v>
      </c>
      <c r="K53" s="1273">
        <f t="shared" ref="K53:K54" si="5">H53+J53</f>
        <v>870</v>
      </c>
      <c r="L53" s="2082" t="s">
        <v>2667</v>
      </c>
      <c r="N53" s="1199">
        <v>745.96</v>
      </c>
      <c r="O53" s="1199">
        <f>ROUND(N53/6,)</f>
        <v>124</v>
      </c>
    </row>
    <row r="54" spans="1:15" s="1199" customFormat="1" ht="24" customHeight="1">
      <c r="A54" s="1564"/>
      <c r="B54" s="1565" t="s">
        <v>1340</v>
      </c>
      <c r="C54" s="1533"/>
      <c r="D54" s="1534"/>
      <c r="E54" s="825">
        <v>15</v>
      </c>
      <c r="F54" s="1567" t="s">
        <v>226</v>
      </c>
      <c r="G54" s="1516">
        <v>259</v>
      </c>
      <c r="H54" s="1264">
        <f t="shared" ref="H54" si="6">ROUND(E54*G54,)</f>
        <v>3885</v>
      </c>
      <c r="I54" s="1299">
        <v>110</v>
      </c>
      <c r="J54" s="1264">
        <f t="shared" si="4"/>
        <v>1650</v>
      </c>
      <c r="K54" s="1273">
        <f t="shared" si="5"/>
        <v>5535</v>
      </c>
      <c r="L54" s="2082" t="s">
        <v>2667</v>
      </c>
      <c r="N54" s="1199">
        <v>1554.48</v>
      </c>
      <c r="O54" s="1199">
        <f>ROUND(N54/6,)</f>
        <v>259</v>
      </c>
    </row>
    <row r="55" spans="1:15" s="1199" customFormat="1" ht="24" customHeight="1">
      <c r="A55" s="1564"/>
      <c r="B55" s="1565" t="s">
        <v>1719</v>
      </c>
      <c r="C55" s="1533"/>
      <c r="D55" s="1534"/>
      <c r="E55" s="1686">
        <v>1</v>
      </c>
      <c r="F55" s="1402" t="s">
        <v>1104</v>
      </c>
      <c r="G55" s="1661">
        <f>ROUND(SUM(H53:H54)*50%,)</f>
        <v>2253</v>
      </c>
      <c r="H55" s="1264">
        <f>ROUND(E55*G55,)</f>
        <v>2253</v>
      </c>
      <c r="I55" s="1589">
        <f>ROUND(G55*0.3,)</f>
        <v>676</v>
      </c>
      <c r="J55" s="1264">
        <f>ROUND(I55*E55,)</f>
        <v>676</v>
      </c>
      <c r="K55" s="1273">
        <f>H55+J55</f>
        <v>2929</v>
      </c>
      <c r="L55" s="1382"/>
    </row>
    <row r="56" spans="1:15" s="1199" customFormat="1" ht="24" customHeight="1">
      <c r="A56" s="1564"/>
      <c r="B56" s="1565" t="s">
        <v>1720</v>
      </c>
      <c r="C56" s="1533"/>
      <c r="D56" s="1534"/>
      <c r="E56" s="1686">
        <v>1</v>
      </c>
      <c r="F56" s="1402" t="s">
        <v>1104</v>
      </c>
      <c r="G56" s="1661">
        <f>ROUND(SUM(H53:H54)*20%,)</f>
        <v>901</v>
      </c>
      <c r="H56" s="1264">
        <f>ROUND(E56*G56,)</f>
        <v>901</v>
      </c>
      <c r="I56" s="1589">
        <f>ROUND(G56*0.3,)</f>
        <v>270</v>
      </c>
      <c r="J56" s="1264">
        <f>ROUND(I56*E56,)</f>
        <v>270</v>
      </c>
      <c r="K56" s="1273">
        <f>H56+J56</f>
        <v>1171</v>
      </c>
      <c r="L56" s="1382"/>
    </row>
    <row r="57" spans="1:15" s="1199" customFormat="1" ht="24" customHeight="1">
      <c r="A57" s="1564"/>
      <c r="B57" s="1565" t="s">
        <v>1721</v>
      </c>
      <c r="C57" s="1533"/>
      <c r="D57" s="1534"/>
      <c r="E57" s="1686">
        <v>1</v>
      </c>
      <c r="F57" s="1402" t="s">
        <v>1104</v>
      </c>
      <c r="G57" s="1661">
        <f>ROUND(SUM(H53:H54)*10%,)</f>
        <v>451</v>
      </c>
      <c r="H57" s="1264">
        <f>ROUND(E57*G57,)</f>
        <v>451</v>
      </c>
      <c r="I57" s="1589">
        <f>ROUND(G57*0.3,)</f>
        <v>135</v>
      </c>
      <c r="J57" s="1264">
        <f>ROUND(I57*E57,)</f>
        <v>135</v>
      </c>
      <c r="K57" s="1273">
        <f>H57+J57</f>
        <v>586</v>
      </c>
      <c r="L57" s="1382"/>
    </row>
    <row r="58" spans="1:15" s="1199" customFormat="1" ht="24" customHeight="1">
      <c r="A58" s="1564"/>
      <c r="B58" s="1597" t="s">
        <v>1117</v>
      </c>
      <c r="C58" s="1533"/>
      <c r="D58" s="1534"/>
      <c r="E58" s="1566"/>
      <c r="F58" s="1567"/>
      <c r="G58" s="1516"/>
      <c r="H58" s="1264"/>
      <c r="I58" s="1265"/>
      <c r="J58" s="1264"/>
      <c r="K58" s="1273"/>
      <c r="L58" s="1638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1026016</v>
      </c>
      <c r="I59" s="1582"/>
      <c r="J59" s="1581">
        <f>SUM(J37:J58)</f>
        <v>444652</v>
      </c>
      <c r="K59" s="1583">
        <f>SUM(K37:K58)</f>
        <v>1470668</v>
      </c>
      <c r="L59" s="1630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638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65" t="s">
        <v>1896</v>
      </c>
      <c r="C75" s="1533"/>
      <c r="D75" s="1534"/>
      <c r="E75" s="1566"/>
      <c r="F75" s="1567"/>
      <c r="G75" s="1516"/>
      <c r="H75" s="1298"/>
      <c r="I75" s="1299"/>
      <c r="J75" s="1298"/>
      <c r="K75" s="1382"/>
      <c r="L75" s="1638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SUM(H60:H75)</f>
        <v>212932</v>
      </c>
      <c r="I76" s="1582"/>
      <c r="J76" s="1581">
        <f>SUM(J60:J75)</f>
        <v>14000</v>
      </c>
      <c r="K76" s="1583">
        <f>SUM(K60:K75)</f>
        <v>226932</v>
      </c>
      <c r="L76" s="1630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15"/>
      <c r="H77" s="1298"/>
      <c r="I77" s="1299"/>
      <c r="J77" s="1298"/>
      <c r="K77" s="1382"/>
      <c r="L77" s="1638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622</v>
      </c>
      <c r="F78" s="1676" t="s">
        <v>363</v>
      </c>
      <c r="G78" s="1515">
        <v>110</v>
      </c>
      <c r="H78" s="1264">
        <f>ROUND(E78*G78,)</f>
        <v>68420</v>
      </c>
      <c r="I78" s="1299">
        <v>75</v>
      </c>
      <c r="J78" s="1264">
        <f>ROUND(I78*E78,)</f>
        <v>46650</v>
      </c>
      <c r="K78" s="1273">
        <f>H78+J78</f>
        <v>115070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15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/>
      <c r="F80" s="1676" t="s">
        <v>363</v>
      </c>
      <c r="G80" s="1515">
        <v>800</v>
      </c>
      <c r="H80" s="1264">
        <f>ROUND(E80*G80,)</f>
        <v>0</v>
      </c>
      <c r="I80" s="1299">
        <v>50</v>
      </c>
      <c r="J80" s="1264">
        <f>ROUND(I80*E80,)</f>
        <v>0</v>
      </c>
      <c r="K80" s="1273">
        <f>H80+J80</f>
        <v>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57</v>
      </c>
      <c r="F81" s="1676" t="s">
        <v>363</v>
      </c>
      <c r="G81" s="1515">
        <v>110</v>
      </c>
      <c r="H81" s="1264">
        <f>ROUND(E81*G81,)</f>
        <v>6270</v>
      </c>
      <c r="I81" s="1299">
        <v>50</v>
      </c>
      <c r="J81" s="1264">
        <f>ROUND(I81*E81,)</f>
        <v>2850</v>
      </c>
      <c r="K81" s="1273">
        <f>H81+J81</f>
        <v>9120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515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15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74690</v>
      </c>
      <c r="I84" s="1582"/>
      <c r="J84" s="1581">
        <f>SUM(J78:J83)</f>
        <v>49500</v>
      </c>
      <c r="K84" s="1583">
        <f>SUM(K78:K83)</f>
        <v>124190</v>
      </c>
      <c r="L84" s="1630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713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4</v>
      </c>
      <c r="F87" s="1564" t="s">
        <v>363</v>
      </c>
      <c r="G87" s="1558">
        <v>6500</v>
      </c>
      <c r="H87" s="1264">
        <f t="shared" ref="H87:H92" si="7">ROUND(E87*G87,)</f>
        <v>26000</v>
      </c>
      <c r="I87" s="1265">
        <f>G87*0.3</f>
        <v>1950</v>
      </c>
      <c r="J87" s="1264">
        <f>ROUND(I87*E87,)</f>
        <v>7800</v>
      </c>
      <c r="K87" s="1273">
        <f t="shared" ref="K87:K92" si="8">H87+J87</f>
        <v>33800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4</v>
      </c>
      <c r="F88" s="1572" t="s">
        <v>363</v>
      </c>
      <c r="G88" s="1694">
        <v>1200</v>
      </c>
      <c r="H88" s="1264">
        <f t="shared" si="7"/>
        <v>4800</v>
      </c>
      <c r="I88" s="1265" t="s">
        <v>1683</v>
      </c>
      <c r="J88" s="1264"/>
      <c r="K88" s="1273">
        <f t="shared" si="8"/>
        <v>4800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4</v>
      </c>
      <c r="F89" s="1564" t="s">
        <v>363</v>
      </c>
      <c r="G89" s="1558">
        <v>19200</v>
      </c>
      <c r="H89" s="1264">
        <f t="shared" si="7"/>
        <v>76800</v>
      </c>
      <c r="I89" s="1265" t="s">
        <v>1683</v>
      </c>
      <c r="J89" s="1264"/>
      <c r="K89" s="1273">
        <f t="shared" si="8"/>
        <v>76800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4</v>
      </c>
      <c r="F90" s="1564" t="s">
        <v>363</v>
      </c>
      <c r="G90" s="1558">
        <v>4910</v>
      </c>
      <c r="H90" s="1264">
        <f t="shared" si="7"/>
        <v>19640</v>
      </c>
      <c r="I90" s="1265" t="s">
        <v>1683</v>
      </c>
      <c r="J90" s="1264"/>
      <c r="K90" s="1273">
        <f t="shared" si="8"/>
        <v>19640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4</v>
      </c>
      <c r="F91" s="1564" t="s">
        <v>363</v>
      </c>
      <c r="G91" s="1558">
        <v>1420</v>
      </c>
      <c r="H91" s="1264">
        <f t="shared" si="7"/>
        <v>5680</v>
      </c>
      <c r="I91" s="1265" t="s">
        <v>1683</v>
      </c>
      <c r="J91" s="1264"/>
      <c r="K91" s="1273">
        <f t="shared" si="8"/>
        <v>5680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4</v>
      </c>
      <c r="F92" s="1564" t="s">
        <v>363</v>
      </c>
      <c r="G92" s="1558">
        <v>720</v>
      </c>
      <c r="H92" s="1264">
        <f t="shared" si="7"/>
        <v>2880</v>
      </c>
      <c r="I92" s="1265" t="s">
        <v>1683</v>
      </c>
      <c r="J92" s="1264"/>
      <c r="K92" s="1273">
        <f t="shared" si="8"/>
        <v>2880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4</v>
      </c>
      <c r="F101" s="1564" t="s">
        <v>363</v>
      </c>
      <c r="G101" s="1558">
        <v>1000</v>
      </c>
      <c r="H101" s="1264">
        <f>ROUND(E101*G101,)</f>
        <v>4000</v>
      </c>
      <c r="I101" s="1695">
        <v>200</v>
      </c>
      <c r="J101" s="1264">
        <f>ROUND(I101*E101,)</f>
        <v>800</v>
      </c>
      <c r="K101" s="1273">
        <f>H101+J101</f>
        <v>4800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1117</v>
      </c>
      <c r="C104" s="1533"/>
      <c r="D104" s="1534"/>
      <c r="E104" s="1566"/>
      <c r="F104" s="1564"/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/>
      <c r="C105" s="1533"/>
      <c r="D105" s="1534"/>
      <c r="E105" s="1566"/>
      <c r="F105" s="1564"/>
      <c r="G105" s="1558"/>
      <c r="H105" s="1264"/>
      <c r="I105" s="1695"/>
      <c r="J105" s="1264"/>
      <c r="K105" s="1687"/>
      <c r="L105" s="1697"/>
    </row>
    <row r="106" spans="1:12" s="1199" customFormat="1" ht="24" customHeight="1">
      <c r="A106" s="1572"/>
      <c r="B106" s="1597"/>
      <c r="C106" s="1533"/>
      <c r="D106" s="1534"/>
      <c r="E106" s="1566"/>
      <c r="F106" s="1564"/>
      <c r="G106" s="1558"/>
      <c r="H106" s="1264"/>
      <c r="I106" s="1695"/>
      <c r="J106" s="1264"/>
      <c r="K106" s="1273"/>
      <c r="L106" s="1697"/>
    </row>
    <row r="107" spans="1:12" s="1199" customFormat="1" ht="24" customHeight="1">
      <c r="A107" s="1572"/>
      <c r="B107" s="1597"/>
      <c r="C107" s="1533"/>
      <c r="D107" s="1534"/>
      <c r="E107" s="1566"/>
      <c r="F107" s="1564"/>
      <c r="G107" s="1558"/>
      <c r="H107" s="1264"/>
      <c r="I107" s="1695"/>
      <c r="J107" s="1264"/>
      <c r="K107" s="1273"/>
      <c r="L107" s="1697"/>
    </row>
    <row r="108" spans="1:12" s="1199" customFormat="1" ht="24" customHeight="1">
      <c r="A108" s="1572"/>
      <c r="B108" s="1573"/>
      <c r="C108" s="1574"/>
      <c r="D108" s="1575"/>
      <c r="E108" s="1598"/>
      <c r="F108" s="1572"/>
      <c r="G108" s="1558"/>
      <c r="H108" s="1264"/>
      <c r="I108" s="1695"/>
      <c r="J108" s="1264"/>
      <c r="K108" s="1273"/>
      <c r="L108" s="169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209000</v>
      </c>
      <c r="I109" s="1582"/>
      <c r="J109" s="1581">
        <f>SUM(J86:J108)</f>
        <v>12890</v>
      </c>
      <c r="K109" s="1583">
        <f>SUM(K86:K108)</f>
        <v>221890</v>
      </c>
      <c r="L109" s="1630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713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635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638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638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638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638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638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638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630"/>
    </row>
    <row r="119" spans="1:12" s="1199" customFormat="1" ht="24" customHeight="1">
      <c r="A119" s="1572">
        <v>6.6</v>
      </c>
      <c r="B119" s="1573" t="s">
        <v>1424</v>
      </c>
      <c r="C119" s="1574"/>
      <c r="D119" s="1575"/>
      <c r="E119" s="1598">
        <v>1</v>
      </c>
      <c r="F119" s="1572" t="s">
        <v>1104</v>
      </c>
      <c r="G119" s="1708" t="s">
        <v>1952</v>
      </c>
      <c r="H119" s="1264"/>
      <c r="I119" s="1695"/>
      <c r="J119" s="1264"/>
      <c r="K119" s="1273"/>
      <c r="L119" s="1697"/>
    </row>
    <row r="120" spans="1:12" s="1199" customFormat="1" ht="24" customHeight="1">
      <c r="A120" s="1572"/>
      <c r="B120" s="1573"/>
      <c r="C120" s="1574"/>
      <c r="D120" s="1575"/>
      <c r="E120" s="1598"/>
      <c r="F120" s="1572"/>
      <c r="G120" s="1558"/>
      <c r="H120" s="1264"/>
      <c r="I120" s="1695"/>
      <c r="J120" s="1264"/>
      <c r="K120" s="1273"/>
      <c r="L120" s="1697"/>
    </row>
    <row r="121" spans="1:12" s="1199" customFormat="1" ht="24" customHeight="1">
      <c r="A121" s="1572"/>
      <c r="B121" s="1573"/>
      <c r="C121" s="1574"/>
      <c r="D121" s="1575"/>
      <c r="E121" s="1598"/>
      <c r="F121" s="1572"/>
      <c r="G121" s="1558"/>
      <c r="H121" s="1264"/>
      <c r="I121" s="1695"/>
      <c r="J121" s="1264"/>
      <c r="K121" s="1273"/>
      <c r="L121" s="1697"/>
    </row>
    <row r="122" spans="1:12" s="1199" customFormat="1" ht="24" customHeight="1">
      <c r="A122" s="1572"/>
      <c r="B122" s="1573"/>
      <c r="C122" s="1574"/>
      <c r="D122" s="1575"/>
      <c r="E122" s="1598"/>
      <c r="F122" s="1572"/>
      <c r="G122" s="1558"/>
      <c r="H122" s="1264"/>
      <c r="I122" s="1695"/>
      <c r="J122" s="1264"/>
      <c r="K122" s="1273"/>
      <c r="L122" s="1697"/>
    </row>
    <row r="123" spans="1:12" s="1199" customFormat="1" ht="24" customHeight="1">
      <c r="A123" s="1572"/>
      <c r="B123" s="1573"/>
      <c r="C123" s="1574"/>
      <c r="D123" s="1575"/>
      <c r="E123" s="1598"/>
      <c r="F123" s="1572"/>
      <c r="G123" s="1558"/>
      <c r="H123" s="1264"/>
      <c r="I123" s="1695"/>
      <c r="J123" s="1264"/>
      <c r="K123" s="1273"/>
      <c r="L123" s="1697"/>
    </row>
    <row r="124" spans="1:12" s="1199" customFormat="1" ht="24" customHeight="1">
      <c r="A124" s="1572"/>
      <c r="B124" s="1573"/>
      <c r="C124" s="1574"/>
      <c r="D124" s="1575"/>
      <c r="E124" s="1598"/>
      <c r="F124" s="1572"/>
      <c r="G124" s="1558"/>
      <c r="H124" s="1264"/>
      <c r="I124" s="1695"/>
      <c r="J124" s="1264"/>
      <c r="K124" s="1273"/>
      <c r="L124" s="1697"/>
    </row>
    <row r="125" spans="1:12" s="1199" customFormat="1" ht="24" customHeight="1">
      <c r="A125" s="1572"/>
      <c r="B125" s="1573"/>
      <c r="C125" s="1574"/>
      <c r="D125" s="1575"/>
      <c r="E125" s="1598"/>
      <c r="F125" s="1572"/>
      <c r="G125" s="1558"/>
      <c r="H125" s="1264"/>
      <c r="I125" s="1695"/>
      <c r="J125" s="1264"/>
      <c r="K125" s="1273"/>
      <c r="L125" s="1697"/>
    </row>
    <row r="126" spans="1:12" s="1199" customFormat="1" ht="24" customHeight="1">
      <c r="A126" s="1572"/>
      <c r="B126" s="1573"/>
      <c r="C126" s="1574"/>
      <c r="D126" s="1575"/>
      <c r="E126" s="1598"/>
      <c r="F126" s="1572"/>
      <c r="G126" s="1558"/>
      <c r="H126" s="1264"/>
      <c r="I126" s="1695"/>
      <c r="J126" s="1264"/>
      <c r="K126" s="1273"/>
      <c r="L126" s="1697"/>
    </row>
    <row r="127" spans="1:12" s="1199" customFormat="1" ht="24" customHeight="1">
      <c r="A127" s="1572"/>
      <c r="B127" s="1573"/>
      <c r="C127" s="1574"/>
      <c r="D127" s="1575"/>
      <c r="E127" s="1598"/>
      <c r="F127" s="1572"/>
      <c r="G127" s="1558"/>
      <c r="H127" s="1264"/>
      <c r="I127" s="1695"/>
      <c r="J127" s="1264"/>
      <c r="K127" s="1273"/>
      <c r="L127" s="1697"/>
    </row>
    <row r="128" spans="1:12" s="1199" customFormat="1" ht="24" customHeight="1">
      <c r="A128" s="1572"/>
      <c r="B128" s="1573"/>
      <c r="C128" s="1574"/>
      <c r="D128" s="1575"/>
      <c r="E128" s="1598"/>
      <c r="F128" s="1572"/>
      <c r="G128" s="1558"/>
      <c r="H128" s="1264"/>
      <c r="I128" s="1695"/>
      <c r="J128" s="1264"/>
      <c r="K128" s="1273"/>
      <c r="L128" s="1697"/>
    </row>
    <row r="129" spans="1:14" s="1199" customFormat="1" ht="24" customHeight="1">
      <c r="A129" s="1572"/>
      <c r="B129" s="1573"/>
      <c r="C129" s="1574"/>
      <c r="D129" s="1575"/>
      <c r="E129" s="1598"/>
      <c r="F129" s="1572"/>
      <c r="G129" s="1558"/>
      <c r="H129" s="1264"/>
      <c r="I129" s="1695"/>
      <c r="J129" s="1264"/>
      <c r="K129" s="1273"/>
      <c r="L129" s="1697"/>
    </row>
    <row r="130" spans="1:14" s="1199" customFormat="1" ht="24" customHeight="1">
      <c r="A130" s="1572"/>
      <c r="B130" s="1573"/>
      <c r="C130" s="1574"/>
      <c r="D130" s="1575"/>
      <c r="E130" s="1598"/>
      <c r="F130" s="1572"/>
      <c r="G130" s="1558"/>
      <c r="H130" s="1264"/>
      <c r="I130" s="1695"/>
      <c r="J130" s="1264"/>
      <c r="K130" s="1273"/>
      <c r="L130" s="1697"/>
    </row>
    <row r="131" spans="1:14" s="1199" customFormat="1" ht="24" customHeight="1">
      <c r="A131" s="1572"/>
      <c r="B131" s="1573"/>
      <c r="C131" s="1574"/>
      <c r="D131" s="1575"/>
      <c r="E131" s="1598"/>
      <c r="F131" s="1572"/>
      <c r="G131" s="1558"/>
      <c r="H131" s="1264"/>
      <c r="I131" s="1695"/>
      <c r="J131" s="1264"/>
      <c r="K131" s="1273"/>
      <c r="L131" s="1697"/>
    </row>
    <row r="132" spans="1:14" s="1199" customFormat="1" ht="24" customHeight="1">
      <c r="A132" s="1572"/>
      <c r="B132" s="1573"/>
      <c r="C132" s="1574"/>
      <c r="D132" s="1575"/>
      <c r="E132" s="1598"/>
      <c r="F132" s="1572"/>
      <c r="G132" s="1558"/>
      <c r="H132" s="1264"/>
      <c r="I132" s="1695"/>
      <c r="J132" s="1264"/>
      <c r="K132" s="1273"/>
      <c r="L132" s="1697"/>
    </row>
    <row r="133" spans="1:14" s="1199" customFormat="1" ht="24" customHeight="1">
      <c r="A133" s="1572"/>
      <c r="B133" s="1573"/>
      <c r="C133" s="1574"/>
      <c r="D133" s="1575"/>
      <c r="E133" s="1598"/>
      <c r="F133" s="1572"/>
      <c r="G133" s="1558"/>
      <c r="H133" s="1264"/>
      <c r="I133" s="1695"/>
      <c r="J133" s="1264"/>
      <c r="K133" s="1273"/>
      <c r="L133" s="1697"/>
    </row>
    <row r="134" spans="1:14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630"/>
      <c r="M134" s="1214"/>
      <c r="N134" s="1214"/>
    </row>
    <row r="135" spans="1:14" s="1199" customFormat="1" ht="21.3">
      <c r="A135" s="1427"/>
      <c r="E135" s="1570"/>
    </row>
    <row r="136" spans="1:14" s="1199" customFormat="1" ht="21.3">
      <c r="A136" s="1427"/>
      <c r="E136" s="1570"/>
    </row>
    <row r="137" spans="1:14" s="1199" customFormat="1" ht="21.3">
      <c r="A137" s="1427"/>
      <c r="E137" s="1570"/>
    </row>
    <row r="138" spans="1:14" s="1199" customFormat="1" ht="21.3">
      <c r="A138" s="1427"/>
      <c r="E138" s="1570"/>
    </row>
    <row r="139" spans="1:14" s="1199" customFormat="1" ht="21.3">
      <c r="A139" s="1427"/>
      <c r="E139" s="1570"/>
    </row>
    <row r="140" spans="1:14" s="1199" customFormat="1" ht="21.3">
      <c r="A140" s="1427"/>
      <c r="E140" s="1570"/>
    </row>
    <row r="141" spans="1:14" s="1199" customFormat="1" ht="21.3">
      <c r="A141" s="1427"/>
      <c r="E141" s="1570"/>
    </row>
    <row r="142" spans="1:14" s="1199" customFormat="1" ht="21.3">
      <c r="A142" s="1427"/>
      <c r="E142" s="1570"/>
    </row>
    <row r="143" spans="1:14" s="1199" customFormat="1" ht="21.3">
      <c r="A143" s="1427"/>
      <c r="E143" s="1570"/>
    </row>
    <row r="144" spans="1:14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6-อาคารด้านทิศตะวันตก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E8CB4-E41D-434A-B88D-D631AE779A0E}">
  <sheetPr>
    <tabColor rgb="FFF42CBB"/>
  </sheetPr>
  <dimension ref="A1:O156"/>
  <sheetViews>
    <sheetView showGridLines="0" view="pageBreakPreview" topLeftCell="A118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" style="1" customWidth="1"/>
    <col min="13" max="13" width="11" style="1" customWidth="1"/>
    <col min="14" max="14" width="9.87890625" style="1" customWidth="1"/>
    <col min="15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1974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974549</v>
      </c>
      <c r="I12" s="1197"/>
      <c r="J12" s="1196">
        <f>J59</f>
        <v>422362</v>
      </c>
      <c r="K12" s="1553">
        <f t="shared" ref="K12:K17" si="0">SUM(H12:J12)</f>
        <v>1396911</v>
      </c>
      <c r="L12" s="1531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531"/>
    </row>
    <row r="14" spans="1:12" s="1199" customFormat="1" ht="24" customHeight="1">
      <c r="A14" s="1564" t="str">
        <f>A77</f>
        <v>6.3</v>
      </c>
      <c r="B14" s="1565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77440</v>
      </c>
      <c r="I14" s="1197"/>
      <c r="J14" s="1196">
        <f>J84</f>
        <v>51625</v>
      </c>
      <c r="K14" s="1553">
        <f t="shared" si="0"/>
        <v>129065</v>
      </c>
      <c r="L14" s="1531"/>
    </row>
    <row r="15" spans="1:12" s="1199" customFormat="1" ht="24" customHeight="1">
      <c r="A15" s="1642">
        <f>A85</f>
        <v>6.4</v>
      </c>
      <c r="B15" s="1643" t="str">
        <f>B85</f>
        <v>ตู้ดับเพลิงและถังดับเพลิงชนิดมือถือ (Fire Hose Cabinet &amp; Portable Fire Extinguisher)</v>
      </c>
      <c r="C15" s="1607"/>
      <c r="D15" s="1608"/>
      <c r="E15" s="1644">
        <v>1</v>
      </c>
      <c r="F15" s="1610" t="s">
        <v>19</v>
      </c>
      <c r="G15" s="1645"/>
      <c r="H15" s="1646">
        <f>H109</f>
        <v>209000</v>
      </c>
      <c r="I15" s="1647"/>
      <c r="J15" s="1646">
        <f>J109</f>
        <v>12890</v>
      </c>
      <c r="K15" s="1553">
        <f t="shared" si="0"/>
        <v>221890</v>
      </c>
      <c r="L15" s="1740"/>
    </row>
    <row r="16" spans="1:12" s="1199" customFormat="1" ht="24" customHeight="1">
      <c r="A16" s="1572" t="str">
        <f>A110</f>
        <v>6.5</v>
      </c>
      <c r="B16" s="1573" t="str">
        <f>B110</f>
        <v>ระบบไฟฟ้าและควบคุม (Electrical &amp; Control System) สำหรับระบบป้องกันอัคคีภัย</v>
      </c>
      <c r="C16" s="1574"/>
      <c r="D16" s="1575"/>
      <c r="E16" s="1598">
        <v>1</v>
      </c>
      <c r="F16" s="1577" t="s">
        <v>19</v>
      </c>
      <c r="G16" s="1228"/>
      <c r="H16" s="1229">
        <f>H118</f>
        <v>42560</v>
      </c>
      <c r="I16" s="1230"/>
      <c r="J16" s="1229">
        <f>J118</f>
        <v>4256</v>
      </c>
      <c r="K16" s="1553">
        <f t="shared" si="0"/>
        <v>46816</v>
      </c>
      <c r="L16" s="1430"/>
    </row>
    <row r="17" spans="1:12" s="1199" customFormat="1" ht="24" customHeight="1">
      <c r="A17" s="1564">
        <f>A119</f>
        <v>6.6</v>
      </c>
      <c r="B17" s="1565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2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2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7</v>
      </c>
      <c r="C34" s="2258"/>
      <c r="D34" s="2259"/>
      <c r="E34" s="1579"/>
      <c r="F34" s="1579"/>
      <c r="G34" s="1580"/>
      <c r="H34" s="1581">
        <f>SUM(H12:H33)</f>
        <v>1516481</v>
      </c>
      <c r="I34" s="1582"/>
      <c r="J34" s="1581">
        <f>SUM(J12:J33)</f>
        <v>505133</v>
      </c>
      <c r="K34" s="1583">
        <f>SUM(K12:K33)</f>
        <v>2021614</v>
      </c>
      <c r="L34" s="1583"/>
    </row>
    <row r="35" spans="1:12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382"/>
    </row>
    <row r="36" spans="1:12" s="1199" customFormat="1" ht="24" customHeight="1">
      <c r="A36" s="1620" t="s">
        <v>1899</v>
      </c>
      <c r="B36" s="1568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273"/>
    </row>
    <row r="37" spans="1:12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2" s="1199" customFormat="1" ht="24" customHeight="1">
      <c r="A38" s="1564"/>
      <c r="B38" s="1565" t="s">
        <v>1901</v>
      </c>
      <c r="C38" s="1533"/>
      <c r="D38" s="1534"/>
      <c r="E38" s="1688">
        <v>1680</v>
      </c>
      <c r="F38" s="1567" t="s">
        <v>226</v>
      </c>
      <c r="G38" s="1516">
        <v>78</v>
      </c>
      <c r="H38" s="1264">
        <f t="shared" ref="H38:H51" si="1">ROUND(E38*G38,)</f>
        <v>131040</v>
      </c>
      <c r="I38" s="1265">
        <v>45</v>
      </c>
      <c r="J38" s="1264">
        <f t="shared" ref="J38:J51" si="2">ROUND(I38*E38,)</f>
        <v>75600</v>
      </c>
      <c r="K38" s="1273">
        <f t="shared" ref="K38:K51" si="3">H38+J38</f>
        <v>206640</v>
      </c>
      <c r="L38" s="1273"/>
    </row>
    <row r="39" spans="1:12" s="1199" customFormat="1" ht="24" customHeight="1">
      <c r="A39" s="1564"/>
      <c r="B39" s="1565" t="s">
        <v>1338</v>
      </c>
      <c r="C39" s="1533"/>
      <c r="D39" s="1534"/>
      <c r="E39" s="1688">
        <v>247</v>
      </c>
      <c r="F39" s="1567" t="s">
        <v>226</v>
      </c>
      <c r="G39" s="1516">
        <v>105</v>
      </c>
      <c r="H39" s="1264">
        <f t="shared" si="1"/>
        <v>25935</v>
      </c>
      <c r="I39" s="1299">
        <v>60</v>
      </c>
      <c r="J39" s="1264">
        <f t="shared" si="2"/>
        <v>14820</v>
      </c>
      <c r="K39" s="1273">
        <f t="shared" si="3"/>
        <v>40755</v>
      </c>
      <c r="L39" s="1382"/>
    </row>
    <row r="40" spans="1:12" s="1199" customFormat="1" ht="24" customHeight="1">
      <c r="A40" s="1564"/>
      <c r="B40" s="1565" t="s">
        <v>1339</v>
      </c>
      <c r="C40" s="1533"/>
      <c r="D40" s="1534"/>
      <c r="E40" s="1688">
        <v>198</v>
      </c>
      <c r="F40" s="1567" t="s">
        <v>226</v>
      </c>
      <c r="G40" s="1661">
        <v>126</v>
      </c>
      <c r="H40" s="1264">
        <f t="shared" si="1"/>
        <v>24948</v>
      </c>
      <c r="I40" s="1589">
        <v>70</v>
      </c>
      <c r="J40" s="1264">
        <f t="shared" si="2"/>
        <v>13860</v>
      </c>
      <c r="K40" s="1273">
        <f t="shared" si="3"/>
        <v>38808</v>
      </c>
      <c r="L40" s="1382"/>
    </row>
    <row r="41" spans="1:12" s="1199" customFormat="1" ht="24" customHeight="1">
      <c r="A41" s="1564"/>
      <c r="B41" s="1565" t="s">
        <v>1340</v>
      </c>
      <c r="C41" s="1533"/>
      <c r="D41" s="1534"/>
      <c r="E41" s="1688">
        <v>205</v>
      </c>
      <c r="F41" s="1567" t="s">
        <v>226</v>
      </c>
      <c r="G41" s="1661">
        <v>169</v>
      </c>
      <c r="H41" s="1264">
        <f t="shared" si="1"/>
        <v>34645</v>
      </c>
      <c r="I41" s="1589">
        <v>95</v>
      </c>
      <c r="J41" s="1264">
        <f t="shared" si="2"/>
        <v>19475</v>
      </c>
      <c r="K41" s="1273">
        <f t="shared" si="3"/>
        <v>54120</v>
      </c>
      <c r="L41" s="1382"/>
    </row>
    <row r="42" spans="1:12" s="1199" customFormat="1" ht="24" customHeight="1">
      <c r="A42" s="1564"/>
      <c r="B42" s="1565" t="s">
        <v>1341</v>
      </c>
      <c r="C42" s="1533"/>
      <c r="D42" s="1534"/>
      <c r="E42" s="1688">
        <v>144</v>
      </c>
      <c r="F42" s="1567" t="s">
        <v>226</v>
      </c>
      <c r="G42" s="1661">
        <v>268</v>
      </c>
      <c r="H42" s="1264">
        <f t="shared" si="1"/>
        <v>38592</v>
      </c>
      <c r="I42" s="1589">
        <v>150</v>
      </c>
      <c r="J42" s="1264">
        <f t="shared" si="2"/>
        <v>21600</v>
      </c>
      <c r="K42" s="1273">
        <f t="shared" si="3"/>
        <v>60192</v>
      </c>
      <c r="L42" s="1382"/>
    </row>
    <row r="43" spans="1:12" s="1199" customFormat="1" ht="24" customHeight="1">
      <c r="A43" s="1564"/>
      <c r="B43" s="1565" t="s">
        <v>1342</v>
      </c>
      <c r="C43" s="1533"/>
      <c r="D43" s="1534"/>
      <c r="E43" s="1688">
        <v>77</v>
      </c>
      <c r="F43" s="1567" t="s">
        <v>226</v>
      </c>
      <c r="G43" s="1661">
        <v>350</v>
      </c>
      <c r="H43" s="1264">
        <f t="shared" si="1"/>
        <v>26950</v>
      </c>
      <c r="I43" s="1589">
        <v>200</v>
      </c>
      <c r="J43" s="1264">
        <f t="shared" si="2"/>
        <v>15400</v>
      </c>
      <c r="K43" s="1273">
        <f t="shared" si="3"/>
        <v>42350</v>
      </c>
      <c r="L43" s="1382"/>
    </row>
    <row r="44" spans="1:12" s="1199" customFormat="1" ht="24" customHeight="1">
      <c r="A44" s="1564"/>
      <c r="B44" s="1565" t="s">
        <v>1759</v>
      </c>
      <c r="C44" s="1533"/>
      <c r="D44" s="1534"/>
      <c r="E44" s="1688">
        <v>222</v>
      </c>
      <c r="F44" s="1567" t="s">
        <v>226</v>
      </c>
      <c r="G44" s="1661">
        <v>499</v>
      </c>
      <c r="H44" s="1264">
        <f t="shared" si="1"/>
        <v>110778</v>
      </c>
      <c r="I44" s="1589">
        <v>280</v>
      </c>
      <c r="J44" s="1264">
        <f t="shared" si="2"/>
        <v>62160</v>
      </c>
      <c r="K44" s="1273">
        <f t="shared" si="3"/>
        <v>172938</v>
      </c>
      <c r="L44" s="1382"/>
    </row>
    <row r="45" spans="1:12" s="1199" customFormat="1" ht="24" customHeight="1">
      <c r="A45" s="1564"/>
      <c r="B45" s="1565" t="s">
        <v>1754</v>
      </c>
      <c r="C45" s="1533"/>
      <c r="D45" s="1534"/>
      <c r="E45" s="1688">
        <v>103</v>
      </c>
      <c r="F45" s="1567" t="s">
        <v>226</v>
      </c>
      <c r="G45" s="1661">
        <v>877</v>
      </c>
      <c r="H45" s="1264">
        <f t="shared" si="1"/>
        <v>90331</v>
      </c>
      <c r="I45" s="1589">
        <v>500</v>
      </c>
      <c r="J45" s="1264">
        <f t="shared" si="2"/>
        <v>51500</v>
      </c>
      <c r="K45" s="1273">
        <f t="shared" si="3"/>
        <v>141831</v>
      </c>
      <c r="L45" s="1382"/>
    </row>
    <row r="46" spans="1:12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2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2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193288</v>
      </c>
      <c r="H48" s="1264">
        <f t="shared" si="1"/>
        <v>193288</v>
      </c>
      <c r="I48" s="1589">
        <f>ROUND(G48*0.3,)</f>
        <v>57986</v>
      </c>
      <c r="J48" s="1264">
        <f t="shared" si="2"/>
        <v>57986</v>
      </c>
      <c r="K48" s="1273">
        <f t="shared" si="3"/>
        <v>251274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96644</v>
      </c>
      <c r="H49" s="1264">
        <f t="shared" si="1"/>
        <v>96644</v>
      </c>
      <c r="I49" s="1589">
        <f>ROUND(G49*0.3,)</f>
        <v>28993</v>
      </c>
      <c r="J49" s="1264">
        <f t="shared" si="2"/>
        <v>28993</v>
      </c>
      <c r="K49" s="1273">
        <f t="shared" si="3"/>
        <v>125637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48322</v>
      </c>
      <c r="H50" s="1264">
        <f t="shared" si="1"/>
        <v>48322</v>
      </c>
      <c r="I50" s="1589">
        <f>ROUND(G50*0.3,)</f>
        <v>14497</v>
      </c>
      <c r="J50" s="1264">
        <f t="shared" si="2"/>
        <v>14497</v>
      </c>
      <c r="K50" s="1273">
        <f t="shared" si="3"/>
        <v>62819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144966</v>
      </c>
      <c r="H51" s="1264">
        <f t="shared" si="1"/>
        <v>144966</v>
      </c>
      <c r="I51" s="1589">
        <f>ROUND(G51*0.3,)</f>
        <v>43490</v>
      </c>
      <c r="J51" s="1264">
        <f t="shared" si="2"/>
        <v>43490</v>
      </c>
      <c r="K51" s="1273">
        <f t="shared" si="3"/>
        <v>188456</v>
      </c>
      <c r="L51" s="1382"/>
    </row>
    <row r="52" spans="1:15" s="1199" customFormat="1" ht="24" customHeight="1">
      <c r="A52" s="1564" t="s">
        <v>1868</v>
      </c>
      <c r="B52" s="1565" t="s">
        <v>1869</v>
      </c>
      <c r="C52" s="1533"/>
      <c r="D52" s="1534"/>
      <c r="E52" s="1566"/>
      <c r="F52" s="1567"/>
      <c r="G52" s="1516"/>
      <c r="H52" s="1298"/>
      <c r="I52" s="1299"/>
      <c r="J52" s="1298"/>
      <c r="K52" s="1382"/>
      <c r="L52" s="1382"/>
    </row>
    <row r="53" spans="1:15" s="1199" customFormat="1" ht="24" customHeight="1">
      <c r="A53" s="1564"/>
      <c r="B53" s="1565" t="s">
        <v>1901</v>
      </c>
      <c r="C53" s="1533"/>
      <c r="D53" s="1534"/>
      <c r="E53" s="825">
        <v>5</v>
      </c>
      <c r="F53" s="1567" t="s">
        <v>226</v>
      </c>
      <c r="G53" s="1516">
        <v>124</v>
      </c>
      <c r="H53" s="1264">
        <f>ROUND(E53*G53,)</f>
        <v>620</v>
      </c>
      <c r="I53" s="1265">
        <v>50</v>
      </c>
      <c r="J53" s="1264">
        <f t="shared" ref="J53:J54" si="4">ROUND(I53*E53,)</f>
        <v>250</v>
      </c>
      <c r="K53" s="1273">
        <f t="shared" ref="K53:K54" si="5">H53+J53</f>
        <v>870</v>
      </c>
      <c r="L53" s="2082" t="s">
        <v>2667</v>
      </c>
      <c r="N53" s="1199">
        <v>745.96</v>
      </c>
      <c r="O53" s="1199">
        <f>ROUND(N53/6,)</f>
        <v>124</v>
      </c>
    </row>
    <row r="54" spans="1:15" s="1199" customFormat="1" ht="24" customHeight="1">
      <c r="A54" s="1564"/>
      <c r="B54" s="1565" t="s">
        <v>1340</v>
      </c>
      <c r="C54" s="1533"/>
      <c r="D54" s="1534"/>
      <c r="E54" s="825">
        <v>15</v>
      </c>
      <c r="F54" s="1567" t="s">
        <v>226</v>
      </c>
      <c r="G54" s="1516">
        <v>259</v>
      </c>
      <c r="H54" s="1264">
        <f t="shared" ref="H54" si="6">ROUND(E54*G54,)</f>
        <v>3885</v>
      </c>
      <c r="I54" s="1299">
        <v>110</v>
      </c>
      <c r="J54" s="1264">
        <f t="shared" si="4"/>
        <v>1650</v>
      </c>
      <c r="K54" s="1273">
        <f t="shared" si="5"/>
        <v>5535</v>
      </c>
      <c r="L54" s="2082" t="s">
        <v>2667</v>
      </c>
      <c r="N54" s="1199">
        <v>1554.48</v>
      </c>
      <c r="O54" s="1199">
        <f>ROUND(N54/6,)</f>
        <v>259</v>
      </c>
    </row>
    <row r="55" spans="1:15" s="1199" customFormat="1" ht="24" customHeight="1">
      <c r="A55" s="1564"/>
      <c r="B55" s="1565" t="s">
        <v>1719</v>
      </c>
      <c r="C55" s="1533"/>
      <c r="D55" s="1534"/>
      <c r="E55" s="1686">
        <v>1</v>
      </c>
      <c r="F55" s="1402" t="s">
        <v>1104</v>
      </c>
      <c r="G55" s="1661">
        <f>ROUND(SUM(H53:H54)*50%,)</f>
        <v>2253</v>
      </c>
      <c r="H55" s="1264">
        <f>ROUND(E55*G55,)</f>
        <v>2253</v>
      </c>
      <c r="I55" s="1589">
        <f>ROUND(G55*0.3,)</f>
        <v>676</v>
      </c>
      <c r="J55" s="1264">
        <f>ROUND(I55*E55,)</f>
        <v>676</v>
      </c>
      <c r="K55" s="1273">
        <f>H55+J55</f>
        <v>2929</v>
      </c>
      <c r="L55" s="1382"/>
    </row>
    <row r="56" spans="1:15" s="1199" customFormat="1" ht="24" customHeight="1">
      <c r="A56" s="1564"/>
      <c r="B56" s="1565" t="s">
        <v>1720</v>
      </c>
      <c r="C56" s="1533"/>
      <c r="D56" s="1534"/>
      <c r="E56" s="1686">
        <v>1</v>
      </c>
      <c r="F56" s="1402" t="s">
        <v>1104</v>
      </c>
      <c r="G56" s="1661">
        <f>ROUND(SUM(H53:H54)*20%,)</f>
        <v>901</v>
      </c>
      <c r="H56" s="1264">
        <f>ROUND(E56*G56,)</f>
        <v>901</v>
      </c>
      <c r="I56" s="1589">
        <f>ROUND(G56*0.3,)</f>
        <v>270</v>
      </c>
      <c r="J56" s="1264">
        <f>ROUND(I56*E56,)</f>
        <v>270</v>
      </c>
      <c r="K56" s="1273">
        <f>H56+J56</f>
        <v>1171</v>
      </c>
      <c r="L56" s="1382"/>
    </row>
    <row r="57" spans="1:15" s="1199" customFormat="1" ht="24" customHeight="1">
      <c r="A57" s="1564"/>
      <c r="B57" s="1565" t="s">
        <v>1721</v>
      </c>
      <c r="C57" s="1533"/>
      <c r="D57" s="1534"/>
      <c r="E57" s="1686">
        <v>1</v>
      </c>
      <c r="F57" s="1402" t="s">
        <v>1104</v>
      </c>
      <c r="G57" s="1661">
        <f>ROUND(SUM(H53:H54)*10%,)</f>
        <v>451</v>
      </c>
      <c r="H57" s="1264">
        <f>ROUND(E57*G57,)</f>
        <v>451</v>
      </c>
      <c r="I57" s="1589">
        <f>ROUND(G57*0.3,)</f>
        <v>135</v>
      </c>
      <c r="J57" s="1264">
        <f>ROUND(I57*E57,)</f>
        <v>135</v>
      </c>
      <c r="K57" s="1273">
        <f>H57+J57</f>
        <v>586</v>
      </c>
      <c r="L57" s="1382"/>
    </row>
    <row r="58" spans="1:15" s="1199" customFormat="1" ht="24" customHeight="1">
      <c r="A58" s="1564"/>
      <c r="B58" s="1597" t="s">
        <v>1117</v>
      </c>
      <c r="C58" s="1533"/>
      <c r="D58" s="1534"/>
      <c r="E58" s="1566"/>
      <c r="F58" s="1567"/>
      <c r="G58" s="1516"/>
      <c r="H58" s="1264"/>
      <c r="I58" s="1265"/>
      <c r="J58" s="1264"/>
      <c r="K58" s="1273"/>
      <c r="L58" s="1638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974549</v>
      </c>
      <c r="I59" s="1582"/>
      <c r="J59" s="1581">
        <f>SUM(J37:J58)</f>
        <v>422362</v>
      </c>
      <c r="K59" s="1583">
        <f>SUM(K37:K58)</f>
        <v>1396911</v>
      </c>
      <c r="L59" s="1583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382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73"/>
      <c r="C75" s="1533"/>
      <c r="D75" s="1653"/>
      <c r="E75" s="1566"/>
      <c r="F75" s="1623"/>
      <c r="G75" s="1516"/>
      <c r="H75" s="1298"/>
      <c r="I75" s="1299"/>
      <c r="J75" s="1298"/>
      <c r="K75" s="1382"/>
      <c r="L75" s="1638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SUM(H61:H75)</f>
        <v>212932</v>
      </c>
      <c r="I76" s="1582"/>
      <c r="J76" s="1581">
        <f>SUM(J61:J75)</f>
        <v>14000</v>
      </c>
      <c r="K76" s="1583">
        <f>SUM(K61:K75)</f>
        <v>226932</v>
      </c>
      <c r="L76" s="1583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58"/>
      <c r="H77" s="1298"/>
      <c r="I77" s="1299"/>
      <c r="J77" s="1298"/>
      <c r="K77" s="1382"/>
      <c r="L77" s="1382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657</v>
      </c>
      <c r="F78" s="1676" t="s">
        <v>363</v>
      </c>
      <c r="G78" s="1558">
        <v>110</v>
      </c>
      <c r="H78" s="1264">
        <f>ROUND(E78*G78,)</f>
        <v>72270</v>
      </c>
      <c r="I78" s="1299">
        <v>75</v>
      </c>
      <c r="J78" s="1264">
        <f>ROUND(I78*E78,)</f>
        <v>49275</v>
      </c>
      <c r="K78" s="1273">
        <f>H78+J78</f>
        <v>121545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58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/>
      <c r="F80" s="1676" t="s">
        <v>363</v>
      </c>
      <c r="G80" s="1558">
        <v>800</v>
      </c>
      <c r="H80" s="1264">
        <f>ROUND(E80*G80,)</f>
        <v>0</v>
      </c>
      <c r="I80" s="1299">
        <v>50</v>
      </c>
      <c r="J80" s="1264">
        <f>ROUND(I80*E80,)</f>
        <v>0</v>
      </c>
      <c r="K80" s="1273">
        <f>H80+J80</f>
        <v>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47</v>
      </c>
      <c r="F81" s="1676" t="s">
        <v>363</v>
      </c>
      <c r="G81" s="1558">
        <v>110</v>
      </c>
      <c r="H81" s="1264">
        <f>ROUND(E81*G81,)</f>
        <v>5170</v>
      </c>
      <c r="I81" s="1299">
        <v>50</v>
      </c>
      <c r="J81" s="1264">
        <f>ROUND(I81*E81,)</f>
        <v>2350</v>
      </c>
      <c r="K81" s="1273">
        <f>H81+J81</f>
        <v>7520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558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58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77440</v>
      </c>
      <c r="I84" s="1582"/>
      <c r="J84" s="1581">
        <f>SUM(J78:J83)</f>
        <v>51625</v>
      </c>
      <c r="K84" s="1583">
        <f>SUM(K78:K83)</f>
        <v>129065</v>
      </c>
      <c r="L84" s="1583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502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4</v>
      </c>
      <c r="F87" s="1564" t="s">
        <v>363</v>
      </c>
      <c r="G87" s="1558">
        <v>6500</v>
      </c>
      <c r="H87" s="1264">
        <f t="shared" ref="H87:H92" si="7">ROUND(E87*G87,)</f>
        <v>26000</v>
      </c>
      <c r="I87" s="1265">
        <f>G87*0.3</f>
        <v>1950</v>
      </c>
      <c r="J87" s="1264">
        <f>ROUND(I87*E87,)</f>
        <v>7800</v>
      </c>
      <c r="K87" s="1273">
        <f t="shared" ref="K87:K92" si="8">H87+J87</f>
        <v>33800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4</v>
      </c>
      <c r="F88" s="1572" t="s">
        <v>363</v>
      </c>
      <c r="G88" s="1694">
        <v>1200</v>
      </c>
      <c r="H88" s="1264">
        <f t="shared" si="7"/>
        <v>4800</v>
      </c>
      <c r="I88" s="1265" t="s">
        <v>1683</v>
      </c>
      <c r="J88" s="1264"/>
      <c r="K88" s="1273">
        <f t="shared" si="8"/>
        <v>4800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4</v>
      </c>
      <c r="F89" s="1564" t="s">
        <v>363</v>
      </c>
      <c r="G89" s="1558">
        <v>19200</v>
      </c>
      <c r="H89" s="1264">
        <f t="shared" si="7"/>
        <v>76800</v>
      </c>
      <c r="I89" s="1265" t="s">
        <v>1683</v>
      </c>
      <c r="J89" s="1264"/>
      <c r="K89" s="1273">
        <f t="shared" si="8"/>
        <v>76800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4</v>
      </c>
      <c r="F90" s="1564" t="s">
        <v>363</v>
      </c>
      <c r="G90" s="1558">
        <v>4910</v>
      </c>
      <c r="H90" s="1264">
        <f t="shared" si="7"/>
        <v>19640</v>
      </c>
      <c r="I90" s="1265" t="s">
        <v>1683</v>
      </c>
      <c r="J90" s="1264"/>
      <c r="K90" s="1273">
        <f t="shared" si="8"/>
        <v>19640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4</v>
      </c>
      <c r="F91" s="1564" t="s">
        <v>363</v>
      </c>
      <c r="G91" s="1558">
        <v>1420</v>
      </c>
      <c r="H91" s="1264">
        <f t="shared" si="7"/>
        <v>5680</v>
      </c>
      <c r="I91" s="1265" t="s">
        <v>1683</v>
      </c>
      <c r="J91" s="1264"/>
      <c r="K91" s="1273">
        <f t="shared" si="8"/>
        <v>5680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4</v>
      </c>
      <c r="F92" s="1564" t="s">
        <v>363</v>
      </c>
      <c r="G92" s="1558">
        <v>720</v>
      </c>
      <c r="H92" s="1264">
        <f t="shared" si="7"/>
        <v>2880</v>
      </c>
      <c r="I92" s="1265" t="s">
        <v>1683</v>
      </c>
      <c r="J92" s="1264"/>
      <c r="K92" s="1273">
        <f t="shared" si="8"/>
        <v>2880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4</v>
      </c>
      <c r="F101" s="1564" t="s">
        <v>363</v>
      </c>
      <c r="G101" s="1558">
        <v>1000</v>
      </c>
      <c r="H101" s="1264">
        <f>ROUND(E101*G101,)</f>
        <v>4000</v>
      </c>
      <c r="I101" s="1695">
        <v>200</v>
      </c>
      <c r="J101" s="1264">
        <f>ROUND(I101*E101,)</f>
        <v>800</v>
      </c>
      <c r="K101" s="1273">
        <f>H101+J101</f>
        <v>4800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1117</v>
      </c>
      <c r="C104" s="1533"/>
      <c r="D104" s="1534"/>
      <c r="E104" s="1566"/>
      <c r="F104" s="1564"/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/>
      <c r="C105" s="1533"/>
      <c r="D105" s="1534"/>
      <c r="E105" s="1566"/>
      <c r="F105" s="1564"/>
      <c r="G105" s="1558"/>
      <c r="H105" s="1264"/>
      <c r="I105" s="1695"/>
      <c r="J105" s="1264"/>
      <c r="K105" s="1687"/>
      <c r="L105" s="1687"/>
    </row>
    <row r="106" spans="1:12" s="1199" customFormat="1" ht="24" customHeight="1">
      <c r="A106" s="1564"/>
      <c r="B106" s="1565"/>
      <c r="C106" s="1533"/>
      <c r="D106" s="1534"/>
      <c r="E106" s="1566"/>
      <c r="F106" s="1564"/>
      <c r="G106" s="1558"/>
      <c r="H106" s="1264"/>
      <c r="I106" s="1695"/>
      <c r="J106" s="1264"/>
      <c r="K106" s="1687"/>
      <c r="L106" s="1687"/>
    </row>
    <row r="107" spans="1:12" s="1199" customFormat="1" ht="24" customHeight="1">
      <c r="A107" s="1564"/>
      <c r="B107" s="1565"/>
      <c r="C107" s="1533"/>
      <c r="D107" s="1534"/>
      <c r="E107" s="1566"/>
      <c r="F107" s="1564"/>
      <c r="G107" s="1558"/>
      <c r="H107" s="1264"/>
      <c r="I107" s="1695"/>
      <c r="J107" s="1264"/>
      <c r="K107" s="1687"/>
      <c r="L107" s="1687"/>
    </row>
    <row r="108" spans="1:12" s="1199" customFormat="1" ht="24" customHeight="1">
      <c r="A108" s="1564"/>
      <c r="B108" s="1565"/>
      <c r="C108" s="1533"/>
      <c r="D108" s="1534"/>
      <c r="E108" s="1566"/>
      <c r="F108" s="1564"/>
      <c r="G108" s="1558"/>
      <c r="H108" s="1264"/>
      <c r="I108" s="1695"/>
      <c r="J108" s="1264"/>
      <c r="K108" s="1687"/>
      <c r="L108" s="168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209000</v>
      </c>
      <c r="I109" s="1582"/>
      <c r="J109" s="1581">
        <f>SUM(J86:J108)</f>
        <v>12890</v>
      </c>
      <c r="K109" s="1583">
        <f>SUM(K86:K108)</f>
        <v>221890</v>
      </c>
      <c r="L109" s="1583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502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273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382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382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382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382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382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382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583"/>
    </row>
    <row r="119" spans="1:12" s="1199" customFormat="1" ht="24" customHeight="1">
      <c r="A119" s="1637">
        <v>6.6</v>
      </c>
      <c r="B119" s="1636" t="s">
        <v>1424</v>
      </c>
      <c r="C119" s="1622"/>
      <c r="D119" s="1623"/>
      <c r="E119" s="1624">
        <v>1</v>
      </c>
      <c r="F119" s="1637" t="s">
        <v>1104</v>
      </c>
      <c r="G119" s="1708" t="s">
        <v>1952</v>
      </c>
      <c r="H119" s="1264"/>
      <c r="I119" s="1299"/>
      <c r="J119" s="1264">
        <f>ROUND(I119*E119,)</f>
        <v>0</v>
      </c>
      <c r="K119" s="1273">
        <f>H119+J119</f>
        <v>0</v>
      </c>
      <c r="L119" s="1382"/>
    </row>
    <row r="120" spans="1:12" s="1199" customFormat="1" ht="24" customHeight="1">
      <c r="A120" s="1637"/>
      <c r="B120" s="1636"/>
      <c r="C120" s="1622"/>
      <c r="D120" s="1623"/>
      <c r="E120" s="1624"/>
      <c r="F120" s="1637"/>
      <c r="G120" s="1357"/>
      <c r="H120" s="1264"/>
      <c r="I120" s="1299"/>
      <c r="J120" s="1264"/>
      <c r="K120" s="1273"/>
      <c r="L120" s="1382"/>
    </row>
    <row r="121" spans="1:12" s="1199" customFormat="1" ht="24" customHeight="1">
      <c r="A121" s="1637"/>
      <c r="B121" s="1636"/>
      <c r="C121" s="1622"/>
      <c r="D121" s="1623"/>
      <c r="E121" s="1624"/>
      <c r="F121" s="1637"/>
      <c r="G121" s="1357"/>
      <c r="H121" s="1264"/>
      <c r="I121" s="1299"/>
      <c r="J121" s="1264"/>
      <c r="K121" s="1273"/>
      <c r="L121" s="1382"/>
    </row>
    <row r="122" spans="1:12" s="1199" customFormat="1" ht="24" customHeight="1">
      <c r="A122" s="1637"/>
      <c r="B122" s="1636"/>
      <c r="C122" s="1622"/>
      <c r="D122" s="1623"/>
      <c r="E122" s="1624"/>
      <c r="F122" s="1637"/>
      <c r="G122" s="1357"/>
      <c r="H122" s="1264"/>
      <c r="I122" s="1299"/>
      <c r="J122" s="1264"/>
      <c r="K122" s="1273"/>
      <c r="L122" s="1382"/>
    </row>
    <row r="123" spans="1:12" s="1199" customFormat="1" ht="24" customHeight="1">
      <c r="A123" s="1637"/>
      <c r="B123" s="1636"/>
      <c r="C123" s="1622"/>
      <c r="D123" s="1623"/>
      <c r="E123" s="1624"/>
      <c r="F123" s="1637"/>
      <c r="G123" s="1357"/>
      <c r="H123" s="1264"/>
      <c r="I123" s="1299"/>
      <c r="J123" s="1264"/>
      <c r="K123" s="1273"/>
      <c r="L123" s="1382"/>
    </row>
    <row r="124" spans="1:12" s="1199" customFormat="1" ht="24" customHeight="1">
      <c r="A124" s="1637"/>
      <c r="B124" s="1636"/>
      <c r="C124" s="1622"/>
      <c r="D124" s="1623"/>
      <c r="E124" s="1624"/>
      <c r="F124" s="1637"/>
      <c r="G124" s="1357"/>
      <c r="H124" s="1264"/>
      <c r="I124" s="1299"/>
      <c r="J124" s="1264"/>
      <c r="K124" s="1273"/>
      <c r="L124" s="1382"/>
    </row>
    <row r="125" spans="1:12" s="1199" customFormat="1" ht="24" customHeight="1">
      <c r="A125" s="1637"/>
      <c r="B125" s="1636"/>
      <c r="C125" s="1622"/>
      <c r="D125" s="1623"/>
      <c r="E125" s="1624"/>
      <c r="F125" s="1637"/>
      <c r="G125" s="1357"/>
      <c r="H125" s="1264"/>
      <c r="I125" s="1299"/>
      <c r="J125" s="1264"/>
      <c r="K125" s="1273"/>
      <c r="L125" s="1382"/>
    </row>
    <row r="126" spans="1:12" s="1199" customFormat="1" ht="24" customHeight="1">
      <c r="A126" s="1637"/>
      <c r="B126" s="1636"/>
      <c r="C126" s="1622"/>
      <c r="D126" s="1623"/>
      <c r="E126" s="1624"/>
      <c r="F126" s="1637"/>
      <c r="G126" s="1357"/>
      <c r="H126" s="1264"/>
      <c r="I126" s="1299"/>
      <c r="J126" s="1264"/>
      <c r="K126" s="1273"/>
      <c r="L126" s="1382"/>
    </row>
    <row r="127" spans="1:12" s="1199" customFormat="1" ht="24" customHeight="1">
      <c r="A127" s="1637"/>
      <c r="B127" s="1636"/>
      <c r="C127" s="1622"/>
      <c r="D127" s="1623"/>
      <c r="E127" s="1624"/>
      <c r="F127" s="1637"/>
      <c r="G127" s="1357"/>
      <c r="H127" s="1264"/>
      <c r="I127" s="1299"/>
      <c r="J127" s="1264"/>
      <c r="K127" s="1273"/>
      <c r="L127" s="1382"/>
    </row>
    <row r="128" spans="1:12" s="1199" customFormat="1" ht="24" customHeight="1">
      <c r="A128" s="1637"/>
      <c r="B128" s="1636"/>
      <c r="C128" s="1622"/>
      <c r="D128" s="1623"/>
      <c r="E128" s="1624"/>
      <c r="F128" s="1637"/>
      <c r="G128" s="1357"/>
      <c r="H128" s="1264"/>
      <c r="I128" s="1299"/>
      <c r="J128" s="1264"/>
      <c r="K128" s="1273"/>
      <c r="L128" s="1382"/>
    </row>
    <row r="129" spans="1:12" s="1199" customFormat="1" ht="24" customHeight="1">
      <c r="A129" s="1637"/>
      <c r="B129" s="1636"/>
      <c r="C129" s="1622"/>
      <c r="D129" s="1623"/>
      <c r="E129" s="1624"/>
      <c r="F129" s="1637"/>
      <c r="G129" s="1357"/>
      <c r="H129" s="1264"/>
      <c r="I129" s="1299"/>
      <c r="J129" s="1264"/>
      <c r="K129" s="1273"/>
      <c r="L129" s="1382"/>
    </row>
    <row r="130" spans="1:12" s="1199" customFormat="1" ht="24" customHeight="1">
      <c r="A130" s="1637"/>
      <c r="B130" s="1636"/>
      <c r="C130" s="1622"/>
      <c r="D130" s="1623"/>
      <c r="E130" s="1624"/>
      <c r="F130" s="1637"/>
      <c r="G130" s="1357"/>
      <c r="H130" s="1264"/>
      <c r="I130" s="1299"/>
      <c r="J130" s="1264"/>
      <c r="K130" s="1273"/>
      <c r="L130" s="1382"/>
    </row>
    <row r="131" spans="1:12" s="1199" customFormat="1" ht="24" customHeight="1">
      <c r="A131" s="1637"/>
      <c r="B131" s="1636"/>
      <c r="C131" s="1622"/>
      <c r="D131" s="1623"/>
      <c r="E131" s="1624"/>
      <c r="F131" s="1637"/>
      <c r="G131" s="1357"/>
      <c r="H131" s="1264"/>
      <c r="I131" s="1299"/>
      <c r="J131" s="1264"/>
      <c r="K131" s="1273"/>
      <c r="L131" s="1382"/>
    </row>
    <row r="132" spans="1:12" s="1199" customFormat="1" ht="24" customHeight="1">
      <c r="A132" s="1637"/>
      <c r="B132" s="1636"/>
      <c r="C132" s="1622"/>
      <c r="D132" s="1623"/>
      <c r="E132" s="1624"/>
      <c r="F132" s="1637"/>
      <c r="G132" s="1357"/>
      <c r="H132" s="1264"/>
      <c r="I132" s="1299"/>
      <c r="J132" s="1264"/>
      <c r="K132" s="1273"/>
      <c r="L132" s="1382"/>
    </row>
    <row r="133" spans="1:12" s="1199" customFormat="1" ht="24" customHeight="1">
      <c r="A133" s="1637"/>
      <c r="B133" s="1636"/>
      <c r="C133" s="1622"/>
      <c r="D133" s="1623"/>
      <c r="E133" s="1624"/>
      <c r="F133" s="1637"/>
      <c r="G133" s="1357"/>
      <c r="H133" s="1264"/>
      <c r="I133" s="1299"/>
      <c r="J133" s="1264"/>
      <c r="K133" s="1273"/>
      <c r="L133" s="1382"/>
    </row>
    <row r="134" spans="1:12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583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7-อาคารด้านทิศตะวันตก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17078-6A2D-4814-A0EF-3B42AA325ABF}">
  <sheetPr>
    <tabColor rgb="FFF42CBB"/>
  </sheetPr>
  <dimension ref="A1:O156"/>
  <sheetViews>
    <sheetView showGridLines="0" view="pageBreakPreview" topLeftCell="A121" zoomScale="80" zoomScaleNormal="60" zoomScaleSheetLayoutView="8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" customWidth="1"/>
    <col min="13" max="13" width="10.29296875" style="1" customWidth="1"/>
    <col min="14" max="14" width="12.29296875" style="1" customWidth="1"/>
    <col min="15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1975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972996</v>
      </c>
      <c r="I12" s="1197"/>
      <c r="J12" s="1196">
        <f>J59</f>
        <v>421719</v>
      </c>
      <c r="K12" s="1553">
        <f t="shared" ref="K12:K17" si="0">SUM(H12:J12)</f>
        <v>1394715</v>
      </c>
      <c r="L12" s="1531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531"/>
    </row>
    <row r="14" spans="1:12" s="1199" customFormat="1" ht="24" customHeight="1">
      <c r="A14" s="1564" t="str">
        <f>A77</f>
        <v>6.3</v>
      </c>
      <c r="B14" s="1565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77440</v>
      </c>
      <c r="I14" s="1197"/>
      <c r="J14" s="1196">
        <f>J84</f>
        <v>51675</v>
      </c>
      <c r="K14" s="1553">
        <f t="shared" si="0"/>
        <v>129115</v>
      </c>
      <c r="L14" s="1531"/>
    </row>
    <row r="15" spans="1:12" s="1199" customFormat="1" ht="24" customHeight="1">
      <c r="A15" s="1564">
        <f>A85</f>
        <v>6.4</v>
      </c>
      <c r="B15" s="1565" t="str">
        <f>B85</f>
        <v>ตู้ดับเพลิงและถังดับเพลิงชนิดมือถือ (Fire Hose Cabinet &amp; Portable Fire Extinguisher)</v>
      </c>
      <c r="C15" s="1533"/>
      <c r="D15" s="1534"/>
      <c r="E15" s="1569">
        <v>1</v>
      </c>
      <c r="F15" s="1567" t="s">
        <v>19</v>
      </c>
      <c r="G15" s="1195"/>
      <c r="H15" s="1196">
        <f>H109</f>
        <v>209000</v>
      </c>
      <c r="I15" s="1197"/>
      <c r="J15" s="1196">
        <f>J109</f>
        <v>12890</v>
      </c>
      <c r="K15" s="1553">
        <f t="shared" si="0"/>
        <v>221890</v>
      </c>
      <c r="L15" s="1531"/>
    </row>
    <row r="16" spans="1:12" s="1199" customFormat="1" ht="24" customHeight="1">
      <c r="A16" s="1564" t="str">
        <f>A110</f>
        <v>6.5</v>
      </c>
      <c r="B16" s="1565" t="str">
        <f>B110</f>
        <v>ระบบไฟฟ้าและควบคุม (Electrical &amp; Control System) สำหรับระบบป้องกันอัคคีภัย</v>
      </c>
      <c r="C16" s="1533"/>
      <c r="D16" s="1534"/>
      <c r="E16" s="1566">
        <v>1</v>
      </c>
      <c r="F16" s="1567" t="s">
        <v>19</v>
      </c>
      <c r="G16" s="1195"/>
      <c r="H16" s="1196">
        <f>H118</f>
        <v>42560</v>
      </c>
      <c r="I16" s="1197"/>
      <c r="J16" s="1196">
        <f>J118</f>
        <v>4256</v>
      </c>
      <c r="K16" s="1553">
        <f t="shared" si="0"/>
        <v>46816</v>
      </c>
      <c r="L16" s="1531"/>
    </row>
    <row r="17" spans="1:12" s="1199" customFormat="1" ht="24" customHeight="1">
      <c r="A17" s="1564">
        <f>A119</f>
        <v>6.6</v>
      </c>
      <c r="B17" s="1565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2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2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8</v>
      </c>
      <c r="C34" s="2258"/>
      <c r="D34" s="2259"/>
      <c r="E34" s="1579"/>
      <c r="F34" s="1579"/>
      <c r="G34" s="1580"/>
      <c r="H34" s="1581">
        <f>SUM(H12:H33)</f>
        <v>1514928</v>
      </c>
      <c r="I34" s="1582"/>
      <c r="J34" s="1581">
        <f>SUM(J12:J33)</f>
        <v>504540</v>
      </c>
      <c r="K34" s="1583">
        <f>SUM(K12:K33)</f>
        <v>2019468</v>
      </c>
      <c r="L34" s="1583"/>
    </row>
    <row r="35" spans="1:12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382"/>
    </row>
    <row r="36" spans="1:12" s="1199" customFormat="1" ht="24" customHeight="1">
      <c r="A36" s="1620" t="s">
        <v>1899</v>
      </c>
      <c r="B36" s="1568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273"/>
    </row>
    <row r="37" spans="1:12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2" s="1199" customFormat="1" ht="24" customHeight="1">
      <c r="A38" s="1564"/>
      <c r="B38" s="1565" t="s">
        <v>1901</v>
      </c>
      <c r="C38" s="1533"/>
      <c r="D38" s="1534"/>
      <c r="E38" s="1688">
        <v>1700</v>
      </c>
      <c r="F38" s="1567" t="s">
        <v>226</v>
      </c>
      <c r="G38" s="1516">
        <v>78</v>
      </c>
      <c r="H38" s="1264">
        <f t="shared" ref="H38:H51" si="1">ROUND(E38*G38,)</f>
        <v>132600</v>
      </c>
      <c r="I38" s="1265">
        <v>45</v>
      </c>
      <c r="J38" s="1264">
        <f t="shared" ref="J38:J51" si="2">ROUND(I38*E38,)</f>
        <v>76500</v>
      </c>
      <c r="K38" s="1273">
        <f t="shared" ref="K38:K51" si="3">H38+J38</f>
        <v>209100</v>
      </c>
      <c r="L38" s="1273"/>
    </row>
    <row r="39" spans="1:12" s="1199" customFormat="1" ht="24" customHeight="1">
      <c r="A39" s="1564"/>
      <c r="B39" s="1565" t="s">
        <v>1338</v>
      </c>
      <c r="C39" s="1533"/>
      <c r="D39" s="1534"/>
      <c r="E39" s="1688">
        <v>246</v>
      </c>
      <c r="F39" s="1567" t="s">
        <v>226</v>
      </c>
      <c r="G39" s="1516">
        <v>105</v>
      </c>
      <c r="H39" s="1264">
        <f t="shared" si="1"/>
        <v>25830</v>
      </c>
      <c r="I39" s="1299">
        <v>60</v>
      </c>
      <c r="J39" s="1264">
        <f t="shared" si="2"/>
        <v>14760</v>
      </c>
      <c r="K39" s="1273">
        <f t="shared" si="3"/>
        <v>40590</v>
      </c>
      <c r="L39" s="1382"/>
    </row>
    <row r="40" spans="1:12" s="1199" customFormat="1" ht="24" customHeight="1">
      <c r="A40" s="1564"/>
      <c r="B40" s="1565" t="s">
        <v>1339</v>
      </c>
      <c r="C40" s="1533"/>
      <c r="D40" s="1534"/>
      <c r="E40" s="1688">
        <v>192</v>
      </c>
      <c r="F40" s="1567" t="s">
        <v>226</v>
      </c>
      <c r="G40" s="1661">
        <v>126</v>
      </c>
      <c r="H40" s="1264">
        <f t="shared" si="1"/>
        <v>24192</v>
      </c>
      <c r="I40" s="1589">
        <v>70</v>
      </c>
      <c r="J40" s="1264">
        <f t="shared" si="2"/>
        <v>13440</v>
      </c>
      <c r="K40" s="1273">
        <f t="shared" si="3"/>
        <v>37632</v>
      </c>
      <c r="L40" s="1382"/>
    </row>
    <row r="41" spans="1:12" s="1199" customFormat="1" ht="24" customHeight="1">
      <c r="A41" s="1564"/>
      <c r="B41" s="1565" t="s">
        <v>1340</v>
      </c>
      <c r="C41" s="1533"/>
      <c r="D41" s="1534"/>
      <c r="E41" s="1688">
        <v>193</v>
      </c>
      <c r="F41" s="1567" t="s">
        <v>226</v>
      </c>
      <c r="G41" s="1661">
        <v>169</v>
      </c>
      <c r="H41" s="1264">
        <f t="shared" si="1"/>
        <v>32617</v>
      </c>
      <c r="I41" s="1589">
        <v>95</v>
      </c>
      <c r="J41" s="1264">
        <f t="shared" si="2"/>
        <v>18335</v>
      </c>
      <c r="K41" s="1273">
        <f t="shared" si="3"/>
        <v>50952</v>
      </c>
      <c r="L41" s="1382"/>
    </row>
    <row r="42" spans="1:12" s="1199" customFormat="1" ht="24" customHeight="1">
      <c r="A42" s="1564"/>
      <c r="B42" s="1565" t="s">
        <v>1341</v>
      </c>
      <c r="C42" s="1533"/>
      <c r="D42" s="1534"/>
      <c r="E42" s="1688">
        <v>143</v>
      </c>
      <c r="F42" s="1567" t="s">
        <v>226</v>
      </c>
      <c r="G42" s="1661">
        <v>268</v>
      </c>
      <c r="H42" s="1264">
        <f t="shared" si="1"/>
        <v>38324</v>
      </c>
      <c r="I42" s="1589">
        <v>150</v>
      </c>
      <c r="J42" s="1264">
        <f t="shared" si="2"/>
        <v>21450</v>
      </c>
      <c r="K42" s="1273">
        <f t="shared" si="3"/>
        <v>59774</v>
      </c>
      <c r="L42" s="1382"/>
    </row>
    <row r="43" spans="1:12" s="1199" customFormat="1" ht="24" customHeight="1">
      <c r="A43" s="1564"/>
      <c r="B43" s="1565" t="s">
        <v>1342</v>
      </c>
      <c r="C43" s="1533"/>
      <c r="D43" s="1534"/>
      <c r="E43" s="1688">
        <v>79</v>
      </c>
      <c r="F43" s="1567" t="s">
        <v>226</v>
      </c>
      <c r="G43" s="1661">
        <v>350</v>
      </c>
      <c r="H43" s="1264">
        <f t="shared" si="1"/>
        <v>27650</v>
      </c>
      <c r="I43" s="1589">
        <v>200</v>
      </c>
      <c r="J43" s="1264">
        <f t="shared" si="2"/>
        <v>15800</v>
      </c>
      <c r="K43" s="1273">
        <f t="shared" si="3"/>
        <v>43450</v>
      </c>
      <c r="L43" s="1382"/>
    </row>
    <row r="44" spans="1:12" s="1199" customFormat="1" ht="24" customHeight="1">
      <c r="A44" s="1564"/>
      <c r="B44" s="1565" t="s">
        <v>1759</v>
      </c>
      <c r="C44" s="1533"/>
      <c r="D44" s="1534"/>
      <c r="E44" s="1688">
        <v>224</v>
      </c>
      <c r="F44" s="1567" t="s">
        <v>226</v>
      </c>
      <c r="G44" s="1661">
        <v>499</v>
      </c>
      <c r="H44" s="1264">
        <f t="shared" si="1"/>
        <v>111776</v>
      </c>
      <c r="I44" s="1589">
        <v>280</v>
      </c>
      <c r="J44" s="1264">
        <f t="shared" si="2"/>
        <v>62720</v>
      </c>
      <c r="K44" s="1273">
        <f t="shared" si="3"/>
        <v>174496</v>
      </c>
      <c r="L44" s="1382"/>
    </row>
    <row r="45" spans="1:12" s="1199" customFormat="1" ht="24" customHeight="1">
      <c r="A45" s="1564"/>
      <c r="B45" s="1565" t="s">
        <v>1754</v>
      </c>
      <c r="C45" s="1533"/>
      <c r="D45" s="1534"/>
      <c r="E45" s="1688">
        <v>102</v>
      </c>
      <c r="F45" s="1567" t="s">
        <v>226</v>
      </c>
      <c r="G45" s="1661">
        <v>877</v>
      </c>
      <c r="H45" s="1264">
        <f t="shared" si="1"/>
        <v>89454</v>
      </c>
      <c r="I45" s="1589">
        <v>500</v>
      </c>
      <c r="J45" s="1264">
        <f t="shared" si="2"/>
        <v>51000</v>
      </c>
      <c r="K45" s="1273">
        <f t="shared" si="3"/>
        <v>140454</v>
      </c>
      <c r="L45" s="1382"/>
    </row>
    <row r="46" spans="1:12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2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2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192977</v>
      </c>
      <c r="H48" s="1264">
        <f t="shared" si="1"/>
        <v>192977</v>
      </c>
      <c r="I48" s="1589">
        <f>ROUND(G48*0.3,)</f>
        <v>57893</v>
      </c>
      <c r="J48" s="1264">
        <f t="shared" si="2"/>
        <v>57893</v>
      </c>
      <c r="K48" s="1273">
        <f t="shared" si="3"/>
        <v>250870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96489</v>
      </c>
      <c r="H49" s="1264">
        <f t="shared" si="1"/>
        <v>96489</v>
      </c>
      <c r="I49" s="1589">
        <f>ROUND(G49*0.3,)</f>
        <v>28947</v>
      </c>
      <c r="J49" s="1264">
        <f t="shared" si="2"/>
        <v>28947</v>
      </c>
      <c r="K49" s="1273">
        <f t="shared" si="3"/>
        <v>125436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48244</v>
      </c>
      <c r="H50" s="1264">
        <f t="shared" si="1"/>
        <v>48244</v>
      </c>
      <c r="I50" s="1589">
        <f>ROUND(G50*0.3,)</f>
        <v>14473</v>
      </c>
      <c r="J50" s="1264">
        <f t="shared" si="2"/>
        <v>14473</v>
      </c>
      <c r="K50" s="1273">
        <f t="shared" si="3"/>
        <v>62717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144733</v>
      </c>
      <c r="H51" s="1264">
        <f t="shared" si="1"/>
        <v>144733</v>
      </c>
      <c r="I51" s="1589">
        <f>ROUND(G51*0.3,)</f>
        <v>43420</v>
      </c>
      <c r="J51" s="1264">
        <f t="shared" si="2"/>
        <v>43420</v>
      </c>
      <c r="K51" s="1273">
        <f t="shared" si="3"/>
        <v>188153</v>
      </c>
      <c r="L51" s="1382"/>
    </row>
    <row r="52" spans="1:15" s="1199" customFormat="1" ht="24" customHeight="1">
      <c r="A52" s="1564" t="s">
        <v>1868</v>
      </c>
      <c r="B52" s="1565" t="s">
        <v>1869</v>
      </c>
      <c r="C52" s="1533"/>
      <c r="D52" s="1534"/>
      <c r="E52" s="1566"/>
      <c r="F52" s="1567"/>
      <c r="G52" s="1516"/>
      <c r="H52" s="1298"/>
      <c r="I52" s="1299"/>
      <c r="J52" s="1298"/>
      <c r="K52" s="1382"/>
      <c r="L52" s="1382"/>
    </row>
    <row r="53" spans="1:15" s="1199" customFormat="1" ht="24" customHeight="1">
      <c r="A53" s="1564"/>
      <c r="B53" s="1565" t="s">
        <v>1901</v>
      </c>
      <c r="C53" s="1533"/>
      <c r="D53" s="1534"/>
      <c r="E53" s="825">
        <v>5</v>
      </c>
      <c r="F53" s="1567" t="s">
        <v>226</v>
      </c>
      <c r="G53" s="1516">
        <v>124</v>
      </c>
      <c r="H53" s="1264">
        <f>ROUND(E53*G53,)</f>
        <v>620</v>
      </c>
      <c r="I53" s="1265">
        <v>50</v>
      </c>
      <c r="J53" s="1264">
        <f t="shared" ref="J53:J54" si="4">ROUND(I53*E53,)</f>
        <v>250</v>
      </c>
      <c r="K53" s="1273">
        <f t="shared" ref="K53:K54" si="5">H53+J53</f>
        <v>870</v>
      </c>
      <c r="L53" s="2082" t="s">
        <v>2667</v>
      </c>
      <c r="N53" s="1199">
        <v>745.96</v>
      </c>
      <c r="O53" s="1199">
        <f>ROUND(N53/6,)</f>
        <v>124</v>
      </c>
    </row>
    <row r="54" spans="1:15" s="1199" customFormat="1" ht="24" customHeight="1">
      <c r="A54" s="1564"/>
      <c r="B54" s="1565" t="s">
        <v>1340</v>
      </c>
      <c r="C54" s="1533"/>
      <c r="D54" s="1534"/>
      <c r="E54" s="825">
        <v>15</v>
      </c>
      <c r="F54" s="1567" t="s">
        <v>226</v>
      </c>
      <c r="G54" s="1516">
        <v>259</v>
      </c>
      <c r="H54" s="1264">
        <f t="shared" ref="H54" si="6">ROUND(E54*G54,)</f>
        <v>3885</v>
      </c>
      <c r="I54" s="1299">
        <v>110</v>
      </c>
      <c r="J54" s="1264">
        <f t="shared" si="4"/>
        <v>1650</v>
      </c>
      <c r="K54" s="1273">
        <f t="shared" si="5"/>
        <v>5535</v>
      </c>
      <c r="L54" s="2082" t="s">
        <v>2667</v>
      </c>
      <c r="N54" s="1199">
        <v>1554.48</v>
      </c>
      <c r="O54" s="1199">
        <f>ROUND(N54/6,)</f>
        <v>259</v>
      </c>
    </row>
    <row r="55" spans="1:15" s="1199" customFormat="1" ht="24" customHeight="1">
      <c r="A55" s="1564"/>
      <c r="B55" s="1565" t="s">
        <v>1719</v>
      </c>
      <c r="C55" s="1533"/>
      <c r="D55" s="1534"/>
      <c r="E55" s="1686">
        <v>1</v>
      </c>
      <c r="F55" s="1402" t="s">
        <v>1104</v>
      </c>
      <c r="G55" s="1661">
        <f>ROUND(SUM(H53:H54)*50%,)</f>
        <v>2253</v>
      </c>
      <c r="H55" s="1264">
        <f>ROUND(E55*G55,)</f>
        <v>2253</v>
      </c>
      <c r="I55" s="1589">
        <f>ROUND(G55*0.3,)</f>
        <v>676</v>
      </c>
      <c r="J55" s="1264">
        <f>ROUND(I55*E55,)</f>
        <v>676</v>
      </c>
      <c r="K55" s="1273">
        <f>H55+J55</f>
        <v>2929</v>
      </c>
      <c r="L55" s="1382"/>
    </row>
    <row r="56" spans="1:15" s="1199" customFormat="1" ht="24" customHeight="1">
      <c r="A56" s="1564"/>
      <c r="B56" s="1565" t="s">
        <v>1720</v>
      </c>
      <c r="C56" s="1533"/>
      <c r="D56" s="1534"/>
      <c r="E56" s="1686">
        <v>1</v>
      </c>
      <c r="F56" s="1402" t="s">
        <v>1104</v>
      </c>
      <c r="G56" s="1661">
        <f>ROUND(SUM(H53:H54)*20%,)</f>
        <v>901</v>
      </c>
      <c r="H56" s="1264">
        <f>ROUND(E56*G56,)</f>
        <v>901</v>
      </c>
      <c r="I56" s="1589">
        <f>ROUND(G56*0.3,)</f>
        <v>270</v>
      </c>
      <c r="J56" s="1264">
        <f>ROUND(I56*E56,)</f>
        <v>270</v>
      </c>
      <c r="K56" s="1273">
        <f>H56+J56</f>
        <v>1171</v>
      </c>
      <c r="L56" s="1382"/>
    </row>
    <row r="57" spans="1:15" s="1199" customFormat="1" ht="24" customHeight="1">
      <c r="A57" s="1564"/>
      <c r="B57" s="1565" t="s">
        <v>1721</v>
      </c>
      <c r="C57" s="1533"/>
      <c r="D57" s="1534"/>
      <c r="E57" s="1686">
        <v>1</v>
      </c>
      <c r="F57" s="1402" t="s">
        <v>1104</v>
      </c>
      <c r="G57" s="1661">
        <f>ROUND(SUM(H53:H54)*10%,)</f>
        <v>451</v>
      </c>
      <c r="H57" s="1264">
        <f>ROUND(E57*G57,)</f>
        <v>451</v>
      </c>
      <c r="I57" s="1589">
        <f>ROUND(G57*0.3,)</f>
        <v>135</v>
      </c>
      <c r="J57" s="1264">
        <f>ROUND(I57*E57,)</f>
        <v>135</v>
      </c>
      <c r="K57" s="1273">
        <f>H57+J57</f>
        <v>586</v>
      </c>
      <c r="L57" s="1382"/>
    </row>
    <row r="58" spans="1:15" s="1199" customFormat="1" ht="24" customHeight="1">
      <c r="A58" s="1564"/>
      <c r="B58" s="1597" t="s">
        <v>1117</v>
      </c>
      <c r="C58" s="1533"/>
      <c r="D58" s="1534"/>
      <c r="E58" s="1566"/>
      <c r="F58" s="1567"/>
      <c r="G58" s="1516"/>
      <c r="H58" s="1264"/>
      <c r="I58" s="1265"/>
      <c r="J58" s="1264"/>
      <c r="K58" s="1273"/>
      <c r="L58" s="1638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972996</v>
      </c>
      <c r="I59" s="1582"/>
      <c r="J59" s="1581">
        <f>SUM(J37:J58)</f>
        <v>421719</v>
      </c>
      <c r="K59" s="1583">
        <f>SUM(K37:K58)</f>
        <v>1394715</v>
      </c>
      <c r="L59" s="1583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382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65" t="s">
        <v>1896</v>
      </c>
      <c r="C75" s="1533"/>
      <c r="D75" s="1534"/>
      <c r="E75" s="1566"/>
      <c r="F75" s="1567"/>
      <c r="G75" s="1516"/>
      <c r="H75" s="1298"/>
      <c r="I75" s="1299"/>
      <c r="J75" s="1298"/>
      <c r="K75" s="1382"/>
      <c r="L75" s="1382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SUM(H61:H75)</f>
        <v>212932</v>
      </c>
      <c r="I76" s="1582"/>
      <c r="J76" s="1581">
        <f>SUM(J61:J75)</f>
        <v>14000</v>
      </c>
      <c r="K76" s="1583">
        <f>SUM(K61:K75)</f>
        <v>226932</v>
      </c>
      <c r="L76" s="1583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58"/>
      <c r="H77" s="1298"/>
      <c r="I77" s="1299"/>
      <c r="J77" s="1298"/>
      <c r="K77" s="1382"/>
      <c r="L77" s="1382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659</v>
      </c>
      <c r="F78" s="1676" t="s">
        <v>363</v>
      </c>
      <c r="G78" s="1558">
        <v>110</v>
      </c>
      <c r="H78" s="1264">
        <f>ROUND(E78*G78,)</f>
        <v>72490</v>
      </c>
      <c r="I78" s="1299">
        <v>75</v>
      </c>
      <c r="J78" s="1264">
        <f>ROUND(I78*E78,)</f>
        <v>49425</v>
      </c>
      <c r="K78" s="1273">
        <f>H78+J78</f>
        <v>121915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58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/>
      <c r="F80" s="1676" t="s">
        <v>363</v>
      </c>
      <c r="G80" s="1558">
        <v>800</v>
      </c>
      <c r="H80" s="1264">
        <f>ROUND(E80*G80,)</f>
        <v>0</v>
      </c>
      <c r="I80" s="1299">
        <v>50</v>
      </c>
      <c r="J80" s="1264">
        <f>ROUND(I80*E80,)</f>
        <v>0</v>
      </c>
      <c r="K80" s="1273">
        <f>H80+J80</f>
        <v>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45</v>
      </c>
      <c r="F81" s="1676" t="s">
        <v>363</v>
      </c>
      <c r="G81" s="1558">
        <v>110</v>
      </c>
      <c r="H81" s="1264">
        <f>ROUND(E81*G81,)</f>
        <v>4950</v>
      </c>
      <c r="I81" s="1299">
        <v>50</v>
      </c>
      <c r="J81" s="1264">
        <f>ROUND(I81*E81,)</f>
        <v>2250</v>
      </c>
      <c r="K81" s="1273">
        <f>H81+J81</f>
        <v>7200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558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58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77440</v>
      </c>
      <c r="I84" s="1582"/>
      <c r="J84" s="1581">
        <f>SUM(J78:J83)</f>
        <v>51675</v>
      </c>
      <c r="K84" s="1583">
        <f>SUM(K78:K83)</f>
        <v>129115</v>
      </c>
      <c r="L84" s="1583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502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4</v>
      </c>
      <c r="F87" s="1564" t="s">
        <v>363</v>
      </c>
      <c r="G87" s="1558">
        <v>6500</v>
      </c>
      <c r="H87" s="1264">
        <f t="shared" ref="H87:H92" si="7">ROUND(E87*G87,)</f>
        <v>26000</v>
      </c>
      <c r="I87" s="1265">
        <f>G87*0.3</f>
        <v>1950</v>
      </c>
      <c r="J87" s="1264">
        <f>ROUND(I87*E87,)</f>
        <v>7800</v>
      </c>
      <c r="K87" s="1273">
        <f t="shared" ref="K87:K92" si="8">H87+J87</f>
        <v>33800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4</v>
      </c>
      <c r="F88" s="1572" t="s">
        <v>363</v>
      </c>
      <c r="G88" s="1694">
        <v>1200</v>
      </c>
      <c r="H88" s="1264">
        <f t="shared" si="7"/>
        <v>4800</v>
      </c>
      <c r="I88" s="1265" t="s">
        <v>1683</v>
      </c>
      <c r="J88" s="1264"/>
      <c r="K88" s="1273">
        <f t="shared" si="8"/>
        <v>4800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4</v>
      </c>
      <c r="F89" s="1564" t="s">
        <v>363</v>
      </c>
      <c r="G89" s="1558">
        <v>19200</v>
      </c>
      <c r="H89" s="1264">
        <f t="shared" si="7"/>
        <v>76800</v>
      </c>
      <c r="I89" s="1265" t="s">
        <v>1683</v>
      </c>
      <c r="J89" s="1264"/>
      <c r="K89" s="1273">
        <f t="shared" si="8"/>
        <v>76800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4</v>
      </c>
      <c r="F90" s="1564" t="s">
        <v>363</v>
      </c>
      <c r="G90" s="1558">
        <v>4910</v>
      </c>
      <c r="H90" s="1264">
        <f t="shared" si="7"/>
        <v>19640</v>
      </c>
      <c r="I90" s="1265" t="s">
        <v>1683</v>
      </c>
      <c r="J90" s="1264"/>
      <c r="K90" s="1273">
        <f t="shared" si="8"/>
        <v>19640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4</v>
      </c>
      <c r="F91" s="1564" t="s">
        <v>363</v>
      </c>
      <c r="G91" s="1558">
        <v>1420</v>
      </c>
      <c r="H91" s="1264">
        <f t="shared" si="7"/>
        <v>5680</v>
      </c>
      <c r="I91" s="1265" t="s">
        <v>1683</v>
      </c>
      <c r="J91" s="1264"/>
      <c r="K91" s="1273">
        <f t="shared" si="8"/>
        <v>5680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4</v>
      </c>
      <c r="F92" s="1564" t="s">
        <v>363</v>
      </c>
      <c r="G92" s="1558">
        <v>720</v>
      </c>
      <c r="H92" s="1264">
        <f t="shared" si="7"/>
        <v>2880</v>
      </c>
      <c r="I92" s="1265" t="s">
        <v>1683</v>
      </c>
      <c r="J92" s="1264"/>
      <c r="K92" s="1273">
        <f t="shared" si="8"/>
        <v>2880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4</v>
      </c>
      <c r="F101" s="1564" t="s">
        <v>363</v>
      </c>
      <c r="G101" s="1558">
        <v>1000</v>
      </c>
      <c r="H101" s="1264">
        <f>ROUND(E101*G101,)</f>
        <v>4000</v>
      </c>
      <c r="I101" s="1695">
        <v>200</v>
      </c>
      <c r="J101" s="1264">
        <f>ROUND(I101*E101,)</f>
        <v>800</v>
      </c>
      <c r="K101" s="1273">
        <f>H101+J101</f>
        <v>4800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1117</v>
      </c>
      <c r="C104" s="1533"/>
      <c r="D104" s="1534"/>
      <c r="E104" s="1566"/>
      <c r="F104" s="1564"/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 t="s">
        <v>1896</v>
      </c>
      <c r="C105" s="1533"/>
      <c r="D105" s="1534"/>
      <c r="E105" s="1566"/>
      <c r="F105" s="1564"/>
      <c r="G105" s="1558"/>
      <c r="H105" s="1264"/>
      <c r="I105" s="1695"/>
      <c r="J105" s="1264"/>
      <c r="K105" s="1273"/>
      <c r="L105" s="1687"/>
    </row>
    <row r="106" spans="1:12" s="1199" customFormat="1" ht="24" customHeight="1">
      <c r="A106" s="1564"/>
      <c r="B106" s="1565"/>
      <c r="C106" s="1533"/>
      <c r="D106" s="1534"/>
      <c r="E106" s="1566"/>
      <c r="F106" s="1564"/>
      <c r="G106" s="1558"/>
      <c r="H106" s="1264"/>
      <c r="I106" s="1695"/>
      <c r="J106" s="1264"/>
      <c r="K106" s="1273"/>
      <c r="L106" s="1687"/>
    </row>
    <row r="107" spans="1:12" s="1199" customFormat="1" ht="24" customHeight="1">
      <c r="A107" s="1564"/>
      <c r="B107" s="1565"/>
      <c r="C107" s="1533"/>
      <c r="D107" s="1534"/>
      <c r="E107" s="1566"/>
      <c r="F107" s="1564"/>
      <c r="G107" s="1558"/>
      <c r="H107" s="1264"/>
      <c r="I107" s="1695"/>
      <c r="J107" s="1264"/>
      <c r="K107" s="1273"/>
      <c r="L107" s="1687"/>
    </row>
    <row r="108" spans="1:12" s="1199" customFormat="1" ht="24" customHeight="1">
      <c r="A108" s="1564"/>
      <c r="B108" s="1565" t="s">
        <v>1896</v>
      </c>
      <c r="C108" s="1533"/>
      <c r="D108" s="1534"/>
      <c r="E108" s="1566"/>
      <c r="F108" s="1564"/>
      <c r="G108" s="1558"/>
      <c r="H108" s="1264"/>
      <c r="I108" s="1695"/>
      <c r="J108" s="1264"/>
      <c r="K108" s="1273"/>
      <c r="L108" s="168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209000</v>
      </c>
      <c r="I109" s="1582"/>
      <c r="J109" s="1581">
        <f>SUM(J86:J108)</f>
        <v>12890</v>
      </c>
      <c r="K109" s="1583">
        <f>SUM(K86:K108)</f>
        <v>221890</v>
      </c>
      <c r="L109" s="1583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502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273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382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382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382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382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382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382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583"/>
    </row>
    <row r="119" spans="1:12" s="1199" customFormat="1" ht="24" customHeight="1">
      <c r="A119" s="1637">
        <v>6.6</v>
      </c>
      <c r="B119" s="1636" t="s">
        <v>1424</v>
      </c>
      <c r="C119" s="1622"/>
      <c r="D119" s="1623"/>
      <c r="E119" s="1624">
        <v>1</v>
      </c>
      <c r="F119" s="1637" t="s">
        <v>1104</v>
      </c>
      <c r="G119" s="1708" t="s">
        <v>1952</v>
      </c>
      <c r="H119" s="1264"/>
      <c r="I119" s="1299"/>
      <c r="J119" s="1264"/>
      <c r="K119" s="1273"/>
      <c r="L119" s="1382"/>
    </row>
    <row r="120" spans="1:12" s="1199" customFormat="1" ht="24" customHeight="1">
      <c r="A120" s="1637"/>
      <c r="B120" s="1636"/>
      <c r="C120" s="1622"/>
      <c r="D120" s="1623"/>
      <c r="E120" s="1624"/>
      <c r="F120" s="1637"/>
      <c r="G120" s="1357"/>
      <c r="H120" s="1264"/>
      <c r="I120" s="1299"/>
      <c r="J120" s="1264"/>
      <c r="K120" s="1273"/>
      <c r="L120" s="1382"/>
    </row>
    <row r="121" spans="1:12" s="1199" customFormat="1" ht="24" customHeight="1">
      <c r="A121" s="1637"/>
      <c r="B121" s="1636"/>
      <c r="C121" s="1622"/>
      <c r="D121" s="1623"/>
      <c r="E121" s="1624"/>
      <c r="F121" s="1637"/>
      <c r="G121" s="1357"/>
      <c r="H121" s="1264"/>
      <c r="I121" s="1299"/>
      <c r="J121" s="1264"/>
      <c r="K121" s="1273"/>
      <c r="L121" s="1382"/>
    </row>
    <row r="122" spans="1:12" s="1199" customFormat="1" ht="24" customHeight="1">
      <c r="A122" s="1637"/>
      <c r="B122" s="1636"/>
      <c r="C122" s="1622"/>
      <c r="D122" s="1623"/>
      <c r="E122" s="1624"/>
      <c r="F122" s="1637"/>
      <c r="G122" s="1357"/>
      <c r="H122" s="1264"/>
      <c r="I122" s="1299"/>
      <c r="J122" s="1264"/>
      <c r="K122" s="1273"/>
      <c r="L122" s="1382"/>
    </row>
    <row r="123" spans="1:12" s="1199" customFormat="1" ht="24" customHeight="1">
      <c r="A123" s="1637"/>
      <c r="B123" s="1636"/>
      <c r="C123" s="1622"/>
      <c r="D123" s="1623"/>
      <c r="E123" s="1624"/>
      <c r="F123" s="1637"/>
      <c r="G123" s="1357"/>
      <c r="H123" s="1264"/>
      <c r="I123" s="1299"/>
      <c r="J123" s="1264"/>
      <c r="K123" s="1273"/>
      <c r="L123" s="1382"/>
    </row>
    <row r="124" spans="1:12" s="1199" customFormat="1" ht="24" customHeight="1">
      <c r="A124" s="1637"/>
      <c r="B124" s="1636"/>
      <c r="C124" s="1622"/>
      <c r="D124" s="1623"/>
      <c r="E124" s="1624"/>
      <c r="F124" s="1637"/>
      <c r="G124" s="1357"/>
      <c r="H124" s="1264"/>
      <c r="I124" s="1299"/>
      <c r="J124" s="1264"/>
      <c r="K124" s="1273"/>
      <c r="L124" s="1382"/>
    </row>
    <row r="125" spans="1:12" s="1199" customFormat="1" ht="24" customHeight="1">
      <c r="A125" s="1637"/>
      <c r="B125" s="1636"/>
      <c r="C125" s="1622"/>
      <c r="D125" s="1623"/>
      <c r="E125" s="1624"/>
      <c r="F125" s="1637"/>
      <c r="G125" s="1357"/>
      <c r="H125" s="1264"/>
      <c r="I125" s="1299"/>
      <c r="J125" s="1264"/>
      <c r="K125" s="1273"/>
      <c r="L125" s="1382"/>
    </row>
    <row r="126" spans="1:12" s="1199" customFormat="1" ht="24" customHeight="1">
      <c r="A126" s="1637"/>
      <c r="B126" s="1636"/>
      <c r="C126" s="1622"/>
      <c r="D126" s="1623"/>
      <c r="E126" s="1624"/>
      <c r="F126" s="1637"/>
      <c r="G126" s="1357"/>
      <c r="H126" s="1264"/>
      <c r="I126" s="1299"/>
      <c r="J126" s="1264"/>
      <c r="K126" s="1273"/>
      <c r="L126" s="1382"/>
    </row>
    <row r="127" spans="1:12" s="1199" customFormat="1" ht="24" customHeight="1">
      <c r="A127" s="1637"/>
      <c r="B127" s="1636"/>
      <c r="C127" s="1622"/>
      <c r="D127" s="1623"/>
      <c r="E127" s="1624"/>
      <c r="F127" s="1637"/>
      <c r="G127" s="1357"/>
      <c r="H127" s="1264"/>
      <c r="I127" s="1299"/>
      <c r="J127" s="1264"/>
      <c r="K127" s="1273"/>
      <c r="L127" s="1382"/>
    </row>
    <row r="128" spans="1:12" s="1199" customFormat="1" ht="24" customHeight="1">
      <c r="A128" s="1637"/>
      <c r="B128" s="1636"/>
      <c r="C128" s="1622"/>
      <c r="D128" s="1623"/>
      <c r="E128" s="1624"/>
      <c r="F128" s="1637"/>
      <c r="G128" s="1357"/>
      <c r="H128" s="1264"/>
      <c r="I128" s="1299"/>
      <c r="J128" s="1264"/>
      <c r="K128" s="1273"/>
      <c r="L128" s="1382"/>
    </row>
    <row r="129" spans="1:12" s="1199" customFormat="1" ht="24" customHeight="1">
      <c r="A129" s="1637"/>
      <c r="B129" s="1636"/>
      <c r="C129" s="1622"/>
      <c r="D129" s="1623"/>
      <c r="E129" s="1624"/>
      <c r="F129" s="1637"/>
      <c r="G129" s="1357"/>
      <c r="H129" s="1264"/>
      <c r="I129" s="1299"/>
      <c r="J129" s="1264"/>
      <c r="K129" s="1273"/>
      <c r="L129" s="1382"/>
    </row>
    <row r="130" spans="1:12" s="1199" customFormat="1" ht="24" customHeight="1">
      <c r="A130" s="1637"/>
      <c r="B130" s="1636"/>
      <c r="C130" s="1622"/>
      <c r="D130" s="1623"/>
      <c r="E130" s="1624"/>
      <c r="F130" s="1637"/>
      <c r="G130" s="1357"/>
      <c r="H130" s="1264"/>
      <c r="I130" s="1299"/>
      <c r="J130" s="1264"/>
      <c r="K130" s="1273"/>
      <c r="L130" s="1382"/>
    </row>
    <row r="131" spans="1:12" s="1199" customFormat="1" ht="24" customHeight="1">
      <c r="A131" s="1637"/>
      <c r="B131" s="1636"/>
      <c r="C131" s="1622"/>
      <c r="D131" s="1623"/>
      <c r="E131" s="1624"/>
      <c r="F131" s="1637"/>
      <c r="G131" s="1357"/>
      <c r="H131" s="1264"/>
      <c r="I131" s="1299"/>
      <c r="J131" s="1264"/>
      <c r="K131" s="1273"/>
      <c r="L131" s="1382"/>
    </row>
    <row r="132" spans="1:12" s="1199" customFormat="1" ht="24" customHeight="1">
      <c r="A132" s="1637"/>
      <c r="B132" s="1636"/>
      <c r="C132" s="1622"/>
      <c r="D132" s="1623"/>
      <c r="E132" s="1624"/>
      <c r="F132" s="1637"/>
      <c r="G132" s="1357"/>
      <c r="H132" s="1264"/>
      <c r="I132" s="1299"/>
      <c r="J132" s="1264"/>
      <c r="K132" s="1273"/>
      <c r="L132" s="1382"/>
    </row>
    <row r="133" spans="1:12" s="1199" customFormat="1" ht="24" customHeight="1">
      <c r="A133" s="1637"/>
      <c r="B133" s="1636"/>
      <c r="C133" s="1622"/>
      <c r="D133" s="1623"/>
      <c r="E133" s="1624"/>
      <c r="F133" s="1637"/>
      <c r="G133" s="1357"/>
      <c r="H133" s="1264"/>
      <c r="I133" s="1299"/>
      <c r="J133" s="1264"/>
      <c r="K133" s="1273"/>
      <c r="L133" s="1382"/>
    </row>
    <row r="134" spans="1:12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583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8-อาคารด้านทิศตะวันตก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BF8-754A-4487-A9D8-317DA1A9853C}">
  <sheetPr>
    <tabColor rgb="FFF42CBB"/>
  </sheetPr>
  <dimension ref="A1:Q156"/>
  <sheetViews>
    <sheetView showGridLines="0" view="pageBreakPreview" topLeftCell="A115" zoomScale="80" zoomScaleNormal="60" zoomScaleSheetLayoutView="80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5859375" style="1" customWidth="1"/>
    <col min="13" max="13" width="11.29296875" style="1" customWidth="1"/>
    <col min="14" max="14" width="12.87890625" style="1" customWidth="1"/>
    <col min="15" max="89" width="7.703125" style="1" customWidth="1"/>
    <col min="90" max="16384" width="9" style="1"/>
  </cols>
  <sheetData>
    <row r="1" spans="1:17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7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7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7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7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7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7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7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7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7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7" ht="24" customHeight="1">
      <c r="A11" s="1560" t="s">
        <v>26</v>
      </c>
      <c r="B11" s="1561" t="s">
        <v>1976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7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937090</v>
      </c>
      <c r="I12" s="1197"/>
      <c r="J12" s="1196">
        <f>J59</f>
        <v>406188</v>
      </c>
      <c r="K12" s="1553">
        <f t="shared" ref="K12:K17" si="0">SUM(H12:J12)</f>
        <v>1343278</v>
      </c>
      <c r="L12" s="1531"/>
    </row>
    <row r="13" spans="1:17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531"/>
    </row>
    <row r="14" spans="1:17" s="1199" customFormat="1" ht="24" customHeight="1">
      <c r="A14" s="1564" t="str">
        <f>A77</f>
        <v>6.3</v>
      </c>
      <c r="B14" s="1565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79970</v>
      </c>
      <c r="I14" s="1197"/>
      <c r="J14" s="1196">
        <f>J84</f>
        <v>53375</v>
      </c>
      <c r="K14" s="1553">
        <f t="shared" si="0"/>
        <v>133345</v>
      </c>
      <c r="L14" s="1531"/>
    </row>
    <row r="15" spans="1:17" s="1199" customFormat="1" ht="24" customHeight="1">
      <c r="A15" s="1564">
        <f>A85</f>
        <v>6.4</v>
      </c>
      <c r="B15" s="1565" t="str">
        <f>B85</f>
        <v>ตู้ดับเพลิงและถังดับเพลิงชนิดมือถือ (Fire Hose Cabinet &amp; Portable Fire Extinguisher)</v>
      </c>
      <c r="C15" s="1533"/>
      <c r="D15" s="1534"/>
      <c r="E15" s="1569">
        <v>1</v>
      </c>
      <c r="F15" s="1567" t="s">
        <v>19</v>
      </c>
      <c r="G15" s="1195"/>
      <c r="H15" s="1196">
        <f>H109</f>
        <v>209000</v>
      </c>
      <c r="I15" s="1197"/>
      <c r="J15" s="1196">
        <f>J109</f>
        <v>12890</v>
      </c>
      <c r="K15" s="1553">
        <f t="shared" si="0"/>
        <v>221890</v>
      </c>
      <c r="L15" s="1531"/>
    </row>
    <row r="16" spans="1:17" s="1199" customFormat="1" ht="24" customHeight="1">
      <c r="A16" s="1564" t="str">
        <f>A110</f>
        <v>6.5</v>
      </c>
      <c r="B16" s="1565" t="str">
        <f>B110</f>
        <v>ระบบไฟฟ้าและควบคุม (Electrical &amp; Control System) สำหรับระบบป้องกันอัคคีภัย</v>
      </c>
      <c r="C16" s="1533"/>
      <c r="D16" s="1534"/>
      <c r="E16" s="1566">
        <v>1</v>
      </c>
      <c r="F16" s="1567" t="s">
        <v>19</v>
      </c>
      <c r="G16" s="1195"/>
      <c r="H16" s="1196">
        <f>H118</f>
        <v>42560</v>
      </c>
      <c r="I16" s="1197"/>
      <c r="J16" s="1196">
        <f>J118</f>
        <v>4256</v>
      </c>
      <c r="K16" s="1553">
        <f t="shared" si="0"/>
        <v>46816</v>
      </c>
      <c r="L16" s="1531"/>
      <c r="Q16" s="1199" t="s">
        <v>1977</v>
      </c>
    </row>
    <row r="17" spans="1:12" s="1199" customFormat="1" ht="24" customHeight="1">
      <c r="A17" s="1564">
        <f>A119</f>
        <v>6.6</v>
      </c>
      <c r="B17" s="1565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2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2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9</v>
      </c>
      <c r="C34" s="2258"/>
      <c r="D34" s="2259"/>
      <c r="E34" s="1579"/>
      <c r="F34" s="1579"/>
      <c r="G34" s="1580"/>
      <c r="H34" s="1581">
        <f>SUM(H12:H33)</f>
        <v>1481552</v>
      </c>
      <c r="I34" s="1582"/>
      <c r="J34" s="1581">
        <f>SUM(J12:J33)</f>
        <v>490709</v>
      </c>
      <c r="K34" s="1583">
        <f>SUM(K12:K33)</f>
        <v>1972261</v>
      </c>
      <c r="L34" s="1583"/>
    </row>
    <row r="35" spans="1:12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382"/>
    </row>
    <row r="36" spans="1:12" s="1199" customFormat="1" ht="24" customHeight="1">
      <c r="A36" s="1620" t="s">
        <v>1899</v>
      </c>
      <c r="B36" s="1568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273"/>
    </row>
    <row r="37" spans="1:12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2" s="1199" customFormat="1" ht="24" customHeight="1">
      <c r="A38" s="1564"/>
      <c r="B38" s="1565" t="s">
        <v>1901</v>
      </c>
      <c r="C38" s="1533"/>
      <c r="D38" s="1534"/>
      <c r="E38" s="1688">
        <v>1637</v>
      </c>
      <c r="F38" s="1567" t="s">
        <v>226</v>
      </c>
      <c r="G38" s="1516">
        <v>78</v>
      </c>
      <c r="H38" s="1264">
        <f t="shared" ref="H38:H51" si="1">ROUND(E38*G38,)</f>
        <v>127686</v>
      </c>
      <c r="I38" s="1265">
        <v>45</v>
      </c>
      <c r="J38" s="1264">
        <f t="shared" ref="J38:J51" si="2">ROUND(I38*E38,)</f>
        <v>73665</v>
      </c>
      <c r="K38" s="1273">
        <f t="shared" ref="K38:K51" si="3">H38+J38</f>
        <v>201351</v>
      </c>
      <c r="L38" s="1273"/>
    </row>
    <row r="39" spans="1:12" s="1199" customFormat="1" ht="24" customHeight="1">
      <c r="A39" s="1564"/>
      <c r="B39" s="1565" t="s">
        <v>1338</v>
      </c>
      <c r="C39" s="1533"/>
      <c r="D39" s="1534"/>
      <c r="E39" s="1688">
        <v>285</v>
      </c>
      <c r="F39" s="1567" t="s">
        <v>226</v>
      </c>
      <c r="G39" s="1516">
        <v>105</v>
      </c>
      <c r="H39" s="1264">
        <f t="shared" si="1"/>
        <v>29925</v>
      </c>
      <c r="I39" s="1299">
        <v>60</v>
      </c>
      <c r="J39" s="1264">
        <f t="shared" si="2"/>
        <v>17100</v>
      </c>
      <c r="K39" s="1273">
        <f t="shared" si="3"/>
        <v>47025</v>
      </c>
      <c r="L39" s="1382"/>
    </row>
    <row r="40" spans="1:12" s="1199" customFormat="1" ht="24" customHeight="1">
      <c r="A40" s="1564"/>
      <c r="B40" s="1565" t="s">
        <v>1339</v>
      </c>
      <c r="C40" s="1533"/>
      <c r="D40" s="1534"/>
      <c r="E40" s="1688">
        <v>244</v>
      </c>
      <c r="F40" s="1567" t="s">
        <v>226</v>
      </c>
      <c r="G40" s="1661">
        <v>126</v>
      </c>
      <c r="H40" s="1264">
        <f t="shared" si="1"/>
        <v>30744</v>
      </c>
      <c r="I40" s="1589">
        <v>70</v>
      </c>
      <c r="J40" s="1264">
        <f t="shared" si="2"/>
        <v>17080</v>
      </c>
      <c r="K40" s="1273">
        <f t="shared" si="3"/>
        <v>47824</v>
      </c>
      <c r="L40" s="1382"/>
    </row>
    <row r="41" spans="1:12" s="1199" customFormat="1" ht="24" customHeight="1">
      <c r="A41" s="1564"/>
      <c r="B41" s="1565" t="s">
        <v>1340</v>
      </c>
      <c r="C41" s="1533"/>
      <c r="D41" s="1534"/>
      <c r="E41" s="1688">
        <v>215</v>
      </c>
      <c r="F41" s="1567" t="s">
        <v>226</v>
      </c>
      <c r="G41" s="1661">
        <v>169</v>
      </c>
      <c r="H41" s="1264">
        <f t="shared" si="1"/>
        <v>36335</v>
      </c>
      <c r="I41" s="1589">
        <v>95</v>
      </c>
      <c r="J41" s="1264">
        <f t="shared" si="2"/>
        <v>20425</v>
      </c>
      <c r="K41" s="1273">
        <f t="shared" si="3"/>
        <v>56760</v>
      </c>
      <c r="L41" s="1382"/>
    </row>
    <row r="42" spans="1:12" s="1199" customFormat="1" ht="24" customHeight="1">
      <c r="A42" s="1564"/>
      <c r="B42" s="1565" t="s">
        <v>1341</v>
      </c>
      <c r="C42" s="1533"/>
      <c r="D42" s="1534"/>
      <c r="E42" s="1688">
        <v>185</v>
      </c>
      <c r="F42" s="1567" t="s">
        <v>226</v>
      </c>
      <c r="G42" s="1661">
        <v>268</v>
      </c>
      <c r="H42" s="1264">
        <f t="shared" si="1"/>
        <v>49580</v>
      </c>
      <c r="I42" s="1589">
        <v>150</v>
      </c>
      <c r="J42" s="1264">
        <f t="shared" si="2"/>
        <v>27750</v>
      </c>
      <c r="K42" s="1273">
        <f t="shared" si="3"/>
        <v>77330</v>
      </c>
      <c r="L42" s="1382"/>
    </row>
    <row r="43" spans="1:12" s="1199" customFormat="1" ht="24" customHeight="1">
      <c r="A43" s="1564"/>
      <c r="B43" s="1565" t="s">
        <v>1342</v>
      </c>
      <c r="C43" s="1533"/>
      <c r="D43" s="1534"/>
      <c r="E43" s="1688">
        <v>122</v>
      </c>
      <c r="F43" s="1567" t="s">
        <v>226</v>
      </c>
      <c r="G43" s="1661">
        <v>350</v>
      </c>
      <c r="H43" s="1264">
        <f t="shared" si="1"/>
        <v>42700</v>
      </c>
      <c r="I43" s="1589">
        <v>200</v>
      </c>
      <c r="J43" s="1264">
        <f t="shared" si="2"/>
        <v>24400</v>
      </c>
      <c r="K43" s="1273">
        <f t="shared" si="3"/>
        <v>67100</v>
      </c>
      <c r="L43" s="1382"/>
    </row>
    <row r="44" spans="1:12" s="1199" customFormat="1" ht="24" customHeight="1">
      <c r="A44" s="1564"/>
      <c r="B44" s="1565" t="s">
        <v>1759</v>
      </c>
      <c r="C44" s="1533"/>
      <c r="D44" s="1534"/>
      <c r="E44" s="1688">
        <v>148</v>
      </c>
      <c r="F44" s="1567" t="s">
        <v>226</v>
      </c>
      <c r="G44" s="1661">
        <v>499</v>
      </c>
      <c r="H44" s="1264">
        <f t="shared" si="1"/>
        <v>73852</v>
      </c>
      <c r="I44" s="1589">
        <v>280</v>
      </c>
      <c r="J44" s="1264">
        <f t="shared" si="2"/>
        <v>41440</v>
      </c>
      <c r="K44" s="1273">
        <f t="shared" si="3"/>
        <v>115292</v>
      </c>
      <c r="L44" s="1382"/>
    </row>
    <row r="45" spans="1:12" s="1199" customFormat="1" ht="24" customHeight="1">
      <c r="A45" s="1564"/>
      <c r="B45" s="1565" t="s">
        <v>1754</v>
      </c>
      <c r="C45" s="1533"/>
      <c r="D45" s="1534"/>
      <c r="E45" s="1688">
        <v>84</v>
      </c>
      <c r="F45" s="1567" t="s">
        <v>226</v>
      </c>
      <c r="G45" s="1661">
        <v>877</v>
      </c>
      <c r="H45" s="1264">
        <f t="shared" si="1"/>
        <v>73668</v>
      </c>
      <c r="I45" s="1589">
        <v>500</v>
      </c>
      <c r="J45" s="1264">
        <f t="shared" si="2"/>
        <v>42000</v>
      </c>
      <c r="K45" s="1273">
        <f t="shared" si="3"/>
        <v>115668</v>
      </c>
      <c r="L45" s="1382"/>
    </row>
    <row r="46" spans="1:12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2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2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185796</v>
      </c>
      <c r="H48" s="1264">
        <f t="shared" si="1"/>
        <v>185796</v>
      </c>
      <c r="I48" s="1589">
        <f>ROUND(G48*0.3,)</f>
        <v>55739</v>
      </c>
      <c r="J48" s="1264">
        <f t="shared" si="2"/>
        <v>55739</v>
      </c>
      <c r="K48" s="1273">
        <f t="shared" si="3"/>
        <v>241535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92898</v>
      </c>
      <c r="H49" s="1264">
        <f t="shared" si="1"/>
        <v>92898</v>
      </c>
      <c r="I49" s="1589">
        <f>ROUND(G49*0.3,)</f>
        <v>27869</v>
      </c>
      <c r="J49" s="1264">
        <f t="shared" si="2"/>
        <v>27869</v>
      </c>
      <c r="K49" s="1273">
        <f t="shared" si="3"/>
        <v>120767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46449</v>
      </c>
      <c r="H50" s="1264">
        <f t="shared" si="1"/>
        <v>46449</v>
      </c>
      <c r="I50" s="1589">
        <f>ROUND(G50*0.3,)</f>
        <v>13935</v>
      </c>
      <c r="J50" s="1264">
        <f t="shared" si="2"/>
        <v>13935</v>
      </c>
      <c r="K50" s="1273">
        <f t="shared" si="3"/>
        <v>60384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139347</v>
      </c>
      <c r="H51" s="1264">
        <f t="shared" si="1"/>
        <v>139347</v>
      </c>
      <c r="I51" s="1589">
        <f>ROUND(G51*0.3,)</f>
        <v>41804</v>
      </c>
      <c r="J51" s="1264">
        <f t="shared" si="2"/>
        <v>41804</v>
      </c>
      <c r="K51" s="1273">
        <f t="shared" si="3"/>
        <v>181151</v>
      </c>
      <c r="L51" s="1382"/>
    </row>
    <row r="52" spans="1:15" s="1199" customFormat="1" ht="24" customHeight="1">
      <c r="A52" s="1564" t="s">
        <v>1868</v>
      </c>
      <c r="B52" s="1565" t="s">
        <v>1869</v>
      </c>
      <c r="C52" s="1533"/>
      <c r="D52" s="1534"/>
      <c r="E52" s="1566"/>
      <c r="F52" s="1567"/>
      <c r="G52" s="1516"/>
      <c r="H52" s="1298"/>
      <c r="I52" s="1299"/>
      <c r="J52" s="1298"/>
      <c r="K52" s="1382"/>
      <c r="L52" s="1382"/>
    </row>
    <row r="53" spans="1:15" s="1199" customFormat="1" ht="24" customHeight="1">
      <c r="A53" s="1564"/>
      <c r="B53" s="1565" t="s">
        <v>1901</v>
      </c>
      <c r="C53" s="1533"/>
      <c r="D53" s="1534"/>
      <c r="E53" s="825">
        <v>5</v>
      </c>
      <c r="F53" s="1567" t="s">
        <v>226</v>
      </c>
      <c r="G53" s="1516">
        <v>124</v>
      </c>
      <c r="H53" s="1264">
        <f>ROUND(E53*G53,)</f>
        <v>620</v>
      </c>
      <c r="I53" s="1265">
        <v>50</v>
      </c>
      <c r="J53" s="1264">
        <f t="shared" ref="J53:J54" si="4">ROUND(I53*E53,)</f>
        <v>250</v>
      </c>
      <c r="K53" s="1273">
        <f t="shared" ref="K53:K54" si="5">H53+J53</f>
        <v>870</v>
      </c>
      <c r="L53" s="2082" t="s">
        <v>2667</v>
      </c>
      <c r="N53" s="1199">
        <v>745.96</v>
      </c>
      <c r="O53" s="1199">
        <f>ROUND(N53/6,)</f>
        <v>124</v>
      </c>
    </row>
    <row r="54" spans="1:15" s="1199" customFormat="1" ht="24" customHeight="1">
      <c r="A54" s="1564"/>
      <c r="B54" s="1565" t="s">
        <v>1340</v>
      </c>
      <c r="C54" s="1533"/>
      <c r="D54" s="1534"/>
      <c r="E54" s="825">
        <v>15</v>
      </c>
      <c r="F54" s="1567" t="s">
        <v>226</v>
      </c>
      <c r="G54" s="1516">
        <v>259</v>
      </c>
      <c r="H54" s="1264">
        <f t="shared" ref="H54" si="6">ROUND(E54*G54,)</f>
        <v>3885</v>
      </c>
      <c r="I54" s="1299">
        <v>110</v>
      </c>
      <c r="J54" s="1264">
        <f t="shared" si="4"/>
        <v>1650</v>
      </c>
      <c r="K54" s="1273">
        <f t="shared" si="5"/>
        <v>5535</v>
      </c>
      <c r="L54" s="2082" t="s">
        <v>2667</v>
      </c>
      <c r="N54" s="1199">
        <v>1554.48</v>
      </c>
      <c r="O54" s="1199">
        <f>ROUND(N54/6,)</f>
        <v>259</v>
      </c>
    </row>
    <row r="55" spans="1:15" s="1199" customFormat="1" ht="24" customHeight="1">
      <c r="A55" s="1564"/>
      <c r="B55" s="1565" t="s">
        <v>1719</v>
      </c>
      <c r="C55" s="1533"/>
      <c r="D55" s="1534"/>
      <c r="E55" s="1686">
        <v>1</v>
      </c>
      <c r="F55" s="1402" t="s">
        <v>1104</v>
      </c>
      <c r="G55" s="1661">
        <f>ROUND(SUM(H53:H54)*50%,)</f>
        <v>2253</v>
      </c>
      <c r="H55" s="1264">
        <f>ROUND(E55*G55,)</f>
        <v>2253</v>
      </c>
      <c r="I55" s="1589">
        <f>ROUND(G55*0.3,)</f>
        <v>676</v>
      </c>
      <c r="J55" s="1264">
        <f>ROUND(I55*E55,)</f>
        <v>676</v>
      </c>
      <c r="K55" s="1273">
        <f>H55+J55</f>
        <v>2929</v>
      </c>
      <c r="L55" s="1382"/>
    </row>
    <row r="56" spans="1:15" s="1199" customFormat="1" ht="24" customHeight="1">
      <c r="A56" s="1564"/>
      <c r="B56" s="1565" t="s">
        <v>1720</v>
      </c>
      <c r="C56" s="1533"/>
      <c r="D56" s="1534"/>
      <c r="E56" s="1686">
        <v>1</v>
      </c>
      <c r="F56" s="1402" t="s">
        <v>1104</v>
      </c>
      <c r="G56" s="1661">
        <f>ROUND(SUM(H53:H54)*20%,)</f>
        <v>901</v>
      </c>
      <c r="H56" s="1264">
        <f>ROUND(E56*G56,)</f>
        <v>901</v>
      </c>
      <c r="I56" s="1589">
        <f>ROUND(G56*0.3,)</f>
        <v>270</v>
      </c>
      <c r="J56" s="1264">
        <f>ROUND(I56*E56,)</f>
        <v>270</v>
      </c>
      <c r="K56" s="1273">
        <f>H56+J56</f>
        <v>1171</v>
      </c>
      <c r="L56" s="1382"/>
    </row>
    <row r="57" spans="1:15" s="1199" customFormat="1" ht="24" customHeight="1">
      <c r="A57" s="1564"/>
      <c r="B57" s="1565" t="s">
        <v>1721</v>
      </c>
      <c r="C57" s="1533"/>
      <c r="D57" s="1534"/>
      <c r="E57" s="1686">
        <v>1</v>
      </c>
      <c r="F57" s="1402" t="s">
        <v>1104</v>
      </c>
      <c r="G57" s="1661">
        <f>ROUND(SUM(H53:H54)*10%,)</f>
        <v>451</v>
      </c>
      <c r="H57" s="1264">
        <f>ROUND(E57*G57,)</f>
        <v>451</v>
      </c>
      <c r="I57" s="1589">
        <f>ROUND(G57*0.3,)</f>
        <v>135</v>
      </c>
      <c r="J57" s="1264">
        <f>ROUND(I57*E57,)</f>
        <v>135</v>
      </c>
      <c r="K57" s="1273">
        <f>H57+J57</f>
        <v>586</v>
      </c>
      <c r="L57" s="1382"/>
    </row>
    <row r="58" spans="1:15" s="1199" customFormat="1" ht="24" customHeight="1">
      <c r="A58" s="1564"/>
      <c r="B58" s="1597" t="s">
        <v>1117</v>
      </c>
      <c r="C58" s="1533"/>
      <c r="D58" s="1534"/>
      <c r="E58" s="1566"/>
      <c r="F58" s="1567"/>
      <c r="G58" s="1516"/>
      <c r="H58" s="1264"/>
      <c r="I58" s="1265"/>
      <c r="J58" s="1264"/>
      <c r="K58" s="1273"/>
      <c r="L58" s="1638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937090</v>
      </c>
      <c r="I59" s="1582"/>
      <c r="J59" s="1581">
        <f>SUM(J37:J58)</f>
        <v>406188</v>
      </c>
      <c r="K59" s="1583">
        <f>SUM(K37:K58)</f>
        <v>1343278</v>
      </c>
      <c r="L59" s="1583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382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65" t="s">
        <v>1896</v>
      </c>
      <c r="C75" s="1533"/>
      <c r="D75" s="1534"/>
      <c r="E75" s="1566"/>
      <c r="F75" s="1567"/>
      <c r="G75" s="1516"/>
      <c r="H75" s="1298"/>
      <c r="I75" s="1299"/>
      <c r="J75" s="1298"/>
      <c r="K75" s="1382"/>
      <c r="L75" s="1382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SUM(H62:H75)</f>
        <v>212932</v>
      </c>
      <c r="I76" s="1582"/>
      <c r="J76" s="1581">
        <f>SUM(J62:J75)</f>
        <v>14000</v>
      </c>
      <c r="K76" s="1583">
        <f>SUM(K62:K75)</f>
        <v>226932</v>
      </c>
      <c r="L76" s="1583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694"/>
      <c r="H77" s="1298"/>
      <c r="I77" s="1299"/>
      <c r="J77" s="1298"/>
      <c r="K77" s="1382"/>
      <c r="L77" s="1382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681</v>
      </c>
      <c r="F78" s="1676" t="s">
        <v>363</v>
      </c>
      <c r="G78" s="1694">
        <v>110</v>
      </c>
      <c r="H78" s="1264">
        <f>ROUND(E78*G78,)</f>
        <v>74910</v>
      </c>
      <c r="I78" s="1299">
        <v>75</v>
      </c>
      <c r="J78" s="1264">
        <f>ROUND(I78*E78,)</f>
        <v>51075</v>
      </c>
      <c r="K78" s="1273">
        <f>H78+J78</f>
        <v>125985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694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/>
      <c r="F80" s="1676" t="s">
        <v>363</v>
      </c>
      <c r="G80" s="1694">
        <v>800</v>
      </c>
      <c r="H80" s="1264">
        <f>ROUND(E80*G80,)</f>
        <v>0</v>
      </c>
      <c r="I80" s="1299">
        <v>50</v>
      </c>
      <c r="J80" s="1264">
        <f>ROUND(I80*E80,)</f>
        <v>0</v>
      </c>
      <c r="K80" s="1273">
        <f>H80+J80</f>
        <v>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46</v>
      </c>
      <c r="F81" s="1676" t="s">
        <v>363</v>
      </c>
      <c r="G81" s="1694">
        <v>110</v>
      </c>
      <c r="H81" s="1264">
        <f>ROUND(E81*G81,)</f>
        <v>5060</v>
      </c>
      <c r="I81" s="1299">
        <v>50</v>
      </c>
      <c r="J81" s="1264">
        <f>ROUND(I81*E81,)</f>
        <v>2300</v>
      </c>
      <c r="K81" s="1273">
        <f>H81+J81</f>
        <v>7360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694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694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79970</v>
      </c>
      <c r="I84" s="1582"/>
      <c r="J84" s="1581">
        <f>SUM(J78:J83)</f>
        <v>53375</v>
      </c>
      <c r="K84" s="1583">
        <f>SUM(K78:K83)</f>
        <v>133345</v>
      </c>
      <c r="L84" s="1583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502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4</v>
      </c>
      <c r="F87" s="1564" t="s">
        <v>363</v>
      </c>
      <c r="G87" s="1558">
        <v>6500</v>
      </c>
      <c r="H87" s="1264">
        <f t="shared" ref="H87:H92" si="7">ROUND(E87*G87,)</f>
        <v>26000</v>
      </c>
      <c r="I87" s="1265">
        <f>G87*0.3</f>
        <v>1950</v>
      </c>
      <c r="J87" s="1264">
        <f>ROUND(I87*E87,)</f>
        <v>7800</v>
      </c>
      <c r="K87" s="1273">
        <f t="shared" ref="K87:K92" si="8">H87+J87</f>
        <v>33800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4</v>
      </c>
      <c r="F88" s="1572" t="s">
        <v>363</v>
      </c>
      <c r="G88" s="1694">
        <v>1200</v>
      </c>
      <c r="H88" s="1264">
        <f t="shared" si="7"/>
        <v>4800</v>
      </c>
      <c r="I88" s="1265" t="s">
        <v>1683</v>
      </c>
      <c r="J88" s="1264"/>
      <c r="K88" s="1273">
        <f t="shared" si="8"/>
        <v>4800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4</v>
      </c>
      <c r="F89" s="1564" t="s">
        <v>363</v>
      </c>
      <c r="G89" s="1558">
        <v>19200</v>
      </c>
      <c r="H89" s="1264">
        <f t="shared" si="7"/>
        <v>76800</v>
      </c>
      <c r="I89" s="1265" t="s">
        <v>1683</v>
      </c>
      <c r="J89" s="1264"/>
      <c r="K89" s="1273">
        <f t="shared" si="8"/>
        <v>76800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4</v>
      </c>
      <c r="F90" s="1564" t="s">
        <v>363</v>
      </c>
      <c r="G90" s="1558">
        <v>4910</v>
      </c>
      <c r="H90" s="1264">
        <f t="shared" si="7"/>
        <v>19640</v>
      </c>
      <c r="I90" s="1265" t="s">
        <v>1683</v>
      </c>
      <c r="J90" s="1264"/>
      <c r="K90" s="1273">
        <f t="shared" si="8"/>
        <v>19640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4</v>
      </c>
      <c r="F91" s="1564" t="s">
        <v>363</v>
      </c>
      <c r="G91" s="1558">
        <v>1420</v>
      </c>
      <c r="H91" s="1264">
        <f t="shared" si="7"/>
        <v>5680</v>
      </c>
      <c r="I91" s="1265" t="s">
        <v>1683</v>
      </c>
      <c r="J91" s="1264"/>
      <c r="K91" s="1273">
        <f t="shared" si="8"/>
        <v>5680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4</v>
      </c>
      <c r="F92" s="1564" t="s">
        <v>363</v>
      </c>
      <c r="G92" s="1558">
        <v>720</v>
      </c>
      <c r="H92" s="1264">
        <f t="shared" si="7"/>
        <v>2880</v>
      </c>
      <c r="I92" s="1265" t="s">
        <v>1683</v>
      </c>
      <c r="J92" s="1264"/>
      <c r="K92" s="1273">
        <f t="shared" si="8"/>
        <v>2880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4</v>
      </c>
      <c r="F101" s="1564" t="s">
        <v>363</v>
      </c>
      <c r="G101" s="1558">
        <v>1000</v>
      </c>
      <c r="H101" s="1264">
        <f>ROUND(E101*G101,)</f>
        <v>4000</v>
      </c>
      <c r="I101" s="1695">
        <v>200</v>
      </c>
      <c r="J101" s="1264">
        <f>ROUND(I101*E101,)</f>
        <v>800</v>
      </c>
      <c r="K101" s="1273">
        <f>H101+J101</f>
        <v>4800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1117</v>
      </c>
      <c r="C104" s="1533"/>
      <c r="D104" s="1534"/>
      <c r="E104" s="1566"/>
      <c r="F104" s="1564"/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 t="s">
        <v>1896</v>
      </c>
      <c r="C105" s="1533"/>
      <c r="D105" s="1534"/>
      <c r="E105" s="1566"/>
      <c r="F105" s="1564"/>
      <c r="G105" s="1558"/>
      <c r="H105" s="1264"/>
      <c r="I105" s="1695"/>
      <c r="J105" s="1264"/>
      <c r="K105" s="1687"/>
      <c r="L105" s="1687"/>
    </row>
    <row r="106" spans="1:12" s="1199" customFormat="1" ht="24" customHeight="1">
      <c r="A106" s="1564"/>
      <c r="B106" s="1565"/>
      <c r="C106" s="1533"/>
      <c r="D106" s="1534"/>
      <c r="E106" s="1566"/>
      <c r="F106" s="1564"/>
      <c r="G106" s="1558"/>
      <c r="H106" s="1264"/>
      <c r="I106" s="1695"/>
      <c r="J106" s="1264"/>
      <c r="K106" s="1687"/>
      <c r="L106" s="1687"/>
    </row>
    <row r="107" spans="1:12" s="1199" customFormat="1" ht="24" customHeight="1">
      <c r="A107" s="1564"/>
      <c r="B107" s="1565"/>
      <c r="C107" s="1533"/>
      <c r="D107" s="1534"/>
      <c r="E107" s="1566"/>
      <c r="F107" s="1564"/>
      <c r="G107" s="1558"/>
      <c r="H107" s="1264"/>
      <c r="I107" s="1695"/>
      <c r="J107" s="1264"/>
      <c r="K107" s="1687"/>
      <c r="L107" s="1687"/>
    </row>
    <row r="108" spans="1:12" s="1199" customFormat="1" ht="24" customHeight="1">
      <c r="A108" s="1564"/>
      <c r="B108" s="1565"/>
      <c r="C108" s="1533"/>
      <c r="D108" s="1534"/>
      <c r="E108" s="1566"/>
      <c r="F108" s="1564"/>
      <c r="G108" s="1558"/>
      <c r="H108" s="1264"/>
      <c r="I108" s="1695"/>
      <c r="J108" s="1264"/>
      <c r="K108" s="1687"/>
      <c r="L108" s="168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209000</v>
      </c>
      <c r="I109" s="1582"/>
      <c r="J109" s="1581">
        <f>SUM(J86:J108)</f>
        <v>12890</v>
      </c>
      <c r="K109" s="1583">
        <f>SUM(K86:K108)</f>
        <v>221890</v>
      </c>
      <c r="L109" s="1583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502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273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382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382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382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382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382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382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583"/>
    </row>
    <row r="119" spans="1:12" s="1199" customFormat="1" ht="24" customHeight="1">
      <c r="A119" s="1564">
        <v>6.6</v>
      </c>
      <c r="B119" s="1565" t="s">
        <v>1424</v>
      </c>
      <c r="C119" s="1533"/>
      <c r="D119" s="1534"/>
      <c r="E119" s="1566">
        <v>1</v>
      </c>
      <c r="F119" s="1564" t="s">
        <v>1104</v>
      </c>
      <c r="G119" s="1708" t="s">
        <v>1952</v>
      </c>
      <c r="H119" s="1298"/>
      <c r="I119" s="1299"/>
      <c r="J119" s="1298"/>
      <c r="K119" s="1382"/>
      <c r="L119" s="1382"/>
    </row>
    <row r="120" spans="1:12" s="1199" customFormat="1" ht="24" customHeight="1">
      <c r="A120" s="1564"/>
      <c r="B120" s="1565"/>
      <c r="C120" s="1533"/>
      <c r="D120" s="1534"/>
      <c r="E120" s="1566"/>
      <c r="F120" s="1564"/>
      <c r="G120" s="1516"/>
      <c r="H120" s="1298"/>
      <c r="I120" s="1299"/>
      <c r="J120" s="1298"/>
      <c r="K120" s="1382"/>
      <c r="L120" s="1382"/>
    </row>
    <row r="121" spans="1:12" s="1199" customFormat="1" ht="24" customHeight="1">
      <c r="A121" s="1564"/>
      <c r="B121" s="1565"/>
      <c r="C121" s="1533"/>
      <c r="D121" s="1534"/>
      <c r="E121" s="1566"/>
      <c r="F121" s="1564"/>
      <c r="G121" s="1516"/>
      <c r="H121" s="1298"/>
      <c r="I121" s="1299"/>
      <c r="J121" s="1298"/>
      <c r="K121" s="1382"/>
      <c r="L121" s="1382"/>
    </row>
    <row r="122" spans="1:12" s="1199" customFormat="1" ht="24" customHeight="1">
      <c r="A122" s="1564"/>
      <c r="B122" s="1565"/>
      <c r="C122" s="1533"/>
      <c r="D122" s="1534"/>
      <c r="E122" s="1566"/>
      <c r="F122" s="1564"/>
      <c r="G122" s="1516"/>
      <c r="H122" s="1298"/>
      <c r="I122" s="1299"/>
      <c r="J122" s="1298"/>
      <c r="K122" s="1382"/>
      <c r="L122" s="1382"/>
    </row>
    <row r="123" spans="1:12" s="1199" customFormat="1" ht="24" customHeight="1">
      <c r="A123" s="1564"/>
      <c r="B123" s="1565"/>
      <c r="C123" s="1533"/>
      <c r="D123" s="1534"/>
      <c r="E123" s="1566"/>
      <c r="F123" s="1564"/>
      <c r="G123" s="1516"/>
      <c r="H123" s="1298"/>
      <c r="I123" s="1299"/>
      <c r="J123" s="1298"/>
      <c r="K123" s="1382"/>
      <c r="L123" s="1382"/>
    </row>
    <row r="124" spans="1:12" s="1199" customFormat="1" ht="24" customHeight="1">
      <c r="A124" s="1564"/>
      <c r="B124" s="1565"/>
      <c r="C124" s="1533"/>
      <c r="D124" s="1534"/>
      <c r="E124" s="1566"/>
      <c r="F124" s="1564"/>
      <c r="G124" s="1516"/>
      <c r="H124" s="1298"/>
      <c r="I124" s="1299"/>
      <c r="J124" s="1298"/>
      <c r="K124" s="1382"/>
      <c r="L124" s="1382"/>
    </row>
    <row r="125" spans="1:12" s="1199" customFormat="1" ht="24" customHeight="1">
      <c r="A125" s="1564"/>
      <c r="B125" s="1565"/>
      <c r="C125" s="1533"/>
      <c r="D125" s="1534"/>
      <c r="E125" s="1566"/>
      <c r="F125" s="1564"/>
      <c r="G125" s="1516"/>
      <c r="H125" s="1298"/>
      <c r="I125" s="1299"/>
      <c r="J125" s="1298"/>
      <c r="K125" s="1382"/>
      <c r="L125" s="1382"/>
    </row>
    <row r="126" spans="1:12" s="1199" customFormat="1" ht="24" customHeight="1">
      <c r="A126" s="1564"/>
      <c r="B126" s="1565"/>
      <c r="C126" s="1533"/>
      <c r="D126" s="1534"/>
      <c r="E126" s="1566"/>
      <c r="F126" s="1564"/>
      <c r="G126" s="1516"/>
      <c r="H126" s="1298"/>
      <c r="I126" s="1299"/>
      <c r="J126" s="1298"/>
      <c r="K126" s="1382"/>
      <c r="L126" s="1382"/>
    </row>
    <row r="127" spans="1:12" s="1199" customFormat="1" ht="24" customHeight="1">
      <c r="A127" s="1564"/>
      <c r="B127" s="1565"/>
      <c r="C127" s="1533"/>
      <c r="D127" s="1534"/>
      <c r="E127" s="1566"/>
      <c r="F127" s="1564"/>
      <c r="G127" s="1516"/>
      <c r="H127" s="1298"/>
      <c r="I127" s="1299"/>
      <c r="J127" s="1298"/>
      <c r="K127" s="1382"/>
      <c r="L127" s="1382"/>
    </row>
    <row r="128" spans="1:12" s="1199" customFormat="1" ht="24" customHeight="1">
      <c r="A128" s="1564"/>
      <c r="B128" s="1565"/>
      <c r="C128" s="1533"/>
      <c r="D128" s="1534"/>
      <c r="E128" s="1566"/>
      <c r="F128" s="1564"/>
      <c r="G128" s="1516"/>
      <c r="H128" s="1298"/>
      <c r="I128" s="1299"/>
      <c r="J128" s="1298"/>
      <c r="K128" s="1382"/>
      <c r="L128" s="1382"/>
    </row>
    <row r="129" spans="1:12" s="1199" customFormat="1" ht="24" customHeight="1">
      <c r="A129" s="1564"/>
      <c r="B129" s="1565"/>
      <c r="C129" s="1533"/>
      <c r="D129" s="1534"/>
      <c r="E129" s="1566"/>
      <c r="F129" s="1564"/>
      <c r="G129" s="1516"/>
      <c r="H129" s="1298"/>
      <c r="I129" s="1299"/>
      <c r="J129" s="1298"/>
      <c r="K129" s="1382"/>
      <c r="L129" s="1382"/>
    </row>
    <row r="130" spans="1:12" s="1199" customFormat="1" ht="24" customHeight="1">
      <c r="A130" s="1564"/>
      <c r="B130" s="1565"/>
      <c r="C130" s="1533"/>
      <c r="D130" s="1534"/>
      <c r="E130" s="1566"/>
      <c r="F130" s="1564"/>
      <c r="G130" s="1516"/>
      <c r="H130" s="1298"/>
      <c r="I130" s="1299"/>
      <c r="J130" s="1298"/>
      <c r="K130" s="1382"/>
      <c r="L130" s="1382"/>
    </row>
    <row r="131" spans="1:12" s="1199" customFormat="1" ht="24" customHeight="1">
      <c r="A131" s="1564"/>
      <c r="B131" s="1565"/>
      <c r="C131" s="1533"/>
      <c r="D131" s="1534"/>
      <c r="E131" s="1566"/>
      <c r="F131" s="1564"/>
      <c r="G131" s="1516"/>
      <c r="H131" s="1298"/>
      <c r="I131" s="1299"/>
      <c r="J131" s="1298"/>
      <c r="K131" s="1382"/>
      <c r="L131" s="1382"/>
    </row>
    <row r="132" spans="1:12" s="1199" customFormat="1" ht="24" customHeight="1">
      <c r="A132" s="1564"/>
      <c r="B132" s="1565"/>
      <c r="C132" s="1533"/>
      <c r="D132" s="1534"/>
      <c r="E132" s="1566"/>
      <c r="F132" s="1564"/>
      <c r="G132" s="1516"/>
      <c r="H132" s="1298"/>
      <c r="I132" s="1299"/>
      <c r="J132" s="1298"/>
      <c r="K132" s="1382"/>
      <c r="L132" s="1382"/>
    </row>
    <row r="133" spans="1:12" s="1199" customFormat="1" ht="24" customHeight="1">
      <c r="A133" s="1564"/>
      <c r="B133" s="1565"/>
      <c r="C133" s="1533"/>
      <c r="D133" s="1534"/>
      <c r="E133" s="1566"/>
      <c r="F133" s="1564"/>
      <c r="G133" s="1516"/>
      <c r="H133" s="1298"/>
      <c r="I133" s="1299"/>
      <c r="J133" s="1298"/>
      <c r="K133" s="1382"/>
      <c r="L133" s="1382"/>
    </row>
    <row r="134" spans="1:12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583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&amp;Rงานระบบสุขาภิบาล/งานระบบดับเพลิงและป้องกันอัคคีภัย ชั้น 9-อาคารด้านทิศตะวันตก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211EC-B09C-4DA0-8478-D1EFAEBCE983}">
  <sheetPr>
    <tabColor rgb="FFF42CBB"/>
  </sheetPr>
  <dimension ref="A1:O156"/>
  <sheetViews>
    <sheetView showGridLines="0" view="pageBreakPreview" topLeftCell="A124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" customWidth="1"/>
    <col min="13" max="13" width="10.87890625" style="1" customWidth="1"/>
    <col min="14" max="14" width="10" style="1" customWidth="1"/>
    <col min="15" max="91" width="7.703125" style="1" customWidth="1"/>
    <col min="92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1978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1026449</v>
      </c>
      <c r="I12" s="1197"/>
      <c r="J12" s="1196">
        <f>J59</f>
        <v>445286</v>
      </c>
      <c r="K12" s="1553">
        <f t="shared" ref="K12:K17" si="0">SUM(H12:J12)</f>
        <v>1471735</v>
      </c>
      <c r="L12" s="1531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531"/>
    </row>
    <row r="14" spans="1:12" s="1199" customFormat="1" ht="24" customHeight="1">
      <c r="A14" s="1564" t="str">
        <f>A77</f>
        <v>6.3</v>
      </c>
      <c r="B14" s="1565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77440</v>
      </c>
      <c r="I14" s="1197"/>
      <c r="J14" s="1196">
        <f>J84</f>
        <v>51125</v>
      </c>
      <c r="K14" s="1553">
        <f t="shared" si="0"/>
        <v>128565</v>
      </c>
      <c r="L14" s="1531"/>
    </row>
    <row r="15" spans="1:12" s="1199" customFormat="1" ht="24" customHeight="1">
      <c r="A15" s="1642">
        <f>A85</f>
        <v>6.4</v>
      </c>
      <c r="B15" s="1643" t="str">
        <f>B85</f>
        <v>ตู้ดับเพลิงและถังดับเพลิงชนิดมือถือ (Fire Hose Cabinet &amp; Portable Fire Extinguisher)</v>
      </c>
      <c r="C15" s="1607"/>
      <c r="D15" s="1608"/>
      <c r="E15" s="1644">
        <v>1</v>
      </c>
      <c r="F15" s="1610" t="s">
        <v>19</v>
      </c>
      <c r="G15" s="1645"/>
      <c r="H15" s="1646">
        <f>H109</f>
        <v>209000</v>
      </c>
      <c r="I15" s="1647"/>
      <c r="J15" s="1646">
        <f>J109</f>
        <v>12890</v>
      </c>
      <c r="K15" s="1553">
        <f t="shared" si="0"/>
        <v>221890</v>
      </c>
      <c r="L15" s="1740"/>
    </row>
    <row r="16" spans="1:12" s="1199" customFormat="1" ht="24" customHeight="1">
      <c r="A16" s="1641" t="str">
        <f>A110</f>
        <v>6.5</v>
      </c>
      <c r="B16" s="1573" t="str">
        <f>B110</f>
        <v>ระบบไฟฟ้าและควบคุม (Electrical &amp; Control System) สำหรับระบบป้องกันอัคคีภัย</v>
      </c>
      <c r="C16" s="1574"/>
      <c r="D16" s="1575"/>
      <c r="E16" s="1598">
        <v>1</v>
      </c>
      <c r="F16" s="1577" t="s">
        <v>19</v>
      </c>
      <c r="G16" s="1228"/>
      <c r="H16" s="1229">
        <f>H118</f>
        <v>42560</v>
      </c>
      <c r="I16" s="1230"/>
      <c r="J16" s="1229">
        <f>J118</f>
        <v>4256</v>
      </c>
      <c r="K16" s="1553">
        <f t="shared" si="0"/>
        <v>46816</v>
      </c>
      <c r="L16" s="1430"/>
    </row>
    <row r="17" spans="1:12" s="1199" customFormat="1" ht="24" customHeight="1">
      <c r="A17" s="1564">
        <f>A119</f>
        <v>6.6</v>
      </c>
      <c r="B17" s="1565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531"/>
    </row>
    <row r="18" spans="1:12" s="1199" customFormat="1" ht="24" customHeight="1">
      <c r="A18" s="1641"/>
      <c r="B18" s="1573"/>
      <c r="C18" s="1574"/>
      <c r="D18" s="1575"/>
      <c r="E18" s="1598"/>
      <c r="F18" s="1577"/>
      <c r="G18" s="1228"/>
      <c r="H18" s="1229"/>
      <c r="I18" s="1230"/>
      <c r="J18" s="1229"/>
      <c r="K18" s="1553"/>
      <c r="L18" s="1430"/>
    </row>
    <row r="19" spans="1:12" s="1199" customFormat="1" ht="24" customHeight="1">
      <c r="A19" s="1641"/>
      <c r="B19" s="1573"/>
      <c r="C19" s="1574"/>
      <c r="D19" s="1575"/>
      <c r="E19" s="1598"/>
      <c r="F19" s="1577"/>
      <c r="G19" s="1228"/>
      <c r="H19" s="1229"/>
      <c r="I19" s="1230"/>
      <c r="J19" s="1229"/>
      <c r="K19" s="1553"/>
      <c r="L19" s="1430"/>
    </row>
    <row r="20" spans="1:12" s="1199" customFormat="1" ht="24" customHeight="1">
      <c r="A20" s="1641"/>
      <c r="B20" s="1573"/>
      <c r="C20" s="1574"/>
      <c r="D20" s="1575"/>
      <c r="E20" s="1598"/>
      <c r="F20" s="1577"/>
      <c r="G20" s="1228"/>
      <c r="H20" s="1229"/>
      <c r="I20" s="1230"/>
      <c r="J20" s="1229"/>
      <c r="K20" s="1553"/>
      <c r="L20" s="1430"/>
    </row>
    <row r="21" spans="1:12" s="1199" customFormat="1" ht="24" customHeight="1">
      <c r="A21" s="1641"/>
      <c r="B21" s="1573"/>
      <c r="C21" s="1574"/>
      <c r="D21" s="1575"/>
      <c r="E21" s="1598"/>
      <c r="F21" s="1577"/>
      <c r="G21" s="1228"/>
      <c r="H21" s="1229"/>
      <c r="I21" s="1230"/>
      <c r="J21" s="1229"/>
      <c r="K21" s="1553"/>
      <c r="L21" s="1430"/>
    </row>
    <row r="22" spans="1:12" s="1199" customFormat="1" ht="24" customHeight="1">
      <c r="A22" s="1641"/>
      <c r="B22" s="1573"/>
      <c r="C22" s="1574"/>
      <c r="D22" s="1575"/>
      <c r="E22" s="1598"/>
      <c r="F22" s="1577"/>
      <c r="G22" s="1228"/>
      <c r="H22" s="1229"/>
      <c r="I22" s="1230"/>
      <c r="J22" s="1229"/>
      <c r="K22" s="1553"/>
      <c r="L22" s="1430"/>
    </row>
    <row r="23" spans="1:12" s="1199" customFormat="1" ht="24" customHeight="1">
      <c r="A23" s="1641"/>
      <c r="B23" s="1573"/>
      <c r="C23" s="1574"/>
      <c r="D23" s="1575"/>
      <c r="E23" s="1598"/>
      <c r="F23" s="1577"/>
      <c r="G23" s="1228"/>
      <c r="H23" s="1229"/>
      <c r="I23" s="1230"/>
      <c r="J23" s="1229"/>
      <c r="K23" s="1553"/>
      <c r="L23" s="1430"/>
    </row>
    <row r="24" spans="1:12" s="1199" customFormat="1" ht="24" customHeight="1">
      <c r="A24" s="1641"/>
      <c r="B24" s="1573"/>
      <c r="C24" s="1574"/>
      <c r="D24" s="1575"/>
      <c r="E24" s="1598"/>
      <c r="F24" s="1577"/>
      <c r="G24" s="1228"/>
      <c r="H24" s="1229"/>
      <c r="I24" s="1230"/>
      <c r="J24" s="1229"/>
      <c r="K24" s="1553"/>
      <c r="L24" s="1430"/>
    </row>
    <row r="25" spans="1:12" s="1199" customFormat="1" ht="24" customHeight="1">
      <c r="A25" s="1641"/>
      <c r="B25" s="1573"/>
      <c r="C25" s="1574"/>
      <c r="D25" s="1575"/>
      <c r="E25" s="1598"/>
      <c r="F25" s="1577"/>
      <c r="G25" s="1228"/>
      <c r="H25" s="1229"/>
      <c r="I25" s="1230"/>
      <c r="J25" s="1229"/>
      <c r="K25" s="1553"/>
      <c r="L25" s="1430"/>
    </row>
    <row r="26" spans="1:12" s="1199" customFormat="1" ht="24" customHeight="1">
      <c r="A26" s="1641"/>
      <c r="B26" s="1573"/>
      <c r="C26" s="1574"/>
      <c r="D26" s="1575"/>
      <c r="E26" s="1598"/>
      <c r="F26" s="1577"/>
      <c r="G26" s="1228"/>
      <c r="H26" s="1229"/>
      <c r="I26" s="1230"/>
      <c r="J26" s="1229"/>
      <c r="K26" s="1553"/>
      <c r="L26" s="1430"/>
    </row>
    <row r="27" spans="1:12" s="1199" customFormat="1" ht="24" customHeight="1">
      <c r="A27" s="1641"/>
      <c r="B27" s="1573"/>
      <c r="C27" s="1574"/>
      <c r="D27" s="1575"/>
      <c r="E27" s="1598"/>
      <c r="F27" s="1577"/>
      <c r="G27" s="1228"/>
      <c r="H27" s="1229"/>
      <c r="I27" s="1230"/>
      <c r="J27" s="1229"/>
      <c r="K27" s="1553"/>
      <c r="L27" s="1430"/>
    </row>
    <row r="28" spans="1:12" s="1199" customFormat="1" ht="24" customHeight="1">
      <c r="A28" s="1641"/>
      <c r="B28" s="1573"/>
      <c r="C28" s="1574"/>
      <c r="D28" s="1575"/>
      <c r="E28" s="1598"/>
      <c r="F28" s="1577"/>
      <c r="G28" s="1228"/>
      <c r="H28" s="1229"/>
      <c r="I28" s="1230"/>
      <c r="J28" s="1229"/>
      <c r="K28" s="1553"/>
      <c r="L28" s="1430"/>
    </row>
    <row r="29" spans="1:12" s="1199" customFormat="1" ht="24" customHeight="1">
      <c r="A29" s="1641"/>
      <c r="B29" s="1573"/>
      <c r="C29" s="1574"/>
      <c r="D29" s="1575"/>
      <c r="E29" s="1598"/>
      <c r="F29" s="1577"/>
      <c r="G29" s="1228"/>
      <c r="H29" s="1229"/>
      <c r="I29" s="1230"/>
      <c r="J29" s="1229"/>
      <c r="K29" s="1553"/>
      <c r="L29" s="1430"/>
    </row>
    <row r="30" spans="1:12" s="1199" customFormat="1" ht="24" customHeight="1">
      <c r="A30" s="1641"/>
      <c r="B30" s="1573"/>
      <c r="C30" s="1574"/>
      <c r="D30" s="1575"/>
      <c r="E30" s="1598"/>
      <c r="F30" s="1577"/>
      <c r="G30" s="1228"/>
      <c r="H30" s="1229"/>
      <c r="I30" s="1230"/>
      <c r="J30" s="1229"/>
      <c r="K30" s="1553"/>
      <c r="L30" s="1430"/>
    </row>
    <row r="31" spans="1:12" s="1199" customFormat="1" ht="24" customHeight="1">
      <c r="A31" s="1641"/>
      <c r="B31" s="1573"/>
      <c r="C31" s="1574"/>
      <c r="D31" s="1575"/>
      <c r="E31" s="1598"/>
      <c r="F31" s="1577"/>
      <c r="G31" s="1228"/>
      <c r="H31" s="1229"/>
      <c r="I31" s="1230"/>
      <c r="J31" s="1229"/>
      <c r="K31" s="1553"/>
      <c r="L31" s="1430"/>
    </row>
    <row r="32" spans="1:12" s="1199" customFormat="1" ht="24" customHeight="1">
      <c r="A32" s="1641"/>
      <c r="B32" s="1573"/>
      <c r="C32" s="1574"/>
      <c r="D32" s="1575"/>
      <c r="E32" s="1598"/>
      <c r="F32" s="1577"/>
      <c r="G32" s="1228"/>
      <c r="H32" s="1229"/>
      <c r="I32" s="1230"/>
      <c r="J32" s="1229"/>
      <c r="K32" s="1553"/>
      <c r="L32" s="1430"/>
    </row>
    <row r="33" spans="1:13" s="1199" customFormat="1" ht="24" customHeight="1">
      <c r="A33" s="1641"/>
      <c r="B33" s="1573"/>
      <c r="C33" s="1574"/>
      <c r="D33" s="1575"/>
      <c r="E33" s="1598"/>
      <c r="F33" s="1577"/>
      <c r="G33" s="1228"/>
      <c r="H33" s="1229"/>
      <c r="I33" s="1230"/>
      <c r="J33" s="1229"/>
      <c r="K33" s="1553"/>
      <c r="L33" s="1430"/>
    </row>
    <row r="34" spans="1:13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10</v>
      </c>
      <c r="C34" s="2258"/>
      <c r="D34" s="2259"/>
      <c r="E34" s="1579"/>
      <c r="F34" s="1579"/>
      <c r="G34" s="1580"/>
      <c r="H34" s="1581">
        <f>SUM(H12:H33)</f>
        <v>1568381</v>
      </c>
      <c r="I34" s="1582"/>
      <c r="J34" s="1581">
        <f>SUM(J12:J33)</f>
        <v>527557</v>
      </c>
      <c r="K34" s="1583">
        <f>SUM(K12:K33)</f>
        <v>2095938</v>
      </c>
      <c r="L34" s="1583"/>
      <c r="M34" s="1214"/>
    </row>
    <row r="35" spans="1:13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382"/>
    </row>
    <row r="36" spans="1:13" s="1199" customFormat="1" ht="24" customHeight="1">
      <c r="A36" s="1620" t="s">
        <v>1899</v>
      </c>
      <c r="B36" s="1568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273"/>
    </row>
    <row r="37" spans="1:13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3" s="1199" customFormat="1" ht="24" customHeight="1">
      <c r="A38" s="1564"/>
      <c r="B38" s="1565" t="s">
        <v>1901</v>
      </c>
      <c r="C38" s="1533"/>
      <c r="D38" s="1534"/>
      <c r="E38" s="1688">
        <v>1683</v>
      </c>
      <c r="F38" s="1567" t="s">
        <v>226</v>
      </c>
      <c r="G38" s="1516">
        <v>78</v>
      </c>
      <c r="H38" s="1264">
        <f t="shared" ref="H38:H51" si="1">ROUND(E38*G38,)</f>
        <v>131274</v>
      </c>
      <c r="I38" s="1265">
        <v>45</v>
      </c>
      <c r="J38" s="1264">
        <f t="shared" ref="J38:J51" si="2">ROUND(I38*E38,)</f>
        <v>75735</v>
      </c>
      <c r="K38" s="1273">
        <f t="shared" ref="K38:K51" si="3">H38+J38</f>
        <v>207009</v>
      </c>
      <c r="L38" s="1273"/>
    </row>
    <row r="39" spans="1:13" s="1199" customFormat="1" ht="24" customHeight="1">
      <c r="A39" s="1564"/>
      <c r="B39" s="1565" t="s">
        <v>1338</v>
      </c>
      <c r="C39" s="1533"/>
      <c r="D39" s="1534"/>
      <c r="E39" s="1688">
        <v>293</v>
      </c>
      <c r="F39" s="1567" t="s">
        <v>226</v>
      </c>
      <c r="G39" s="1516">
        <v>105</v>
      </c>
      <c r="H39" s="1264">
        <f t="shared" si="1"/>
        <v>30765</v>
      </c>
      <c r="I39" s="1299">
        <v>60</v>
      </c>
      <c r="J39" s="1264">
        <f t="shared" si="2"/>
        <v>17580</v>
      </c>
      <c r="K39" s="1273">
        <f t="shared" si="3"/>
        <v>48345</v>
      </c>
      <c r="L39" s="1382"/>
    </row>
    <row r="40" spans="1:13" s="1199" customFormat="1" ht="24" customHeight="1">
      <c r="A40" s="1564"/>
      <c r="B40" s="1565" t="s">
        <v>1339</v>
      </c>
      <c r="C40" s="1533"/>
      <c r="D40" s="1534"/>
      <c r="E40" s="1688">
        <v>151</v>
      </c>
      <c r="F40" s="1567" t="s">
        <v>226</v>
      </c>
      <c r="G40" s="1661">
        <v>126</v>
      </c>
      <c r="H40" s="1264">
        <f t="shared" si="1"/>
        <v>19026</v>
      </c>
      <c r="I40" s="1589">
        <v>70</v>
      </c>
      <c r="J40" s="1264">
        <f t="shared" si="2"/>
        <v>10570</v>
      </c>
      <c r="K40" s="1273">
        <f t="shared" si="3"/>
        <v>29596</v>
      </c>
      <c r="L40" s="1382"/>
    </row>
    <row r="41" spans="1:13" s="1199" customFormat="1" ht="24" customHeight="1">
      <c r="A41" s="1564"/>
      <c r="B41" s="1565" t="s">
        <v>1340</v>
      </c>
      <c r="C41" s="1533"/>
      <c r="D41" s="1534"/>
      <c r="E41" s="1688">
        <v>240</v>
      </c>
      <c r="F41" s="1567" t="s">
        <v>226</v>
      </c>
      <c r="G41" s="1661">
        <v>169</v>
      </c>
      <c r="H41" s="1264">
        <f t="shared" si="1"/>
        <v>40560</v>
      </c>
      <c r="I41" s="1589">
        <v>95</v>
      </c>
      <c r="J41" s="1264">
        <f t="shared" si="2"/>
        <v>22800</v>
      </c>
      <c r="K41" s="1273">
        <f t="shared" si="3"/>
        <v>63360</v>
      </c>
      <c r="L41" s="1382"/>
    </row>
    <row r="42" spans="1:13" s="1199" customFormat="1" ht="24" customHeight="1">
      <c r="A42" s="1564"/>
      <c r="B42" s="1565" t="s">
        <v>1341</v>
      </c>
      <c r="C42" s="1533"/>
      <c r="D42" s="1534"/>
      <c r="E42" s="1688">
        <v>187</v>
      </c>
      <c r="F42" s="1567" t="s">
        <v>226</v>
      </c>
      <c r="G42" s="1661">
        <v>268</v>
      </c>
      <c r="H42" s="1264">
        <f t="shared" si="1"/>
        <v>50116</v>
      </c>
      <c r="I42" s="1589">
        <v>150</v>
      </c>
      <c r="J42" s="1264">
        <f t="shared" si="2"/>
        <v>28050</v>
      </c>
      <c r="K42" s="1273">
        <f t="shared" si="3"/>
        <v>78166</v>
      </c>
      <c r="L42" s="1382"/>
    </row>
    <row r="43" spans="1:13" s="1199" customFormat="1" ht="24" customHeight="1">
      <c r="A43" s="1564"/>
      <c r="B43" s="1565" t="s">
        <v>1342</v>
      </c>
      <c r="C43" s="1533"/>
      <c r="D43" s="1534"/>
      <c r="E43" s="1688">
        <v>177</v>
      </c>
      <c r="F43" s="1567" t="s">
        <v>226</v>
      </c>
      <c r="G43" s="1661">
        <v>350</v>
      </c>
      <c r="H43" s="1264">
        <f t="shared" si="1"/>
        <v>61950</v>
      </c>
      <c r="I43" s="1589">
        <v>200</v>
      </c>
      <c r="J43" s="1264">
        <f t="shared" si="2"/>
        <v>35400</v>
      </c>
      <c r="K43" s="1273">
        <f t="shared" si="3"/>
        <v>97350</v>
      </c>
      <c r="L43" s="1382"/>
    </row>
    <row r="44" spans="1:13" s="1199" customFormat="1" ht="24" customHeight="1">
      <c r="A44" s="1564"/>
      <c r="B44" s="1565" t="s">
        <v>1759</v>
      </c>
      <c r="C44" s="1533"/>
      <c r="D44" s="1534"/>
      <c r="E44" s="1688">
        <v>139</v>
      </c>
      <c r="F44" s="1567" t="s">
        <v>226</v>
      </c>
      <c r="G44" s="1661">
        <v>499</v>
      </c>
      <c r="H44" s="1264">
        <f t="shared" si="1"/>
        <v>69361</v>
      </c>
      <c r="I44" s="1589">
        <v>280</v>
      </c>
      <c r="J44" s="1264">
        <f t="shared" si="2"/>
        <v>38920</v>
      </c>
      <c r="K44" s="1273">
        <f t="shared" si="3"/>
        <v>108281</v>
      </c>
      <c r="L44" s="1382"/>
    </row>
    <row r="45" spans="1:13" s="1199" customFormat="1" ht="24" customHeight="1">
      <c r="A45" s="1564"/>
      <c r="B45" s="1565" t="s">
        <v>1754</v>
      </c>
      <c r="C45" s="1533"/>
      <c r="D45" s="1534"/>
      <c r="E45" s="1688">
        <v>121</v>
      </c>
      <c r="F45" s="1567" t="s">
        <v>226</v>
      </c>
      <c r="G45" s="1661">
        <v>877</v>
      </c>
      <c r="H45" s="1264">
        <f t="shared" si="1"/>
        <v>106117</v>
      </c>
      <c r="I45" s="1589">
        <v>500</v>
      </c>
      <c r="J45" s="1264">
        <f t="shared" si="2"/>
        <v>60500</v>
      </c>
      <c r="K45" s="1273">
        <f t="shared" si="3"/>
        <v>166617</v>
      </c>
      <c r="L45" s="1382"/>
    </row>
    <row r="46" spans="1:13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3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3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203668</v>
      </c>
      <c r="H48" s="1264">
        <f t="shared" si="1"/>
        <v>203668</v>
      </c>
      <c r="I48" s="1589">
        <f>ROUND(G48*0.3,)</f>
        <v>61100</v>
      </c>
      <c r="J48" s="1264">
        <f t="shared" si="2"/>
        <v>61100</v>
      </c>
      <c r="K48" s="1273">
        <f t="shared" si="3"/>
        <v>264768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101834</v>
      </c>
      <c r="H49" s="1264">
        <f t="shared" si="1"/>
        <v>101834</v>
      </c>
      <c r="I49" s="1589">
        <f>ROUND(G49*0.3,)</f>
        <v>30550</v>
      </c>
      <c r="J49" s="1264">
        <f t="shared" si="2"/>
        <v>30550</v>
      </c>
      <c r="K49" s="1273">
        <f t="shared" si="3"/>
        <v>132384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50917</v>
      </c>
      <c r="H50" s="1264">
        <f t="shared" si="1"/>
        <v>50917</v>
      </c>
      <c r="I50" s="1589">
        <f>ROUND(G50*0.3,)</f>
        <v>15275</v>
      </c>
      <c r="J50" s="1264">
        <f t="shared" si="2"/>
        <v>15275</v>
      </c>
      <c r="K50" s="1273">
        <f t="shared" si="3"/>
        <v>66192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152751</v>
      </c>
      <c r="H51" s="1264">
        <f t="shared" si="1"/>
        <v>152751</v>
      </c>
      <c r="I51" s="1589">
        <f>ROUND(G51*0.3,)</f>
        <v>45825</v>
      </c>
      <c r="J51" s="1264">
        <f t="shared" si="2"/>
        <v>45825</v>
      </c>
      <c r="K51" s="1273">
        <f t="shared" si="3"/>
        <v>198576</v>
      </c>
      <c r="L51" s="1382"/>
    </row>
    <row r="52" spans="1:15" s="1199" customFormat="1" ht="24" customHeight="1">
      <c r="A52" s="1564"/>
      <c r="B52" s="1597"/>
      <c r="C52" s="1533"/>
      <c r="D52" s="1534"/>
      <c r="E52" s="1566"/>
      <c r="F52" s="1567"/>
      <c r="G52" s="1516"/>
      <c r="H52" s="1264"/>
      <c r="I52" s="1265"/>
      <c r="J52" s="1264"/>
      <c r="K52" s="1273"/>
      <c r="L52" s="1638"/>
    </row>
    <row r="53" spans="1:15" s="1199" customFormat="1" ht="24" customHeight="1">
      <c r="A53" s="1564" t="s">
        <v>1868</v>
      </c>
      <c r="B53" s="1565" t="s">
        <v>1869</v>
      </c>
      <c r="C53" s="1533"/>
      <c r="D53" s="1534"/>
      <c r="E53" s="1566"/>
      <c r="F53" s="1567"/>
      <c r="G53" s="1516"/>
      <c r="H53" s="1298"/>
      <c r="I53" s="1299"/>
      <c r="J53" s="1298"/>
      <c r="K53" s="1382"/>
      <c r="L53" s="1382"/>
    </row>
    <row r="54" spans="1:15" s="1199" customFormat="1" ht="24" customHeight="1">
      <c r="A54" s="1564"/>
      <c r="B54" s="1565" t="s">
        <v>1901</v>
      </c>
      <c r="C54" s="1533"/>
      <c r="D54" s="1534"/>
      <c r="E54" s="825">
        <v>5</v>
      </c>
      <c r="F54" s="1567" t="s">
        <v>226</v>
      </c>
      <c r="G54" s="1516">
        <v>124</v>
      </c>
      <c r="H54" s="1264">
        <f>ROUND(E54*G54,)</f>
        <v>620</v>
      </c>
      <c r="I54" s="1265">
        <v>50</v>
      </c>
      <c r="J54" s="1264">
        <f t="shared" ref="J54:J55" si="4">ROUND(I54*E54,)</f>
        <v>250</v>
      </c>
      <c r="K54" s="1273">
        <f t="shared" ref="K54:K55" si="5">H54+J54</f>
        <v>870</v>
      </c>
      <c r="L54" s="2082" t="s">
        <v>2667</v>
      </c>
      <c r="N54" s="1199">
        <v>745.96</v>
      </c>
      <c r="O54" s="1199">
        <f>ROUND(N54/6,)</f>
        <v>124</v>
      </c>
    </row>
    <row r="55" spans="1:15" s="1199" customFormat="1" ht="24" customHeight="1">
      <c r="A55" s="1564"/>
      <c r="B55" s="1565" t="s">
        <v>1340</v>
      </c>
      <c r="C55" s="1533"/>
      <c r="D55" s="1534"/>
      <c r="E55" s="825">
        <v>15</v>
      </c>
      <c r="F55" s="1567" t="s">
        <v>226</v>
      </c>
      <c r="G55" s="1516">
        <v>259</v>
      </c>
      <c r="H55" s="1264">
        <f t="shared" ref="H55" si="6">ROUND(E55*G55,)</f>
        <v>3885</v>
      </c>
      <c r="I55" s="1299">
        <v>110</v>
      </c>
      <c r="J55" s="1264">
        <f t="shared" si="4"/>
        <v>1650</v>
      </c>
      <c r="K55" s="1273">
        <f t="shared" si="5"/>
        <v>5535</v>
      </c>
      <c r="L55" s="2082" t="s">
        <v>2667</v>
      </c>
      <c r="N55" s="1199">
        <v>1554.48</v>
      </c>
      <c r="O55" s="1199">
        <f>ROUND(N55/6,)</f>
        <v>259</v>
      </c>
    </row>
    <row r="56" spans="1:15" s="1199" customFormat="1" ht="24" customHeight="1">
      <c r="A56" s="1564"/>
      <c r="B56" s="1565" t="s">
        <v>1719</v>
      </c>
      <c r="C56" s="1533"/>
      <c r="D56" s="1534"/>
      <c r="E56" s="1686">
        <v>1</v>
      </c>
      <c r="F56" s="1402" t="s">
        <v>1104</v>
      </c>
      <c r="G56" s="1661">
        <f>ROUND(SUM(H54:H55)*50%,)</f>
        <v>2253</v>
      </c>
      <c r="H56" s="1264">
        <f>ROUND(E56*G56,)</f>
        <v>2253</v>
      </c>
      <c r="I56" s="1589">
        <f>ROUND(G56*0.3,)</f>
        <v>676</v>
      </c>
      <c r="J56" s="1264">
        <f>ROUND(I56*E56,)</f>
        <v>676</v>
      </c>
      <c r="K56" s="1273">
        <f>H56+J56</f>
        <v>2929</v>
      </c>
      <c r="L56" s="1382"/>
    </row>
    <row r="57" spans="1:15" s="1199" customFormat="1" ht="24" customHeight="1">
      <c r="A57" s="1564"/>
      <c r="B57" s="1565" t="s">
        <v>1720</v>
      </c>
      <c r="C57" s="1533"/>
      <c r="D57" s="1534"/>
      <c r="E57" s="1686">
        <v>1</v>
      </c>
      <c r="F57" s="1402" t="s">
        <v>1104</v>
      </c>
      <c r="G57" s="1661">
        <f>ROUND(SUM(H54:H55)*20%,)</f>
        <v>901</v>
      </c>
      <c r="H57" s="1264">
        <f>ROUND(E57*G57,)</f>
        <v>901</v>
      </c>
      <c r="I57" s="1589">
        <f>ROUND(G57*0.3,)</f>
        <v>270</v>
      </c>
      <c r="J57" s="1264">
        <f>ROUND(I57*E57,)</f>
        <v>270</v>
      </c>
      <c r="K57" s="1273">
        <f>H57+J57</f>
        <v>1171</v>
      </c>
      <c r="L57" s="1382"/>
    </row>
    <row r="58" spans="1:15" s="1199" customFormat="1" ht="24" customHeight="1">
      <c r="A58" s="1564"/>
      <c r="B58" s="1565" t="s">
        <v>1721</v>
      </c>
      <c r="C58" s="1533"/>
      <c r="D58" s="1534"/>
      <c r="E58" s="1686">
        <v>1</v>
      </c>
      <c r="F58" s="1402" t="s">
        <v>1104</v>
      </c>
      <c r="G58" s="1661">
        <f>ROUND(SUM(H54:H55)*10%,)</f>
        <v>451</v>
      </c>
      <c r="H58" s="1264">
        <f>ROUND(E58*G58,)</f>
        <v>451</v>
      </c>
      <c r="I58" s="1589">
        <f>ROUND(G58*0.3,)</f>
        <v>135</v>
      </c>
      <c r="J58" s="1264">
        <f>ROUND(I58*E58,)</f>
        <v>135</v>
      </c>
      <c r="K58" s="1273">
        <f>H58+J58</f>
        <v>586</v>
      </c>
      <c r="L58" s="1382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1026449</v>
      </c>
      <c r="I59" s="1582"/>
      <c r="J59" s="1581">
        <f>SUM(J37:J58)</f>
        <v>445286</v>
      </c>
      <c r="K59" s="1583">
        <f>SUM(K37:K58)</f>
        <v>1471735</v>
      </c>
      <c r="L59" s="1583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382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65" t="s">
        <v>1896</v>
      </c>
      <c r="C75" s="1533"/>
      <c r="D75" s="1534"/>
      <c r="E75" s="1566"/>
      <c r="F75" s="1567"/>
      <c r="G75" s="1516"/>
      <c r="H75" s="1298"/>
      <c r="I75" s="1299"/>
      <c r="J75" s="1298"/>
      <c r="K75" s="1382"/>
      <c r="L75" s="1382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SUM(H61:H75)</f>
        <v>212932</v>
      </c>
      <c r="I76" s="1582"/>
      <c r="J76" s="1581">
        <f>SUM(J61:J75)</f>
        <v>14000</v>
      </c>
      <c r="K76" s="1583">
        <f>SUM(K61:K75)</f>
        <v>226932</v>
      </c>
      <c r="L76" s="1583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58"/>
      <c r="H77" s="1298"/>
      <c r="I77" s="1299"/>
      <c r="J77" s="1298"/>
      <c r="K77" s="1382"/>
      <c r="L77" s="1382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637</v>
      </c>
      <c r="F78" s="1676" t="s">
        <v>363</v>
      </c>
      <c r="G78" s="1558">
        <v>110</v>
      </c>
      <c r="H78" s="1264">
        <f>ROUND(E78*G78,)</f>
        <v>70070</v>
      </c>
      <c r="I78" s="1299">
        <v>75</v>
      </c>
      <c r="J78" s="1264">
        <f>ROUND(I78*E78,)</f>
        <v>47775</v>
      </c>
      <c r="K78" s="1273">
        <f>H78+J78</f>
        <v>117845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58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/>
      <c r="F80" s="1676" t="s">
        <v>363</v>
      </c>
      <c r="G80" s="1558">
        <v>800</v>
      </c>
      <c r="H80" s="1264">
        <f>ROUND(E80*G80,)</f>
        <v>0</v>
      </c>
      <c r="I80" s="1299">
        <v>50</v>
      </c>
      <c r="J80" s="1264">
        <f>ROUND(I80*E80,)</f>
        <v>0</v>
      </c>
      <c r="K80" s="1273">
        <f>H80+J80</f>
        <v>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67</v>
      </c>
      <c r="F81" s="1676" t="s">
        <v>363</v>
      </c>
      <c r="G81" s="1558">
        <v>110</v>
      </c>
      <c r="H81" s="1264">
        <f>ROUND(E81*G81,)</f>
        <v>7370</v>
      </c>
      <c r="I81" s="1299">
        <v>50</v>
      </c>
      <c r="J81" s="1264">
        <f>ROUND(I81*E81,)</f>
        <v>3350</v>
      </c>
      <c r="K81" s="1273">
        <f>H81+J81</f>
        <v>10720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558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58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77440</v>
      </c>
      <c r="I84" s="1582"/>
      <c r="J84" s="1581">
        <f>SUM(J78:J83)</f>
        <v>51125</v>
      </c>
      <c r="K84" s="1583">
        <f>SUM(K78:K83)</f>
        <v>128565</v>
      </c>
      <c r="L84" s="1583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502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4</v>
      </c>
      <c r="F87" s="1564" t="s">
        <v>363</v>
      </c>
      <c r="G87" s="1558">
        <v>6500</v>
      </c>
      <c r="H87" s="1264">
        <f t="shared" ref="H87:H92" si="7">ROUND(E87*G87,)</f>
        <v>26000</v>
      </c>
      <c r="I87" s="1265">
        <f>G87*0.3</f>
        <v>1950</v>
      </c>
      <c r="J87" s="1264">
        <f>ROUND(I87*E87,)</f>
        <v>7800</v>
      </c>
      <c r="K87" s="1273">
        <f t="shared" ref="K87:K92" si="8">H87+J87</f>
        <v>33800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4</v>
      </c>
      <c r="F88" s="1572" t="s">
        <v>363</v>
      </c>
      <c r="G88" s="1694">
        <v>1200</v>
      </c>
      <c r="H88" s="1264">
        <f t="shared" si="7"/>
        <v>4800</v>
      </c>
      <c r="I88" s="1265" t="s">
        <v>1683</v>
      </c>
      <c r="J88" s="1264"/>
      <c r="K88" s="1273">
        <f t="shared" si="8"/>
        <v>4800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4</v>
      </c>
      <c r="F89" s="1564" t="s">
        <v>363</v>
      </c>
      <c r="G89" s="1558">
        <v>19200</v>
      </c>
      <c r="H89" s="1264">
        <f t="shared" si="7"/>
        <v>76800</v>
      </c>
      <c r="I89" s="1265" t="s">
        <v>1683</v>
      </c>
      <c r="J89" s="1264"/>
      <c r="K89" s="1273">
        <f t="shared" si="8"/>
        <v>76800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4</v>
      </c>
      <c r="F90" s="1564" t="s">
        <v>363</v>
      </c>
      <c r="G90" s="1558">
        <v>4910</v>
      </c>
      <c r="H90" s="1264">
        <f t="shared" si="7"/>
        <v>19640</v>
      </c>
      <c r="I90" s="1265" t="s">
        <v>1683</v>
      </c>
      <c r="J90" s="1264"/>
      <c r="K90" s="1273">
        <f t="shared" si="8"/>
        <v>19640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4</v>
      </c>
      <c r="F91" s="1564" t="s">
        <v>363</v>
      </c>
      <c r="G91" s="1558">
        <v>1420</v>
      </c>
      <c r="H91" s="1264">
        <f t="shared" si="7"/>
        <v>5680</v>
      </c>
      <c r="I91" s="1265" t="s">
        <v>1683</v>
      </c>
      <c r="J91" s="1264"/>
      <c r="K91" s="1273">
        <f t="shared" si="8"/>
        <v>5680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4</v>
      </c>
      <c r="F92" s="1564" t="s">
        <v>363</v>
      </c>
      <c r="G92" s="1558">
        <v>720</v>
      </c>
      <c r="H92" s="1264">
        <f t="shared" si="7"/>
        <v>2880</v>
      </c>
      <c r="I92" s="1265" t="s">
        <v>1683</v>
      </c>
      <c r="J92" s="1264"/>
      <c r="K92" s="1273">
        <f t="shared" si="8"/>
        <v>2880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4</v>
      </c>
      <c r="F101" s="1564" t="s">
        <v>363</v>
      </c>
      <c r="G101" s="1558">
        <v>1000</v>
      </c>
      <c r="H101" s="1264">
        <f>ROUND(E101*G101,)</f>
        <v>4000</v>
      </c>
      <c r="I101" s="1695">
        <v>200</v>
      </c>
      <c r="J101" s="1264">
        <f>ROUND(I101*E101,)</f>
        <v>800</v>
      </c>
      <c r="K101" s="1273">
        <f>H101+J101</f>
        <v>4800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1117</v>
      </c>
      <c r="C104" s="1533"/>
      <c r="D104" s="1534"/>
      <c r="E104" s="1566"/>
      <c r="F104" s="1564"/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 t="s">
        <v>1896</v>
      </c>
      <c r="C105" s="1533"/>
      <c r="D105" s="1534"/>
      <c r="E105" s="1566"/>
      <c r="F105" s="1564"/>
      <c r="G105" s="1558"/>
      <c r="H105" s="1264"/>
      <c r="I105" s="1695"/>
      <c r="J105" s="1264"/>
      <c r="K105" s="1273"/>
      <c r="L105" s="1687"/>
    </row>
    <row r="106" spans="1:12" s="1199" customFormat="1" ht="24" customHeight="1">
      <c r="A106" s="1564"/>
      <c r="B106" s="1565"/>
      <c r="C106" s="1533"/>
      <c r="D106" s="1534"/>
      <c r="E106" s="1566"/>
      <c r="F106" s="1564"/>
      <c r="G106" s="1558"/>
      <c r="H106" s="1264"/>
      <c r="I106" s="1695"/>
      <c r="J106" s="1264"/>
      <c r="K106" s="1273"/>
      <c r="L106" s="1687"/>
    </row>
    <row r="107" spans="1:12" s="1199" customFormat="1" ht="24" customHeight="1">
      <c r="A107" s="1564"/>
      <c r="B107" s="1565"/>
      <c r="C107" s="1533"/>
      <c r="D107" s="1534"/>
      <c r="E107" s="1566"/>
      <c r="F107" s="1564"/>
      <c r="G107" s="1558"/>
      <c r="H107" s="1264"/>
      <c r="I107" s="1695"/>
      <c r="J107" s="1264"/>
      <c r="K107" s="1273"/>
      <c r="L107" s="1687"/>
    </row>
    <row r="108" spans="1:12" s="1199" customFormat="1" ht="24" customHeight="1">
      <c r="A108" s="1564"/>
      <c r="B108" s="1565" t="s">
        <v>1896</v>
      </c>
      <c r="C108" s="1533"/>
      <c r="D108" s="1534"/>
      <c r="E108" s="1566"/>
      <c r="F108" s="1564"/>
      <c r="G108" s="1558"/>
      <c r="H108" s="1264"/>
      <c r="I108" s="1695"/>
      <c r="J108" s="1264"/>
      <c r="K108" s="1273"/>
      <c r="L108" s="168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209000</v>
      </c>
      <c r="I109" s="1582"/>
      <c r="J109" s="1581">
        <f>SUM(J86:J108)</f>
        <v>12890</v>
      </c>
      <c r="K109" s="1583">
        <f>SUM(K86:K108)</f>
        <v>221890</v>
      </c>
      <c r="L109" s="1583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502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273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382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382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382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382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382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382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583"/>
    </row>
    <row r="119" spans="1:12" s="1199" customFormat="1" ht="24" customHeight="1">
      <c r="A119" s="1564">
        <v>6.6</v>
      </c>
      <c r="B119" s="1565" t="s">
        <v>1424</v>
      </c>
      <c r="C119" s="1533"/>
      <c r="D119" s="1534"/>
      <c r="E119" s="1566">
        <v>1</v>
      </c>
      <c r="F119" s="1564" t="s">
        <v>1104</v>
      </c>
      <c r="G119" s="1708" t="s">
        <v>1952</v>
      </c>
      <c r="H119" s="1298"/>
      <c r="I119" s="1299"/>
      <c r="J119" s="1298"/>
      <c r="K119" s="1382"/>
      <c r="L119" s="1382"/>
    </row>
    <row r="120" spans="1:12" s="1199" customFormat="1" ht="24" customHeight="1">
      <c r="A120" s="1564"/>
      <c r="B120" s="1565"/>
      <c r="C120" s="1533"/>
      <c r="D120" s="1534"/>
      <c r="E120" s="1566"/>
      <c r="F120" s="1564"/>
      <c r="G120" s="1516"/>
      <c r="H120" s="1298"/>
      <c r="I120" s="1299"/>
      <c r="J120" s="1298"/>
      <c r="K120" s="1382"/>
      <c r="L120" s="1382"/>
    </row>
    <row r="121" spans="1:12" s="1199" customFormat="1" ht="24" customHeight="1">
      <c r="A121" s="1564"/>
      <c r="B121" s="1565"/>
      <c r="C121" s="1533"/>
      <c r="D121" s="1534"/>
      <c r="E121" s="1566"/>
      <c r="F121" s="1564"/>
      <c r="G121" s="1516"/>
      <c r="H121" s="1298"/>
      <c r="I121" s="1299"/>
      <c r="J121" s="1298"/>
      <c r="K121" s="1382"/>
      <c r="L121" s="1382"/>
    </row>
    <row r="122" spans="1:12" s="1199" customFormat="1" ht="24" customHeight="1">
      <c r="A122" s="1564"/>
      <c r="B122" s="1565"/>
      <c r="C122" s="1533"/>
      <c r="D122" s="1534"/>
      <c r="E122" s="1566"/>
      <c r="F122" s="1564"/>
      <c r="G122" s="1516"/>
      <c r="H122" s="1298"/>
      <c r="I122" s="1299"/>
      <c r="J122" s="1298"/>
      <c r="K122" s="1382"/>
      <c r="L122" s="1382"/>
    </row>
    <row r="123" spans="1:12" s="1199" customFormat="1" ht="24" customHeight="1">
      <c r="A123" s="1564"/>
      <c r="B123" s="1565"/>
      <c r="C123" s="1533"/>
      <c r="D123" s="1534"/>
      <c r="E123" s="1566"/>
      <c r="F123" s="1564"/>
      <c r="G123" s="1516"/>
      <c r="H123" s="1298"/>
      <c r="I123" s="1299"/>
      <c r="J123" s="1298"/>
      <c r="K123" s="1382"/>
      <c r="L123" s="1382"/>
    </row>
    <row r="124" spans="1:12" s="1199" customFormat="1" ht="24" customHeight="1">
      <c r="A124" s="1564"/>
      <c r="B124" s="1565"/>
      <c r="C124" s="1533"/>
      <c r="D124" s="1534"/>
      <c r="E124" s="1566"/>
      <c r="F124" s="1564"/>
      <c r="G124" s="1516"/>
      <c r="H124" s="1298"/>
      <c r="I124" s="1299"/>
      <c r="J124" s="1298"/>
      <c r="K124" s="1382"/>
      <c r="L124" s="1382"/>
    </row>
    <row r="125" spans="1:12" s="1199" customFormat="1" ht="24" customHeight="1">
      <c r="A125" s="1564"/>
      <c r="B125" s="1565"/>
      <c r="C125" s="1533"/>
      <c r="D125" s="1534"/>
      <c r="E125" s="1566"/>
      <c r="F125" s="1564"/>
      <c r="G125" s="1516"/>
      <c r="H125" s="1298"/>
      <c r="I125" s="1299"/>
      <c r="J125" s="1298"/>
      <c r="K125" s="1382"/>
      <c r="L125" s="1382"/>
    </row>
    <row r="126" spans="1:12" s="1199" customFormat="1" ht="24" customHeight="1">
      <c r="A126" s="1564"/>
      <c r="B126" s="1565"/>
      <c r="C126" s="1533"/>
      <c r="D126" s="1534"/>
      <c r="E126" s="1566"/>
      <c r="F126" s="1564"/>
      <c r="G126" s="1516"/>
      <c r="H126" s="1298"/>
      <c r="I126" s="1299"/>
      <c r="J126" s="1298"/>
      <c r="K126" s="1382"/>
      <c r="L126" s="1382"/>
    </row>
    <row r="127" spans="1:12" s="1199" customFormat="1" ht="24" customHeight="1">
      <c r="A127" s="1564"/>
      <c r="B127" s="1565"/>
      <c r="C127" s="1533"/>
      <c r="D127" s="1534"/>
      <c r="E127" s="1566"/>
      <c r="F127" s="1564"/>
      <c r="G127" s="1516"/>
      <c r="H127" s="1298"/>
      <c r="I127" s="1299"/>
      <c r="J127" s="1298"/>
      <c r="K127" s="1382"/>
      <c r="L127" s="1382"/>
    </row>
    <row r="128" spans="1:12" s="1199" customFormat="1" ht="24" customHeight="1">
      <c r="A128" s="1564"/>
      <c r="B128" s="1565"/>
      <c r="C128" s="1533"/>
      <c r="D128" s="1534"/>
      <c r="E128" s="1566"/>
      <c r="F128" s="1564"/>
      <c r="G128" s="1516"/>
      <c r="H128" s="1298"/>
      <c r="I128" s="1299"/>
      <c r="J128" s="1298"/>
      <c r="K128" s="1382"/>
      <c r="L128" s="1382"/>
    </row>
    <row r="129" spans="1:13" s="1199" customFormat="1" ht="24" customHeight="1">
      <c r="A129" s="1564"/>
      <c r="B129" s="1565"/>
      <c r="C129" s="1533"/>
      <c r="D129" s="1534"/>
      <c r="E129" s="1566"/>
      <c r="F129" s="1564"/>
      <c r="G129" s="1516"/>
      <c r="H129" s="1298"/>
      <c r="I129" s="1299"/>
      <c r="J129" s="1298"/>
      <c r="K129" s="1382"/>
      <c r="L129" s="1382"/>
    </row>
    <row r="130" spans="1:13" s="1199" customFormat="1" ht="24" customHeight="1">
      <c r="A130" s="1564"/>
      <c r="B130" s="1565"/>
      <c r="C130" s="1533"/>
      <c r="D130" s="1534"/>
      <c r="E130" s="1566"/>
      <c r="F130" s="1564"/>
      <c r="G130" s="1516"/>
      <c r="H130" s="1298"/>
      <c r="I130" s="1299"/>
      <c r="J130" s="1298"/>
      <c r="K130" s="1382"/>
      <c r="L130" s="1382"/>
    </row>
    <row r="131" spans="1:13" s="1199" customFormat="1" ht="24" customHeight="1">
      <c r="A131" s="1564"/>
      <c r="B131" s="1565"/>
      <c r="C131" s="1533"/>
      <c r="D131" s="1534"/>
      <c r="E131" s="1566"/>
      <c r="F131" s="1564"/>
      <c r="G131" s="1516"/>
      <c r="H131" s="1298"/>
      <c r="I131" s="1299"/>
      <c r="J131" s="1298"/>
      <c r="K131" s="1382"/>
      <c r="L131" s="1382"/>
    </row>
    <row r="132" spans="1:13" s="1199" customFormat="1" ht="24" customHeight="1">
      <c r="A132" s="1564"/>
      <c r="B132" s="1565"/>
      <c r="C132" s="1533"/>
      <c r="D132" s="1534"/>
      <c r="E132" s="1566"/>
      <c r="F132" s="1564"/>
      <c r="G132" s="1516"/>
      <c r="H132" s="1298"/>
      <c r="I132" s="1299"/>
      <c r="J132" s="1298"/>
      <c r="K132" s="1382"/>
      <c r="L132" s="1382"/>
    </row>
    <row r="133" spans="1:13" s="1199" customFormat="1" ht="24" customHeight="1">
      <c r="A133" s="1564"/>
      <c r="B133" s="1565"/>
      <c r="C133" s="1533"/>
      <c r="D133" s="1534"/>
      <c r="E133" s="1566"/>
      <c r="F133" s="1564"/>
      <c r="G133" s="1516"/>
      <c r="H133" s="1298"/>
      <c r="I133" s="1299"/>
      <c r="J133" s="1298"/>
      <c r="K133" s="1382"/>
      <c r="L133" s="1382"/>
    </row>
    <row r="134" spans="1:13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583"/>
      <c r="M134" s="1214"/>
    </row>
    <row r="135" spans="1:13" s="1199" customFormat="1" ht="21.3">
      <c r="A135" s="1427"/>
      <c r="E135" s="1570"/>
    </row>
    <row r="136" spans="1:13" s="1199" customFormat="1" ht="21.3">
      <c r="A136" s="1427"/>
      <c r="E136" s="1570"/>
    </row>
    <row r="137" spans="1:13" s="1199" customFormat="1" ht="21.3">
      <c r="A137" s="1427"/>
      <c r="E137" s="1570"/>
    </row>
    <row r="138" spans="1:13" s="1199" customFormat="1" ht="21.3">
      <c r="A138" s="1427"/>
      <c r="E138" s="1570"/>
    </row>
    <row r="139" spans="1:13" s="1199" customFormat="1" ht="21.3">
      <c r="A139" s="1427"/>
      <c r="E139" s="1570"/>
    </row>
    <row r="140" spans="1:13" s="1199" customFormat="1" ht="21.3">
      <c r="A140" s="1427"/>
      <c r="E140" s="1570"/>
    </row>
    <row r="141" spans="1:13" s="1199" customFormat="1" ht="21.3">
      <c r="A141" s="1427"/>
      <c r="E141" s="1570"/>
    </row>
    <row r="142" spans="1:13" s="1199" customFormat="1" ht="21.3">
      <c r="A142" s="1427"/>
      <c r="E142" s="1570"/>
    </row>
    <row r="143" spans="1:13" s="1199" customFormat="1" ht="21.3">
      <c r="A143" s="1427"/>
      <c r="E143" s="1570"/>
    </row>
    <row r="144" spans="1:13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&amp;Rงานระบบสุขาภิบาล/งานระบบดับเพลิงและป้องกันอัคคีภัย ชั้น 10-อาคารด้านทิศตะวันตก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F4821-CE2F-49FB-98DF-2238BF41B90C}">
  <sheetPr>
    <tabColor rgb="FFF42CBB"/>
  </sheetPr>
  <dimension ref="A1:O156"/>
  <sheetViews>
    <sheetView showGridLines="0" view="pageBreakPreview" topLeftCell="A118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29296875" style="1" customWidth="1"/>
    <col min="13" max="14" width="11.29296875" style="1" customWidth="1"/>
    <col min="15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1979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875909</v>
      </c>
      <c r="I12" s="1197"/>
      <c r="J12" s="1196">
        <f>J59</f>
        <v>379416</v>
      </c>
      <c r="K12" s="1553">
        <f t="shared" ref="K12:K17" si="0">SUM(H12:J12)</f>
        <v>1255325</v>
      </c>
      <c r="L12" s="1531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212932</v>
      </c>
      <c r="I13" s="1197"/>
      <c r="J13" s="1196">
        <f>J76</f>
        <v>14000</v>
      </c>
      <c r="K13" s="1553">
        <f t="shared" si="0"/>
        <v>226932</v>
      </c>
      <c r="L13" s="1531"/>
    </row>
    <row r="14" spans="1:12" s="1199" customFormat="1" ht="24" customHeight="1">
      <c r="A14" s="1564" t="str">
        <f>A77</f>
        <v>6.3</v>
      </c>
      <c r="B14" s="1565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69520</v>
      </c>
      <c r="I14" s="1197"/>
      <c r="J14" s="1196">
        <f>J84</f>
        <v>47125</v>
      </c>
      <c r="K14" s="1553">
        <f t="shared" si="0"/>
        <v>116645</v>
      </c>
      <c r="L14" s="1531"/>
    </row>
    <row r="15" spans="1:12" s="1199" customFormat="1" ht="24" customHeight="1">
      <c r="A15" s="1564">
        <f>A85</f>
        <v>6.4</v>
      </c>
      <c r="B15" s="1565" t="str">
        <f>B85</f>
        <v>ตู้ดับเพลิงและถังดับเพลิงชนิดมือถือ (Fire Hose Cabinet &amp; Portable Fire Extinguisher)</v>
      </c>
      <c r="C15" s="1533"/>
      <c r="D15" s="1534"/>
      <c r="E15" s="1569">
        <v>1</v>
      </c>
      <c r="F15" s="1567" t="s">
        <v>19</v>
      </c>
      <c r="G15" s="1195"/>
      <c r="H15" s="1196">
        <f>H109</f>
        <v>209000</v>
      </c>
      <c r="I15" s="1197"/>
      <c r="J15" s="1196">
        <f>J109</f>
        <v>12890</v>
      </c>
      <c r="K15" s="1553">
        <f t="shared" si="0"/>
        <v>221890</v>
      </c>
      <c r="L15" s="1531"/>
    </row>
    <row r="16" spans="1:12" s="1199" customFormat="1" ht="24" customHeight="1">
      <c r="A16" s="1741" t="str">
        <f>A110</f>
        <v>6.5</v>
      </c>
      <c r="B16" s="1565" t="str">
        <f>B110</f>
        <v>ระบบไฟฟ้าและควบคุม (Electrical &amp; Control System) สำหรับระบบป้องกันอัคคีภัย</v>
      </c>
      <c r="C16" s="1533"/>
      <c r="D16" s="1534"/>
      <c r="E16" s="1566">
        <v>1</v>
      </c>
      <c r="F16" s="1567" t="s">
        <v>19</v>
      </c>
      <c r="G16" s="1195"/>
      <c r="H16" s="1196">
        <f>H118</f>
        <v>42560</v>
      </c>
      <c r="I16" s="1197"/>
      <c r="J16" s="1196">
        <f>J118</f>
        <v>4256</v>
      </c>
      <c r="K16" s="1553">
        <f t="shared" si="0"/>
        <v>46816</v>
      </c>
      <c r="L16" s="1531"/>
    </row>
    <row r="17" spans="1:12" s="1199" customFormat="1" ht="24" customHeight="1">
      <c r="A17" s="1564">
        <f>A119</f>
        <v>6.6</v>
      </c>
      <c r="B17" s="1565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2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2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11</v>
      </c>
      <c r="C34" s="2258"/>
      <c r="D34" s="2259"/>
      <c r="E34" s="1579"/>
      <c r="F34" s="1579"/>
      <c r="G34" s="1580"/>
      <c r="H34" s="1581">
        <f>SUM(H12:H33)</f>
        <v>1409921</v>
      </c>
      <c r="I34" s="1582"/>
      <c r="J34" s="1581">
        <f>SUM(J12:J33)</f>
        <v>457687</v>
      </c>
      <c r="K34" s="1583">
        <f>SUM(K12:K33)</f>
        <v>1867608</v>
      </c>
      <c r="L34" s="1583"/>
    </row>
    <row r="35" spans="1:12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382"/>
    </row>
    <row r="36" spans="1:12" s="1199" customFormat="1" ht="24" customHeight="1">
      <c r="A36" s="1620" t="s">
        <v>1899</v>
      </c>
      <c r="B36" s="1568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273"/>
    </row>
    <row r="37" spans="1:12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2" s="1199" customFormat="1" ht="24" customHeight="1">
      <c r="A38" s="1564"/>
      <c r="B38" s="1565" t="s">
        <v>1901</v>
      </c>
      <c r="C38" s="1533"/>
      <c r="D38" s="1534"/>
      <c r="E38" s="1688">
        <v>1293</v>
      </c>
      <c r="F38" s="1567" t="s">
        <v>226</v>
      </c>
      <c r="G38" s="1516">
        <v>78</v>
      </c>
      <c r="H38" s="1264">
        <f t="shared" ref="H38:H51" si="1">ROUND(E38*G38,)</f>
        <v>100854</v>
      </c>
      <c r="I38" s="1265">
        <v>45</v>
      </c>
      <c r="J38" s="1264">
        <f t="shared" ref="J38:J51" si="2">ROUND(I38*E38,)</f>
        <v>58185</v>
      </c>
      <c r="K38" s="1273">
        <f t="shared" ref="K38:K51" si="3">H38+J38</f>
        <v>159039</v>
      </c>
      <c r="L38" s="1273"/>
    </row>
    <row r="39" spans="1:12" s="1199" customFormat="1" ht="24" customHeight="1">
      <c r="A39" s="1564"/>
      <c r="B39" s="1565" t="s">
        <v>1338</v>
      </c>
      <c r="C39" s="1533"/>
      <c r="D39" s="1534"/>
      <c r="E39" s="1688">
        <v>293</v>
      </c>
      <c r="F39" s="1567" t="s">
        <v>226</v>
      </c>
      <c r="G39" s="1516">
        <v>105</v>
      </c>
      <c r="H39" s="1264">
        <f t="shared" si="1"/>
        <v>30765</v>
      </c>
      <c r="I39" s="1299">
        <v>60</v>
      </c>
      <c r="J39" s="1264">
        <f t="shared" si="2"/>
        <v>17580</v>
      </c>
      <c r="K39" s="1273">
        <f t="shared" si="3"/>
        <v>48345</v>
      </c>
      <c r="L39" s="1382"/>
    </row>
    <row r="40" spans="1:12" s="1199" customFormat="1" ht="24" customHeight="1">
      <c r="A40" s="1564"/>
      <c r="B40" s="1565" t="s">
        <v>1339</v>
      </c>
      <c r="C40" s="1533"/>
      <c r="D40" s="1534"/>
      <c r="E40" s="1688">
        <v>356</v>
      </c>
      <c r="F40" s="1567" t="s">
        <v>226</v>
      </c>
      <c r="G40" s="1661">
        <v>126</v>
      </c>
      <c r="H40" s="1264">
        <f t="shared" si="1"/>
        <v>44856</v>
      </c>
      <c r="I40" s="1589">
        <v>70</v>
      </c>
      <c r="J40" s="1264">
        <f t="shared" si="2"/>
        <v>24920</v>
      </c>
      <c r="K40" s="1273">
        <f t="shared" si="3"/>
        <v>69776</v>
      </c>
      <c r="L40" s="1382"/>
    </row>
    <row r="41" spans="1:12" s="1199" customFormat="1" ht="24" customHeight="1">
      <c r="A41" s="1564"/>
      <c r="B41" s="1565" t="s">
        <v>1340</v>
      </c>
      <c r="C41" s="1533"/>
      <c r="D41" s="1534"/>
      <c r="E41" s="1688">
        <v>336</v>
      </c>
      <c r="F41" s="1567" t="s">
        <v>226</v>
      </c>
      <c r="G41" s="1661">
        <v>169</v>
      </c>
      <c r="H41" s="1264">
        <f t="shared" si="1"/>
        <v>56784</v>
      </c>
      <c r="I41" s="1589">
        <v>95</v>
      </c>
      <c r="J41" s="1264">
        <f t="shared" si="2"/>
        <v>31920</v>
      </c>
      <c r="K41" s="1273">
        <f t="shared" si="3"/>
        <v>88704</v>
      </c>
      <c r="L41" s="1382"/>
    </row>
    <row r="42" spans="1:12" s="1199" customFormat="1" ht="24" customHeight="1">
      <c r="A42" s="1564"/>
      <c r="B42" s="1565" t="s">
        <v>1341</v>
      </c>
      <c r="C42" s="1533"/>
      <c r="D42" s="1534"/>
      <c r="E42" s="1688">
        <v>118</v>
      </c>
      <c r="F42" s="1567" t="s">
        <v>226</v>
      </c>
      <c r="G42" s="1661">
        <v>268</v>
      </c>
      <c r="H42" s="1264">
        <f t="shared" si="1"/>
        <v>31624</v>
      </c>
      <c r="I42" s="1589">
        <v>150</v>
      </c>
      <c r="J42" s="1264">
        <f t="shared" si="2"/>
        <v>17700</v>
      </c>
      <c r="K42" s="1273">
        <f t="shared" si="3"/>
        <v>49324</v>
      </c>
      <c r="L42" s="1382"/>
    </row>
    <row r="43" spans="1:12" s="1199" customFormat="1" ht="24" customHeight="1">
      <c r="A43" s="1564"/>
      <c r="B43" s="1565" t="s">
        <v>1342</v>
      </c>
      <c r="C43" s="1533"/>
      <c r="D43" s="1534"/>
      <c r="E43" s="1688">
        <v>127</v>
      </c>
      <c r="F43" s="1567" t="s">
        <v>226</v>
      </c>
      <c r="G43" s="1661">
        <v>350</v>
      </c>
      <c r="H43" s="1264">
        <f t="shared" si="1"/>
        <v>44450</v>
      </c>
      <c r="I43" s="1589">
        <v>200</v>
      </c>
      <c r="J43" s="1264">
        <f t="shared" si="2"/>
        <v>25400</v>
      </c>
      <c r="K43" s="1273">
        <f t="shared" si="3"/>
        <v>69850</v>
      </c>
      <c r="L43" s="1382"/>
    </row>
    <row r="44" spans="1:12" s="1199" customFormat="1" ht="24" customHeight="1">
      <c r="A44" s="1564"/>
      <c r="B44" s="1565" t="s">
        <v>1759</v>
      </c>
      <c r="C44" s="1533"/>
      <c r="D44" s="1534"/>
      <c r="E44" s="1688">
        <v>102</v>
      </c>
      <c r="F44" s="1567" t="s">
        <v>226</v>
      </c>
      <c r="G44" s="1661">
        <v>499</v>
      </c>
      <c r="H44" s="1264">
        <f t="shared" si="1"/>
        <v>50898</v>
      </c>
      <c r="I44" s="1589">
        <v>280</v>
      </c>
      <c r="J44" s="1264">
        <f t="shared" si="2"/>
        <v>28560</v>
      </c>
      <c r="K44" s="1273">
        <f t="shared" si="3"/>
        <v>79458</v>
      </c>
      <c r="L44" s="1382"/>
    </row>
    <row r="45" spans="1:12" s="1199" customFormat="1" ht="24" customHeight="1">
      <c r="A45" s="1564"/>
      <c r="B45" s="1565" t="s">
        <v>1754</v>
      </c>
      <c r="C45" s="1533"/>
      <c r="D45" s="1534"/>
      <c r="E45" s="1688">
        <v>84</v>
      </c>
      <c r="F45" s="1567" t="s">
        <v>226</v>
      </c>
      <c r="G45" s="1661">
        <v>877</v>
      </c>
      <c r="H45" s="1264">
        <f t="shared" si="1"/>
        <v>73668</v>
      </c>
      <c r="I45" s="1589">
        <v>500</v>
      </c>
      <c r="J45" s="1264">
        <f t="shared" si="2"/>
        <v>42000</v>
      </c>
      <c r="K45" s="1273">
        <f t="shared" si="3"/>
        <v>115668</v>
      </c>
      <c r="L45" s="1382"/>
    </row>
    <row r="46" spans="1:12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2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2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173560</v>
      </c>
      <c r="H48" s="1264">
        <f t="shared" si="1"/>
        <v>173560</v>
      </c>
      <c r="I48" s="1589">
        <f>ROUND(G48*0.3,)</f>
        <v>52068</v>
      </c>
      <c r="J48" s="1264">
        <f t="shared" si="2"/>
        <v>52068</v>
      </c>
      <c r="K48" s="1273">
        <f t="shared" si="3"/>
        <v>225628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86780</v>
      </c>
      <c r="H49" s="1264">
        <f t="shared" si="1"/>
        <v>86780</v>
      </c>
      <c r="I49" s="1589">
        <f>ROUND(G49*0.3,)</f>
        <v>26034</v>
      </c>
      <c r="J49" s="1264">
        <f t="shared" si="2"/>
        <v>26034</v>
      </c>
      <c r="K49" s="1273">
        <f t="shared" si="3"/>
        <v>112814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43390</v>
      </c>
      <c r="H50" s="1264">
        <f t="shared" si="1"/>
        <v>43390</v>
      </c>
      <c r="I50" s="1589">
        <f>ROUND(G50*0.3,)</f>
        <v>13017</v>
      </c>
      <c r="J50" s="1264">
        <f t="shared" si="2"/>
        <v>13017</v>
      </c>
      <c r="K50" s="1273">
        <f t="shared" si="3"/>
        <v>56407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130170</v>
      </c>
      <c r="H51" s="1264">
        <f t="shared" si="1"/>
        <v>130170</v>
      </c>
      <c r="I51" s="1589">
        <f>ROUND(G51*0.3,)</f>
        <v>39051</v>
      </c>
      <c r="J51" s="1264">
        <f t="shared" si="2"/>
        <v>39051</v>
      </c>
      <c r="K51" s="1273">
        <f t="shared" si="3"/>
        <v>169221</v>
      </c>
      <c r="L51" s="1382"/>
    </row>
    <row r="52" spans="1:15" s="1199" customFormat="1" ht="24" customHeight="1">
      <c r="A52" s="1564" t="s">
        <v>1868</v>
      </c>
      <c r="B52" s="1565" t="s">
        <v>1869</v>
      </c>
      <c r="C52" s="1533"/>
      <c r="D52" s="1534"/>
      <c r="E52" s="1566"/>
      <c r="F52" s="1567"/>
      <c r="G52" s="1516"/>
      <c r="H52" s="1298"/>
      <c r="I52" s="1299"/>
      <c r="J52" s="1298"/>
      <c r="K52" s="1382"/>
      <c r="L52" s="1382"/>
    </row>
    <row r="53" spans="1:15" s="1199" customFormat="1" ht="24" customHeight="1">
      <c r="A53" s="1564"/>
      <c r="B53" s="1565" t="s">
        <v>1901</v>
      </c>
      <c r="C53" s="1533"/>
      <c r="D53" s="1534"/>
      <c r="E53" s="825">
        <v>5</v>
      </c>
      <c r="F53" s="1567" t="s">
        <v>226</v>
      </c>
      <c r="G53" s="1516">
        <v>124</v>
      </c>
      <c r="H53" s="1264">
        <f>ROUND(E53*G53,)</f>
        <v>620</v>
      </c>
      <c r="I53" s="1265">
        <v>50</v>
      </c>
      <c r="J53" s="1264">
        <f t="shared" ref="J53:J54" si="4">ROUND(I53*E53,)</f>
        <v>250</v>
      </c>
      <c r="K53" s="1273">
        <f t="shared" ref="K53:K54" si="5">H53+J53</f>
        <v>870</v>
      </c>
      <c r="L53" s="2082" t="s">
        <v>2667</v>
      </c>
      <c r="N53" s="1199">
        <v>745.96</v>
      </c>
      <c r="O53" s="1199">
        <f>ROUND(N53/6,)</f>
        <v>124</v>
      </c>
    </row>
    <row r="54" spans="1:15" s="1199" customFormat="1" ht="24" customHeight="1">
      <c r="A54" s="1564"/>
      <c r="B54" s="1565" t="s">
        <v>1340</v>
      </c>
      <c r="C54" s="1533"/>
      <c r="D54" s="1534"/>
      <c r="E54" s="825">
        <v>15</v>
      </c>
      <c r="F54" s="1567" t="s">
        <v>226</v>
      </c>
      <c r="G54" s="1516">
        <v>259</v>
      </c>
      <c r="H54" s="1264">
        <f t="shared" ref="H54" si="6">ROUND(E54*G54,)</f>
        <v>3885</v>
      </c>
      <c r="I54" s="1299">
        <v>110</v>
      </c>
      <c r="J54" s="1264">
        <f t="shared" si="4"/>
        <v>1650</v>
      </c>
      <c r="K54" s="1273">
        <f t="shared" si="5"/>
        <v>5535</v>
      </c>
      <c r="L54" s="2082" t="s">
        <v>2667</v>
      </c>
      <c r="N54" s="1199">
        <v>1554.48</v>
      </c>
      <c r="O54" s="1199">
        <f>ROUND(N54/6,)</f>
        <v>259</v>
      </c>
    </row>
    <row r="55" spans="1:15" s="1199" customFormat="1" ht="24" customHeight="1">
      <c r="A55" s="1564"/>
      <c r="B55" s="1565" t="s">
        <v>1719</v>
      </c>
      <c r="C55" s="1533"/>
      <c r="D55" s="1534"/>
      <c r="E55" s="1686">
        <v>1</v>
      </c>
      <c r="F55" s="1402" t="s">
        <v>1104</v>
      </c>
      <c r="G55" s="1661">
        <f>ROUND(SUM(H53:H54)*50%,)</f>
        <v>2253</v>
      </c>
      <c r="H55" s="1264">
        <f>ROUND(E55*G55,)</f>
        <v>2253</v>
      </c>
      <c r="I55" s="1589">
        <f>ROUND(G55*0.3,)</f>
        <v>676</v>
      </c>
      <c r="J55" s="1264">
        <f>ROUND(I55*E55,)</f>
        <v>676</v>
      </c>
      <c r="K55" s="1273">
        <f>H55+J55</f>
        <v>2929</v>
      </c>
      <c r="L55" s="1382"/>
    </row>
    <row r="56" spans="1:15" s="1199" customFormat="1" ht="24" customHeight="1">
      <c r="A56" s="1564"/>
      <c r="B56" s="1565" t="s">
        <v>1720</v>
      </c>
      <c r="C56" s="1533"/>
      <c r="D56" s="1534"/>
      <c r="E56" s="1686">
        <v>1</v>
      </c>
      <c r="F56" s="1402" t="s">
        <v>1104</v>
      </c>
      <c r="G56" s="1661">
        <f>ROUND(SUM(H53:H54)*20%,)</f>
        <v>901</v>
      </c>
      <c r="H56" s="1264">
        <f>ROUND(E56*G56,)</f>
        <v>901</v>
      </c>
      <c r="I56" s="1589">
        <f>ROUND(G56*0.3,)</f>
        <v>270</v>
      </c>
      <c r="J56" s="1264">
        <f>ROUND(I56*E56,)</f>
        <v>270</v>
      </c>
      <c r="K56" s="1273">
        <f>H56+J56</f>
        <v>1171</v>
      </c>
      <c r="L56" s="1382"/>
    </row>
    <row r="57" spans="1:15" s="1199" customFormat="1" ht="24" customHeight="1">
      <c r="A57" s="1564"/>
      <c r="B57" s="1565" t="s">
        <v>1721</v>
      </c>
      <c r="C57" s="1533"/>
      <c r="D57" s="1534"/>
      <c r="E57" s="1686">
        <v>1</v>
      </c>
      <c r="F57" s="1402" t="s">
        <v>1104</v>
      </c>
      <c r="G57" s="1661">
        <f>ROUND(SUM(H53:H54)*10%,)</f>
        <v>451</v>
      </c>
      <c r="H57" s="1264">
        <f>ROUND(E57*G57,)</f>
        <v>451</v>
      </c>
      <c r="I57" s="1589">
        <f>ROUND(G57*0.3,)</f>
        <v>135</v>
      </c>
      <c r="J57" s="1264">
        <f>ROUND(I57*E57,)</f>
        <v>135</v>
      </c>
      <c r="K57" s="1273">
        <f>H57+J57</f>
        <v>586</v>
      </c>
      <c r="L57" s="1382"/>
    </row>
    <row r="58" spans="1:15" s="1199" customFormat="1" ht="24" customHeight="1">
      <c r="A58" s="1564"/>
      <c r="B58" s="1597" t="s">
        <v>1117</v>
      </c>
      <c r="C58" s="1533"/>
      <c r="D58" s="1534"/>
      <c r="E58" s="1566"/>
      <c r="F58" s="1567"/>
      <c r="G58" s="1516"/>
      <c r="H58" s="1264"/>
      <c r="I58" s="1265"/>
      <c r="J58" s="1264"/>
      <c r="K58" s="1273"/>
      <c r="L58" s="1638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875909</v>
      </c>
      <c r="I59" s="1582"/>
      <c r="J59" s="1581">
        <f>SUM(J37:J58)</f>
        <v>379416</v>
      </c>
      <c r="K59" s="1583">
        <f>SUM(K37:K58)</f>
        <v>1255325</v>
      </c>
      <c r="L59" s="1583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382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8</v>
      </c>
      <c r="F62" s="1567" t="s">
        <v>363</v>
      </c>
      <c r="G62" s="1516">
        <v>400</v>
      </c>
      <c r="H62" s="1264">
        <f>ROUND(E62*G62,)</f>
        <v>3200</v>
      </c>
      <c r="I62" s="1299">
        <v>200</v>
      </c>
      <c r="J62" s="1264">
        <f>ROUND(I62*E62,)</f>
        <v>1600</v>
      </c>
      <c r="K62" s="1273">
        <f>H62+J62</f>
        <v>4800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4</v>
      </c>
      <c r="F64" s="1567" t="s">
        <v>363</v>
      </c>
      <c r="G64" s="1516">
        <v>13100</v>
      </c>
      <c r="H64" s="1264">
        <f>ROUND(E64*G64,)</f>
        <v>52400</v>
      </c>
      <c r="I64" s="1299">
        <v>1200</v>
      </c>
      <c r="J64" s="1264">
        <f>ROUND(I64*E64,)</f>
        <v>4800</v>
      </c>
      <c r="K64" s="1273">
        <f>H64+J64</f>
        <v>57200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4</v>
      </c>
      <c r="F66" s="1567" t="s">
        <v>363</v>
      </c>
      <c r="G66" s="1516">
        <v>1963</v>
      </c>
      <c r="H66" s="1264">
        <f>ROUND(E66*G66,)</f>
        <v>7852</v>
      </c>
      <c r="I66" s="1299">
        <v>400</v>
      </c>
      <c r="J66" s="1264">
        <f>ROUND(I66*E66,)</f>
        <v>1600</v>
      </c>
      <c r="K66" s="1273">
        <f>H66+J66</f>
        <v>9452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4</v>
      </c>
      <c r="F67" s="1567" t="s">
        <v>363</v>
      </c>
      <c r="G67" s="1516">
        <v>900</v>
      </c>
      <c r="H67" s="1264">
        <f>ROUND(E67*G67,)</f>
        <v>3600</v>
      </c>
      <c r="I67" s="1299">
        <v>100</v>
      </c>
      <c r="J67" s="1264">
        <f>ROUND(I67*E67,)</f>
        <v>400</v>
      </c>
      <c r="K67" s="1273">
        <f>H67+J67</f>
        <v>4000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4</v>
      </c>
      <c r="F69" s="1567" t="s">
        <v>363</v>
      </c>
      <c r="G69" s="1516">
        <v>17400</v>
      </c>
      <c r="H69" s="1264">
        <f>ROUND(E69*G69,)</f>
        <v>69600</v>
      </c>
      <c r="I69" s="1299">
        <v>1200</v>
      </c>
      <c r="J69" s="1264">
        <f>ROUND(I69*E69,)</f>
        <v>4800</v>
      </c>
      <c r="K69" s="1273">
        <f>H69+J69</f>
        <v>74400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4</v>
      </c>
      <c r="F71" s="1567" t="s">
        <v>363</v>
      </c>
      <c r="G71" s="1516">
        <v>1010</v>
      </c>
      <c r="H71" s="1264">
        <f>ROUND(E71*G71,)</f>
        <v>4040</v>
      </c>
      <c r="I71" s="1299">
        <v>100</v>
      </c>
      <c r="J71" s="1264">
        <f>ROUND(I71*E71,)</f>
        <v>400</v>
      </c>
      <c r="K71" s="1273">
        <f>H71+J71</f>
        <v>4440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4</v>
      </c>
      <c r="F73" s="1567" t="s">
        <v>363</v>
      </c>
      <c r="G73" s="1515">
        <v>18060</v>
      </c>
      <c r="H73" s="1264">
        <f>ROUND(E73*G73,)</f>
        <v>72240</v>
      </c>
      <c r="I73" s="1299">
        <v>100</v>
      </c>
      <c r="J73" s="1264">
        <f>ROUND(I73*E73,)</f>
        <v>400</v>
      </c>
      <c r="K73" s="1273">
        <f>H73+J73</f>
        <v>72640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65" t="s">
        <v>1896</v>
      </c>
      <c r="C75" s="1533"/>
      <c r="D75" s="1534"/>
      <c r="E75" s="1566"/>
      <c r="F75" s="1567"/>
      <c r="G75" s="1516"/>
      <c r="H75" s="1264"/>
      <c r="I75" s="1265"/>
      <c r="J75" s="1264"/>
      <c r="K75" s="1273"/>
      <c r="L75" s="1273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SUM(H61:H75)</f>
        <v>212932</v>
      </c>
      <c r="I76" s="1582"/>
      <c r="J76" s="1581">
        <f>SUM(J61:J75)</f>
        <v>14000</v>
      </c>
      <c r="K76" s="1583">
        <f>SUM(K61:K75)</f>
        <v>226932</v>
      </c>
      <c r="L76" s="1583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58"/>
      <c r="H77" s="1298"/>
      <c r="I77" s="1299"/>
      <c r="J77" s="1298"/>
      <c r="K77" s="1382"/>
      <c r="L77" s="1382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>
        <v>621</v>
      </c>
      <c r="F78" s="1676" t="s">
        <v>363</v>
      </c>
      <c r="G78" s="1558">
        <v>110</v>
      </c>
      <c r="H78" s="1264">
        <f>ROUND(E78*G78,)</f>
        <v>68310</v>
      </c>
      <c r="I78" s="1299">
        <v>75</v>
      </c>
      <c r="J78" s="1264">
        <f>ROUND(I78*E78,)</f>
        <v>46575</v>
      </c>
      <c r="K78" s="1273">
        <f>H78+J78</f>
        <v>114885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58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/>
      <c r="F80" s="1676" t="s">
        <v>363</v>
      </c>
      <c r="G80" s="1558">
        <v>800</v>
      </c>
      <c r="H80" s="1264">
        <f>ROUND(E80*G80,)</f>
        <v>0</v>
      </c>
      <c r="I80" s="1299">
        <v>50</v>
      </c>
      <c r="J80" s="1264">
        <f>ROUND(I80*E80,)</f>
        <v>0</v>
      </c>
      <c r="K80" s="1273">
        <f>H80+J80</f>
        <v>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11</v>
      </c>
      <c r="F81" s="1676" t="s">
        <v>363</v>
      </c>
      <c r="G81" s="1558">
        <v>110</v>
      </c>
      <c r="H81" s="1264">
        <f>ROUND(E81*G81,)</f>
        <v>1210</v>
      </c>
      <c r="I81" s="1299">
        <v>50</v>
      </c>
      <c r="J81" s="1264">
        <f>ROUND(I81*E81,)</f>
        <v>550</v>
      </c>
      <c r="K81" s="1273">
        <f>H81+J81</f>
        <v>1760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/>
      <c r="F82" s="1676"/>
      <c r="G82" s="1558"/>
      <c r="H82" s="1298"/>
      <c r="I82" s="1299"/>
      <c r="J82" s="1298"/>
      <c r="K82" s="1382"/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58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69520</v>
      </c>
      <c r="I84" s="1582"/>
      <c r="J84" s="1581">
        <f>SUM(J78:J83)</f>
        <v>47125</v>
      </c>
      <c r="K84" s="1583">
        <f>SUM(K78:K83)</f>
        <v>116645</v>
      </c>
      <c r="L84" s="1583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502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4</v>
      </c>
      <c r="F87" s="1564" t="s">
        <v>363</v>
      </c>
      <c r="G87" s="1558">
        <v>6500</v>
      </c>
      <c r="H87" s="1264">
        <f t="shared" ref="H87:H92" si="7">ROUND(E87*G87,)</f>
        <v>26000</v>
      </c>
      <c r="I87" s="1265">
        <f>G87*0.3</f>
        <v>1950</v>
      </c>
      <c r="J87" s="1264">
        <f>ROUND(I87*E87,)</f>
        <v>7800</v>
      </c>
      <c r="K87" s="1273">
        <f t="shared" ref="K87:K92" si="8">H87+J87</f>
        <v>33800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4</v>
      </c>
      <c r="F88" s="1572" t="s">
        <v>363</v>
      </c>
      <c r="G88" s="1694">
        <v>1200</v>
      </c>
      <c r="H88" s="1264">
        <f t="shared" si="7"/>
        <v>4800</v>
      </c>
      <c r="I88" s="1265" t="s">
        <v>1683</v>
      </c>
      <c r="J88" s="1264"/>
      <c r="K88" s="1273">
        <f t="shared" si="8"/>
        <v>4800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4</v>
      </c>
      <c r="F89" s="1564" t="s">
        <v>363</v>
      </c>
      <c r="G89" s="1558">
        <v>19200</v>
      </c>
      <c r="H89" s="1264">
        <f t="shared" si="7"/>
        <v>76800</v>
      </c>
      <c r="I89" s="1265" t="s">
        <v>1683</v>
      </c>
      <c r="J89" s="1264"/>
      <c r="K89" s="1273">
        <f t="shared" si="8"/>
        <v>76800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4</v>
      </c>
      <c r="F90" s="1564" t="s">
        <v>363</v>
      </c>
      <c r="G90" s="1558">
        <v>4910</v>
      </c>
      <c r="H90" s="1264">
        <f t="shared" si="7"/>
        <v>19640</v>
      </c>
      <c r="I90" s="1265" t="s">
        <v>1683</v>
      </c>
      <c r="J90" s="1264"/>
      <c r="K90" s="1273">
        <f t="shared" si="8"/>
        <v>19640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4</v>
      </c>
      <c r="F91" s="1564" t="s">
        <v>363</v>
      </c>
      <c r="G91" s="1558">
        <v>1420</v>
      </c>
      <c r="H91" s="1264">
        <f t="shared" si="7"/>
        <v>5680</v>
      </c>
      <c r="I91" s="1265" t="s">
        <v>1683</v>
      </c>
      <c r="J91" s="1264"/>
      <c r="K91" s="1273">
        <f t="shared" si="8"/>
        <v>5680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4</v>
      </c>
      <c r="F92" s="1564" t="s">
        <v>363</v>
      </c>
      <c r="G92" s="1558">
        <v>720</v>
      </c>
      <c r="H92" s="1264">
        <f t="shared" si="7"/>
        <v>2880</v>
      </c>
      <c r="I92" s="1265" t="s">
        <v>1683</v>
      </c>
      <c r="J92" s="1264"/>
      <c r="K92" s="1273">
        <f t="shared" si="8"/>
        <v>2880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4</v>
      </c>
      <c r="F101" s="1564" t="s">
        <v>363</v>
      </c>
      <c r="G101" s="1558">
        <v>1000</v>
      </c>
      <c r="H101" s="1264">
        <f>ROUND(E101*G101,)</f>
        <v>4000</v>
      </c>
      <c r="I101" s="1695">
        <v>200</v>
      </c>
      <c r="J101" s="1264">
        <f>ROUND(I101*E101,)</f>
        <v>800</v>
      </c>
      <c r="K101" s="1273">
        <f>H101+J101</f>
        <v>4800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1117</v>
      </c>
      <c r="C104" s="1533"/>
      <c r="D104" s="1534"/>
      <c r="E104" s="1566"/>
      <c r="F104" s="1564"/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 t="s">
        <v>1896</v>
      </c>
      <c r="C105" s="1533"/>
      <c r="D105" s="1534"/>
      <c r="E105" s="1566"/>
      <c r="F105" s="1564"/>
      <c r="G105" s="1558"/>
      <c r="H105" s="1264"/>
      <c r="I105" s="1695"/>
      <c r="J105" s="1264"/>
      <c r="K105" s="1273"/>
      <c r="L105" s="1687"/>
    </row>
    <row r="106" spans="1:12" s="1199" customFormat="1" ht="24" customHeight="1">
      <c r="A106" s="1564"/>
      <c r="B106" s="1565"/>
      <c r="C106" s="1533"/>
      <c r="D106" s="1534"/>
      <c r="E106" s="1566"/>
      <c r="F106" s="1564"/>
      <c r="G106" s="1558"/>
      <c r="H106" s="1264"/>
      <c r="I106" s="1695"/>
      <c r="J106" s="1264"/>
      <c r="K106" s="1273"/>
      <c r="L106" s="1687"/>
    </row>
    <row r="107" spans="1:12" s="1199" customFormat="1" ht="24" customHeight="1">
      <c r="A107" s="1564"/>
      <c r="B107" s="1565"/>
      <c r="C107" s="1533"/>
      <c r="D107" s="1534"/>
      <c r="E107" s="1566"/>
      <c r="F107" s="1564"/>
      <c r="G107" s="1558"/>
      <c r="H107" s="1264"/>
      <c r="I107" s="1695"/>
      <c r="J107" s="1264"/>
      <c r="K107" s="1273"/>
      <c r="L107" s="1687"/>
    </row>
    <row r="108" spans="1:12" s="1199" customFormat="1" ht="24" customHeight="1">
      <c r="A108" s="1572"/>
      <c r="B108" s="1573"/>
      <c r="C108" s="1574"/>
      <c r="D108" s="1575"/>
      <c r="E108" s="1598"/>
      <c r="F108" s="1572"/>
      <c r="G108" s="1558"/>
      <c r="H108" s="1264"/>
      <c r="I108" s="1695"/>
      <c r="J108" s="1264"/>
      <c r="K108" s="1273"/>
      <c r="L108" s="168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209000</v>
      </c>
      <c r="I109" s="1582"/>
      <c r="J109" s="1581">
        <f>SUM(J86:J108)</f>
        <v>12890</v>
      </c>
      <c r="K109" s="1583">
        <f>SUM(K86:K108)</f>
        <v>221890</v>
      </c>
      <c r="L109" s="1583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502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4</v>
      </c>
      <c r="F111" s="1564" t="s">
        <v>363</v>
      </c>
      <c r="G111" s="1516">
        <v>4460</v>
      </c>
      <c r="H111" s="1264">
        <f>ROUND(E111*G111,)</f>
        <v>17840</v>
      </c>
      <c r="I111" s="1265">
        <f>G111*0.1</f>
        <v>446</v>
      </c>
      <c r="J111" s="1264">
        <f>ROUND(I111*E111,)</f>
        <v>1784</v>
      </c>
      <c r="K111" s="1273">
        <f>H111+J111</f>
        <v>19624</v>
      </c>
      <c r="L111" s="1273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4</v>
      </c>
      <c r="F112" s="1564" t="s">
        <v>363</v>
      </c>
      <c r="G112" s="1516">
        <v>6180</v>
      </c>
      <c r="H112" s="1264">
        <f>ROUND(E112*G112,)</f>
        <v>24720</v>
      </c>
      <c r="I112" s="1265">
        <f>G112*0.1</f>
        <v>618</v>
      </c>
      <c r="J112" s="1264">
        <f>ROUND(I112*E112,)</f>
        <v>2472</v>
      </c>
      <c r="K112" s="1273">
        <f>H112+J112</f>
        <v>27192</v>
      </c>
      <c r="L112" s="1382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382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382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382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382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382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42560</v>
      </c>
      <c r="I118" s="1582"/>
      <c r="J118" s="1581">
        <f>SUM(J111:J117)</f>
        <v>4256</v>
      </c>
      <c r="K118" s="1583">
        <f>SUM(K111:K117)</f>
        <v>46816</v>
      </c>
      <c r="L118" s="1583"/>
    </row>
    <row r="119" spans="1:12" s="1199" customFormat="1" ht="24" customHeight="1">
      <c r="A119" s="1564">
        <v>6.6</v>
      </c>
      <c r="B119" s="1565" t="s">
        <v>1424</v>
      </c>
      <c r="C119" s="1533"/>
      <c r="D119" s="1534"/>
      <c r="E119" s="1566">
        <v>1</v>
      </c>
      <c r="F119" s="1564" t="s">
        <v>1104</v>
      </c>
      <c r="G119" s="1708" t="s">
        <v>1952</v>
      </c>
      <c r="H119" s="1298"/>
      <c r="I119" s="1299"/>
      <c r="J119" s="1298"/>
      <c r="K119" s="1382"/>
      <c r="L119" s="1382"/>
    </row>
    <row r="120" spans="1:12" s="1199" customFormat="1" ht="24" customHeight="1">
      <c r="A120" s="1564"/>
      <c r="B120" s="1565"/>
      <c r="C120" s="1533"/>
      <c r="D120" s="1534"/>
      <c r="E120" s="1566"/>
      <c r="F120" s="1564"/>
      <c r="G120" s="1516"/>
      <c r="H120" s="1298"/>
      <c r="I120" s="1299"/>
      <c r="J120" s="1298"/>
      <c r="K120" s="1382"/>
      <c r="L120" s="1382"/>
    </row>
    <row r="121" spans="1:12" s="1199" customFormat="1" ht="24" customHeight="1">
      <c r="A121" s="1564"/>
      <c r="B121" s="1565"/>
      <c r="C121" s="1533"/>
      <c r="D121" s="1534"/>
      <c r="E121" s="1566"/>
      <c r="F121" s="1564"/>
      <c r="G121" s="1516"/>
      <c r="H121" s="1298"/>
      <c r="I121" s="1299"/>
      <c r="J121" s="1298"/>
      <c r="K121" s="1382"/>
      <c r="L121" s="1382"/>
    </row>
    <row r="122" spans="1:12" s="1199" customFormat="1" ht="24" customHeight="1">
      <c r="A122" s="1564"/>
      <c r="B122" s="1565"/>
      <c r="C122" s="1533"/>
      <c r="D122" s="1534"/>
      <c r="E122" s="1566"/>
      <c r="F122" s="1564"/>
      <c r="G122" s="1516"/>
      <c r="H122" s="1298"/>
      <c r="I122" s="1299"/>
      <c r="J122" s="1298"/>
      <c r="K122" s="1382"/>
      <c r="L122" s="1382"/>
    </row>
    <row r="123" spans="1:12" s="1199" customFormat="1" ht="24" customHeight="1">
      <c r="A123" s="1564"/>
      <c r="B123" s="1565"/>
      <c r="C123" s="1533"/>
      <c r="D123" s="1534"/>
      <c r="E123" s="1566"/>
      <c r="F123" s="1564"/>
      <c r="G123" s="1516"/>
      <c r="H123" s="1298"/>
      <c r="I123" s="1299"/>
      <c r="J123" s="1298"/>
      <c r="K123" s="1382"/>
      <c r="L123" s="1382"/>
    </row>
    <row r="124" spans="1:12" s="1199" customFormat="1" ht="24" customHeight="1">
      <c r="A124" s="1564"/>
      <c r="B124" s="1565"/>
      <c r="C124" s="1533"/>
      <c r="D124" s="1534"/>
      <c r="E124" s="1566"/>
      <c r="F124" s="1564"/>
      <c r="G124" s="1516"/>
      <c r="H124" s="1298"/>
      <c r="I124" s="1299"/>
      <c r="J124" s="1298"/>
      <c r="K124" s="1382"/>
      <c r="L124" s="1382"/>
    </row>
    <row r="125" spans="1:12" s="1199" customFormat="1" ht="24" customHeight="1">
      <c r="A125" s="1564"/>
      <c r="B125" s="1565"/>
      <c r="C125" s="1533"/>
      <c r="D125" s="1534"/>
      <c r="E125" s="1566"/>
      <c r="F125" s="1564"/>
      <c r="G125" s="1516"/>
      <c r="H125" s="1298"/>
      <c r="I125" s="1299"/>
      <c r="J125" s="1298"/>
      <c r="K125" s="1382"/>
      <c r="L125" s="1382"/>
    </row>
    <row r="126" spans="1:12" s="1199" customFormat="1" ht="24" customHeight="1">
      <c r="A126" s="1564"/>
      <c r="B126" s="1565"/>
      <c r="C126" s="1533"/>
      <c r="D126" s="1534"/>
      <c r="E126" s="1566"/>
      <c r="F126" s="1564"/>
      <c r="G126" s="1516"/>
      <c r="H126" s="1298"/>
      <c r="I126" s="1299"/>
      <c r="J126" s="1298"/>
      <c r="K126" s="1382"/>
      <c r="L126" s="1382"/>
    </row>
    <row r="127" spans="1:12" s="1199" customFormat="1" ht="24" customHeight="1">
      <c r="A127" s="1564"/>
      <c r="B127" s="1565"/>
      <c r="C127" s="1533"/>
      <c r="D127" s="1534"/>
      <c r="E127" s="1566"/>
      <c r="F127" s="1564"/>
      <c r="G127" s="1516"/>
      <c r="H127" s="1298"/>
      <c r="I127" s="1299"/>
      <c r="J127" s="1298"/>
      <c r="K127" s="1382"/>
      <c r="L127" s="1382"/>
    </row>
    <row r="128" spans="1:12" s="1199" customFormat="1" ht="24" customHeight="1">
      <c r="A128" s="1564"/>
      <c r="B128" s="1565"/>
      <c r="C128" s="1533"/>
      <c r="D128" s="1534"/>
      <c r="E128" s="1566"/>
      <c r="F128" s="1564"/>
      <c r="G128" s="1516"/>
      <c r="H128" s="1298"/>
      <c r="I128" s="1299"/>
      <c r="J128" s="1298"/>
      <c r="K128" s="1382"/>
      <c r="L128" s="1382"/>
    </row>
    <row r="129" spans="1:12" s="1199" customFormat="1" ht="24" customHeight="1">
      <c r="A129" s="1564"/>
      <c r="B129" s="1565"/>
      <c r="C129" s="1533"/>
      <c r="D129" s="1534"/>
      <c r="E129" s="1566"/>
      <c r="F129" s="1564"/>
      <c r="G129" s="1516"/>
      <c r="H129" s="1298"/>
      <c r="I129" s="1299"/>
      <c r="J129" s="1298"/>
      <c r="K129" s="1382"/>
      <c r="L129" s="1382"/>
    </row>
    <row r="130" spans="1:12" s="1199" customFormat="1" ht="24" customHeight="1">
      <c r="A130" s="1564"/>
      <c r="B130" s="1565"/>
      <c r="C130" s="1533"/>
      <c r="D130" s="1534"/>
      <c r="E130" s="1566"/>
      <c r="F130" s="1564"/>
      <c r="G130" s="1516"/>
      <c r="H130" s="1298"/>
      <c r="I130" s="1299"/>
      <c r="J130" s="1298"/>
      <c r="K130" s="1382"/>
      <c r="L130" s="1382"/>
    </row>
    <row r="131" spans="1:12" s="1199" customFormat="1" ht="24" customHeight="1">
      <c r="A131" s="1564"/>
      <c r="B131" s="1565"/>
      <c r="C131" s="1533"/>
      <c r="D131" s="1534"/>
      <c r="E131" s="1566"/>
      <c r="F131" s="1564"/>
      <c r="G131" s="1516"/>
      <c r="H131" s="1298"/>
      <c r="I131" s="1299"/>
      <c r="J131" s="1298"/>
      <c r="K131" s="1382"/>
      <c r="L131" s="1382"/>
    </row>
    <row r="132" spans="1:12" s="1199" customFormat="1" ht="24" customHeight="1">
      <c r="A132" s="1564"/>
      <c r="B132" s="1565"/>
      <c r="C132" s="1533"/>
      <c r="D132" s="1534"/>
      <c r="E132" s="1566"/>
      <c r="F132" s="1564"/>
      <c r="G132" s="1516"/>
      <c r="H132" s="1298"/>
      <c r="I132" s="1299"/>
      <c r="J132" s="1298"/>
      <c r="K132" s="1382"/>
      <c r="L132" s="1382"/>
    </row>
    <row r="133" spans="1:12" s="1199" customFormat="1" ht="24" customHeight="1">
      <c r="A133" s="1564"/>
      <c r="B133" s="1565"/>
      <c r="C133" s="1533"/>
      <c r="D133" s="1534"/>
      <c r="E133" s="1566"/>
      <c r="F133" s="1564"/>
      <c r="G133" s="1516"/>
      <c r="H133" s="1298"/>
      <c r="I133" s="1299"/>
      <c r="J133" s="1298"/>
      <c r="K133" s="1382"/>
      <c r="L133" s="1382"/>
    </row>
    <row r="134" spans="1:12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583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11-อาคารด้านทิศตะวันตก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322A7-F180-4213-9E1D-0B9EF3927DC4}">
  <sheetPr>
    <tabColor rgb="FFF42CBB"/>
  </sheetPr>
  <dimension ref="A1:O156"/>
  <sheetViews>
    <sheetView showGridLines="0" view="pageBreakPreview" topLeftCell="A115" zoomScale="85" zoomScaleNormal="60" zoomScaleSheetLayoutView="85" workbookViewId="0">
      <selection activeCell="D35" sqref="D3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57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29296875" style="1" customWidth="1"/>
    <col min="13" max="90" width="7.703125" style="1" customWidth="1"/>
    <col min="91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1858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26</v>
      </c>
      <c r="B11" s="1561" t="s">
        <v>1980</v>
      </c>
      <c r="C11" s="1561"/>
      <c r="D11" s="1561"/>
      <c r="E11" s="1562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A36</f>
        <v>6.1</v>
      </c>
      <c r="B12" s="1565" t="str">
        <f>B36</f>
        <v>งานท่อน้ำ (Piping Work)</v>
      </c>
      <c r="C12" s="1533"/>
      <c r="D12" s="1534"/>
      <c r="E12" s="1569">
        <v>1</v>
      </c>
      <c r="F12" s="1567" t="s">
        <v>19</v>
      </c>
      <c r="G12" s="1195"/>
      <c r="H12" s="1196">
        <f>H59</f>
        <v>209205</v>
      </c>
      <c r="I12" s="1197"/>
      <c r="J12" s="1196">
        <f>J59</f>
        <v>90472</v>
      </c>
      <c r="K12" s="1553">
        <f t="shared" ref="K12:K17" si="0">SUM(H12:J12)</f>
        <v>299677</v>
      </c>
      <c r="L12" s="1531"/>
    </row>
    <row r="13" spans="1:12" s="1199" customFormat="1" ht="24" customHeight="1">
      <c r="A13" s="1564">
        <f>A60</f>
        <v>6.2</v>
      </c>
      <c r="B13" s="1565" t="str">
        <f>B60</f>
        <v>วาล์วและอุปกรณ์ (Valve &amp; Pipe Accessories)</v>
      </c>
      <c r="C13" s="1533"/>
      <c r="D13" s="1534"/>
      <c r="E13" s="1569">
        <v>1</v>
      </c>
      <c r="F13" s="1567" t="s">
        <v>19</v>
      </c>
      <c r="G13" s="1195"/>
      <c r="H13" s="1196">
        <f>H76</f>
        <v>106466</v>
      </c>
      <c r="I13" s="1197"/>
      <c r="J13" s="1196">
        <f>J76</f>
        <v>7000</v>
      </c>
      <c r="K13" s="1553">
        <f t="shared" si="0"/>
        <v>113466</v>
      </c>
      <c r="L13" s="1531"/>
    </row>
    <row r="14" spans="1:12" s="1199" customFormat="1" ht="24" customHeight="1">
      <c r="A14" s="1564" t="str">
        <f>A77</f>
        <v>6.3</v>
      </c>
      <c r="B14" s="1565" t="str">
        <f>B77</f>
        <v>ระบบหัวกระจายน้ำดับเพลิง (Sprinkler System)</v>
      </c>
      <c r="C14" s="1533"/>
      <c r="D14" s="1534"/>
      <c r="E14" s="1569">
        <v>1</v>
      </c>
      <c r="F14" s="1567" t="s">
        <v>19</v>
      </c>
      <c r="G14" s="1195"/>
      <c r="H14" s="1196">
        <f>H84</f>
        <v>34910</v>
      </c>
      <c r="I14" s="1197"/>
      <c r="J14" s="1196">
        <f>J84</f>
        <v>8210</v>
      </c>
      <c r="K14" s="1553">
        <f t="shared" si="0"/>
        <v>43120</v>
      </c>
      <c r="L14" s="1531"/>
    </row>
    <row r="15" spans="1:12" s="1199" customFormat="1" ht="24" customHeight="1">
      <c r="A15" s="1642">
        <f>A85</f>
        <v>6.4</v>
      </c>
      <c r="B15" s="1643" t="str">
        <f>B85</f>
        <v>ตู้ดับเพลิงและถังดับเพลิงชนิดมือถือ (Fire Hose Cabinet &amp; Portable Fire Extinguisher)</v>
      </c>
      <c r="C15" s="1607"/>
      <c r="D15" s="1608"/>
      <c r="E15" s="1644">
        <v>1</v>
      </c>
      <c r="F15" s="1610" t="s">
        <v>19</v>
      </c>
      <c r="G15" s="1645"/>
      <c r="H15" s="1646">
        <f>H109</f>
        <v>209000</v>
      </c>
      <c r="I15" s="1647"/>
      <c r="J15" s="1646">
        <f>J109</f>
        <v>12890</v>
      </c>
      <c r="K15" s="1553">
        <f t="shared" si="0"/>
        <v>221890</v>
      </c>
      <c r="L15" s="1740"/>
    </row>
    <row r="16" spans="1:12" s="1199" customFormat="1" ht="24" customHeight="1">
      <c r="A16" s="1641" t="str">
        <f>A110</f>
        <v>6.5</v>
      </c>
      <c r="B16" s="1573" t="str">
        <f>B110</f>
        <v>ระบบไฟฟ้าและควบคุม (Electrical &amp; Control System) สำหรับระบบป้องกันอัคคีภัย</v>
      </c>
      <c r="C16" s="1574"/>
      <c r="D16" s="1575"/>
      <c r="E16" s="1598">
        <v>1</v>
      </c>
      <c r="F16" s="1577" t="s">
        <v>19</v>
      </c>
      <c r="G16" s="1228"/>
      <c r="H16" s="1229">
        <f>H118</f>
        <v>21280</v>
      </c>
      <c r="I16" s="1230"/>
      <c r="J16" s="1229">
        <f>J118</f>
        <v>2128</v>
      </c>
      <c r="K16" s="1553">
        <f t="shared" si="0"/>
        <v>23408</v>
      </c>
      <c r="L16" s="1430"/>
    </row>
    <row r="17" spans="1:12" s="1199" customFormat="1" ht="24" customHeight="1">
      <c r="A17" s="1564">
        <f>A119</f>
        <v>6.6</v>
      </c>
      <c r="B17" s="1565" t="str">
        <f>B119</f>
        <v>ระบบป้องกันไฟและควันลาม (Fire Barrier System)</v>
      </c>
      <c r="C17" s="1533"/>
      <c r="D17" s="1534"/>
      <c r="E17" s="1566">
        <v>1</v>
      </c>
      <c r="F17" s="1567" t="s">
        <v>19</v>
      </c>
      <c r="G17" s="1195"/>
      <c r="H17" s="1196">
        <f>H134</f>
        <v>0</v>
      </c>
      <c r="I17" s="1197"/>
      <c r="J17" s="1196">
        <f>J134</f>
        <v>0</v>
      </c>
      <c r="K17" s="1553">
        <f t="shared" si="0"/>
        <v>0</v>
      </c>
      <c r="L17" s="1531"/>
    </row>
    <row r="18" spans="1:12" s="1199" customFormat="1" ht="24" customHeight="1">
      <c r="A18" s="1564"/>
      <c r="B18" s="1565"/>
      <c r="C18" s="1533"/>
      <c r="D18" s="1534"/>
      <c r="E18" s="1566"/>
      <c r="F18" s="1567"/>
      <c r="G18" s="1195"/>
      <c r="H18" s="1196"/>
      <c r="I18" s="1197"/>
      <c r="J18" s="1196"/>
      <c r="K18" s="1553"/>
      <c r="L18" s="1531"/>
    </row>
    <row r="19" spans="1:12" s="1199" customFormat="1" ht="24" customHeight="1">
      <c r="A19" s="1564"/>
      <c r="B19" s="1565"/>
      <c r="C19" s="1533"/>
      <c r="D19" s="1534"/>
      <c r="E19" s="1566"/>
      <c r="F19" s="1567"/>
      <c r="G19" s="1195"/>
      <c r="H19" s="1196"/>
      <c r="I19" s="1197"/>
      <c r="J19" s="1196"/>
      <c r="K19" s="1553"/>
      <c r="L19" s="1531"/>
    </row>
    <row r="20" spans="1:12" s="1199" customFormat="1" ht="24" customHeight="1">
      <c r="A20" s="1564"/>
      <c r="B20" s="1565"/>
      <c r="C20" s="1533"/>
      <c r="D20" s="1534"/>
      <c r="E20" s="1566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64"/>
      <c r="B21" s="1565"/>
      <c r="C21" s="1533"/>
      <c r="D21" s="1534"/>
      <c r="E21" s="1566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64"/>
      <c r="B22" s="1565"/>
      <c r="C22" s="1533"/>
      <c r="D22" s="1534"/>
      <c r="E22" s="1566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64"/>
      <c r="B23" s="1565"/>
      <c r="C23" s="1533"/>
      <c r="D23" s="1534"/>
      <c r="E23" s="1566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64"/>
      <c r="B24" s="1565"/>
      <c r="C24" s="1533"/>
      <c r="D24" s="1534"/>
      <c r="E24" s="1566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64"/>
      <c r="B25" s="1565"/>
      <c r="C25" s="1533"/>
      <c r="D25" s="1534"/>
      <c r="E25" s="1566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64"/>
      <c r="B26" s="1565"/>
      <c r="C26" s="1533"/>
      <c r="D26" s="1534"/>
      <c r="E26" s="1566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64"/>
      <c r="B27" s="1565"/>
      <c r="C27" s="1533"/>
      <c r="D27" s="1534"/>
      <c r="E27" s="1566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64"/>
      <c r="B28" s="1565"/>
      <c r="C28" s="1533"/>
      <c r="D28" s="1534"/>
      <c r="E28" s="1566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64"/>
      <c r="B29" s="1565"/>
      <c r="C29" s="1533"/>
      <c r="D29" s="1534"/>
      <c r="E29" s="1566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64"/>
      <c r="B30" s="1565"/>
      <c r="C30" s="1533"/>
      <c r="D30" s="1534"/>
      <c r="E30" s="1566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64"/>
      <c r="B31" s="1565"/>
      <c r="C31" s="1533"/>
      <c r="D31" s="1534"/>
      <c r="E31" s="1566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64"/>
      <c r="B32" s="1565"/>
      <c r="C32" s="1533"/>
      <c r="D32" s="1534"/>
      <c r="E32" s="1566"/>
      <c r="F32" s="1567"/>
      <c r="G32" s="1195"/>
      <c r="H32" s="1196"/>
      <c r="I32" s="1197"/>
      <c r="J32" s="1196"/>
      <c r="K32" s="1553"/>
      <c r="L32" s="1531"/>
    </row>
    <row r="33" spans="1:12" s="1199" customFormat="1" ht="24" customHeight="1">
      <c r="A33" s="1564"/>
      <c r="B33" s="1565"/>
      <c r="C33" s="1533"/>
      <c r="D33" s="1534"/>
      <c r="E33" s="1566"/>
      <c r="F33" s="1567"/>
      <c r="G33" s="1195"/>
      <c r="H33" s="1196"/>
      <c r="I33" s="1197"/>
      <c r="J33" s="1196"/>
      <c r="K33" s="1553"/>
      <c r="L33" s="1531"/>
    </row>
    <row r="34" spans="1:12" s="1199" customFormat="1" ht="30" customHeight="1">
      <c r="A34" s="1578"/>
      <c r="B34" s="2257" t="str">
        <f>"รวมราคา"&amp;B11</f>
        <v>รวมราคางานระบบดับเพลิงและป้องกันอัคคีภัย ชั้น ดาดฟ้า</v>
      </c>
      <c r="C34" s="2258"/>
      <c r="D34" s="2259"/>
      <c r="E34" s="1579"/>
      <c r="F34" s="1579"/>
      <c r="G34" s="1580"/>
      <c r="H34" s="1581">
        <f>SUM(H12:H33)</f>
        <v>580861</v>
      </c>
      <c r="I34" s="1582"/>
      <c r="J34" s="1581">
        <f>SUM(J12:J33)</f>
        <v>120700</v>
      </c>
      <c r="K34" s="1583">
        <f>SUM(K12:K33)</f>
        <v>701561</v>
      </c>
      <c r="L34" s="1583"/>
    </row>
    <row r="35" spans="1:12" s="1199" customFormat="1" ht="24" customHeight="1">
      <c r="A35" s="1584"/>
      <c r="B35" s="1585" t="s">
        <v>1024</v>
      </c>
      <c r="C35" s="1294"/>
      <c r="D35" s="1294"/>
      <c r="E35" s="1586"/>
      <c r="F35" s="1296"/>
      <c r="G35" s="1357"/>
      <c r="H35" s="1298"/>
      <c r="I35" s="1299"/>
      <c r="J35" s="1298"/>
      <c r="K35" s="1382"/>
      <c r="L35" s="1382"/>
    </row>
    <row r="36" spans="1:12" s="1199" customFormat="1" ht="24" customHeight="1">
      <c r="A36" s="1620" t="s">
        <v>1899</v>
      </c>
      <c r="B36" s="1568" t="s">
        <v>1860</v>
      </c>
      <c r="C36" s="1592"/>
      <c r="D36" s="1534"/>
      <c r="E36" s="1566"/>
      <c r="F36" s="1567"/>
      <c r="G36" s="1516"/>
      <c r="H36" s="1264"/>
      <c r="I36" s="1265"/>
      <c r="J36" s="1264"/>
      <c r="K36" s="1273"/>
      <c r="L36" s="1273"/>
    </row>
    <row r="37" spans="1:12" s="1199" customFormat="1" ht="24" customHeight="1">
      <c r="A37" s="1572" t="s">
        <v>1861</v>
      </c>
      <c r="B37" s="1565" t="s">
        <v>1900</v>
      </c>
      <c r="C37" s="1574"/>
      <c r="D37" s="1575"/>
      <c r="E37" s="1686"/>
      <c r="F37" s="1577"/>
      <c r="G37" s="1351"/>
      <c r="H37" s="1264"/>
      <c r="I37" s="1265"/>
      <c r="J37" s="1264"/>
      <c r="K37" s="1273"/>
      <c r="L37" s="1273"/>
    </row>
    <row r="38" spans="1:12" s="1199" customFormat="1" ht="24" customHeight="1">
      <c r="A38" s="1564"/>
      <c r="B38" s="1565" t="s">
        <v>1901</v>
      </c>
      <c r="C38" s="1533"/>
      <c r="D38" s="1534"/>
      <c r="E38" s="1688">
        <v>267</v>
      </c>
      <c r="F38" s="1567" t="s">
        <v>226</v>
      </c>
      <c r="G38" s="1516">
        <v>78</v>
      </c>
      <c r="H38" s="1264">
        <f t="shared" ref="H38:H51" si="1">ROUND(E38*G38,)</f>
        <v>20826</v>
      </c>
      <c r="I38" s="1265">
        <v>45</v>
      </c>
      <c r="J38" s="1264">
        <f t="shared" ref="J38:J51" si="2">ROUND(I38*E38,)</f>
        <v>12015</v>
      </c>
      <c r="K38" s="1273">
        <f t="shared" ref="K38:K51" si="3">H38+J38</f>
        <v>32841</v>
      </c>
      <c r="L38" s="1273"/>
    </row>
    <row r="39" spans="1:12" s="1199" customFormat="1" ht="24" customHeight="1">
      <c r="A39" s="1564"/>
      <c r="B39" s="1565" t="s">
        <v>1338</v>
      </c>
      <c r="C39" s="1533"/>
      <c r="D39" s="1534"/>
      <c r="E39" s="1688">
        <v>51</v>
      </c>
      <c r="F39" s="1567" t="s">
        <v>226</v>
      </c>
      <c r="G39" s="1516">
        <v>105</v>
      </c>
      <c r="H39" s="1264">
        <f t="shared" si="1"/>
        <v>5355</v>
      </c>
      <c r="I39" s="1299">
        <v>60</v>
      </c>
      <c r="J39" s="1264">
        <f t="shared" si="2"/>
        <v>3060</v>
      </c>
      <c r="K39" s="1273">
        <f t="shared" si="3"/>
        <v>8415</v>
      </c>
      <c r="L39" s="1382"/>
    </row>
    <row r="40" spans="1:12" s="1199" customFormat="1" ht="24" customHeight="1">
      <c r="A40" s="1564"/>
      <c r="B40" s="1565" t="s">
        <v>1339</v>
      </c>
      <c r="C40" s="1533"/>
      <c r="D40" s="1534"/>
      <c r="E40" s="1688">
        <v>41</v>
      </c>
      <c r="F40" s="1567" t="s">
        <v>226</v>
      </c>
      <c r="G40" s="1661">
        <v>126</v>
      </c>
      <c r="H40" s="1264">
        <f t="shared" si="1"/>
        <v>5166</v>
      </c>
      <c r="I40" s="1589">
        <v>70</v>
      </c>
      <c r="J40" s="1264">
        <f t="shared" si="2"/>
        <v>2870</v>
      </c>
      <c r="K40" s="1273">
        <f t="shared" si="3"/>
        <v>8036</v>
      </c>
      <c r="L40" s="1382"/>
    </row>
    <row r="41" spans="1:12" s="1199" customFormat="1" ht="24" customHeight="1">
      <c r="A41" s="1564"/>
      <c r="B41" s="1565" t="s">
        <v>1340</v>
      </c>
      <c r="C41" s="1533"/>
      <c r="D41" s="1534"/>
      <c r="E41" s="1688">
        <v>36</v>
      </c>
      <c r="F41" s="1567" t="s">
        <v>226</v>
      </c>
      <c r="G41" s="1661">
        <v>169</v>
      </c>
      <c r="H41" s="1264">
        <f t="shared" si="1"/>
        <v>6084</v>
      </c>
      <c r="I41" s="1589">
        <v>95</v>
      </c>
      <c r="J41" s="1264">
        <f t="shared" si="2"/>
        <v>3420</v>
      </c>
      <c r="K41" s="1273">
        <f t="shared" si="3"/>
        <v>9504</v>
      </c>
      <c r="L41" s="1382"/>
    </row>
    <row r="42" spans="1:12" s="1199" customFormat="1" ht="24" customHeight="1">
      <c r="A42" s="1564"/>
      <c r="B42" s="1565" t="s">
        <v>1341</v>
      </c>
      <c r="C42" s="1533"/>
      <c r="D42" s="1534"/>
      <c r="E42" s="1688">
        <v>77</v>
      </c>
      <c r="F42" s="1567" t="s">
        <v>226</v>
      </c>
      <c r="G42" s="1661">
        <v>268</v>
      </c>
      <c r="H42" s="1264">
        <f t="shared" si="1"/>
        <v>20636</v>
      </c>
      <c r="I42" s="1589">
        <v>150</v>
      </c>
      <c r="J42" s="1264">
        <f t="shared" si="2"/>
        <v>11550</v>
      </c>
      <c r="K42" s="1273">
        <f t="shared" si="3"/>
        <v>32186</v>
      </c>
      <c r="L42" s="1382"/>
    </row>
    <row r="43" spans="1:12" s="1199" customFormat="1" ht="24" customHeight="1">
      <c r="A43" s="1564"/>
      <c r="B43" s="1565" t="s">
        <v>1342</v>
      </c>
      <c r="C43" s="1533"/>
      <c r="D43" s="1534"/>
      <c r="E43" s="1688">
        <v>62</v>
      </c>
      <c r="F43" s="1567" t="s">
        <v>226</v>
      </c>
      <c r="G43" s="1661">
        <v>350</v>
      </c>
      <c r="H43" s="1264">
        <f t="shared" si="1"/>
        <v>21700</v>
      </c>
      <c r="I43" s="1589">
        <v>200</v>
      </c>
      <c r="J43" s="1264">
        <f t="shared" si="2"/>
        <v>12400</v>
      </c>
      <c r="K43" s="1273">
        <f t="shared" si="3"/>
        <v>34100</v>
      </c>
      <c r="L43" s="1382"/>
    </row>
    <row r="44" spans="1:12" s="1199" customFormat="1" ht="24" customHeight="1">
      <c r="A44" s="1564"/>
      <c r="B44" s="1565" t="s">
        <v>1759</v>
      </c>
      <c r="C44" s="1533"/>
      <c r="D44" s="1534"/>
      <c r="E44" s="1688">
        <v>19</v>
      </c>
      <c r="F44" s="1567" t="s">
        <v>226</v>
      </c>
      <c r="G44" s="1661">
        <v>499</v>
      </c>
      <c r="H44" s="1264">
        <f t="shared" si="1"/>
        <v>9481</v>
      </c>
      <c r="I44" s="1589">
        <v>280</v>
      </c>
      <c r="J44" s="1264">
        <f t="shared" si="2"/>
        <v>5320</v>
      </c>
      <c r="K44" s="1273">
        <f t="shared" si="3"/>
        <v>14801</v>
      </c>
      <c r="L44" s="1382"/>
    </row>
    <row r="45" spans="1:12" s="1199" customFormat="1" ht="24" customHeight="1">
      <c r="A45" s="1564"/>
      <c r="B45" s="1565" t="s">
        <v>1754</v>
      </c>
      <c r="C45" s="1533"/>
      <c r="D45" s="1534"/>
      <c r="E45" s="1688">
        <v>15</v>
      </c>
      <c r="F45" s="1567" t="s">
        <v>226</v>
      </c>
      <c r="G45" s="1661">
        <v>877</v>
      </c>
      <c r="H45" s="1264">
        <f t="shared" si="1"/>
        <v>13155</v>
      </c>
      <c r="I45" s="1589">
        <v>500</v>
      </c>
      <c r="J45" s="1264">
        <f t="shared" si="2"/>
        <v>7500</v>
      </c>
      <c r="K45" s="1273">
        <f t="shared" si="3"/>
        <v>20655</v>
      </c>
      <c r="L45" s="1382"/>
    </row>
    <row r="46" spans="1:12" s="1199" customFormat="1" ht="24" customHeight="1">
      <c r="A46" s="1564"/>
      <c r="B46" s="1565" t="s">
        <v>1755</v>
      </c>
      <c r="C46" s="1533"/>
      <c r="D46" s="1534"/>
      <c r="E46" s="1688"/>
      <c r="F46" s="1567" t="s">
        <v>226</v>
      </c>
      <c r="G46" s="1661">
        <v>1361</v>
      </c>
      <c r="H46" s="1264">
        <f t="shared" si="1"/>
        <v>0</v>
      </c>
      <c r="I46" s="1589">
        <v>560</v>
      </c>
      <c r="J46" s="1264">
        <f t="shared" si="2"/>
        <v>0</v>
      </c>
      <c r="K46" s="1273">
        <f t="shared" si="3"/>
        <v>0</v>
      </c>
      <c r="L46" s="1382"/>
    </row>
    <row r="47" spans="1:12" s="1199" customFormat="1" ht="24" customHeight="1">
      <c r="A47" s="1564"/>
      <c r="B47" s="1565" t="s">
        <v>1866</v>
      </c>
      <c r="C47" s="1533"/>
      <c r="D47" s="1534"/>
      <c r="E47" s="1662"/>
      <c r="F47" s="1567" t="s">
        <v>226</v>
      </c>
      <c r="G47" s="1661">
        <v>2212</v>
      </c>
      <c r="H47" s="1264">
        <f t="shared" si="1"/>
        <v>0</v>
      </c>
      <c r="I47" s="1589">
        <v>700</v>
      </c>
      <c r="J47" s="1264">
        <f t="shared" si="2"/>
        <v>0</v>
      </c>
      <c r="K47" s="1273">
        <f t="shared" si="3"/>
        <v>0</v>
      </c>
      <c r="L47" s="1382"/>
    </row>
    <row r="48" spans="1:12" s="1199" customFormat="1" ht="24" customHeight="1">
      <c r="A48" s="1564"/>
      <c r="B48" s="1565" t="s">
        <v>1719</v>
      </c>
      <c r="C48" s="1533"/>
      <c r="D48" s="1534"/>
      <c r="E48" s="1663">
        <v>1</v>
      </c>
      <c r="F48" s="1402" t="s">
        <v>1104</v>
      </c>
      <c r="G48" s="1661">
        <f>ROUND(SUM(H38:H47)*40%,)</f>
        <v>40961</v>
      </c>
      <c r="H48" s="1264">
        <f t="shared" si="1"/>
        <v>40961</v>
      </c>
      <c r="I48" s="1589">
        <f>ROUND(G48*0.3,)</f>
        <v>12288</v>
      </c>
      <c r="J48" s="1264">
        <f t="shared" si="2"/>
        <v>12288</v>
      </c>
      <c r="K48" s="1273">
        <f t="shared" si="3"/>
        <v>53249</v>
      </c>
      <c r="L48" s="1382"/>
    </row>
    <row r="49" spans="1:15" s="1199" customFormat="1" ht="24" customHeight="1">
      <c r="A49" s="1564"/>
      <c r="B49" s="1565" t="s">
        <v>1720</v>
      </c>
      <c r="C49" s="1533"/>
      <c r="D49" s="1534"/>
      <c r="E49" s="1663">
        <v>1</v>
      </c>
      <c r="F49" s="1402" t="s">
        <v>1104</v>
      </c>
      <c r="G49" s="1661">
        <f>ROUND(SUM(H38:H47)*20%,)</f>
        <v>20481</v>
      </c>
      <c r="H49" s="1264">
        <f t="shared" si="1"/>
        <v>20481</v>
      </c>
      <c r="I49" s="1589">
        <f>ROUND(G49*0.3,)</f>
        <v>6144</v>
      </c>
      <c r="J49" s="1264">
        <f t="shared" si="2"/>
        <v>6144</v>
      </c>
      <c r="K49" s="1273">
        <f t="shared" si="3"/>
        <v>26625</v>
      </c>
      <c r="L49" s="1382"/>
    </row>
    <row r="50" spans="1:15" s="1199" customFormat="1" ht="24" customHeight="1">
      <c r="A50" s="1564"/>
      <c r="B50" s="1565" t="s">
        <v>1721</v>
      </c>
      <c r="C50" s="1533"/>
      <c r="D50" s="1534"/>
      <c r="E50" s="1663">
        <v>1</v>
      </c>
      <c r="F50" s="1402" t="s">
        <v>1104</v>
      </c>
      <c r="G50" s="1661">
        <f>ROUND(SUM(H38:H47)*10%,)</f>
        <v>10240</v>
      </c>
      <c r="H50" s="1264">
        <f t="shared" si="1"/>
        <v>10240</v>
      </c>
      <c r="I50" s="1589">
        <f>ROUND(G50*0.3,)</f>
        <v>3072</v>
      </c>
      <c r="J50" s="1264">
        <f t="shared" si="2"/>
        <v>3072</v>
      </c>
      <c r="K50" s="1273">
        <f t="shared" si="3"/>
        <v>13312</v>
      </c>
      <c r="L50" s="1382"/>
    </row>
    <row r="51" spans="1:15" s="1199" customFormat="1" ht="24" customHeight="1">
      <c r="A51" s="1564"/>
      <c r="B51" s="1565" t="s">
        <v>1867</v>
      </c>
      <c r="C51" s="1533"/>
      <c r="D51" s="1534"/>
      <c r="E51" s="1663">
        <v>1</v>
      </c>
      <c r="F51" s="1402" t="s">
        <v>1104</v>
      </c>
      <c r="G51" s="1661">
        <f>ROUND(SUM(H38:H47)*30%,)</f>
        <v>30721</v>
      </c>
      <c r="H51" s="1264">
        <f t="shared" si="1"/>
        <v>30721</v>
      </c>
      <c r="I51" s="1589">
        <f>ROUND(G51*0.3,)</f>
        <v>9216</v>
      </c>
      <c r="J51" s="1264">
        <f t="shared" si="2"/>
        <v>9216</v>
      </c>
      <c r="K51" s="1273">
        <f t="shared" si="3"/>
        <v>39937</v>
      </c>
      <c r="L51" s="1382"/>
    </row>
    <row r="52" spans="1:15" s="1199" customFormat="1" ht="24" customHeight="1">
      <c r="A52" s="1564" t="s">
        <v>1868</v>
      </c>
      <c r="B52" s="1565" t="s">
        <v>1869</v>
      </c>
      <c r="C52" s="1533"/>
      <c r="D52" s="1534"/>
      <c r="E52" s="1566"/>
      <c r="F52" s="1567"/>
      <c r="G52" s="1516"/>
      <c r="H52" s="1298"/>
      <c r="I52" s="1299"/>
      <c r="J52" s="1298"/>
      <c r="K52" s="1382"/>
      <c r="L52" s="1382"/>
    </row>
    <row r="53" spans="1:15" s="1199" customFormat="1" ht="24" customHeight="1">
      <c r="A53" s="1564"/>
      <c r="B53" s="1565" t="s">
        <v>1901</v>
      </c>
      <c r="C53" s="1533"/>
      <c r="D53" s="1534"/>
      <c r="E53" s="825">
        <v>3</v>
      </c>
      <c r="F53" s="1567" t="s">
        <v>226</v>
      </c>
      <c r="G53" s="1516">
        <v>124</v>
      </c>
      <c r="H53" s="1264">
        <f>ROUND(E53*G53,)</f>
        <v>372</v>
      </c>
      <c r="I53" s="1265">
        <v>50</v>
      </c>
      <c r="J53" s="1264">
        <f t="shared" ref="J53:J54" si="4">ROUND(I53*E53,)</f>
        <v>150</v>
      </c>
      <c r="K53" s="1273">
        <f t="shared" ref="K53:K54" si="5">H53+J53</f>
        <v>522</v>
      </c>
      <c r="L53" s="2082" t="s">
        <v>2667</v>
      </c>
      <c r="N53" s="1199">
        <v>745.96</v>
      </c>
      <c r="O53" s="1199">
        <f>ROUND(N53/6,)</f>
        <v>124</v>
      </c>
    </row>
    <row r="54" spans="1:15" s="1199" customFormat="1" ht="24" customHeight="1">
      <c r="A54" s="1564"/>
      <c r="B54" s="1565" t="s">
        <v>1340</v>
      </c>
      <c r="C54" s="1533"/>
      <c r="D54" s="1534"/>
      <c r="E54" s="825">
        <v>8</v>
      </c>
      <c r="F54" s="1567" t="s">
        <v>226</v>
      </c>
      <c r="G54" s="1516">
        <v>259</v>
      </c>
      <c r="H54" s="1264">
        <f t="shared" ref="H54" si="6">ROUND(E54*G54,)</f>
        <v>2072</v>
      </c>
      <c r="I54" s="1299">
        <v>110</v>
      </c>
      <c r="J54" s="1264">
        <f t="shared" si="4"/>
        <v>880</v>
      </c>
      <c r="K54" s="1273">
        <f t="shared" si="5"/>
        <v>2952</v>
      </c>
      <c r="L54" s="2082" t="s">
        <v>2667</v>
      </c>
      <c r="N54" s="1199">
        <v>1554.48</v>
      </c>
      <c r="O54" s="1199">
        <f>ROUND(N54/6,)</f>
        <v>259</v>
      </c>
    </row>
    <row r="55" spans="1:15" s="1199" customFormat="1" ht="24" customHeight="1">
      <c r="A55" s="1564"/>
      <c r="B55" s="1565" t="s">
        <v>1719</v>
      </c>
      <c r="C55" s="1533"/>
      <c r="D55" s="1534"/>
      <c r="E55" s="1686">
        <v>1</v>
      </c>
      <c r="F55" s="1402" t="s">
        <v>1104</v>
      </c>
      <c r="G55" s="1661">
        <f>ROUND(SUM(H53:H54)*50%,)</f>
        <v>1222</v>
      </c>
      <c r="H55" s="1264">
        <f>ROUND(E55*G55,)</f>
        <v>1222</v>
      </c>
      <c r="I55" s="1589">
        <f>ROUND(G55*0.3,)</f>
        <v>367</v>
      </c>
      <c r="J55" s="1264">
        <f>ROUND(I55*E55,)</f>
        <v>367</v>
      </c>
      <c r="K55" s="1273">
        <f>H55+J55</f>
        <v>1589</v>
      </c>
      <c r="L55" s="1382"/>
    </row>
    <row r="56" spans="1:15" s="1199" customFormat="1" ht="24" customHeight="1">
      <c r="A56" s="1564"/>
      <c r="B56" s="1565" t="s">
        <v>1720</v>
      </c>
      <c r="C56" s="1533"/>
      <c r="D56" s="1534"/>
      <c r="E56" s="1686">
        <v>1</v>
      </c>
      <c r="F56" s="1402" t="s">
        <v>1104</v>
      </c>
      <c r="G56" s="1661">
        <f>ROUND(SUM(H53:H54)*20%,)</f>
        <v>489</v>
      </c>
      <c r="H56" s="1264">
        <f>ROUND(E56*G56,)</f>
        <v>489</v>
      </c>
      <c r="I56" s="1589">
        <f>ROUND(G56*0.3,)</f>
        <v>147</v>
      </c>
      <c r="J56" s="1264">
        <f>ROUND(I56*E56,)</f>
        <v>147</v>
      </c>
      <c r="K56" s="1273">
        <f>H56+J56</f>
        <v>636</v>
      </c>
      <c r="L56" s="1382"/>
    </row>
    <row r="57" spans="1:15" s="1199" customFormat="1" ht="24" customHeight="1">
      <c r="A57" s="1564"/>
      <c r="B57" s="1565" t="s">
        <v>1721</v>
      </c>
      <c r="C57" s="1533"/>
      <c r="D57" s="1534"/>
      <c r="E57" s="1686">
        <v>1</v>
      </c>
      <c r="F57" s="1402" t="s">
        <v>1104</v>
      </c>
      <c r="G57" s="1661">
        <f>ROUND(SUM(H53:H54)*10%,)</f>
        <v>244</v>
      </c>
      <c r="H57" s="1264">
        <f>ROUND(E57*G57,)</f>
        <v>244</v>
      </c>
      <c r="I57" s="1589">
        <f>ROUND(G57*0.3,)</f>
        <v>73</v>
      </c>
      <c r="J57" s="1264">
        <f>ROUND(I57*E57,)</f>
        <v>73</v>
      </c>
      <c r="K57" s="1273">
        <f>H57+J57</f>
        <v>317</v>
      </c>
      <c r="L57" s="1382"/>
    </row>
    <row r="58" spans="1:15" s="1199" customFormat="1" ht="24" customHeight="1">
      <c r="A58" s="1564"/>
      <c r="B58" s="1597" t="s">
        <v>1117</v>
      </c>
      <c r="C58" s="1533"/>
      <c r="D58" s="1534"/>
      <c r="E58" s="1566"/>
      <c r="F58" s="1567"/>
      <c r="G58" s="1516"/>
      <c r="H58" s="1264"/>
      <c r="I58" s="1265"/>
      <c r="J58" s="1264"/>
      <c r="K58" s="1273"/>
      <c r="L58" s="1638"/>
    </row>
    <row r="59" spans="1:15" s="1199" customFormat="1" ht="24" customHeight="1">
      <c r="A59" s="1578"/>
      <c r="B59" s="2257" t="str">
        <f>"รวมราคารายการที่ "&amp;A36</f>
        <v>รวมราคารายการที่ 6.1</v>
      </c>
      <c r="C59" s="2258"/>
      <c r="D59" s="2259"/>
      <c r="E59" s="1579"/>
      <c r="F59" s="1579"/>
      <c r="G59" s="1580"/>
      <c r="H59" s="1581">
        <f>SUM(H37:H58)</f>
        <v>209205</v>
      </c>
      <c r="I59" s="1582"/>
      <c r="J59" s="1581">
        <f>SUM(J37:J58)</f>
        <v>90472</v>
      </c>
      <c r="K59" s="1583">
        <f>SUM(K37:K58)</f>
        <v>299677</v>
      </c>
      <c r="L59" s="1583"/>
    </row>
    <row r="60" spans="1:15" s="1199" customFormat="1" ht="24" customHeight="1">
      <c r="A60" s="1620">
        <v>6.2</v>
      </c>
      <c r="B60" s="1621" t="s">
        <v>1870</v>
      </c>
      <c r="C60" s="1622"/>
      <c r="D60" s="1623"/>
      <c r="E60" s="1624"/>
      <c r="F60" s="1625"/>
      <c r="G60" s="1357"/>
      <c r="H60" s="1298"/>
      <c r="I60" s="1299"/>
      <c r="J60" s="1298"/>
      <c r="K60" s="1382"/>
      <c r="L60" s="1382"/>
    </row>
    <row r="61" spans="1:15" s="1199" customFormat="1" ht="24" customHeight="1">
      <c r="A61" s="1564" t="s">
        <v>1871</v>
      </c>
      <c r="B61" s="1565" t="s">
        <v>1902</v>
      </c>
      <c r="C61" s="1533"/>
      <c r="D61" s="1534"/>
      <c r="E61" s="1566"/>
      <c r="F61" s="1567"/>
      <c r="G61" s="1516"/>
      <c r="H61" s="1264">
        <f>ROUND(E61*G61,)</f>
        <v>0</v>
      </c>
      <c r="I61" s="1299"/>
      <c r="J61" s="1264">
        <f>ROUND(I61*E61,)</f>
        <v>0</v>
      </c>
      <c r="K61" s="1382"/>
      <c r="L61" s="1638"/>
    </row>
    <row r="62" spans="1:15" s="1199" customFormat="1" ht="24" customHeight="1">
      <c r="A62" s="1564"/>
      <c r="B62" s="1565" t="s">
        <v>1337</v>
      </c>
      <c r="C62" s="1533"/>
      <c r="D62" s="1534"/>
      <c r="E62" s="1566">
        <v>4</v>
      </c>
      <c r="F62" s="1567" t="s">
        <v>363</v>
      </c>
      <c r="G62" s="1516">
        <v>400</v>
      </c>
      <c r="H62" s="1264">
        <f>ROUND(E62*G62,)</f>
        <v>1600</v>
      </c>
      <c r="I62" s="1299">
        <v>200</v>
      </c>
      <c r="J62" s="1264">
        <f>ROUND(I62*E62,)</f>
        <v>800</v>
      </c>
      <c r="K62" s="1273">
        <f>H62+J62</f>
        <v>2400</v>
      </c>
      <c r="L62" s="1638"/>
    </row>
    <row r="63" spans="1:15" s="1199" customFormat="1" ht="24" customHeight="1">
      <c r="A63" s="1564" t="s">
        <v>1873</v>
      </c>
      <c r="B63" s="1565" t="s">
        <v>1903</v>
      </c>
      <c r="C63" s="1533"/>
      <c r="D63" s="1534"/>
      <c r="E63" s="1566"/>
      <c r="F63" s="1567"/>
      <c r="G63" s="1516"/>
      <c r="H63" s="1298"/>
      <c r="I63" s="1299"/>
      <c r="J63" s="1298"/>
      <c r="K63" s="1382"/>
      <c r="L63" s="1638"/>
    </row>
    <row r="64" spans="1:15" s="1199" customFormat="1" ht="24" customHeight="1">
      <c r="A64" s="1564"/>
      <c r="B64" s="1565" t="s">
        <v>1754</v>
      </c>
      <c r="C64" s="1533"/>
      <c r="D64" s="1534"/>
      <c r="E64" s="1566">
        <v>2</v>
      </c>
      <c r="F64" s="1567" t="s">
        <v>363</v>
      </c>
      <c r="G64" s="1516">
        <v>13100</v>
      </c>
      <c r="H64" s="1264">
        <f>ROUND(E64*G64,)</f>
        <v>26200</v>
      </c>
      <c r="I64" s="1299">
        <v>1200</v>
      </c>
      <c r="J64" s="1264">
        <f>ROUND(I64*E64,)</f>
        <v>2400</v>
      </c>
      <c r="K64" s="1273">
        <f>H64+J64</f>
        <v>28600</v>
      </c>
      <c r="L64" s="1638"/>
    </row>
    <row r="65" spans="1:12" s="1199" customFormat="1" ht="24" customHeight="1">
      <c r="A65" s="1564" t="s">
        <v>1875</v>
      </c>
      <c r="B65" s="1565" t="s">
        <v>1887</v>
      </c>
      <c r="C65" s="1533"/>
      <c r="D65" s="1534"/>
      <c r="E65" s="1566"/>
      <c r="F65" s="1567"/>
      <c r="G65" s="1516"/>
      <c r="H65" s="1264"/>
      <c r="I65" s="1299"/>
      <c r="J65" s="1264"/>
      <c r="K65" s="1273"/>
      <c r="L65" s="1382"/>
    </row>
    <row r="66" spans="1:12" s="1199" customFormat="1" ht="24" customHeight="1">
      <c r="A66" s="1564"/>
      <c r="B66" s="1565" t="s">
        <v>1846</v>
      </c>
      <c r="C66" s="1533"/>
      <c r="D66" s="1534"/>
      <c r="E66" s="1566">
        <v>2</v>
      </c>
      <c r="F66" s="1567" t="s">
        <v>363</v>
      </c>
      <c r="G66" s="1516">
        <v>1963</v>
      </c>
      <c r="H66" s="1264">
        <f>ROUND(E66*G66,)</f>
        <v>3926</v>
      </c>
      <c r="I66" s="1299">
        <v>400</v>
      </c>
      <c r="J66" s="1264">
        <f>ROUND(I66*E66,)</f>
        <v>800</v>
      </c>
      <c r="K66" s="1273">
        <f>H66+J66</f>
        <v>4726</v>
      </c>
      <c r="L66" s="1382"/>
    </row>
    <row r="67" spans="1:12" s="1199" customFormat="1" ht="24" customHeight="1">
      <c r="A67" s="1564" t="s">
        <v>1877</v>
      </c>
      <c r="B67" s="1565" t="s">
        <v>1905</v>
      </c>
      <c r="C67" s="1533"/>
      <c r="D67" s="1534"/>
      <c r="E67" s="1566">
        <v>2</v>
      </c>
      <c r="F67" s="1567" t="s">
        <v>363</v>
      </c>
      <c r="G67" s="1516">
        <v>900</v>
      </c>
      <c r="H67" s="1264">
        <f>ROUND(E67*G67,)</f>
        <v>1800</v>
      </c>
      <c r="I67" s="1299">
        <v>100</v>
      </c>
      <c r="J67" s="1264">
        <f>ROUND(I67*E67,)</f>
        <v>200</v>
      </c>
      <c r="K67" s="1273">
        <f>H67+J67</f>
        <v>2000</v>
      </c>
      <c r="L67" s="1382"/>
    </row>
    <row r="68" spans="1:12" s="1199" customFormat="1" ht="24" customHeight="1">
      <c r="A68" s="1564" t="s">
        <v>1879</v>
      </c>
      <c r="B68" s="1565" t="s">
        <v>1906</v>
      </c>
      <c r="C68" s="1533"/>
      <c r="D68" s="1534"/>
      <c r="E68" s="1566"/>
      <c r="F68" s="1567"/>
      <c r="G68" s="1516"/>
      <c r="H68" s="1298"/>
      <c r="I68" s="1299"/>
      <c r="J68" s="1298"/>
      <c r="K68" s="1382"/>
      <c r="L68" s="1382"/>
    </row>
    <row r="69" spans="1:12" s="1199" customFormat="1" ht="24" customHeight="1">
      <c r="A69" s="1564"/>
      <c r="B69" s="1565" t="s">
        <v>1754</v>
      </c>
      <c r="C69" s="1533"/>
      <c r="D69" s="1534"/>
      <c r="E69" s="1566">
        <v>2</v>
      </c>
      <c r="F69" s="1567" t="s">
        <v>363</v>
      </c>
      <c r="G69" s="1516">
        <v>17400</v>
      </c>
      <c r="H69" s="1264">
        <f>ROUND(E69*G69,)</f>
        <v>34800</v>
      </c>
      <c r="I69" s="1299">
        <v>1200</v>
      </c>
      <c r="J69" s="1264">
        <f>ROUND(I69*E69,)</f>
        <v>2400</v>
      </c>
      <c r="K69" s="1273">
        <f>H69+J69</f>
        <v>37200</v>
      </c>
      <c r="L69" s="1382"/>
    </row>
    <row r="70" spans="1:12" s="1199" customFormat="1" ht="24" customHeight="1">
      <c r="A70" s="1564" t="s">
        <v>1881</v>
      </c>
      <c r="B70" s="1565" t="s">
        <v>1741</v>
      </c>
      <c r="C70" s="1533"/>
      <c r="D70" s="1534"/>
      <c r="E70" s="1566"/>
      <c r="F70" s="1567"/>
      <c r="G70" s="1516"/>
      <c r="H70" s="1298"/>
      <c r="I70" s="1299"/>
      <c r="J70" s="1298"/>
      <c r="K70" s="1382"/>
      <c r="L70" s="1382"/>
    </row>
    <row r="71" spans="1:12" s="1199" customFormat="1" ht="24" customHeight="1">
      <c r="A71" s="1564"/>
      <c r="B71" s="1565" t="s">
        <v>1863</v>
      </c>
      <c r="C71" s="1533"/>
      <c r="D71" s="1534"/>
      <c r="E71" s="1566">
        <v>2</v>
      </c>
      <c r="F71" s="1567" t="s">
        <v>363</v>
      </c>
      <c r="G71" s="1516">
        <v>1010</v>
      </c>
      <c r="H71" s="1264">
        <f>ROUND(E71*G71,)</f>
        <v>2020</v>
      </c>
      <c r="I71" s="1299">
        <v>100</v>
      </c>
      <c r="J71" s="1264">
        <f>ROUND(I71*E71,)</f>
        <v>200</v>
      </c>
      <c r="K71" s="1273">
        <f>H71+J71</f>
        <v>2220</v>
      </c>
      <c r="L71" s="1382"/>
    </row>
    <row r="72" spans="1:12" s="1199" customFormat="1" ht="24" customHeight="1">
      <c r="A72" s="1564" t="s">
        <v>1883</v>
      </c>
      <c r="B72" s="1565" t="s">
        <v>1882</v>
      </c>
      <c r="C72" s="1533"/>
      <c r="D72" s="1534"/>
      <c r="E72" s="1566"/>
      <c r="F72" s="1567"/>
      <c r="G72" s="1516"/>
      <c r="H72" s="1298"/>
      <c r="I72" s="1299"/>
      <c r="J72" s="1298"/>
      <c r="K72" s="1382"/>
      <c r="L72" s="1382"/>
    </row>
    <row r="73" spans="1:12" s="1199" customFormat="1" ht="24" customHeight="1">
      <c r="A73" s="1564"/>
      <c r="B73" s="1565" t="s">
        <v>1863</v>
      </c>
      <c r="C73" s="1533"/>
      <c r="D73" s="1534"/>
      <c r="E73" s="1566">
        <v>2</v>
      </c>
      <c r="F73" s="1567" t="s">
        <v>363</v>
      </c>
      <c r="G73" s="1515">
        <v>18060</v>
      </c>
      <c r="H73" s="1264">
        <f>ROUND(E73*G73,)</f>
        <v>36120</v>
      </c>
      <c r="I73" s="1299">
        <v>100</v>
      </c>
      <c r="J73" s="1264">
        <f>ROUND(I73*E73,)</f>
        <v>200</v>
      </c>
      <c r="K73" s="1273">
        <f>H73+J73</f>
        <v>36320</v>
      </c>
      <c r="L73" s="1382"/>
    </row>
    <row r="74" spans="1:12" s="1199" customFormat="1" ht="24" customHeight="1">
      <c r="A74" s="1564"/>
      <c r="B74" s="1565" t="s">
        <v>1117</v>
      </c>
      <c r="C74" s="1533"/>
      <c r="D74" s="1534"/>
      <c r="E74" s="1566"/>
      <c r="F74" s="1567"/>
      <c r="G74" s="1516"/>
      <c r="H74" s="1298"/>
      <c r="I74" s="1299"/>
      <c r="J74" s="1298"/>
      <c r="K74" s="1382"/>
      <c r="L74" s="1638"/>
    </row>
    <row r="75" spans="1:12" s="1199" customFormat="1" ht="24" customHeight="1">
      <c r="A75" s="1564"/>
      <c r="B75" s="1565" t="s">
        <v>1896</v>
      </c>
      <c r="C75" s="1533"/>
      <c r="D75" s="1534"/>
      <c r="E75" s="1566"/>
      <c r="F75" s="1567"/>
      <c r="G75" s="1516"/>
      <c r="H75" s="1298"/>
      <c r="I75" s="1299"/>
      <c r="J75" s="1298"/>
      <c r="K75" s="1382"/>
      <c r="L75" s="1382"/>
    </row>
    <row r="76" spans="1:12" s="1199" customFormat="1" ht="24" customHeight="1">
      <c r="A76" s="1578"/>
      <c r="B76" s="2257" t="str">
        <f>"รวมราคารายการที่ "&amp;A60</f>
        <v>รวมราคารายการที่ 6.2</v>
      </c>
      <c r="C76" s="2258"/>
      <c r="D76" s="2259"/>
      <c r="E76" s="1579"/>
      <c r="F76" s="1579"/>
      <c r="G76" s="1580"/>
      <c r="H76" s="1581">
        <f>SUM(H61:H75)</f>
        <v>106466</v>
      </c>
      <c r="I76" s="1582"/>
      <c r="J76" s="1581">
        <f>SUM(J61:J75)</f>
        <v>7000</v>
      </c>
      <c r="K76" s="1583">
        <f>SUM(K61:K75)</f>
        <v>113466</v>
      </c>
      <c r="L76" s="1583"/>
    </row>
    <row r="77" spans="1:12" s="1199" customFormat="1" ht="24" customHeight="1">
      <c r="A77" s="1620" t="s">
        <v>1897</v>
      </c>
      <c r="B77" s="1621" t="s">
        <v>1907</v>
      </c>
      <c r="C77" s="1622"/>
      <c r="D77" s="1623"/>
      <c r="E77" s="1624"/>
      <c r="F77" s="1637"/>
      <c r="G77" s="1558"/>
      <c r="H77" s="1298"/>
      <c r="I77" s="1299"/>
      <c r="J77" s="1298"/>
      <c r="K77" s="1382"/>
      <c r="L77" s="1382"/>
    </row>
    <row r="78" spans="1:12" s="1737" customFormat="1" ht="24" customHeight="1">
      <c r="A78" s="1564" t="s">
        <v>1908</v>
      </c>
      <c r="B78" s="1677" t="s">
        <v>1909</v>
      </c>
      <c r="C78" s="1678"/>
      <c r="D78" s="1679"/>
      <c r="E78" s="1680"/>
      <c r="F78" s="1676" t="s">
        <v>363</v>
      </c>
      <c r="G78" s="1558">
        <v>110</v>
      </c>
      <c r="H78" s="1264">
        <f>ROUND(E78*G78,)</f>
        <v>0</v>
      </c>
      <c r="I78" s="1299">
        <v>75</v>
      </c>
      <c r="J78" s="1264">
        <f>ROUND(I78*E78,)</f>
        <v>0</v>
      </c>
      <c r="K78" s="1273">
        <f>H78+J78</f>
        <v>0</v>
      </c>
      <c r="L78" s="1382"/>
    </row>
    <row r="79" spans="1:12" s="1737" customFormat="1" ht="24" customHeight="1">
      <c r="A79" s="1564" t="s">
        <v>1910</v>
      </c>
      <c r="B79" s="1677" t="s">
        <v>1911</v>
      </c>
      <c r="C79" s="1678"/>
      <c r="D79" s="1679"/>
      <c r="E79" s="1680"/>
      <c r="F79" s="1676" t="s">
        <v>363</v>
      </c>
      <c r="G79" s="1558"/>
      <c r="H79" s="1264"/>
      <c r="I79" s="1299"/>
      <c r="J79" s="1264"/>
      <c r="K79" s="1273"/>
      <c r="L79" s="1382"/>
    </row>
    <row r="80" spans="1:12" s="1737" customFormat="1" ht="24" customHeight="1">
      <c r="A80" s="1564" t="s">
        <v>1912</v>
      </c>
      <c r="B80" s="1677" t="s">
        <v>1955</v>
      </c>
      <c r="C80" s="1678"/>
      <c r="D80" s="1679"/>
      <c r="E80" s="1680"/>
      <c r="F80" s="1676" t="s">
        <v>363</v>
      </c>
      <c r="G80" s="1558">
        <v>800</v>
      </c>
      <c r="H80" s="1264">
        <f>ROUND(E80*G80,)</f>
        <v>0</v>
      </c>
      <c r="I80" s="1299">
        <v>50</v>
      </c>
      <c r="J80" s="1264">
        <f>ROUND(I80*E80,)</f>
        <v>0</v>
      </c>
      <c r="K80" s="1273">
        <f>H80+J80</f>
        <v>0</v>
      </c>
      <c r="L80" s="1382"/>
    </row>
    <row r="81" spans="1:12" s="1737" customFormat="1" ht="24" customHeight="1">
      <c r="A81" s="1564" t="s">
        <v>1914</v>
      </c>
      <c r="B81" s="1677" t="s">
        <v>1913</v>
      </c>
      <c r="C81" s="1678"/>
      <c r="D81" s="1679"/>
      <c r="E81" s="1680">
        <v>121</v>
      </c>
      <c r="F81" s="1676" t="s">
        <v>363</v>
      </c>
      <c r="G81" s="1558">
        <v>110</v>
      </c>
      <c r="H81" s="1264">
        <f>ROUND(E81*G81,)</f>
        <v>13310</v>
      </c>
      <c r="I81" s="1299">
        <v>50</v>
      </c>
      <c r="J81" s="1264">
        <f>ROUND(I81*E81,)</f>
        <v>6050</v>
      </c>
      <c r="K81" s="1273">
        <f>H81+J81</f>
        <v>19360</v>
      </c>
      <c r="L81" s="1382"/>
    </row>
    <row r="82" spans="1:12" s="1737" customFormat="1" ht="24" customHeight="1">
      <c r="A82" s="1564" t="s">
        <v>1916</v>
      </c>
      <c r="B82" s="1677" t="s">
        <v>1969</v>
      </c>
      <c r="C82" s="1678"/>
      <c r="D82" s="1679"/>
      <c r="E82" s="1680">
        <v>4</v>
      </c>
      <c r="F82" s="1676" t="s">
        <v>363</v>
      </c>
      <c r="G82" s="1558">
        <v>5400</v>
      </c>
      <c r="H82" s="1264">
        <f>ROUND(E82*G82,)</f>
        <v>21600</v>
      </c>
      <c r="I82" s="1299">
        <f>G82*0.1</f>
        <v>540</v>
      </c>
      <c r="J82" s="1264">
        <f>ROUND(I82*E82,)</f>
        <v>2160</v>
      </c>
      <c r="K82" s="1273">
        <f>H82+J82</f>
        <v>23760</v>
      </c>
      <c r="L82" s="1382"/>
    </row>
    <row r="83" spans="1:12" s="1737" customFormat="1" ht="24" customHeight="1">
      <c r="A83" s="1564"/>
      <c r="B83" s="1677"/>
      <c r="C83" s="1678"/>
      <c r="D83" s="1679"/>
      <c r="E83" s="1680"/>
      <c r="F83" s="1676"/>
      <c r="G83" s="1558"/>
      <c r="H83" s="1298"/>
      <c r="I83" s="1299"/>
      <c r="J83" s="1298"/>
      <c r="K83" s="1382"/>
      <c r="L83" s="1382"/>
    </row>
    <row r="84" spans="1:12" s="1199" customFormat="1" ht="24" customHeight="1">
      <c r="A84" s="1578"/>
      <c r="B84" s="2257" t="str">
        <f>"รวมราคารายการที่ "&amp;A77</f>
        <v>รวมราคารายการที่ 6.3</v>
      </c>
      <c r="C84" s="2258"/>
      <c r="D84" s="2259"/>
      <c r="E84" s="1579"/>
      <c r="F84" s="1579"/>
      <c r="G84" s="1580"/>
      <c r="H84" s="1581">
        <f>SUM(H78:H83)</f>
        <v>34910</v>
      </c>
      <c r="I84" s="1582"/>
      <c r="J84" s="1581">
        <f>SUM(J78:J83)</f>
        <v>8210</v>
      </c>
      <c r="K84" s="1583">
        <f>SUM(K78:K83)</f>
        <v>43120</v>
      </c>
      <c r="L84" s="1583"/>
    </row>
    <row r="85" spans="1:12" s="1199" customFormat="1" ht="24" customHeight="1">
      <c r="A85" s="1605">
        <v>6.4</v>
      </c>
      <c r="B85" s="1606" t="s">
        <v>1921</v>
      </c>
      <c r="C85" s="1607"/>
      <c r="D85" s="1608"/>
      <c r="E85" s="1609"/>
      <c r="F85" s="1642"/>
      <c r="G85" s="1692"/>
      <c r="H85" s="1255"/>
      <c r="I85" s="1256"/>
      <c r="J85" s="1255"/>
      <c r="K85" s="1502"/>
      <c r="L85" s="1502"/>
    </row>
    <row r="86" spans="1:12" s="1199" customFormat="1" ht="24" customHeight="1">
      <c r="A86" s="1564" t="s">
        <v>1922</v>
      </c>
      <c r="B86" s="1565" t="s">
        <v>1923</v>
      </c>
      <c r="C86" s="1533"/>
      <c r="D86" s="1534"/>
      <c r="E86" s="1566"/>
      <c r="F86" s="1564"/>
      <c r="G86" s="1558"/>
      <c r="H86" s="1264"/>
      <c r="I86" s="1265"/>
      <c r="J86" s="1264"/>
      <c r="K86" s="1273"/>
      <c r="L86" s="1273"/>
    </row>
    <row r="87" spans="1:12" s="1199" customFormat="1" ht="24" customHeight="1">
      <c r="A87" s="1564"/>
      <c r="B87" s="1565" t="s">
        <v>1924</v>
      </c>
      <c r="C87" s="1533"/>
      <c r="D87" s="1534"/>
      <c r="E87" s="1566">
        <v>4</v>
      </c>
      <c r="F87" s="1564" t="s">
        <v>363</v>
      </c>
      <c r="G87" s="1558">
        <v>6500</v>
      </c>
      <c r="H87" s="1264">
        <f t="shared" ref="H87:H92" si="7">ROUND(E87*G87,)</f>
        <v>26000</v>
      </c>
      <c r="I87" s="1265">
        <f>G87*0.3</f>
        <v>1950</v>
      </c>
      <c r="J87" s="1264">
        <f>ROUND(I87*E87,)</f>
        <v>7800</v>
      </c>
      <c r="K87" s="1273">
        <f t="shared" ref="K87:K92" si="8">H87+J87</f>
        <v>33800</v>
      </c>
      <c r="L87" s="1273"/>
    </row>
    <row r="88" spans="1:12" s="1199" customFormat="1" ht="24" customHeight="1">
      <c r="A88" s="1572"/>
      <c r="B88" s="1573" t="s">
        <v>1925</v>
      </c>
      <c r="C88" s="1574"/>
      <c r="D88" s="1575"/>
      <c r="E88" s="1566">
        <v>4</v>
      </c>
      <c r="F88" s="1572" t="s">
        <v>363</v>
      </c>
      <c r="G88" s="1694">
        <v>1200</v>
      </c>
      <c r="H88" s="1264">
        <f t="shared" si="7"/>
        <v>4800</v>
      </c>
      <c r="I88" s="1265" t="s">
        <v>1683</v>
      </c>
      <c r="J88" s="1264"/>
      <c r="K88" s="1273">
        <f t="shared" si="8"/>
        <v>4800</v>
      </c>
      <c r="L88" s="1273"/>
    </row>
    <row r="89" spans="1:12" s="1199" customFormat="1" ht="24" customHeight="1">
      <c r="A89" s="1564"/>
      <c r="B89" s="1565" t="s">
        <v>1926</v>
      </c>
      <c r="C89" s="1533"/>
      <c r="D89" s="1534"/>
      <c r="E89" s="1566">
        <v>4</v>
      </c>
      <c r="F89" s="1564" t="s">
        <v>363</v>
      </c>
      <c r="G89" s="1558">
        <v>19200</v>
      </c>
      <c r="H89" s="1264">
        <f t="shared" si="7"/>
        <v>76800</v>
      </c>
      <c r="I89" s="1265" t="s">
        <v>1683</v>
      </c>
      <c r="J89" s="1264"/>
      <c r="K89" s="1273">
        <f t="shared" si="8"/>
        <v>76800</v>
      </c>
      <c r="L89" s="1273"/>
    </row>
    <row r="90" spans="1:12" s="1199" customFormat="1" ht="24" customHeight="1">
      <c r="A90" s="1564"/>
      <c r="B90" s="1565" t="s">
        <v>1927</v>
      </c>
      <c r="C90" s="1533"/>
      <c r="D90" s="1534"/>
      <c r="E90" s="1566">
        <v>4</v>
      </c>
      <c r="F90" s="1564" t="s">
        <v>363</v>
      </c>
      <c r="G90" s="1558">
        <v>4910</v>
      </c>
      <c r="H90" s="1264">
        <f t="shared" si="7"/>
        <v>19640</v>
      </c>
      <c r="I90" s="1265" t="s">
        <v>1683</v>
      </c>
      <c r="J90" s="1264"/>
      <c r="K90" s="1273">
        <f t="shared" si="8"/>
        <v>19640</v>
      </c>
      <c r="L90" s="1382"/>
    </row>
    <row r="91" spans="1:12" s="1199" customFormat="1" ht="24" customHeight="1">
      <c r="A91" s="1564"/>
      <c r="B91" s="1565" t="s">
        <v>1928</v>
      </c>
      <c r="C91" s="1533"/>
      <c r="D91" s="1534"/>
      <c r="E91" s="1566">
        <v>4</v>
      </c>
      <c r="F91" s="1564" t="s">
        <v>363</v>
      </c>
      <c r="G91" s="1558">
        <v>1420</v>
      </c>
      <c r="H91" s="1264">
        <f t="shared" si="7"/>
        <v>5680</v>
      </c>
      <c r="I91" s="1265" t="s">
        <v>1683</v>
      </c>
      <c r="J91" s="1264"/>
      <c r="K91" s="1273">
        <f t="shared" si="8"/>
        <v>5680</v>
      </c>
      <c r="L91" s="1382"/>
    </row>
    <row r="92" spans="1:12" s="1199" customFormat="1" ht="24" customHeight="1">
      <c r="A92" s="1564"/>
      <c r="B92" s="1565" t="s">
        <v>1929</v>
      </c>
      <c r="C92" s="1533"/>
      <c r="D92" s="1534"/>
      <c r="E92" s="1566">
        <v>4</v>
      </c>
      <c r="F92" s="1564" t="s">
        <v>363</v>
      </c>
      <c r="G92" s="1558">
        <v>720</v>
      </c>
      <c r="H92" s="1264">
        <f t="shared" si="7"/>
        <v>2880</v>
      </c>
      <c r="I92" s="1265" t="s">
        <v>1683</v>
      </c>
      <c r="J92" s="1264"/>
      <c r="K92" s="1273">
        <f t="shared" si="8"/>
        <v>2880</v>
      </c>
      <c r="L92" s="1382"/>
    </row>
    <row r="93" spans="1:12" s="1199" customFormat="1" ht="24" customHeight="1">
      <c r="A93" s="1564" t="s">
        <v>1930</v>
      </c>
      <c r="B93" s="1565" t="s">
        <v>1931</v>
      </c>
      <c r="C93" s="1533"/>
      <c r="D93" s="1534"/>
      <c r="E93" s="1566"/>
      <c r="F93" s="1564"/>
      <c r="G93" s="1558"/>
      <c r="H93" s="1298"/>
      <c r="I93" s="1299"/>
      <c r="J93" s="1298"/>
      <c r="K93" s="1382"/>
      <c r="L93" s="1382"/>
    </row>
    <row r="94" spans="1:12" s="1199" customFormat="1" ht="24" customHeight="1">
      <c r="A94" s="1564"/>
      <c r="B94" s="1565" t="s">
        <v>1932</v>
      </c>
      <c r="C94" s="1533"/>
      <c r="D94" s="1534"/>
      <c r="E94" s="1566">
        <v>2</v>
      </c>
      <c r="F94" s="1564" t="s">
        <v>363</v>
      </c>
      <c r="G94" s="1558">
        <f>6500*1.1</f>
        <v>7150.0000000000009</v>
      </c>
      <c r="H94" s="1264">
        <f t="shared" ref="H94:H99" si="9">ROUND(E94*G94,)</f>
        <v>14300</v>
      </c>
      <c r="I94" s="1265">
        <f>G94*0.3</f>
        <v>2145</v>
      </c>
      <c r="J94" s="1264">
        <f>ROUND(I94*E94,)</f>
        <v>4290</v>
      </c>
      <c r="K94" s="1273">
        <f t="shared" ref="K94:K99" si="10">H94+J94</f>
        <v>18590</v>
      </c>
      <c r="L94" s="1687"/>
    </row>
    <row r="95" spans="1:12" s="1199" customFormat="1" ht="24" customHeight="1">
      <c r="A95" s="1564"/>
      <c r="B95" s="1573" t="s">
        <v>1925</v>
      </c>
      <c r="C95" s="1574"/>
      <c r="D95" s="1575"/>
      <c r="E95" s="1566">
        <v>2</v>
      </c>
      <c r="F95" s="1572" t="s">
        <v>363</v>
      </c>
      <c r="G95" s="1694">
        <v>1200</v>
      </c>
      <c r="H95" s="1264">
        <f t="shared" si="9"/>
        <v>2400</v>
      </c>
      <c r="I95" s="1265" t="s">
        <v>1683</v>
      </c>
      <c r="J95" s="1264"/>
      <c r="K95" s="1273">
        <f t="shared" si="10"/>
        <v>2400</v>
      </c>
      <c r="L95" s="1687"/>
    </row>
    <row r="96" spans="1:12" s="1199" customFormat="1" ht="24" customHeight="1">
      <c r="A96" s="1572"/>
      <c r="B96" s="1565" t="s">
        <v>1926</v>
      </c>
      <c r="C96" s="1533"/>
      <c r="D96" s="1534"/>
      <c r="E96" s="1566">
        <v>2</v>
      </c>
      <c r="F96" s="1564" t="s">
        <v>363</v>
      </c>
      <c r="G96" s="1558">
        <v>19200</v>
      </c>
      <c r="H96" s="1264">
        <f t="shared" si="9"/>
        <v>38400</v>
      </c>
      <c r="I96" s="1265" t="s">
        <v>1683</v>
      </c>
      <c r="J96" s="1264"/>
      <c r="K96" s="1273">
        <f t="shared" si="10"/>
        <v>38400</v>
      </c>
      <c r="L96" s="1687"/>
    </row>
    <row r="97" spans="1:12" s="1199" customFormat="1" ht="24" customHeight="1">
      <c r="A97" s="1564"/>
      <c r="B97" s="1565" t="s">
        <v>1927</v>
      </c>
      <c r="C97" s="1533"/>
      <c r="D97" s="1534"/>
      <c r="E97" s="1566">
        <v>2</v>
      </c>
      <c r="F97" s="1564" t="s">
        <v>363</v>
      </c>
      <c r="G97" s="1558">
        <v>4910</v>
      </c>
      <c r="H97" s="1264">
        <f t="shared" si="9"/>
        <v>9820</v>
      </c>
      <c r="I97" s="1265" t="s">
        <v>1683</v>
      </c>
      <c r="J97" s="1264"/>
      <c r="K97" s="1273">
        <f t="shared" si="10"/>
        <v>9820</v>
      </c>
      <c r="L97" s="1687"/>
    </row>
    <row r="98" spans="1:12" s="1199" customFormat="1" ht="24" customHeight="1">
      <c r="A98" s="1564"/>
      <c r="B98" s="1565" t="s">
        <v>1928</v>
      </c>
      <c r="C98" s="1533"/>
      <c r="D98" s="1534"/>
      <c r="E98" s="1566">
        <v>2</v>
      </c>
      <c r="F98" s="1564" t="s">
        <v>363</v>
      </c>
      <c r="G98" s="1558">
        <v>1420</v>
      </c>
      <c r="H98" s="1264">
        <f t="shared" si="9"/>
        <v>2840</v>
      </c>
      <c r="I98" s="1265" t="s">
        <v>1683</v>
      </c>
      <c r="J98" s="1264"/>
      <c r="K98" s="1273">
        <f t="shared" si="10"/>
        <v>2840</v>
      </c>
      <c r="L98" s="1687"/>
    </row>
    <row r="99" spans="1:12" s="1199" customFormat="1" ht="24" customHeight="1">
      <c r="A99" s="1564"/>
      <c r="B99" s="1565" t="s">
        <v>1929</v>
      </c>
      <c r="C99" s="1533"/>
      <c r="D99" s="1534"/>
      <c r="E99" s="1566">
        <v>2</v>
      </c>
      <c r="F99" s="1564" t="s">
        <v>363</v>
      </c>
      <c r="G99" s="1558">
        <v>720</v>
      </c>
      <c r="H99" s="1264">
        <f t="shared" si="9"/>
        <v>1440</v>
      </c>
      <c r="I99" s="1265" t="s">
        <v>1683</v>
      </c>
      <c r="J99" s="1264"/>
      <c r="K99" s="1273">
        <f t="shared" si="10"/>
        <v>1440</v>
      </c>
      <c r="L99" s="1687"/>
    </row>
    <row r="100" spans="1:12" s="1199" customFormat="1" ht="24" customHeight="1">
      <c r="A100" s="1637" t="s">
        <v>1933</v>
      </c>
      <c r="B100" s="1636" t="s">
        <v>1934</v>
      </c>
      <c r="C100" s="1622"/>
      <c r="D100" s="1623"/>
      <c r="E100" s="1624"/>
      <c r="F100" s="1637"/>
      <c r="G100" s="1558"/>
      <c r="H100" s="1264"/>
      <c r="I100" s="1695"/>
      <c r="J100" s="1264"/>
      <c r="K100" s="1687"/>
      <c r="L100" s="1687"/>
    </row>
    <row r="101" spans="1:12" s="1199" customFormat="1" ht="24" customHeight="1">
      <c r="A101" s="1564"/>
      <c r="B101" s="1565" t="s">
        <v>1935</v>
      </c>
      <c r="C101" s="1533"/>
      <c r="D101" s="1534"/>
      <c r="E101" s="1566">
        <v>4</v>
      </c>
      <c r="F101" s="1564" t="s">
        <v>363</v>
      </c>
      <c r="G101" s="1558">
        <v>1000</v>
      </c>
      <c r="H101" s="1264">
        <f>ROUND(E101*G101,)</f>
        <v>4000</v>
      </c>
      <c r="I101" s="1695">
        <v>200</v>
      </c>
      <c r="J101" s="1264">
        <f>ROUND(I101*E101,)</f>
        <v>800</v>
      </c>
      <c r="K101" s="1273">
        <f>H101+J101</f>
        <v>4800</v>
      </c>
      <c r="L101" s="1687"/>
    </row>
    <row r="102" spans="1:12" s="1199" customFormat="1" ht="24" customHeight="1">
      <c r="A102" s="1572"/>
      <c r="B102" s="1573" t="s">
        <v>1936</v>
      </c>
      <c r="C102" s="1574"/>
      <c r="D102" s="1575"/>
      <c r="E102" s="1598"/>
      <c r="F102" s="1572" t="s">
        <v>363</v>
      </c>
      <c r="G102" s="1558"/>
      <c r="H102" s="1264"/>
      <c r="I102" s="1695"/>
      <c r="J102" s="1264"/>
      <c r="K102" s="1687"/>
      <c r="L102" s="1687"/>
    </row>
    <row r="103" spans="1:12" s="1199" customFormat="1" ht="24" customHeight="1">
      <c r="A103" s="1564"/>
      <c r="B103" s="1565" t="s">
        <v>1937</v>
      </c>
      <c r="C103" s="1533"/>
      <c r="D103" s="1534"/>
      <c r="E103" s="1566"/>
      <c r="F103" s="1564" t="s">
        <v>363</v>
      </c>
      <c r="G103" s="1558"/>
      <c r="H103" s="1264"/>
      <c r="I103" s="1695"/>
      <c r="J103" s="1264"/>
      <c r="K103" s="1687"/>
      <c r="L103" s="1687"/>
    </row>
    <row r="104" spans="1:12" s="1199" customFormat="1" ht="24" customHeight="1">
      <c r="A104" s="1564"/>
      <c r="B104" s="1565" t="s">
        <v>1117</v>
      </c>
      <c r="C104" s="1533"/>
      <c r="D104" s="1534"/>
      <c r="E104" s="1566"/>
      <c r="F104" s="1564"/>
      <c r="G104" s="1558"/>
      <c r="H104" s="1264"/>
      <c r="I104" s="1695"/>
      <c r="J104" s="1264"/>
      <c r="K104" s="1687"/>
      <c r="L104" s="1687"/>
    </row>
    <row r="105" spans="1:12" s="1199" customFormat="1" ht="24" customHeight="1">
      <c r="A105" s="1564"/>
      <c r="B105" s="1565" t="s">
        <v>1896</v>
      </c>
      <c r="C105" s="1533"/>
      <c r="D105" s="1534"/>
      <c r="E105" s="1566"/>
      <c r="F105" s="1564"/>
      <c r="G105" s="1558"/>
      <c r="H105" s="1264"/>
      <c r="I105" s="1695"/>
      <c r="J105" s="1264"/>
      <c r="K105" s="1687"/>
      <c r="L105" s="1687"/>
    </row>
    <row r="106" spans="1:12" s="1199" customFormat="1" ht="24" customHeight="1">
      <c r="A106" s="1637"/>
      <c r="B106" s="1636"/>
      <c r="C106" s="1622"/>
      <c r="D106" s="1623"/>
      <c r="E106" s="1624"/>
      <c r="F106" s="1637"/>
      <c r="G106" s="1558"/>
      <c r="H106" s="1264"/>
      <c r="I106" s="1695"/>
      <c r="J106" s="1264"/>
      <c r="K106" s="1687"/>
      <c r="L106" s="1687"/>
    </row>
    <row r="107" spans="1:12" s="1199" customFormat="1" ht="24" customHeight="1">
      <c r="A107" s="1637"/>
      <c r="B107" s="1636"/>
      <c r="C107" s="1622"/>
      <c r="D107" s="1623"/>
      <c r="E107" s="1624"/>
      <c r="F107" s="1637"/>
      <c r="G107" s="1558"/>
      <c r="H107" s="1264"/>
      <c r="I107" s="1695"/>
      <c r="J107" s="1264"/>
      <c r="K107" s="1687"/>
      <c r="L107" s="1687"/>
    </row>
    <row r="108" spans="1:12" s="1199" customFormat="1" ht="24" customHeight="1">
      <c r="A108" s="1637"/>
      <c r="B108" s="1636"/>
      <c r="C108" s="1622"/>
      <c r="D108" s="1623"/>
      <c r="E108" s="1624"/>
      <c r="F108" s="1637"/>
      <c r="G108" s="1558"/>
      <c r="H108" s="1264"/>
      <c r="I108" s="1695"/>
      <c r="J108" s="1264"/>
      <c r="K108" s="1687"/>
      <c r="L108" s="1687"/>
    </row>
    <row r="109" spans="1:12" s="1199" customFormat="1" ht="24" customHeight="1">
      <c r="A109" s="1578"/>
      <c r="B109" s="2257" t="str">
        <f>"รวมราคารายการที่ "&amp;A85</f>
        <v>รวมราคารายการที่ 6.4</v>
      </c>
      <c r="C109" s="2258"/>
      <c r="D109" s="2259"/>
      <c r="E109" s="1579"/>
      <c r="F109" s="1579"/>
      <c r="G109" s="1580"/>
      <c r="H109" s="1581">
        <f>SUM(H86:H108)</f>
        <v>209000</v>
      </c>
      <c r="I109" s="1582"/>
      <c r="J109" s="1581">
        <f>SUM(J86:J108)</f>
        <v>12890</v>
      </c>
      <c r="K109" s="1583">
        <f>SUM(K86:K108)</f>
        <v>221890</v>
      </c>
      <c r="L109" s="1583"/>
    </row>
    <row r="110" spans="1:12" s="1199" customFormat="1" ht="24" customHeight="1">
      <c r="A110" s="1605" t="s">
        <v>1957</v>
      </c>
      <c r="B110" s="1606" t="s">
        <v>1938</v>
      </c>
      <c r="C110" s="1607"/>
      <c r="D110" s="1608"/>
      <c r="E110" s="1609"/>
      <c r="F110" s="1642"/>
      <c r="G110" s="1611"/>
      <c r="H110" s="1255"/>
      <c r="I110" s="1256"/>
      <c r="J110" s="1255"/>
      <c r="K110" s="1502"/>
      <c r="L110" s="1502"/>
    </row>
    <row r="111" spans="1:12" s="1199" customFormat="1" ht="24" customHeight="1">
      <c r="A111" s="1564" t="s">
        <v>1939</v>
      </c>
      <c r="B111" s="1565" t="s">
        <v>1940</v>
      </c>
      <c r="C111" s="1533"/>
      <c r="D111" s="1534"/>
      <c r="E111" s="1566">
        <v>2</v>
      </c>
      <c r="F111" s="1564" t="s">
        <v>363</v>
      </c>
      <c r="G111" s="1516">
        <v>4460</v>
      </c>
      <c r="H111" s="1264">
        <f>ROUND(E111*G111,)</f>
        <v>8920</v>
      </c>
      <c r="I111" s="1265">
        <f>G111*0.1</f>
        <v>446</v>
      </c>
      <c r="J111" s="1264">
        <f>ROUND(I111*E111,)</f>
        <v>892</v>
      </c>
      <c r="K111" s="1273">
        <f>H111+J111</f>
        <v>9812</v>
      </c>
      <c r="L111" s="1273"/>
    </row>
    <row r="112" spans="1:12" s="1199" customFormat="1" ht="24" customHeight="1">
      <c r="A112" s="1564" t="s">
        <v>1941</v>
      </c>
      <c r="B112" s="1565" t="s">
        <v>1942</v>
      </c>
      <c r="C112" s="1533"/>
      <c r="D112" s="1534"/>
      <c r="E112" s="1566">
        <v>2</v>
      </c>
      <c r="F112" s="1564" t="s">
        <v>363</v>
      </c>
      <c r="G112" s="1516">
        <v>6180</v>
      </c>
      <c r="H112" s="1264">
        <f>ROUND(E112*G112,)</f>
        <v>12360</v>
      </c>
      <c r="I112" s="1265">
        <f>G112*0.1</f>
        <v>618</v>
      </c>
      <c r="J112" s="1264">
        <f>ROUND(I112*E112,)</f>
        <v>1236</v>
      </c>
      <c r="K112" s="1273">
        <f>H112+J112</f>
        <v>13596</v>
      </c>
      <c r="L112" s="1382"/>
    </row>
    <row r="113" spans="1:12" s="1199" customFormat="1" ht="24" customHeight="1">
      <c r="A113" s="1564" t="s">
        <v>1943</v>
      </c>
      <c r="B113" s="1565" t="s">
        <v>1944</v>
      </c>
      <c r="C113" s="1533"/>
      <c r="D113" s="1534"/>
      <c r="E113" s="1566"/>
      <c r="F113" s="1564" t="s">
        <v>363</v>
      </c>
      <c r="G113" s="1516"/>
      <c r="H113" s="1264"/>
      <c r="I113" s="1265"/>
      <c r="J113" s="1264"/>
      <c r="K113" s="1273"/>
      <c r="L113" s="1382"/>
    </row>
    <row r="114" spans="1:12" s="1199" customFormat="1" ht="24" customHeight="1">
      <c r="A114" s="1564"/>
      <c r="B114" s="1565" t="s">
        <v>1117</v>
      </c>
      <c r="C114" s="1533"/>
      <c r="D114" s="1534"/>
      <c r="E114" s="1566"/>
      <c r="F114" s="1564"/>
      <c r="G114" s="1516"/>
      <c r="H114" s="1298"/>
      <c r="I114" s="1299"/>
      <c r="J114" s="1298"/>
      <c r="K114" s="1382"/>
      <c r="L114" s="1382"/>
    </row>
    <row r="115" spans="1:12" s="1199" customFormat="1" ht="24" customHeight="1">
      <c r="A115" s="1564"/>
      <c r="B115" s="1565" t="s">
        <v>1896</v>
      </c>
      <c r="C115" s="1533"/>
      <c r="D115" s="1534"/>
      <c r="E115" s="1566"/>
      <c r="F115" s="1564"/>
      <c r="G115" s="1516"/>
      <c r="H115" s="1298"/>
      <c r="I115" s="1299"/>
      <c r="J115" s="1298"/>
      <c r="K115" s="1382"/>
      <c r="L115" s="1382"/>
    </row>
    <row r="116" spans="1:12" s="1199" customFormat="1" ht="24" customHeight="1">
      <c r="A116" s="1449"/>
      <c r="B116" s="1565" t="s">
        <v>1896</v>
      </c>
      <c r="C116" s="1437"/>
      <c r="D116" s="1278"/>
      <c r="E116" s="1651"/>
      <c r="F116" s="1296"/>
      <c r="G116" s="1516"/>
      <c r="H116" s="1298"/>
      <c r="I116" s="1299"/>
      <c r="J116" s="1298"/>
      <c r="K116" s="1382"/>
      <c r="L116" s="1382"/>
    </row>
    <row r="117" spans="1:12" s="1199" customFormat="1" ht="24" customHeight="1">
      <c r="A117" s="1449"/>
      <c r="B117" s="1707"/>
      <c r="C117" s="1437"/>
      <c r="D117" s="1278"/>
      <c r="E117" s="1651"/>
      <c r="F117" s="1296"/>
      <c r="G117" s="1516"/>
      <c r="H117" s="1298"/>
      <c r="I117" s="1299"/>
      <c r="J117" s="1298"/>
      <c r="K117" s="1382"/>
      <c r="L117" s="1382"/>
    </row>
    <row r="118" spans="1:12" s="1199" customFormat="1" ht="24" customHeight="1">
      <c r="A118" s="1578"/>
      <c r="B118" s="2257" t="str">
        <f>"รวมราคารายการที่ "&amp;A110</f>
        <v>รวมราคารายการที่ 6.5</v>
      </c>
      <c r="C118" s="2258"/>
      <c r="D118" s="2259"/>
      <c r="E118" s="1579"/>
      <c r="F118" s="1579"/>
      <c r="G118" s="1580"/>
      <c r="H118" s="1581">
        <f>SUM(H111:H117)</f>
        <v>21280</v>
      </c>
      <c r="I118" s="1582"/>
      <c r="J118" s="1581">
        <f>SUM(J111:J117)</f>
        <v>2128</v>
      </c>
      <c r="K118" s="1583">
        <f>SUM(K111:K117)</f>
        <v>23408</v>
      </c>
      <c r="L118" s="1583"/>
    </row>
    <row r="119" spans="1:12" s="1199" customFormat="1" ht="24" customHeight="1">
      <c r="A119" s="1564">
        <v>6.6</v>
      </c>
      <c r="B119" s="1565" t="s">
        <v>1424</v>
      </c>
      <c r="C119" s="1533"/>
      <c r="D119" s="1534"/>
      <c r="E119" s="1566">
        <v>1</v>
      </c>
      <c r="F119" s="1564" t="s">
        <v>1104</v>
      </c>
      <c r="G119" s="1708" t="s">
        <v>1952</v>
      </c>
      <c r="H119" s="1298"/>
      <c r="I119" s="1299"/>
      <c r="J119" s="1298"/>
      <c r="K119" s="1382"/>
      <c r="L119" s="1382"/>
    </row>
    <row r="120" spans="1:12" s="1199" customFormat="1" ht="24" customHeight="1">
      <c r="A120" s="1564"/>
      <c r="B120" s="1565"/>
      <c r="C120" s="1533"/>
      <c r="D120" s="1534"/>
      <c r="E120" s="1566"/>
      <c r="F120" s="1564"/>
      <c r="G120" s="1516"/>
      <c r="H120" s="1298"/>
      <c r="I120" s="1299"/>
      <c r="J120" s="1298"/>
      <c r="K120" s="1382"/>
      <c r="L120" s="1382"/>
    </row>
    <row r="121" spans="1:12" s="1199" customFormat="1" ht="24" customHeight="1">
      <c r="A121" s="1564"/>
      <c r="B121" s="1565"/>
      <c r="C121" s="1533"/>
      <c r="D121" s="1534"/>
      <c r="E121" s="1566"/>
      <c r="F121" s="1564"/>
      <c r="G121" s="1516"/>
      <c r="H121" s="1298"/>
      <c r="I121" s="1299"/>
      <c r="J121" s="1298"/>
      <c r="K121" s="1382"/>
      <c r="L121" s="1382"/>
    </row>
    <row r="122" spans="1:12" s="1199" customFormat="1" ht="24" customHeight="1">
      <c r="A122" s="1564"/>
      <c r="B122" s="1565"/>
      <c r="C122" s="1533"/>
      <c r="D122" s="1534"/>
      <c r="E122" s="1566"/>
      <c r="F122" s="1564"/>
      <c r="G122" s="1516"/>
      <c r="H122" s="1298"/>
      <c r="I122" s="1299"/>
      <c r="J122" s="1298"/>
      <c r="K122" s="1382"/>
      <c r="L122" s="1382"/>
    </row>
    <row r="123" spans="1:12" s="1199" customFormat="1" ht="24" customHeight="1">
      <c r="A123" s="1564"/>
      <c r="B123" s="1565"/>
      <c r="C123" s="1533"/>
      <c r="D123" s="1534"/>
      <c r="E123" s="1566"/>
      <c r="F123" s="1564"/>
      <c r="G123" s="1516"/>
      <c r="H123" s="1298"/>
      <c r="I123" s="1299"/>
      <c r="J123" s="1298"/>
      <c r="K123" s="1382"/>
      <c r="L123" s="1382"/>
    </row>
    <row r="124" spans="1:12" s="1199" customFormat="1" ht="24" customHeight="1">
      <c r="A124" s="1564"/>
      <c r="B124" s="1565"/>
      <c r="C124" s="1533"/>
      <c r="D124" s="1534"/>
      <c r="E124" s="1566"/>
      <c r="F124" s="1564"/>
      <c r="G124" s="1516"/>
      <c r="H124" s="1298"/>
      <c r="I124" s="1299"/>
      <c r="J124" s="1298"/>
      <c r="K124" s="1382"/>
      <c r="L124" s="1382"/>
    </row>
    <row r="125" spans="1:12" s="1199" customFormat="1" ht="24" customHeight="1">
      <c r="A125" s="1564"/>
      <c r="B125" s="1565"/>
      <c r="C125" s="1533"/>
      <c r="D125" s="1534"/>
      <c r="E125" s="1566"/>
      <c r="F125" s="1564"/>
      <c r="G125" s="1516"/>
      <c r="H125" s="1298"/>
      <c r="I125" s="1299"/>
      <c r="J125" s="1298"/>
      <c r="K125" s="1382"/>
      <c r="L125" s="1382"/>
    </row>
    <row r="126" spans="1:12" s="1199" customFormat="1" ht="24" customHeight="1">
      <c r="A126" s="1564"/>
      <c r="B126" s="1565"/>
      <c r="C126" s="1533"/>
      <c r="D126" s="1534"/>
      <c r="E126" s="1566"/>
      <c r="F126" s="1564"/>
      <c r="G126" s="1516"/>
      <c r="H126" s="1298"/>
      <c r="I126" s="1299"/>
      <c r="J126" s="1298"/>
      <c r="K126" s="1382"/>
      <c r="L126" s="1382"/>
    </row>
    <row r="127" spans="1:12" s="1199" customFormat="1" ht="24" customHeight="1">
      <c r="A127" s="1564"/>
      <c r="B127" s="1565"/>
      <c r="C127" s="1533"/>
      <c r="D127" s="1534"/>
      <c r="E127" s="1566"/>
      <c r="F127" s="1564"/>
      <c r="G127" s="1516"/>
      <c r="H127" s="1298"/>
      <c r="I127" s="1299"/>
      <c r="J127" s="1298"/>
      <c r="K127" s="1382"/>
      <c r="L127" s="1382"/>
    </row>
    <row r="128" spans="1:12" s="1199" customFormat="1" ht="24" customHeight="1">
      <c r="A128" s="1564"/>
      <c r="B128" s="1565"/>
      <c r="C128" s="1533"/>
      <c r="D128" s="1534"/>
      <c r="E128" s="1566"/>
      <c r="F128" s="1564"/>
      <c r="G128" s="1516"/>
      <c r="H128" s="1298"/>
      <c r="I128" s="1299"/>
      <c r="J128" s="1298"/>
      <c r="K128" s="1382"/>
      <c r="L128" s="1382"/>
    </row>
    <row r="129" spans="1:12" s="1199" customFormat="1" ht="24" customHeight="1">
      <c r="A129" s="1564"/>
      <c r="B129" s="1565"/>
      <c r="C129" s="1533"/>
      <c r="D129" s="1534"/>
      <c r="E129" s="1566"/>
      <c r="F129" s="1564"/>
      <c r="G129" s="1516"/>
      <c r="H129" s="1298"/>
      <c r="I129" s="1299"/>
      <c r="J129" s="1298"/>
      <c r="K129" s="1382"/>
      <c r="L129" s="1382"/>
    </row>
    <row r="130" spans="1:12" s="1199" customFormat="1" ht="24" customHeight="1">
      <c r="A130" s="1564"/>
      <c r="B130" s="1565"/>
      <c r="C130" s="1533"/>
      <c r="D130" s="1534"/>
      <c r="E130" s="1566"/>
      <c r="F130" s="1564"/>
      <c r="G130" s="1516"/>
      <c r="H130" s="1298"/>
      <c r="I130" s="1299"/>
      <c r="J130" s="1298"/>
      <c r="K130" s="1382"/>
      <c r="L130" s="1382"/>
    </row>
    <row r="131" spans="1:12" s="1199" customFormat="1" ht="24" customHeight="1">
      <c r="A131" s="1564"/>
      <c r="B131" s="1565"/>
      <c r="C131" s="1533"/>
      <c r="D131" s="1534"/>
      <c r="E131" s="1566"/>
      <c r="F131" s="1564"/>
      <c r="G131" s="1516"/>
      <c r="H131" s="1298"/>
      <c r="I131" s="1299"/>
      <c r="J131" s="1298"/>
      <c r="K131" s="1382"/>
      <c r="L131" s="1382"/>
    </row>
    <row r="132" spans="1:12" s="1199" customFormat="1" ht="24" customHeight="1">
      <c r="A132" s="1564"/>
      <c r="B132" s="1565"/>
      <c r="C132" s="1533"/>
      <c r="D132" s="1534"/>
      <c r="E132" s="1566"/>
      <c r="F132" s="1564"/>
      <c r="G132" s="1516"/>
      <c r="H132" s="1298"/>
      <c r="I132" s="1299"/>
      <c r="J132" s="1298"/>
      <c r="K132" s="1382"/>
      <c r="L132" s="1382"/>
    </row>
    <row r="133" spans="1:12" s="1199" customFormat="1" ht="24" customHeight="1">
      <c r="A133" s="1564"/>
      <c r="B133" s="1565"/>
      <c r="C133" s="1533"/>
      <c r="D133" s="1534"/>
      <c r="E133" s="1566"/>
      <c r="F133" s="1564"/>
      <c r="G133" s="1516"/>
      <c r="H133" s="1298"/>
      <c r="I133" s="1299"/>
      <c r="J133" s="1298"/>
      <c r="K133" s="1382"/>
      <c r="L133" s="1382"/>
    </row>
    <row r="134" spans="1:12" s="1199" customFormat="1" ht="24" customHeight="1">
      <c r="A134" s="1578"/>
      <c r="B134" s="2257" t="str">
        <f>"รวมราคารายการที่ "&amp;A119</f>
        <v>รวมราคารายการที่ 6.6</v>
      </c>
      <c r="C134" s="2258"/>
      <c r="D134" s="2259"/>
      <c r="E134" s="1579"/>
      <c r="F134" s="1579"/>
      <c r="G134" s="1580"/>
      <c r="H134" s="1581">
        <f>SUM(H119:H133)</f>
        <v>0</v>
      </c>
      <c r="I134" s="1582"/>
      <c r="J134" s="1581">
        <f>SUM(J119:J133)</f>
        <v>0</v>
      </c>
      <c r="K134" s="1583">
        <f>SUM(K119:K133)</f>
        <v>0</v>
      </c>
      <c r="L134" s="1583"/>
    </row>
    <row r="135" spans="1:12" s="1199" customFormat="1" ht="21.3">
      <c r="A135" s="1427"/>
      <c r="E135" s="1570"/>
    </row>
    <row r="136" spans="1:12" s="1199" customFormat="1" ht="21.3">
      <c r="A136" s="1427"/>
      <c r="E136" s="1570"/>
    </row>
    <row r="137" spans="1:12" s="1199" customFormat="1" ht="21.3">
      <c r="A137" s="1427"/>
      <c r="E137" s="1570"/>
    </row>
    <row r="138" spans="1:12" s="1199" customFormat="1" ht="21.3">
      <c r="A138" s="1427"/>
      <c r="E138" s="1570"/>
    </row>
    <row r="139" spans="1:12" s="1199" customFormat="1" ht="21.3">
      <c r="A139" s="1427"/>
      <c r="E139" s="1570"/>
    </row>
    <row r="140" spans="1:12" s="1199" customFormat="1" ht="21.3">
      <c r="A140" s="1427"/>
      <c r="E140" s="1570"/>
    </row>
    <row r="141" spans="1:12" s="1199" customFormat="1" ht="21.3">
      <c r="A141" s="1427"/>
      <c r="E141" s="1570"/>
    </row>
    <row r="142" spans="1:12" s="1199" customFormat="1" ht="21.3">
      <c r="A142" s="1427"/>
      <c r="E142" s="1570"/>
    </row>
    <row r="143" spans="1:12" s="1199" customFormat="1" ht="21.3">
      <c r="A143" s="1427"/>
      <c r="E143" s="1570"/>
    </row>
    <row r="144" spans="1:12" s="1199" customFormat="1" ht="21.3">
      <c r="A144" s="1427"/>
      <c r="E144" s="1570"/>
    </row>
    <row r="145" spans="1:5" s="1199" customFormat="1" ht="21.3">
      <c r="A145" s="1427"/>
      <c r="E145" s="1570"/>
    </row>
    <row r="146" spans="1:5" s="1199" customFormat="1" ht="21.3">
      <c r="A146" s="1427"/>
      <c r="E146" s="1570"/>
    </row>
    <row r="147" spans="1:5" s="1199" customFormat="1" ht="21.3">
      <c r="A147" s="1427"/>
      <c r="E147" s="1570"/>
    </row>
    <row r="148" spans="1:5" s="1199" customFormat="1" ht="21.3">
      <c r="A148" s="1427"/>
      <c r="E148" s="1570"/>
    </row>
    <row r="149" spans="1:5" s="1199" customFormat="1" ht="21.3">
      <c r="A149" s="1427"/>
      <c r="E149" s="1570"/>
    </row>
    <row r="150" spans="1:5" s="1199" customFormat="1" ht="21.3">
      <c r="A150" s="1427"/>
      <c r="E150" s="1570"/>
    </row>
    <row r="151" spans="1:5" s="1199" customFormat="1" ht="21.3">
      <c r="A151" s="1427"/>
      <c r="E151" s="1570"/>
    </row>
    <row r="152" spans="1:5" s="1199" customFormat="1" ht="21.3">
      <c r="A152" s="1427"/>
      <c r="E152" s="1570"/>
    </row>
    <row r="153" spans="1:5" s="1199" customFormat="1" ht="21.3">
      <c r="A153" s="1427"/>
      <c r="E153" s="1570"/>
    </row>
    <row r="154" spans="1:5" s="1199" customFormat="1" ht="21.3">
      <c r="A154" s="1427"/>
      <c r="E154" s="1570"/>
    </row>
    <row r="155" spans="1:5" s="1199" customFormat="1" ht="21.3">
      <c r="A155" s="1427"/>
      <c r="E155" s="1570"/>
    </row>
    <row r="156" spans="1:5" s="1199" customFormat="1" ht="21.3">
      <c r="A156" s="1427"/>
      <c r="E156" s="1570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ดาดฟ้า-อาคารด้านทิศตะวันตก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52BF-A81C-4F29-930D-A1CBD9E6334C}">
  <sheetPr>
    <tabColor rgb="FF92D050"/>
  </sheetPr>
  <dimension ref="A1:S595"/>
  <sheetViews>
    <sheetView view="pageBreakPreview" topLeftCell="A547" zoomScale="70" zoomScaleNormal="100" zoomScaleSheetLayoutView="70" workbookViewId="0">
      <selection activeCell="E563" sqref="E563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1.29296875" style="1217" customWidth="1"/>
    <col min="13" max="13" width="24.41015625" style="1" customWidth="1"/>
    <col min="14" max="16384" width="9" style="1"/>
  </cols>
  <sheetData>
    <row r="1" spans="1:13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1167"/>
    </row>
    <row r="2" spans="1:13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169"/>
    </row>
    <row r="3" spans="1:13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1171"/>
    </row>
    <row r="4" spans="1:13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1171"/>
    </row>
    <row r="5" spans="1:13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1171"/>
    </row>
    <row r="6" spans="1:13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1173"/>
    </row>
    <row r="7" spans="1:13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53" t="s">
        <v>7</v>
      </c>
    </row>
    <row r="8" spans="1:13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54"/>
    </row>
    <row r="9" spans="1:13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55" t="s">
        <v>15</v>
      </c>
    </row>
    <row r="10" spans="1:13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56"/>
    </row>
    <row r="11" spans="1:13" ht="24" customHeight="1">
      <c r="A11" s="1175" t="s">
        <v>30</v>
      </c>
      <c r="B11" s="1176" t="s">
        <v>1094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218"/>
    </row>
    <row r="12" spans="1:13" s="1199" customFormat="1" ht="24" customHeight="1">
      <c r="A12" s="1189">
        <f>+A35</f>
        <v>3.1</v>
      </c>
      <c r="B12" s="1190" t="str">
        <f>+B35</f>
        <v>Main Incoming &amp; HV Routing</v>
      </c>
      <c r="C12" s="1191"/>
      <c r="D12" s="1192"/>
      <c r="E12" s="1193">
        <v>1</v>
      </c>
      <c r="F12" s="1194" t="s">
        <v>19</v>
      </c>
      <c r="G12" s="1195"/>
      <c r="H12" s="1196">
        <f>H58</f>
        <v>863999</v>
      </c>
      <c r="I12" s="1197"/>
      <c r="J12" s="1196">
        <f>J58</f>
        <v>89103</v>
      </c>
      <c r="K12" s="1196">
        <f>K58</f>
        <v>953102</v>
      </c>
      <c r="L12" s="1218"/>
      <c r="M12" s="1532"/>
    </row>
    <row r="13" spans="1:13" s="1199" customFormat="1" ht="24" customHeight="1">
      <c r="A13" s="1189" t="str">
        <f>+A59</f>
        <v>3.2</v>
      </c>
      <c r="B13" s="1190" t="str">
        <f>+B59</f>
        <v>สวิทช์เกียร์แรงสูง (HV Switchgear)</v>
      </c>
      <c r="C13" s="1201"/>
      <c r="D13" s="1192"/>
      <c r="E13" s="1193">
        <v>1</v>
      </c>
      <c r="F13" s="1194" t="s">
        <v>19</v>
      </c>
      <c r="G13" s="1195"/>
      <c r="H13" s="1196">
        <f>H68</f>
        <v>1546000</v>
      </c>
      <c r="I13" s="1197"/>
      <c r="J13" s="1196">
        <f>J68</f>
        <v>51025</v>
      </c>
      <c r="K13" s="1196">
        <f>K68</f>
        <v>1597025</v>
      </c>
      <c r="L13" s="1218"/>
      <c r="M13" s="1532"/>
    </row>
    <row r="14" spans="1:13" s="1199" customFormat="1" ht="24" customHeight="1">
      <c r="A14" s="1204" t="str">
        <f>A69</f>
        <v>3.3</v>
      </c>
      <c r="B14" s="1190" t="str">
        <f>B69</f>
        <v>หม้อแปลงไฟฟ้า (Transformer)</v>
      </c>
      <c r="C14" s="1202"/>
      <c r="D14" s="1203"/>
      <c r="E14" s="1193">
        <v>1</v>
      </c>
      <c r="F14" s="1194" t="s">
        <v>19</v>
      </c>
      <c r="G14" s="1195"/>
      <c r="H14" s="1196">
        <f>H82</f>
        <v>3321000</v>
      </c>
      <c r="I14" s="1197"/>
      <c r="J14" s="1196">
        <f>J82</f>
        <v>95400</v>
      </c>
      <c r="K14" s="1196">
        <f>K82</f>
        <v>3416400</v>
      </c>
      <c r="L14" s="1218"/>
      <c r="M14" s="1532"/>
    </row>
    <row r="15" spans="1:13" s="1199" customFormat="1" ht="24" customHeight="1">
      <c r="A15" s="1204" t="str">
        <f>A83</f>
        <v>3.4</v>
      </c>
      <c r="B15" s="1190" t="s">
        <v>2636</v>
      </c>
      <c r="C15" s="1202"/>
      <c r="D15" s="1203"/>
      <c r="E15" s="1193">
        <v>1</v>
      </c>
      <c r="F15" s="1194" t="s">
        <v>19</v>
      </c>
      <c r="G15" s="1195"/>
      <c r="H15" s="1196">
        <f>H106</f>
        <v>198585</v>
      </c>
      <c r="I15" s="1197"/>
      <c r="J15" s="1196">
        <f>J106</f>
        <v>59576</v>
      </c>
      <c r="K15" s="1196">
        <f>K106</f>
        <v>258161</v>
      </c>
      <c r="L15" s="1218"/>
      <c r="M15" s="1532"/>
    </row>
    <row r="16" spans="1:13" s="1199" customFormat="1" ht="24" customHeight="1">
      <c r="A16" s="1219" t="str">
        <f>A107</f>
        <v>3.5</v>
      </c>
      <c r="B16" s="1220" t="str">
        <f>B107</f>
        <v>แผงเมนไฟฟ้าปกติ (Main Distribution Board)</v>
      </c>
      <c r="C16" s="1221"/>
      <c r="D16" s="1222"/>
      <c r="E16" s="1193">
        <v>1</v>
      </c>
      <c r="F16" s="1223" t="s">
        <v>19</v>
      </c>
      <c r="G16" s="1195"/>
      <c r="H16" s="1196">
        <f>H214</f>
        <v>9805382</v>
      </c>
      <c r="I16" s="1197"/>
      <c r="J16" s="1196">
        <f>J214</f>
        <v>511989</v>
      </c>
      <c r="K16" s="1196">
        <f>K214</f>
        <v>10317371</v>
      </c>
      <c r="L16" s="1218"/>
      <c r="M16" s="1532"/>
    </row>
    <row r="17" spans="1:13" s="1199" customFormat="1" ht="24" customHeight="1">
      <c r="A17" s="1219" t="str">
        <f>A215</f>
        <v>3.6</v>
      </c>
      <c r="B17" s="1220" t="str">
        <f>B215</f>
        <v>แผงเมนไฟฟ้าฉุกเฉิน (Essential Main Distribution Board)</v>
      </c>
      <c r="C17" s="1221"/>
      <c r="D17" s="1222"/>
      <c r="E17" s="1193">
        <v>1</v>
      </c>
      <c r="F17" s="1223" t="s">
        <v>19</v>
      </c>
      <c r="G17" s="1195"/>
      <c r="H17" s="1196">
        <f>H260</f>
        <v>1758677</v>
      </c>
      <c r="I17" s="1197"/>
      <c r="J17" s="1196">
        <f>J260</f>
        <v>192036</v>
      </c>
      <c r="K17" s="1196">
        <f>K260</f>
        <v>1950713</v>
      </c>
      <c r="L17" s="1218"/>
      <c r="M17" s="1532"/>
    </row>
    <row r="18" spans="1:13" s="1199" customFormat="1" ht="24" customHeight="1">
      <c r="A18" s="1219" t="str">
        <f>A261</f>
        <v>3.7</v>
      </c>
      <c r="B18" s="1220" t="str">
        <f>B261</f>
        <v>Busduct</v>
      </c>
      <c r="C18" s="1221"/>
      <c r="D18" s="1222"/>
      <c r="E18" s="1193">
        <v>1</v>
      </c>
      <c r="F18" s="1223" t="s">
        <v>19</v>
      </c>
      <c r="G18" s="1195"/>
      <c r="H18" s="1196">
        <f>H287</f>
        <v>9022400</v>
      </c>
      <c r="I18" s="1197"/>
      <c r="J18" s="1196">
        <f t="shared" ref="J18:K18" si="0">J287</f>
        <v>1090570</v>
      </c>
      <c r="K18" s="1196">
        <f t="shared" si="0"/>
        <v>10112970</v>
      </c>
      <c r="L18" s="1218"/>
      <c r="M18" s="1532"/>
    </row>
    <row r="19" spans="1:13" s="1199" customFormat="1" ht="24" customHeight="1">
      <c r="A19" s="1219" t="str">
        <f>A288</f>
        <v>3.8</v>
      </c>
      <c r="B19" s="1220" t="str">
        <f>B288</f>
        <v>สายไฟฟ้า (Cable &amp; Wire)</v>
      </c>
      <c r="C19" s="1221"/>
      <c r="D19" s="1222"/>
      <c r="E19" s="1193">
        <v>1</v>
      </c>
      <c r="F19" s="1223" t="s">
        <v>19</v>
      </c>
      <c r="G19" s="1195"/>
      <c r="H19" s="1196">
        <f>H331</f>
        <v>26360019</v>
      </c>
      <c r="I19" s="1197"/>
      <c r="J19" s="1196">
        <f t="shared" ref="J19:K19" si="1">J331</f>
        <v>3794572</v>
      </c>
      <c r="K19" s="1196">
        <f t="shared" si="1"/>
        <v>30154591</v>
      </c>
      <c r="L19" s="1218"/>
      <c r="M19" s="1532"/>
    </row>
    <row r="20" spans="1:13" s="1199" customFormat="1" ht="24" customHeight="1">
      <c r="A20" s="1204" t="str">
        <f>A332</f>
        <v>3.9</v>
      </c>
      <c r="B20" s="1190" t="str">
        <f>B332</f>
        <v>รางเดินสายไฟฟ้า (Raceway)</v>
      </c>
      <c r="C20" s="1202"/>
      <c r="D20" s="1203"/>
      <c r="E20" s="1193">
        <v>1</v>
      </c>
      <c r="F20" s="1194" t="s">
        <v>19</v>
      </c>
      <c r="G20" s="1195"/>
      <c r="H20" s="1196">
        <f>H356</f>
        <v>8155050</v>
      </c>
      <c r="I20" s="1197"/>
      <c r="J20" s="1196">
        <f t="shared" ref="J20:K20" si="2">J356</f>
        <v>1338613</v>
      </c>
      <c r="K20" s="1196">
        <f t="shared" si="2"/>
        <v>9493663</v>
      </c>
      <c r="L20" s="1218"/>
      <c r="M20" s="1532"/>
    </row>
    <row r="21" spans="1:13" s="1199" customFormat="1" ht="24" customHeight="1">
      <c r="A21" s="1224" t="str">
        <f>A357</f>
        <v>3.10</v>
      </c>
      <c r="B21" s="1190" t="str">
        <f>B357</f>
        <v>Two Wire Remote System</v>
      </c>
      <c r="C21" s="1225"/>
      <c r="D21" s="1226"/>
      <c r="E21" s="1193">
        <v>1</v>
      </c>
      <c r="F21" s="1227" t="s">
        <v>19</v>
      </c>
      <c r="G21" s="1228"/>
      <c r="H21" s="1229">
        <f>H381</f>
        <v>172640</v>
      </c>
      <c r="I21" s="1230"/>
      <c r="J21" s="1229">
        <f t="shared" ref="J21:K21" si="3">J381</f>
        <v>30772</v>
      </c>
      <c r="K21" s="1229">
        <f t="shared" si="3"/>
        <v>203412</v>
      </c>
      <c r="L21" s="1218"/>
      <c r="M21" s="1532"/>
    </row>
    <row r="22" spans="1:13" s="1199" customFormat="1" ht="24" customHeight="1">
      <c r="A22" s="1231" t="str">
        <f>A382</f>
        <v>3.11</v>
      </c>
      <c r="B22" s="1232" t="str">
        <f>B382</f>
        <v>ระบบป้องกันฟ้าผ่าและระบบต่อลงดิน (Lightning Protection &amp; Grounding System)</v>
      </c>
      <c r="C22" s="1225"/>
      <c r="D22" s="1226"/>
      <c r="E22" s="1193">
        <v>1</v>
      </c>
      <c r="F22" s="1227" t="s">
        <v>19</v>
      </c>
      <c r="G22" s="1228"/>
      <c r="H22" s="1229">
        <f>H404</f>
        <v>3190965</v>
      </c>
      <c r="I22" s="1230"/>
      <c r="J22" s="1229">
        <f t="shared" ref="J22:K22" si="4">J404</f>
        <v>868780</v>
      </c>
      <c r="K22" s="1229">
        <f t="shared" si="4"/>
        <v>4059745</v>
      </c>
      <c r="L22" s="1218"/>
      <c r="M22" s="1532"/>
    </row>
    <row r="23" spans="1:13" s="1199" customFormat="1" ht="24" customHeight="1">
      <c r="A23" s="1204" t="str">
        <f>A405</f>
        <v>3.12</v>
      </c>
      <c r="B23" s="2174" t="str">
        <f>B405</f>
        <v>ระบบสัญญาณแจ้งเหตุเพลิงไหม้ (Fire Alarm System)</v>
      </c>
      <c r="C23" s="1202"/>
      <c r="D23" s="1203"/>
      <c r="E23" s="1193">
        <v>1</v>
      </c>
      <c r="F23" s="1207" t="s">
        <v>19</v>
      </c>
      <c r="G23" s="1208"/>
      <c r="H23" s="1196">
        <f>H426</f>
        <v>4581048</v>
      </c>
      <c r="I23" s="1197"/>
      <c r="J23" s="1196">
        <f t="shared" ref="J23:K23" si="5">J426</f>
        <v>307150</v>
      </c>
      <c r="K23" s="1196">
        <f t="shared" si="5"/>
        <v>4888198</v>
      </c>
      <c r="L23" s="1218"/>
      <c r="M23" s="1532"/>
    </row>
    <row r="24" spans="1:13" s="1199" customFormat="1" ht="24" customHeight="1">
      <c r="A24" s="1204" t="str">
        <f>A427</f>
        <v>3.13</v>
      </c>
      <c r="B24" s="2174" t="str">
        <f>B427</f>
        <v>ระบบสื่อสารข้อมูลคอมพิวเตอร์ (Data Net Work System)</v>
      </c>
      <c r="C24" s="1202"/>
      <c r="D24" s="1203"/>
      <c r="E24" s="1193">
        <v>1</v>
      </c>
      <c r="F24" s="1207" t="s">
        <v>19</v>
      </c>
      <c r="G24" s="1195"/>
      <c r="H24" s="1196">
        <f>H452</f>
        <v>1930952</v>
      </c>
      <c r="I24" s="1197"/>
      <c r="J24" s="1196">
        <f t="shared" ref="J24:K24" si="6">J452</f>
        <v>771625</v>
      </c>
      <c r="K24" s="1196">
        <f t="shared" si="6"/>
        <v>2702577</v>
      </c>
      <c r="L24" s="1218"/>
      <c r="M24" s="1532"/>
    </row>
    <row r="25" spans="1:13" s="1199" customFormat="1" ht="24" customHeight="1">
      <c r="A25" s="1233" t="str">
        <f>A453</f>
        <v>3.14</v>
      </c>
      <c r="B25" s="1234" t="str">
        <f>B453</f>
        <v>ระบบเสียงและประกาศเรียก (Public Address System)</v>
      </c>
      <c r="C25" s="1235"/>
      <c r="D25" s="1236"/>
      <c r="E25" s="1193">
        <v>1</v>
      </c>
      <c r="F25" s="1194" t="s">
        <v>19</v>
      </c>
      <c r="G25" s="1237"/>
      <c r="H25" s="1238">
        <f>H470</f>
        <v>426208</v>
      </c>
      <c r="I25" s="1239"/>
      <c r="J25" s="1238">
        <f t="shared" ref="J25:K25" si="7">J470</f>
        <v>117525</v>
      </c>
      <c r="K25" s="1238">
        <f t="shared" si="7"/>
        <v>543733</v>
      </c>
      <c r="L25" s="1218"/>
      <c r="M25" s="1532"/>
    </row>
    <row r="26" spans="1:13" s="1199" customFormat="1" ht="24" customHeight="1">
      <c r="A26" s="1231" t="str">
        <f>A471</f>
        <v>3.15</v>
      </c>
      <c r="B26" s="1190" t="str">
        <f>B471</f>
        <v>ระบบควบคุมอาคารอัตโนมัติ (Building AutomationSystem (BMS)</v>
      </c>
      <c r="C26" s="1225"/>
      <c r="D26" s="1226"/>
      <c r="E26" s="1193">
        <v>1</v>
      </c>
      <c r="F26" s="1227" t="s">
        <v>19</v>
      </c>
      <c r="G26" s="1228"/>
      <c r="H26" s="1229">
        <f>H508</f>
        <v>689704</v>
      </c>
      <c r="I26" s="1230"/>
      <c r="J26" s="1229">
        <f t="shared" ref="J26:K26" si="8">J508</f>
        <v>113418</v>
      </c>
      <c r="K26" s="1229">
        <f t="shared" si="8"/>
        <v>803122</v>
      </c>
      <c r="L26" s="1218"/>
      <c r="M26" s="1532"/>
    </row>
    <row r="27" spans="1:13" s="1199" customFormat="1" ht="24" customHeight="1">
      <c r="A27" s="1204" t="str">
        <f>A509</f>
        <v>3.16</v>
      </c>
      <c r="B27" s="1190" t="str">
        <f>B509</f>
        <v>ระบบควบคุมประตูอัตโนมัติ (Access Control System)</v>
      </c>
      <c r="C27" s="1202"/>
      <c r="D27" s="1203"/>
      <c r="E27" s="1193">
        <v>1</v>
      </c>
      <c r="F27" s="1194" t="s">
        <v>19</v>
      </c>
      <c r="G27" s="1195"/>
      <c r="H27" s="1196">
        <f>H538</f>
        <v>238553</v>
      </c>
      <c r="I27" s="1197"/>
      <c r="J27" s="1196">
        <f>J538</f>
        <v>119162</v>
      </c>
      <c r="K27" s="1196">
        <f>K538</f>
        <v>357715</v>
      </c>
      <c r="L27" s="1218"/>
      <c r="M27" s="1532"/>
    </row>
    <row r="28" spans="1:13" s="1199" customFormat="1" ht="24" customHeight="1">
      <c r="A28" s="1204" t="str">
        <f>A539</f>
        <v>3.17</v>
      </c>
      <c r="B28" s="1431" t="str">
        <f>B539</f>
        <v>ระบบแจ้งเหตุฉุกเฉิน (Panic Alarm System)</v>
      </c>
      <c r="C28" s="1202"/>
      <c r="D28" s="1203"/>
      <c r="E28" s="1193">
        <v>1</v>
      </c>
      <c r="F28" s="1194" t="s">
        <v>19</v>
      </c>
      <c r="G28" s="1195"/>
      <c r="H28" s="1196">
        <f>H576</f>
        <v>317078</v>
      </c>
      <c r="I28" s="1241"/>
      <c r="J28" s="1196">
        <f t="shared" ref="J28:K28" si="9">J576</f>
        <v>64662</v>
      </c>
      <c r="K28" s="1196">
        <f t="shared" si="9"/>
        <v>381620.3</v>
      </c>
      <c r="L28" s="1218"/>
      <c r="M28" s="1532"/>
    </row>
    <row r="29" spans="1:13" s="1199" customFormat="1" ht="24" customHeight="1">
      <c r="A29" s="1233" t="str">
        <f>A577</f>
        <v>3.18</v>
      </c>
      <c r="B29" s="1234" t="str">
        <f>B577</f>
        <v>ระบบป้องกันไฟและควันลาม (Fire Barrier System)</v>
      </c>
      <c r="C29" s="1235"/>
      <c r="D29" s="1236"/>
      <c r="E29" s="1193">
        <v>1</v>
      </c>
      <c r="F29" s="1194" t="s">
        <v>19</v>
      </c>
      <c r="G29" s="1237"/>
      <c r="H29" s="1238">
        <f>H586</f>
        <v>630000</v>
      </c>
      <c r="I29" s="1239"/>
      <c r="J29" s="1238">
        <f t="shared" ref="J29:K29" si="10">J586</f>
        <v>189000</v>
      </c>
      <c r="K29" s="1238">
        <f t="shared" si="10"/>
        <v>819000</v>
      </c>
      <c r="L29" s="1218"/>
      <c r="M29" s="1532"/>
    </row>
    <row r="30" spans="1:13" s="1199" customFormat="1" ht="24" customHeight="1">
      <c r="A30" s="1204"/>
      <c r="B30" s="1240"/>
      <c r="C30" s="1202"/>
      <c r="D30" s="1203"/>
      <c r="E30" s="1193"/>
      <c r="F30" s="1207"/>
      <c r="G30" s="1195"/>
      <c r="H30" s="1196"/>
      <c r="I30" s="1241"/>
      <c r="J30" s="1229"/>
      <c r="K30" s="1242"/>
      <c r="L30" s="1218"/>
    </row>
    <row r="31" spans="1:13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218"/>
    </row>
    <row r="32" spans="1:13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218"/>
    </row>
    <row r="33" spans="1:12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218"/>
    </row>
    <row r="34" spans="1:12" s="1199" customFormat="1" ht="24" customHeight="1">
      <c r="A34" s="1243"/>
      <c r="B34" s="2257" t="str">
        <f>"รวมราคา"&amp;B11</f>
        <v>รวมราคางานระบบไฟฟ้าและสื่อสาร (Main Equipment)</v>
      </c>
      <c r="C34" s="2258"/>
      <c r="D34" s="2259"/>
      <c r="E34" s="1244"/>
      <c r="F34" s="1245"/>
      <c r="G34" s="1246"/>
      <c r="H34" s="1247">
        <f>SUM(H11:H33)</f>
        <v>73208260</v>
      </c>
      <c r="I34" s="1246"/>
      <c r="J34" s="1247">
        <f>SUM(J11:J33)</f>
        <v>9804978</v>
      </c>
      <c r="K34" s="1247">
        <f>SUM(K11:K33)</f>
        <v>83013118.299999997</v>
      </c>
      <c r="L34" s="1245"/>
    </row>
    <row r="35" spans="1:12" s="1199" customFormat="1" ht="24" customHeight="1">
      <c r="A35" s="1248">
        <v>3.1</v>
      </c>
      <c r="B35" s="1249" t="s">
        <v>1095</v>
      </c>
      <c r="C35" s="1250"/>
      <c r="D35" s="1251"/>
      <c r="E35" s="1252"/>
      <c r="F35" s="1253"/>
      <c r="G35" s="1254"/>
      <c r="H35" s="1255"/>
      <c r="I35" s="1256"/>
      <c r="J35" s="1255"/>
      <c r="K35" s="1256"/>
      <c r="L35" s="1257"/>
    </row>
    <row r="36" spans="1:12" s="1199" customFormat="1" ht="24" customHeight="1">
      <c r="A36" s="1258" t="s">
        <v>1096</v>
      </c>
      <c r="B36" s="1259" t="s">
        <v>1097</v>
      </c>
      <c r="C36" s="1260"/>
      <c r="D36" s="1260"/>
      <c r="E36" s="1261"/>
      <c r="F36" s="1262"/>
      <c r="G36" s="2175"/>
      <c r="H36" s="1264"/>
      <c r="I36" s="1265"/>
      <c r="J36" s="1264"/>
      <c r="K36" s="1265"/>
      <c r="L36" s="1266"/>
    </row>
    <row r="37" spans="1:12" s="1199" customFormat="1" ht="24" customHeight="1">
      <c r="A37" s="1258" t="s">
        <v>1098</v>
      </c>
      <c r="B37" s="1259" t="s">
        <v>1099</v>
      </c>
      <c r="C37" s="1260"/>
      <c r="D37" s="1260"/>
      <c r="E37" s="1261"/>
      <c r="F37" s="1262"/>
      <c r="G37" s="2175"/>
      <c r="H37" s="1264"/>
      <c r="I37" s="1265"/>
      <c r="J37" s="1264"/>
      <c r="K37" s="1265"/>
      <c r="L37" s="1266"/>
    </row>
    <row r="38" spans="1:12" s="1199" customFormat="1" ht="24" customHeight="1">
      <c r="A38" s="1258"/>
      <c r="B38" s="1259" t="s">
        <v>1100</v>
      </c>
      <c r="C38" s="1260"/>
      <c r="D38" s="1260"/>
      <c r="E38" s="1261">
        <v>90</v>
      </c>
      <c r="F38" s="1267" t="s">
        <v>226</v>
      </c>
      <c r="G38" s="2175">
        <v>1005</v>
      </c>
      <c r="H38" s="1264">
        <f>ROUND(E38*G38,)</f>
        <v>90450</v>
      </c>
      <c r="I38" s="1265">
        <v>95</v>
      </c>
      <c r="J38" s="1264">
        <f>E38*I38</f>
        <v>8550</v>
      </c>
      <c r="K38" s="1268">
        <f>H38+J38</f>
        <v>99000</v>
      </c>
      <c r="L38" s="1269"/>
    </row>
    <row r="39" spans="1:12" s="1199" customFormat="1" ht="24" customHeight="1">
      <c r="A39" s="1258"/>
      <c r="B39" s="1259" t="s">
        <v>1101</v>
      </c>
      <c r="C39" s="1260"/>
      <c r="D39" s="1260"/>
      <c r="E39" s="1261">
        <v>150</v>
      </c>
      <c r="F39" s="1267" t="s">
        <v>226</v>
      </c>
      <c r="G39" s="2175">
        <v>1209</v>
      </c>
      <c r="H39" s="1264">
        <f>ROUND(E39*G39,)</f>
        <v>181350</v>
      </c>
      <c r="I39" s="1265">
        <v>95</v>
      </c>
      <c r="J39" s="1264">
        <f>E39*I39</f>
        <v>14250</v>
      </c>
      <c r="K39" s="1268">
        <f>H39+J39</f>
        <v>195600</v>
      </c>
      <c r="L39" s="1269"/>
    </row>
    <row r="40" spans="1:12" s="1199" customFormat="1" ht="24" customHeight="1">
      <c r="A40" s="1258"/>
      <c r="B40" s="1259" t="s">
        <v>1102</v>
      </c>
      <c r="C40" s="1260"/>
      <c r="D40" s="1260"/>
      <c r="E40" s="1261"/>
      <c r="F40" s="1267" t="s">
        <v>226</v>
      </c>
      <c r="G40" s="2175">
        <v>1747.5</v>
      </c>
      <c r="H40" s="1264">
        <f>ROUND(E40*G40,)</f>
        <v>0</v>
      </c>
      <c r="I40" s="1265">
        <v>100</v>
      </c>
      <c r="J40" s="1264">
        <f>E40*I40</f>
        <v>0</v>
      </c>
      <c r="K40" s="1268">
        <f>H40+J40</f>
        <v>0</v>
      </c>
      <c r="L40" s="1269"/>
    </row>
    <row r="41" spans="1:12" s="1199" customFormat="1" ht="24" customHeight="1">
      <c r="A41" s="1258"/>
      <c r="B41" s="1259" t="s">
        <v>1103</v>
      </c>
      <c r="C41" s="1221"/>
      <c r="D41" s="1221"/>
      <c r="E41" s="1270">
        <v>1</v>
      </c>
      <c r="F41" s="1262" t="s">
        <v>1104</v>
      </c>
      <c r="G41" s="2176">
        <f>SUM(H38:H40)*5%</f>
        <v>13590</v>
      </c>
      <c r="H41" s="1264">
        <f>ROUND(E41*G41,)</f>
        <v>13590</v>
      </c>
      <c r="I41" s="2177">
        <f>G41*0.3</f>
        <v>4077</v>
      </c>
      <c r="J41" s="1264">
        <f>ROUND(E41*I41,)</f>
        <v>4077</v>
      </c>
      <c r="K41" s="1273">
        <f>H41+J41</f>
        <v>17667</v>
      </c>
      <c r="L41" s="1266"/>
    </row>
    <row r="42" spans="1:12" s="1199" customFormat="1" ht="24" customHeight="1">
      <c r="A42" s="1258" t="s">
        <v>1105</v>
      </c>
      <c r="B42" s="1259" t="s">
        <v>1106</v>
      </c>
      <c r="C42" s="1260"/>
      <c r="D42" s="1260"/>
      <c r="E42" s="1261"/>
      <c r="F42" s="1267"/>
      <c r="G42" s="2175"/>
      <c r="H42" s="1264"/>
      <c r="I42" s="1265"/>
      <c r="J42" s="1264"/>
      <c r="K42" s="1274"/>
      <c r="L42" s="1266"/>
    </row>
    <row r="43" spans="1:12" s="1199" customFormat="1" ht="24" customHeight="1">
      <c r="A43" s="1258"/>
      <c r="B43" s="1259" t="s">
        <v>1107</v>
      </c>
      <c r="C43" s="1260"/>
      <c r="D43" s="1260"/>
      <c r="E43" s="1261">
        <v>150</v>
      </c>
      <c r="F43" s="1267" t="s">
        <v>226</v>
      </c>
      <c r="G43" s="2175">
        <v>1383</v>
      </c>
      <c r="H43" s="1264">
        <f>ROUND(E43*G43,)</f>
        <v>207450</v>
      </c>
      <c r="I43" s="1265">
        <v>115</v>
      </c>
      <c r="J43" s="1264">
        <f>E43*I43</f>
        <v>17250</v>
      </c>
      <c r="K43" s="1268">
        <f>H43+J43</f>
        <v>224700</v>
      </c>
      <c r="L43" s="1266"/>
    </row>
    <row r="44" spans="1:12" s="1199" customFormat="1" ht="24" customHeight="1">
      <c r="A44" s="1258"/>
      <c r="B44" s="1259" t="s">
        <v>1108</v>
      </c>
      <c r="C44" s="1260"/>
      <c r="D44" s="1260"/>
      <c r="E44" s="1261">
        <v>1</v>
      </c>
      <c r="F44" s="1267" t="s">
        <v>1104</v>
      </c>
      <c r="G44" s="2175">
        <f>ROUND(SUM(H43)*15%,)</f>
        <v>31118</v>
      </c>
      <c r="H44" s="1264">
        <f>ROUND(E44*G44,)</f>
        <v>31118</v>
      </c>
      <c r="I44" s="1265">
        <f>ROUND(G44*0.3,)</f>
        <v>9335</v>
      </c>
      <c r="J44" s="1264">
        <f>E44*I44</f>
        <v>9335</v>
      </c>
      <c r="K44" s="1268">
        <f>H44+J44</f>
        <v>40453</v>
      </c>
      <c r="L44" s="1266"/>
    </row>
    <row r="45" spans="1:12" s="1199" customFormat="1" ht="24" customHeight="1">
      <c r="A45" s="1258" t="s">
        <v>1109</v>
      </c>
      <c r="B45" s="1259" t="s">
        <v>1110</v>
      </c>
      <c r="C45" s="1260"/>
      <c r="D45" s="1260"/>
      <c r="E45" s="1261"/>
      <c r="F45" s="1267"/>
      <c r="G45" s="2175"/>
      <c r="H45" s="1264"/>
      <c r="I45" s="1265"/>
      <c r="J45" s="1264"/>
      <c r="K45" s="1265"/>
      <c r="L45" s="1266"/>
    </row>
    <row r="46" spans="1:12" s="1199" customFormat="1" ht="24" customHeight="1">
      <c r="A46" s="1258"/>
      <c r="B46" s="1259" t="s">
        <v>1111</v>
      </c>
      <c r="C46" s="1260"/>
      <c r="D46" s="1260"/>
      <c r="E46" s="1261">
        <v>90</v>
      </c>
      <c r="F46" s="1267" t="s">
        <v>226</v>
      </c>
      <c r="G46" s="2175">
        <v>1383</v>
      </c>
      <c r="H46" s="1264">
        <f>ROUND(E46*G46,)</f>
        <v>124470</v>
      </c>
      <c r="I46" s="1265">
        <v>115</v>
      </c>
      <c r="J46" s="1264">
        <f>E46*I46</f>
        <v>10350</v>
      </c>
      <c r="K46" s="1268">
        <f>H46+J46</f>
        <v>134820</v>
      </c>
      <c r="L46" s="1269"/>
    </row>
    <row r="47" spans="1:12" s="1199" customFormat="1" ht="24" customHeight="1">
      <c r="A47" s="1258"/>
      <c r="B47" s="1259" t="s">
        <v>1108</v>
      </c>
      <c r="C47" s="1260"/>
      <c r="D47" s="1260"/>
      <c r="E47" s="1261">
        <v>1</v>
      </c>
      <c r="F47" s="1267" t="s">
        <v>1104</v>
      </c>
      <c r="G47" s="2175">
        <f>ROUND(SUM(H46)*15%,)</f>
        <v>18671</v>
      </c>
      <c r="H47" s="1264">
        <f>ROUND(E47*G47,)</f>
        <v>18671</v>
      </c>
      <c r="I47" s="1265">
        <f>ROUND(G47*0.3,)</f>
        <v>5601</v>
      </c>
      <c r="J47" s="1264">
        <f>E47*I47</f>
        <v>5601</v>
      </c>
      <c r="K47" s="1268">
        <f>H47+J47</f>
        <v>24272</v>
      </c>
      <c r="L47" s="1266"/>
    </row>
    <row r="48" spans="1:12" s="1199" customFormat="1" ht="24" customHeight="1">
      <c r="A48" s="1258" t="s">
        <v>1112</v>
      </c>
      <c r="B48" s="1259" t="s">
        <v>1113</v>
      </c>
      <c r="C48" s="1260"/>
      <c r="D48" s="1260"/>
      <c r="E48" s="1261"/>
      <c r="F48" s="1267"/>
      <c r="G48" s="2175"/>
      <c r="H48" s="1264"/>
      <c r="I48" s="1265"/>
      <c r="J48" s="1264"/>
      <c r="K48" s="1265"/>
      <c r="L48" s="1266"/>
    </row>
    <row r="49" spans="1:12" s="1199" customFormat="1" ht="24" customHeight="1">
      <c r="A49" s="1258"/>
      <c r="B49" s="1259" t="s">
        <v>1114</v>
      </c>
      <c r="C49" s="1260"/>
      <c r="D49" s="1260"/>
      <c r="E49" s="1261">
        <v>3</v>
      </c>
      <c r="F49" s="1267" t="s">
        <v>363</v>
      </c>
      <c r="G49" s="2175">
        <v>17900</v>
      </c>
      <c r="H49" s="1264">
        <f>ROUND(E49*G49,)</f>
        <v>53700</v>
      </c>
      <c r="I49" s="1265">
        <f>G49*0.1</f>
        <v>1790</v>
      </c>
      <c r="J49" s="1264">
        <f>E49*I49</f>
        <v>5370</v>
      </c>
      <c r="K49" s="1268">
        <f>H49+J49</f>
        <v>59070</v>
      </c>
      <c r="L49" s="1266"/>
    </row>
    <row r="50" spans="1:12" s="1199" customFormat="1" ht="24" customHeight="1">
      <c r="A50" s="1258"/>
      <c r="B50" s="1259" t="s">
        <v>1115</v>
      </c>
      <c r="C50" s="1260"/>
      <c r="D50" s="1260"/>
      <c r="E50" s="1261">
        <v>8</v>
      </c>
      <c r="F50" s="1267" t="s">
        <v>363</v>
      </c>
      <c r="G50" s="2175">
        <v>17900</v>
      </c>
      <c r="H50" s="1264">
        <f>ROUND(E50*G50,)</f>
        <v>143200</v>
      </c>
      <c r="I50" s="1265">
        <f>G50*0.1</f>
        <v>1790</v>
      </c>
      <c r="J50" s="1264">
        <f>E50*I50</f>
        <v>14320</v>
      </c>
      <c r="K50" s="1268">
        <f>H50+J50</f>
        <v>157520</v>
      </c>
      <c r="L50" s="1269"/>
    </row>
    <row r="51" spans="1:12" s="1199" customFormat="1" ht="24" customHeight="1">
      <c r="A51" s="1258"/>
      <c r="B51" s="1259" t="s">
        <v>1102</v>
      </c>
      <c r="C51" s="1260"/>
      <c r="D51" s="1260"/>
      <c r="E51" s="1261"/>
      <c r="F51" s="1267" t="s">
        <v>363</v>
      </c>
      <c r="G51" s="2175">
        <v>17900</v>
      </c>
      <c r="H51" s="1264">
        <f>ROUND(E51*G51,)</f>
        <v>0</v>
      </c>
      <c r="I51" s="1265">
        <f>G51*0.1</f>
        <v>1790</v>
      </c>
      <c r="J51" s="1264">
        <f>E51*I51</f>
        <v>0</v>
      </c>
      <c r="K51" s="1268">
        <f>H51+J51</f>
        <v>0</v>
      </c>
      <c r="L51" s="1266"/>
    </row>
    <row r="52" spans="1:12" s="1199" customFormat="1" ht="24" customHeight="1">
      <c r="A52" s="1258"/>
      <c r="B52" s="1259" t="s">
        <v>1116</v>
      </c>
      <c r="C52" s="1260"/>
      <c r="D52" s="1260"/>
      <c r="E52" s="1261"/>
      <c r="F52" s="1267" t="s">
        <v>363</v>
      </c>
      <c r="G52" s="2175">
        <v>21700</v>
      </c>
      <c r="H52" s="1264">
        <f>ROUND(E52*G52,)</f>
        <v>0</v>
      </c>
      <c r="I52" s="1265">
        <f>G52*0.1</f>
        <v>2170</v>
      </c>
      <c r="J52" s="1264">
        <f>E52*I52</f>
        <v>0</v>
      </c>
      <c r="K52" s="1268">
        <f>H52+J52</f>
        <v>0</v>
      </c>
      <c r="L52" s="1266"/>
    </row>
    <row r="53" spans="1:12" s="1199" customFormat="1" ht="24" customHeight="1">
      <c r="A53" s="1258"/>
      <c r="B53" s="1259" t="s">
        <v>1117</v>
      </c>
      <c r="C53" s="1260"/>
      <c r="D53" s="1260"/>
      <c r="E53" s="1261"/>
      <c r="F53" s="1267"/>
      <c r="G53" s="2175"/>
      <c r="H53" s="1264"/>
      <c r="I53" s="1265"/>
      <c r="J53" s="1264"/>
      <c r="K53" s="1265"/>
      <c r="L53" s="1266"/>
    </row>
    <row r="54" spans="1:12" s="1199" customFormat="1" ht="24" customHeight="1">
      <c r="A54" s="1258"/>
      <c r="B54" s="2174" t="s">
        <v>1118</v>
      </c>
      <c r="C54" s="1275"/>
      <c r="D54" s="1275"/>
      <c r="E54" s="1276"/>
      <c r="F54" s="1207"/>
      <c r="G54" s="2175"/>
      <c r="H54" s="1264"/>
      <c r="I54" s="1265"/>
      <c r="J54" s="1264"/>
      <c r="K54" s="1265"/>
      <c r="L54" s="1266"/>
    </row>
    <row r="55" spans="1:12" s="1199" customFormat="1" ht="24" customHeight="1">
      <c r="A55" s="1258"/>
      <c r="B55" s="2174" t="s">
        <v>1118</v>
      </c>
      <c r="C55" s="1275"/>
      <c r="D55" s="1275"/>
      <c r="E55" s="1276"/>
      <c r="F55" s="1207"/>
      <c r="G55" s="2175"/>
      <c r="H55" s="1264"/>
      <c r="I55" s="1265"/>
      <c r="J55" s="1264"/>
      <c r="K55" s="1265"/>
      <c r="L55" s="1266"/>
    </row>
    <row r="56" spans="1:12" s="1199" customFormat="1" ht="24" customHeight="1">
      <c r="A56" s="1277"/>
      <c r="B56" s="1190"/>
      <c r="C56" s="1278"/>
      <c r="D56" s="1278"/>
      <c r="E56" s="1279"/>
      <c r="F56" s="1227"/>
      <c r="G56" s="1280"/>
      <c r="H56" s="1281"/>
      <c r="I56" s="1282"/>
      <c r="J56" s="1281"/>
      <c r="K56" s="1282"/>
      <c r="L56" s="1283"/>
    </row>
    <row r="57" spans="1:12" s="1199" customFormat="1" ht="24" customHeight="1">
      <c r="A57" s="1284"/>
      <c r="B57" s="1285"/>
      <c r="C57" s="1286"/>
      <c r="D57" s="1286"/>
      <c r="E57" s="1287"/>
      <c r="F57" s="1288"/>
      <c r="G57" s="1289"/>
      <c r="H57" s="1229"/>
      <c r="I57" s="1290"/>
      <c r="J57" s="1229"/>
      <c r="K57" s="1230"/>
      <c r="L57" s="1283"/>
    </row>
    <row r="58" spans="1:12" s="1199" customFormat="1" ht="24" customHeight="1">
      <c r="A58" s="1243"/>
      <c r="B58" s="2257" t="str">
        <f>"รวมราคารายการที่ "&amp;A35</f>
        <v>รวมราคารายการที่ 3.1</v>
      </c>
      <c r="C58" s="2258"/>
      <c r="D58" s="2259"/>
      <c r="E58" s="1244"/>
      <c r="F58" s="1245"/>
      <c r="G58" s="1246"/>
      <c r="H58" s="1247">
        <f>SUM(H36:H57)</f>
        <v>863999</v>
      </c>
      <c r="I58" s="1246"/>
      <c r="J58" s="1247">
        <f>SUM(J36:J57)</f>
        <v>89103</v>
      </c>
      <c r="K58" s="1247">
        <f>SUM(K36:K57)</f>
        <v>953102</v>
      </c>
      <c r="L58" s="1245"/>
    </row>
    <row r="59" spans="1:12" s="1199" customFormat="1" ht="24" customHeight="1">
      <c r="A59" s="1291" t="s">
        <v>1119</v>
      </c>
      <c r="B59" s="1292" t="s">
        <v>1120</v>
      </c>
      <c r="C59" s="1293"/>
      <c r="D59" s="1294"/>
      <c r="E59" s="1295"/>
      <c r="F59" s="1296"/>
      <c r="G59" s="1297"/>
      <c r="H59" s="1298"/>
      <c r="I59" s="1299"/>
      <c r="J59" s="1298"/>
      <c r="K59" s="1299"/>
      <c r="L59" s="1300"/>
    </row>
    <row r="60" spans="1:12" s="1199" customFormat="1" ht="24" customHeight="1">
      <c r="A60" s="1258" t="s">
        <v>1121</v>
      </c>
      <c r="B60" s="2174" t="s">
        <v>1122</v>
      </c>
      <c r="C60" s="1275"/>
      <c r="D60" s="1275"/>
      <c r="E60" s="1276">
        <v>1</v>
      </c>
      <c r="F60" s="1207" t="s">
        <v>363</v>
      </c>
      <c r="G60" s="2175">
        <v>567000</v>
      </c>
      <c r="H60" s="1264">
        <f>E60*G60</f>
        <v>567000</v>
      </c>
      <c r="I60" s="1301">
        <f>G60*0.025</f>
        <v>14175</v>
      </c>
      <c r="J60" s="1302">
        <f>E60*I60</f>
        <v>14175</v>
      </c>
      <c r="K60" s="1268">
        <f>H60+J60</f>
        <v>581175</v>
      </c>
      <c r="L60" s="1266"/>
    </row>
    <row r="61" spans="1:12" s="1199" customFormat="1" ht="24" customHeight="1">
      <c r="A61" s="1258" t="s">
        <v>1123</v>
      </c>
      <c r="B61" s="2174" t="s">
        <v>1124</v>
      </c>
      <c r="C61" s="1275"/>
      <c r="D61" s="1275"/>
      <c r="E61" s="1276">
        <v>1</v>
      </c>
      <c r="F61" s="1207" t="s">
        <v>363</v>
      </c>
      <c r="G61" s="2175">
        <v>567000</v>
      </c>
      <c r="H61" s="1264">
        <f>E61*G61</f>
        <v>567000</v>
      </c>
      <c r="I61" s="1301">
        <f>G61*0.025</f>
        <v>14175</v>
      </c>
      <c r="J61" s="1302">
        <f>E61*I61</f>
        <v>14175</v>
      </c>
      <c r="K61" s="1268">
        <f>H61+J61</f>
        <v>581175</v>
      </c>
      <c r="L61" s="1266"/>
    </row>
    <row r="62" spans="1:12" s="1199" customFormat="1" ht="24" customHeight="1">
      <c r="A62" s="1258" t="s">
        <v>1125</v>
      </c>
      <c r="B62" s="2174" t="s">
        <v>3010</v>
      </c>
      <c r="C62" s="1275"/>
      <c r="D62" s="1275"/>
      <c r="E62" s="1276">
        <v>1</v>
      </c>
      <c r="F62" s="1207" t="s">
        <v>363</v>
      </c>
      <c r="G62" s="2175">
        <v>367000</v>
      </c>
      <c r="H62" s="1264">
        <f>E62*G62</f>
        <v>367000</v>
      </c>
      <c r="I62" s="1301">
        <f>G62*0.025</f>
        <v>9175</v>
      </c>
      <c r="J62" s="1302">
        <f>E62*I62</f>
        <v>9175</v>
      </c>
      <c r="K62" s="1268">
        <f>H62+J62</f>
        <v>376175</v>
      </c>
      <c r="L62" s="1266"/>
    </row>
    <row r="63" spans="1:12" s="1199" customFormat="1" ht="24" customHeight="1">
      <c r="A63" s="1258" t="s">
        <v>1125</v>
      </c>
      <c r="B63" s="2174" t="s">
        <v>1126</v>
      </c>
      <c r="C63" s="1303"/>
      <c r="D63" s="1304"/>
      <c r="E63" s="1305">
        <v>3</v>
      </c>
      <c r="F63" s="1207" t="s">
        <v>363</v>
      </c>
      <c r="G63" s="1306">
        <v>15000</v>
      </c>
      <c r="H63" s="1264">
        <f>E63*G63</f>
        <v>45000</v>
      </c>
      <c r="I63" s="712">
        <f>G63*0.3</f>
        <v>4500</v>
      </c>
      <c r="J63" s="1307">
        <f>I63*E63</f>
        <v>13500</v>
      </c>
      <c r="K63" s="1268">
        <f>H63+J63</f>
        <v>58500</v>
      </c>
      <c r="L63" s="1266"/>
    </row>
    <row r="64" spans="1:12" s="1199" customFormat="1" ht="24" customHeight="1">
      <c r="A64" s="1308"/>
      <c r="B64" s="2174" t="s">
        <v>1117</v>
      </c>
      <c r="C64" s="1303"/>
      <c r="D64" s="1304"/>
      <c r="E64" s="1305"/>
      <c r="F64" s="1309"/>
      <c r="G64" s="1306"/>
      <c r="H64" s="1307"/>
      <c r="I64" s="1301"/>
      <c r="J64" s="1302"/>
      <c r="K64" s="1268"/>
      <c r="L64" s="1266"/>
    </row>
    <row r="65" spans="1:12" s="1199" customFormat="1" ht="24" customHeight="1">
      <c r="A65" s="1308"/>
      <c r="B65" s="2174" t="s">
        <v>1118</v>
      </c>
      <c r="C65" s="1303"/>
      <c r="D65" s="1304"/>
      <c r="E65" s="1305"/>
      <c r="F65" s="1309"/>
      <c r="G65" s="1306"/>
      <c r="H65" s="1307"/>
      <c r="I65" s="1301"/>
      <c r="J65" s="1302"/>
      <c r="K65" s="1268"/>
      <c r="L65" s="1266"/>
    </row>
    <row r="66" spans="1:12" s="1199" customFormat="1" ht="24" customHeight="1">
      <c r="A66" s="1308"/>
      <c r="B66" s="2174" t="s">
        <v>1118</v>
      </c>
      <c r="C66" s="1303"/>
      <c r="D66" s="1304"/>
      <c r="E66" s="1305"/>
      <c r="F66" s="1309"/>
      <c r="G66" s="1306"/>
      <c r="H66" s="1307"/>
      <c r="I66" s="1301"/>
      <c r="J66" s="1302"/>
      <c r="K66" s="1268"/>
      <c r="L66" s="1266"/>
    </row>
    <row r="67" spans="1:12" s="1199" customFormat="1" ht="24" customHeight="1">
      <c r="A67" s="1310"/>
      <c r="B67" s="1311"/>
      <c r="C67" s="1312"/>
      <c r="D67" s="1313"/>
      <c r="E67" s="1314"/>
      <c r="F67" s="1315"/>
      <c r="G67" s="1316"/>
      <c r="H67" s="1317"/>
      <c r="I67" s="1318"/>
      <c r="J67" s="1319"/>
      <c r="K67" s="1320"/>
      <c r="L67" s="1283"/>
    </row>
    <row r="68" spans="1:12" s="1199" customFormat="1" ht="24" customHeight="1">
      <c r="A68" s="1243"/>
      <c r="B68" s="2257" t="str">
        <f>"รวมราคารายการที่ "&amp;A59</f>
        <v>รวมราคารายการที่ 3.2</v>
      </c>
      <c r="C68" s="2258"/>
      <c r="D68" s="2259"/>
      <c r="E68" s="1244"/>
      <c r="F68" s="1245"/>
      <c r="G68" s="1246"/>
      <c r="H68" s="1247">
        <f>SUM(H59:H67)</f>
        <v>1546000</v>
      </c>
      <c r="I68" s="1246"/>
      <c r="J68" s="1247">
        <f>SUM(J59:J67)</f>
        <v>51025</v>
      </c>
      <c r="K68" s="1247">
        <f>SUM(K59:K67)</f>
        <v>1597025</v>
      </c>
      <c r="L68" s="1245"/>
    </row>
    <row r="69" spans="1:12" s="1199" customFormat="1" ht="24" customHeight="1">
      <c r="A69" s="1291" t="s">
        <v>1445</v>
      </c>
      <c r="B69" s="1292" t="s">
        <v>1127</v>
      </c>
      <c r="C69" s="1322"/>
      <c r="D69" s="1323"/>
      <c r="E69" s="1324"/>
      <c r="F69" s="1325"/>
      <c r="G69" s="1326"/>
      <c r="H69" s="1327"/>
      <c r="I69" s="1328"/>
      <c r="J69" s="1329"/>
      <c r="K69" s="1330"/>
      <c r="L69" s="1300"/>
    </row>
    <row r="70" spans="1:12" s="1199" customFormat="1" ht="24" customHeight="1">
      <c r="A70" s="1331" t="s">
        <v>1128</v>
      </c>
      <c r="B70" s="2174" t="s">
        <v>1129</v>
      </c>
      <c r="C70" s="1303"/>
      <c r="D70" s="1304"/>
      <c r="E70" s="1305"/>
      <c r="F70" s="1309"/>
      <c r="G70" s="1306"/>
      <c r="H70" s="1307"/>
      <c r="I70" s="1301"/>
      <c r="J70" s="1302"/>
      <c r="K70" s="1268"/>
      <c r="L70" s="1266"/>
    </row>
    <row r="71" spans="1:12" s="1199" customFormat="1" ht="24" customHeight="1">
      <c r="A71" s="1331"/>
      <c r="B71" s="2174" t="s">
        <v>1130</v>
      </c>
      <c r="C71" s="1303"/>
      <c r="D71" s="1304"/>
      <c r="E71" s="1305">
        <v>1</v>
      </c>
      <c r="F71" s="1207" t="s">
        <v>363</v>
      </c>
      <c r="G71" s="1306">
        <v>1092000</v>
      </c>
      <c r="H71" s="1264">
        <f>E71*G71</f>
        <v>1092000</v>
      </c>
      <c r="I71" s="1332">
        <f>G71*0.025</f>
        <v>27300</v>
      </c>
      <c r="J71" s="1307">
        <f>I71*E71</f>
        <v>27300</v>
      </c>
      <c r="K71" s="1268">
        <f>H71+J71</f>
        <v>1119300</v>
      </c>
      <c r="L71" s="1266"/>
    </row>
    <row r="72" spans="1:12" s="1199" customFormat="1" ht="24" customHeight="1">
      <c r="A72" s="1331"/>
      <c r="B72" s="2174" t="s">
        <v>1131</v>
      </c>
      <c r="C72" s="1303"/>
      <c r="D72" s="1304"/>
      <c r="E72" s="1305">
        <v>1</v>
      </c>
      <c r="F72" s="1207" t="s">
        <v>363</v>
      </c>
      <c r="G72" s="1306">
        <v>1092000</v>
      </c>
      <c r="H72" s="1264">
        <f>E72*G72</f>
        <v>1092000</v>
      </c>
      <c r="I72" s="1332">
        <f>G72*0.025</f>
        <v>27300</v>
      </c>
      <c r="J72" s="1307">
        <f>I72*E72</f>
        <v>27300</v>
      </c>
      <c r="K72" s="1268">
        <f>H72+J72</f>
        <v>1119300</v>
      </c>
      <c r="L72" s="1266"/>
    </row>
    <row r="73" spans="1:12" s="1199" customFormat="1" ht="24" customHeight="1">
      <c r="A73" s="1331"/>
      <c r="B73" s="2174" t="s">
        <v>1132</v>
      </c>
      <c r="C73" s="1303"/>
      <c r="D73" s="1304"/>
      <c r="E73" s="1305">
        <v>1</v>
      </c>
      <c r="F73" s="1207" t="s">
        <v>363</v>
      </c>
      <c r="G73" s="1306">
        <v>1092000</v>
      </c>
      <c r="H73" s="1264">
        <f>E73*G73</f>
        <v>1092000</v>
      </c>
      <c r="I73" s="1332">
        <f>G73*0.025</f>
        <v>27300</v>
      </c>
      <c r="J73" s="1307">
        <f>I73*E73</f>
        <v>27300</v>
      </c>
      <c r="K73" s="1268">
        <f>H73+J73</f>
        <v>1119300</v>
      </c>
      <c r="L73" s="1266"/>
    </row>
    <row r="74" spans="1:12" s="1199" customFormat="1" ht="24" customHeight="1">
      <c r="A74" s="1331" t="s">
        <v>1133</v>
      </c>
      <c r="B74" s="2174" t="s">
        <v>1126</v>
      </c>
      <c r="C74" s="1303"/>
      <c r="D74" s="1304"/>
      <c r="E74" s="1305">
        <v>3</v>
      </c>
      <c r="F74" s="1207" t="s">
        <v>363</v>
      </c>
      <c r="G74" s="1306">
        <v>15000</v>
      </c>
      <c r="H74" s="1264">
        <f>E74*G74</f>
        <v>45000</v>
      </c>
      <c r="I74" s="1301">
        <f>G74*0.3</f>
        <v>4500</v>
      </c>
      <c r="J74" s="1307">
        <f>I74*E74</f>
        <v>13500</v>
      </c>
      <c r="K74" s="1268">
        <f>H74+J74</f>
        <v>58500</v>
      </c>
      <c r="L74" s="1266"/>
    </row>
    <row r="75" spans="1:12" s="1199" customFormat="1" ht="24" customHeight="1">
      <c r="A75" s="1308"/>
      <c r="B75" s="2174" t="s">
        <v>1117</v>
      </c>
      <c r="C75" s="1303"/>
      <c r="D75" s="1304"/>
      <c r="E75" s="1305"/>
      <c r="F75" s="1309"/>
      <c r="G75" s="1306"/>
      <c r="H75" s="1307"/>
      <c r="I75" s="1301"/>
      <c r="J75" s="1302"/>
      <c r="K75" s="1268"/>
      <c r="L75" s="1266"/>
    </row>
    <row r="76" spans="1:12" s="1199" customFormat="1" ht="24" customHeight="1">
      <c r="A76" s="1308"/>
      <c r="B76" s="2174" t="s">
        <v>1118</v>
      </c>
      <c r="C76" s="1303"/>
      <c r="D76" s="1304"/>
      <c r="E76" s="1305"/>
      <c r="F76" s="1309"/>
      <c r="G76" s="1306"/>
      <c r="H76" s="1307"/>
      <c r="I76" s="1301"/>
      <c r="J76" s="1302"/>
      <c r="K76" s="1268"/>
      <c r="L76" s="1266"/>
    </row>
    <row r="77" spans="1:12" s="1199" customFormat="1" ht="24" customHeight="1">
      <c r="A77" s="1308"/>
      <c r="B77" s="2174" t="s">
        <v>1118</v>
      </c>
      <c r="C77" s="1303"/>
      <c r="D77" s="1304"/>
      <c r="E77" s="1305"/>
      <c r="F77" s="1309"/>
      <c r="G77" s="1306"/>
      <c r="H77" s="1307"/>
      <c r="I77" s="1301"/>
      <c r="J77" s="1302"/>
      <c r="K77" s="1268"/>
      <c r="L77" s="1266"/>
    </row>
    <row r="78" spans="1:12" s="1199" customFormat="1" ht="24" customHeight="1">
      <c r="A78" s="1310"/>
      <c r="B78" s="1333"/>
      <c r="C78" s="1312"/>
      <c r="D78" s="1313"/>
      <c r="E78" s="1314"/>
      <c r="F78" s="1315"/>
      <c r="G78" s="1316"/>
      <c r="H78" s="1317"/>
      <c r="I78" s="1334"/>
      <c r="J78" s="1319"/>
      <c r="K78" s="1335"/>
      <c r="L78" s="1283"/>
    </row>
    <row r="79" spans="1:12" s="1199" customFormat="1" ht="24" customHeight="1">
      <c r="A79" s="1310"/>
      <c r="B79" s="1333"/>
      <c r="C79" s="1312"/>
      <c r="D79" s="1313"/>
      <c r="E79" s="1314"/>
      <c r="F79" s="1315"/>
      <c r="G79" s="1316"/>
      <c r="H79" s="1317"/>
      <c r="I79" s="1334"/>
      <c r="J79" s="1319"/>
      <c r="K79" s="1335"/>
      <c r="L79" s="1283"/>
    </row>
    <row r="80" spans="1:12" s="1199" customFormat="1" ht="24" customHeight="1">
      <c r="A80" s="1310"/>
      <c r="B80" s="1333"/>
      <c r="C80" s="1312"/>
      <c r="D80" s="1313"/>
      <c r="E80" s="1314"/>
      <c r="F80" s="1315"/>
      <c r="G80" s="1316"/>
      <c r="H80" s="1317"/>
      <c r="I80" s="1334"/>
      <c r="J80" s="1319"/>
      <c r="K80" s="1335"/>
      <c r="L80" s="1283"/>
    </row>
    <row r="81" spans="1:12" s="1199" customFormat="1" ht="24" customHeight="1">
      <c r="A81" s="1336"/>
      <c r="B81" s="1337"/>
      <c r="C81" s="1286"/>
      <c r="D81" s="1286"/>
      <c r="E81" s="1287"/>
      <c r="F81" s="1288"/>
      <c r="G81" s="1289"/>
      <c r="H81" s="1229"/>
      <c r="I81" s="1290"/>
      <c r="J81" s="1229"/>
      <c r="K81" s="1242"/>
      <c r="L81" s="1283"/>
    </row>
    <row r="82" spans="1:12" s="1199" customFormat="1" ht="24" customHeight="1">
      <c r="A82" s="1243"/>
      <c r="B82" s="2257" t="str">
        <f>"รวมราคารายการที่ "&amp;A69</f>
        <v>รวมราคารายการที่ 3.3</v>
      </c>
      <c r="C82" s="2258"/>
      <c r="D82" s="2259"/>
      <c r="E82" s="1244"/>
      <c r="F82" s="1245"/>
      <c r="G82" s="1246"/>
      <c r="H82" s="1247">
        <f>SUM(H70:H81)</f>
        <v>3321000</v>
      </c>
      <c r="I82" s="1246"/>
      <c r="J82" s="1247">
        <f>SUM(J70:J81)</f>
        <v>95400</v>
      </c>
      <c r="K82" s="1247">
        <f>SUM(K70:K81)</f>
        <v>3416400</v>
      </c>
      <c r="L82" s="1245"/>
    </row>
    <row r="83" spans="1:12" s="1199" customFormat="1" ht="24" customHeight="1">
      <c r="A83" s="1381" t="s">
        <v>1450</v>
      </c>
      <c r="B83" s="1292" t="s">
        <v>2637</v>
      </c>
      <c r="C83" s="1294"/>
      <c r="D83" s="1275"/>
      <c r="E83" s="1276"/>
      <c r="F83" s="1358"/>
      <c r="G83" s="2175"/>
      <c r="H83" s="1264"/>
      <c r="I83" s="1301"/>
      <c r="J83" s="1302"/>
      <c r="K83" s="1268"/>
      <c r="L83" s="1266"/>
    </row>
    <row r="84" spans="1:12" s="1199" customFormat="1" ht="24" customHeight="1">
      <c r="A84" s="2062" t="s">
        <v>1135</v>
      </c>
      <c r="B84" s="2063" t="s">
        <v>2638</v>
      </c>
      <c r="C84" s="1275"/>
      <c r="D84" s="1275"/>
      <c r="E84" s="1276"/>
      <c r="F84" s="1358"/>
      <c r="G84" s="2175"/>
      <c r="H84" s="1264"/>
      <c r="I84" s="1301"/>
      <c r="J84" s="1302"/>
      <c r="K84" s="1268"/>
      <c r="L84" s="1266"/>
    </row>
    <row r="85" spans="1:12" s="1199" customFormat="1" ht="24" customHeight="1">
      <c r="A85" s="1331" t="s">
        <v>1137</v>
      </c>
      <c r="B85" s="2174" t="s">
        <v>2639</v>
      </c>
      <c r="C85" s="1275"/>
      <c r="D85" s="1275"/>
      <c r="E85" s="1276"/>
      <c r="F85" s="1358"/>
      <c r="G85" s="2175"/>
      <c r="H85" s="1264"/>
      <c r="I85" s="1301"/>
      <c r="J85" s="1302"/>
      <c r="K85" s="1268"/>
      <c r="L85" s="1266"/>
    </row>
    <row r="86" spans="1:12" s="1199" customFormat="1" ht="24" customHeight="1">
      <c r="A86" s="1331"/>
      <c r="B86" s="2174" t="s">
        <v>1139</v>
      </c>
      <c r="C86" s="1275"/>
      <c r="D86" s="1275"/>
      <c r="E86" s="1276"/>
      <c r="F86" s="1207" t="s">
        <v>363</v>
      </c>
      <c r="G86" s="2175">
        <v>3700</v>
      </c>
      <c r="H86" s="1264">
        <f>E86*G86</f>
        <v>0</v>
      </c>
      <c r="I86" s="1344">
        <f t="shared" ref="I86:I92" si="11">G86*30%</f>
        <v>1110</v>
      </c>
      <c r="J86" s="1264">
        <f t="shared" ref="J86:J92" si="12">ROUND(E86*I86,)</f>
        <v>0</v>
      </c>
      <c r="K86" s="1268">
        <f>H86+J86</f>
        <v>0</v>
      </c>
      <c r="L86" s="1266"/>
    </row>
    <row r="87" spans="1:12" s="1199" customFormat="1" ht="24" customHeight="1">
      <c r="A87" s="1331"/>
      <c r="B87" s="2174" t="s">
        <v>2640</v>
      </c>
      <c r="C87" s="1275"/>
      <c r="D87" s="1275"/>
      <c r="E87" s="1276"/>
      <c r="F87" s="1207" t="s">
        <v>363</v>
      </c>
      <c r="G87" s="2175">
        <v>12500</v>
      </c>
      <c r="H87" s="1343">
        <f>ROUND(G87*E87,)</f>
        <v>0</v>
      </c>
      <c r="I87" s="1344">
        <f t="shared" si="11"/>
        <v>3750</v>
      </c>
      <c r="J87" s="1264">
        <f t="shared" si="12"/>
        <v>0</v>
      </c>
      <c r="K87" s="1345">
        <f>J87+H87</f>
        <v>0</v>
      </c>
      <c r="L87" s="1266"/>
    </row>
    <row r="88" spans="1:12" s="1199" customFormat="1" ht="24" customHeight="1">
      <c r="A88" s="1331"/>
      <c r="B88" s="2174" t="s">
        <v>1160</v>
      </c>
      <c r="C88" s="1275"/>
      <c r="D88" s="1275"/>
      <c r="E88" s="1276">
        <v>1</v>
      </c>
      <c r="F88" s="1207" t="s">
        <v>363</v>
      </c>
      <c r="G88" s="2178">
        <f>63600+9900</f>
        <v>73500</v>
      </c>
      <c r="H88" s="1264">
        <f>E88*G88</f>
        <v>73500</v>
      </c>
      <c r="I88" s="1344">
        <f t="shared" si="11"/>
        <v>22050</v>
      </c>
      <c r="J88" s="1264">
        <f t="shared" si="12"/>
        <v>22050</v>
      </c>
      <c r="K88" s="1268">
        <f>H88+J88</f>
        <v>95550</v>
      </c>
      <c r="L88" s="1266"/>
    </row>
    <row r="89" spans="1:12" s="1199" customFormat="1" ht="24" customHeight="1">
      <c r="A89" s="1331"/>
      <c r="B89" s="2174" t="s">
        <v>1162</v>
      </c>
      <c r="C89" s="1275"/>
      <c r="D89" s="1275"/>
      <c r="E89" s="1276"/>
      <c r="F89" s="1207" t="s">
        <v>363</v>
      </c>
      <c r="G89" s="2178">
        <f>71200+9900</f>
        <v>81100</v>
      </c>
      <c r="H89" s="1264">
        <f>E89*G89</f>
        <v>0</v>
      </c>
      <c r="I89" s="1344">
        <f t="shared" si="11"/>
        <v>24330</v>
      </c>
      <c r="J89" s="1264">
        <f t="shared" si="12"/>
        <v>0</v>
      </c>
      <c r="K89" s="1268">
        <f>H89+J89</f>
        <v>0</v>
      </c>
      <c r="L89" s="1266"/>
    </row>
    <row r="90" spans="1:12" s="1199" customFormat="1" ht="24" customHeight="1">
      <c r="A90" s="1331"/>
      <c r="B90" s="2174" t="s">
        <v>1167</v>
      </c>
      <c r="C90" s="1275"/>
      <c r="D90" s="1275"/>
      <c r="E90" s="1276">
        <v>1</v>
      </c>
      <c r="F90" s="1207" t="s">
        <v>363</v>
      </c>
      <c r="G90" s="2178">
        <f>76700+9900</f>
        <v>86600</v>
      </c>
      <c r="H90" s="1264">
        <f>E90*G90</f>
        <v>86600</v>
      </c>
      <c r="I90" s="1344">
        <f t="shared" si="11"/>
        <v>25980</v>
      </c>
      <c r="J90" s="1264">
        <f t="shared" si="12"/>
        <v>25980</v>
      </c>
      <c r="K90" s="1268">
        <f>H90+J90</f>
        <v>112580</v>
      </c>
      <c r="L90" s="1266"/>
    </row>
    <row r="91" spans="1:12" s="1199" customFormat="1" ht="24" customHeight="1">
      <c r="A91" s="1331"/>
      <c r="B91" s="2174" t="s">
        <v>2641</v>
      </c>
      <c r="C91" s="1275"/>
      <c r="D91" s="1275"/>
      <c r="E91" s="1276"/>
      <c r="F91" s="1207" t="s">
        <v>363</v>
      </c>
      <c r="G91" s="2178">
        <f>80000+9900</f>
        <v>89900</v>
      </c>
      <c r="H91" s="1343">
        <f>ROUND(G91*E91,)</f>
        <v>0</v>
      </c>
      <c r="I91" s="1344">
        <f t="shared" si="11"/>
        <v>26970</v>
      </c>
      <c r="J91" s="1264">
        <f t="shared" si="12"/>
        <v>0</v>
      </c>
      <c r="K91" s="1268">
        <f>H91+J91</f>
        <v>0</v>
      </c>
      <c r="L91" s="1266"/>
    </row>
    <row r="92" spans="1:12" s="1199" customFormat="1" ht="24" customHeight="1">
      <c r="A92" s="1331"/>
      <c r="B92" s="2174" t="s">
        <v>1168</v>
      </c>
      <c r="C92" s="1275"/>
      <c r="D92" s="1275"/>
      <c r="E92" s="1276"/>
      <c r="F92" s="1207" t="s">
        <v>363</v>
      </c>
      <c r="G92" s="2175">
        <f>166000+9900</f>
        <v>175900</v>
      </c>
      <c r="H92" s="1264">
        <f>E92*G92</f>
        <v>0</v>
      </c>
      <c r="I92" s="1344">
        <f t="shared" si="11"/>
        <v>52770</v>
      </c>
      <c r="J92" s="1264">
        <f t="shared" si="12"/>
        <v>0</v>
      </c>
      <c r="K92" s="1268">
        <f>H92+J92</f>
        <v>0</v>
      </c>
      <c r="L92" s="1266"/>
    </row>
    <row r="93" spans="1:12" s="1199" customFormat="1" ht="24" customHeight="1">
      <c r="A93" s="1331" t="s">
        <v>1142</v>
      </c>
      <c r="B93" s="2174" t="s">
        <v>1143</v>
      </c>
      <c r="C93" s="1275"/>
      <c r="D93" s="1275"/>
      <c r="E93" s="1276"/>
      <c r="F93" s="1358"/>
      <c r="G93" s="2175"/>
      <c r="H93" s="1264"/>
      <c r="I93" s="1301"/>
      <c r="J93" s="1264"/>
      <c r="K93" s="1268"/>
      <c r="L93" s="1266"/>
    </row>
    <row r="94" spans="1:12" s="1199" customFormat="1" ht="24" customHeight="1">
      <c r="A94" s="1331"/>
      <c r="B94" s="1259" t="s">
        <v>1267</v>
      </c>
      <c r="C94" s="1275"/>
      <c r="D94" s="1275"/>
      <c r="E94" s="1276"/>
      <c r="F94" s="1207" t="s">
        <v>363</v>
      </c>
      <c r="G94" s="2175">
        <v>600</v>
      </c>
      <c r="H94" s="1264">
        <f t="shared" ref="H94:H103" si="13">ROUND(G94*E94,)</f>
        <v>0</v>
      </c>
      <c r="I94" s="1344">
        <f t="shared" ref="I94:I103" si="14">G94*30%</f>
        <v>180</v>
      </c>
      <c r="J94" s="1264">
        <f t="shared" ref="J94:J103" si="15">ROUND(E94*I94,)</f>
        <v>0</v>
      </c>
      <c r="K94" s="1265">
        <f t="shared" ref="K94:K103" si="16">J94+H94</f>
        <v>0</v>
      </c>
      <c r="L94" s="1266"/>
    </row>
    <row r="95" spans="1:12" s="1199" customFormat="1" ht="24" customHeight="1">
      <c r="A95" s="1331"/>
      <c r="B95" s="1259" t="s">
        <v>2642</v>
      </c>
      <c r="C95" s="1275"/>
      <c r="D95" s="1275"/>
      <c r="E95" s="1276"/>
      <c r="F95" s="1207" t="s">
        <v>363</v>
      </c>
      <c r="G95" s="2175">
        <v>660</v>
      </c>
      <c r="H95" s="1264">
        <f t="shared" si="13"/>
        <v>0</v>
      </c>
      <c r="I95" s="1344">
        <f t="shared" si="14"/>
        <v>198</v>
      </c>
      <c r="J95" s="1264">
        <f t="shared" si="15"/>
        <v>0</v>
      </c>
      <c r="K95" s="1265">
        <f t="shared" si="16"/>
        <v>0</v>
      </c>
      <c r="L95" s="1266"/>
    </row>
    <row r="96" spans="1:12" s="1199" customFormat="1" ht="24" customHeight="1">
      <c r="A96" s="1331"/>
      <c r="B96" s="1259" t="s">
        <v>1192</v>
      </c>
      <c r="C96" s="1275"/>
      <c r="D96" s="1275"/>
      <c r="E96" s="1276">
        <v>3</v>
      </c>
      <c r="F96" s="1207" t="s">
        <v>363</v>
      </c>
      <c r="G96" s="2178">
        <v>1125</v>
      </c>
      <c r="H96" s="1343">
        <f t="shared" si="13"/>
        <v>3375</v>
      </c>
      <c r="I96" s="1344">
        <f t="shared" si="14"/>
        <v>337.5</v>
      </c>
      <c r="J96" s="1264">
        <f t="shared" si="15"/>
        <v>1013</v>
      </c>
      <c r="K96" s="1345">
        <f t="shared" si="16"/>
        <v>4388</v>
      </c>
      <c r="L96" s="1266"/>
    </row>
    <row r="97" spans="1:12" s="1199" customFormat="1" ht="24" customHeight="1">
      <c r="A97" s="1331"/>
      <c r="B97" s="1259" t="s">
        <v>2643</v>
      </c>
      <c r="C97" s="1275"/>
      <c r="D97" s="1275"/>
      <c r="E97" s="1276"/>
      <c r="F97" s="1207" t="s">
        <v>363</v>
      </c>
      <c r="G97" s="2178">
        <v>1144</v>
      </c>
      <c r="H97" s="1343">
        <f t="shared" si="13"/>
        <v>0</v>
      </c>
      <c r="I97" s="1344">
        <f t="shared" si="14"/>
        <v>343.2</v>
      </c>
      <c r="J97" s="1264">
        <f t="shared" si="15"/>
        <v>0</v>
      </c>
      <c r="K97" s="1345">
        <f t="shared" si="16"/>
        <v>0</v>
      </c>
      <c r="L97" s="1266"/>
    </row>
    <row r="98" spans="1:12" s="1199" customFormat="1" ht="24" customHeight="1">
      <c r="A98" s="1331"/>
      <c r="B98" s="1259" t="s">
        <v>2644</v>
      </c>
      <c r="C98" s="1275"/>
      <c r="D98" s="1275"/>
      <c r="E98" s="1276">
        <v>3</v>
      </c>
      <c r="F98" s="1207" t="s">
        <v>363</v>
      </c>
      <c r="G98" s="2178">
        <v>1170</v>
      </c>
      <c r="H98" s="1343">
        <f t="shared" si="13"/>
        <v>3510</v>
      </c>
      <c r="I98" s="1344">
        <f t="shared" si="14"/>
        <v>351</v>
      </c>
      <c r="J98" s="1264">
        <f t="shared" si="15"/>
        <v>1053</v>
      </c>
      <c r="K98" s="1345">
        <f t="shared" si="16"/>
        <v>4563</v>
      </c>
      <c r="L98" s="1266"/>
    </row>
    <row r="99" spans="1:12" s="1199" customFormat="1" ht="24" customHeight="1">
      <c r="A99" s="1331"/>
      <c r="B99" s="1259" t="s">
        <v>2645</v>
      </c>
      <c r="C99" s="1275"/>
      <c r="D99" s="1275"/>
      <c r="E99" s="1276"/>
      <c r="F99" s="1207" t="s">
        <v>363</v>
      </c>
      <c r="G99" s="2175">
        <v>1260</v>
      </c>
      <c r="H99" s="1264">
        <f t="shared" si="13"/>
        <v>0</v>
      </c>
      <c r="I99" s="1344">
        <f t="shared" si="14"/>
        <v>378</v>
      </c>
      <c r="J99" s="1264">
        <f t="shared" si="15"/>
        <v>0</v>
      </c>
      <c r="K99" s="1265">
        <f t="shared" si="16"/>
        <v>0</v>
      </c>
      <c r="L99" s="1266"/>
    </row>
    <row r="100" spans="1:12" s="1199" customFormat="1" ht="24" customHeight="1">
      <c r="A100" s="1331"/>
      <c r="B100" s="1259" t="s">
        <v>2646</v>
      </c>
      <c r="C100" s="1275"/>
      <c r="D100" s="1275"/>
      <c r="E100" s="1276"/>
      <c r="F100" s="1207" t="s">
        <v>363</v>
      </c>
      <c r="G100" s="2178">
        <v>3300</v>
      </c>
      <c r="H100" s="1343">
        <f t="shared" si="13"/>
        <v>0</v>
      </c>
      <c r="I100" s="1344">
        <f t="shared" si="14"/>
        <v>990</v>
      </c>
      <c r="J100" s="1264">
        <f t="shared" si="15"/>
        <v>0</v>
      </c>
      <c r="K100" s="1345">
        <f t="shared" si="16"/>
        <v>0</v>
      </c>
      <c r="L100" s="1266"/>
    </row>
    <row r="101" spans="1:12" s="1199" customFormat="1" ht="24" customHeight="1">
      <c r="A101" s="1331"/>
      <c r="B101" s="2174" t="s">
        <v>1145</v>
      </c>
      <c r="C101" s="1275"/>
      <c r="D101" s="1275"/>
      <c r="E101" s="1276"/>
      <c r="F101" s="1207" t="s">
        <v>363</v>
      </c>
      <c r="G101" s="2175">
        <v>120</v>
      </c>
      <c r="H101" s="1264">
        <f t="shared" si="13"/>
        <v>0</v>
      </c>
      <c r="I101" s="1344">
        <f t="shared" si="14"/>
        <v>36</v>
      </c>
      <c r="J101" s="1264">
        <f t="shared" si="15"/>
        <v>0</v>
      </c>
      <c r="K101" s="1268">
        <f t="shared" si="16"/>
        <v>0</v>
      </c>
      <c r="L101" s="1266"/>
    </row>
    <row r="102" spans="1:12" s="1199" customFormat="1" ht="24" customHeight="1">
      <c r="A102" s="1331"/>
      <c r="B102" s="2174" t="s">
        <v>1146</v>
      </c>
      <c r="C102" s="1275"/>
      <c r="D102" s="1275"/>
      <c r="E102" s="1276">
        <v>6</v>
      </c>
      <c r="F102" s="1207" t="s">
        <v>363</v>
      </c>
      <c r="G102" s="2175">
        <v>100</v>
      </c>
      <c r="H102" s="1264">
        <f t="shared" si="13"/>
        <v>600</v>
      </c>
      <c r="I102" s="1344">
        <f t="shared" si="14"/>
        <v>30</v>
      </c>
      <c r="J102" s="1264">
        <f t="shared" si="15"/>
        <v>180</v>
      </c>
      <c r="K102" s="1268">
        <f t="shared" si="16"/>
        <v>780</v>
      </c>
      <c r="L102" s="1266"/>
    </row>
    <row r="103" spans="1:12" s="1199" customFormat="1" ht="24" customHeight="1">
      <c r="A103" s="1406" t="s">
        <v>1148</v>
      </c>
      <c r="B103" s="2174" t="s">
        <v>1149</v>
      </c>
      <c r="C103" s="1275"/>
      <c r="D103" s="1275"/>
      <c r="E103" s="1276">
        <v>2</v>
      </c>
      <c r="F103" s="1207" t="s">
        <v>363</v>
      </c>
      <c r="G103" s="2175">
        <v>15500</v>
      </c>
      <c r="H103" s="1264">
        <f t="shared" si="13"/>
        <v>31000</v>
      </c>
      <c r="I103" s="1344">
        <f t="shared" si="14"/>
        <v>4650</v>
      </c>
      <c r="J103" s="1264">
        <f t="shared" si="15"/>
        <v>9300</v>
      </c>
      <c r="K103" s="1268">
        <f t="shared" si="16"/>
        <v>40300</v>
      </c>
      <c r="L103" s="1266"/>
    </row>
    <row r="104" spans="1:12" s="1199" customFormat="1" ht="24" customHeight="1">
      <c r="A104" s="1308"/>
      <c r="B104" s="2174" t="s">
        <v>1117</v>
      </c>
      <c r="C104" s="1275"/>
      <c r="D104" s="1275"/>
      <c r="E104" s="1276"/>
      <c r="F104" s="1358"/>
      <c r="G104" s="2175"/>
      <c r="H104" s="1264"/>
      <c r="I104" s="1265"/>
      <c r="J104" s="1264"/>
      <c r="K104" s="1265"/>
      <c r="L104" s="1266"/>
    </row>
    <row r="105" spans="1:12" s="1199" customFormat="1" ht="24" customHeight="1">
      <c r="A105" s="1310"/>
      <c r="B105" s="1190"/>
      <c r="C105" s="1278"/>
      <c r="D105" s="1278"/>
      <c r="E105" s="1279"/>
      <c r="F105" s="1350"/>
      <c r="G105" s="1360"/>
      <c r="H105" s="1281"/>
      <c r="I105" s="1282"/>
      <c r="J105" s="1281"/>
      <c r="K105" s="1282"/>
      <c r="L105" s="1283"/>
    </row>
    <row r="106" spans="1:12" s="1199" customFormat="1" ht="24" customHeight="1">
      <c r="A106" s="1243"/>
      <c r="B106" s="2257" t="str">
        <f>"รวมราคารายการที่ "&amp;A83</f>
        <v>รวมราคารายการที่ 3.4</v>
      </c>
      <c r="C106" s="2258"/>
      <c r="D106" s="2259"/>
      <c r="E106" s="1244"/>
      <c r="F106" s="1245"/>
      <c r="G106" s="1246"/>
      <c r="H106" s="1247">
        <f>SUM(H83:H104)</f>
        <v>198585</v>
      </c>
      <c r="I106" s="1246"/>
      <c r="J106" s="1247">
        <f>SUM(J83:J104)</f>
        <v>59576</v>
      </c>
      <c r="K106" s="1247">
        <f>SUM(K83:K104)</f>
        <v>258161</v>
      </c>
      <c r="L106" s="1245"/>
    </row>
    <row r="107" spans="1:12" s="1199" customFormat="1" ht="24" customHeight="1">
      <c r="A107" s="1381" t="s">
        <v>1461</v>
      </c>
      <c r="B107" s="1292" t="s">
        <v>1134</v>
      </c>
      <c r="C107" s="1294"/>
      <c r="D107" s="1294"/>
      <c r="E107" s="1295"/>
      <c r="F107" s="1296"/>
      <c r="G107" s="1297"/>
      <c r="H107" s="1298"/>
      <c r="I107" s="1299"/>
      <c r="J107" s="1298"/>
      <c r="K107" s="1338"/>
      <c r="L107" s="1300"/>
    </row>
    <row r="108" spans="1:12" s="1199" customFormat="1" ht="24" customHeight="1">
      <c r="A108" s="1339" t="s">
        <v>1181</v>
      </c>
      <c r="B108" s="1340" t="s">
        <v>1136</v>
      </c>
      <c r="C108" s="1260"/>
      <c r="D108" s="1260"/>
      <c r="E108" s="1261"/>
      <c r="F108" s="1341"/>
      <c r="G108" s="2178"/>
      <c r="H108" s="1343"/>
      <c r="I108" s="1344"/>
      <c r="J108" s="1343"/>
      <c r="K108" s="1345"/>
      <c r="L108" s="1266"/>
    </row>
    <row r="109" spans="1:12" s="1199" customFormat="1" ht="24" customHeight="1">
      <c r="A109" s="1339" t="s">
        <v>1183</v>
      </c>
      <c r="B109" s="1259" t="s">
        <v>1138</v>
      </c>
      <c r="C109" s="1260"/>
      <c r="D109" s="1260"/>
      <c r="E109" s="1261"/>
      <c r="F109" s="1262"/>
      <c r="G109" s="2178"/>
      <c r="H109" s="1343"/>
      <c r="I109" s="1344"/>
      <c r="J109" s="1343"/>
      <c r="K109" s="1345"/>
      <c r="L109" s="1266"/>
    </row>
    <row r="110" spans="1:12" s="1199" customFormat="1" ht="24" customHeight="1">
      <c r="A110" s="1339"/>
      <c r="B110" s="1259" t="s">
        <v>1139</v>
      </c>
      <c r="C110" s="1260"/>
      <c r="D110" s="1260"/>
      <c r="E110" s="1261">
        <v>2</v>
      </c>
      <c r="F110" s="1267" t="s">
        <v>363</v>
      </c>
      <c r="G110" s="2178">
        <v>3700</v>
      </c>
      <c r="H110" s="1264">
        <f>E110*G110</f>
        <v>7400</v>
      </c>
      <c r="I110" s="1344"/>
      <c r="J110" s="1343"/>
      <c r="K110" s="1268">
        <f>H110+J110</f>
        <v>7400</v>
      </c>
      <c r="L110" s="1266"/>
    </row>
    <row r="111" spans="1:12" s="1199" customFormat="1" ht="24" customHeight="1">
      <c r="A111" s="1339"/>
      <c r="B111" s="1259" t="s">
        <v>2640</v>
      </c>
      <c r="C111" s="1260"/>
      <c r="D111" s="1260"/>
      <c r="E111" s="1261"/>
      <c r="F111" s="1267" t="s">
        <v>363</v>
      </c>
      <c r="G111" s="2175">
        <v>12500</v>
      </c>
      <c r="H111" s="1343">
        <f t="shared" ref="H111:H119" si="17">ROUND(G111*E111,)</f>
        <v>0</v>
      </c>
      <c r="I111" s="1344"/>
      <c r="J111" s="1343"/>
      <c r="K111" s="1345">
        <f t="shared" ref="K111:K119" si="18">J111+H111</f>
        <v>0</v>
      </c>
      <c r="L111" s="1266"/>
    </row>
    <row r="112" spans="1:12" s="1199" customFormat="1" ht="24" customHeight="1">
      <c r="A112" s="1339"/>
      <c r="B112" s="1259" t="s">
        <v>2540</v>
      </c>
      <c r="C112" s="1260"/>
      <c r="D112" s="1260"/>
      <c r="E112" s="1261"/>
      <c r="F112" s="1267" t="s">
        <v>363</v>
      </c>
      <c r="G112" s="2175">
        <v>21300</v>
      </c>
      <c r="H112" s="1343">
        <f t="shared" si="17"/>
        <v>0</v>
      </c>
      <c r="I112" s="1344"/>
      <c r="J112" s="1343"/>
      <c r="K112" s="1345">
        <f t="shared" si="18"/>
        <v>0</v>
      </c>
      <c r="L112" s="1266"/>
    </row>
    <row r="113" spans="1:12" s="1199" customFormat="1" ht="24" customHeight="1">
      <c r="A113" s="1339"/>
      <c r="B113" s="1259" t="s">
        <v>1160</v>
      </c>
      <c r="C113" s="1260"/>
      <c r="D113" s="1260"/>
      <c r="E113" s="1261">
        <v>1</v>
      </c>
      <c r="F113" s="1267" t="s">
        <v>363</v>
      </c>
      <c r="G113" s="2175">
        <v>73500</v>
      </c>
      <c r="H113" s="1343">
        <f t="shared" si="17"/>
        <v>73500</v>
      </c>
      <c r="I113" s="1344"/>
      <c r="J113" s="1343"/>
      <c r="K113" s="1345">
        <f t="shared" si="18"/>
        <v>73500</v>
      </c>
      <c r="L113" s="1266"/>
    </row>
    <row r="114" spans="1:12" s="1199" customFormat="1" ht="24" customHeight="1">
      <c r="A114" s="1339"/>
      <c r="B114" s="1259" t="s">
        <v>1161</v>
      </c>
      <c r="C114" s="1260"/>
      <c r="D114" s="1260"/>
      <c r="E114" s="1261">
        <v>2</v>
      </c>
      <c r="F114" s="1267" t="s">
        <v>363</v>
      </c>
      <c r="G114" s="2175">
        <v>78200</v>
      </c>
      <c r="H114" s="1343">
        <f t="shared" si="17"/>
        <v>156400</v>
      </c>
      <c r="I114" s="1344"/>
      <c r="J114" s="1343"/>
      <c r="K114" s="1345">
        <f t="shared" si="18"/>
        <v>156400</v>
      </c>
      <c r="L114" s="1266"/>
    </row>
    <row r="115" spans="1:12" s="1199" customFormat="1" ht="24" customHeight="1">
      <c r="A115" s="1339"/>
      <c r="B115" s="1259" t="s">
        <v>1162</v>
      </c>
      <c r="C115" s="1260"/>
      <c r="D115" s="1260"/>
      <c r="E115" s="1261">
        <v>1</v>
      </c>
      <c r="F115" s="1267" t="s">
        <v>363</v>
      </c>
      <c r="G115" s="2178">
        <v>81100</v>
      </c>
      <c r="H115" s="1343">
        <f t="shared" si="17"/>
        <v>81100</v>
      </c>
      <c r="I115" s="1344"/>
      <c r="J115" s="1343"/>
      <c r="K115" s="1345">
        <f t="shared" si="18"/>
        <v>81100</v>
      </c>
      <c r="L115" s="1266"/>
    </row>
    <row r="116" spans="1:12" s="1199" customFormat="1" ht="24" customHeight="1">
      <c r="A116" s="1339"/>
      <c r="B116" s="1259" t="s">
        <v>1167</v>
      </c>
      <c r="C116" s="1260"/>
      <c r="D116" s="1260"/>
      <c r="E116" s="1261"/>
      <c r="F116" s="1267" t="s">
        <v>363</v>
      </c>
      <c r="G116" s="2178">
        <v>86600</v>
      </c>
      <c r="H116" s="1343">
        <f t="shared" si="17"/>
        <v>0</v>
      </c>
      <c r="I116" s="1344"/>
      <c r="J116" s="1343"/>
      <c r="K116" s="1345">
        <f t="shared" si="18"/>
        <v>0</v>
      </c>
      <c r="L116" s="1266"/>
    </row>
    <row r="117" spans="1:12" s="1199" customFormat="1" ht="24" customHeight="1">
      <c r="A117" s="1339"/>
      <c r="B117" s="1259" t="s">
        <v>2641</v>
      </c>
      <c r="C117" s="1260"/>
      <c r="D117" s="1260"/>
      <c r="E117" s="1261">
        <v>2</v>
      </c>
      <c r="F117" s="1267" t="s">
        <v>363</v>
      </c>
      <c r="G117" s="2178">
        <v>89900</v>
      </c>
      <c r="H117" s="1343">
        <f t="shared" si="17"/>
        <v>179800</v>
      </c>
      <c r="I117" s="1344"/>
      <c r="J117" s="1343"/>
      <c r="K117" s="1345">
        <f t="shared" si="18"/>
        <v>179800</v>
      </c>
      <c r="L117" s="1266"/>
    </row>
    <row r="118" spans="1:12" s="1199" customFormat="1" ht="24" customHeight="1">
      <c r="A118" s="1339"/>
      <c r="B118" s="1259" t="s">
        <v>1140</v>
      </c>
      <c r="C118" s="1260"/>
      <c r="D118" s="1260"/>
      <c r="E118" s="1261"/>
      <c r="F118" s="1267" t="s">
        <v>363</v>
      </c>
      <c r="G118" s="2178">
        <v>108600</v>
      </c>
      <c r="H118" s="1343">
        <f t="shared" si="17"/>
        <v>0</v>
      </c>
      <c r="I118" s="1344"/>
      <c r="J118" s="1343"/>
      <c r="K118" s="1345">
        <f t="shared" si="18"/>
        <v>0</v>
      </c>
      <c r="L118" s="1266"/>
    </row>
    <row r="119" spans="1:12" s="1199" customFormat="1" ht="24" customHeight="1">
      <c r="A119" s="1339"/>
      <c r="B119" s="1259" t="s">
        <v>1141</v>
      </c>
      <c r="C119" s="1260"/>
      <c r="D119" s="1260"/>
      <c r="E119" s="1261">
        <v>1</v>
      </c>
      <c r="F119" s="1267" t="s">
        <v>363</v>
      </c>
      <c r="G119" s="2178">
        <v>442000</v>
      </c>
      <c r="H119" s="1343">
        <f t="shared" si="17"/>
        <v>442000</v>
      </c>
      <c r="I119" s="1344"/>
      <c r="J119" s="1343"/>
      <c r="K119" s="1345">
        <f t="shared" si="18"/>
        <v>442000</v>
      </c>
      <c r="L119" s="1266"/>
    </row>
    <row r="120" spans="1:12" s="1199" customFormat="1" ht="24" customHeight="1">
      <c r="A120" s="1339" t="s">
        <v>1191</v>
      </c>
      <c r="B120" s="1259" t="s">
        <v>1143</v>
      </c>
      <c r="C120" s="1260"/>
      <c r="D120" s="1260"/>
      <c r="E120" s="1261"/>
      <c r="F120" s="1262"/>
      <c r="G120" s="2178"/>
      <c r="H120" s="1343"/>
      <c r="I120" s="1344"/>
      <c r="J120" s="1343"/>
      <c r="K120" s="1345"/>
      <c r="L120" s="1266"/>
    </row>
    <row r="121" spans="1:12" s="1199" customFormat="1" ht="24" customHeight="1">
      <c r="A121" s="1339"/>
      <c r="B121" s="1259" t="s">
        <v>1144</v>
      </c>
      <c r="C121" s="1260"/>
      <c r="D121" s="1260"/>
      <c r="E121" s="1261">
        <v>7</v>
      </c>
      <c r="F121" s="1267" t="s">
        <v>363</v>
      </c>
      <c r="G121" s="2178">
        <v>3300</v>
      </c>
      <c r="H121" s="1343">
        <f t="shared" ref="H121:H128" si="19">ROUND(G121*E121,)</f>
        <v>23100</v>
      </c>
      <c r="I121" s="1344"/>
      <c r="J121" s="1343"/>
      <c r="K121" s="1345">
        <f t="shared" ref="K121:K128" si="20">J121+H121</f>
        <v>23100</v>
      </c>
      <c r="L121" s="1266"/>
    </row>
    <row r="122" spans="1:12" s="1199" customFormat="1" ht="24" customHeight="1">
      <c r="A122" s="1339"/>
      <c r="B122" s="1259" t="s">
        <v>1145</v>
      </c>
      <c r="C122" s="1260"/>
      <c r="D122" s="1260"/>
      <c r="E122" s="1261">
        <v>13</v>
      </c>
      <c r="F122" s="1267" t="s">
        <v>363</v>
      </c>
      <c r="G122" s="2178">
        <v>120</v>
      </c>
      <c r="H122" s="1343">
        <f t="shared" si="19"/>
        <v>1560</v>
      </c>
      <c r="I122" s="1344"/>
      <c r="J122" s="1343"/>
      <c r="K122" s="1345">
        <f t="shared" si="20"/>
        <v>1560</v>
      </c>
      <c r="L122" s="1266"/>
    </row>
    <row r="123" spans="1:12" s="1199" customFormat="1" ht="24" customHeight="1">
      <c r="A123" s="1339"/>
      <c r="B123" s="1259" t="s">
        <v>1146</v>
      </c>
      <c r="C123" s="1260"/>
      <c r="D123" s="1260"/>
      <c r="E123" s="1261">
        <v>6</v>
      </c>
      <c r="F123" s="1267" t="s">
        <v>363</v>
      </c>
      <c r="G123" s="2178">
        <v>100</v>
      </c>
      <c r="H123" s="1343">
        <f t="shared" si="19"/>
        <v>600</v>
      </c>
      <c r="I123" s="1344"/>
      <c r="J123" s="1343"/>
      <c r="K123" s="1345">
        <f t="shared" si="20"/>
        <v>600</v>
      </c>
      <c r="L123" s="1266"/>
    </row>
    <row r="124" spans="1:12" s="1199" customFormat="1" ht="24" customHeight="1">
      <c r="A124" s="1339"/>
      <c r="B124" s="1259" t="s">
        <v>1147</v>
      </c>
      <c r="C124" s="1260"/>
      <c r="D124" s="1260"/>
      <c r="E124" s="1261">
        <v>3</v>
      </c>
      <c r="F124" s="1267" t="s">
        <v>363</v>
      </c>
      <c r="G124" s="2178">
        <v>1350</v>
      </c>
      <c r="H124" s="1343">
        <f t="shared" si="19"/>
        <v>4050</v>
      </c>
      <c r="I124" s="1344"/>
      <c r="J124" s="1343"/>
      <c r="K124" s="1345">
        <f t="shared" si="20"/>
        <v>4050</v>
      </c>
      <c r="L124" s="1266"/>
    </row>
    <row r="125" spans="1:12" s="1199" customFormat="1" ht="24" customHeight="1">
      <c r="A125" s="1339" t="s">
        <v>1193</v>
      </c>
      <c r="B125" s="1259" t="s">
        <v>1149</v>
      </c>
      <c r="C125" s="1260"/>
      <c r="D125" s="1260"/>
      <c r="E125" s="1261">
        <v>1</v>
      </c>
      <c r="F125" s="1267" t="s">
        <v>363</v>
      </c>
      <c r="G125" s="2175">
        <v>21000</v>
      </c>
      <c r="H125" s="1343">
        <f t="shared" si="19"/>
        <v>21000</v>
      </c>
      <c r="I125" s="1344"/>
      <c r="J125" s="1343"/>
      <c r="K125" s="1345">
        <f t="shared" si="20"/>
        <v>21000</v>
      </c>
      <c r="L125" s="1266"/>
    </row>
    <row r="126" spans="1:12" s="1199" customFormat="1" ht="24" customHeight="1">
      <c r="A126" s="1339" t="s">
        <v>1194</v>
      </c>
      <c r="B126" s="1259" t="s">
        <v>1150</v>
      </c>
      <c r="C126" s="1260"/>
      <c r="D126" s="1260"/>
      <c r="E126" s="1261">
        <v>1</v>
      </c>
      <c r="F126" s="1267" t="s">
        <v>363</v>
      </c>
      <c r="G126" s="2175">
        <v>39000</v>
      </c>
      <c r="H126" s="1343">
        <f t="shared" si="19"/>
        <v>39000</v>
      </c>
      <c r="I126" s="1344"/>
      <c r="J126" s="1343"/>
      <c r="K126" s="1345">
        <f t="shared" si="20"/>
        <v>39000</v>
      </c>
      <c r="L126" s="1266"/>
    </row>
    <row r="127" spans="1:12" s="1199" customFormat="1" ht="24" customHeight="1">
      <c r="A127" s="1339" t="s">
        <v>2647</v>
      </c>
      <c r="B127" s="1259" t="s">
        <v>1151</v>
      </c>
      <c r="C127" s="1260"/>
      <c r="D127" s="1260"/>
      <c r="E127" s="1261">
        <v>1</v>
      </c>
      <c r="F127" s="1267" t="s">
        <v>1104</v>
      </c>
      <c r="G127" s="2178">
        <f>1665+3285+5300+1308200</f>
        <v>1318450</v>
      </c>
      <c r="H127" s="1343">
        <f t="shared" si="19"/>
        <v>1318450</v>
      </c>
      <c r="I127" s="1344">
        <f>G127*10%</f>
        <v>131845</v>
      </c>
      <c r="J127" s="1343">
        <f>ROUND(E127*I127,)</f>
        <v>131845</v>
      </c>
      <c r="K127" s="1345">
        <f t="shared" si="20"/>
        <v>1450295</v>
      </c>
      <c r="L127" s="1266"/>
    </row>
    <row r="128" spans="1:12" s="1199" customFormat="1" ht="24" customHeight="1">
      <c r="A128" s="1339" t="s">
        <v>2648</v>
      </c>
      <c r="B128" s="1259" t="s">
        <v>1126</v>
      </c>
      <c r="C128" s="1260"/>
      <c r="D128" s="1260"/>
      <c r="E128" s="1261">
        <v>1</v>
      </c>
      <c r="F128" s="1267" t="s">
        <v>1104</v>
      </c>
      <c r="G128" s="2178">
        <v>15000</v>
      </c>
      <c r="H128" s="1343">
        <f t="shared" si="19"/>
        <v>15000</v>
      </c>
      <c r="I128" s="1344">
        <f>G128*0.3</f>
        <v>4500</v>
      </c>
      <c r="J128" s="1343">
        <f>ROUND(E128*I128,)</f>
        <v>4500</v>
      </c>
      <c r="K128" s="1345">
        <f t="shared" si="20"/>
        <v>19500</v>
      </c>
      <c r="L128" s="1266"/>
    </row>
    <row r="129" spans="1:12" s="1199" customFormat="1" ht="24" customHeight="1">
      <c r="A129" s="1339"/>
      <c r="B129" s="1259"/>
      <c r="C129" s="1260"/>
      <c r="D129" s="1260"/>
      <c r="E129" s="1261"/>
      <c r="F129" s="1267"/>
      <c r="G129" s="2178"/>
      <c r="H129" s="1343"/>
      <c r="I129" s="1344"/>
      <c r="J129" s="1343"/>
      <c r="K129" s="1345"/>
      <c r="L129" s="1266"/>
    </row>
    <row r="130" spans="1:12" s="1199" customFormat="1" ht="24" customHeight="1">
      <c r="A130" s="1339"/>
      <c r="B130" s="1259"/>
      <c r="C130" s="1260"/>
      <c r="D130" s="1260"/>
      <c r="E130" s="1261"/>
      <c r="F130" s="1267"/>
      <c r="G130" s="2178"/>
      <c r="H130" s="1343"/>
      <c r="I130" s="1344"/>
      <c r="J130" s="1343"/>
      <c r="K130" s="1345"/>
      <c r="L130" s="1266"/>
    </row>
    <row r="131" spans="1:12" s="1199" customFormat="1" ht="24" customHeight="1">
      <c r="A131" s="1346" t="s">
        <v>1196</v>
      </c>
      <c r="B131" s="1259" t="s">
        <v>3011</v>
      </c>
      <c r="C131" s="1260"/>
      <c r="D131" s="1260"/>
      <c r="E131" s="1261"/>
      <c r="F131" s="1262"/>
      <c r="G131" s="2175"/>
      <c r="H131" s="1264"/>
      <c r="I131" s="1265"/>
      <c r="J131" s="1264"/>
      <c r="K131" s="1268"/>
      <c r="L131" s="1266"/>
    </row>
    <row r="132" spans="1:12" s="1199" customFormat="1" ht="24" customHeight="1">
      <c r="A132" s="1346"/>
      <c r="B132" s="1259" t="s">
        <v>3012</v>
      </c>
      <c r="C132" s="1260"/>
      <c r="D132" s="1260"/>
      <c r="E132" s="1261">
        <v>12</v>
      </c>
      <c r="F132" s="1267" t="s">
        <v>363</v>
      </c>
      <c r="G132" s="2175">
        <v>25000</v>
      </c>
      <c r="H132" s="1264">
        <f t="shared" ref="H132:H138" si="21">ROUND(G132*E132,)</f>
        <v>300000</v>
      </c>
      <c r="I132" s="1265"/>
      <c r="J132" s="1264"/>
      <c r="K132" s="1268">
        <f t="shared" ref="K132:K138" si="22">J132+H132</f>
        <v>300000</v>
      </c>
      <c r="L132" s="1266"/>
    </row>
    <row r="133" spans="1:12" s="1199" customFormat="1" ht="24" customHeight="1">
      <c r="A133" s="1346"/>
      <c r="B133" s="1259" t="s">
        <v>1152</v>
      </c>
      <c r="C133" s="1260"/>
      <c r="D133" s="1260"/>
      <c r="E133" s="1261">
        <v>12</v>
      </c>
      <c r="F133" s="1267" t="s">
        <v>363</v>
      </c>
      <c r="G133" s="2175">
        <v>5800</v>
      </c>
      <c r="H133" s="1264">
        <f t="shared" si="21"/>
        <v>69600</v>
      </c>
      <c r="I133" s="1265"/>
      <c r="J133" s="1264"/>
      <c r="K133" s="1268">
        <f t="shared" si="22"/>
        <v>69600</v>
      </c>
      <c r="L133" s="1266"/>
    </row>
    <row r="134" spans="1:12" s="1199" customFormat="1" ht="24" customHeight="1">
      <c r="A134" s="1346"/>
      <c r="B134" s="1259" t="s">
        <v>1153</v>
      </c>
      <c r="C134" s="1260"/>
      <c r="D134" s="1260"/>
      <c r="E134" s="1261">
        <v>12</v>
      </c>
      <c r="F134" s="1267" t="s">
        <v>363</v>
      </c>
      <c r="G134" s="2175">
        <v>855</v>
      </c>
      <c r="H134" s="1264">
        <f t="shared" si="21"/>
        <v>10260</v>
      </c>
      <c r="I134" s="1265"/>
      <c r="J134" s="1264"/>
      <c r="K134" s="1268">
        <f t="shared" si="22"/>
        <v>10260</v>
      </c>
      <c r="L134" s="1266"/>
    </row>
    <row r="135" spans="1:12" s="1199" customFormat="1" ht="24" customHeight="1">
      <c r="A135" s="1346"/>
      <c r="B135" s="1259" t="s">
        <v>1154</v>
      </c>
      <c r="C135" s="1260"/>
      <c r="D135" s="1260"/>
      <c r="E135" s="1261">
        <v>1</v>
      </c>
      <c r="F135" s="1267" t="s">
        <v>363</v>
      </c>
      <c r="G135" s="2175">
        <v>28300</v>
      </c>
      <c r="H135" s="1264">
        <f t="shared" si="21"/>
        <v>28300</v>
      </c>
      <c r="I135" s="1265"/>
      <c r="J135" s="1264"/>
      <c r="K135" s="1268">
        <f t="shared" si="22"/>
        <v>28300</v>
      </c>
      <c r="L135" s="1266"/>
    </row>
    <row r="136" spans="1:12" s="1199" customFormat="1" ht="24" customHeight="1">
      <c r="A136" s="1346"/>
      <c r="B136" s="1259" t="s">
        <v>1155</v>
      </c>
      <c r="C136" s="1260"/>
      <c r="D136" s="1260"/>
      <c r="E136" s="1261">
        <v>1</v>
      </c>
      <c r="F136" s="1267" t="s">
        <v>363</v>
      </c>
      <c r="G136" s="2175">
        <v>21000</v>
      </c>
      <c r="H136" s="1264">
        <f t="shared" si="21"/>
        <v>21000</v>
      </c>
      <c r="I136" s="1265"/>
      <c r="J136" s="1264"/>
      <c r="K136" s="1268">
        <f t="shared" si="22"/>
        <v>21000</v>
      </c>
      <c r="L136" s="1266"/>
    </row>
    <row r="137" spans="1:12" s="1199" customFormat="1" ht="24" customHeight="1">
      <c r="A137" s="1346"/>
      <c r="B137" s="1259" t="s">
        <v>1156</v>
      </c>
      <c r="C137" s="1260"/>
      <c r="D137" s="1260"/>
      <c r="E137" s="1261">
        <v>1</v>
      </c>
      <c r="F137" s="1267" t="s">
        <v>1104</v>
      </c>
      <c r="G137" s="2175">
        <f>148300+1615+3600+300+200</f>
        <v>154015</v>
      </c>
      <c r="H137" s="1264">
        <f t="shared" si="21"/>
        <v>154015</v>
      </c>
      <c r="I137" s="1265">
        <f>ROUND(G137*15%,)</f>
        <v>23102</v>
      </c>
      <c r="J137" s="1264">
        <f>ROUND(E137*I137,)</f>
        <v>23102</v>
      </c>
      <c r="K137" s="1268">
        <f t="shared" si="22"/>
        <v>177117</v>
      </c>
      <c r="L137" s="1266"/>
    </row>
    <row r="138" spans="1:12" s="1199" customFormat="1" ht="24" customHeight="1">
      <c r="A138" s="1346"/>
      <c r="B138" s="1259" t="s">
        <v>1157</v>
      </c>
      <c r="C138" s="1260"/>
      <c r="D138" s="1260"/>
      <c r="E138" s="1261">
        <v>1</v>
      </c>
      <c r="F138" s="1267" t="s">
        <v>1104</v>
      </c>
      <c r="G138" s="2175">
        <v>15000</v>
      </c>
      <c r="H138" s="1264">
        <f t="shared" si="21"/>
        <v>15000</v>
      </c>
      <c r="I138" s="1265">
        <f>G138*0.3</f>
        <v>4500</v>
      </c>
      <c r="J138" s="1264">
        <f>ROUND(E138*I138,)</f>
        <v>4500</v>
      </c>
      <c r="K138" s="1268">
        <f t="shared" si="22"/>
        <v>19500</v>
      </c>
      <c r="L138" s="1266"/>
    </row>
    <row r="139" spans="1:12" s="1199" customFormat="1" ht="24" customHeight="1">
      <c r="A139" s="1339" t="s">
        <v>1197</v>
      </c>
      <c r="B139" s="1340" t="s">
        <v>1159</v>
      </c>
      <c r="C139" s="1260"/>
      <c r="D139" s="1260"/>
      <c r="E139" s="1261"/>
      <c r="F139" s="1341"/>
      <c r="G139" s="2178"/>
      <c r="H139" s="1343"/>
      <c r="I139" s="1344"/>
      <c r="J139" s="1343"/>
      <c r="K139" s="1345"/>
      <c r="L139" s="1266"/>
    </row>
    <row r="140" spans="1:12" s="1199" customFormat="1" ht="24" customHeight="1">
      <c r="A140" s="1339" t="s">
        <v>1199</v>
      </c>
      <c r="B140" s="1259" t="s">
        <v>1138</v>
      </c>
      <c r="C140" s="1260"/>
      <c r="D140" s="1260"/>
      <c r="E140" s="1261"/>
      <c r="F140" s="1262"/>
      <c r="G140" s="2178"/>
      <c r="H140" s="1343"/>
      <c r="I140" s="1344"/>
      <c r="J140" s="1343"/>
      <c r="K140" s="1345"/>
      <c r="L140" s="1266"/>
    </row>
    <row r="141" spans="1:12" s="1199" customFormat="1" ht="24" customHeight="1">
      <c r="A141" s="1339"/>
      <c r="B141" s="1259" t="s">
        <v>1139</v>
      </c>
      <c r="C141" s="1260"/>
      <c r="D141" s="1260"/>
      <c r="E141" s="1261">
        <v>1</v>
      </c>
      <c r="F141" s="1267" t="s">
        <v>363</v>
      </c>
      <c r="G141" s="2178">
        <v>3700</v>
      </c>
      <c r="H141" s="1264">
        <f>E141*G141</f>
        <v>3700</v>
      </c>
      <c r="I141" s="1344"/>
      <c r="J141" s="1343"/>
      <c r="K141" s="1268">
        <f>H141+J141</f>
        <v>3700</v>
      </c>
      <c r="L141" s="1266"/>
    </row>
    <row r="142" spans="1:12" s="1199" customFormat="1" ht="24" customHeight="1">
      <c r="A142" s="1339"/>
      <c r="B142" s="1259" t="s">
        <v>2640</v>
      </c>
      <c r="C142" s="1260"/>
      <c r="D142" s="1260"/>
      <c r="E142" s="1261"/>
      <c r="F142" s="1267" t="s">
        <v>363</v>
      </c>
      <c r="G142" s="2175">
        <v>11500</v>
      </c>
      <c r="H142" s="1343">
        <f t="shared" ref="H142:H150" si="23">ROUND(G142*E142,)</f>
        <v>0</v>
      </c>
      <c r="I142" s="1344"/>
      <c r="J142" s="1343"/>
      <c r="K142" s="1345">
        <f t="shared" ref="K142:K150" si="24">J142+H142</f>
        <v>0</v>
      </c>
      <c r="L142" s="1266"/>
    </row>
    <row r="143" spans="1:12" s="1199" customFormat="1" ht="24" customHeight="1">
      <c r="A143" s="1339"/>
      <c r="B143" s="1259" t="s">
        <v>2540</v>
      </c>
      <c r="C143" s="1260"/>
      <c r="D143" s="1260"/>
      <c r="E143" s="1261"/>
      <c r="F143" s="1267" t="s">
        <v>363</v>
      </c>
      <c r="G143" s="2175">
        <v>21300</v>
      </c>
      <c r="H143" s="1343">
        <f t="shared" si="23"/>
        <v>0</v>
      </c>
      <c r="I143" s="1344"/>
      <c r="J143" s="1343"/>
      <c r="K143" s="1345">
        <f t="shared" si="24"/>
        <v>0</v>
      </c>
      <c r="L143" s="1266"/>
    </row>
    <row r="144" spans="1:12" s="1199" customFormat="1" ht="24" customHeight="1">
      <c r="A144" s="1339"/>
      <c r="B144" s="1259" t="s">
        <v>1160</v>
      </c>
      <c r="C144" s="1260"/>
      <c r="D144" s="1260"/>
      <c r="E144" s="1261"/>
      <c r="F144" s="1267" t="s">
        <v>363</v>
      </c>
      <c r="G144" s="2175">
        <v>73500</v>
      </c>
      <c r="H144" s="1343">
        <f t="shared" si="23"/>
        <v>0</v>
      </c>
      <c r="I144" s="1344"/>
      <c r="J144" s="1343"/>
      <c r="K144" s="1345">
        <f t="shared" si="24"/>
        <v>0</v>
      </c>
      <c r="L144" s="1266"/>
    </row>
    <row r="145" spans="1:12" s="1199" customFormat="1" ht="24" customHeight="1">
      <c r="A145" s="1339"/>
      <c r="B145" s="1259" t="s">
        <v>1161</v>
      </c>
      <c r="C145" s="1260"/>
      <c r="D145" s="1260"/>
      <c r="E145" s="1261"/>
      <c r="F145" s="1267" t="s">
        <v>363</v>
      </c>
      <c r="G145" s="2175">
        <v>78200</v>
      </c>
      <c r="H145" s="1343">
        <f t="shared" si="23"/>
        <v>0</v>
      </c>
      <c r="I145" s="1344"/>
      <c r="J145" s="1343"/>
      <c r="K145" s="1345">
        <f t="shared" si="24"/>
        <v>0</v>
      </c>
      <c r="L145" s="1266"/>
    </row>
    <row r="146" spans="1:12" s="1199" customFormat="1" ht="24" customHeight="1">
      <c r="A146" s="1339"/>
      <c r="B146" s="1259" t="s">
        <v>1162</v>
      </c>
      <c r="C146" s="1260"/>
      <c r="D146" s="1260"/>
      <c r="E146" s="1261">
        <v>1</v>
      </c>
      <c r="F146" s="1267" t="s">
        <v>363</v>
      </c>
      <c r="G146" s="2178">
        <v>81100</v>
      </c>
      <c r="H146" s="1343">
        <f t="shared" si="23"/>
        <v>81100</v>
      </c>
      <c r="I146" s="1344"/>
      <c r="J146" s="1343"/>
      <c r="K146" s="1345">
        <f t="shared" si="24"/>
        <v>81100</v>
      </c>
      <c r="L146" s="1266"/>
    </row>
    <row r="147" spans="1:12" s="1199" customFormat="1" ht="24" customHeight="1">
      <c r="A147" s="1339"/>
      <c r="B147" s="1259" t="s">
        <v>1167</v>
      </c>
      <c r="C147" s="1260"/>
      <c r="D147" s="1260"/>
      <c r="E147" s="1261"/>
      <c r="F147" s="1267" t="s">
        <v>363</v>
      </c>
      <c r="G147" s="2178">
        <v>86600</v>
      </c>
      <c r="H147" s="1343">
        <f t="shared" si="23"/>
        <v>0</v>
      </c>
      <c r="I147" s="1344"/>
      <c r="J147" s="1343"/>
      <c r="K147" s="1345">
        <f t="shared" si="24"/>
        <v>0</v>
      </c>
      <c r="L147" s="1266"/>
    </row>
    <row r="148" spans="1:12" s="1199" customFormat="1" ht="24" customHeight="1">
      <c r="A148" s="1339"/>
      <c r="B148" s="1259" t="s">
        <v>2641</v>
      </c>
      <c r="C148" s="1260"/>
      <c r="D148" s="1260"/>
      <c r="E148" s="1261">
        <v>2</v>
      </c>
      <c r="F148" s="1267" t="s">
        <v>363</v>
      </c>
      <c r="G148" s="2178">
        <v>89900</v>
      </c>
      <c r="H148" s="1343">
        <f t="shared" si="23"/>
        <v>179800</v>
      </c>
      <c r="I148" s="1344"/>
      <c r="J148" s="1343"/>
      <c r="K148" s="1345">
        <f t="shared" si="24"/>
        <v>179800</v>
      </c>
      <c r="L148" s="1266"/>
    </row>
    <row r="149" spans="1:12" s="1199" customFormat="1" ht="24" customHeight="1">
      <c r="A149" s="1339"/>
      <c r="B149" s="1259" t="s">
        <v>1140</v>
      </c>
      <c r="C149" s="1260"/>
      <c r="D149" s="1260"/>
      <c r="E149" s="1261"/>
      <c r="F149" s="1267" t="s">
        <v>363</v>
      </c>
      <c r="G149" s="2178">
        <v>108600</v>
      </c>
      <c r="H149" s="1343">
        <f t="shared" si="23"/>
        <v>0</v>
      </c>
      <c r="I149" s="1344"/>
      <c r="J149" s="1343"/>
      <c r="K149" s="1345">
        <f t="shared" si="24"/>
        <v>0</v>
      </c>
      <c r="L149" s="1266"/>
    </row>
    <row r="150" spans="1:12" s="1199" customFormat="1" ht="24" customHeight="1">
      <c r="A150" s="1339"/>
      <c r="B150" s="1259" t="s">
        <v>1141</v>
      </c>
      <c r="C150" s="1260"/>
      <c r="D150" s="1260"/>
      <c r="E150" s="1261">
        <v>2</v>
      </c>
      <c r="F150" s="1267" t="s">
        <v>363</v>
      </c>
      <c r="G150" s="2178">
        <v>442000</v>
      </c>
      <c r="H150" s="1343">
        <f t="shared" si="23"/>
        <v>884000</v>
      </c>
      <c r="I150" s="1344"/>
      <c r="J150" s="1343"/>
      <c r="K150" s="1345">
        <f t="shared" si="24"/>
        <v>884000</v>
      </c>
      <c r="L150" s="1266"/>
    </row>
    <row r="151" spans="1:12" s="1199" customFormat="1" ht="24" customHeight="1">
      <c r="A151" s="1339" t="s">
        <v>1201</v>
      </c>
      <c r="B151" s="1259" t="s">
        <v>1143</v>
      </c>
      <c r="C151" s="1260"/>
      <c r="D151" s="1260"/>
      <c r="E151" s="1261"/>
      <c r="F151" s="1262"/>
      <c r="G151" s="2178"/>
      <c r="H151" s="1343"/>
      <c r="I151" s="1344"/>
      <c r="J151" s="1343"/>
      <c r="K151" s="1345"/>
      <c r="L151" s="1266"/>
    </row>
    <row r="152" spans="1:12" s="1199" customFormat="1" ht="24" customHeight="1">
      <c r="A152" s="1339"/>
      <c r="B152" s="1259" t="s">
        <v>1144</v>
      </c>
      <c r="C152" s="1260"/>
      <c r="D152" s="1260"/>
      <c r="E152" s="1261">
        <v>7</v>
      </c>
      <c r="F152" s="1267" t="s">
        <v>363</v>
      </c>
      <c r="G152" s="2178">
        <v>3300</v>
      </c>
      <c r="H152" s="1343">
        <f t="shared" ref="H152:H159" si="25">ROUND(G152*E152,)</f>
        <v>23100</v>
      </c>
      <c r="I152" s="1344"/>
      <c r="J152" s="1343"/>
      <c r="K152" s="1345">
        <f t="shared" ref="K152:K159" si="26">J152+H152</f>
        <v>23100</v>
      </c>
      <c r="L152" s="1266"/>
    </row>
    <row r="153" spans="1:12" s="1199" customFormat="1" ht="24" customHeight="1">
      <c r="A153" s="1339"/>
      <c r="B153" s="1259" t="s">
        <v>1145</v>
      </c>
      <c r="C153" s="1260"/>
      <c r="D153" s="1260"/>
      <c r="E153" s="1261">
        <v>8</v>
      </c>
      <c r="F153" s="1267" t="s">
        <v>363</v>
      </c>
      <c r="G153" s="2178">
        <v>120</v>
      </c>
      <c r="H153" s="1343">
        <f t="shared" si="25"/>
        <v>960</v>
      </c>
      <c r="I153" s="1344"/>
      <c r="J153" s="1343"/>
      <c r="K153" s="1345">
        <f t="shared" si="26"/>
        <v>960</v>
      </c>
      <c r="L153" s="1266"/>
    </row>
    <row r="154" spans="1:12" s="1199" customFormat="1" ht="24" customHeight="1">
      <c r="A154" s="1339"/>
      <c r="B154" s="1259" t="s">
        <v>1146</v>
      </c>
      <c r="C154" s="1260"/>
      <c r="D154" s="1260"/>
      <c r="E154" s="1261">
        <v>3</v>
      </c>
      <c r="F154" s="1267" t="s">
        <v>363</v>
      </c>
      <c r="G154" s="2178">
        <v>100</v>
      </c>
      <c r="H154" s="1343">
        <f t="shared" si="25"/>
        <v>300</v>
      </c>
      <c r="I154" s="1344"/>
      <c r="J154" s="1343"/>
      <c r="K154" s="1345">
        <f t="shared" si="26"/>
        <v>300</v>
      </c>
      <c r="L154" s="1266"/>
    </row>
    <row r="155" spans="1:12" s="1199" customFormat="1" ht="24" customHeight="1">
      <c r="A155" s="1339"/>
      <c r="B155" s="1259" t="s">
        <v>1147</v>
      </c>
      <c r="C155" s="1260"/>
      <c r="D155" s="1260"/>
      <c r="E155" s="1261">
        <v>3</v>
      </c>
      <c r="F155" s="1267" t="s">
        <v>363</v>
      </c>
      <c r="G155" s="2178">
        <v>1350</v>
      </c>
      <c r="H155" s="1343">
        <f t="shared" si="25"/>
        <v>4050</v>
      </c>
      <c r="I155" s="1344"/>
      <c r="J155" s="1343"/>
      <c r="K155" s="1345">
        <f t="shared" si="26"/>
        <v>4050</v>
      </c>
      <c r="L155" s="1266"/>
    </row>
    <row r="156" spans="1:12" s="1199" customFormat="1" ht="24" customHeight="1">
      <c r="A156" s="1339" t="s">
        <v>1203</v>
      </c>
      <c r="B156" s="1259" t="s">
        <v>1149</v>
      </c>
      <c r="C156" s="1260"/>
      <c r="D156" s="1260"/>
      <c r="E156" s="1261">
        <v>1</v>
      </c>
      <c r="F156" s="1267" t="s">
        <v>363</v>
      </c>
      <c r="G156" s="2175">
        <v>21000</v>
      </c>
      <c r="H156" s="1343">
        <f t="shared" si="25"/>
        <v>21000</v>
      </c>
      <c r="I156" s="1344"/>
      <c r="J156" s="1343"/>
      <c r="K156" s="1345">
        <f t="shared" si="26"/>
        <v>21000</v>
      </c>
      <c r="L156" s="1266"/>
    </row>
    <row r="157" spans="1:12" s="1199" customFormat="1" ht="24" customHeight="1">
      <c r="A157" s="1339" t="s">
        <v>1204</v>
      </c>
      <c r="B157" s="1259" t="s">
        <v>1163</v>
      </c>
      <c r="C157" s="1260"/>
      <c r="D157" s="1260"/>
      <c r="E157" s="1261">
        <v>1</v>
      </c>
      <c r="F157" s="1267" t="s">
        <v>363</v>
      </c>
      <c r="G157" s="2175">
        <v>39000</v>
      </c>
      <c r="H157" s="1343">
        <f t="shared" si="25"/>
        <v>39000</v>
      </c>
      <c r="I157" s="1344"/>
      <c r="J157" s="1343"/>
      <c r="K157" s="1345">
        <f t="shared" si="26"/>
        <v>39000</v>
      </c>
      <c r="L157" s="1266"/>
    </row>
    <row r="158" spans="1:12" s="1199" customFormat="1" ht="24" customHeight="1">
      <c r="A158" s="1339" t="s">
        <v>2649</v>
      </c>
      <c r="B158" s="1259" t="s">
        <v>1151</v>
      </c>
      <c r="C158" s="1260"/>
      <c r="D158" s="1260"/>
      <c r="E158" s="1261">
        <v>1</v>
      </c>
      <c r="F158" s="1267" t="s">
        <v>1104</v>
      </c>
      <c r="G158" s="2178">
        <f>1665+3285+5300+1308200</f>
        <v>1318450</v>
      </c>
      <c r="H158" s="1343">
        <f t="shared" si="25"/>
        <v>1318450</v>
      </c>
      <c r="I158" s="1344">
        <f>G158*10%</f>
        <v>131845</v>
      </c>
      <c r="J158" s="1343">
        <f>ROUND(E158*I158,)</f>
        <v>131845</v>
      </c>
      <c r="K158" s="1345">
        <f t="shared" si="26"/>
        <v>1450295</v>
      </c>
      <c r="L158" s="1266"/>
    </row>
    <row r="159" spans="1:12" s="1199" customFormat="1" ht="24" customHeight="1">
      <c r="A159" s="1339" t="s">
        <v>2650</v>
      </c>
      <c r="B159" s="1259" t="s">
        <v>1126</v>
      </c>
      <c r="C159" s="1260"/>
      <c r="D159" s="1260"/>
      <c r="E159" s="1261">
        <v>1</v>
      </c>
      <c r="F159" s="1267" t="s">
        <v>1104</v>
      </c>
      <c r="G159" s="2175">
        <v>15000</v>
      </c>
      <c r="H159" s="1343">
        <f t="shared" si="25"/>
        <v>15000</v>
      </c>
      <c r="I159" s="1344">
        <f>G159*0.3</f>
        <v>4500</v>
      </c>
      <c r="J159" s="1343">
        <f>ROUND(E159*I159,)</f>
        <v>4500</v>
      </c>
      <c r="K159" s="1345">
        <f t="shared" si="26"/>
        <v>19500</v>
      </c>
      <c r="L159" s="1266"/>
    </row>
    <row r="160" spans="1:12" s="1199" customFormat="1" ht="24" customHeight="1">
      <c r="A160" s="1339"/>
      <c r="B160" s="1259"/>
      <c r="C160" s="1260"/>
      <c r="D160" s="1260"/>
      <c r="E160" s="1261"/>
      <c r="F160" s="1267"/>
      <c r="G160" s="2175"/>
      <c r="H160" s="1343"/>
      <c r="I160" s="1344"/>
      <c r="J160" s="1343"/>
      <c r="K160" s="1345"/>
      <c r="L160" s="1266"/>
    </row>
    <row r="161" spans="1:12" s="1199" customFormat="1" ht="24" customHeight="1">
      <c r="A161" s="1346" t="s">
        <v>1205</v>
      </c>
      <c r="B161" s="1259" t="s">
        <v>3011</v>
      </c>
      <c r="C161" s="1260"/>
      <c r="D161" s="1260"/>
      <c r="E161" s="1261"/>
      <c r="F161" s="1262"/>
      <c r="G161" s="2175"/>
      <c r="H161" s="1264"/>
      <c r="I161" s="1265"/>
      <c r="J161" s="1264"/>
      <c r="K161" s="1268"/>
      <c r="L161" s="1266"/>
    </row>
    <row r="162" spans="1:12" s="1199" customFormat="1" ht="24" customHeight="1">
      <c r="A162" s="1346"/>
      <c r="B162" s="1259" t="s">
        <v>3012</v>
      </c>
      <c r="C162" s="1260"/>
      <c r="D162" s="1260"/>
      <c r="E162" s="1261">
        <v>12</v>
      </c>
      <c r="F162" s="1267" t="s">
        <v>363</v>
      </c>
      <c r="G162" s="2175">
        <v>25000</v>
      </c>
      <c r="H162" s="1264">
        <f t="shared" ref="H162:H168" si="27">ROUND(G162*E162,)</f>
        <v>300000</v>
      </c>
      <c r="I162" s="1265"/>
      <c r="J162" s="1264"/>
      <c r="K162" s="1268">
        <f t="shared" ref="K162:K168" si="28">J162+H162</f>
        <v>300000</v>
      </c>
      <c r="L162" s="1266"/>
    </row>
    <row r="163" spans="1:12" s="1199" customFormat="1" ht="24" customHeight="1">
      <c r="A163" s="1346"/>
      <c r="B163" s="1259" t="s">
        <v>1152</v>
      </c>
      <c r="C163" s="1260"/>
      <c r="D163" s="1260"/>
      <c r="E163" s="1261">
        <v>12</v>
      </c>
      <c r="F163" s="1267" t="s">
        <v>363</v>
      </c>
      <c r="G163" s="2175">
        <v>5800</v>
      </c>
      <c r="H163" s="1264">
        <f t="shared" si="27"/>
        <v>69600</v>
      </c>
      <c r="I163" s="1265"/>
      <c r="J163" s="1264"/>
      <c r="K163" s="1268">
        <f t="shared" si="28"/>
        <v>69600</v>
      </c>
      <c r="L163" s="1266"/>
    </row>
    <row r="164" spans="1:12" s="1199" customFormat="1" ht="24" customHeight="1">
      <c r="A164" s="1346"/>
      <c r="B164" s="1259" t="s">
        <v>1153</v>
      </c>
      <c r="C164" s="1260"/>
      <c r="D164" s="1260"/>
      <c r="E164" s="1261">
        <v>12</v>
      </c>
      <c r="F164" s="1267" t="s">
        <v>363</v>
      </c>
      <c r="G164" s="2175">
        <v>855</v>
      </c>
      <c r="H164" s="1264">
        <f t="shared" si="27"/>
        <v>10260</v>
      </c>
      <c r="I164" s="1265"/>
      <c r="J164" s="1264"/>
      <c r="K164" s="1268">
        <f t="shared" si="28"/>
        <v>10260</v>
      </c>
      <c r="L164" s="1266"/>
    </row>
    <row r="165" spans="1:12" s="1199" customFormat="1" ht="24" customHeight="1">
      <c r="A165" s="1346"/>
      <c r="B165" s="1259" t="s">
        <v>1154</v>
      </c>
      <c r="C165" s="1260"/>
      <c r="D165" s="1260"/>
      <c r="E165" s="1261">
        <v>1</v>
      </c>
      <c r="F165" s="1267" t="s">
        <v>363</v>
      </c>
      <c r="G165" s="2175">
        <v>28300</v>
      </c>
      <c r="H165" s="1264">
        <f t="shared" si="27"/>
        <v>28300</v>
      </c>
      <c r="I165" s="1265"/>
      <c r="J165" s="1264"/>
      <c r="K165" s="1268">
        <f t="shared" si="28"/>
        <v>28300</v>
      </c>
      <c r="L165" s="1266"/>
    </row>
    <row r="166" spans="1:12" s="1199" customFormat="1" ht="24" customHeight="1">
      <c r="A166" s="1346"/>
      <c r="B166" s="1259" t="s">
        <v>1155</v>
      </c>
      <c r="C166" s="1260"/>
      <c r="D166" s="1260"/>
      <c r="E166" s="1261">
        <v>1</v>
      </c>
      <c r="F166" s="1267" t="s">
        <v>363</v>
      </c>
      <c r="G166" s="2175">
        <v>21000</v>
      </c>
      <c r="H166" s="1264">
        <f t="shared" si="27"/>
        <v>21000</v>
      </c>
      <c r="I166" s="1265"/>
      <c r="J166" s="1264"/>
      <c r="K166" s="1268">
        <f t="shared" si="28"/>
        <v>21000</v>
      </c>
      <c r="L166" s="1266"/>
    </row>
    <row r="167" spans="1:12" s="1199" customFormat="1" ht="24" customHeight="1">
      <c r="A167" s="1346"/>
      <c r="B167" s="1259" t="s">
        <v>1156</v>
      </c>
      <c r="C167" s="1260"/>
      <c r="D167" s="1260"/>
      <c r="E167" s="1261">
        <v>1</v>
      </c>
      <c r="F167" s="1267" t="s">
        <v>1104</v>
      </c>
      <c r="G167" s="2175">
        <f>148300+1615+3600+300+200</f>
        <v>154015</v>
      </c>
      <c r="H167" s="1264">
        <f t="shared" si="27"/>
        <v>154015</v>
      </c>
      <c r="I167" s="1265">
        <f>ROUND(G167*15%,)</f>
        <v>23102</v>
      </c>
      <c r="J167" s="1264">
        <f>ROUND(E167*I167,)</f>
        <v>23102</v>
      </c>
      <c r="K167" s="1268">
        <f t="shared" si="28"/>
        <v>177117</v>
      </c>
      <c r="L167" s="1266"/>
    </row>
    <row r="168" spans="1:12" s="1199" customFormat="1" ht="24" customHeight="1">
      <c r="A168" s="1346"/>
      <c r="B168" s="1259" t="s">
        <v>1157</v>
      </c>
      <c r="C168" s="1260"/>
      <c r="D168" s="1260"/>
      <c r="E168" s="1261">
        <v>1</v>
      </c>
      <c r="F168" s="1267" t="s">
        <v>1104</v>
      </c>
      <c r="G168" s="2175">
        <v>15000</v>
      </c>
      <c r="H168" s="1264">
        <f t="shared" si="27"/>
        <v>15000</v>
      </c>
      <c r="I168" s="1265">
        <f>G168*0.3</f>
        <v>4500</v>
      </c>
      <c r="J168" s="1264">
        <f>ROUND(E168*I168,)</f>
        <v>4500</v>
      </c>
      <c r="K168" s="1268">
        <f t="shared" si="28"/>
        <v>19500</v>
      </c>
      <c r="L168" s="1266"/>
    </row>
    <row r="169" spans="1:12" s="1199" customFormat="1" ht="24" customHeight="1">
      <c r="A169" s="1346" t="s">
        <v>1621</v>
      </c>
      <c r="B169" s="1340" t="s">
        <v>1165</v>
      </c>
      <c r="C169" s="1260"/>
      <c r="D169" s="1260"/>
      <c r="E169" s="1261"/>
      <c r="F169" s="1341"/>
      <c r="G169" s="2178"/>
      <c r="H169" s="1343"/>
      <c r="I169" s="1344"/>
      <c r="J169" s="1343"/>
      <c r="K169" s="1345"/>
      <c r="L169" s="1266"/>
    </row>
    <row r="170" spans="1:12" s="1199" customFormat="1" ht="24" customHeight="1">
      <c r="A170" s="1346" t="s">
        <v>2651</v>
      </c>
      <c r="B170" s="1259" t="s">
        <v>1138</v>
      </c>
      <c r="C170" s="1260"/>
      <c r="D170" s="1260"/>
      <c r="E170" s="1261"/>
      <c r="F170" s="1262"/>
      <c r="G170" s="2175"/>
      <c r="H170" s="1264"/>
      <c r="I170" s="1265"/>
      <c r="J170" s="1264"/>
      <c r="K170" s="1268"/>
      <c r="L170" s="1266"/>
    </row>
    <row r="171" spans="1:12" s="1199" customFormat="1" ht="24" customHeight="1">
      <c r="A171" s="1346"/>
      <c r="B171" s="1259" t="s">
        <v>1139</v>
      </c>
      <c r="C171" s="1260"/>
      <c r="D171" s="1260"/>
      <c r="E171" s="1261">
        <v>5</v>
      </c>
      <c r="F171" s="1267" t="s">
        <v>363</v>
      </c>
      <c r="G171" s="2178">
        <v>3700</v>
      </c>
      <c r="H171" s="1264">
        <f t="shared" ref="H171:H188" si="29">ROUND(G171*E171,)</f>
        <v>18500</v>
      </c>
      <c r="I171" s="1265"/>
      <c r="J171" s="1264"/>
      <c r="K171" s="1268">
        <f t="shared" ref="K171:K176" si="30">J171+H171</f>
        <v>18500</v>
      </c>
      <c r="L171" s="1266"/>
    </row>
    <row r="172" spans="1:12" s="1199" customFormat="1" ht="24" customHeight="1">
      <c r="A172" s="1346"/>
      <c r="B172" s="1259" t="s">
        <v>1166</v>
      </c>
      <c r="C172" s="1260"/>
      <c r="D172" s="1260"/>
      <c r="E172" s="1261"/>
      <c r="F172" s="1267" t="s">
        <v>363</v>
      </c>
      <c r="G172" s="2178">
        <v>8600</v>
      </c>
      <c r="H172" s="1264">
        <f t="shared" si="29"/>
        <v>0</v>
      </c>
      <c r="I172" s="1265"/>
      <c r="J172" s="1264"/>
      <c r="K172" s="1268">
        <f t="shared" si="30"/>
        <v>0</v>
      </c>
      <c r="L172" s="1266"/>
    </row>
    <row r="173" spans="1:12" s="1199" customFormat="1" ht="24" customHeight="1">
      <c r="A173" s="1346"/>
      <c r="B173" s="1259" t="s">
        <v>1160</v>
      </c>
      <c r="C173" s="1260"/>
      <c r="D173" s="1260"/>
      <c r="E173" s="1261">
        <v>1</v>
      </c>
      <c r="F173" s="1267" t="s">
        <v>363</v>
      </c>
      <c r="G173" s="2175">
        <v>73500</v>
      </c>
      <c r="H173" s="1264">
        <f t="shared" si="29"/>
        <v>73500</v>
      </c>
      <c r="I173" s="1265"/>
      <c r="J173" s="1264"/>
      <c r="K173" s="1268">
        <f t="shared" si="30"/>
        <v>73500</v>
      </c>
      <c r="L173" s="1266"/>
    </row>
    <row r="174" spans="1:12" s="1199" customFormat="1" ht="24" customHeight="1">
      <c r="A174" s="1346"/>
      <c r="B174" s="1259" t="s">
        <v>1162</v>
      </c>
      <c r="C174" s="1260"/>
      <c r="D174" s="1260"/>
      <c r="E174" s="1261">
        <v>1</v>
      </c>
      <c r="F174" s="1267" t="s">
        <v>363</v>
      </c>
      <c r="G174" s="2178">
        <v>86600</v>
      </c>
      <c r="H174" s="1264">
        <f t="shared" si="29"/>
        <v>86600</v>
      </c>
      <c r="I174" s="1265"/>
      <c r="J174" s="1264"/>
      <c r="K174" s="1268">
        <f t="shared" si="30"/>
        <v>86600</v>
      </c>
      <c r="L174" s="1266"/>
    </row>
    <row r="175" spans="1:12" s="1199" customFormat="1" ht="24" customHeight="1">
      <c r="A175" s="1346"/>
      <c r="B175" s="1259" t="s">
        <v>1167</v>
      </c>
      <c r="C175" s="1260"/>
      <c r="D175" s="1260"/>
      <c r="E175" s="1261">
        <v>1</v>
      </c>
      <c r="F175" s="1267" t="s">
        <v>363</v>
      </c>
      <c r="G175" s="2178">
        <v>89900</v>
      </c>
      <c r="H175" s="1343">
        <f t="shared" si="29"/>
        <v>89900</v>
      </c>
      <c r="I175" s="1265"/>
      <c r="J175" s="1264"/>
      <c r="K175" s="1268">
        <f t="shared" si="30"/>
        <v>89900</v>
      </c>
      <c r="L175" s="1266"/>
    </row>
    <row r="176" spans="1:12" s="1199" customFormat="1" ht="24" customHeight="1">
      <c r="A176" s="1346"/>
      <c r="B176" s="1259" t="s">
        <v>1168</v>
      </c>
      <c r="C176" s="1260"/>
      <c r="D176" s="1260"/>
      <c r="E176" s="1261">
        <v>1</v>
      </c>
      <c r="F176" s="1267" t="s">
        <v>363</v>
      </c>
      <c r="G176" s="2175">
        <f>166000+9900</f>
        <v>175900</v>
      </c>
      <c r="H176" s="1264">
        <f t="shared" si="29"/>
        <v>175900</v>
      </c>
      <c r="I176" s="1265"/>
      <c r="J176" s="1264"/>
      <c r="K176" s="1268">
        <f t="shared" si="30"/>
        <v>175900</v>
      </c>
      <c r="L176" s="1266"/>
    </row>
    <row r="177" spans="1:12" s="1199" customFormat="1" ht="24" customHeight="1">
      <c r="A177" s="1346"/>
      <c r="B177" s="1259"/>
      <c r="C177" s="1260"/>
      <c r="D177" s="1260"/>
      <c r="E177" s="1261"/>
      <c r="F177" s="1267"/>
      <c r="G177" s="2175"/>
      <c r="H177" s="1264"/>
      <c r="I177" s="1265"/>
      <c r="J177" s="1264"/>
      <c r="K177" s="1268"/>
      <c r="L177" s="1266"/>
    </row>
    <row r="178" spans="1:12" s="1199" customFormat="1" ht="24" customHeight="1">
      <c r="A178" s="1346"/>
      <c r="B178" s="1259"/>
      <c r="C178" s="1260"/>
      <c r="D178" s="1260"/>
      <c r="E178" s="1261"/>
      <c r="F178" s="1267"/>
      <c r="G178" s="2175"/>
      <c r="H178" s="1264"/>
      <c r="I178" s="1265"/>
      <c r="J178" s="1264"/>
      <c r="K178" s="1268"/>
      <c r="L178" s="1266"/>
    </row>
    <row r="179" spans="1:12" s="1199" customFormat="1" ht="24" customHeight="1">
      <c r="A179" s="1347" t="s">
        <v>2652</v>
      </c>
      <c r="B179" s="1259" t="s">
        <v>1143</v>
      </c>
      <c r="C179" s="1260"/>
      <c r="D179" s="1260"/>
      <c r="E179" s="1261"/>
      <c r="F179" s="1267"/>
      <c r="G179" s="2175"/>
      <c r="H179" s="1264">
        <f t="shared" si="29"/>
        <v>0</v>
      </c>
      <c r="I179" s="1265"/>
      <c r="J179" s="1264"/>
      <c r="K179" s="1268"/>
      <c r="L179" s="1266"/>
    </row>
    <row r="180" spans="1:12" s="1199" customFormat="1" ht="24" customHeight="1">
      <c r="A180" s="1346"/>
      <c r="B180" s="1259" t="s">
        <v>1192</v>
      </c>
      <c r="C180" s="1260"/>
      <c r="D180" s="1260"/>
      <c r="E180" s="1261">
        <v>3</v>
      </c>
      <c r="F180" s="1267" t="s">
        <v>363</v>
      </c>
      <c r="G180" s="2175">
        <v>1125</v>
      </c>
      <c r="H180" s="1264">
        <f t="shared" si="29"/>
        <v>3375</v>
      </c>
      <c r="I180" s="1265"/>
      <c r="J180" s="1264"/>
      <c r="K180" s="1268">
        <f t="shared" ref="K180:K188" si="31">J180+H180</f>
        <v>3375</v>
      </c>
      <c r="L180" s="1266"/>
    </row>
    <row r="181" spans="1:12" s="1199" customFormat="1" ht="24" customHeight="1">
      <c r="A181" s="1346"/>
      <c r="B181" s="1259" t="s">
        <v>1144</v>
      </c>
      <c r="C181" s="1260"/>
      <c r="D181" s="1260"/>
      <c r="E181" s="1261">
        <v>7</v>
      </c>
      <c r="F181" s="1267" t="s">
        <v>363</v>
      </c>
      <c r="G181" s="2175">
        <v>3300</v>
      </c>
      <c r="H181" s="1264">
        <f t="shared" si="29"/>
        <v>23100</v>
      </c>
      <c r="I181" s="1265"/>
      <c r="J181" s="1264"/>
      <c r="K181" s="1268">
        <f t="shared" si="31"/>
        <v>23100</v>
      </c>
      <c r="L181" s="1266"/>
    </row>
    <row r="182" spans="1:12" s="1199" customFormat="1" ht="24" customHeight="1">
      <c r="A182" s="1346"/>
      <c r="B182" s="1259" t="s">
        <v>1145</v>
      </c>
      <c r="C182" s="1260"/>
      <c r="D182" s="1260"/>
      <c r="E182" s="1261">
        <v>6</v>
      </c>
      <c r="F182" s="1267" t="s">
        <v>363</v>
      </c>
      <c r="G182" s="2175">
        <v>120</v>
      </c>
      <c r="H182" s="1264">
        <f t="shared" si="29"/>
        <v>720</v>
      </c>
      <c r="I182" s="1265"/>
      <c r="J182" s="1264"/>
      <c r="K182" s="1268">
        <f t="shared" si="31"/>
        <v>720</v>
      </c>
      <c r="L182" s="1266"/>
    </row>
    <row r="183" spans="1:12" s="1199" customFormat="1" ht="24" customHeight="1">
      <c r="A183" s="1346"/>
      <c r="B183" s="1259" t="s">
        <v>1146</v>
      </c>
      <c r="C183" s="1260"/>
      <c r="D183" s="1260"/>
      <c r="E183" s="1261">
        <v>6</v>
      </c>
      <c r="F183" s="1267" t="s">
        <v>363</v>
      </c>
      <c r="G183" s="2175">
        <v>100</v>
      </c>
      <c r="H183" s="1264">
        <f t="shared" si="29"/>
        <v>600</v>
      </c>
      <c r="I183" s="1265"/>
      <c r="J183" s="1264"/>
      <c r="K183" s="1268">
        <f t="shared" si="31"/>
        <v>600</v>
      </c>
      <c r="L183" s="1266"/>
    </row>
    <row r="184" spans="1:12" s="1199" customFormat="1" ht="24" customHeight="1">
      <c r="A184" s="1346"/>
      <c r="B184" s="1259" t="s">
        <v>1147</v>
      </c>
      <c r="C184" s="1260"/>
      <c r="D184" s="1260"/>
      <c r="E184" s="1261">
        <v>3</v>
      </c>
      <c r="F184" s="1267" t="s">
        <v>363</v>
      </c>
      <c r="G184" s="2175">
        <v>1350</v>
      </c>
      <c r="H184" s="1264">
        <f t="shared" si="29"/>
        <v>4050</v>
      </c>
      <c r="I184" s="1265"/>
      <c r="J184" s="1264"/>
      <c r="K184" s="1268">
        <f t="shared" si="31"/>
        <v>4050</v>
      </c>
      <c r="L184" s="1266"/>
    </row>
    <row r="185" spans="1:12" s="1199" customFormat="1" ht="24" customHeight="1">
      <c r="A185" s="1347" t="s">
        <v>2653</v>
      </c>
      <c r="B185" s="1259" t="s">
        <v>1169</v>
      </c>
      <c r="C185" s="1260"/>
      <c r="D185" s="1260"/>
      <c r="E185" s="1261">
        <v>2</v>
      </c>
      <c r="F185" s="1267" t="s">
        <v>363</v>
      </c>
      <c r="G185" s="2175">
        <v>21000</v>
      </c>
      <c r="H185" s="1264">
        <f t="shared" si="29"/>
        <v>42000</v>
      </c>
      <c r="I185" s="1265"/>
      <c r="J185" s="1264"/>
      <c r="K185" s="1268">
        <f t="shared" si="31"/>
        <v>42000</v>
      </c>
      <c r="L185" s="1266"/>
    </row>
    <row r="186" spans="1:12" s="1199" customFormat="1" ht="24" customHeight="1">
      <c r="A186" s="1347" t="s">
        <v>2654</v>
      </c>
      <c r="B186" s="1259" t="s">
        <v>1163</v>
      </c>
      <c r="C186" s="1260"/>
      <c r="D186" s="1260"/>
      <c r="E186" s="1261">
        <v>1</v>
      </c>
      <c r="F186" s="1267" t="s">
        <v>363</v>
      </c>
      <c r="G186" s="2175">
        <v>39000</v>
      </c>
      <c r="H186" s="1264">
        <f t="shared" si="29"/>
        <v>39000</v>
      </c>
      <c r="I186" s="1265"/>
      <c r="J186" s="1264"/>
      <c r="K186" s="1268">
        <f t="shared" si="31"/>
        <v>39000</v>
      </c>
      <c r="L186" s="1266"/>
    </row>
    <row r="187" spans="1:12" s="1199" customFormat="1" ht="24" customHeight="1">
      <c r="A187" s="1347" t="s">
        <v>2654</v>
      </c>
      <c r="B187" s="1259" t="s">
        <v>1151</v>
      </c>
      <c r="C187" s="1260"/>
      <c r="D187" s="1260"/>
      <c r="E187" s="1261">
        <v>1</v>
      </c>
      <c r="F187" s="1267" t="s">
        <v>1104</v>
      </c>
      <c r="G187" s="2175">
        <f>1292+2220+4380+5300+1321000</f>
        <v>1334192</v>
      </c>
      <c r="H187" s="1264">
        <f t="shared" si="29"/>
        <v>1334192</v>
      </c>
      <c r="I187" s="1265">
        <f>ROUND(G187*10%,)</f>
        <v>133419</v>
      </c>
      <c r="J187" s="1264">
        <f>ROUND(E187*I187,)</f>
        <v>133419</v>
      </c>
      <c r="K187" s="1268">
        <f t="shared" si="31"/>
        <v>1467611</v>
      </c>
      <c r="L187" s="1266"/>
    </row>
    <row r="188" spans="1:12" s="1199" customFormat="1" ht="24" customHeight="1">
      <c r="A188" s="1347" t="s">
        <v>2655</v>
      </c>
      <c r="B188" s="1259" t="s">
        <v>1126</v>
      </c>
      <c r="C188" s="1260"/>
      <c r="D188" s="1260"/>
      <c r="E188" s="1261">
        <v>1</v>
      </c>
      <c r="F188" s="1267" t="s">
        <v>1104</v>
      </c>
      <c r="G188" s="2175">
        <v>25000</v>
      </c>
      <c r="H188" s="1264">
        <f t="shared" si="29"/>
        <v>25000</v>
      </c>
      <c r="I188" s="1265">
        <v>3000</v>
      </c>
      <c r="J188" s="1264">
        <f>ROUND(E188*I188,)</f>
        <v>3000</v>
      </c>
      <c r="K188" s="1268">
        <f t="shared" si="31"/>
        <v>28000</v>
      </c>
      <c r="L188" s="1266"/>
    </row>
    <row r="189" spans="1:12" s="1199" customFormat="1" ht="24" customHeight="1">
      <c r="A189" s="1346" t="s">
        <v>2656</v>
      </c>
      <c r="B189" s="1259" t="s">
        <v>3011</v>
      </c>
      <c r="C189" s="1260"/>
      <c r="D189" s="1260"/>
      <c r="E189" s="1261"/>
      <c r="F189" s="1262"/>
      <c r="G189" s="2175"/>
      <c r="H189" s="1264"/>
      <c r="I189" s="1265"/>
      <c r="J189" s="1264"/>
      <c r="K189" s="1268"/>
      <c r="L189" s="1266"/>
    </row>
    <row r="190" spans="1:12" s="1199" customFormat="1" ht="24" customHeight="1">
      <c r="A190" s="1346"/>
      <c r="B190" s="1259" t="s">
        <v>3012</v>
      </c>
      <c r="C190" s="1260"/>
      <c r="D190" s="1260"/>
      <c r="E190" s="1261">
        <v>12</v>
      </c>
      <c r="F190" s="1267" t="s">
        <v>363</v>
      </c>
      <c r="G190" s="2175">
        <v>25000</v>
      </c>
      <c r="H190" s="1264">
        <f t="shared" ref="H190:H196" si="32">ROUND(G190*E190,)</f>
        <v>300000</v>
      </c>
      <c r="I190" s="1265"/>
      <c r="J190" s="1264"/>
      <c r="K190" s="1268">
        <f t="shared" ref="K190:K196" si="33">J190+H190</f>
        <v>300000</v>
      </c>
      <c r="L190" s="1266"/>
    </row>
    <row r="191" spans="1:12" s="1199" customFormat="1" ht="24" customHeight="1">
      <c r="A191" s="1346"/>
      <c r="B191" s="1259" t="s">
        <v>1152</v>
      </c>
      <c r="C191" s="1260"/>
      <c r="D191" s="1260"/>
      <c r="E191" s="1261">
        <v>12</v>
      </c>
      <c r="F191" s="1267" t="s">
        <v>363</v>
      </c>
      <c r="G191" s="2175">
        <v>5800</v>
      </c>
      <c r="H191" s="1264">
        <f t="shared" si="32"/>
        <v>69600</v>
      </c>
      <c r="I191" s="1265"/>
      <c r="J191" s="1264"/>
      <c r="K191" s="1268">
        <f t="shared" si="33"/>
        <v>69600</v>
      </c>
      <c r="L191" s="1266"/>
    </row>
    <row r="192" spans="1:12" s="1199" customFormat="1" ht="24" customHeight="1">
      <c r="A192" s="1346"/>
      <c r="B192" s="1259" t="s">
        <v>1153</v>
      </c>
      <c r="C192" s="1260"/>
      <c r="D192" s="1260"/>
      <c r="E192" s="1261">
        <v>12</v>
      </c>
      <c r="F192" s="1267" t="s">
        <v>363</v>
      </c>
      <c r="G192" s="2175">
        <v>855</v>
      </c>
      <c r="H192" s="1264">
        <f t="shared" si="32"/>
        <v>10260</v>
      </c>
      <c r="I192" s="1265"/>
      <c r="J192" s="1264"/>
      <c r="K192" s="1268">
        <f t="shared" si="33"/>
        <v>10260</v>
      </c>
      <c r="L192" s="1266"/>
    </row>
    <row r="193" spans="1:12" s="1199" customFormat="1" ht="24" customHeight="1">
      <c r="A193" s="1346"/>
      <c r="B193" s="1259" t="s">
        <v>1154</v>
      </c>
      <c r="C193" s="1260"/>
      <c r="D193" s="1260"/>
      <c r="E193" s="1261">
        <v>1</v>
      </c>
      <c r="F193" s="1267" t="s">
        <v>363</v>
      </c>
      <c r="G193" s="2175">
        <v>28300</v>
      </c>
      <c r="H193" s="1264">
        <f t="shared" si="32"/>
        <v>28300</v>
      </c>
      <c r="I193" s="1265"/>
      <c r="J193" s="1264"/>
      <c r="K193" s="1268">
        <f t="shared" si="33"/>
        <v>28300</v>
      </c>
      <c r="L193" s="1266"/>
    </row>
    <row r="194" spans="1:12" s="1199" customFormat="1" ht="24" customHeight="1">
      <c r="A194" s="1346"/>
      <c r="B194" s="1259" t="s">
        <v>1155</v>
      </c>
      <c r="C194" s="1260"/>
      <c r="D194" s="1260"/>
      <c r="E194" s="1261">
        <v>1</v>
      </c>
      <c r="F194" s="1267" t="s">
        <v>363</v>
      </c>
      <c r="G194" s="2175">
        <v>21000</v>
      </c>
      <c r="H194" s="1264">
        <f t="shared" si="32"/>
        <v>21000</v>
      </c>
      <c r="I194" s="1265"/>
      <c r="J194" s="1264"/>
      <c r="K194" s="1268">
        <f t="shared" si="33"/>
        <v>21000</v>
      </c>
      <c r="L194" s="1266"/>
    </row>
    <row r="195" spans="1:12" s="1199" customFormat="1" ht="24" customHeight="1">
      <c r="A195" s="1346"/>
      <c r="B195" s="1259" t="s">
        <v>1156</v>
      </c>
      <c r="C195" s="1260"/>
      <c r="D195" s="1260"/>
      <c r="E195" s="1261">
        <v>1</v>
      </c>
      <c r="F195" s="1267" t="s">
        <v>1104</v>
      </c>
      <c r="G195" s="2175">
        <f>148300+1615+3600+300+200</f>
        <v>154015</v>
      </c>
      <c r="H195" s="1264">
        <f t="shared" si="32"/>
        <v>154015</v>
      </c>
      <c r="I195" s="1265">
        <f>ROUND(G195*15%,)</f>
        <v>23102</v>
      </c>
      <c r="J195" s="1264">
        <f>ROUND(E195*I195,)</f>
        <v>23102</v>
      </c>
      <c r="K195" s="1268">
        <f t="shared" si="33"/>
        <v>177117</v>
      </c>
      <c r="L195" s="1266"/>
    </row>
    <row r="196" spans="1:12" s="1199" customFormat="1" ht="24" customHeight="1">
      <c r="A196" s="1346"/>
      <c r="B196" s="1259" t="s">
        <v>1157</v>
      </c>
      <c r="C196" s="1260"/>
      <c r="D196" s="1260"/>
      <c r="E196" s="1261">
        <v>1</v>
      </c>
      <c r="F196" s="1267" t="s">
        <v>1104</v>
      </c>
      <c r="G196" s="2175">
        <v>15000</v>
      </c>
      <c r="H196" s="1264">
        <f t="shared" si="32"/>
        <v>15000</v>
      </c>
      <c r="I196" s="1265">
        <f>G196*0.3</f>
        <v>4500</v>
      </c>
      <c r="J196" s="1264">
        <f>ROUND(E196*I196,)</f>
        <v>4500</v>
      </c>
      <c r="K196" s="1268">
        <f t="shared" si="33"/>
        <v>19500</v>
      </c>
      <c r="L196" s="1266"/>
    </row>
    <row r="197" spans="1:12" s="1199" customFormat="1" ht="24" customHeight="1">
      <c r="A197" s="1346"/>
      <c r="B197" s="1259"/>
      <c r="C197" s="1260"/>
      <c r="D197" s="1260"/>
      <c r="E197" s="1261"/>
      <c r="F197" s="1267"/>
      <c r="G197" s="2175"/>
      <c r="H197" s="1264"/>
      <c r="I197" s="1265"/>
      <c r="J197" s="1264"/>
      <c r="K197" s="1268"/>
      <c r="L197" s="1266"/>
    </row>
    <row r="198" spans="1:12" s="1199" customFormat="1" ht="24" customHeight="1">
      <c r="A198" s="1346"/>
      <c r="B198" s="1259"/>
      <c r="C198" s="1260"/>
      <c r="D198" s="1260"/>
      <c r="E198" s="1261"/>
      <c r="F198" s="1267"/>
      <c r="G198" s="2175"/>
      <c r="H198" s="1264"/>
      <c r="I198" s="1265"/>
      <c r="J198" s="1264"/>
      <c r="K198" s="1268"/>
      <c r="L198" s="1266"/>
    </row>
    <row r="199" spans="1:12" s="1199" customFormat="1" ht="24" customHeight="1">
      <c r="A199" s="1346"/>
      <c r="B199" s="1259"/>
      <c r="C199" s="1260"/>
      <c r="D199" s="1260"/>
      <c r="E199" s="1261"/>
      <c r="F199" s="1267"/>
      <c r="G199" s="2175"/>
      <c r="H199" s="1264"/>
      <c r="I199" s="1265"/>
      <c r="J199" s="1264"/>
      <c r="K199" s="1268"/>
      <c r="L199" s="1266"/>
    </row>
    <row r="200" spans="1:12" s="1199" customFormat="1" ht="24" customHeight="1">
      <c r="A200" s="1346"/>
      <c r="B200" s="1259"/>
      <c r="C200" s="1260"/>
      <c r="D200" s="1260"/>
      <c r="E200" s="1261"/>
      <c r="F200" s="1267"/>
      <c r="G200" s="2175"/>
      <c r="H200" s="1264"/>
      <c r="I200" s="1265"/>
      <c r="J200" s="1264"/>
      <c r="K200" s="1268"/>
      <c r="L200" s="1266"/>
    </row>
    <row r="201" spans="1:12" s="1199" customFormat="1" ht="24" customHeight="1">
      <c r="A201" s="1346"/>
      <c r="B201" s="1259"/>
      <c r="C201" s="1260"/>
      <c r="D201" s="1260"/>
      <c r="E201" s="1261"/>
      <c r="F201" s="1267"/>
      <c r="G201" s="2175"/>
      <c r="H201" s="1264"/>
      <c r="I201" s="1265"/>
      <c r="J201" s="1264"/>
      <c r="K201" s="1268"/>
      <c r="L201" s="1266"/>
    </row>
    <row r="202" spans="1:12" s="1199" customFormat="1" ht="24" customHeight="1">
      <c r="A202" s="1346"/>
      <c r="B202" s="1259"/>
      <c r="C202" s="1260"/>
      <c r="D202" s="1260"/>
      <c r="E202" s="1261"/>
      <c r="F202" s="1267"/>
      <c r="G202" s="2175"/>
      <c r="H202" s="1264"/>
      <c r="I202" s="1265"/>
      <c r="J202" s="1264"/>
      <c r="K202" s="1268"/>
      <c r="L202" s="1266"/>
    </row>
    <row r="203" spans="1:12" s="1199" customFormat="1" ht="24" customHeight="1">
      <c r="A203" s="1346" t="s">
        <v>1622</v>
      </c>
      <c r="B203" s="1259" t="s">
        <v>1170</v>
      </c>
      <c r="C203" s="1260"/>
      <c r="D203" s="1260"/>
      <c r="E203" s="1261"/>
      <c r="F203" s="1267"/>
      <c r="G203" s="2175"/>
      <c r="H203" s="1264"/>
      <c r="I203" s="1265"/>
      <c r="J203" s="1264"/>
      <c r="K203" s="1268"/>
      <c r="L203" s="1266"/>
    </row>
    <row r="204" spans="1:12" s="1199" customFormat="1" ht="24" customHeight="1">
      <c r="A204" s="1348"/>
      <c r="B204" s="1259" t="s">
        <v>1171</v>
      </c>
      <c r="C204" s="1260"/>
      <c r="D204" s="1260"/>
      <c r="E204" s="1261">
        <v>2</v>
      </c>
      <c r="F204" s="1267" t="s">
        <v>363</v>
      </c>
      <c r="G204" s="2178">
        <f>26000*0.8</f>
        <v>20800</v>
      </c>
      <c r="H204" s="1343">
        <f t="shared" ref="H204:H212" si="34">ROUND(G204*E204,)</f>
        <v>41600</v>
      </c>
      <c r="I204" s="1344">
        <v>1300</v>
      </c>
      <c r="J204" s="1343">
        <f t="shared" ref="J204:J212" si="35">ROUND(E204*I204,)</f>
        <v>2600</v>
      </c>
      <c r="K204" s="1345">
        <f t="shared" ref="K204:K212" si="36">J204+H204</f>
        <v>44200</v>
      </c>
      <c r="L204" s="1266"/>
    </row>
    <row r="205" spans="1:12" s="1199" customFormat="1" ht="24" customHeight="1">
      <c r="A205" s="1348"/>
      <c r="B205" s="1259" t="s">
        <v>1172</v>
      </c>
      <c r="C205" s="1260"/>
      <c r="D205" s="1260"/>
      <c r="E205" s="1261">
        <v>2</v>
      </c>
      <c r="F205" s="1267" t="s">
        <v>363</v>
      </c>
      <c r="G205" s="2178">
        <f>34700*0.8</f>
        <v>27760</v>
      </c>
      <c r="H205" s="1343">
        <f t="shared" si="34"/>
        <v>55520</v>
      </c>
      <c r="I205" s="1344">
        <v>1300</v>
      </c>
      <c r="J205" s="1343">
        <f t="shared" si="35"/>
        <v>2600</v>
      </c>
      <c r="K205" s="1345">
        <f t="shared" si="36"/>
        <v>58120</v>
      </c>
      <c r="L205" s="1266"/>
    </row>
    <row r="206" spans="1:12" s="1199" customFormat="1" ht="24" customHeight="1">
      <c r="A206" s="1348"/>
      <c r="B206" s="1259" t="s">
        <v>1173</v>
      </c>
      <c r="C206" s="1260"/>
      <c r="D206" s="1260"/>
      <c r="E206" s="1261">
        <v>4</v>
      </c>
      <c r="F206" s="1267" t="s">
        <v>363</v>
      </c>
      <c r="G206" s="2178">
        <f>42700*0.8</f>
        <v>34160</v>
      </c>
      <c r="H206" s="1343">
        <f t="shared" si="34"/>
        <v>136640</v>
      </c>
      <c r="I206" s="1344">
        <v>1300</v>
      </c>
      <c r="J206" s="1343">
        <f t="shared" si="35"/>
        <v>5200</v>
      </c>
      <c r="K206" s="1345">
        <f t="shared" si="36"/>
        <v>141840</v>
      </c>
      <c r="L206" s="1266"/>
    </row>
    <row r="207" spans="1:12" s="1199" customFormat="1" ht="24" customHeight="1">
      <c r="A207" s="1348"/>
      <c r="B207" s="1259" t="s">
        <v>1174</v>
      </c>
      <c r="C207" s="1260"/>
      <c r="D207" s="1260"/>
      <c r="E207" s="1261"/>
      <c r="F207" s="1267" t="s">
        <v>363</v>
      </c>
      <c r="G207" s="2178">
        <f>68700*0.8</f>
        <v>54960</v>
      </c>
      <c r="H207" s="1343">
        <f t="shared" si="34"/>
        <v>0</v>
      </c>
      <c r="I207" s="1344">
        <v>1300</v>
      </c>
      <c r="J207" s="1343">
        <f t="shared" si="35"/>
        <v>0</v>
      </c>
      <c r="K207" s="1345">
        <f t="shared" si="36"/>
        <v>0</v>
      </c>
      <c r="L207" s="1266"/>
    </row>
    <row r="208" spans="1:12" s="1199" customFormat="1" ht="24" customHeight="1">
      <c r="A208" s="1348"/>
      <c r="B208" s="1259" t="s">
        <v>1175</v>
      </c>
      <c r="C208" s="1260"/>
      <c r="D208" s="1260"/>
      <c r="E208" s="1261"/>
      <c r="F208" s="1267" t="s">
        <v>363</v>
      </c>
      <c r="G208" s="2178">
        <f>86000*0.8</f>
        <v>68800</v>
      </c>
      <c r="H208" s="1343">
        <f t="shared" si="34"/>
        <v>0</v>
      </c>
      <c r="I208" s="1344">
        <v>1300</v>
      </c>
      <c r="J208" s="1343">
        <f t="shared" si="35"/>
        <v>0</v>
      </c>
      <c r="K208" s="1345">
        <f t="shared" si="36"/>
        <v>0</v>
      </c>
      <c r="L208" s="1266"/>
    </row>
    <row r="209" spans="1:12" s="1199" customFormat="1" ht="24" customHeight="1">
      <c r="A209" s="1348"/>
      <c r="B209" s="1259" t="s">
        <v>1176</v>
      </c>
      <c r="C209" s="1260"/>
      <c r="D209" s="1260"/>
      <c r="E209" s="1261"/>
      <c r="F209" s="1267" t="s">
        <v>363</v>
      </c>
      <c r="G209" s="2178">
        <f>103400*0.8</f>
        <v>82720</v>
      </c>
      <c r="H209" s="1343">
        <f t="shared" si="34"/>
        <v>0</v>
      </c>
      <c r="I209" s="1344">
        <v>1300</v>
      </c>
      <c r="J209" s="1343">
        <f t="shared" si="35"/>
        <v>0</v>
      </c>
      <c r="K209" s="1345">
        <f t="shared" si="36"/>
        <v>0</v>
      </c>
      <c r="L209" s="1266"/>
    </row>
    <row r="210" spans="1:12" s="1199" customFormat="1" ht="24" customHeight="1">
      <c r="A210" s="1348"/>
      <c r="B210" s="1259" t="s">
        <v>1177</v>
      </c>
      <c r="C210" s="1260"/>
      <c r="D210" s="1260"/>
      <c r="E210" s="1261">
        <v>2</v>
      </c>
      <c r="F210" s="1267" t="s">
        <v>363</v>
      </c>
      <c r="G210" s="2178">
        <f>137400*0.8</f>
        <v>109920</v>
      </c>
      <c r="H210" s="1343">
        <f t="shared" si="34"/>
        <v>219840</v>
      </c>
      <c r="I210" s="1344">
        <v>1300</v>
      </c>
      <c r="J210" s="1343">
        <f t="shared" si="35"/>
        <v>2600</v>
      </c>
      <c r="K210" s="1345">
        <f t="shared" si="36"/>
        <v>222440</v>
      </c>
      <c r="L210" s="1266"/>
    </row>
    <row r="211" spans="1:12" s="1199" customFormat="1" ht="24" customHeight="1">
      <c r="A211" s="1348"/>
      <c r="B211" s="1259" t="s">
        <v>1178</v>
      </c>
      <c r="C211" s="1260"/>
      <c r="D211" s="1260"/>
      <c r="E211" s="1261">
        <v>1</v>
      </c>
      <c r="F211" s="1267" t="s">
        <v>1104</v>
      </c>
      <c r="G211" s="2178">
        <f>557400</f>
        <v>557400</v>
      </c>
      <c r="H211" s="1343">
        <f t="shared" si="34"/>
        <v>557400</v>
      </c>
      <c r="I211" s="1344">
        <f>G211*0.01</f>
        <v>5574</v>
      </c>
      <c r="J211" s="1343">
        <f t="shared" si="35"/>
        <v>5574</v>
      </c>
      <c r="K211" s="1345">
        <f t="shared" si="36"/>
        <v>562974</v>
      </c>
      <c r="L211" s="1266"/>
    </row>
    <row r="212" spans="1:12" s="1199" customFormat="1" ht="24" customHeight="1">
      <c r="A212" s="1348"/>
      <c r="B212" s="1259" t="s">
        <v>1179</v>
      </c>
      <c r="C212" s="1260"/>
      <c r="D212" s="1260"/>
      <c r="E212" s="1261">
        <v>1</v>
      </c>
      <c r="F212" s="1267" t="s">
        <v>1104</v>
      </c>
      <c r="G212" s="2178">
        <v>150000</v>
      </c>
      <c r="H212" s="1343">
        <f t="shared" si="34"/>
        <v>150000</v>
      </c>
      <c r="I212" s="1344">
        <f>G212*0.01</f>
        <v>1500</v>
      </c>
      <c r="J212" s="1343">
        <f t="shared" si="35"/>
        <v>1500</v>
      </c>
      <c r="K212" s="1345">
        <f t="shared" si="36"/>
        <v>151500</v>
      </c>
      <c r="L212" s="1266"/>
    </row>
    <row r="213" spans="1:12" s="1199" customFormat="1" ht="24" customHeight="1">
      <c r="A213" s="1308"/>
      <c r="B213" s="2174" t="s">
        <v>1117</v>
      </c>
      <c r="C213" s="1275"/>
      <c r="D213" s="1275"/>
      <c r="E213" s="1276"/>
      <c r="F213" s="1207"/>
      <c r="G213" s="2175"/>
      <c r="H213" s="1264"/>
      <c r="I213" s="1265"/>
      <c r="J213" s="1264"/>
      <c r="K213" s="1268"/>
      <c r="L213" s="1266"/>
    </row>
    <row r="214" spans="1:12" s="1199" customFormat="1" ht="24" customHeight="1">
      <c r="A214" s="1243"/>
      <c r="B214" s="2257" t="str">
        <f>"รวมราคารายการที่ "&amp;A107</f>
        <v>รวมราคารายการที่ 3.5</v>
      </c>
      <c r="C214" s="2258"/>
      <c r="D214" s="2259"/>
      <c r="E214" s="1244"/>
      <c r="F214" s="1245"/>
      <c r="G214" s="1246"/>
      <c r="H214" s="1247">
        <f>SUM(H107:H213)</f>
        <v>9805382</v>
      </c>
      <c r="I214" s="1246"/>
      <c r="J214" s="1247">
        <f>SUM(J107:J213)</f>
        <v>511989</v>
      </c>
      <c r="K214" s="1247">
        <f>SUM(K107:K213)</f>
        <v>10317371</v>
      </c>
      <c r="L214" s="1245"/>
    </row>
    <row r="215" spans="1:12" s="1199" customFormat="1" ht="24" customHeight="1">
      <c r="A215" s="1367" t="s">
        <v>1465</v>
      </c>
      <c r="B215" s="1353" t="s">
        <v>1180</v>
      </c>
      <c r="C215" s="1354"/>
      <c r="D215" s="1354"/>
      <c r="E215" s="1355"/>
      <c r="F215" s="1356"/>
      <c r="G215" s="1357"/>
      <c r="H215" s="1298"/>
      <c r="I215" s="1299"/>
      <c r="J215" s="1298"/>
      <c r="K215" s="1299"/>
      <c r="L215" s="1300"/>
    </row>
    <row r="216" spans="1:12" s="1199" customFormat="1" ht="24" customHeight="1">
      <c r="A216" s="1339" t="s">
        <v>1207</v>
      </c>
      <c r="B216" s="1340" t="s">
        <v>1182</v>
      </c>
      <c r="C216" s="1260"/>
      <c r="D216" s="1260"/>
      <c r="E216" s="1261"/>
      <c r="F216" s="1262"/>
      <c r="G216" s="2175"/>
      <c r="H216" s="1264"/>
      <c r="I216" s="1265"/>
      <c r="J216" s="1264"/>
      <c r="K216" s="1265"/>
      <c r="L216" s="1266"/>
    </row>
    <row r="217" spans="1:12" s="1199" customFormat="1" ht="24" customHeight="1">
      <c r="A217" s="1339" t="s">
        <v>1209</v>
      </c>
      <c r="B217" s="1259" t="s">
        <v>1138</v>
      </c>
      <c r="C217" s="1260"/>
      <c r="D217" s="1260"/>
      <c r="E217" s="1261"/>
      <c r="F217" s="1262"/>
      <c r="G217" s="2175"/>
      <c r="H217" s="1264"/>
      <c r="I217" s="1265"/>
      <c r="J217" s="1264"/>
      <c r="K217" s="1265"/>
      <c r="L217" s="1266"/>
    </row>
    <row r="218" spans="1:12" s="1199" customFormat="1" ht="24" customHeight="1">
      <c r="A218" s="1339"/>
      <c r="B218" s="1259" t="s">
        <v>1184</v>
      </c>
      <c r="C218" s="1260"/>
      <c r="D218" s="1260"/>
      <c r="E218" s="1261"/>
      <c r="F218" s="1267" t="s">
        <v>363</v>
      </c>
      <c r="G218" s="2175">
        <v>2400</v>
      </c>
      <c r="H218" s="1264">
        <f t="shared" ref="H218:H235" si="37">ROUND(G218*E218,)</f>
        <v>0</v>
      </c>
      <c r="I218" s="1265"/>
      <c r="J218" s="1264">
        <f t="shared" ref="J218:J226" si="38">E218*I218</f>
        <v>0</v>
      </c>
      <c r="K218" s="1265">
        <f t="shared" ref="K218:K226" si="39">J218+H218</f>
        <v>0</v>
      </c>
      <c r="L218" s="1266"/>
    </row>
    <row r="219" spans="1:12" s="1199" customFormat="1" ht="24" customHeight="1">
      <c r="A219" s="1339"/>
      <c r="B219" s="1259" t="s">
        <v>1139</v>
      </c>
      <c r="C219" s="1260"/>
      <c r="D219" s="1260"/>
      <c r="E219" s="1261">
        <v>6</v>
      </c>
      <c r="F219" s="1267" t="s">
        <v>363</v>
      </c>
      <c r="G219" s="2175">
        <v>3700</v>
      </c>
      <c r="H219" s="1264">
        <f t="shared" si="37"/>
        <v>22200</v>
      </c>
      <c r="I219" s="1265"/>
      <c r="J219" s="1264">
        <f t="shared" si="38"/>
        <v>0</v>
      </c>
      <c r="K219" s="1265">
        <f t="shared" si="39"/>
        <v>22200</v>
      </c>
      <c r="L219" s="1266"/>
    </row>
    <row r="220" spans="1:12" s="1199" customFormat="1" ht="24" customHeight="1">
      <c r="A220" s="1339"/>
      <c r="B220" s="1259" t="s">
        <v>1185</v>
      </c>
      <c r="C220" s="1260"/>
      <c r="D220" s="1260"/>
      <c r="E220" s="1261"/>
      <c r="F220" s="1267" t="s">
        <v>363</v>
      </c>
      <c r="G220" s="2175">
        <v>3700</v>
      </c>
      <c r="H220" s="1264">
        <f t="shared" si="37"/>
        <v>0</v>
      </c>
      <c r="I220" s="1265"/>
      <c r="J220" s="1264">
        <f t="shared" si="38"/>
        <v>0</v>
      </c>
      <c r="K220" s="1265">
        <f t="shared" si="39"/>
        <v>0</v>
      </c>
      <c r="L220" s="1266"/>
    </row>
    <row r="221" spans="1:12" s="1199" customFormat="1" ht="24" customHeight="1">
      <c r="A221" s="1339"/>
      <c r="B221" s="1259" t="s">
        <v>1186</v>
      </c>
      <c r="C221" s="1260"/>
      <c r="D221" s="1260"/>
      <c r="E221" s="1261">
        <v>4</v>
      </c>
      <c r="F221" s="1267" t="s">
        <v>363</v>
      </c>
      <c r="G221" s="2175">
        <v>6800</v>
      </c>
      <c r="H221" s="1264">
        <f t="shared" si="37"/>
        <v>27200</v>
      </c>
      <c r="I221" s="1265"/>
      <c r="J221" s="1264">
        <f t="shared" si="38"/>
        <v>0</v>
      </c>
      <c r="K221" s="1265">
        <f t="shared" si="39"/>
        <v>27200</v>
      </c>
      <c r="L221" s="1266"/>
    </row>
    <row r="222" spans="1:12" s="1199" customFormat="1" ht="24" customHeight="1">
      <c r="A222" s="1339"/>
      <c r="B222" s="1259" t="s">
        <v>1187</v>
      </c>
      <c r="C222" s="1260"/>
      <c r="D222" s="1260"/>
      <c r="E222" s="1261">
        <v>4</v>
      </c>
      <c r="F222" s="1267" t="s">
        <v>363</v>
      </c>
      <c r="G222" s="2178">
        <v>8600</v>
      </c>
      <c r="H222" s="1264">
        <f t="shared" si="37"/>
        <v>34400</v>
      </c>
      <c r="I222" s="1265"/>
      <c r="J222" s="1264">
        <f t="shared" si="38"/>
        <v>0</v>
      </c>
      <c r="K222" s="1265">
        <f t="shared" si="39"/>
        <v>34400</v>
      </c>
      <c r="L222" s="1266"/>
    </row>
    <row r="223" spans="1:12" s="1199" customFormat="1" ht="24" customHeight="1">
      <c r="A223" s="1339"/>
      <c r="B223" s="1259" t="s">
        <v>1188</v>
      </c>
      <c r="C223" s="1260"/>
      <c r="D223" s="1260"/>
      <c r="E223" s="1261"/>
      <c r="F223" s="1267" t="s">
        <v>363</v>
      </c>
      <c r="G223" s="2175">
        <v>13300</v>
      </c>
      <c r="H223" s="1264">
        <f t="shared" si="37"/>
        <v>0</v>
      </c>
      <c r="I223" s="1265"/>
      <c r="J223" s="1264">
        <f t="shared" si="38"/>
        <v>0</v>
      </c>
      <c r="K223" s="1265">
        <f t="shared" si="39"/>
        <v>0</v>
      </c>
      <c r="L223" s="1266"/>
    </row>
    <row r="224" spans="1:12" s="1199" customFormat="1" ht="24" customHeight="1">
      <c r="A224" s="1339"/>
      <c r="B224" s="1259" t="s">
        <v>1189</v>
      </c>
      <c r="C224" s="1260"/>
      <c r="D224" s="1260"/>
      <c r="E224" s="1261"/>
      <c r="F224" s="1267" t="s">
        <v>363</v>
      </c>
      <c r="G224" s="2175">
        <v>20200</v>
      </c>
      <c r="H224" s="1264">
        <f t="shared" si="37"/>
        <v>0</v>
      </c>
      <c r="I224" s="1265"/>
      <c r="J224" s="1264">
        <f t="shared" si="38"/>
        <v>0</v>
      </c>
      <c r="K224" s="1265">
        <f t="shared" si="39"/>
        <v>0</v>
      </c>
      <c r="L224" s="1266"/>
    </row>
    <row r="225" spans="1:12" s="1199" customFormat="1" ht="24" customHeight="1">
      <c r="A225" s="1339"/>
      <c r="B225" s="1259" t="s">
        <v>1160</v>
      </c>
      <c r="C225" s="1260"/>
      <c r="D225" s="1260"/>
      <c r="E225" s="1261">
        <v>1</v>
      </c>
      <c r="F225" s="1267" t="s">
        <v>363</v>
      </c>
      <c r="G225" s="2175">
        <v>73500</v>
      </c>
      <c r="H225" s="1264">
        <f t="shared" si="37"/>
        <v>73500</v>
      </c>
      <c r="I225" s="1265"/>
      <c r="J225" s="1264">
        <f t="shared" si="38"/>
        <v>0</v>
      </c>
      <c r="K225" s="1265">
        <f t="shared" si="39"/>
        <v>73500</v>
      </c>
      <c r="L225" s="1266"/>
    </row>
    <row r="226" spans="1:12" s="1199" customFormat="1" ht="24" customHeight="1">
      <c r="A226" s="1339"/>
      <c r="B226" s="1259" t="s">
        <v>1190</v>
      </c>
      <c r="C226" s="1260"/>
      <c r="D226" s="1260"/>
      <c r="E226" s="1261">
        <v>1</v>
      </c>
      <c r="F226" s="1267" t="s">
        <v>363</v>
      </c>
      <c r="G226" s="2175">
        <v>285675</v>
      </c>
      <c r="H226" s="1264">
        <f t="shared" si="37"/>
        <v>285675</v>
      </c>
      <c r="I226" s="1265"/>
      <c r="J226" s="1264">
        <f t="shared" si="38"/>
        <v>0</v>
      </c>
      <c r="K226" s="1265">
        <f t="shared" si="39"/>
        <v>285675</v>
      </c>
      <c r="L226" s="1266"/>
    </row>
    <row r="227" spans="1:12" s="1199" customFormat="1" ht="24" customHeight="1">
      <c r="A227" s="1458" t="s">
        <v>1222</v>
      </c>
      <c r="B227" s="1259" t="s">
        <v>1143</v>
      </c>
      <c r="C227" s="1260"/>
      <c r="D227" s="1260"/>
      <c r="E227" s="1261"/>
      <c r="F227" s="1267"/>
      <c r="G227" s="2175"/>
      <c r="H227" s="1264">
        <f t="shared" si="37"/>
        <v>0</v>
      </c>
      <c r="I227" s="1265"/>
      <c r="J227" s="1264"/>
      <c r="K227" s="1265"/>
      <c r="L227" s="1266"/>
    </row>
    <row r="228" spans="1:12" s="1199" customFormat="1" ht="24" customHeight="1">
      <c r="A228" s="1339"/>
      <c r="B228" s="1259" t="s">
        <v>1192</v>
      </c>
      <c r="C228" s="1260"/>
      <c r="D228" s="1260"/>
      <c r="E228" s="1261">
        <v>3</v>
      </c>
      <c r="F228" s="1267" t="s">
        <v>363</v>
      </c>
      <c r="G228" s="2178">
        <v>1125</v>
      </c>
      <c r="H228" s="1264">
        <f t="shared" si="37"/>
        <v>3375</v>
      </c>
      <c r="I228" s="1265"/>
      <c r="J228" s="1264">
        <f t="shared" ref="J228:J233" si="40">E228*I228</f>
        <v>0</v>
      </c>
      <c r="K228" s="1265">
        <f t="shared" ref="K228:K235" si="41">J228+H228</f>
        <v>3375</v>
      </c>
      <c r="L228" s="1266"/>
    </row>
    <row r="229" spans="1:12" s="1199" customFormat="1" ht="24" customHeight="1">
      <c r="A229" s="1339"/>
      <c r="B229" s="1259" t="s">
        <v>1145</v>
      </c>
      <c r="C229" s="1260"/>
      <c r="D229" s="1260"/>
      <c r="E229" s="1261">
        <v>11</v>
      </c>
      <c r="F229" s="1267" t="s">
        <v>363</v>
      </c>
      <c r="G229" s="2175">
        <v>120</v>
      </c>
      <c r="H229" s="1264">
        <f t="shared" si="37"/>
        <v>1320</v>
      </c>
      <c r="I229" s="1265"/>
      <c r="J229" s="1264">
        <f t="shared" si="40"/>
        <v>0</v>
      </c>
      <c r="K229" s="1265">
        <f t="shared" si="41"/>
        <v>1320</v>
      </c>
      <c r="L229" s="1266"/>
    </row>
    <row r="230" spans="1:12" s="1199" customFormat="1" ht="24" customHeight="1">
      <c r="A230" s="1339"/>
      <c r="B230" s="1259" t="s">
        <v>1146</v>
      </c>
      <c r="C230" s="1260"/>
      <c r="D230" s="1260"/>
      <c r="E230" s="1261">
        <v>9</v>
      </c>
      <c r="F230" s="1267" t="s">
        <v>363</v>
      </c>
      <c r="G230" s="2175">
        <v>100</v>
      </c>
      <c r="H230" s="1264">
        <f t="shared" si="37"/>
        <v>900</v>
      </c>
      <c r="I230" s="1265"/>
      <c r="J230" s="1264">
        <f t="shared" si="40"/>
        <v>0</v>
      </c>
      <c r="K230" s="1265">
        <f t="shared" si="41"/>
        <v>900</v>
      </c>
      <c r="L230" s="1266"/>
    </row>
    <row r="231" spans="1:12" s="1199" customFormat="1" ht="24" customHeight="1">
      <c r="A231" s="1339"/>
      <c r="B231" s="1259" t="s">
        <v>1147</v>
      </c>
      <c r="C231" s="1260"/>
      <c r="D231" s="1260"/>
      <c r="E231" s="1261">
        <v>3</v>
      </c>
      <c r="F231" s="1267" t="s">
        <v>363</v>
      </c>
      <c r="G231" s="2175">
        <v>1350</v>
      </c>
      <c r="H231" s="1264">
        <f t="shared" si="37"/>
        <v>4050</v>
      </c>
      <c r="I231" s="1265"/>
      <c r="J231" s="1264">
        <f t="shared" si="40"/>
        <v>0</v>
      </c>
      <c r="K231" s="1265">
        <f t="shared" si="41"/>
        <v>4050</v>
      </c>
      <c r="L231" s="1266"/>
    </row>
    <row r="232" spans="1:12" s="1199" customFormat="1" ht="24" customHeight="1">
      <c r="A232" s="1458" t="s">
        <v>1225</v>
      </c>
      <c r="B232" s="1259" t="s">
        <v>1149</v>
      </c>
      <c r="C232" s="1260"/>
      <c r="D232" s="1260"/>
      <c r="E232" s="1261">
        <v>1</v>
      </c>
      <c r="F232" s="1267" t="s">
        <v>363</v>
      </c>
      <c r="G232" s="2175">
        <v>15435</v>
      </c>
      <c r="H232" s="1264">
        <f t="shared" si="37"/>
        <v>15435</v>
      </c>
      <c r="I232" s="1265"/>
      <c r="J232" s="1264">
        <f t="shared" si="40"/>
        <v>0</v>
      </c>
      <c r="K232" s="1265">
        <f t="shared" si="41"/>
        <v>15435</v>
      </c>
      <c r="L232" s="1266"/>
    </row>
    <row r="233" spans="1:12" s="1199" customFormat="1" ht="24" customHeight="1">
      <c r="A233" s="1458" t="s">
        <v>2657</v>
      </c>
      <c r="B233" s="1259" t="s">
        <v>1195</v>
      </c>
      <c r="C233" s="1260"/>
      <c r="D233" s="1260"/>
      <c r="E233" s="1261">
        <v>1</v>
      </c>
      <c r="F233" s="1267" t="s">
        <v>363</v>
      </c>
      <c r="G233" s="2175">
        <v>46900</v>
      </c>
      <c r="H233" s="1264">
        <f t="shared" si="37"/>
        <v>46900</v>
      </c>
      <c r="I233" s="1265"/>
      <c r="J233" s="1264">
        <f t="shared" si="40"/>
        <v>0</v>
      </c>
      <c r="K233" s="1265">
        <f t="shared" si="41"/>
        <v>46900</v>
      </c>
      <c r="L233" s="1266"/>
    </row>
    <row r="234" spans="1:12" s="1199" customFormat="1" ht="24" customHeight="1">
      <c r="A234" s="1458" t="s">
        <v>2658</v>
      </c>
      <c r="B234" s="1259" t="s">
        <v>1151</v>
      </c>
      <c r="C234" s="1260"/>
      <c r="D234" s="1260"/>
      <c r="E234" s="1261">
        <v>1</v>
      </c>
      <c r="F234" s="1267" t="s">
        <v>1104</v>
      </c>
      <c r="G234" s="2175">
        <f>309400+300+656+1110+1095</f>
        <v>312561</v>
      </c>
      <c r="H234" s="1264">
        <f t="shared" si="37"/>
        <v>312561</v>
      </c>
      <c r="I234" s="1265">
        <f>ROUND(G234*0.3,)</f>
        <v>93768</v>
      </c>
      <c r="J234" s="1264">
        <f>ROUND(E234*I234,)</f>
        <v>93768</v>
      </c>
      <c r="K234" s="1265">
        <f t="shared" si="41"/>
        <v>406329</v>
      </c>
      <c r="L234" s="1266"/>
    </row>
    <row r="235" spans="1:12" s="1199" customFormat="1" ht="24" customHeight="1">
      <c r="A235" s="1458" t="s">
        <v>2659</v>
      </c>
      <c r="B235" s="1259" t="s">
        <v>1126</v>
      </c>
      <c r="C235" s="1260"/>
      <c r="D235" s="1260"/>
      <c r="E235" s="1261">
        <v>1</v>
      </c>
      <c r="F235" s="1267" t="s">
        <v>1104</v>
      </c>
      <c r="G235" s="2175">
        <v>7500</v>
      </c>
      <c r="H235" s="1264">
        <f t="shared" si="37"/>
        <v>7500</v>
      </c>
      <c r="I235" s="1265">
        <f>G235*0.3</f>
        <v>2250</v>
      </c>
      <c r="J235" s="1264">
        <f>ROUND(E235*I235,)</f>
        <v>2250</v>
      </c>
      <c r="K235" s="1265">
        <f t="shared" si="41"/>
        <v>9750</v>
      </c>
      <c r="L235" s="1266"/>
    </row>
    <row r="236" spans="1:12" s="1199" customFormat="1" ht="24" customHeight="1">
      <c r="A236" s="1458"/>
      <c r="B236" s="1259"/>
      <c r="C236" s="1260"/>
      <c r="D236" s="1260"/>
      <c r="E236" s="1261"/>
      <c r="F236" s="1267"/>
      <c r="G236" s="2175"/>
      <c r="H236" s="1264"/>
      <c r="I236" s="1265"/>
      <c r="J236" s="1264"/>
      <c r="K236" s="1265"/>
      <c r="L236" s="1266"/>
    </row>
    <row r="237" spans="1:12" s="1199" customFormat="1" ht="24" customHeight="1">
      <c r="A237" s="1339" t="s">
        <v>1229</v>
      </c>
      <c r="B237" s="1340" t="s">
        <v>1198</v>
      </c>
      <c r="C237" s="1260"/>
      <c r="D237" s="1260"/>
      <c r="E237" s="1261"/>
      <c r="F237" s="1262"/>
      <c r="G237" s="2175"/>
      <c r="H237" s="1264"/>
      <c r="I237" s="1265"/>
      <c r="J237" s="1264"/>
      <c r="K237" s="1265"/>
      <c r="L237" s="1266"/>
    </row>
    <row r="238" spans="1:12" s="1199" customFormat="1" ht="24" customHeight="1">
      <c r="A238" s="1339" t="s">
        <v>1231</v>
      </c>
      <c r="B238" s="1259" t="s">
        <v>1138</v>
      </c>
      <c r="C238" s="1260"/>
      <c r="D238" s="1260"/>
      <c r="E238" s="1261"/>
      <c r="F238" s="1262"/>
      <c r="G238" s="2175"/>
      <c r="H238" s="1264"/>
      <c r="I238" s="1265"/>
      <c r="J238" s="1264"/>
      <c r="K238" s="1265"/>
      <c r="L238" s="1266"/>
    </row>
    <row r="239" spans="1:12" s="1199" customFormat="1" ht="24" customHeight="1">
      <c r="A239" s="1339"/>
      <c r="B239" s="1259" t="s">
        <v>1139</v>
      </c>
      <c r="C239" s="1260"/>
      <c r="D239" s="1260"/>
      <c r="E239" s="1261">
        <v>2</v>
      </c>
      <c r="F239" s="1267" t="s">
        <v>363</v>
      </c>
      <c r="G239" s="2175">
        <v>3700</v>
      </c>
      <c r="H239" s="1264">
        <f t="shared" ref="H239:H256" si="42">ROUND(G239*E239,)</f>
        <v>7400</v>
      </c>
      <c r="I239" s="1265"/>
      <c r="J239" s="1264">
        <f t="shared" ref="J239:J247" si="43">E239*I239</f>
        <v>0</v>
      </c>
      <c r="K239" s="1265">
        <f t="shared" ref="K239:K247" si="44">J239+H239</f>
        <v>7400</v>
      </c>
      <c r="L239" s="1266"/>
    </row>
    <row r="240" spans="1:12" s="1199" customFormat="1" ht="24" customHeight="1">
      <c r="A240" s="1339"/>
      <c r="B240" s="1259" t="s">
        <v>1185</v>
      </c>
      <c r="C240" s="1260"/>
      <c r="D240" s="1260"/>
      <c r="E240" s="1261">
        <v>1</v>
      </c>
      <c r="F240" s="1267" t="s">
        <v>363</v>
      </c>
      <c r="G240" s="2175">
        <v>3700</v>
      </c>
      <c r="H240" s="1264">
        <f t="shared" si="42"/>
        <v>3700</v>
      </c>
      <c r="I240" s="1265"/>
      <c r="J240" s="1264">
        <f t="shared" si="43"/>
        <v>0</v>
      </c>
      <c r="K240" s="1265">
        <f t="shared" si="44"/>
        <v>3700</v>
      </c>
      <c r="L240" s="1266"/>
    </row>
    <row r="241" spans="1:12" s="1199" customFormat="1" ht="24" customHeight="1">
      <c r="A241" s="1339"/>
      <c r="B241" s="1259" t="s">
        <v>1186</v>
      </c>
      <c r="C241" s="1260"/>
      <c r="D241" s="1260"/>
      <c r="E241" s="1261">
        <v>1</v>
      </c>
      <c r="F241" s="1267" t="s">
        <v>363</v>
      </c>
      <c r="G241" s="2175">
        <v>6800</v>
      </c>
      <c r="H241" s="1264">
        <f t="shared" si="42"/>
        <v>6800</v>
      </c>
      <c r="I241" s="1265"/>
      <c r="J241" s="1264">
        <f t="shared" si="43"/>
        <v>0</v>
      </c>
      <c r="K241" s="1265">
        <f t="shared" si="44"/>
        <v>6800</v>
      </c>
      <c r="L241" s="1266"/>
    </row>
    <row r="242" spans="1:12" s="1199" customFormat="1" ht="24" customHeight="1">
      <c r="A242" s="1339"/>
      <c r="B242" s="1259" t="s">
        <v>1187</v>
      </c>
      <c r="C242" s="1260"/>
      <c r="D242" s="1260"/>
      <c r="E242" s="1261">
        <v>2</v>
      </c>
      <c r="F242" s="1267" t="s">
        <v>363</v>
      </c>
      <c r="G242" s="2178">
        <v>8600</v>
      </c>
      <c r="H242" s="1264">
        <f t="shared" si="42"/>
        <v>17200</v>
      </c>
      <c r="I242" s="1265"/>
      <c r="J242" s="1264">
        <f t="shared" si="43"/>
        <v>0</v>
      </c>
      <c r="K242" s="1265">
        <f t="shared" si="44"/>
        <v>17200</v>
      </c>
      <c r="L242" s="1266"/>
    </row>
    <row r="243" spans="1:12" s="1199" customFormat="1" ht="24" customHeight="1">
      <c r="A243" s="1339"/>
      <c r="B243" s="1259" t="s">
        <v>1188</v>
      </c>
      <c r="C243" s="1260"/>
      <c r="D243" s="1260"/>
      <c r="E243" s="1261">
        <v>2</v>
      </c>
      <c r="F243" s="1267" t="s">
        <v>363</v>
      </c>
      <c r="G243" s="2175">
        <v>13300</v>
      </c>
      <c r="H243" s="1264">
        <f t="shared" si="42"/>
        <v>26600</v>
      </c>
      <c r="I243" s="1265"/>
      <c r="J243" s="1264">
        <f t="shared" si="43"/>
        <v>0</v>
      </c>
      <c r="K243" s="1265">
        <f t="shared" si="44"/>
        <v>26600</v>
      </c>
      <c r="L243" s="1266"/>
    </row>
    <row r="244" spans="1:12" s="1199" customFormat="1" ht="24" customHeight="1">
      <c r="A244" s="1339"/>
      <c r="B244" s="1259" t="s">
        <v>2540</v>
      </c>
      <c r="C244" s="1260"/>
      <c r="D244" s="1260"/>
      <c r="E244" s="1261">
        <v>2</v>
      </c>
      <c r="F244" s="1267" t="s">
        <v>363</v>
      </c>
      <c r="G244" s="2178">
        <v>21300</v>
      </c>
      <c r="H244" s="1264">
        <f t="shared" si="42"/>
        <v>42600</v>
      </c>
      <c r="I244" s="1265"/>
      <c r="J244" s="1264">
        <f t="shared" si="43"/>
        <v>0</v>
      </c>
      <c r="K244" s="1265">
        <f t="shared" si="44"/>
        <v>42600</v>
      </c>
      <c r="L244" s="1266"/>
    </row>
    <row r="245" spans="1:12" s="1199" customFormat="1" ht="24" customHeight="1">
      <c r="A245" s="1339"/>
      <c r="B245" s="1259" t="s">
        <v>1162</v>
      </c>
      <c r="C245" s="1260"/>
      <c r="D245" s="1260"/>
      <c r="E245" s="1261"/>
      <c r="F245" s="1267" t="s">
        <v>363</v>
      </c>
      <c r="G245" s="2178">
        <v>86600</v>
      </c>
      <c r="H245" s="1264">
        <f t="shared" si="42"/>
        <v>0</v>
      </c>
      <c r="I245" s="1265"/>
      <c r="J245" s="1264">
        <f t="shared" si="43"/>
        <v>0</v>
      </c>
      <c r="K245" s="1265">
        <f t="shared" si="44"/>
        <v>0</v>
      </c>
      <c r="L245" s="1266"/>
    </row>
    <row r="246" spans="1:12" s="1199" customFormat="1" ht="24" customHeight="1">
      <c r="A246" s="1339"/>
      <c r="B246" s="1259" t="s">
        <v>1167</v>
      </c>
      <c r="C246" s="1260"/>
      <c r="D246" s="1260"/>
      <c r="E246" s="1261">
        <v>1</v>
      </c>
      <c r="F246" s="1267" t="s">
        <v>363</v>
      </c>
      <c r="G246" s="2178">
        <v>89900</v>
      </c>
      <c r="H246" s="1264">
        <f t="shared" si="42"/>
        <v>89900</v>
      </c>
      <c r="I246" s="1265"/>
      <c r="J246" s="1264">
        <f t="shared" si="43"/>
        <v>0</v>
      </c>
      <c r="K246" s="1265">
        <f t="shared" si="44"/>
        <v>89900</v>
      </c>
      <c r="L246" s="1266"/>
    </row>
    <row r="247" spans="1:12" s="1199" customFormat="1" ht="24" customHeight="1">
      <c r="A247" s="1339"/>
      <c r="B247" s="1259" t="s">
        <v>1200</v>
      </c>
      <c r="C247" s="1260"/>
      <c r="D247" s="1260"/>
      <c r="E247" s="1261">
        <v>1</v>
      </c>
      <c r="F247" s="1267" t="s">
        <v>363</v>
      </c>
      <c r="G247" s="2175">
        <v>339755</v>
      </c>
      <c r="H247" s="1264">
        <f t="shared" si="42"/>
        <v>339755</v>
      </c>
      <c r="I247" s="1265"/>
      <c r="J247" s="1264">
        <f t="shared" si="43"/>
        <v>0</v>
      </c>
      <c r="K247" s="1265">
        <f t="shared" si="44"/>
        <v>339755</v>
      </c>
      <c r="L247" s="1266"/>
    </row>
    <row r="248" spans="1:12" s="1199" customFormat="1" ht="24" customHeight="1">
      <c r="A248" s="1458" t="s">
        <v>1232</v>
      </c>
      <c r="B248" s="1259" t="s">
        <v>1143</v>
      </c>
      <c r="C248" s="1260"/>
      <c r="D248" s="1260"/>
      <c r="E248" s="1261"/>
      <c r="F248" s="1267"/>
      <c r="G248" s="2175"/>
      <c r="H248" s="1264">
        <f t="shared" si="42"/>
        <v>0</v>
      </c>
      <c r="I248" s="1265"/>
      <c r="J248" s="1264"/>
      <c r="K248" s="1265"/>
      <c r="L248" s="1266"/>
    </row>
    <row r="249" spans="1:12" s="1199" customFormat="1" ht="24" customHeight="1">
      <c r="A249" s="1339"/>
      <c r="B249" s="1259" t="s">
        <v>1202</v>
      </c>
      <c r="C249" s="1260"/>
      <c r="D249" s="1260"/>
      <c r="E249" s="1261">
        <v>3</v>
      </c>
      <c r="F249" s="1267" t="s">
        <v>363</v>
      </c>
      <c r="G249" s="2175">
        <v>1125</v>
      </c>
      <c r="H249" s="1264">
        <f t="shared" si="42"/>
        <v>3375</v>
      </c>
      <c r="I249" s="1265"/>
      <c r="J249" s="1264">
        <f t="shared" ref="J249:J254" si="45">E249*I249</f>
        <v>0</v>
      </c>
      <c r="K249" s="1265">
        <f t="shared" ref="K249:K256" si="46">J249+H249</f>
        <v>3375</v>
      </c>
      <c r="L249" s="1266"/>
    </row>
    <row r="250" spans="1:12" s="1199" customFormat="1" ht="24" customHeight="1">
      <c r="A250" s="1339"/>
      <c r="B250" s="1259" t="s">
        <v>1145</v>
      </c>
      <c r="C250" s="1260"/>
      <c r="D250" s="1260"/>
      <c r="E250" s="1261">
        <v>11</v>
      </c>
      <c r="F250" s="1267" t="s">
        <v>363</v>
      </c>
      <c r="G250" s="2175">
        <v>120</v>
      </c>
      <c r="H250" s="1264">
        <f t="shared" si="42"/>
        <v>1320</v>
      </c>
      <c r="I250" s="1265"/>
      <c r="J250" s="1264">
        <f t="shared" si="45"/>
        <v>0</v>
      </c>
      <c r="K250" s="1265">
        <f t="shared" si="46"/>
        <v>1320</v>
      </c>
      <c r="L250" s="1266"/>
    </row>
    <row r="251" spans="1:12" s="1199" customFormat="1" ht="24" customHeight="1">
      <c r="A251" s="1339"/>
      <c r="B251" s="1259" t="s">
        <v>1146</v>
      </c>
      <c r="C251" s="1260"/>
      <c r="D251" s="1260"/>
      <c r="E251" s="1261">
        <v>9</v>
      </c>
      <c r="F251" s="1267" t="s">
        <v>363</v>
      </c>
      <c r="G251" s="2175">
        <v>100</v>
      </c>
      <c r="H251" s="1264">
        <f t="shared" si="42"/>
        <v>900</v>
      </c>
      <c r="I251" s="1265"/>
      <c r="J251" s="1264">
        <f t="shared" si="45"/>
        <v>0</v>
      </c>
      <c r="K251" s="1265">
        <f t="shared" si="46"/>
        <v>900</v>
      </c>
      <c r="L251" s="1266"/>
    </row>
    <row r="252" spans="1:12" s="1199" customFormat="1" ht="24" customHeight="1">
      <c r="A252" s="1339"/>
      <c r="B252" s="1259" t="s">
        <v>1147</v>
      </c>
      <c r="C252" s="1260"/>
      <c r="D252" s="1260"/>
      <c r="E252" s="1261">
        <v>3</v>
      </c>
      <c r="F252" s="1267" t="s">
        <v>363</v>
      </c>
      <c r="G252" s="2175">
        <v>1350</v>
      </c>
      <c r="H252" s="1264">
        <f t="shared" si="42"/>
        <v>4050</v>
      </c>
      <c r="I252" s="1265"/>
      <c r="J252" s="1264">
        <f t="shared" si="45"/>
        <v>0</v>
      </c>
      <c r="K252" s="1265">
        <f t="shared" si="46"/>
        <v>4050</v>
      </c>
      <c r="L252" s="1266"/>
    </row>
    <row r="253" spans="1:12" s="1199" customFormat="1" ht="24" customHeight="1">
      <c r="A253" s="1458" t="s">
        <v>1233</v>
      </c>
      <c r="B253" s="1259" t="s">
        <v>1149</v>
      </c>
      <c r="C253" s="1260"/>
      <c r="D253" s="1260"/>
      <c r="E253" s="1261">
        <v>1</v>
      </c>
      <c r="F253" s="1267" t="s">
        <v>363</v>
      </c>
      <c r="G253" s="2175">
        <v>21000</v>
      </c>
      <c r="H253" s="1264">
        <f t="shared" si="42"/>
        <v>21000</v>
      </c>
      <c r="I253" s="1265"/>
      <c r="J253" s="1264">
        <f t="shared" si="45"/>
        <v>0</v>
      </c>
      <c r="K253" s="1265">
        <f t="shared" si="46"/>
        <v>21000</v>
      </c>
      <c r="L253" s="1266"/>
    </row>
    <row r="254" spans="1:12" s="1199" customFormat="1" ht="24" customHeight="1">
      <c r="A254" s="1458" t="s">
        <v>2660</v>
      </c>
      <c r="B254" s="1259" t="s">
        <v>1195</v>
      </c>
      <c r="C254" s="1260"/>
      <c r="D254" s="1260"/>
      <c r="E254" s="1261">
        <v>1</v>
      </c>
      <c r="F254" s="1267" t="s">
        <v>363</v>
      </c>
      <c r="G254" s="2175">
        <v>39000</v>
      </c>
      <c r="H254" s="1264">
        <f t="shared" si="42"/>
        <v>39000</v>
      </c>
      <c r="I254" s="1265"/>
      <c r="J254" s="1264">
        <f t="shared" si="45"/>
        <v>0</v>
      </c>
      <c r="K254" s="1265">
        <f t="shared" si="46"/>
        <v>39000</v>
      </c>
      <c r="L254" s="1266"/>
    </row>
    <row r="255" spans="1:12" s="1199" customFormat="1" ht="24" customHeight="1">
      <c r="A255" s="1458" t="s">
        <v>2661</v>
      </c>
      <c r="B255" s="1259" t="s">
        <v>1151</v>
      </c>
      <c r="C255" s="1260"/>
      <c r="D255" s="1260"/>
      <c r="E255" s="1261">
        <v>1</v>
      </c>
      <c r="F255" s="1267" t="s">
        <v>1104</v>
      </c>
      <c r="G255" s="2175">
        <f>309400+300+656+1110+1095</f>
        <v>312561</v>
      </c>
      <c r="H255" s="1264">
        <f t="shared" si="42"/>
        <v>312561</v>
      </c>
      <c r="I255" s="1265">
        <f>ROUND(G255*0.3,)</f>
        <v>93768</v>
      </c>
      <c r="J255" s="1264">
        <f>ROUND(E255*I255,)</f>
        <v>93768</v>
      </c>
      <c r="K255" s="1265">
        <f t="shared" si="46"/>
        <v>406329</v>
      </c>
      <c r="L255" s="1266"/>
    </row>
    <row r="256" spans="1:12" s="1199" customFormat="1" ht="24" customHeight="1">
      <c r="A256" s="1458" t="s">
        <v>2662</v>
      </c>
      <c r="B256" s="1259" t="s">
        <v>1126</v>
      </c>
      <c r="C256" s="1260"/>
      <c r="D256" s="1260"/>
      <c r="E256" s="1261">
        <v>1</v>
      </c>
      <c r="F256" s="1267" t="s">
        <v>1104</v>
      </c>
      <c r="G256" s="2175">
        <v>7500</v>
      </c>
      <c r="H256" s="1264">
        <f t="shared" si="42"/>
        <v>7500</v>
      </c>
      <c r="I256" s="1265">
        <f>G256*0.3</f>
        <v>2250</v>
      </c>
      <c r="J256" s="1264">
        <f>ROUND(E256*I256,)</f>
        <v>2250</v>
      </c>
      <c r="K256" s="1265">
        <f t="shared" si="46"/>
        <v>9750</v>
      </c>
      <c r="L256" s="1266"/>
    </row>
    <row r="257" spans="1:12" s="1199" customFormat="1" ht="24" customHeight="1">
      <c r="A257" s="1339"/>
      <c r="B257" s="1259" t="s">
        <v>1117</v>
      </c>
      <c r="C257" s="1260"/>
      <c r="D257" s="1260"/>
      <c r="E257" s="1261"/>
      <c r="F257" s="1262"/>
      <c r="G257" s="2178"/>
      <c r="H257" s="1343"/>
      <c r="I257" s="1344"/>
      <c r="J257" s="1343"/>
      <c r="K257" s="1344"/>
      <c r="L257" s="1266"/>
    </row>
    <row r="258" spans="1:12" s="1199" customFormat="1" ht="24" customHeight="1">
      <c r="A258" s="1339"/>
      <c r="B258" s="2174" t="s">
        <v>1118</v>
      </c>
      <c r="C258" s="1260"/>
      <c r="D258" s="1260"/>
      <c r="E258" s="1261"/>
      <c r="F258" s="1262"/>
      <c r="G258" s="2178"/>
      <c r="H258" s="1343"/>
      <c r="I258" s="1344"/>
      <c r="J258" s="1343"/>
      <c r="K258" s="1344"/>
      <c r="L258" s="1266"/>
    </row>
    <row r="259" spans="1:12" s="1199" customFormat="1" ht="24" customHeight="1">
      <c r="A259" s="1331"/>
      <c r="B259" s="2174" t="s">
        <v>1118</v>
      </c>
      <c r="C259" s="1275"/>
      <c r="D259" s="1275"/>
      <c r="E259" s="1276"/>
      <c r="F259" s="1358"/>
      <c r="G259" s="2175"/>
      <c r="H259" s="1264"/>
      <c r="I259" s="1265"/>
      <c r="J259" s="1264"/>
      <c r="K259" s="1265"/>
      <c r="L259" s="1266"/>
    </row>
    <row r="260" spans="1:12" s="1199" customFormat="1" ht="24" customHeight="1">
      <c r="A260" s="1243"/>
      <c r="B260" s="2257" t="str">
        <f>"รวมราคารายการที่ "&amp;A215</f>
        <v>รวมราคารายการที่ 3.6</v>
      </c>
      <c r="C260" s="2258"/>
      <c r="D260" s="2259"/>
      <c r="E260" s="1244"/>
      <c r="F260" s="1245"/>
      <c r="G260" s="1246"/>
      <c r="H260" s="1247">
        <f>SUM(H216:H259)</f>
        <v>1758677</v>
      </c>
      <c r="I260" s="1246"/>
      <c r="J260" s="1247">
        <f>SUM(J216:J259)</f>
        <v>192036</v>
      </c>
      <c r="K260" s="1247">
        <f>SUM(K216:K259)</f>
        <v>1950713</v>
      </c>
      <c r="L260" s="1245"/>
    </row>
    <row r="261" spans="1:12" s="1199" customFormat="1" ht="24" customHeight="1">
      <c r="A261" s="1367" t="s">
        <v>1490</v>
      </c>
      <c r="B261" s="1353" t="s">
        <v>1291</v>
      </c>
      <c r="C261" s="1354"/>
      <c r="D261" s="1354"/>
      <c r="E261" s="1355"/>
      <c r="F261" s="1356"/>
      <c r="G261" s="1368"/>
      <c r="H261" s="1369"/>
      <c r="I261" s="1370"/>
      <c r="J261" s="1369"/>
      <c r="K261" s="1370"/>
      <c r="L261" s="1366"/>
    </row>
    <row r="262" spans="1:12" s="1199" customFormat="1" ht="24" customHeight="1">
      <c r="A262" s="1339" t="s">
        <v>1255</v>
      </c>
      <c r="B262" s="1259" t="s">
        <v>1293</v>
      </c>
      <c r="C262" s="1260"/>
      <c r="D262" s="1260"/>
      <c r="E262" s="1261"/>
      <c r="F262" s="1262"/>
      <c r="G262" s="2178"/>
      <c r="H262" s="1343"/>
      <c r="I262" s="1344"/>
      <c r="J262" s="1343"/>
      <c r="K262" s="1344"/>
      <c r="L262" s="1364"/>
    </row>
    <row r="263" spans="1:12" s="1199" customFormat="1" ht="24" customHeight="1">
      <c r="A263" s="1339"/>
      <c r="B263" s="1259" t="s">
        <v>1294</v>
      </c>
      <c r="C263" s="1260"/>
      <c r="D263" s="1260"/>
      <c r="E263" s="1261">
        <v>320</v>
      </c>
      <c r="F263" s="1262" t="s">
        <v>226</v>
      </c>
      <c r="G263" s="2178">
        <v>5000</v>
      </c>
      <c r="H263" s="1343">
        <f t="shared" ref="H263:H268" si="47">ROUND(E263*G263,)</f>
        <v>1600000</v>
      </c>
      <c r="I263" s="1344">
        <f t="shared" ref="I263:I268" si="48">G263*0.1</f>
        <v>500</v>
      </c>
      <c r="J263" s="1343">
        <f t="shared" ref="J263:J268" si="49">ROUND(E263*I263,)</f>
        <v>160000</v>
      </c>
      <c r="K263" s="1344">
        <f t="shared" ref="K263:K268" si="50">H263+J263</f>
        <v>1760000</v>
      </c>
      <c r="L263" s="1364"/>
    </row>
    <row r="264" spans="1:12" s="1199" customFormat="1" ht="24" customHeight="1">
      <c r="A264" s="1339"/>
      <c r="B264" s="1259" t="s">
        <v>1295</v>
      </c>
      <c r="C264" s="1260"/>
      <c r="D264" s="1260"/>
      <c r="E264" s="1261">
        <v>20</v>
      </c>
      <c r="F264" s="1262" t="s">
        <v>226</v>
      </c>
      <c r="G264" s="2178">
        <v>5600</v>
      </c>
      <c r="H264" s="1343">
        <f t="shared" si="47"/>
        <v>112000</v>
      </c>
      <c r="I264" s="1344">
        <f t="shared" si="48"/>
        <v>560</v>
      </c>
      <c r="J264" s="1343">
        <f t="shared" si="49"/>
        <v>11200</v>
      </c>
      <c r="K264" s="1344">
        <f t="shared" si="50"/>
        <v>123200</v>
      </c>
      <c r="L264" s="1364"/>
    </row>
    <row r="265" spans="1:12" s="1199" customFormat="1" ht="24" customHeight="1">
      <c r="A265" s="1339"/>
      <c r="B265" s="1259" t="s">
        <v>1296</v>
      </c>
      <c r="C265" s="1260"/>
      <c r="D265" s="1260"/>
      <c r="E265" s="1261"/>
      <c r="F265" s="1262" t="s">
        <v>226</v>
      </c>
      <c r="G265" s="2178">
        <v>6500</v>
      </c>
      <c r="H265" s="1343">
        <f t="shared" si="47"/>
        <v>0</v>
      </c>
      <c r="I265" s="1344">
        <f t="shared" si="48"/>
        <v>650</v>
      </c>
      <c r="J265" s="1343">
        <f t="shared" si="49"/>
        <v>0</v>
      </c>
      <c r="K265" s="1344">
        <f t="shared" si="50"/>
        <v>0</v>
      </c>
      <c r="L265" s="1364"/>
    </row>
    <row r="266" spans="1:12" s="1199" customFormat="1" ht="24" customHeight="1">
      <c r="A266" s="1339"/>
      <c r="B266" s="1259" t="s">
        <v>2666</v>
      </c>
      <c r="C266" s="1260"/>
      <c r="D266" s="1260"/>
      <c r="E266" s="1261"/>
      <c r="F266" s="1262" t="s">
        <v>226</v>
      </c>
      <c r="G266" s="2178">
        <v>7600</v>
      </c>
      <c r="H266" s="1343">
        <f t="shared" si="47"/>
        <v>0</v>
      </c>
      <c r="I266" s="1344">
        <f t="shared" si="48"/>
        <v>760</v>
      </c>
      <c r="J266" s="1343">
        <f t="shared" si="49"/>
        <v>0</v>
      </c>
      <c r="K266" s="1344">
        <f t="shared" si="50"/>
        <v>0</v>
      </c>
      <c r="L266" s="1364"/>
    </row>
    <row r="267" spans="1:12" s="1199" customFormat="1" ht="24" customHeight="1">
      <c r="A267" s="1339"/>
      <c r="B267" s="1259" t="s">
        <v>1297</v>
      </c>
      <c r="C267" s="1260"/>
      <c r="D267" s="1260"/>
      <c r="E267" s="1261"/>
      <c r="F267" s="1262" t="s">
        <v>226</v>
      </c>
      <c r="G267" s="2178">
        <v>11400</v>
      </c>
      <c r="H267" s="1343">
        <f t="shared" si="47"/>
        <v>0</v>
      </c>
      <c r="I267" s="1344">
        <f t="shared" si="48"/>
        <v>1140</v>
      </c>
      <c r="J267" s="1343">
        <f t="shared" si="49"/>
        <v>0</v>
      </c>
      <c r="K267" s="1344">
        <f t="shared" si="50"/>
        <v>0</v>
      </c>
      <c r="L267" s="1364"/>
    </row>
    <row r="268" spans="1:12" s="1199" customFormat="1" ht="24" customHeight="1">
      <c r="A268" s="1339"/>
      <c r="B268" s="1259" t="s">
        <v>1298</v>
      </c>
      <c r="C268" s="1260"/>
      <c r="D268" s="1260"/>
      <c r="E268" s="1261">
        <v>20</v>
      </c>
      <c r="F268" s="1262" t="s">
        <v>226</v>
      </c>
      <c r="G268" s="2178">
        <v>13800</v>
      </c>
      <c r="H268" s="1343">
        <f t="shared" si="47"/>
        <v>276000</v>
      </c>
      <c r="I268" s="1344">
        <f t="shared" si="48"/>
        <v>1380</v>
      </c>
      <c r="J268" s="1343">
        <f t="shared" si="49"/>
        <v>27600</v>
      </c>
      <c r="K268" s="1344">
        <f t="shared" si="50"/>
        <v>303600</v>
      </c>
      <c r="L268" s="1364"/>
    </row>
    <row r="269" spans="1:12" s="1199" customFormat="1" ht="24" customHeight="1">
      <c r="A269" s="1339" t="s">
        <v>1268</v>
      </c>
      <c r="B269" s="1259" t="s">
        <v>1300</v>
      </c>
      <c r="C269" s="1260"/>
      <c r="D269" s="1260"/>
      <c r="E269" s="1261"/>
      <c r="F269" s="1262"/>
      <c r="G269" s="2178"/>
      <c r="H269" s="1343"/>
      <c r="I269" s="1344"/>
      <c r="J269" s="1343"/>
      <c r="K269" s="1344"/>
      <c r="L269" s="1364"/>
    </row>
    <row r="270" spans="1:12" s="1199" customFormat="1" ht="24" customHeight="1">
      <c r="A270" s="1339"/>
      <c r="B270" s="1259" t="s">
        <v>1294</v>
      </c>
      <c r="C270" s="1260"/>
      <c r="D270" s="1260"/>
      <c r="E270" s="1261"/>
      <c r="F270" s="1262" t="s">
        <v>226</v>
      </c>
      <c r="G270" s="2178">
        <v>6200</v>
      </c>
      <c r="H270" s="1343">
        <f>ROUND(E270*G270,)</f>
        <v>0</v>
      </c>
      <c r="I270" s="1344">
        <f>G270*0.1</f>
        <v>620</v>
      </c>
      <c r="J270" s="1343">
        <f>ROUND(E270*I270,)</f>
        <v>0</v>
      </c>
      <c r="K270" s="1344">
        <f>H270+J270</f>
        <v>0</v>
      </c>
      <c r="L270" s="1364"/>
    </row>
    <row r="271" spans="1:12" s="1199" customFormat="1" ht="24" customHeight="1">
      <c r="A271" s="1339"/>
      <c r="B271" s="1259" t="s">
        <v>1295</v>
      </c>
      <c r="C271" s="1260"/>
      <c r="D271" s="1260"/>
      <c r="E271" s="1261"/>
      <c r="F271" s="1262" t="s">
        <v>226</v>
      </c>
      <c r="G271" s="2178">
        <v>6700</v>
      </c>
      <c r="H271" s="1343">
        <f>ROUND(E271*G271,)</f>
        <v>0</v>
      </c>
      <c r="I271" s="1344">
        <f>G271*0.1</f>
        <v>670</v>
      </c>
      <c r="J271" s="1343">
        <f>ROUND(E271*I271,)</f>
        <v>0</v>
      </c>
      <c r="K271" s="1344">
        <f>H271+J271</f>
        <v>0</v>
      </c>
      <c r="L271" s="1364"/>
    </row>
    <row r="272" spans="1:12" s="1199" customFormat="1" ht="24" customHeight="1">
      <c r="A272" s="1339"/>
      <c r="B272" s="1259" t="s">
        <v>1296</v>
      </c>
      <c r="C272" s="1260"/>
      <c r="D272" s="1260"/>
      <c r="E272" s="1261">
        <v>700</v>
      </c>
      <c r="F272" s="1262" t="s">
        <v>226</v>
      </c>
      <c r="G272" s="2178">
        <v>7600</v>
      </c>
      <c r="H272" s="1343">
        <f>ROUND(E272*G272,)</f>
        <v>5320000</v>
      </c>
      <c r="I272" s="1344">
        <f>G272*0.1</f>
        <v>760</v>
      </c>
      <c r="J272" s="1343">
        <f>ROUND(E272*I272,)</f>
        <v>532000</v>
      </c>
      <c r="K272" s="1344">
        <f>H272+J272</f>
        <v>5852000</v>
      </c>
      <c r="L272" s="1364"/>
    </row>
    <row r="273" spans="1:13" s="1199" customFormat="1" ht="24" customHeight="1">
      <c r="A273" s="1339"/>
      <c r="B273" s="1259" t="s">
        <v>2666</v>
      </c>
      <c r="C273" s="1260"/>
      <c r="D273" s="1260"/>
      <c r="E273" s="1261"/>
      <c r="F273" s="1262" t="s">
        <v>226</v>
      </c>
      <c r="G273" s="2178">
        <v>8800</v>
      </c>
      <c r="H273" s="1343">
        <f>ROUND(E273*G273,)</f>
        <v>0</v>
      </c>
      <c r="I273" s="1344">
        <f>G273*0.1</f>
        <v>880</v>
      </c>
      <c r="J273" s="1343">
        <f>ROUND(E273*I273,)</f>
        <v>0</v>
      </c>
      <c r="K273" s="1344">
        <f>H273+J273</f>
        <v>0</v>
      </c>
      <c r="L273" s="1364"/>
    </row>
    <row r="274" spans="1:13" s="1199" customFormat="1" ht="24" customHeight="1">
      <c r="A274" s="1339"/>
      <c r="B274" s="1259"/>
      <c r="C274" s="1260"/>
      <c r="D274" s="1260"/>
      <c r="E274" s="1261"/>
      <c r="F274" s="1262"/>
      <c r="G274" s="2178"/>
      <c r="H274" s="1343"/>
      <c r="I274" s="1344"/>
      <c r="J274" s="1343"/>
      <c r="K274" s="1344"/>
      <c r="L274" s="1364"/>
    </row>
    <row r="275" spans="1:13" s="1199" customFormat="1" ht="24" customHeight="1">
      <c r="A275" s="1339" t="s">
        <v>1270</v>
      </c>
      <c r="B275" s="1259" t="s">
        <v>1302</v>
      </c>
      <c r="C275" s="1260"/>
      <c r="D275" s="1260"/>
      <c r="E275" s="1261"/>
      <c r="F275" s="1262"/>
      <c r="G275" s="2178"/>
      <c r="H275" s="1343"/>
      <c r="I275" s="1344"/>
      <c r="J275" s="1343"/>
      <c r="K275" s="1344"/>
      <c r="L275" s="1364"/>
    </row>
    <row r="276" spans="1:13" s="1199" customFormat="1" ht="24" customHeight="1">
      <c r="A276" s="1339"/>
      <c r="B276" s="1259" t="s">
        <v>1303</v>
      </c>
      <c r="C276" s="1260"/>
      <c r="D276" s="1260"/>
      <c r="E276" s="1261"/>
      <c r="F276" s="1267" t="s">
        <v>363</v>
      </c>
      <c r="G276" s="2178">
        <v>9200</v>
      </c>
      <c r="H276" s="1343">
        <f t="shared" ref="H276:H281" si="51">ROUND(E276*G276,)</f>
        <v>0</v>
      </c>
      <c r="I276" s="1344">
        <f t="shared" ref="I276:I281" si="52">G276*0.05</f>
        <v>460</v>
      </c>
      <c r="J276" s="1343">
        <f t="shared" ref="J276:J282" si="53">ROUND(E276*I276,)</f>
        <v>0</v>
      </c>
      <c r="K276" s="1344">
        <f t="shared" ref="K276:K281" si="54">H276+J276</f>
        <v>0</v>
      </c>
      <c r="L276" s="1364"/>
    </row>
    <row r="277" spans="1:13" s="1199" customFormat="1" ht="24" customHeight="1">
      <c r="A277" s="1339"/>
      <c r="B277" s="1259" t="s">
        <v>1304</v>
      </c>
      <c r="C277" s="1260"/>
      <c r="D277" s="1260"/>
      <c r="E277" s="1261"/>
      <c r="F277" s="1267" t="s">
        <v>363</v>
      </c>
      <c r="G277" s="2178">
        <v>10600</v>
      </c>
      <c r="H277" s="1343">
        <f t="shared" si="51"/>
        <v>0</v>
      </c>
      <c r="I277" s="1344">
        <f t="shared" si="52"/>
        <v>530</v>
      </c>
      <c r="J277" s="1343">
        <f t="shared" si="53"/>
        <v>0</v>
      </c>
      <c r="K277" s="1344">
        <f t="shared" si="54"/>
        <v>0</v>
      </c>
      <c r="L277" s="1364"/>
    </row>
    <row r="278" spans="1:13" s="1199" customFormat="1" ht="24" customHeight="1">
      <c r="A278" s="1339"/>
      <c r="B278" s="1259" t="s">
        <v>1305</v>
      </c>
      <c r="C278" s="1260"/>
      <c r="D278" s="1260"/>
      <c r="E278" s="1261"/>
      <c r="F278" s="1267" t="s">
        <v>363</v>
      </c>
      <c r="G278" s="2178">
        <v>11700</v>
      </c>
      <c r="H278" s="1343">
        <f t="shared" si="51"/>
        <v>0</v>
      </c>
      <c r="I278" s="1344">
        <f t="shared" si="52"/>
        <v>585</v>
      </c>
      <c r="J278" s="1343">
        <f t="shared" si="53"/>
        <v>0</v>
      </c>
      <c r="K278" s="1344">
        <f t="shared" si="54"/>
        <v>0</v>
      </c>
      <c r="L278" s="1364"/>
    </row>
    <row r="279" spans="1:13" s="1199" customFormat="1" ht="24" customHeight="1">
      <c r="A279" s="1339"/>
      <c r="B279" s="1259" t="s">
        <v>1306</v>
      </c>
      <c r="C279" s="1260"/>
      <c r="D279" s="1260"/>
      <c r="E279" s="1261"/>
      <c r="F279" s="1267" t="s">
        <v>363</v>
      </c>
      <c r="G279" s="2178">
        <v>11700</v>
      </c>
      <c r="H279" s="1343">
        <f t="shared" si="51"/>
        <v>0</v>
      </c>
      <c r="I279" s="1344">
        <f t="shared" si="52"/>
        <v>585</v>
      </c>
      <c r="J279" s="1343">
        <f t="shared" si="53"/>
        <v>0</v>
      </c>
      <c r="K279" s="1344">
        <f t="shared" si="54"/>
        <v>0</v>
      </c>
      <c r="L279" s="1364"/>
    </row>
    <row r="280" spans="1:13" s="1199" customFormat="1" ht="24" customHeight="1">
      <c r="A280" s="1339"/>
      <c r="B280" s="1259" t="s">
        <v>1307</v>
      </c>
      <c r="C280" s="1260"/>
      <c r="D280" s="1260"/>
      <c r="E280" s="1261">
        <v>8</v>
      </c>
      <c r="F280" s="1267" t="s">
        <v>363</v>
      </c>
      <c r="G280" s="2178">
        <v>28100</v>
      </c>
      <c r="H280" s="1343">
        <f t="shared" si="51"/>
        <v>224800</v>
      </c>
      <c r="I280" s="1344">
        <f t="shared" si="52"/>
        <v>1405</v>
      </c>
      <c r="J280" s="1343">
        <f t="shared" si="53"/>
        <v>11240</v>
      </c>
      <c r="K280" s="1344">
        <f t="shared" si="54"/>
        <v>236040</v>
      </c>
      <c r="L280" s="1364"/>
    </row>
    <row r="281" spans="1:13" s="1199" customFormat="1" ht="24" customHeight="1">
      <c r="A281" s="1339"/>
      <c r="B281" s="1259" t="s">
        <v>1308</v>
      </c>
      <c r="C281" s="1260"/>
      <c r="D281" s="1260"/>
      <c r="E281" s="1261">
        <v>14</v>
      </c>
      <c r="F281" s="1267" t="s">
        <v>363</v>
      </c>
      <c r="G281" s="2178">
        <v>28100</v>
      </c>
      <c r="H281" s="1343">
        <f t="shared" si="51"/>
        <v>393400</v>
      </c>
      <c r="I281" s="1344">
        <f t="shared" si="52"/>
        <v>1405</v>
      </c>
      <c r="J281" s="1343">
        <f t="shared" si="53"/>
        <v>19670</v>
      </c>
      <c r="K281" s="1344">
        <f t="shared" si="54"/>
        <v>413070</v>
      </c>
      <c r="L281" s="1364"/>
    </row>
    <row r="282" spans="1:13" s="1199" customFormat="1" ht="24" customHeight="1">
      <c r="A282" s="1339" t="s">
        <v>1272</v>
      </c>
      <c r="B282" s="1259" t="s">
        <v>1310</v>
      </c>
      <c r="C282" s="1260"/>
      <c r="D282" s="1260"/>
      <c r="E282" s="1261">
        <v>1</v>
      </c>
      <c r="F282" s="1262" t="s">
        <v>1104</v>
      </c>
      <c r="G282" s="1371">
        <f>SUM(H263:H273)*15%</f>
        <v>1096200</v>
      </c>
      <c r="H282" s="1372">
        <f>ROUND(E282*G282,)</f>
        <v>1096200</v>
      </c>
      <c r="I282" s="1373">
        <f>G282*0.3</f>
        <v>328860</v>
      </c>
      <c r="J282" s="1372">
        <f t="shared" si="53"/>
        <v>328860</v>
      </c>
      <c r="K282" s="1373">
        <f>H282+J282</f>
        <v>1425060</v>
      </c>
      <c r="L282" s="1364"/>
    </row>
    <row r="283" spans="1:13" s="1199" customFormat="1" ht="24" customHeight="1">
      <c r="A283" s="1339"/>
      <c r="B283" s="1259" t="s">
        <v>1117</v>
      </c>
      <c r="C283" s="1260"/>
      <c r="D283" s="1260"/>
      <c r="E283" s="1261"/>
      <c r="F283" s="1262"/>
      <c r="G283" s="2178"/>
      <c r="H283" s="1343"/>
      <c r="I283" s="1344"/>
      <c r="J283" s="1343"/>
      <c r="K283" s="1344"/>
      <c r="L283" s="1364"/>
    </row>
    <row r="284" spans="1:13" s="1199" customFormat="1" ht="24" customHeight="1">
      <c r="A284" s="1339"/>
      <c r="B284" s="1259" t="s">
        <v>1118</v>
      </c>
      <c r="C284" s="1260"/>
      <c r="D284" s="1260"/>
      <c r="E284" s="1261"/>
      <c r="F284" s="1262"/>
      <c r="G284" s="2178"/>
      <c r="H284" s="1343"/>
      <c r="I284" s="1344"/>
      <c r="J284" s="1343"/>
      <c r="K284" s="1344"/>
      <c r="L284" s="1364"/>
    </row>
    <row r="285" spans="1:13" s="1199" customFormat="1" ht="24" customHeight="1">
      <c r="A285" s="1339"/>
      <c r="B285" s="1259" t="s">
        <v>1118</v>
      </c>
      <c r="C285" s="1260"/>
      <c r="D285" s="1260"/>
      <c r="E285" s="1261"/>
      <c r="F285" s="1262"/>
      <c r="G285" s="2178"/>
      <c r="H285" s="1343"/>
      <c r="I285" s="1344"/>
      <c r="J285" s="1343"/>
      <c r="K285" s="1344"/>
      <c r="L285" s="1364"/>
    </row>
    <row r="286" spans="1:13" s="1199" customFormat="1" ht="24" customHeight="1">
      <c r="A286" s="1374"/>
      <c r="B286" s="1220"/>
      <c r="C286" s="1375"/>
      <c r="D286" s="1375"/>
      <c r="E286" s="1376"/>
      <c r="F286" s="1377"/>
      <c r="G286" s="1378"/>
      <c r="H286" s="1379"/>
      <c r="I286" s="1380"/>
      <c r="J286" s="1379"/>
      <c r="K286" s="1380"/>
      <c r="L286" s="1365"/>
    </row>
    <row r="287" spans="1:13" s="1199" customFormat="1" ht="24" customHeight="1">
      <c r="A287" s="1243"/>
      <c r="B287" s="2257" t="str">
        <f>"รวมราคารายการที่ "&amp;A261</f>
        <v>รวมราคารายการที่ 3.7</v>
      </c>
      <c r="C287" s="2258"/>
      <c r="D287" s="2259"/>
      <c r="E287" s="1244"/>
      <c r="F287" s="1245"/>
      <c r="G287" s="1246"/>
      <c r="H287" s="1247">
        <f>SUM(H262:H286)</f>
        <v>9022400</v>
      </c>
      <c r="I287" s="1246"/>
      <c r="J287" s="1247">
        <f t="shared" ref="J287:K287" si="55">SUM(J262:J286)</f>
        <v>1090570</v>
      </c>
      <c r="K287" s="1247">
        <f t="shared" si="55"/>
        <v>10112970</v>
      </c>
      <c r="L287" s="1245"/>
      <c r="M287" s="1602"/>
    </row>
    <row r="288" spans="1:13" s="1199" customFormat="1" ht="24" customHeight="1">
      <c r="A288" s="1381" t="s">
        <v>1290</v>
      </c>
      <c r="B288" s="1292" t="s">
        <v>1312</v>
      </c>
      <c r="C288" s="1293"/>
      <c r="D288" s="1294"/>
      <c r="E288" s="1295"/>
      <c r="F288" s="1296"/>
      <c r="G288" s="1297"/>
      <c r="H288" s="1298"/>
      <c r="I288" s="1299"/>
      <c r="J288" s="1298"/>
      <c r="K288" s="1382"/>
      <c r="L288" s="1383"/>
    </row>
    <row r="289" spans="1:12" s="1199" customFormat="1" ht="24" customHeight="1">
      <c r="A289" s="1331" t="s">
        <v>1292</v>
      </c>
      <c r="B289" s="2174" t="s">
        <v>1314</v>
      </c>
      <c r="C289" s="1275"/>
      <c r="D289" s="1275"/>
      <c r="E289" s="1276"/>
      <c r="F289" s="1358"/>
      <c r="G289" s="2175"/>
      <c r="H289" s="1264"/>
      <c r="I289" s="1265"/>
      <c r="J289" s="1264"/>
      <c r="K289" s="1273"/>
      <c r="L289" s="1269"/>
    </row>
    <row r="290" spans="1:12" s="1199" customFormat="1" ht="24" customHeight="1">
      <c r="A290" s="1331" t="s">
        <v>2663</v>
      </c>
      <c r="B290" s="2174" t="s">
        <v>1315</v>
      </c>
      <c r="C290" s="1275"/>
      <c r="D290" s="1275"/>
      <c r="E290" s="1276"/>
      <c r="F290" s="1358"/>
      <c r="G290" s="2176"/>
      <c r="H290" s="1264"/>
      <c r="I290" s="1265"/>
      <c r="J290" s="1264"/>
      <c r="K290" s="1273"/>
      <c r="L290" s="1269"/>
    </row>
    <row r="291" spans="1:12" s="1199" customFormat="1" ht="24" customHeight="1">
      <c r="A291" s="1331"/>
      <c r="B291" s="2174" t="s">
        <v>1316</v>
      </c>
      <c r="C291" s="1275"/>
      <c r="D291" s="1275"/>
      <c r="E291" s="1489">
        <v>580</v>
      </c>
      <c r="F291" s="1358" t="s">
        <v>226</v>
      </c>
      <c r="G291" s="2176">
        <v>14</v>
      </c>
      <c r="H291" s="1264">
        <f t="shared" ref="H291:H330" si="56">ROUND(E291*G291,)</f>
        <v>8120</v>
      </c>
      <c r="I291" s="1265">
        <v>10</v>
      </c>
      <c r="J291" s="1264">
        <f t="shared" ref="J291:J330" si="57">ROUND(E291*I291,)</f>
        <v>5800</v>
      </c>
      <c r="K291" s="1273">
        <f t="shared" ref="K291:K304" si="58">H291+J291</f>
        <v>13920</v>
      </c>
      <c r="L291" s="2000" t="s">
        <v>2667</v>
      </c>
    </row>
    <row r="292" spans="1:12" s="1199" customFormat="1" ht="24" customHeight="1">
      <c r="A292" s="1331"/>
      <c r="B292" s="2174" t="s">
        <v>1317</v>
      </c>
      <c r="C292" s="1275"/>
      <c r="D292" s="1275"/>
      <c r="E292" s="1489">
        <v>2395</v>
      </c>
      <c r="F292" s="1358" t="s">
        <v>226</v>
      </c>
      <c r="G292" s="2176">
        <v>23</v>
      </c>
      <c r="H292" s="1264">
        <f t="shared" si="56"/>
        <v>55085</v>
      </c>
      <c r="I292" s="1265">
        <v>12</v>
      </c>
      <c r="J292" s="1264">
        <f t="shared" si="57"/>
        <v>28740</v>
      </c>
      <c r="K292" s="1273">
        <f t="shared" si="58"/>
        <v>83825</v>
      </c>
      <c r="L292" s="2000" t="s">
        <v>2667</v>
      </c>
    </row>
    <row r="293" spans="1:12" s="1199" customFormat="1" ht="24" customHeight="1">
      <c r="A293" s="1331"/>
      <c r="B293" s="2174" t="s">
        <v>1318</v>
      </c>
      <c r="C293" s="1275"/>
      <c r="D293" s="1275"/>
      <c r="E293" s="1489">
        <v>4560</v>
      </c>
      <c r="F293" s="1358" t="s">
        <v>226</v>
      </c>
      <c r="G293" s="2176">
        <v>39</v>
      </c>
      <c r="H293" s="1264">
        <f t="shared" si="56"/>
        <v>177840</v>
      </c>
      <c r="I293" s="1265">
        <v>16</v>
      </c>
      <c r="J293" s="1264">
        <f t="shared" si="57"/>
        <v>72960</v>
      </c>
      <c r="K293" s="1273">
        <f t="shared" si="58"/>
        <v>250800</v>
      </c>
      <c r="L293" s="2000" t="s">
        <v>2667</v>
      </c>
    </row>
    <row r="294" spans="1:12" s="1199" customFormat="1" ht="24" customHeight="1">
      <c r="A294" s="1331"/>
      <c r="B294" s="2174" t="s">
        <v>1319</v>
      </c>
      <c r="C294" s="1275"/>
      <c r="D294" s="1275"/>
      <c r="E294" s="1489">
        <v>9700</v>
      </c>
      <c r="F294" s="1358" t="s">
        <v>226</v>
      </c>
      <c r="G294" s="2176">
        <v>61</v>
      </c>
      <c r="H294" s="1264">
        <f t="shared" si="56"/>
        <v>591700</v>
      </c>
      <c r="I294" s="1265">
        <v>20</v>
      </c>
      <c r="J294" s="1264">
        <f t="shared" si="57"/>
        <v>194000</v>
      </c>
      <c r="K294" s="1273">
        <f t="shared" si="58"/>
        <v>785700</v>
      </c>
      <c r="L294" s="2000" t="s">
        <v>2667</v>
      </c>
    </row>
    <row r="295" spans="1:12" s="1199" customFormat="1" ht="24" customHeight="1">
      <c r="A295" s="1331"/>
      <c r="B295" s="2174" t="s">
        <v>1320</v>
      </c>
      <c r="C295" s="1275"/>
      <c r="D295" s="1275"/>
      <c r="E295" s="1489">
        <v>3975</v>
      </c>
      <c r="F295" s="1358" t="s">
        <v>226</v>
      </c>
      <c r="G295" s="2176">
        <v>96</v>
      </c>
      <c r="H295" s="1264">
        <f t="shared" si="56"/>
        <v>381600</v>
      </c>
      <c r="I295" s="1265">
        <v>25</v>
      </c>
      <c r="J295" s="1264">
        <f t="shared" si="57"/>
        <v>99375</v>
      </c>
      <c r="K295" s="1273">
        <f t="shared" si="58"/>
        <v>480975</v>
      </c>
      <c r="L295" s="2000" t="s">
        <v>2667</v>
      </c>
    </row>
    <row r="296" spans="1:12" s="1199" customFormat="1" ht="24" customHeight="1">
      <c r="A296" s="1331"/>
      <c r="B296" s="2174" t="s">
        <v>1321</v>
      </c>
      <c r="C296" s="1275"/>
      <c r="D296" s="1275"/>
      <c r="E296" s="1489">
        <v>0</v>
      </c>
      <c r="F296" s="1358" t="s">
        <v>226</v>
      </c>
      <c r="G296" s="2176">
        <v>127</v>
      </c>
      <c r="H296" s="1264">
        <f t="shared" si="56"/>
        <v>0</v>
      </c>
      <c r="I296" s="1265">
        <v>30</v>
      </c>
      <c r="J296" s="1264">
        <f t="shared" si="57"/>
        <v>0</v>
      </c>
      <c r="K296" s="1273">
        <f t="shared" si="58"/>
        <v>0</v>
      </c>
      <c r="L296" s="2000" t="s">
        <v>2667</v>
      </c>
    </row>
    <row r="297" spans="1:12" s="1199" customFormat="1" ht="24" customHeight="1">
      <c r="A297" s="1331"/>
      <c r="B297" s="2174" t="s">
        <v>1322</v>
      </c>
      <c r="C297" s="1275"/>
      <c r="D297" s="1275"/>
      <c r="E297" s="1489">
        <v>10185</v>
      </c>
      <c r="F297" s="1358" t="s">
        <v>226</v>
      </c>
      <c r="G297" s="2176">
        <v>183</v>
      </c>
      <c r="H297" s="1264">
        <f t="shared" si="56"/>
        <v>1863855</v>
      </c>
      <c r="I297" s="1265">
        <v>40</v>
      </c>
      <c r="J297" s="1264">
        <f t="shared" si="57"/>
        <v>407400</v>
      </c>
      <c r="K297" s="1273">
        <f t="shared" si="58"/>
        <v>2271255</v>
      </c>
      <c r="L297" s="2000" t="s">
        <v>2667</v>
      </c>
    </row>
    <row r="298" spans="1:12" s="1199" customFormat="1" ht="24" customHeight="1">
      <c r="A298" s="1331"/>
      <c r="B298" s="2174" t="s">
        <v>1323</v>
      </c>
      <c r="C298" s="1275"/>
      <c r="D298" s="1275"/>
      <c r="E298" s="1489">
        <v>3300</v>
      </c>
      <c r="F298" s="1358" t="s">
        <v>226</v>
      </c>
      <c r="G298" s="2176">
        <v>262</v>
      </c>
      <c r="H298" s="1264">
        <f t="shared" si="56"/>
        <v>864600</v>
      </c>
      <c r="I298" s="1265">
        <v>45</v>
      </c>
      <c r="J298" s="1264">
        <f t="shared" si="57"/>
        <v>148500</v>
      </c>
      <c r="K298" s="1273">
        <f t="shared" si="58"/>
        <v>1013100</v>
      </c>
      <c r="L298" s="2000" t="s">
        <v>2667</v>
      </c>
    </row>
    <row r="299" spans="1:12" s="1199" customFormat="1" ht="24" customHeight="1">
      <c r="A299" s="1331"/>
      <c r="B299" s="2174" t="s">
        <v>1324</v>
      </c>
      <c r="C299" s="1275"/>
      <c r="D299" s="1275"/>
      <c r="E299" s="1489">
        <v>4755</v>
      </c>
      <c r="F299" s="1358" t="s">
        <v>226</v>
      </c>
      <c r="G299" s="2176">
        <v>361</v>
      </c>
      <c r="H299" s="1264">
        <f t="shared" si="56"/>
        <v>1716555</v>
      </c>
      <c r="I299" s="1265">
        <v>55</v>
      </c>
      <c r="J299" s="1264">
        <f t="shared" si="57"/>
        <v>261525</v>
      </c>
      <c r="K299" s="1273">
        <f t="shared" si="58"/>
        <v>1978080</v>
      </c>
      <c r="L299" s="2000" t="s">
        <v>2667</v>
      </c>
    </row>
    <row r="300" spans="1:12" s="1199" customFormat="1" ht="24" customHeight="1">
      <c r="A300" s="1331"/>
      <c r="B300" s="2174" t="s">
        <v>1325</v>
      </c>
      <c r="C300" s="1275"/>
      <c r="D300" s="1275"/>
      <c r="E300" s="1489">
        <v>11155</v>
      </c>
      <c r="F300" s="1358" t="s">
        <v>226</v>
      </c>
      <c r="G300" s="2176">
        <v>458</v>
      </c>
      <c r="H300" s="1264">
        <f t="shared" si="56"/>
        <v>5108990</v>
      </c>
      <c r="I300" s="1265">
        <v>60</v>
      </c>
      <c r="J300" s="1264">
        <f t="shared" si="57"/>
        <v>669300</v>
      </c>
      <c r="K300" s="1273">
        <f t="shared" si="58"/>
        <v>5778290</v>
      </c>
      <c r="L300" s="2000" t="s">
        <v>2667</v>
      </c>
    </row>
    <row r="301" spans="1:12" s="1199" customFormat="1" ht="24" customHeight="1">
      <c r="A301" s="1331"/>
      <c r="B301" s="2174" t="s">
        <v>1326</v>
      </c>
      <c r="C301" s="1275"/>
      <c r="D301" s="1275"/>
      <c r="E301" s="1489">
        <v>435</v>
      </c>
      <c r="F301" s="1358" t="s">
        <v>226</v>
      </c>
      <c r="G301" s="2176">
        <v>525</v>
      </c>
      <c r="H301" s="1264">
        <f t="shared" si="56"/>
        <v>228375</v>
      </c>
      <c r="I301" s="1265">
        <v>70</v>
      </c>
      <c r="J301" s="1264">
        <f t="shared" si="57"/>
        <v>30450</v>
      </c>
      <c r="K301" s="1273">
        <f t="shared" si="58"/>
        <v>258825</v>
      </c>
      <c r="L301" s="1269"/>
    </row>
    <row r="302" spans="1:12" s="1199" customFormat="1" ht="24" customHeight="1">
      <c r="A302" s="1331"/>
      <c r="B302" s="2174" t="s">
        <v>1327</v>
      </c>
      <c r="C302" s="1275"/>
      <c r="D302" s="1275"/>
      <c r="E302" s="1270"/>
      <c r="F302" s="1358" t="s">
        <v>226</v>
      </c>
      <c r="G302" s="2176">
        <v>659</v>
      </c>
      <c r="H302" s="1264">
        <f t="shared" si="56"/>
        <v>0</v>
      </c>
      <c r="I302" s="1265">
        <v>85</v>
      </c>
      <c r="J302" s="1264">
        <f t="shared" si="57"/>
        <v>0</v>
      </c>
      <c r="K302" s="1273">
        <f t="shared" si="58"/>
        <v>0</v>
      </c>
      <c r="L302" s="1269"/>
    </row>
    <row r="303" spans="1:12" s="1199" customFormat="1" ht="24" customHeight="1">
      <c r="A303" s="1331"/>
      <c r="B303" s="2174" t="s">
        <v>1328</v>
      </c>
      <c r="C303" s="1275"/>
      <c r="D303" s="1275"/>
      <c r="E303" s="1270"/>
      <c r="F303" s="1358" t="s">
        <v>226</v>
      </c>
      <c r="G303" s="2176">
        <v>865</v>
      </c>
      <c r="H303" s="1264">
        <f t="shared" si="56"/>
        <v>0</v>
      </c>
      <c r="I303" s="1265">
        <v>100</v>
      </c>
      <c r="J303" s="1264">
        <f t="shared" si="57"/>
        <v>0</v>
      </c>
      <c r="K303" s="1273">
        <f t="shared" si="58"/>
        <v>0</v>
      </c>
      <c r="L303" s="1269"/>
    </row>
    <row r="304" spans="1:12" s="1199" customFormat="1" ht="24" customHeight="1">
      <c r="A304" s="1331"/>
      <c r="B304" s="2174" t="s">
        <v>1329</v>
      </c>
      <c r="C304" s="1275"/>
      <c r="D304" s="1275"/>
      <c r="E304" s="1489">
        <v>535</v>
      </c>
      <c r="F304" s="1358" t="s">
        <v>226</v>
      </c>
      <c r="G304" s="2176">
        <v>1084</v>
      </c>
      <c r="H304" s="1264">
        <f t="shared" si="56"/>
        <v>579940</v>
      </c>
      <c r="I304" s="1265">
        <v>110</v>
      </c>
      <c r="J304" s="1264">
        <f t="shared" si="57"/>
        <v>58850</v>
      </c>
      <c r="K304" s="1273">
        <f t="shared" si="58"/>
        <v>638790</v>
      </c>
      <c r="L304" s="1269"/>
    </row>
    <row r="305" spans="1:12" s="1199" customFormat="1" ht="24" customHeight="1">
      <c r="A305" s="1331" t="s">
        <v>2664</v>
      </c>
      <c r="B305" s="2174" t="s">
        <v>1330</v>
      </c>
      <c r="C305" s="1202"/>
      <c r="D305" s="1202"/>
      <c r="E305" s="1270"/>
      <c r="F305" s="1384"/>
      <c r="G305" s="2176"/>
      <c r="H305" s="1264">
        <f t="shared" si="56"/>
        <v>0</v>
      </c>
      <c r="I305" s="2177"/>
      <c r="J305" s="1264">
        <f t="shared" si="57"/>
        <v>0</v>
      </c>
      <c r="K305" s="1385"/>
      <c r="L305" s="1269"/>
    </row>
    <row r="306" spans="1:12" s="1199" customFormat="1" ht="24" customHeight="1">
      <c r="A306" s="1331"/>
      <c r="B306" s="2174" t="s">
        <v>1316</v>
      </c>
      <c r="C306" s="1202"/>
      <c r="D306" s="1202"/>
      <c r="E306" s="1489">
        <v>135</v>
      </c>
      <c r="F306" s="1358" t="s">
        <v>226</v>
      </c>
      <c r="G306" s="2176">
        <v>31</v>
      </c>
      <c r="H306" s="1264">
        <f t="shared" si="56"/>
        <v>4185</v>
      </c>
      <c r="I306" s="2177">
        <v>14</v>
      </c>
      <c r="J306" s="1264">
        <f t="shared" si="57"/>
        <v>1890</v>
      </c>
      <c r="K306" s="1273">
        <f>H306+J306</f>
        <v>6075</v>
      </c>
      <c r="L306" s="1269"/>
    </row>
    <row r="307" spans="1:12" s="1199" customFormat="1" ht="24" customHeight="1">
      <c r="A307" s="1331"/>
      <c r="B307" s="2174" t="s">
        <v>1317</v>
      </c>
      <c r="C307" s="1202"/>
      <c r="D307" s="1202"/>
      <c r="E307" s="1489">
        <v>535</v>
      </c>
      <c r="F307" s="1358" t="s">
        <v>226</v>
      </c>
      <c r="G307" s="2176">
        <v>43</v>
      </c>
      <c r="H307" s="1264">
        <f t="shared" si="56"/>
        <v>23005</v>
      </c>
      <c r="I307" s="2177">
        <v>16</v>
      </c>
      <c r="J307" s="1264">
        <f t="shared" si="57"/>
        <v>8560</v>
      </c>
      <c r="K307" s="1273">
        <f>H307+J307</f>
        <v>31565</v>
      </c>
      <c r="L307" s="1269"/>
    </row>
    <row r="308" spans="1:12" s="1199" customFormat="1" ht="24" customHeight="1">
      <c r="A308" s="1331"/>
      <c r="B308" s="2174" t="s">
        <v>1318</v>
      </c>
      <c r="C308" s="1275"/>
      <c r="D308" s="1275"/>
      <c r="E308" s="1489">
        <v>370</v>
      </c>
      <c r="F308" s="1358" t="s">
        <v>226</v>
      </c>
      <c r="G308" s="1386">
        <v>67</v>
      </c>
      <c r="H308" s="1264">
        <f t="shared" si="56"/>
        <v>24790</v>
      </c>
      <c r="I308" s="1265">
        <v>25</v>
      </c>
      <c r="J308" s="1264">
        <f t="shared" si="57"/>
        <v>9250</v>
      </c>
      <c r="K308" s="1273">
        <f t="shared" ref="K308:K314" si="59">H308+J308</f>
        <v>34040</v>
      </c>
      <c r="L308" s="1269"/>
    </row>
    <row r="309" spans="1:12" s="1199" customFormat="1" ht="24" customHeight="1">
      <c r="A309" s="1331"/>
      <c r="B309" s="2174" t="s">
        <v>1319</v>
      </c>
      <c r="C309" s="1275"/>
      <c r="D309" s="1275"/>
      <c r="E309" s="1489">
        <v>425</v>
      </c>
      <c r="F309" s="1358" t="s">
        <v>226</v>
      </c>
      <c r="G309" s="1386">
        <v>92</v>
      </c>
      <c r="H309" s="1264">
        <f t="shared" si="56"/>
        <v>39100</v>
      </c>
      <c r="I309" s="1265">
        <v>30</v>
      </c>
      <c r="J309" s="1264">
        <f t="shared" si="57"/>
        <v>12750</v>
      </c>
      <c r="K309" s="1273">
        <f t="shared" si="59"/>
        <v>51850</v>
      </c>
      <c r="L309" s="1269"/>
    </row>
    <row r="310" spans="1:12" s="1199" customFormat="1" ht="24" customHeight="1">
      <c r="A310" s="1331"/>
      <c r="B310" s="2174" t="s">
        <v>1320</v>
      </c>
      <c r="C310" s="1275"/>
      <c r="D310" s="1275"/>
      <c r="E310" s="1489">
        <v>230</v>
      </c>
      <c r="F310" s="1358" t="s">
        <v>226</v>
      </c>
      <c r="G310" s="1386">
        <v>138</v>
      </c>
      <c r="H310" s="1264">
        <f t="shared" si="56"/>
        <v>31740</v>
      </c>
      <c r="I310" s="1265">
        <v>35</v>
      </c>
      <c r="J310" s="1264">
        <f t="shared" si="57"/>
        <v>8050</v>
      </c>
      <c r="K310" s="1273">
        <f t="shared" si="59"/>
        <v>39790</v>
      </c>
      <c r="L310" s="1269"/>
    </row>
    <row r="311" spans="1:12" s="1199" customFormat="1" ht="24" customHeight="1">
      <c r="A311" s="1331"/>
      <c r="B311" s="2174" t="s">
        <v>1321</v>
      </c>
      <c r="C311" s="1275"/>
      <c r="D311" s="1275"/>
      <c r="E311" s="1489">
        <v>1210</v>
      </c>
      <c r="F311" s="1358" t="s">
        <v>226</v>
      </c>
      <c r="G311" s="1386">
        <v>188</v>
      </c>
      <c r="H311" s="1264">
        <f t="shared" si="56"/>
        <v>227480</v>
      </c>
      <c r="I311" s="1265">
        <v>40</v>
      </c>
      <c r="J311" s="1264">
        <f t="shared" si="57"/>
        <v>48400</v>
      </c>
      <c r="K311" s="1273">
        <f t="shared" si="59"/>
        <v>275880</v>
      </c>
      <c r="L311" s="1269"/>
    </row>
    <row r="312" spans="1:12" s="1199" customFormat="1" ht="24" customHeight="1">
      <c r="A312" s="1331"/>
      <c r="B312" s="2174" t="s">
        <v>1322</v>
      </c>
      <c r="C312" s="1275"/>
      <c r="D312" s="1275"/>
      <c r="E312" s="1270"/>
      <c r="F312" s="1358" t="s">
        <v>226</v>
      </c>
      <c r="G312" s="1386">
        <v>263</v>
      </c>
      <c r="H312" s="1264">
        <f t="shared" si="56"/>
        <v>0</v>
      </c>
      <c r="I312" s="1265">
        <v>55</v>
      </c>
      <c r="J312" s="1264">
        <f t="shared" si="57"/>
        <v>0</v>
      </c>
      <c r="K312" s="1273">
        <f t="shared" si="59"/>
        <v>0</v>
      </c>
      <c r="L312" s="1269"/>
    </row>
    <row r="313" spans="1:12" s="1199" customFormat="1" ht="24" customHeight="1">
      <c r="A313" s="1331"/>
      <c r="B313" s="2174" t="s">
        <v>1323</v>
      </c>
      <c r="C313" s="1275"/>
      <c r="D313" s="1275"/>
      <c r="E313" s="1270"/>
      <c r="F313" s="1358" t="s">
        <v>226</v>
      </c>
      <c r="G313" s="1386">
        <v>387</v>
      </c>
      <c r="H313" s="1264">
        <f t="shared" si="56"/>
        <v>0</v>
      </c>
      <c r="I313" s="1265">
        <v>60</v>
      </c>
      <c r="J313" s="1264">
        <f t="shared" si="57"/>
        <v>0</v>
      </c>
      <c r="K313" s="1273">
        <f t="shared" si="59"/>
        <v>0</v>
      </c>
      <c r="L313" s="1269"/>
    </row>
    <row r="314" spans="1:12" s="1199" customFormat="1" ht="24" customHeight="1">
      <c r="A314" s="1331"/>
      <c r="B314" s="2174" t="s">
        <v>1324</v>
      </c>
      <c r="C314" s="1275"/>
      <c r="D314" s="1275"/>
      <c r="E314" s="1489">
        <v>1700</v>
      </c>
      <c r="F314" s="1358" t="s">
        <v>226</v>
      </c>
      <c r="G314" s="1386">
        <v>450</v>
      </c>
      <c r="H314" s="1264">
        <f t="shared" si="56"/>
        <v>765000</v>
      </c>
      <c r="I314" s="1265">
        <v>65</v>
      </c>
      <c r="J314" s="1264">
        <f t="shared" si="57"/>
        <v>110500</v>
      </c>
      <c r="K314" s="1273">
        <f t="shared" si="59"/>
        <v>875500</v>
      </c>
      <c r="L314" s="1269"/>
    </row>
    <row r="315" spans="1:12" s="1199" customFormat="1" ht="24" customHeight="1">
      <c r="A315" s="1331" t="s">
        <v>2665</v>
      </c>
      <c r="B315" s="2174" t="s">
        <v>1331</v>
      </c>
      <c r="C315" s="1202"/>
      <c r="D315" s="1202"/>
      <c r="E315" s="1270"/>
      <c r="F315" s="1384"/>
      <c r="G315" s="2176"/>
      <c r="H315" s="1264">
        <f t="shared" si="56"/>
        <v>0</v>
      </c>
      <c r="I315" s="2177"/>
      <c r="J315" s="1264">
        <f t="shared" si="57"/>
        <v>0</v>
      </c>
      <c r="K315" s="1385"/>
      <c r="L315" s="1269"/>
    </row>
    <row r="316" spans="1:12" s="1199" customFormat="1" ht="24" customHeight="1">
      <c r="A316" s="1331"/>
      <c r="B316" s="2174" t="s">
        <v>1316</v>
      </c>
      <c r="C316" s="1202"/>
      <c r="D316" s="1202"/>
      <c r="E316" s="1489">
        <v>1600</v>
      </c>
      <c r="F316" s="1358" t="s">
        <v>226</v>
      </c>
      <c r="G316" s="2176">
        <v>50</v>
      </c>
      <c r="H316" s="1264">
        <f t="shared" si="56"/>
        <v>80000</v>
      </c>
      <c r="I316" s="2177">
        <v>14</v>
      </c>
      <c r="J316" s="1264">
        <f t="shared" si="57"/>
        <v>22400</v>
      </c>
      <c r="K316" s="1273">
        <f>H316+J316</f>
        <v>102400</v>
      </c>
      <c r="L316" s="1269"/>
    </row>
    <row r="317" spans="1:12" s="1199" customFormat="1" ht="24" customHeight="1">
      <c r="A317" s="1331"/>
      <c r="B317" s="2174" t="s">
        <v>1317</v>
      </c>
      <c r="C317" s="1202"/>
      <c r="D317" s="1202"/>
      <c r="E317" s="1489">
        <v>350</v>
      </c>
      <c r="F317" s="1358" t="s">
        <v>226</v>
      </c>
      <c r="G317" s="2176">
        <v>58</v>
      </c>
      <c r="H317" s="1264">
        <f t="shared" si="56"/>
        <v>20300</v>
      </c>
      <c r="I317" s="2177">
        <v>16</v>
      </c>
      <c r="J317" s="1264">
        <f t="shared" si="57"/>
        <v>5600</v>
      </c>
      <c r="K317" s="1273">
        <f>H317+J317</f>
        <v>25900</v>
      </c>
      <c r="L317" s="1269"/>
    </row>
    <row r="318" spans="1:12" s="1199" customFormat="1" ht="24" customHeight="1">
      <c r="A318" s="1331"/>
      <c r="B318" s="2174" t="s">
        <v>1318</v>
      </c>
      <c r="C318" s="1275"/>
      <c r="D318" s="1275"/>
      <c r="E318" s="1489">
        <v>100</v>
      </c>
      <c r="F318" s="1358" t="s">
        <v>226</v>
      </c>
      <c r="G318" s="1386">
        <v>85</v>
      </c>
      <c r="H318" s="1264">
        <f t="shared" si="56"/>
        <v>8500</v>
      </c>
      <c r="I318" s="1265">
        <v>25</v>
      </c>
      <c r="J318" s="1264">
        <f t="shared" si="57"/>
        <v>2500</v>
      </c>
      <c r="K318" s="1273">
        <f t="shared" ref="K318:K329" si="60">H318+J318</f>
        <v>11000</v>
      </c>
      <c r="L318" s="1269"/>
    </row>
    <row r="319" spans="1:12" s="1199" customFormat="1" ht="24" customHeight="1">
      <c r="A319" s="1331"/>
      <c r="B319" s="2174" t="s">
        <v>1319</v>
      </c>
      <c r="C319" s="1275"/>
      <c r="D319" s="1275"/>
      <c r="E319" s="1489">
        <v>2330</v>
      </c>
      <c r="F319" s="1358" t="s">
        <v>226</v>
      </c>
      <c r="G319" s="1386">
        <v>112</v>
      </c>
      <c r="H319" s="1264">
        <f t="shared" si="56"/>
        <v>260960</v>
      </c>
      <c r="I319" s="1265">
        <v>30</v>
      </c>
      <c r="J319" s="1264">
        <f t="shared" si="57"/>
        <v>69900</v>
      </c>
      <c r="K319" s="1273">
        <f t="shared" si="60"/>
        <v>330860</v>
      </c>
      <c r="L319" s="1269"/>
    </row>
    <row r="320" spans="1:12" s="1199" customFormat="1" ht="24" customHeight="1">
      <c r="A320" s="1331"/>
      <c r="B320" s="2174" t="s">
        <v>1320</v>
      </c>
      <c r="C320" s="1275"/>
      <c r="D320" s="1275"/>
      <c r="E320" s="1489">
        <v>1200</v>
      </c>
      <c r="F320" s="1358" t="s">
        <v>226</v>
      </c>
      <c r="G320" s="1386">
        <v>165</v>
      </c>
      <c r="H320" s="1264">
        <f t="shared" si="56"/>
        <v>198000</v>
      </c>
      <c r="I320" s="1265">
        <v>35</v>
      </c>
      <c r="J320" s="1264">
        <f t="shared" si="57"/>
        <v>42000</v>
      </c>
      <c r="K320" s="1273">
        <f t="shared" si="60"/>
        <v>240000</v>
      </c>
      <c r="L320" s="1269"/>
    </row>
    <row r="321" spans="1:13" s="1199" customFormat="1" ht="24" customHeight="1">
      <c r="A321" s="1331"/>
      <c r="B321" s="2174" t="s">
        <v>1321</v>
      </c>
      <c r="C321" s="1275"/>
      <c r="D321" s="1275"/>
      <c r="E321" s="1489">
        <v>855</v>
      </c>
      <c r="F321" s="1358" t="s">
        <v>226</v>
      </c>
      <c r="G321" s="1386">
        <v>224</v>
      </c>
      <c r="H321" s="1264">
        <f t="shared" si="56"/>
        <v>191520</v>
      </c>
      <c r="I321" s="1265">
        <v>40</v>
      </c>
      <c r="J321" s="1264">
        <f t="shared" si="57"/>
        <v>34200</v>
      </c>
      <c r="K321" s="1273">
        <f t="shared" si="60"/>
        <v>225720</v>
      </c>
      <c r="L321" s="1269"/>
    </row>
    <row r="322" spans="1:13" s="1199" customFormat="1" ht="24" customHeight="1">
      <c r="A322" s="1331"/>
      <c r="B322" s="2174" t="s">
        <v>1322</v>
      </c>
      <c r="C322" s="1275"/>
      <c r="D322" s="1275"/>
      <c r="E322" s="1489">
        <v>2620</v>
      </c>
      <c r="F322" s="1358" t="s">
        <v>226</v>
      </c>
      <c r="G322" s="1386">
        <v>296</v>
      </c>
      <c r="H322" s="1264">
        <f t="shared" si="56"/>
        <v>775520</v>
      </c>
      <c r="I322" s="1265">
        <v>55</v>
      </c>
      <c r="J322" s="1264">
        <f t="shared" si="57"/>
        <v>144100</v>
      </c>
      <c r="K322" s="1273">
        <f t="shared" si="60"/>
        <v>919620</v>
      </c>
      <c r="L322" s="1269"/>
    </row>
    <row r="323" spans="1:13" s="1199" customFormat="1" ht="24" customHeight="1">
      <c r="A323" s="1331"/>
      <c r="B323" s="2174" t="s">
        <v>1323</v>
      </c>
      <c r="C323" s="1275"/>
      <c r="D323" s="1275"/>
      <c r="E323" s="1270"/>
      <c r="F323" s="1358" t="s">
        <v>226</v>
      </c>
      <c r="G323" s="1386">
        <v>431</v>
      </c>
      <c r="H323" s="1264">
        <f t="shared" si="56"/>
        <v>0</v>
      </c>
      <c r="I323" s="1265">
        <v>60</v>
      </c>
      <c r="J323" s="1264">
        <f t="shared" si="57"/>
        <v>0</v>
      </c>
      <c r="K323" s="1273">
        <f t="shared" si="60"/>
        <v>0</v>
      </c>
      <c r="L323" s="1269"/>
    </row>
    <row r="324" spans="1:13" s="1199" customFormat="1" ht="24" customHeight="1">
      <c r="A324" s="1331"/>
      <c r="B324" s="2174" t="s">
        <v>1324</v>
      </c>
      <c r="C324" s="1275"/>
      <c r="D324" s="1275"/>
      <c r="E324" s="1489">
        <v>2140</v>
      </c>
      <c r="F324" s="1358" t="s">
        <v>226</v>
      </c>
      <c r="G324" s="1386">
        <v>552</v>
      </c>
      <c r="H324" s="1264">
        <f t="shared" si="56"/>
        <v>1181280</v>
      </c>
      <c r="I324" s="1265">
        <v>65</v>
      </c>
      <c r="J324" s="1264">
        <f t="shared" si="57"/>
        <v>139100</v>
      </c>
      <c r="K324" s="1273">
        <f t="shared" si="60"/>
        <v>1320380</v>
      </c>
      <c r="L324" s="1269"/>
    </row>
    <row r="325" spans="1:13" s="1199" customFormat="1" ht="24" customHeight="1">
      <c r="A325" s="1331"/>
      <c r="B325" s="2174" t="s">
        <v>1325</v>
      </c>
      <c r="C325" s="1275"/>
      <c r="D325" s="1275"/>
      <c r="E325" s="1489">
        <v>1210</v>
      </c>
      <c r="F325" s="1358" t="s">
        <v>226</v>
      </c>
      <c r="G325" s="2176">
        <v>666</v>
      </c>
      <c r="H325" s="1264">
        <f t="shared" si="56"/>
        <v>805860</v>
      </c>
      <c r="I325" s="1265">
        <v>75</v>
      </c>
      <c r="J325" s="1264">
        <f t="shared" si="57"/>
        <v>90750</v>
      </c>
      <c r="K325" s="1273">
        <f t="shared" si="60"/>
        <v>896610</v>
      </c>
      <c r="L325" s="1269"/>
    </row>
    <row r="326" spans="1:13" s="1199" customFormat="1" ht="24" customHeight="1">
      <c r="A326" s="1331"/>
      <c r="B326" s="2174" t="s">
        <v>1326</v>
      </c>
      <c r="C326" s="1275"/>
      <c r="D326" s="1275"/>
      <c r="E326" s="1489">
        <v>805</v>
      </c>
      <c r="F326" s="1358" t="s">
        <v>226</v>
      </c>
      <c r="G326" s="2176">
        <v>826</v>
      </c>
      <c r="H326" s="1264">
        <f t="shared" si="56"/>
        <v>664930</v>
      </c>
      <c r="I326" s="1265">
        <v>80</v>
      </c>
      <c r="J326" s="1264">
        <f t="shared" si="57"/>
        <v>64400</v>
      </c>
      <c r="K326" s="1273">
        <f t="shared" si="60"/>
        <v>729330</v>
      </c>
      <c r="L326" s="1269"/>
    </row>
    <row r="327" spans="1:13" s="1199" customFormat="1" ht="24" customHeight="1">
      <c r="A327" s="1331"/>
      <c r="B327" s="2174" t="s">
        <v>1327</v>
      </c>
      <c r="C327" s="1275"/>
      <c r="D327" s="1275"/>
      <c r="E327" s="1489">
        <v>3450</v>
      </c>
      <c r="F327" s="1358" t="s">
        <v>226</v>
      </c>
      <c r="G327" s="2176">
        <v>1046</v>
      </c>
      <c r="H327" s="1264">
        <f t="shared" si="56"/>
        <v>3608700</v>
      </c>
      <c r="I327" s="1265">
        <v>90</v>
      </c>
      <c r="J327" s="1264">
        <f t="shared" si="57"/>
        <v>310500</v>
      </c>
      <c r="K327" s="1273">
        <f t="shared" si="60"/>
        <v>3919200</v>
      </c>
      <c r="L327" s="1269"/>
    </row>
    <row r="328" spans="1:13" s="1199" customFormat="1" ht="24" customHeight="1">
      <c r="A328" s="1331"/>
      <c r="B328" s="2174" t="s">
        <v>1328</v>
      </c>
      <c r="C328" s="1275"/>
      <c r="D328" s="1275"/>
      <c r="E328" s="1489"/>
      <c r="F328" s="1358" t="s">
        <v>226</v>
      </c>
      <c r="G328" s="2176">
        <v>1375</v>
      </c>
      <c r="H328" s="1264">
        <f t="shared" si="56"/>
        <v>0</v>
      </c>
      <c r="I328" s="1265">
        <v>105</v>
      </c>
      <c r="J328" s="1264">
        <f t="shared" si="57"/>
        <v>0</v>
      </c>
      <c r="K328" s="1273">
        <f t="shared" si="60"/>
        <v>0</v>
      </c>
      <c r="L328" s="1489"/>
    </row>
    <row r="329" spans="1:13" s="1199" customFormat="1" ht="24" customHeight="1">
      <c r="A329" s="1331"/>
      <c r="B329" s="2174" t="s">
        <v>1329</v>
      </c>
      <c r="C329" s="1275"/>
      <c r="D329" s="1275"/>
      <c r="E329" s="1489">
        <v>2750</v>
      </c>
      <c r="F329" s="1358" t="s">
        <v>226</v>
      </c>
      <c r="G329" s="2176">
        <v>1679</v>
      </c>
      <c r="H329" s="1264">
        <f t="shared" si="56"/>
        <v>4617250</v>
      </c>
      <c r="I329" s="1265">
        <v>115</v>
      </c>
      <c r="J329" s="1264">
        <f t="shared" si="57"/>
        <v>316250</v>
      </c>
      <c r="K329" s="1273">
        <f t="shared" si="60"/>
        <v>4933500</v>
      </c>
      <c r="L329" s="1489"/>
    </row>
    <row r="330" spans="1:13" s="1199" customFormat="1" ht="24" customHeight="1">
      <c r="A330" s="1331"/>
      <c r="B330" s="2174" t="s">
        <v>1103</v>
      </c>
      <c r="C330" s="1202"/>
      <c r="D330" s="1202"/>
      <c r="E330" s="1270">
        <v>1</v>
      </c>
      <c r="F330" s="1358" t="s">
        <v>1104</v>
      </c>
      <c r="G330" s="2176">
        <f>ROUND(SUM(H290:H329)*5%,)</f>
        <v>1255239</v>
      </c>
      <c r="H330" s="1264">
        <f t="shared" si="56"/>
        <v>1255239</v>
      </c>
      <c r="I330" s="2177">
        <f>ROUND(G330*0.3,)</f>
        <v>376572</v>
      </c>
      <c r="J330" s="1264">
        <f t="shared" si="57"/>
        <v>376572</v>
      </c>
      <c r="K330" s="1273">
        <f>H330+J330</f>
        <v>1631811</v>
      </c>
      <c r="L330" s="1269"/>
    </row>
    <row r="331" spans="1:13" s="1199" customFormat="1" ht="24" customHeight="1">
      <c r="A331" s="1243"/>
      <c r="B331" s="2257" t="str">
        <f>"รวมราคารายการที่ "&amp;A288</f>
        <v>รวมราคารายการที่ 3.8</v>
      </c>
      <c r="C331" s="2258"/>
      <c r="D331" s="2259"/>
      <c r="E331" s="1244"/>
      <c r="F331" s="1245"/>
      <c r="G331" s="1246"/>
      <c r="H331" s="1247">
        <f>SUM(H288:H330)</f>
        <v>26360019</v>
      </c>
      <c r="I331" s="1246"/>
      <c r="J331" s="1247">
        <f>SUM(J288:J330)</f>
        <v>3794572</v>
      </c>
      <c r="K331" s="1247">
        <f>SUM(K288:K330)</f>
        <v>30154591</v>
      </c>
      <c r="L331" s="1245"/>
      <c r="M331" s="1602"/>
    </row>
    <row r="332" spans="1:13" s="1199" customFormat="1" ht="24" customHeight="1">
      <c r="A332" s="1381" t="s">
        <v>1311</v>
      </c>
      <c r="B332" s="1292" t="s">
        <v>1333</v>
      </c>
      <c r="C332" s="1235"/>
      <c r="D332" s="1235"/>
      <c r="E332" s="1397"/>
      <c r="F332" s="1398"/>
      <c r="G332" s="1399"/>
      <c r="H332" s="1400"/>
      <c r="I332" s="1401"/>
      <c r="J332" s="1402"/>
      <c r="K332" s="1402"/>
      <c r="L332" s="1403"/>
    </row>
    <row r="333" spans="1:13" s="1199" customFormat="1" ht="24" customHeight="1">
      <c r="A333" s="1331" t="s">
        <v>1313</v>
      </c>
      <c r="B333" s="2174" t="s">
        <v>1335</v>
      </c>
      <c r="C333" s="1202"/>
      <c r="D333" s="1202"/>
      <c r="E333" s="1387"/>
      <c r="F333" s="1384"/>
      <c r="G333" s="2176"/>
      <c r="H333" s="1388"/>
      <c r="I333" s="2177"/>
      <c r="J333" s="1385"/>
      <c r="K333" s="1385"/>
      <c r="L333" s="1389"/>
    </row>
    <row r="334" spans="1:13" s="1199" customFormat="1" ht="24" customHeight="1">
      <c r="A334" s="1331" t="s">
        <v>2960</v>
      </c>
      <c r="B334" s="2174" t="s">
        <v>1336</v>
      </c>
      <c r="C334" s="1202"/>
      <c r="D334" s="1202"/>
      <c r="E334" s="1387"/>
      <c r="F334" s="1384"/>
      <c r="G334" s="2176"/>
      <c r="H334" s="1388"/>
      <c r="I334" s="2177"/>
      <c r="J334" s="1385"/>
      <c r="K334" s="1385"/>
      <c r="L334" s="1389"/>
    </row>
    <row r="335" spans="1:13" s="1199" customFormat="1" ht="24" customHeight="1">
      <c r="A335" s="1331"/>
      <c r="B335" s="2174" t="s">
        <v>1337</v>
      </c>
      <c r="C335" s="1202"/>
      <c r="D335" s="1202"/>
      <c r="E335" s="1270">
        <v>600</v>
      </c>
      <c r="F335" s="1358" t="s">
        <v>226</v>
      </c>
      <c r="G335" s="2176">
        <v>101</v>
      </c>
      <c r="H335" s="1264">
        <f t="shared" ref="H335:H346" si="61">ROUND(E335*G335,)</f>
        <v>60600</v>
      </c>
      <c r="I335" s="2177">
        <v>32</v>
      </c>
      <c r="J335" s="1264">
        <f t="shared" ref="J335:J346" si="62">ROUND(E335*I335,)</f>
        <v>19200</v>
      </c>
      <c r="K335" s="1273">
        <f t="shared" ref="K335:K342" si="63">H335+J335</f>
        <v>79800</v>
      </c>
      <c r="L335" s="2000" t="s">
        <v>2667</v>
      </c>
    </row>
    <row r="336" spans="1:13" s="1199" customFormat="1" ht="24" customHeight="1">
      <c r="A336" s="1331"/>
      <c r="B336" s="2174" t="s">
        <v>1338</v>
      </c>
      <c r="C336" s="1202"/>
      <c r="D336" s="1202"/>
      <c r="E336" s="1270">
        <v>2900</v>
      </c>
      <c r="F336" s="1358" t="s">
        <v>226</v>
      </c>
      <c r="G336" s="2176">
        <v>131</v>
      </c>
      <c r="H336" s="1264">
        <f t="shared" si="61"/>
        <v>379900</v>
      </c>
      <c r="I336" s="2177">
        <v>38</v>
      </c>
      <c r="J336" s="1264">
        <f t="shared" si="62"/>
        <v>110200</v>
      </c>
      <c r="K336" s="1273">
        <f t="shared" si="63"/>
        <v>490100</v>
      </c>
      <c r="L336" s="2000" t="s">
        <v>2667</v>
      </c>
    </row>
    <row r="337" spans="1:12" s="1199" customFormat="1" ht="24" customHeight="1">
      <c r="A337" s="1331"/>
      <c r="B337" s="2174" t="s">
        <v>1339</v>
      </c>
      <c r="C337" s="1202"/>
      <c r="D337" s="1202"/>
      <c r="E337" s="1270">
        <v>650</v>
      </c>
      <c r="F337" s="1358" t="s">
        <v>226</v>
      </c>
      <c r="G337" s="2176">
        <v>160</v>
      </c>
      <c r="H337" s="1264">
        <f t="shared" si="61"/>
        <v>104000</v>
      </c>
      <c r="I337" s="2177">
        <v>42</v>
      </c>
      <c r="J337" s="1264">
        <f t="shared" si="62"/>
        <v>27300</v>
      </c>
      <c r="K337" s="1273">
        <f t="shared" si="63"/>
        <v>131300</v>
      </c>
      <c r="L337" s="2000" t="s">
        <v>2667</v>
      </c>
    </row>
    <row r="338" spans="1:12" s="1199" customFormat="1" ht="24" customHeight="1">
      <c r="A338" s="1331"/>
      <c r="B338" s="2174" t="s">
        <v>1340</v>
      </c>
      <c r="C338" s="1202"/>
      <c r="D338" s="1202"/>
      <c r="E338" s="1270">
        <v>3765</v>
      </c>
      <c r="F338" s="1358" t="s">
        <v>226</v>
      </c>
      <c r="G338" s="2176">
        <v>219</v>
      </c>
      <c r="H338" s="1264">
        <f t="shared" si="61"/>
        <v>824535</v>
      </c>
      <c r="I338" s="2177">
        <v>48</v>
      </c>
      <c r="J338" s="1264">
        <f t="shared" si="62"/>
        <v>180720</v>
      </c>
      <c r="K338" s="1273">
        <f t="shared" si="63"/>
        <v>1005255</v>
      </c>
      <c r="L338" s="2000" t="s">
        <v>2667</v>
      </c>
    </row>
    <row r="339" spans="1:12" s="1199" customFormat="1" ht="24" customHeight="1">
      <c r="A339" s="1331"/>
      <c r="B339" s="2174" t="s">
        <v>1341</v>
      </c>
      <c r="C339" s="1202"/>
      <c r="D339" s="1202"/>
      <c r="E339" s="1270">
        <v>4325</v>
      </c>
      <c r="F339" s="1358" t="s">
        <v>226</v>
      </c>
      <c r="G339" s="2176">
        <v>352</v>
      </c>
      <c r="H339" s="1264">
        <f t="shared" si="61"/>
        <v>1522400</v>
      </c>
      <c r="I339" s="2177">
        <v>55</v>
      </c>
      <c r="J339" s="1264">
        <f t="shared" si="62"/>
        <v>237875</v>
      </c>
      <c r="K339" s="1273">
        <f t="shared" si="63"/>
        <v>1760275</v>
      </c>
      <c r="L339" s="1269"/>
    </row>
    <row r="340" spans="1:12" s="1199" customFormat="1" ht="24" customHeight="1">
      <c r="A340" s="1331"/>
      <c r="B340" s="2174" t="s">
        <v>1342</v>
      </c>
      <c r="C340" s="1202"/>
      <c r="D340" s="1202"/>
      <c r="E340" s="1270">
        <v>1100</v>
      </c>
      <c r="F340" s="1358" t="s">
        <v>226</v>
      </c>
      <c r="G340" s="2176">
        <v>434</v>
      </c>
      <c r="H340" s="1264">
        <f t="shared" si="61"/>
        <v>477400</v>
      </c>
      <c r="I340" s="2177">
        <v>65</v>
      </c>
      <c r="J340" s="1264">
        <f t="shared" si="62"/>
        <v>71500</v>
      </c>
      <c r="K340" s="1273">
        <f t="shared" si="63"/>
        <v>548900</v>
      </c>
      <c r="L340" s="1269"/>
    </row>
    <row r="341" spans="1:12" s="1199" customFormat="1" ht="24" customHeight="1">
      <c r="A341" s="1331"/>
      <c r="B341" s="2174" t="s">
        <v>1111</v>
      </c>
      <c r="C341" s="1202"/>
      <c r="D341" s="1202"/>
      <c r="E341" s="1270">
        <v>1000</v>
      </c>
      <c r="F341" s="1358" t="s">
        <v>226</v>
      </c>
      <c r="G341" s="2176">
        <v>572</v>
      </c>
      <c r="H341" s="1264">
        <f t="shared" si="61"/>
        <v>572000</v>
      </c>
      <c r="I341" s="2177">
        <v>85</v>
      </c>
      <c r="J341" s="1264">
        <f t="shared" si="62"/>
        <v>85000</v>
      </c>
      <c r="K341" s="1273">
        <f t="shared" si="63"/>
        <v>657000</v>
      </c>
      <c r="L341" s="1269"/>
    </row>
    <row r="342" spans="1:12" s="1199" customFormat="1" ht="24" customHeight="1">
      <c r="A342" s="1331"/>
      <c r="B342" s="2174" t="s">
        <v>1108</v>
      </c>
      <c r="C342" s="1202"/>
      <c r="D342" s="1202"/>
      <c r="E342" s="1404">
        <v>1</v>
      </c>
      <c r="F342" s="1384" t="s">
        <v>1104</v>
      </c>
      <c r="G342" s="2176">
        <f>ROUND(SUM(H335:H341)*15%,0)</f>
        <v>591125</v>
      </c>
      <c r="H342" s="1264">
        <f t="shared" si="61"/>
        <v>591125</v>
      </c>
      <c r="I342" s="2177">
        <f>ROUND(G342*0.3,)</f>
        <v>177338</v>
      </c>
      <c r="J342" s="1264">
        <f t="shared" si="62"/>
        <v>177338</v>
      </c>
      <c r="K342" s="1273">
        <f t="shared" si="63"/>
        <v>768463</v>
      </c>
      <c r="L342" s="1389"/>
    </row>
    <row r="343" spans="1:12" s="1199" customFormat="1" ht="24" customHeight="1">
      <c r="A343" s="1331" t="s">
        <v>2961</v>
      </c>
      <c r="B343" s="2174" t="s">
        <v>1343</v>
      </c>
      <c r="C343" s="1202"/>
      <c r="D343" s="1202"/>
      <c r="E343" s="1404"/>
      <c r="F343" s="1384"/>
      <c r="G343" s="2176"/>
      <c r="H343" s="1264">
        <f t="shared" si="61"/>
        <v>0</v>
      </c>
      <c r="I343" s="2177"/>
      <c r="J343" s="1264">
        <f t="shared" si="62"/>
        <v>0</v>
      </c>
      <c r="K343" s="1385"/>
      <c r="L343" s="1389"/>
    </row>
    <row r="344" spans="1:12" s="1199" customFormat="1" ht="24" customHeight="1">
      <c r="A344" s="1331"/>
      <c r="B344" s="2174" t="s">
        <v>1344</v>
      </c>
      <c r="C344" s="1202"/>
      <c r="D344" s="1202"/>
      <c r="E344" s="1270">
        <v>1500</v>
      </c>
      <c r="F344" s="1358" t="s">
        <v>226</v>
      </c>
      <c r="G344" s="2176">
        <v>316</v>
      </c>
      <c r="H344" s="1264">
        <f t="shared" si="61"/>
        <v>474000</v>
      </c>
      <c r="I344" s="2177">
        <v>50</v>
      </c>
      <c r="J344" s="1264">
        <f t="shared" si="62"/>
        <v>75000</v>
      </c>
      <c r="K344" s="1273">
        <f>H344+J344</f>
        <v>549000</v>
      </c>
      <c r="L344" s="1269"/>
    </row>
    <row r="345" spans="1:12" s="1199" customFormat="1" ht="24" customHeight="1">
      <c r="A345" s="1331"/>
      <c r="B345" s="2174" t="s">
        <v>1345</v>
      </c>
      <c r="C345" s="1202"/>
      <c r="D345" s="1202"/>
      <c r="E345" s="1270">
        <v>3000</v>
      </c>
      <c r="F345" s="1358" t="s">
        <v>226</v>
      </c>
      <c r="G345" s="2176">
        <v>666</v>
      </c>
      <c r="H345" s="1264">
        <f t="shared" si="61"/>
        <v>1998000</v>
      </c>
      <c r="I345" s="2177">
        <v>75</v>
      </c>
      <c r="J345" s="1264">
        <f t="shared" si="62"/>
        <v>225000</v>
      </c>
      <c r="K345" s="1273">
        <f>H345+J345</f>
        <v>2223000</v>
      </c>
      <c r="L345" s="1269"/>
    </row>
    <row r="346" spans="1:12" s="1199" customFormat="1" ht="24" customHeight="1">
      <c r="A346" s="1331"/>
      <c r="B346" s="2174" t="s">
        <v>1108</v>
      </c>
      <c r="C346" s="1202"/>
      <c r="D346" s="1202"/>
      <c r="E346" s="1404">
        <v>1</v>
      </c>
      <c r="F346" s="1384" t="s">
        <v>1104</v>
      </c>
      <c r="G346" s="2176">
        <f>SUM(H344:H345)*15%</f>
        <v>370800</v>
      </c>
      <c r="H346" s="1264">
        <f t="shared" si="61"/>
        <v>370800</v>
      </c>
      <c r="I346" s="2177">
        <f>G346*0.3</f>
        <v>111240</v>
      </c>
      <c r="J346" s="1264">
        <f t="shared" si="62"/>
        <v>111240</v>
      </c>
      <c r="K346" s="1273">
        <f>H346+J346</f>
        <v>482040</v>
      </c>
      <c r="L346" s="1389"/>
    </row>
    <row r="347" spans="1:12" s="1199" customFormat="1" ht="24" customHeight="1">
      <c r="A347" s="1331" t="s">
        <v>2962</v>
      </c>
      <c r="B347" s="2174" t="s">
        <v>1346</v>
      </c>
      <c r="C347" s="1202"/>
      <c r="D347" s="1202"/>
      <c r="E347" s="1404"/>
      <c r="F347" s="1384"/>
      <c r="G347" s="2176"/>
      <c r="H347" s="1264"/>
      <c r="I347" s="2177"/>
      <c r="J347" s="1273"/>
      <c r="K347" s="1273"/>
      <c r="L347" s="1389"/>
    </row>
    <row r="348" spans="1:12" s="1199" customFormat="1" ht="24" customHeight="1">
      <c r="A348" s="1331"/>
      <c r="B348" s="2174" t="s">
        <v>1340</v>
      </c>
      <c r="C348" s="1202"/>
      <c r="D348" s="1202"/>
      <c r="E348" s="1270">
        <v>50</v>
      </c>
      <c r="F348" s="1358" t="s">
        <v>226</v>
      </c>
      <c r="G348" s="2176">
        <v>334</v>
      </c>
      <c r="H348" s="1264">
        <f>ROUND(E348*G348,)</f>
        <v>16700</v>
      </c>
      <c r="I348" s="2177">
        <v>20</v>
      </c>
      <c r="J348" s="1264">
        <f>ROUND(E348*I348,)</f>
        <v>1000</v>
      </c>
      <c r="K348" s="1273">
        <f>H348+J348</f>
        <v>17700</v>
      </c>
      <c r="L348" s="1389"/>
    </row>
    <row r="349" spans="1:12" s="1199" customFormat="1" ht="24" customHeight="1">
      <c r="A349" s="1331"/>
      <c r="B349" s="2174" t="s">
        <v>1341</v>
      </c>
      <c r="C349" s="1202"/>
      <c r="D349" s="1202"/>
      <c r="E349" s="1270">
        <v>170</v>
      </c>
      <c r="F349" s="1358" t="s">
        <v>226</v>
      </c>
      <c r="G349" s="2176">
        <v>667</v>
      </c>
      <c r="H349" s="1264">
        <f>ROUND(E349*G349,)</f>
        <v>113390</v>
      </c>
      <c r="I349" s="2177">
        <v>22</v>
      </c>
      <c r="J349" s="1264">
        <f>ROUND(E349*I349,)</f>
        <v>3740</v>
      </c>
      <c r="K349" s="1273">
        <f>H349+J349</f>
        <v>117130</v>
      </c>
      <c r="L349" s="1389"/>
    </row>
    <row r="350" spans="1:12" s="1199" customFormat="1" ht="24" customHeight="1">
      <c r="A350" s="1331"/>
      <c r="B350" s="2174" t="s">
        <v>1342</v>
      </c>
      <c r="C350" s="1202"/>
      <c r="D350" s="1202"/>
      <c r="E350" s="1270">
        <v>250</v>
      </c>
      <c r="F350" s="1358" t="s">
        <v>226</v>
      </c>
      <c r="G350" s="2176">
        <v>1000</v>
      </c>
      <c r="H350" s="1264">
        <f>ROUND(E350*G350,)</f>
        <v>250000</v>
      </c>
      <c r="I350" s="2177">
        <v>24</v>
      </c>
      <c r="J350" s="1264">
        <f>ROUND(E350*I350,)</f>
        <v>6000</v>
      </c>
      <c r="K350" s="1273">
        <f>H350+J350</f>
        <v>256000</v>
      </c>
      <c r="L350" s="1389"/>
    </row>
    <row r="351" spans="1:12" s="1199" customFormat="1" ht="24" customHeight="1">
      <c r="A351" s="1331"/>
      <c r="B351" s="2174" t="s">
        <v>1111</v>
      </c>
      <c r="C351" s="1202"/>
      <c r="D351" s="1202"/>
      <c r="E351" s="1270">
        <v>300</v>
      </c>
      <c r="F351" s="1358" t="s">
        <v>226</v>
      </c>
      <c r="G351" s="2176">
        <v>1334</v>
      </c>
      <c r="H351" s="1264">
        <f>ROUND(E351*G351,)</f>
        <v>400200</v>
      </c>
      <c r="I351" s="2177">
        <v>25</v>
      </c>
      <c r="J351" s="1264">
        <f>ROUND(E351*I351,)</f>
        <v>7500</v>
      </c>
      <c r="K351" s="1273">
        <f>H351+J351</f>
        <v>407700</v>
      </c>
      <c r="L351" s="1389"/>
    </row>
    <row r="352" spans="1:12" s="1199" customFormat="1" ht="24" customHeight="1">
      <c r="A352" s="1331"/>
      <c r="B352" s="2174" t="s">
        <v>1117</v>
      </c>
      <c r="C352" s="1202"/>
      <c r="D352" s="1202"/>
      <c r="E352" s="1387"/>
      <c r="F352" s="1384"/>
      <c r="G352" s="2176"/>
      <c r="H352" s="1388"/>
      <c r="I352" s="2177"/>
      <c r="J352" s="1385"/>
      <c r="K352" s="1385"/>
      <c r="L352" s="1389"/>
    </row>
    <row r="353" spans="1:13" s="1199" customFormat="1" ht="24" customHeight="1">
      <c r="A353" s="1331"/>
      <c r="B353" s="2174"/>
      <c r="C353" s="1202"/>
      <c r="D353" s="1202"/>
      <c r="E353" s="1387"/>
      <c r="F353" s="1384"/>
      <c r="G353" s="2176"/>
      <c r="H353" s="1388"/>
      <c r="I353" s="2177"/>
      <c r="J353" s="1385"/>
      <c r="K353" s="1385"/>
      <c r="L353" s="1389"/>
    </row>
    <row r="354" spans="1:13" s="1199" customFormat="1" ht="24" customHeight="1">
      <c r="A354" s="1331"/>
      <c r="B354" s="2174" t="s">
        <v>1118</v>
      </c>
      <c r="C354" s="1202"/>
      <c r="D354" s="1202"/>
      <c r="E354" s="1387"/>
      <c r="F354" s="1384"/>
      <c r="G354" s="2176"/>
      <c r="H354" s="1388"/>
      <c r="I354" s="2177"/>
      <c r="J354" s="1385"/>
      <c r="K354" s="1385"/>
      <c r="L354" s="1389"/>
    </row>
    <row r="355" spans="1:13" s="1199" customFormat="1" ht="24" customHeight="1">
      <c r="A355" s="1331"/>
      <c r="B355" s="2174" t="s">
        <v>1118</v>
      </c>
      <c r="C355" s="1202"/>
      <c r="D355" s="1202"/>
      <c r="E355" s="1387"/>
      <c r="F355" s="1384"/>
      <c r="G355" s="2176"/>
      <c r="H355" s="1388"/>
      <c r="I355" s="2177"/>
      <c r="J355" s="1385"/>
      <c r="K355" s="1385"/>
      <c r="L355" s="1389"/>
    </row>
    <row r="356" spans="1:13" s="1199" customFormat="1" ht="24" customHeight="1">
      <c r="A356" s="1243"/>
      <c r="B356" s="2257" t="str">
        <f>"รวมราคารายการที่ "&amp;A332</f>
        <v>รวมราคารายการที่ 3.9</v>
      </c>
      <c r="C356" s="2258"/>
      <c r="D356" s="2259"/>
      <c r="E356" s="1244"/>
      <c r="F356" s="1245"/>
      <c r="G356" s="1246"/>
      <c r="H356" s="1247">
        <f>SUM(H333:H355)</f>
        <v>8155050</v>
      </c>
      <c r="I356" s="1246"/>
      <c r="J356" s="1247">
        <f t="shared" ref="J356:K356" si="64">SUM(J333:J355)</f>
        <v>1338613</v>
      </c>
      <c r="K356" s="1247">
        <f t="shared" si="64"/>
        <v>9493663</v>
      </c>
      <c r="L356" s="1245"/>
      <c r="M356" s="1602"/>
    </row>
    <row r="357" spans="1:13" s="1199" customFormat="1" ht="24" customHeight="1">
      <c r="A357" s="2146" t="s">
        <v>1332</v>
      </c>
      <c r="B357" s="1292" t="s">
        <v>1347</v>
      </c>
      <c r="C357" s="1235"/>
      <c r="D357" s="1235"/>
      <c r="E357" s="1397"/>
      <c r="F357" s="1194"/>
      <c r="G357" s="1399"/>
      <c r="H357" s="1298"/>
      <c r="I357" s="1299"/>
      <c r="J357" s="1298"/>
      <c r="K357" s="1382"/>
      <c r="L357" s="1403"/>
      <c r="M357" s="1602"/>
    </row>
    <row r="358" spans="1:13" s="1199" customFormat="1" ht="24" customHeight="1">
      <c r="A358" s="1331" t="s">
        <v>1334</v>
      </c>
      <c r="B358" s="2174" t="s">
        <v>2668</v>
      </c>
      <c r="C358" s="1202"/>
      <c r="D358" s="1202"/>
      <c r="E358" s="1387">
        <v>1</v>
      </c>
      <c r="F358" s="1207" t="s">
        <v>363</v>
      </c>
      <c r="G358" s="2176">
        <v>50000</v>
      </c>
      <c r="H358" s="1264">
        <f t="shared" ref="H358" si="65">ROUND(E358*G358,)</f>
        <v>50000</v>
      </c>
      <c r="I358" s="2177">
        <f t="shared" ref="I358" si="66">G358*0.05</f>
        <v>2500</v>
      </c>
      <c r="J358" s="1264">
        <f t="shared" ref="J358" si="67">ROUND(E358*I358,)</f>
        <v>2500</v>
      </c>
      <c r="K358" s="1273">
        <f t="shared" ref="K358" si="68">H358+J358</f>
        <v>52500</v>
      </c>
      <c r="L358" s="1389"/>
    </row>
    <row r="359" spans="1:13" s="1199" customFormat="1" ht="24" customHeight="1">
      <c r="A359" s="1331"/>
      <c r="B359" s="2174" t="s">
        <v>2669</v>
      </c>
      <c r="C359" s="1202"/>
      <c r="D359" s="1202"/>
      <c r="E359" s="1387"/>
      <c r="F359" s="1207"/>
      <c r="G359" s="2176" t="s">
        <v>1683</v>
      </c>
      <c r="H359" s="1264"/>
      <c r="I359" s="1265"/>
      <c r="J359" s="1264"/>
      <c r="K359" s="1273"/>
      <c r="L359" s="1389"/>
    </row>
    <row r="360" spans="1:13" s="1199" customFormat="1" ht="24" customHeight="1">
      <c r="A360" s="1331"/>
      <c r="B360" s="2174" t="s">
        <v>2670</v>
      </c>
      <c r="C360" s="1202"/>
      <c r="D360" s="1202"/>
      <c r="E360" s="1387"/>
      <c r="F360" s="1207"/>
      <c r="G360" s="2176" t="s">
        <v>1683</v>
      </c>
      <c r="H360" s="1264"/>
      <c r="I360" s="1265"/>
      <c r="J360" s="1264"/>
      <c r="K360" s="1273"/>
      <c r="L360" s="1389"/>
    </row>
    <row r="361" spans="1:13" s="1199" customFormat="1" ht="24" customHeight="1">
      <c r="A361" s="1331"/>
      <c r="B361" s="2174" t="s">
        <v>2671</v>
      </c>
      <c r="C361" s="1202"/>
      <c r="D361" s="1202"/>
      <c r="E361" s="1387"/>
      <c r="F361" s="1207"/>
      <c r="G361" s="2176" t="s">
        <v>1683</v>
      </c>
      <c r="H361" s="1264"/>
      <c r="I361" s="1265"/>
      <c r="J361" s="1264"/>
      <c r="K361" s="1273"/>
      <c r="L361" s="1389"/>
    </row>
    <row r="362" spans="1:13" s="1199" customFormat="1" ht="24" customHeight="1">
      <c r="A362" s="1331"/>
      <c r="B362" s="2174" t="s">
        <v>2672</v>
      </c>
      <c r="C362" s="1202"/>
      <c r="D362" s="1202"/>
      <c r="E362" s="1387"/>
      <c r="F362" s="1207"/>
      <c r="G362" s="2176" t="s">
        <v>1683</v>
      </c>
      <c r="H362" s="1264"/>
      <c r="I362" s="1265"/>
      <c r="J362" s="1264"/>
      <c r="K362" s="1273"/>
      <c r="L362" s="1389"/>
    </row>
    <row r="363" spans="1:13" s="1199" customFormat="1" ht="24" customHeight="1">
      <c r="A363" s="1331"/>
      <c r="B363" s="2174" t="s">
        <v>2673</v>
      </c>
      <c r="C363" s="1202"/>
      <c r="D363" s="1202"/>
      <c r="E363" s="1387"/>
      <c r="F363" s="1207"/>
      <c r="G363" s="2176" t="s">
        <v>1683</v>
      </c>
      <c r="H363" s="1264"/>
      <c r="I363" s="1265"/>
      <c r="J363" s="1264"/>
      <c r="K363" s="1273"/>
      <c r="L363" s="1389"/>
    </row>
    <row r="364" spans="1:13" s="1199" customFormat="1" ht="24" customHeight="1">
      <c r="A364" s="1331"/>
      <c r="B364" s="2174" t="s">
        <v>2674</v>
      </c>
      <c r="C364" s="1202"/>
      <c r="D364" s="1202"/>
      <c r="E364" s="1387"/>
      <c r="F364" s="1207"/>
      <c r="G364" s="2176" t="s">
        <v>1683</v>
      </c>
      <c r="H364" s="1264"/>
      <c r="I364" s="1265"/>
      <c r="J364" s="1264"/>
      <c r="K364" s="1273"/>
      <c r="L364" s="1389"/>
    </row>
    <row r="365" spans="1:13" s="1199" customFormat="1" ht="24" customHeight="1">
      <c r="A365" s="1331"/>
      <c r="B365" s="2174" t="s">
        <v>2675</v>
      </c>
      <c r="C365" s="1202"/>
      <c r="D365" s="1202"/>
      <c r="E365" s="1387"/>
      <c r="F365" s="1207"/>
      <c r="G365" s="2176" t="s">
        <v>1683</v>
      </c>
      <c r="H365" s="1264"/>
      <c r="I365" s="1265"/>
      <c r="J365" s="1264"/>
      <c r="K365" s="1273"/>
      <c r="L365" s="1389"/>
    </row>
    <row r="366" spans="1:13" s="1199" customFormat="1" ht="24" customHeight="1">
      <c r="A366" s="2064" t="s">
        <v>1556</v>
      </c>
      <c r="B366" s="2174" t="s">
        <v>2676</v>
      </c>
      <c r="C366" s="1235"/>
      <c r="D366" s="1235"/>
      <c r="E366" s="1397">
        <v>1</v>
      </c>
      <c r="F366" s="1408" t="s">
        <v>363</v>
      </c>
      <c r="G366" s="1399">
        <v>45000</v>
      </c>
      <c r="H366" s="1400">
        <f>G366*E366</f>
        <v>45000</v>
      </c>
      <c r="I366" s="1401">
        <f>G366*0.1</f>
        <v>4500</v>
      </c>
      <c r="J366" s="1402">
        <f>I366*E366</f>
        <v>4500</v>
      </c>
      <c r="K366" s="1405">
        <f t="shared" ref="K366" si="69">H366+J366</f>
        <v>49500</v>
      </c>
      <c r="L366" s="1403"/>
    </row>
    <row r="367" spans="1:13" s="1199" customFormat="1" ht="24" customHeight="1">
      <c r="A367" s="1331" t="s">
        <v>1566</v>
      </c>
      <c r="B367" s="2174" t="s">
        <v>1397</v>
      </c>
      <c r="C367" s="1235"/>
      <c r="D367" s="1235"/>
      <c r="E367" s="1397"/>
      <c r="F367" s="1408"/>
      <c r="G367" s="1399"/>
      <c r="H367" s="1400"/>
      <c r="I367" s="1401"/>
      <c r="J367" s="1402"/>
      <c r="K367" s="1405"/>
      <c r="L367" s="1403"/>
    </row>
    <row r="368" spans="1:13" s="1199" customFormat="1" ht="24" customHeight="1">
      <c r="A368" s="2064"/>
      <c r="B368" s="2174" t="s">
        <v>1398</v>
      </c>
      <c r="C368" s="1202"/>
      <c r="D368" s="1202"/>
      <c r="E368" s="1387">
        <v>500</v>
      </c>
      <c r="F368" s="1358" t="s">
        <v>226</v>
      </c>
      <c r="G368" s="2176">
        <v>68</v>
      </c>
      <c r="H368" s="1264">
        <f>ROUND(E368*G368,)</f>
        <v>34000</v>
      </c>
      <c r="I368" s="2177">
        <v>12</v>
      </c>
      <c r="J368" s="1264">
        <f t="shared" ref="J368" si="70">ROUND(E368*I368,)</f>
        <v>6000</v>
      </c>
      <c r="K368" s="1273">
        <f t="shared" ref="K368" si="71">H368+J368</f>
        <v>40000</v>
      </c>
      <c r="L368" s="1403"/>
    </row>
    <row r="369" spans="1:12" s="1199" customFormat="1" ht="24" customHeight="1">
      <c r="A369" s="1331"/>
      <c r="B369" s="2174" t="s">
        <v>1103</v>
      </c>
      <c r="C369" s="1202"/>
      <c r="D369" s="1202"/>
      <c r="E369" s="1404">
        <v>1</v>
      </c>
      <c r="F369" s="1384" t="s">
        <v>1104</v>
      </c>
      <c r="G369" s="2176">
        <f>ROUND(SUM(H368)*5%,)</f>
        <v>1700</v>
      </c>
      <c r="H369" s="1264">
        <f>ROUND(E369*G369,)</f>
        <v>1700</v>
      </c>
      <c r="I369" s="2177">
        <f>ROUND(G369*0.3,)</f>
        <v>510</v>
      </c>
      <c r="J369" s="1264">
        <f>ROUND(E369*I369,)</f>
        <v>510</v>
      </c>
      <c r="K369" s="1273">
        <f>H369+J369</f>
        <v>2210</v>
      </c>
      <c r="L369" s="1389"/>
    </row>
    <row r="370" spans="1:12" s="1199" customFormat="1" ht="24" customHeight="1">
      <c r="A370" s="1331"/>
      <c r="B370" s="2174"/>
      <c r="C370" s="1202"/>
      <c r="D370" s="1202"/>
      <c r="E370" s="1404"/>
      <c r="F370" s="1407"/>
      <c r="G370" s="2176"/>
      <c r="H370" s="1264"/>
      <c r="I370" s="2177"/>
      <c r="J370" s="1264"/>
      <c r="K370" s="1273"/>
      <c r="L370" s="1389"/>
    </row>
    <row r="371" spans="1:12" s="1199" customFormat="1" ht="24" customHeight="1">
      <c r="A371" s="1331" t="s">
        <v>1615</v>
      </c>
      <c r="B371" s="2174" t="s">
        <v>1578</v>
      </c>
      <c r="C371" s="1202"/>
      <c r="D371" s="1202"/>
      <c r="E371" s="1404"/>
      <c r="F371" s="1358"/>
      <c r="G371" s="2176"/>
      <c r="H371" s="1264"/>
      <c r="I371" s="2177"/>
      <c r="J371" s="1264"/>
      <c r="K371" s="1273"/>
      <c r="L371" s="1389"/>
    </row>
    <row r="372" spans="1:12" s="1199" customFormat="1" ht="24" customHeight="1">
      <c r="A372" s="1331"/>
      <c r="B372" s="2174" t="s">
        <v>2678</v>
      </c>
      <c r="C372" s="1202"/>
      <c r="D372" s="1202"/>
      <c r="E372" s="1404">
        <v>600</v>
      </c>
      <c r="F372" s="1358" t="s">
        <v>226</v>
      </c>
      <c r="G372" s="2179">
        <v>37</v>
      </c>
      <c r="H372" s="1264">
        <f>ROUND(G372*E372,)</f>
        <v>22200</v>
      </c>
      <c r="I372" s="2177">
        <v>5</v>
      </c>
      <c r="J372" s="1264">
        <f>ROUND(E372*I372,)</f>
        <v>3000</v>
      </c>
      <c r="K372" s="1273">
        <f>H372+J372</f>
        <v>25200</v>
      </c>
      <c r="L372" s="1389"/>
    </row>
    <row r="373" spans="1:12" s="1199" customFormat="1" ht="24" customHeight="1">
      <c r="A373" s="1331"/>
      <c r="B373" s="2174" t="s">
        <v>1103</v>
      </c>
      <c r="C373" s="1202"/>
      <c r="D373" s="1202"/>
      <c r="E373" s="1404">
        <v>1</v>
      </c>
      <c r="F373" s="1384" t="s">
        <v>1104</v>
      </c>
      <c r="G373" s="2176">
        <f>ROUND(SUM(H372)*5%,0)</f>
        <v>1110</v>
      </c>
      <c r="H373" s="1264">
        <f>ROUND(E373*G373,)</f>
        <v>1110</v>
      </c>
      <c r="I373" s="2177">
        <f>ROUND(G373*0.3,0)</f>
        <v>333</v>
      </c>
      <c r="J373" s="1264">
        <f>ROUND(E373*I373,)</f>
        <v>333</v>
      </c>
      <c r="K373" s="1273">
        <f>H373+J373</f>
        <v>1443</v>
      </c>
      <c r="L373" s="1389"/>
    </row>
    <row r="374" spans="1:12" s="1199" customFormat="1" ht="24" customHeight="1">
      <c r="A374" s="1331" t="s">
        <v>1569</v>
      </c>
      <c r="B374" s="1190" t="s">
        <v>1446</v>
      </c>
      <c r="C374" s="1202"/>
      <c r="D374" s="1202"/>
      <c r="E374" s="1404"/>
      <c r="F374" s="1384"/>
      <c r="G374" s="2176"/>
      <c r="H374" s="1264">
        <f>ROUND(E374*G374,)</f>
        <v>0</v>
      </c>
      <c r="I374" s="2177"/>
      <c r="J374" s="1264">
        <f>ROUND(E374*I374,)</f>
        <v>0</v>
      </c>
      <c r="K374" s="1385"/>
      <c r="L374" s="1389"/>
    </row>
    <row r="375" spans="1:12" s="1199" customFormat="1" ht="24" customHeight="1">
      <c r="A375" s="1331"/>
      <c r="B375" s="2174" t="s">
        <v>1350</v>
      </c>
      <c r="C375" s="1202"/>
      <c r="D375" s="1202"/>
      <c r="E375" s="1404">
        <v>600</v>
      </c>
      <c r="F375" s="1358" t="s">
        <v>226</v>
      </c>
      <c r="G375" s="2176">
        <v>27</v>
      </c>
      <c r="H375" s="1264">
        <f>ROUND(E375*G375,)</f>
        <v>16200</v>
      </c>
      <c r="I375" s="2177">
        <v>22</v>
      </c>
      <c r="J375" s="1264">
        <f>ROUND(E375*I375,)</f>
        <v>13200</v>
      </c>
      <c r="K375" s="1273">
        <f>H375+J375</f>
        <v>29400</v>
      </c>
      <c r="L375" s="1389"/>
    </row>
    <row r="376" spans="1:12" s="1199" customFormat="1" ht="24" customHeight="1">
      <c r="A376" s="1331"/>
      <c r="B376" s="2174" t="s">
        <v>1108</v>
      </c>
      <c r="C376" s="1202"/>
      <c r="D376" s="1202"/>
      <c r="E376" s="1387">
        <v>1</v>
      </c>
      <c r="F376" s="1384" t="s">
        <v>1104</v>
      </c>
      <c r="G376" s="2176">
        <f>SUM(H375)*15%</f>
        <v>2430</v>
      </c>
      <c r="H376" s="1264">
        <f>ROUND(E376*G376,)</f>
        <v>2430</v>
      </c>
      <c r="I376" s="2177">
        <f>ROUND(G376*0.3,)</f>
        <v>729</v>
      </c>
      <c r="J376" s="1264">
        <f>ROUND(E376*I376,)</f>
        <v>729</v>
      </c>
      <c r="K376" s="1273">
        <f>H376+J376</f>
        <v>3159</v>
      </c>
      <c r="L376" s="1389"/>
    </row>
    <row r="377" spans="1:12" s="1199" customFormat="1" ht="24" customHeight="1">
      <c r="A377" s="1331"/>
      <c r="B377" s="2174" t="s">
        <v>1117</v>
      </c>
      <c r="C377" s="1202"/>
      <c r="D377" s="1202"/>
      <c r="E377" s="1387"/>
      <c r="F377" s="1358"/>
      <c r="G377" s="2176"/>
      <c r="H377" s="1264"/>
      <c r="I377" s="2176"/>
      <c r="J377" s="1264"/>
      <c r="K377" s="1273"/>
      <c r="L377" s="1389"/>
    </row>
    <row r="378" spans="1:12" s="1199" customFormat="1" ht="24" customHeight="1">
      <c r="A378" s="1331"/>
      <c r="B378" s="2174" t="s">
        <v>1118</v>
      </c>
      <c r="C378" s="1202"/>
      <c r="D378" s="1202"/>
      <c r="E378" s="1387"/>
      <c r="F378" s="1358"/>
      <c r="G378" s="2176"/>
      <c r="H378" s="1264"/>
      <c r="I378" s="2176"/>
      <c r="J378" s="1264"/>
      <c r="K378" s="1273"/>
      <c r="L378" s="1389"/>
    </row>
    <row r="379" spans="1:12" s="1199" customFormat="1" ht="24" customHeight="1">
      <c r="A379" s="1331"/>
      <c r="B379" s="2174" t="s">
        <v>1118</v>
      </c>
      <c r="C379" s="1202"/>
      <c r="D379" s="1202"/>
      <c r="E379" s="1387"/>
      <c r="F379" s="1358"/>
      <c r="G379" s="2176"/>
      <c r="H379" s="1264"/>
      <c r="I379" s="2176"/>
      <c r="J379" s="1264"/>
      <c r="K379" s="1273"/>
      <c r="L379" s="1389"/>
    </row>
    <row r="380" spans="1:12" s="1199" customFormat="1" ht="24" customHeight="1">
      <c r="A380" s="1359"/>
      <c r="B380" s="1190"/>
      <c r="C380" s="1225"/>
      <c r="D380" s="1225"/>
      <c r="E380" s="1390"/>
      <c r="F380" s="1350"/>
      <c r="G380" s="1392"/>
      <c r="H380" s="1281"/>
      <c r="I380" s="1392"/>
      <c r="J380" s="1281"/>
      <c r="K380" s="1405"/>
      <c r="L380" s="1396"/>
    </row>
    <row r="381" spans="1:12" s="1199" customFormat="1" ht="24" customHeight="1">
      <c r="A381" s="1243"/>
      <c r="B381" s="2257" t="str">
        <f>"รวมราคารายการที่ "&amp;A357</f>
        <v>รวมราคารายการที่ 3.10</v>
      </c>
      <c r="C381" s="2258"/>
      <c r="D381" s="2259"/>
      <c r="E381" s="1244"/>
      <c r="F381" s="1245"/>
      <c r="G381" s="1246"/>
      <c r="H381" s="1247">
        <f>SUM(H357:H380)</f>
        <v>172640</v>
      </c>
      <c r="I381" s="1246"/>
      <c r="J381" s="1247">
        <f t="shared" ref="J381:K381" si="72">SUM(J357:J380)</f>
        <v>30772</v>
      </c>
      <c r="K381" s="1247">
        <f t="shared" si="72"/>
        <v>203412</v>
      </c>
      <c r="L381" s="1245"/>
    </row>
    <row r="382" spans="1:12" s="1199" customFormat="1" ht="24" customHeight="1">
      <c r="A382" s="1381" t="s">
        <v>1570</v>
      </c>
      <c r="B382" s="1292" t="s">
        <v>1351</v>
      </c>
      <c r="C382" s="1235"/>
      <c r="D382" s="1235"/>
      <c r="E382" s="1397"/>
      <c r="F382" s="1194"/>
      <c r="G382" s="1399"/>
      <c r="H382" s="1298"/>
      <c r="I382" s="1299"/>
      <c r="J382" s="1298"/>
      <c r="K382" s="1382"/>
      <c r="L382" s="1403"/>
    </row>
    <row r="383" spans="1:12" s="1199" customFormat="1" ht="24" customHeight="1">
      <c r="A383" s="1331" t="s">
        <v>1348</v>
      </c>
      <c r="B383" s="2174" t="s">
        <v>1353</v>
      </c>
      <c r="C383" s="1202"/>
      <c r="D383" s="1202"/>
      <c r="E383" s="1404">
        <v>30</v>
      </c>
      <c r="F383" s="1207" t="s">
        <v>363</v>
      </c>
      <c r="G383" s="2176">
        <v>2400</v>
      </c>
      <c r="H383" s="1264">
        <f t="shared" ref="H383:H399" si="73">ROUND(E383*G383,)</f>
        <v>72000</v>
      </c>
      <c r="I383" s="2177">
        <f>G383*0.3</f>
        <v>720</v>
      </c>
      <c r="J383" s="1264">
        <f t="shared" ref="J383:J399" si="74">ROUND(E383*I383,)</f>
        <v>21600</v>
      </c>
      <c r="K383" s="1273">
        <f>H383+J383</f>
        <v>93600</v>
      </c>
      <c r="L383" s="1389"/>
    </row>
    <row r="384" spans="1:12" s="1199" customFormat="1" ht="24" customHeight="1">
      <c r="A384" s="1331" t="s">
        <v>1349</v>
      </c>
      <c r="B384" s="2174" t="s">
        <v>1355</v>
      </c>
      <c r="C384" s="1202"/>
      <c r="D384" s="1202"/>
      <c r="E384" s="1404"/>
      <c r="F384" s="1207"/>
      <c r="G384" s="2176"/>
      <c r="H384" s="1264">
        <f t="shared" si="73"/>
        <v>0</v>
      </c>
      <c r="I384" s="2177"/>
      <c r="J384" s="1264">
        <f t="shared" si="74"/>
        <v>0</v>
      </c>
      <c r="K384" s="1385"/>
      <c r="L384" s="1389"/>
    </row>
    <row r="385" spans="1:12" s="1199" customFormat="1" ht="24" customHeight="1">
      <c r="A385" s="1331"/>
      <c r="B385" s="2174" t="s">
        <v>1356</v>
      </c>
      <c r="C385" s="1202"/>
      <c r="D385" s="1202"/>
      <c r="E385" s="1404">
        <v>600</v>
      </c>
      <c r="F385" s="1207" t="s">
        <v>226</v>
      </c>
      <c r="G385" s="2176">
        <v>361</v>
      </c>
      <c r="H385" s="1264">
        <f t="shared" si="73"/>
        <v>216600</v>
      </c>
      <c r="I385" s="1265">
        <v>55</v>
      </c>
      <c r="J385" s="1264">
        <f t="shared" si="74"/>
        <v>33000</v>
      </c>
      <c r="K385" s="1273">
        <f t="shared" ref="K385:K399" si="75">H385+J385</f>
        <v>249600</v>
      </c>
      <c r="L385" s="2000" t="s">
        <v>2667</v>
      </c>
    </row>
    <row r="386" spans="1:12" s="1199" customFormat="1" ht="24" customHeight="1">
      <c r="A386" s="1331" t="s">
        <v>1577</v>
      </c>
      <c r="B386" s="2174" t="s">
        <v>1358</v>
      </c>
      <c r="C386" s="1202"/>
      <c r="D386" s="1202"/>
      <c r="E386" s="1404"/>
      <c r="F386" s="1207"/>
      <c r="G386" s="2176"/>
      <c r="H386" s="1264">
        <f t="shared" si="73"/>
        <v>0</v>
      </c>
      <c r="I386" s="2177"/>
      <c r="J386" s="1264">
        <f t="shared" si="74"/>
        <v>0</v>
      </c>
      <c r="K386" s="1273">
        <f t="shared" si="75"/>
        <v>0</v>
      </c>
      <c r="L386" s="1389"/>
    </row>
    <row r="387" spans="1:12" s="1199" customFormat="1" ht="24" customHeight="1">
      <c r="A387" s="1331"/>
      <c r="B387" s="2174" t="s">
        <v>1115</v>
      </c>
      <c r="C387" s="1202"/>
      <c r="D387" s="1202"/>
      <c r="E387" s="1404">
        <v>1500</v>
      </c>
      <c r="F387" s="1207" t="s">
        <v>226</v>
      </c>
      <c r="G387" s="2176">
        <v>268</v>
      </c>
      <c r="H387" s="1264">
        <f t="shared" si="73"/>
        <v>402000</v>
      </c>
      <c r="I387" s="2177">
        <v>94</v>
      </c>
      <c r="J387" s="1264">
        <f t="shared" si="74"/>
        <v>141000</v>
      </c>
      <c r="K387" s="1273">
        <f t="shared" si="75"/>
        <v>543000</v>
      </c>
      <c r="L387" s="1389"/>
    </row>
    <row r="388" spans="1:12" s="1199" customFormat="1" ht="24" customHeight="1">
      <c r="A388" s="1406" t="s">
        <v>1359</v>
      </c>
      <c r="B388" s="2174" t="s">
        <v>1360</v>
      </c>
      <c r="C388" s="1202"/>
      <c r="D388" s="1202"/>
      <c r="E388" s="1404">
        <v>3000</v>
      </c>
      <c r="F388" s="1207" t="s">
        <v>226</v>
      </c>
      <c r="G388" s="2176">
        <v>210</v>
      </c>
      <c r="H388" s="1264">
        <f t="shared" si="73"/>
        <v>630000</v>
      </c>
      <c r="I388" s="2177">
        <v>56</v>
      </c>
      <c r="J388" s="1264">
        <f t="shared" si="74"/>
        <v>168000</v>
      </c>
      <c r="K388" s="1273">
        <f t="shared" si="75"/>
        <v>798000</v>
      </c>
      <c r="L388" s="1389"/>
    </row>
    <row r="389" spans="1:12" s="1199" customFormat="1" ht="24" customHeight="1">
      <c r="A389" s="1406" t="s">
        <v>1361</v>
      </c>
      <c r="B389" s="2174" t="s">
        <v>1362</v>
      </c>
      <c r="C389" s="1202"/>
      <c r="D389" s="1202"/>
      <c r="E389" s="1404"/>
      <c r="F389" s="1207" t="s">
        <v>226</v>
      </c>
      <c r="G389" s="2176">
        <v>250</v>
      </c>
      <c r="H389" s="1264">
        <f t="shared" si="73"/>
        <v>0</v>
      </c>
      <c r="I389" s="2177">
        <v>56</v>
      </c>
      <c r="J389" s="1264">
        <f t="shared" si="74"/>
        <v>0</v>
      </c>
      <c r="K389" s="1273">
        <f t="shared" si="75"/>
        <v>0</v>
      </c>
      <c r="L389" s="1389"/>
    </row>
    <row r="390" spans="1:12" s="1199" customFormat="1" ht="24" customHeight="1">
      <c r="A390" s="1406" t="s">
        <v>1363</v>
      </c>
      <c r="B390" s="2174" t="s">
        <v>1364</v>
      </c>
      <c r="C390" s="1202"/>
      <c r="D390" s="1202"/>
      <c r="E390" s="1404">
        <v>3600</v>
      </c>
      <c r="F390" s="1207" t="s">
        <v>226</v>
      </c>
      <c r="G390" s="2176">
        <v>150</v>
      </c>
      <c r="H390" s="1264">
        <f t="shared" si="73"/>
        <v>540000</v>
      </c>
      <c r="I390" s="2177">
        <v>56</v>
      </c>
      <c r="J390" s="1264">
        <f t="shared" si="74"/>
        <v>201600</v>
      </c>
      <c r="K390" s="1273">
        <f t="shared" si="75"/>
        <v>741600</v>
      </c>
      <c r="L390" s="1389"/>
    </row>
    <row r="391" spans="1:12" s="1199" customFormat="1" ht="24" customHeight="1">
      <c r="A391" s="1406" t="s">
        <v>2963</v>
      </c>
      <c r="B391" s="2174" t="s">
        <v>1365</v>
      </c>
      <c r="C391" s="1202"/>
      <c r="D391" s="1202"/>
      <c r="E391" s="1404">
        <v>36</v>
      </c>
      <c r="F391" s="1207" t="s">
        <v>363</v>
      </c>
      <c r="G391" s="2176">
        <v>2500</v>
      </c>
      <c r="H391" s="1264">
        <f t="shared" si="73"/>
        <v>90000</v>
      </c>
      <c r="I391" s="2177">
        <f>G391*0.1</f>
        <v>250</v>
      </c>
      <c r="J391" s="1264">
        <f t="shared" si="74"/>
        <v>9000</v>
      </c>
      <c r="K391" s="1273">
        <f t="shared" si="75"/>
        <v>99000</v>
      </c>
      <c r="L391" s="1389"/>
    </row>
    <row r="392" spans="1:12" s="1199" customFormat="1" ht="24" customHeight="1">
      <c r="A392" s="1406" t="s">
        <v>2964</v>
      </c>
      <c r="B392" s="2174" t="s">
        <v>1366</v>
      </c>
      <c r="C392" s="1202"/>
      <c r="D392" s="1202"/>
      <c r="E392" s="1404">
        <v>60</v>
      </c>
      <c r="F392" s="1207" t="s">
        <v>363</v>
      </c>
      <c r="G392" s="2176">
        <v>2900</v>
      </c>
      <c r="H392" s="1264">
        <f t="shared" si="73"/>
        <v>174000</v>
      </c>
      <c r="I392" s="2177">
        <f>G392*0.1</f>
        <v>290</v>
      </c>
      <c r="J392" s="1264">
        <f t="shared" si="74"/>
        <v>17400</v>
      </c>
      <c r="K392" s="1273">
        <f t="shared" si="75"/>
        <v>191400</v>
      </c>
      <c r="L392" s="1389"/>
    </row>
    <row r="393" spans="1:12" s="1199" customFormat="1" ht="24" customHeight="1">
      <c r="A393" s="1406" t="s">
        <v>2965</v>
      </c>
      <c r="B393" s="2174" t="s">
        <v>1367</v>
      </c>
      <c r="C393" s="1202"/>
      <c r="D393" s="1202"/>
      <c r="E393" s="1404">
        <v>100</v>
      </c>
      <c r="F393" s="1207" t="s">
        <v>363</v>
      </c>
      <c r="G393" s="2176">
        <v>2000</v>
      </c>
      <c r="H393" s="1264">
        <f t="shared" si="73"/>
        <v>200000</v>
      </c>
      <c r="I393" s="2177">
        <f>G393*0.1</f>
        <v>200</v>
      </c>
      <c r="J393" s="1264">
        <f t="shared" si="74"/>
        <v>20000</v>
      </c>
      <c r="K393" s="1273">
        <f t="shared" si="75"/>
        <v>220000</v>
      </c>
      <c r="L393" s="1389"/>
    </row>
    <row r="394" spans="1:12" s="1199" customFormat="1" ht="24" customHeight="1">
      <c r="A394" s="1406"/>
      <c r="B394" s="2174"/>
      <c r="C394" s="1202"/>
      <c r="D394" s="1202"/>
      <c r="E394" s="1404"/>
      <c r="F394" s="1207"/>
      <c r="G394" s="2176"/>
      <c r="H394" s="1264"/>
      <c r="I394" s="2177"/>
      <c r="J394" s="1264"/>
      <c r="K394" s="1273"/>
      <c r="L394" s="1389"/>
    </row>
    <row r="395" spans="1:12" s="1199" customFormat="1" ht="24" customHeight="1">
      <c r="A395" s="1406"/>
      <c r="B395" s="2174"/>
      <c r="C395" s="1202"/>
      <c r="D395" s="1202"/>
      <c r="E395" s="1404"/>
      <c r="F395" s="1207"/>
      <c r="G395" s="2176"/>
      <c r="H395" s="1264"/>
      <c r="I395" s="2177"/>
      <c r="J395" s="1264"/>
      <c r="K395" s="1273"/>
      <c r="L395" s="1389"/>
    </row>
    <row r="396" spans="1:12" s="1199" customFormat="1" ht="24" customHeight="1">
      <c r="A396" s="1406" t="s">
        <v>2966</v>
      </c>
      <c r="B396" s="2174" t="s">
        <v>1110</v>
      </c>
      <c r="C396" s="1202"/>
      <c r="D396" s="1202"/>
      <c r="E396" s="1404"/>
      <c r="F396" s="1207"/>
      <c r="G396" s="2176"/>
      <c r="H396" s="1264">
        <f t="shared" si="73"/>
        <v>0</v>
      </c>
      <c r="I396" s="2177"/>
      <c r="J396" s="1264">
        <f t="shared" si="74"/>
        <v>0</v>
      </c>
      <c r="K396" s="1273">
        <f t="shared" si="75"/>
        <v>0</v>
      </c>
      <c r="L396" s="1389"/>
    </row>
    <row r="397" spans="1:12" s="1199" customFormat="1" ht="24" customHeight="1">
      <c r="A397" s="1331"/>
      <c r="B397" s="2174" t="s">
        <v>1338</v>
      </c>
      <c r="C397" s="1202"/>
      <c r="D397" s="1202"/>
      <c r="E397" s="1404">
        <v>2100</v>
      </c>
      <c r="F397" s="1207" t="s">
        <v>226</v>
      </c>
      <c r="G397" s="2176">
        <v>131</v>
      </c>
      <c r="H397" s="1264">
        <f t="shared" si="73"/>
        <v>275100</v>
      </c>
      <c r="I397" s="2177">
        <v>38</v>
      </c>
      <c r="J397" s="1264">
        <f t="shared" si="74"/>
        <v>79800</v>
      </c>
      <c r="K397" s="1273">
        <f t="shared" si="75"/>
        <v>354900</v>
      </c>
      <c r="L397" s="2000" t="s">
        <v>2667</v>
      </c>
    </row>
    <row r="398" spans="1:12" s="1199" customFormat="1" ht="24" customHeight="1">
      <c r="A398" s="1331"/>
      <c r="B398" s="2174" t="s">
        <v>1108</v>
      </c>
      <c r="C398" s="1202"/>
      <c r="D398" s="1202"/>
      <c r="E398" s="1404">
        <v>1</v>
      </c>
      <c r="F398" s="1384" t="s">
        <v>1104</v>
      </c>
      <c r="G398" s="2176">
        <f>SUM(H397)*15%</f>
        <v>41265</v>
      </c>
      <c r="H398" s="1264">
        <f t="shared" si="73"/>
        <v>41265</v>
      </c>
      <c r="I398" s="2177">
        <f>ROUND(G398*0.3,)</f>
        <v>12380</v>
      </c>
      <c r="J398" s="1264">
        <f t="shared" si="74"/>
        <v>12380</v>
      </c>
      <c r="K398" s="1273">
        <f t="shared" si="75"/>
        <v>53645</v>
      </c>
      <c r="L398" s="1389"/>
    </row>
    <row r="399" spans="1:12" s="1199" customFormat="1" ht="24" customHeight="1">
      <c r="A399" s="1406" t="s">
        <v>2967</v>
      </c>
      <c r="B399" s="2174" t="s">
        <v>1368</v>
      </c>
      <c r="C399" s="1202"/>
      <c r="D399" s="1202"/>
      <c r="E399" s="1404">
        <v>1</v>
      </c>
      <c r="F399" s="1207" t="s">
        <v>1104</v>
      </c>
      <c r="G399" s="2176">
        <v>550000</v>
      </c>
      <c r="H399" s="1264">
        <f t="shared" si="73"/>
        <v>550000</v>
      </c>
      <c r="I399" s="2177">
        <f>G399*0.3</f>
        <v>165000</v>
      </c>
      <c r="J399" s="1264">
        <f t="shared" si="74"/>
        <v>165000</v>
      </c>
      <c r="K399" s="1273">
        <f t="shared" si="75"/>
        <v>715000</v>
      </c>
      <c r="L399" s="1389"/>
    </row>
    <row r="400" spans="1:12" s="1199" customFormat="1" ht="24" customHeight="1">
      <c r="A400" s="1331"/>
      <c r="B400" s="2174" t="s">
        <v>1117</v>
      </c>
      <c r="C400" s="1202"/>
      <c r="D400" s="1202"/>
      <c r="E400" s="1404"/>
      <c r="F400" s="1207"/>
      <c r="G400" s="2176"/>
      <c r="H400" s="1388"/>
      <c r="I400" s="2177"/>
      <c r="J400" s="1385"/>
      <c r="K400" s="1385"/>
      <c r="L400" s="1389"/>
    </row>
    <row r="401" spans="1:19" s="1199" customFormat="1" ht="24" customHeight="1">
      <c r="A401" s="1331"/>
      <c r="B401" s="2174" t="s">
        <v>1369</v>
      </c>
      <c r="C401" s="1202"/>
      <c r="D401" s="1202"/>
      <c r="E401" s="1404"/>
      <c r="F401" s="1384"/>
      <c r="G401" s="2176"/>
      <c r="H401" s="1388"/>
      <c r="I401" s="2177"/>
      <c r="J401" s="1385"/>
      <c r="K401" s="1385"/>
      <c r="L401" s="1389"/>
    </row>
    <row r="402" spans="1:19" s="1199" customFormat="1" ht="24" customHeight="1">
      <c r="A402" s="1331"/>
      <c r="B402" s="2174" t="s">
        <v>1369</v>
      </c>
      <c r="C402" s="1202"/>
      <c r="D402" s="1202"/>
      <c r="E402" s="1404"/>
      <c r="F402" s="1384"/>
      <c r="G402" s="2176"/>
      <c r="H402" s="1388"/>
      <c r="I402" s="2177"/>
      <c r="J402" s="1385"/>
      <c r="K402" s="1385"/>
      <c r="L402" s="1389"/>
    </row>
    <row r="403" spans="1:19" s="1199" customFormat="1" ht="24" customHeight="1">
      <c r="A403" s="1359"/>
      <c r="B403" s="1190"/>
      <c r="C403" s="1225"/>
      <c r="D403" s="1225"/>
      <c r="E403" s="1390"/>
      <c r="F403" s="1391"/>
      <c r="G403" s="1392"/>
      <c r="H403" s="1393"/>
      <c r="I403" s="1394"/>
      <c r="J403" s="1395"/>
      <c r="K403" s="1395"/>
      <c r="L403" s="1396"/>
    </row>
    <row r="404" spans="1:19" s="1199" customFormat="1" ht="24" customHeight="1">
      <c r="A404" s="1243"/>
      <c r="B404" s="2257" t="str">
        <f>"รวมราคารายการที่ "&amp;A382</f>
        <v>รวมราคารายการที่ 3.11</v>
      </c>
      <c r="C404" s="2258"/>
      <c r="D404" s="2259"/>
      <c r="E404" s="1244"/>
      <c r="F404" s="1245"/>
      <c r="G404" s="1246"/>
      <c r="H404" s="1247">
        <f>SUM(H383:H403)</f>
        <v>3190965</v>
      </c>
      <c r="I404" s="1246"/>
      <c r="J404" s="1247">
        <f t="shared" ref="J404:K404" si="76">SUM(J383:J403)</f>
        <v>868780</v>
      </c>
      <c r="K404" s="1247">
        <f t="shared" si="76"/>
        <v>4059745</v>
      </c>
      <c r="L404" s="1245"/>
    </row>
    <row r="405" spans="1:19" s="1199" customFormat="1" ht="24" customHeight="1">
      <c r="A405" s="1381" t="s">
        <v>2917</v>
      </c>
      <c r="B405" s="1292" t="s">
        <v>1371</v>
      </c>
      <c r="C405" s="1235"/>
      <c r="D405" s="1235"/>
      <c r="E405" s="1397"/>
      <c r="F405" s="1398"/>
      <c r="G405" s="1399"/>
      <c r="H405" s="1400"/>
      <c r="I405" s="1401"/>
      <c r="J405" s="1402"/>
      <c r="K405" s="1402"/>
      <c r="L405" s="1403"/>
    </row>
    <row r="406" spans="1:19" s="1199" customFormat="1" ht="24" customHeight="1">
      <c r="A406" s="1406" t="s">
        <v>1352</v>
      </c>
      <c r="B406" s="2174" t="s">
        <v>1373</v>
      </c>
      <c r="C406" s="1202"/>
      <c r="D406" s="1202"/>
      <c r="E406" s="1404">
        <v>2</v>
      </c>
      <c r="F406" s="1207" t="s">
        <v>363</v>
      </c>
      <c r="G406" s="2176">
        <v>1045000</v>
      </c>
      <c r="H406" s="1264">
        <f t="shared" ref="H406:H411" si="77">ROUND(E406*G406,)</f>
        <v>2090000</v>
      </c>
      <c r="I406" s="2177">
        <f>G406*0.05</f>
        <v>52250</v>
      </c>
      <c r="J406" s="1264">
        <f>ROUND(E406*I406,)</f>
        <v>104500</v>
      </c>
      <c r="K406" s="1273">
        <f t="shared" ref="K406:K411" si="78">H406+J406</f>
        <v>2194500</v>
      </c>
      <c r="L406" s="1389"/>
    </row>
    <row r="407" spans="1:19" s="1199" customFormat="1" ht="24" customHeight="1">
      <c r="A407" s="1406" t="s">
        <v>1354</v>
      </c>
      <c r="B407" s="2174" t="s">
        <v>1375</v>
      </c>
      <c r="C407" s="1202"/>
      <c r="D407" s="1202"/>
      <c r="E407" s="1404">
        <v>2</v>
      </c>
      <c r="F407" s="1207" t="s">
        <v>363</v>
      </c>
      <c r="G407" s="2176">
        <f>55000+15000</f>
        <v>70000</v>
      </c>
      <c r="H407" s="1264">
        <f t="shared" si="77"/>
        <v>140000</v>
      </c>
      <c r="I407" s="2177">
        <f>G407*0.05</f>
        <v>3500</v>
      </c>
      <c r="J407" s="1264">
        <f>ROUND(E407*I407,)</f>
        <v>7000</v>
      </c>
      <c r="K407" s="1273">
        <f t="shared" si="78"/>
        <v>147000</v>
      </c>
      <c r="L407" s="1389"/>
    </row>
    <row r="408" spans="1:19" s="1199" customFormat="1" ht="24" customHeight="1">
      <c r="A408" s="1406" t="s">
        <v>1357</v>
      </c>
      <c r="B408" s="2174" t="s">
        <v>1377</v>
      </c>
      <c r="C408" s="1202"/>
      <c r="D408" s="1202"/>
      <c r="E408" s="1404">
        <v>35</v>
      </c>
      <c r="F408" s="1207" t="s">
        <v>363</v>
      </c>
      <c r="G408" s="2176">
        <v>60000</v>
      </c>
      <c r="H408" s="1264">
        <f t="shared" si="77"/>
        <v>2100000</v>
      </c>
      <c r="I408" s="2177">
        <f>G408*0.05</f>
        <v>3000</v>
      </c>
      <c r="J408" s="1264">
        <f>ROUND(E408*I408,)</f>
        <v>105000</v>
      </c>
      <c r="K408" s="1273">
        <f t="shared" si="78"/>
        <v>2205000</v>
      </c>
      <c r="L408" s="1389"/>
    </row>
    <row r="409" spans="1:19" s="1199" customFormat="1" ht="24" customHeight="1">
      <c r="A409" s="1406" t="s">
        <v>2677</v>
      </c>
      <c r="B409" s="2174" t="s">
        <v>1379</v>
      </c>
      <c r="C409" s="1202"/>
      <c r="D409" s="1202"/>
      <c r="E409" s="1404">
        <v>2</v>
      </c>
      <c r="F409" s="1207" t="s">
        <v>363</v>
      </c>
      <c r="G409" s="2176">
        <v>30000</v>
      </c>
      <c r="H409" s="1264">
        <f t="shared" si="77"/>
        <v>60000</v>
      </c>
      <c r="I409" s="2177">
        <f>G409*0.3</f>
        <v>9000</v>
      </c>
      <c r="J409" s="1264">
        <f>ROUND(E409*I409,)</f>
        <v>18000</v>
      </c>
      <c r="K409" s="1273">
        <f t="shared" si="78"/>
        <v>78000</v>
      </c>
      <c r="L409" s="1389"/>
    </row>
    <row r="410" spans="1:19" s="1199" customFormat="1" ht="24" customHeight="1">
      <c r="A410" s="1406" t="s">
        <v>2679</v>
      </c>
      <c r="B410" s="2174" t="s">
        <v>2676</v>
      </c>
      <c r="C410" s="1202"/>
      <c r="D410" s="1202"/>
      <c r="E410" s="1404">
        <v>1</v>
      </c>
      <c r="F410" s="1207" t="s">
        <v>363</v>
      </c>
      <c r="G410" s="2176">
        <v>45000</v>
      </c>
      <c r="H410" s="1264">
        <f t="shared" si="77"/>
        <v>45000</v>
      </c>
      <c r="I410" s="2177">
        <f>G410*0.1</f>
        <v>4500</v>
      </c>
      <c r="J410" s="1264">
        <f>ROUND(E410*I410,)</f>
        <v>4500</v>
      </c>
      <c r="K410" s="1273">
        <f t="shared" si="78"/>
        <v>49500</v>
      </c>
      <c r="L410" s="1389"/>
    </row>
    <row r="411" spans="1:19" s="1199" customFormat="1" ht="24" customHeight="1">
      <c r="A411" s="1475" t="s">
        <v>2918</v>
      </c>
      <c r="B411" s="2174" t="s">
        <v>2680</v>
      </c>
      <c r="C411" s="1191"/>
      <c r="D411" s="1471"/>
      <c r="E411" s="1206">
        <v>1</v>
      </c>
      <c r="F411" s="1207" t="s">
        <v>363</v>
      </c>
      <c r="G411" s="2175">
        <v>7500</v>
      </c>
      <c r="H411" s="1264">
        <f t="shared" si="77"/>
        <v>7500</v>
      </c>
      <c r="I411" s="1265"/>
      <c r="J411" s="1264">
        <f>ROUND(I411*E411,)</f>
        <v>0</v>
      </c>
      <c r="K411" s="1265">
        <f t="shared" si="78"/>
        <v>7500</v>
      </c>
      <c r="L411" s="1473"/>
      <c r="M411" s="1214"/>
      <c r="N411" s="1214"/>
      <c r="O411" s="1214"/>
      <c r="P411" s="1214"/>
      <c r="Q411" s="1214"/>
      <c r="R411" s="1214"/>
      <c r="S411" s="1214"/>
    </row>
    <row r="412" spans="1:19" s="1199" customFormat="1" ht="24" customHeight="1">
      <c r="A412" s="1406" t="s">
        <v>2968</v>
      </c>
      <c r="B412" s="2174" t="s">
        <v>1578</v>
      </c>
      <c r="C412" s="1191"/>
      <c r="D412" s="1471"/>
      <c r="E412" s="1206"/>
      <c r="F412" s="1207"/>
      <c r="G412" s="2179"/>
      <c r="H412" s="1273"/>
      <c r="I412" s="1332"/>
      <c r="J412" s="1264"/>
      <c r="K412" s="1265"/>
      <c r="L412" s="1473"/>
      <c r="M412" s="1214"/>
      <c r="N412" s="1214"/>
      <c r="O412" s="1214"/>
      <c r="P412" s="1214"/>
      <c r="Q412" s="1214"/>
      <c r="R412" s="1214"/>
      <c r="S412" s="1214"/>
    </row>
    <row r="413" spans="1:19" s="1199" customFormat="1" ht="24" customHeight="1">
      <c r="A413" s="1478"/>
      <c r="B413" s="2174" t="s">
        <v>1685</v>
      </c>
      <c r="C413" s="1191"/>
      <c r="D413" s="1471"/>
      <c r="E413" s="1387">
        <v>50</v>
      </c>
      <c r="F413" s="1207"/>
      <c r="G413" s="2179">
        <v>37</v>
      </c>
      <c r="H413" s="1273">
        <f>ROUND(G413*E413,)</f>
        <v>1850</v>
      </c>
      <c r="I413" s="1332">
        <v>5</v>
      </c>
      <c r="J413" s="1264">
        <f t="shared" ref="J413" si="79">I413*E413</f>
        <v>250</v>
      </c>
      <c r="K413" s="1265">
        <f>J413+H413</f>
        <v>2100</v>
      </c>
      <c r="L413" s="1473"/>
      <c r="M413" s="1214"/>
      <c r="N413" s="1214"/>
      <c r="O413" s="1214"/>
      <c r="P413" s="1214"/>
      <c r="Q413" s="1214"/>
      <c r="R413" s="1214"/>
      <c r="S413" s="1214"/>
    </row>
    <row r="414" spans="1:19" s="1199" customFormat="1" ht="24" customHeight="1">
      <c r="A414" s="1331"/>
      <c r="B414" s="2174" t="s">
        <v>1103</v>
      </c>
      <c r="C414" s="1202"/>
      <c r="D414" s="1202"/>
      <c r="E414" s="1404">
        <v>1</v>
      </c>
      <c r="F414" s="1384" t="s">
        <v>1104</v>
      </c>
      <c r="G414" s="2176">
        <f>ROUND(SUM(H413)*5%,0)</f>
        <v>93</v>
      </c>
      <c r="H414" s="1264">
        <f>ROUND(E414*G414,)</f>
        <v>93</v>
      </c>
      <c r="I414" s="2177">
        <f>ROUND(G414*0.3,0)</f>
        <v>28</v>
      </c>
      <c r="J414" s="1264">
        <f>ROUND(E414*I414,)</f>
        <v>28</v>
      </c>
      <c r="K414" s="1273">
        <f>H414+J414</f>
        <v>121</v>
      </c>
      <c r="L414" s="1389"/>
    </row>
    <row r="415" spans="1:19" s="1199" customFormat="1" ht="24" customHeight="1">
      <c r="A415" s="1359"/>
      <c r="B415" s="2174"/>
      <c r="C415" s="1202"/>
      <c r="D415" s="1202"/>
      <c r="E415" s="1404"/>
      <c r="F415" s="1407"/>
      <c r="G415" s="2176"/>
      <c r="H415" s="1264"/>
      <c r="I415" s="2177"/>
      <c r="J415" s="1264"/>
      <c r="K415" s="1273"/>
      <c r="L415" s="1389"/>
    </row>
    <row r="416" spans="1:19" s="1199" customFormat="1" ht="24" customHeight="1">
      <c r="A416" s="1359" t="s">
        <v>2969</v>
      </c>
      <c r="B416" s="2174" t="s">
        <v>1397</v>
      </c>
      <c r="C416" s="1202"/>
      <c r="D416" s="1202"/>
      <c r="E416" s="1387"/>
      <c r="F416" s="1207"/>
      <c r="G416" s="2176"/>
      <c r="H416" s="1264"/>
      <c r="I416" s="2177"/>
      <c r="J416" s="1264"/>
      <c r="K416" s="1273"/>
      <c r="L416" s="1389"/>
    </row>
    <row r="417" spans="1:17" s="1199" customFormat="1" ht="24" customHeight="1">
      <c r="A417" s="1406"/>
      <c r="B417" s="2174" t="s">
        <v>1398</v>
      </c>
      <c r="C417" s="1202"/>
      <c r="D417" s="1202"/>
      <c r="E417" s="1387">
        <v>1000</v>
      </c>
      <c r="F417" s="1358" t="s">
        <v>226</v>
      </c>
      <c r="G417" s="2176">
        <v>68</v>
      </c>
      <c r="H417" s="1264">
        <f>ROUND(E417*G417,)</f>
        <v>68000</v>
      </c>
      <c r="I417" s="2177">
        <v>12</v>
      </c>
      <c r="J417" s="1264">
        <f t="shared" ref="J417" si="80">ROUND(E417*I417,)</f>
        <v>12000</v>
      </c>
      <c r="K417" s="1273">
        <f t="shared" ref="K417" si="81">H417+J417</f>
        <v>80000</v>
      </c>
      <c r="L417" s="1389"/>
    </row>
    <row r="418" spans="1:17" s="1199" customFormat="1" ht="24" customHeight="1">
      <c r="A418" s="1331"/>
      <c r="B418" s="2174" t="s">
        <v>1103</v>
      </c>
      <c r="C418" s="1202"/>
      <c r="D418" s="1202"/>
      <c r="E418" s="1404">
        <v>1</v>
      </c>
      <c r="F418" s="1384" t="s">
        <v>1104</v>
      </c>
      <c r="G418" s="2176">
        <f>ROUND(SUM(H417:H417)*5%,)</f>
        <v>3400</v>
      </c>
      <c r="H418" s="1264">
        <f>ROUND(E418*G418,)</f>
        <v>3400</v>
      </c>
      <c r="I418" s="2177">
        <f>ROUND(G418*0.3,)</f>
        <v>1020</v>
      </c>
      <c r="J418" s="1264">
        <f>ROUND(E418*I418,)</f>
        <v>1020</v>
      </c>
      <c r="K418" s="1273">
        <f>H418+J418</f>
        <v>4420</v>
      </c>
      <c r="L418" s="1389"/>
    </row>
    <row r="419" spans="1:17" s="1199" customFormat="1" ht="24" customHeight="1">
      <c r="A419" s="1359" t="s">
        <v>2970</v>
      </c>
      <c r="B419" s="2174" t="s">
        <v>1110</v>
      </c>
      <c r="C419" s="1202"/>
      <c r="D419" s="1202"/>
      <c r="E419" s="1404"/>
      <c r="F419" s="1207"/>
      <c r="G419" s="2176"/>
      <c r="H419" s="1264">
        <f t="shared" ref="H419:H421" si="82">ROUND(E419*G419,)</f>
        <v>0</v>
      </c>
      <c r="I419" s="2177"/>
      <c r="J419" s="1264">
        <f t="shared" ref="J419:J421" si="83">ROUND(E419*I419,)</f>
        <v>0</v>
      </c>
      <c r="K419" s="1273">
        <f t="shared" ref="K419:K421" si="84">H419+J419</f>
        <v>0</v>
      </c>
      <c r="L419" s="1389"/>
    </row>
    <row r="420" spans="1:17" s="1199" customFormat="1" ht="24" customHeight="1">
      <c r="A420" s="1331"/>
      <c r="B420" s="1190" t="s">
        <v>1350</v>
      </c>
      <c r="C420" s="1202"/>
      <c r="D420" s="1202"/>
      <c r="E420" s="1387">
        <v>1050</v>
      </c>
      <c r="F420" s="1358" t="s">
        <v>226</v>
      </c>
      <c r="G420" s="2176">
        <v>54</v>
      </c>
      <c r="H420" s="1264">
        <f t="shared" si="82"/>
        <v>56700</v>
      </c>
      <c r="I420" s="2177">
        <v>26</v>
      </c>
      <c r="J420" s="1264">
        <f t="shared" si="83"/>
        <v>27300</v>
      </c>
      <c r="K420" s="1273">
        <f t="shared" si="84"/>
        <v>84000</v>
      </c>
      <c r="L420" s="1385"/>
      <c r="M420" s="1214"/>
      <c r="N420" s="1214"/>
      <c r="O420" s="1214"/>
      <c r="P420" s="1214"/>
      <c r="Q420" s="1214"/>
    </row>
    <row r="421" spans="1:17" s="1199" customFormat="1" ht="24" customHeight="1">
      <c r="A421" s="1331"/>
      <c r="B421" s="1190" t="s">
        <v>1108</v>
      </c>
      <c r="C421" s="1202"/>
      <c r="D421" s="1202"/>
      <c r="E421" s="1387">
        <v>1</v>
      </c>
      <c r="F421" s="1384" t="s">
        <v>1104</v>
      </c>
      <c r="G421" s="2176">
        <f>ROUND(SUM(H420:H420)*15%,0)</f>
        <v>8505</v>
      </c>
      <c r="H421" s="1264">
        <f t="shared" si="82"/>
        <v>8505</v>
      </c>
      <c r="I421" s="2177">
        <f>ROUND(G421*0.3,0)</f>
        <v>2552</v>
      </c>
      <c r="J421" s="1264">
        <f t="shared" si="83"/>
        <v>2552</v>
      </c>
      <c r="K421" s="1273">
        <f t="shared" si="84"/>
        <v>11057</v>
      </c>
      <c r="L421" s="1385"/>
      <c r="M421" s="1214"/>
      <c r="N421" s="1214"/>
      <c r="O421" s="1214"/>
      <c r="P421" s="1214"/>
      <c r="Q421" s="1214"/>
    </row>
    <row r="422" spans="1:17" s="1199" customFormat="1" ht="24" customHeight="1">
      <c r="A422" s="1359" t="s">
        <v>2971</v>
      </c>
      <c r="B422" s="1190" t="s">
        <v>1381</v>
      </c>
      <c r="C422" s="1225"/>
      <c r="D422" s="1225"/>
      <c r="E422" s="1404">
        <v>1</v>
      </c>
      <c r="F422" s="1384" t="s">
        <v>1104</v>
      </c>
      <c r="G422" s="2176"/>
      <c r="H422" s="1388"/>
      <c r="I422" s="2177">
        <v>25000</v>
      </c>
      <c r="J422" s="1264">
        <f>ROUND(E422*I422,)</f>
        <v>25000</v>
      </c>
      <c r="K422" s="1273">
        <f>H422+J422</f>
        <v>25000</v>
      </c>
      <c r="L422" s="1389"/>
    </row>
    <row r="423" spans="1:17" s="1199" customFormat="1" ht="24" customHeight="1">
      <c r="A423" s="1331"/>
      <c r="B423" s="2174" t="s">
        <v>1117</v>
      </c>
      <c r="C423" s="1202"/>
      <c r="D423" s="1202"/>
      <c r="E423" s="1387"/>
      <c r="F423" s="1384"/>
      <c r="G423" s="2176"/>
      <c r="H423" s="1388"/>
      <c r="I423" s="2177"/>
      <c r="J423" s="1385"/>
      <c r="K423" s="1385"/>
      <c r="L423" s="1389"/>
    </row>
    <row r="424" spans="1:17" s="1199" customFormat="1" ht="24" customHeight="1">
      <c r="A424" s="1331"/>
      <c r="B424" s="2174" t="s">
        <v>1369</v>
      </c>
      <c r="C424" s="1202"/>
      <c r="D424" s="1202"/>
      <c r="E424" s="1387"/>
      <c r="F424" s="1384"/>
      <c r="G424" s="2176"/>
      <c r="H424" s="1388"/>
      <c r="I424" s="2177"/>
      <c r="J424" s="1385"/>
      <c r="K424" s="1385"/>
      <c r="L424" s="1389"/>
    </row>
    <row r="425" spans="1:17" s="1199" customFormat="1" ht="24" customHeight="1">
      <c r="A425" s="1359"/>
      <c r="B425" s="1333"/>
      <c r="C425" s="1225"/>
      <c r="D425" s="1225"/>
      <c r="E425" s="1390"/>
      <c r="F425" s="1391"/>
      <c r="G425" s="1392"/>
      <c r="H425" s="1393"/>
      <c r="I425" s="1394"/>
      <c r="J425" s="1395"/>
      <c r="K425" s="1395"/>
      <c r="L425" s="1396"/>
    </row>
    <row r="426" spans="1:17" s="1199" customFormat="1" ht="24" customHeight="1">
      <c r="A426" s="1243"/>
      <c r="B426" s="2257" t="str">
        <f>"รวมราคารายการที่ "&amp;A405</f>
        <v>รวมราคารายการที่ 3.12</v>
      </c>
      <c r="C426" s="2258"/>
      <c r="D426" s="2259"/>
      <c r="E426" s="1244"/>
      <c r="F426" s="1245"/>
      <c r="G426" s="1246"/>
      <c r="H426" s="1247">
        <f>SUM(H405:H425)</f>
        <v>4581048</v>
      </c>
      <c r="I426" s="1246"/>
      <c r="J426" s="1247">
        <f>SUM(J405:J425)</f>
        <v>307150</v>
      </c>
      <c r="K426" s="1247">
        <f>SUM(K405:K425)</f>
        <v>4888198</v>
      </c>
      <c r="L426" s="1245"/>
    </row>
    <row r="427" spans="1:17" s="1199" customFormat="1" ht="24" customHeight="1">
      <c r="A427" s="1381" t="s">
        <v>1370</v>
      </c>
      <c r="B427" s="1292" t="s">
        <v>1386</v>
      </c>
      <c r="C427" s="1235"/>
      <c r="D427" s="1235"/>
      <c r="E427" s="1397"/>
      <c r="F427" s="1408"/>
      <c r="G427" s="1399"/>
      <c r="H427" s="1400"/>
      <c r="I427" s="1401"/>
      <c r="J427" s="1402"/>
      <c r="K427" s="1402"/>
      <c r="L427" s="1403"/>
    </row>
    <row r="428" spans="1:17" s="1199" customFormat="1" ht="24" customHeight="1">
      <c r="A428" s="1331" t="s">
        <v>1372</v>
      </c>
      <c r="B428" s="2174" t="s">
        <v>1388</v>
      </c>
      <c r="C428" s="1202"/>
      <c r="D428" s="1202"/>
      <c r="E428" s="1387"/>
      <c r="F428" s="1409"/>
      <c r="G428" s="2176"/>
      <c r="H428" s="1388"/>
      <c r="I428" s="2177"/>
      <c r="J428" s="1273"/>
      <c r="K428" s="1273"/>
      <c r="L428" s="1389"/>
    </row>
    <row r="429" spans="1:17" s="1199" customFormat="1" ht="24" customHeight="1">
      <c r="A429" s="1331"/>
      <c r="B429" s="2174" t="s">
        <v>1389</v>
      </c>
      <c r="C429" s="1202"/>
      <c r="D429" s="1202"/>
      <c r="E429" s="1404">
        <v>11</v>
      </c>
      <c r="F429" s="1409" t="s">
        <v>363</v>
      </c>
      <c r="G429" s="2176">
        <v>6680</v>
      </c>
      <c r="H429" s="1264">
        <f>ROUND(E429*G429,)</f>
        <v>73480</v>
      </c>
      <c r="I429" s="2177">
        <f>CEILING(G429*0.3,100)</f>
        <v>2100</v>
      </c>
      <c r="J429" s="1264">
        <f>ROUND(E429*I429,)</f>
        <v>23100</v>
      </c>
      <c r="K429" s="1273">
        <f>H429+J429</f>
        <v>96580</v>
      </c>
      <c r="L429" s="1389"/>
    </row>
    <row r="430" spans="1:17" s="1199" customFormat="1" ht="24" customHeight="1">
      <c r="A430" s="1331"/>
      <c r="B430" s="2174" t="s">
        <v>1390</v>
      </c>
      <c r="C430" s="1202"/>
      <c r="D430" s="1202"/>
      <c r="E430" s="1404">
        <v>22</v>
      </c>
      <c r="F430" s="1409" t="s">
        <v>363</v>
      </c>
      <c r="G430" s="2176">
        <v>3000</v>
      </c>
      <c r="H430" s="1264">
        <f>ROUND(E430*G430,)</f>
        <v>66000</v>
      </c>
      <c r="I430" s="2177"/>
      <c r="J430" s="1264">
        <f>ROUND(E430*I430,)</f>
        <v>0</v>
      </c>
      <c r="K430" s="1273">
        <f>H430+J430</f>
        <v>66000</v>
      </c>
      <c r="L430" s="1389"/>
    </row>
    <row r="431" spans="1:17" s="1199" customFormat="1" ht="24" customHeight="1">
      <c r="A431" s="1331" t="s">
        <v>1374</v>
      </c>
      <c r="B431" s="2174" t="s">
        <v>1392</v>
      </c>
      <c r="C431" s="1202"/>
      <c r="D431" s="1202"/>
      <c r="E431" s="1404"/>
      <c r="F431" s="1409"/>
      <c r="G431" s="2176"/>
      <c r="H431" s="1388"/>
      <c r="I431" s="2177"/>
      <c r="J431" s="1273"/>
      <c r="K431" s="1273"/>
      <c r="L431" s="1389"/>
    </row>
    <row r="432" spans="1:17" s="1199" customFormat="1" ht="24" customHeight="1">
      <c r="A432" s="1331"/>
      <c r="B432" s="2174" t="s">
        <v>1389</v>
      </c>
      <c r="C432" s="1202"/>
      <c r="D432" s="1202"/>
      <c r="E432" s="1404">
        <v>11</v>
      </c>
      <c r="F432" s="1409" t="s">
        <v>363</v>
      </c>
      <c r="G432" s="2176">
        <v>6680</v>
      </c>
      <c r="H432" s="1264">
        <f>ROUND(E432*G432,)</f>
        <v>73480</v>
      </c>
      <c r="I432" s="2177">
        <f>CEILING(G432*0.3,100)</f>
        <v>2100</v>
      </c>
      <c r="J432" s="1264">
        <f>ROUND(E432*I432,)</f>
        <v>23100</v>
      </c>
      <c r="K432" s="1273">
        <f>H432+J432</f>
        <v>96580</v>
      </c>
      <c r="L432" s="1389"/>
    </row>
    <row r="433" spans="1:12" s="1199" customFormat="1" ht="24" customHeight="1">
      <c r="A433" s="1331"/>
      <c r="B433" s="2174" t="s">
        <v>1390</v>
      </c>
      <c r="C433" s="1202"/>
      <c r="D433" s="1202"/>
      <c r="E433" s="1404">
        <v>22</v>
      </c>
      <c r="F433" s="1409" t="s">
        <v>363</v>
      </c>
      <c r="G433" s="2176">
        <v>3000</v>
      </c>
      <c r="H433" s="1264">
        <f>ROUND(E433*G433,)</f>
        <v>66000</v>
      </c>
      <c r="I433" s="2177"/>
      <c r="J433" s="1264">
        <f>ROUND(E433*I433,)</f>
        <v>0</v>
      </c>
      <c r="K433" s="1273">
        <f>H433+J433</f>
        <v>66000</v>
      </c>
      <c r="L433" s="1389"/>
    </row>
    <row r="434" spans="1:12" s="1199" customFormat="1" ht="24" customHeight="1">
      <c r="A434" s="1331" t="s">
        <v>1376</v>
      </c>
      <c r="B434" s="2174" t="s">
        <v>1394</v>
      </c>
      <c r="C434" s="1202"/>
      <c r="D434" s="1202"/>
      <c r="E434" s="1404"/>
      <c r="F434" s="1409"/>
      <c r="G434" s="2176"/>
      <c r="H434" s="1388"/>
      <c r="I434" s="2177"/>
      <c r="J434" s="1273"/>
      <c r="K434" s="1273"/>
      <c r="L434" s="1389"/>
    </row>
    <row r="435" spans="1:12" s="1199" customFormat="1" ht="24" customHeight="1">
      <c r="A435" s="1331"/>
      <c r="B435" s="2174" t="s">
        <v>1389</v>
      </c>
      <c r="C435" s="1202"/>
      <c r="D435" s="1202"/>
      <c r="E435" s="1404">
        <v>1</v>
      </c>
      <c r="F435" s="1409" t="s">
        <v>363</v>
      </c>
      <c r="G435" s="2176">
        <v>6680</v>
      </c>
      <c r="H435" s="1264">
        <f>ROUND(E435*G435,)</f>
        <v>6680</v>
      </c>
      <c r="I435" s="2177">
        <f>CEILING(G435*0.3,100)</f>
        <v>2100</v>
      </c>
      <c r="J435" s="1264">
        <f>ROUND(E435*I435,)</f>
        <v>2100</v>
      </c>
      <c r="K435" s="1273">
        <f>H435+J435</f>
        <v>8780</v>
      </c>
      <c r="L435" s="1389"/>
    </row>
    <row r="436" spans="1:12" s="1199" customFormat="1" ht="24" customHeight="1">
      <c r="A436" s="1331"/>
      <c r="B436" s="2174" t="s">
        <v>1390</v>
      </c>
      <c r="C436" s="1202"/>
      <c r="D436" s="1202"/>
      <c r="E436" s="1404">
        <v>4</v>
      </c>
      <c r="F436" s="1409" t="s">
        <v>363</v>
      </c>
      <c r="G436" s="2176">
        <v>3000</v>
      </c>
      <c r="H436" s="1264">
        <f>ROUND(E436*G436,)</f>
        <v>12000</v>
      </c>
      <c r="I436" s="2177"/>
      <c r="J436" s="1264">
        <f>ROUND(E436*I436,)</f>
        <v>0</v>
      </c>
      <c r="K436" s="1273">
        <f>H436+J436</f>
        <v>12000</v>
      </c>
      <c r="L436" s="1389"/>
    </row>
    <row r="437" spans="1:12" s="1199" customFormat="1" ht="24" customHeight="1">
      <c r="A437" s="1331" t="s">
        <v>1378</v>
      </c>
      <c r="B437" s="2174" t="s">
        <v>1396</v>
      </c>
      <c r="C437" s="1202"/>
      <c r="D437" s="1202"/>
      <c r="E437" s="1404"/>
      <c r="F437" s="1407"/>
      <c r="G437" s="2176"/>
      <c r="H437" s="1388"/>
      <c r="I437" s="2177"/>
      <c r="J437" s="1273"/>
      <c r="K437" s="1273"/>
      <c r="L437" s="1389"/>
    </row>
    <row r="438" spans="1:12" s="1199" customFormat="1" ht="24" customHeight="1">
      <c r="A438" s="1331"/>
      <c r="B438" s="2174"/>
      <c r="C438" s="1202"/>
      <c r="D438" s="1202"/>
      <c r="E438" s="1404"/>
      <c r="F438" s="1407"/>
      <c r="G438" s="2176"/>
      <c r="H438" s="1388"/>
      <c r="I438" s="2177"/>
      <c r="J438" s="1273"/>
      <c r="K438" s="1273"/>
      <c r="L438" s="1389"/>
    </row>
    <row r="439" spans="1:12" s="1199" customFormat="1" ht="24" customHeight="1">
      <c r="A439" s="1331" t="s">
        <v>2972</v>
      </c>
      <c r="B439" s="2174" t="s">
        <v>1397</v>
      </c>
      <c r="C439" s="1202"/>
      <c r="D439" s="1202"/>
      <c r="E439" s="1404"/>
      <c r="F439" s="1407"/>
      <c r="G439" s="2176"/>
      <c r="H439" s="1388"/>
      <c r="I439" s="2177"/>
      <c r="J439" s="1273"/>
      <c r="K439" s="1273"/>
      <c r="L439" s="1389"/>
    </row>
    <row r="440" spans="1:12" s="1199" customFormat="1" ht="24" customHeight="1">
      <c r="A440" s="1331"/>
      <c r="B440" s="2174" t="s">
        <v>1398</v>
      </c>
      <c r="C440" s="1202"/>
      <c r="D440" s="1202"/>
      <c r="E440" s="1404">
        <v>33165</v>
      </c>
      <c r="F440" s="1358" t="s">
        <v>226</v>
      </c>
      <c r="G440" s="2175">
        <v>19</v>
      </c>
      <c r="H440" s="1264">
        <f>ROUND(E440*G440,)</f>
        <v>630135</v>
      </c>
      <c r="I440" s="2177">
        <v>12</v>
      </c>
      <c r="J440" s="1264">
        <f>ROUND(E440*I440,)</f>
        <v>397980</v>
      </c>
      <c r="K440" s="1273">
        <f>H440+J440</f>
        <v>1028115</v>
      </c>
      <c r="L440" s="1389"/>
    </row>
    <row r="441" spans="1:12" s="1199" customFormat="1" ht="24" customHeight="1">
      <c r="A441" s="1331"/>
      <c r="B441" s="2174" t="s">
        <v>1399</v>
      </c>
      <c r="C441" s="1202"/>
      <c r="D441" s="1202"/>
      <c r="E441" s="1404">
        <v>5280</v>
      </c>
      <c r="F441" s="1358" t="s">
        <v>226</v>
      </c>
      <c r="G441" s="2176">
        <v>35</v>
      </c>
      <c r="H441" s="1264">
        <f>ROUND(E441*G441,)</f>
        <v>184800</v>
      </c>
      <c r="I441" s="2177">
        <v>12</v>
      </c>
      <c r="J441" s="1264">
        <f>ROUND(E441*I441,)</f>
        <v>63360</v>
      </c>
      <c r="K441" s="1273">
        <f>H441+J441</f>
        <v>248160</v>
      </c>
      <c r="L441" s="1389"/>
    </row>
    <row r="442" spans="1:12" s="1199" customFormat="1" ht="24" customHeight="1">
      <c r="A442" s="1331"/>
      <c r="B442" s="2174" t="s">
        <v>1103</v>
      </c>
      <c r="C442" s="1202"/>
      <c r="D442" s="1202"/>
      <c r="E442" s="1404">
        <v>1</v>
      </c>
      <c r="F442" s="1384" t="s">
        <v>1104</v>
      </c>
      <c r="G442" s="2176">
        <f>ROUND(SUM(H440:H441)*5%,)</f>
        <v>40747</v>
      </c>
      <c r="H442" s="1264">
        <f>ROUND(E442*G442,)</f>
        <v>40747</v>
      </c>
      <c r="I442" s="2177">
        <f>ROUND(G442*0.3,)</f>
        <v>12224</v>
      </c>
      <c r="J442" s="1264">
        <f>ROUND(E442*I442,)</f>
        <v>12224</v>
      </c>
      <c r="K442" s="1273">
        <f>H442+J442</f>
        <v>52971</v>
      </c>
      <c r="L442" s="1389"/>
    </row>
    <row r="443" spans="1:12" s="1199" customFormat="1" ht="24" customHeight="1">
      <c r="A443" s="1331" t="s">
        <v>1380</v>
      </c>
      <c r="B443" s="2174" t="s">
        <v>1343</v>
      </c>
      <c r="C443" s="1202"/>
      <c r="D443" s="1202"/>
      <c r="E443" s="1404"/>
      <c r="F443" s="1407"/>
      <c r="G443" s="2176"/>
      <c r="H443" s="1388"/>
      <c r="I443" s="2177"/>
      <c r="J443" s="1273"/>
      <c r="K443" s="1273"/>
      <c r="L443" s="1389"/>
    </row>
    <row r="444" spans="1:12" s="1199" customFormat="1" ht="24" customHeight="1">
      <c r="A444" s="1331"/>
      <c r="B444" s="2174" t="s">
        <v>1383</v>
      </c>
      <c r="C444" s="1202"/>
      <c r="D444" s="1202"/>
      <c r="E444" s="1404"/>
      <c r="F444" s="1358" t="s">
        <v>226</v>
      </c>
      <c r="G444" s="2176">
        <v>247</v>
      </c>
      <c r="H444" s="1264">
        <f>ROUND(E444*G444,)</f>
        <v>0</v>
      </c>
      <c r="I444" s="2177">
        <v>40</v>
      </c>
      <c r="J444" s="1264">
        <f t="shared" ref="J444:J449" si="85">ROUND(E444*I444,)</f>
        <v>0</v>
      </c>
      <c r="K444" s="1273">
        <f t="shared" ref="K444:K449" si="86">H444+J444</f>
        <v>0</v>
      </c>
      <c r="L444" s="1389"/>
    </row>
    <row r="445" spans="1:12" s="1199" customFormat="1" ht="24" customHeight="1">
      <c r="A445" s="1331"/>
      <c r="B445" s="2174" t="s">
        <v>1344</v>
      </c>
      <c r="C445" s="1202"/>
      <c r="D445" s="1202"/>
      <c r="E445" s="1404">
        <v>700</v>
      </c>
      <c r="F445" s="1358" t="s">
        <v>226</v>
      </c>
      <c r="G445" s="2176">
        <v>316</v>
      </c>
      <c r="H445" s="1264">
        <f>ROUND(E445*G445,)</f>
        <v>221200</v>
      </c>
      <c r="I445" s="2177">
        <v>50</v>
      </c>
      <c r="J445" s="1264">
        <f t="shared" si="85"/>
        <v>35000</v>
      </c>
      <c r="K445" s="1273">
        <f t="shared" si="86"/>
        <v>256200</v>
      </c>
      <c r="L445" s="1389"/>
    </row>
    <row r="446" spans="1:12" s="1199" customFormat="1" ht="24" customHeight="1">
      <c r="A446" s="1331"/>
      <c r="B446" s="2174" t="s">
        <v>1401</v>
      </c>
      <c r="C446" s="1202"/>
      <c r="D446" s="1202"/>
      <c r="E446" s="1404">
        <v>1000</v>
      </c>
      <c r="F446" s="1358" t="s">
        <v>226</v>
      </c>
      <c r="G446" s="2176">
        <v>455</v>
      </c>
      <c r="H446" s="1388">
        <f>ROUND(E446*G446,)</f>
        <v>455000</v>
      </c>
      <c r="I446" s="2177">
        <v>69</v>
      </c>
      <c r="J446" s="1273">
        <f t="shared" si="85"/>
        <v>69000</v>
      </c>
      <c r="K446" s="1273">
        <f t="shared" si="86"/>
        <v>524000</v>
      </c>
      <c r="L446" s="1389"/>
    </row>
    <row r="447" spans="1:12" s="1199" customFormat="1" ht="24" customHeight="1">
      <c r="A447" s="1331"/>
      <c r="B447" s="2174" t="s">
        <v>1345</v>
      </c>
      <c r="C447" s="1202"/>
      <c r="D447" s="1202"/>
      <c r="E447" s="1404">
        <v>0</v>
      </c>
      <c r="F447" s="1358" t="s">
        <v>226</v>
      </c>
      <c r="G447" s="2176">
        <v>666</v>
      </c>
      <c r="H447" s="1264">
        <f>ROUND(E447*G447,)</f>
        <v>0</v>
      </c>
      <c r="I447" s="2177">
        <v>75</v>
      </c>
      <c r="J447" s="1264">
        <f t="shared" si="85"/>
        <v>0</v>
      </c>
      <c r="K447" s="1273">
        <f t="shared" si="86"/>
        <v>0</v>
      </c>
      <c r="L447" s="1389"/>
    </row>
    <row r="448" spans="1:12" s="1199" customFormat="1" ht="24" customHeight="1">
      <c r="A448" s="1331"/>
      <c r="B448" s="2174" t="s">
        <v>1384</v>
      </c>
      <c r="C448" s="1202"/>
      <c r="D448" s="1202"/>
      <c r="E448" s="1404">
        <v>1</v>
      </c>
      <c r="F448" s="1407" t="s">
        <v>1104</v>
      </c>
      <c r="G448" s="2176">
        <f>SUM(H444:H447)*15%</f>
        <v>101430</v>
      </c>
      <c r="H448" s="1264">
        <f>ROUND(E448*G448,)</f>
        <v>101430</v>
      </c>
      <c r="I448" s="2177">
        <f>G448*0.3</f>
        <v>30429</v>
      </c>
      <c r="J448" s="1264">
        <f t="shared" si="85"/>
        <v>30429</v>
      </c>
      <c r="K448" s="1273">
        <f t="shared" si="86"/>
        <v>131859</v>
      </c>
      <c r="L448" s="1389"/>
    </row>
    <row r="449" spans="1:12" s="1199" customFormat="1" ht="24" customHeight="1">
      <c r="A449" s="1359" t="s">
        <v>1382</v>
      </c>
      <c r="B449" s="1190" t="s">
        <v>1381</v>
      </c>
      <c r="C449" s="1225"/>
      <c r="D449" s="1225"/>
      <c r="E449" s="1410">
        <v>1</v>
      </c>
      <c r="F449" s="1411" t="s">
        <v>1104</v>
      </c>
      <c r="G449" s="1392"/>
      <c r="H449" s="1393"/>
      <c r="I449" s="1394">
        <f>ROUND(SUM(H428:H442)*10%,)</f>
        <v>115332</v>
      </c>
      <c r="J449" s="1281">
        <f t="shared" si="85"/>
        <v>115332</v>
      </c>
      <c r="K449" s="1405">
        <f t="shared" si="86"/>
        <v>115332</v>
      </c>
      <c r="L449" s="1396"/>
    </row>
    <row r="450" spans="1:12" s="1199" customFormat="1" ht="24" customHeight="1">
      <c r="A450" s="1331"/>
      <c r="B450" s="2174" t="s">
        <v>1117</v>
      </c>
      <c r="C450" s="1202"/>
      <c r="D450" s="1202"/>
      <c r="E450" s="1387"/>
      <c r="F450" s="1384"/>
      <c r="G450" s="2176"/>
      <c r="H450" s="1388"/>
      <c r="I450" s="2177"/>
      <c r="J450" s="1385"/>
      <c r="K450" s="1385"/>
      <c r="L450" s="1389"/>
    </row>
    <row r="451" spans="1:12" s="1199" customFormat="1" ht="24" customHeight="1">
      <c r="A451" s="1440"/>
      <c r="B451" s="1441"/>
      <c r="C451" s="1442"/>
      <c r="D451" s="1442"/>
      <c r="E451" s="1443"/>
      <c r="F451" s="1444"/>
      <c r="G451" s="1445"/>
      <c r="H451" s="1446"/>
      <c r="I451" s="1447"/>
      <c r="J451" s="1448"/>
      <c r="K451" s="1448"/>
      <c r="L451" s="1508"/>
    </row>
    <row r="452" spans="1:12" s="1199" customFormat="1" ht="24" customHeight="1">
      <c r="A452" s="1243"/>
      <c r="B452" s="2257" t="str">
        <f>"รวมราคารายการที่ "&amp;A427</f>
        <v>รวมราคารายการที่ 3.13</v>
      </c>
      <c r="C452" s="2258"/>
      <c r="D452" s="2259"/>
      <c r="E452" s="1244"/>
      <c r="F452" s="1245"/>
      <c r="G452" s="1246"/>
      <c r="H452" s="1247">
        <f>SUM(H427:H451)</f>
        <v>1930952</v>
      </c>
      <c r="I452" s="1246"/>
      <c r="J452" s="1247">
        <f t="shared" ref="J452" si="87">SUM(J427:J451)</f>
        <v>771625</v>
      </c>
      <c r="K452" s="1247">
        <f>SUM(K427:K451)</f>
        <v>2702577</v>
      </c>
      <c r="L452" s="1245"/>
    </row>
    <row r="453" spans="1:12" s="1199" customFormat="1" ht="24" customHeight="1">
      <c r="A453" s="1381" t="s">
        <v>1385</v>
      </c>
      <c r="B453" s="1292" t="s">
        <v>1404</v>
      </c>
      <c r="C453" s="1235"/>
      <c r="D453" s="1235"/>
      <c r="E453" s="1397"/>
      <c r="F453" s="1408"/>
      <c r="G453" s="1399"/>
      <c r="H453" s="1400"/>
      <c r="I453" s="1401"/>
      <c r="J453" s="1402"/>
      <c r="K453" s="1402"/>
      <c r="L453" s="1403"/>
    </row>
    <row r="454" spans="1:12" s="1199" customFormat="1" ht="24" customHeight="1">
      <c r="A454" s="2064" t="s">
        <v>1387</v>
      </c>
      <c r="B454" s="1259" t="s">
        <v>2683</v>
      </c>
      <c r="C454" s="1221"/>
      <c r="D454" s="1221"/>
      <c r="E454" s="1404">
        <v>1</v>
      </c>
      <c r="F454" s="1267" t="s">
        <v>363</v>
      </c>
      <c r="G454" s="1414">
        <v>19240</v>
      </c>
      <c r="H454" s="1343">
        <v>19240</v>
      </c>
      <c r="I454" s="1414">
        <v>1924</v>
      </c>
      <c r="J454" s="1343">
        <v>1924</v>
      </c>
      <c r="K454" s="1262">
        <v>21164</v>
      </c>
      <c r="L454" s="1389"/>
    </row>
    <row r="455" spans="1:12" s="1199" customFormat="1" ht="24" customHeight="1">
      <c r="A455" s="2064" t="s">
        <v>1391</v>
      </c>
      <c r="B455" s="2174" t="s">
        <v>1578</v>
      </c>
      <c r="C455" s="1235"/>
      <c r="D455" s="1235"/>
      <c r="E455" s="1397"/>
      <c r="F455" s="1408"/>
      <c r="G455" s="1399"/>
      <c r="H455" s="1400"/>
      <c r="I455" s="1401"/>
      <c r="J455" s="1402"/>
      <c r="K455" s="1699"/>
      <c r="L455" s="1403"/>
    </row>
    <row r="456" spans="1:12" s="1199" customFormat="1" ht="24" customHeight="1">
      <c r="A456" s="2064"/>
      <c r="B456" s="2174" t="s">
        <v>1685</v>
      </c>
      <c r="C456" s="1191"/>
      <c r="D456" s="1471"/>
      <c r="E456" s="1387">
        <v>500</v>
      </c>
      <c r="F456" s="1358" t="s">
        <v>226</v>
      </c>
      <c r="G456" s="2179">
        <v>37</v>
      </c>
      <c r="H456" s="1273">
        <f>ROUND(G456*E456,)</f>
        <v>18500</v>
      </c>
      <c r="I456" s="1332">
        <v>5</v>
      </c>
      <c r="J456" s="1264">
        <f t="shared" ref="J456" si="88">I456*E456</f>
        <v>2500</v>
      </c>
      <c r="K456" s="1687">
        <f>J456+H456</f>
        <v>21000</v>
      </c>
      <c r="L456" s="1403"/>
    </row>
    <row r="457" spans="1:12" s="1199" customFormat="1" ht="24" customHeight="1">
      <c r="A457" s="1331"/>
      <c r="B457" s="2174" t="s">
        <v>1103</v>
      </c>
      <c r="C457" s="1202"/>
      <c r="D457" s="1202"/>
      <c r="E457" s="1404">
        <v>1</v>
      </c>
      <c r="F457" s="1384" t="s">
        <v>1104</v>
      </c>
      <c r="G457" s="2176">
        <f>ROUND(SUM(H456)*5%,)</f>
        <v>925</v>
      </c>
      <c r="H457" s="1264">
        <f>ROUND(E457*G457,)</f>
        <v>925</v>
      </c>
      <c r="I457" s="2177">
        <f>ROUND(G457*0.3,)</f>
        <v>278</v>
      </c>
      <c r="J457" s="1264">
        <f>ROUND(E457*I457,)</f>
        <v>278</v>
      </c>
      <c r="K457" s="1687">
        <f>H457+J457</f>
        <v>1203</v>
      </c>
      <c r="L457" s="1389"/>
    </row>
    <row r="458" spans="1:12" s="1199" customFormat="1" ht="24" customHeight="1">
      <c r="A458" s="1331" t="s">
        <v>1393</v>
      </c>
      <c r="B458" s="2174" t="s">
        <v>1312</v>
      </c>
      <c r="C458" s="1202"/>
      <c r="D458" s="1202"/>
      <c r="E458" s="1387"/>
      <c r="F458" s="1384"/>
      <c r="G458" s="2176"/>
      <c r="H458" s="1264"/>
      <c r="I458" s="2177"/>
      <c r="J458" s="1264"/>
      <c r="K458" s="1687"/>
      <c r="L458" s="1389"/>
    </row>
    <row r="459" spans="1:12" s="1199" customFormat="1" ht="24" customHeight="1">
      <c r="A459" s="1331"/>
      <c r="B459" s="2174" t="s">
        <v>1406</v>
      </c>
      <c r="C459" s="1202"/>
      <c r="D459" s="1202"/>
      <c r="E459" s="1404">
        <v>1500</v>
      </c>
      <c r="F459" s="1358" t="s">
        <v>226</v>
      </c>
      <c r="G459" s="2176">
        <f>ROUND(4061.5/100,)</f>
        <v>41</v>
      </c>
      <c r="H459" s="1264">
        <f>ROUND(G459*E459,)</f>
        <v>61500</v>
      </c>
      <c r="I459" s="2177">
        <v>12</v>
      </c>
      <c r="J459" s="1264">
        <f t="shared" ref="J459:J467" si="89">ROUND(E459*I459,)</f>
        <v>18000</v>
      </c>
      <c r="K459" s="1687">
        <f>H459+J459</f>
        <v>79500</v>
      </c>
      <c r="L459" s="1389"/>
    </row>
    <row r="460" spans="1:12" s="1199" customFormat="1" ht="24" customHeight="1">
      <c r="A460" s="1331"/>
      <c r="B460" s="1259" t="s">
        <v>2684</v>
      </c>
      <c r="C460" s="1221"/>
      <c r="D460" s="1221"/>
      <c r="E460" s="1404">
        <v>1350</v>
      </c>
      <c r="F460" s="1262" t="s">
        <v>226</v>
      </c>
      <c r="G460" s="1386">
        <v>31</v>
      </c>
      <c r="H460" s="1343">
        <f t="shared" ref="H460" si="90">ROUND(G460*E460,)</f>
        <v>41850</v>
      </c>
      <c r="I460" s="1414">
        <v>14</v>
      </c>
      <c r="J460" s="1343">
        <f t="shared" si="89"/>
        <v>18900</v>
      </c>
      <c r="K460" s="1268">
        <f t="shared" ref="K460" si="91">H460+J460</f>
        <v>60750</v>
      </c>
      <c r="L460" s="1389"/>
    </row>
    <row r="461" spans="1:12" s="1199" customFormat="1" ht="24" customHeight="1">
      <c r="A461" s="1331"/>
      <c r="B461" s="2174" t="s">
        <v>1103</v>
      </c>
      <c r="C461" s="1202"/>
      <c r="D461" s="1202"/>
      <c r="E461" s="1404">
        <v>1</v>
      </c>
      <c r="F461" s="1384" t="s">
        <v>1104</v>
      </c>
      <c r="G461" s="2176">
        <f>ROUND(SUM(H459)*5%,)</f>
        <v>3075</v>
      </c>
      <c r="H461" s="1264">
        <f>ROUND(E461*G461,)</f>
        <v>3075</v>
      </c>
      <c r="I461" s="2177">
        <f>ROUND(G461*0.3,)</f>
        <v>923</v>
      </c>
      <c r="J461" s="1264">
        <f>ROUND(E461*I461,)</f>
        <v>923</v>
      </c>
      <c r="K461" s="1273">
        <f>H461+J461</f>
        <v>3998</v>
      </c>
      <c r="L461" s="1389"/>
    </row>
    <row r="462" spans="1:12" s="1199" customFormat="1" ht="24" customHeight="1">
      <c r="A462" s="1331"/>
      <c r="B462" s="2174"/>
      <c r="C462" s="1202"/>
      <c r="D462" s="1202"/>
      <c r="E462" s="1404"/>
      <c r="F462" s="1384"/>
      <c r="G462" s="2176"/>
      <c r="H462" s="1264"/>
      <c r="I462" s="2177"/>
      <c r="J462" s="1264"/>
      <c r="K462" s="1273"/>
      <c r="L462" s="1389"/>
    </row>
    <row r="463" spans="1:12" s="1199" customFormat="1" ht="24" customHeight="1">
      <c r="A463" s="1331" t="s">
        <v>1395</v>
      </c>
      <c r="B463" s="2174" t="s">
        <v>1343</v>
      </c>
      <c r="C463" s="1202"/>
      <c r="D463" s="1202"/>
      <c r="E463" s="1404"/>
      <c r="F463" s="1384"/>
      <c r="G463" s="2176"/>
      <c r="H463" s="1264">
        <f>ROUND(G463*E463,)</f>
        <v>0</v>
      </c>
      <c r="I463" s="2177"/>
      <c r="J463" s="1264">
        <f t="shared" si="89"/>
        <v>0</v>
      </c>
      <c r="K463" s="1273">
        <f t="shared" ref="K463:K467" si="92">H463+J463</f>
        <v>0</v>
      </c>
      <c r="L463" s="1389"/>
    </row>
    <row r="464" spans="1:12" s="1199" customFormat="1" ht="24" customHeight="1">
      <c r="A464" s="1331"/>
      <c r="B464" s="2174" t="s">
        <v>1383</v>
      </c>
      <c r="C464" s="1202"/>
      <c r="D464" s="1202"/>
      <c r="E464" s="1404">
        <v>350</v>
      </c>
      <c r="F464" s="1358" t="s">
        <v>226</v>
      </c>
      <c r="G464" s="2176">
        <v>247</v>
      </c>
      <c r="H464" s="1264">
        <f>ROUND(E464*G464,)</f>
        <v>86450</v>
      </c>
      <c r="I464" s="2177">
        <v>40</v>
      </c>
      <c r="J464" s="1264">
        <f>ROUND(E464*I464,)</f>
        <v>14000</v>
      </c>
      <c r="K464" s="1273">
        <f>H464+J464</f>
        <v>100450</v>
      </c>
      <c r="L464" s="1389"/>
    </row>
    <row r="465" spans="1:19" s="1199" customFormat="1" ht="24" customHeight="1">
      <c r="A465" s="1331"/>
      <c r="B465" s="2174" t="s">
        <v>1344</v>
      </c>
      <c r="C465" s="1202"/>
      <c r="D465" s="1202"/>
      <c r="E465" s="1404">
        <v>500</v>
      </c>
      <c r="F465" s="1358" t="s">
        <v>226</v>
      </c>
      <c r="G465" s="2176">
        <v>316</v>
      </c>
      <c r="H465" s="1264">
        <f>ROUND(E465*G465,)</f>
        <v>158000</v>
      </c>
      <c r="I465" s="2177">
        <v>50</v>
      </c>
      <c r="J465" s="1264">
        <f t="shared" si="89"/>
        <v>25000</v>
      </c>
      <c r="K465" s="1273">
        <f t="shared" si="92"/>
        <v>183000</v>
      </c>
      <c r="L465" s="1389"/>
    </row>
    <row r="466" spans="1:19" s="1199" customFormat="1" ht="24" customHeight="1">
      <c r="A466" s="1331"/>
      <c r="B466" s="2174" t="s">
        <v>1384</v>
      </c>
      <c r="C466" s="1202"/>
      <c r="D466" s="1202"/>
      <c r="E466" s="1387">
        <v>1</v>
      </c>
      <c r="F466" s="1384" t="s">
        <v>1104</v>
      </c>
      <c r="G466" s="2176">
        <f>ROUND(SUM(H464:H465)*15%,0)</f>
        <v>36668</v>
      </c>
      <c r="H466" s="1264">
        <f>ROUND(G466*E466,)</f>
        <v>36668</v>
      </c>
      <c r="I466" s="2177">
        <f>ROUND(G466*0.3,0)</f>
        <v>11000</v>
      </c>
      <c r="J466" s="1264">
        <f t="shared" si="89"/>
        <v>11000</v>
      </c>
      <c r="K466" s="1273">
        <f t="shared" si="92"/>
        <v>47668</v>
      </c>
      <c r="L466" s="1389"/>
    </row>
    <row r="467" spans="1:19" s="1199" customFormat="1" ht="24" customHeight="1">
      <c r="A467" s="1331" t="s">
        <v>1400</v>
      </c>
      <c r="B467" s="2174" t="s">
        <v>1381</v>
      </c>
      <c r="C467" s="1202"/>
      <c r="D467" s="1202"/>
      <c r="E467" s="1387">
        <v>1</v>
      </c>
      <c r="F467" s="1384" t="s">
        <v>1104</v>
      </c>
      <c r="G467" s="2176"/>
      <c r="H467" s="1264">
        <f>ROUND(G467*E467,)</f>
        <v>0</v>
      </c>
      <c r="I467" s="2177">
        <v>25000</v>
      </c>
      <c r="J467" s="1264">
        <f t="shared" si="89"/>
        <v>25000</v>
      </c>
      <c r="K467" s="1273">
        <f t="shared" si="92"/>
        <v>25000</v>
      </c>
      <c r="L467" s="1389"/>
    </row>
    <row r="468" spans="1:19" s="1199" customFormat="1" ht="24" customHeight="1">
      <c r="A468" s="1331"/>
      <c r="B468" s="2174" t="s">
        <v>1117</v>
      </c>
      <c r="C468" s="1202"/>
      <c r="D468" s="1202"/>
      <c r="E468" s="1387"/>
      <c r="F468" s="1384"/>
      <c r="G468" s="2176"/>
      <c r="H468" s="1388"/>
      <c r="I468" s="2177"/>
      <c r="J468" s="1385"/>
      <c r="K468" s="1385"/>
      <c r="L468" s="1389"/>
    </row>
    <row r="469" spans="1:19" s="1199" customFormat="1" ht="24" customHeight="1">
      <c r="A469" s="1359"/>
      <c r="B469" s="1220" t="s">
        <v>1118</v>
      </c>
      <c r="C469" s="1225"/>
      <c r="D469" s="1225"/>
      <c r="E469" s="1390"/>
      <c r="F469" s="1391"/>
      <c r="G469" s="1392"/>
      <c r="H469" s="1393"/>
      <c r="I469" s="1394"/>
      <c r="J469" s="1395"/>
      <c r="K469" s="1395"/>
      <c r="L469" s="1396"/>
    </row>
    <row r="470" spans="1:19" s="1199" customFormat="1" ht="24" customHeight="1">
      <c r="A470" s="1243"/>
      <c r="B470" s="2257" t="str">
        <f>"รวมราคารายการที่ "&amp;A453</f>
        <v>รวมราคารายการที่ 3.14</v>
      </c>
      <c r="C470" s="2258"/>
      <c r="D470" s="2259"/>
      <c r="E470" s="1244"/>
      <c r="F470" s="1245"/>
      <c r="G470" s="1246"/>
      <c r="H470" s="1247">
        <f>SUM(H453:H469)</f>
        <v>426208</v>
      </c>
      <c r="I470" s="1246"/>
      <c r="J470" s="1247">
        <f>SUM(J453:J469)</f>
        <v>117525</v>
      </c>
      <c r="K470" s="1247">
        <f>SUM(K453:K469)</f>
        <v>543733</v>
      </c>
      <c r="L470" s="1245"/>
    </row>
    <row r="471" spans="1:19" s="1199" customFormat="1" ht="24" customHeight="1">
      <c r="A471" s="1381" t="s">
        <v>1403</v>
      </c>
      <c r="B471" s="1292" t="s">
        <v>1411</v>
      </c>
      <c r="C471" s="1235"/>
      <c r="D471" s="1235"/>
      <c r="E471" s="1397"/>
      <c r="F471" s="1194"/>
      <c r="G471" s="1399"/>
      <c r="H471" s="1400"/>
      <c r="I471" s="1401"/>
      <c r="J471" s="1402"/>
      <c r="K471" s="1402"/>
      <c r="L471" s="1403"/>
    </row>
    <row r="472" spans="1:19" s="2068" customFormat="1" ht="24" customHeight="1">
      <c r="A472" s="2065" t="s">
        <v>1405</v>
      </c>
      <c r="B472" s="2174" t="s">
        <v>2685</v>
      </c>
      <c r="C472" s="1191"/>
      <c r="D472" s="1471"/>
      <c r="E472" s="1206"/>
      <c r="F472" s="1207"/>
      <c r="G472" s="2175"/>
      <c r="H472" s="1264"/>
      <c r="I472" s="1265"/>
      <c r="J472" s="1264"/>
      <c r="K472" s="1265"/>
      <c r="L472" s="2066"/>
      <c r="M472" s="2067"/>
      <c r="N472" s="2067"/>
      <c r="O472" s="2067"/>
      <c r="P472" s="2067"/>
      <c r="Q472" s="2067"/>
      <c r="R472" s="2067"/>
      <c r="S472" s="2067"/>
    </row>
    <row r="473" spans="1:19" s="2068" customFormat="1" ht="24" customHeight="1">
      <c r="A473" s="2069"/>
      <c r="B473" s="2174" t="s">
        <v>2686</v>
      </c>
      <c r="C473" s="1191"/>
      <c r="D473" s="1471"/>
      <c r="E473" s="1206">
        <v>1</v>
      </c>
      <c r="F473" s="1207" t="s">
        <v>363</v>
      </c>
      <c r="G473" s="2178">
        <v>68500</v>
      </c>
      <c r="H473" s="1264">
        <f>ROUND(E473*G473,)</f>
        <v>68500</v>
      </c>
      <c r="I473" s="1344">
        <f>ROUND(G473*0.01,)</f>
        <v>685</v>
      </c>
      <c r="J473" s="1264">
        <f>ROUND(I473*E473,)</f>
        <v>685</v>
      </c>
      <c r="K473" s="1265">
        <f>H473+J473</f>
        <v>69185</v>
      </c>
      <c r="L473" s="2066"/>
      <c r="M473" s="2067"/>
      <c r="N473" s="2067"/>
      <c r="O473" s="2067"/>
      <c r="P473" s="2067"/>
      <c r="Q473" s="2067"/>
      <c r="R473" s="2067"/>
      <c r="S473" s="2067"/>
    </row>
    <row r="474" spans="1:19" s="2068" customFormat="1" ht="24" customHeight="1">
      <c r="A474" s="2069"/>
      <c r="B474" s="2174" t="s">
        <v>2687</v>
      </c>
      <c r="C474" s="1191"/>
      <c r="D474" s="1471"/>
      <c r="E474" s="1206">
        <v>1</v>
      </c>
      <c r="F474" s="1207" t="s">
        <v>363</v>
      </c>
      <c r="G474" s="2175">
        <v>3598</v>
      </c>
      <c r="H474" s="1264">
        <f>ROUND(E474*G474,)</f>
        <v>3598</v>
      </c>
      <c r="I474" s="1344">
        <f>ROUND(G474*0.01,)</f>
        <v>36</v>
      </c>
      <c r="J474" s="1264">
        <f>ROUND(I474*E474,)</f>
        <v>36</v>
      </c>
      <c r="K474" s="1265">
        <f>H474+J474</f>
        <v>3634</v>
      </c>
      <c r="L474" s="2066"/>
      <c r="M474" s="2067"/>
      <c r="N474" s="2067"/>
      <c r="O474" s="2067"/>
      <c r="P474" s="2067"/>
      <c r="Q474" s="2067"/>
      <c r="R474" s="2067"/>
      <c r="S474" s="2067"/>
    </row>
    <row r="475" spans="1:19" s="2068" customFormat="1" ht="24" customHeight="1">
      <c r="A475" s="2069"/>
      <c r="B475" s="2174" t="s">
        <v>2688</v>
      </c>
      <c r="C475" s="1191"/>
      <c r="D475" s="1471"/>
      <c r="E475" s="1206">
        <v>24</v>
      </c>
      <c r="F475" s="1207" t="s">
        <v>363</v>
      </c>
      <c r="G475" s="2175">
        <v>245</v>
      </c>
      <c r="H475" s="1264">
        <f>ROUND(E475*G475,)</f>
        <v>5880</v>
      </c>
      <c r="I475" s="1344">
        <f>ROUND(G475*0.01,)</f>
        <v>2</v>
      </c>
      <c r="J475" s="1264">
        <f>ROUND(I475*E475,)</f>
        <v>48</v>
      </c>
      <c r="K475" s="1265">
        <f>H475+J475</f>
        <v>5928</v>
      </c>
      <c r="L475" s="2066"/>
      <c r="M475" s="2067"/>
      <c r="N475" s="2067"/>
      <c r="O475" s="2067"/>
      <c r="P475" s="2067"/>
      <c r="Q475" s="2067"/>
      <c r="R475" s="2067"/>
      <c r="S475" s="2067"/>
    </row>
    <row r="476" spans="1:19" s="2068" customFormat="1" ht="24" customHeight="1">
      <c r="A476" s="2069"/>
      <c r="B476" s="2174" t="s">
        <v>2689</v>
      </c>
      <c r="C476" s="1191"/>
      <c r="D476" s="1471"/>
      <c r="E476" s="1206"/>
      <c r="F476" s="1207" t="s">
        <v>363</v>
      </c>
      <c r="G476" s="2175">
        <v>22500</v>
      </c>
      <c r="H476" s="1264">
        <f>ROUND(E476*G476,)</f>
        <v>0</v>
      </c>
      <c r="I476" s="1344">
        <f>ROUND(G476*0.01,)</f>
        <v>225</v>
      </c>
      <c r="J476" s="1264">
        <f>ROUND(I476*E476,)</f>
        <v>0</v>
      </c>
      <c r="K476" s="1265">
        <f>H476+J476</f>
        <v>0</v>
      </c>
      <c r="L476" s="2066"/>
      <c r="M476" s="2067"/>
      <c r="N476" s="2067"/>
      <c r="O476" s="2067"/>
      <c r="P476" s="2067"/>
      <c r="Q476" s="2067"/>
      <c r="R476" s="2067"/>
      <c r="S476" s="2067"/>
    </row>
    <row r="477" spans="1:19" s="2068" customFormat="1" ht="24" customHeight="1">
      <c r="A477" s="2065" t="s">
        <v>1407</v>
      </c>
      <c r="B477" s="2174" t="s">
        <v>2690</v>
      </c>
      <c r="C477" s="1191"/>
      <c r="D477" s="1471"/>
      <c r="E477" s="1206"/>
      <c r="F477" s="1207"/>
      <c r="G477" s="2175"/>
      <c r="H477" s="1264"/>
      <c r="I477" s="1265"/>
      <c r="J477" s="1264"/>
      <c r="K477" s="1265"/>
      <c r="L477" s="2066"/>
      <c r="M477" s="2067"/>
      <c r="N477" s="2067"/>
      <c r="O477" s="2067"/>
      <c r="P477" s="2067"/>
      <c r="Q477" s="2067"/>
      <c r="R477" s="2067"/>
      <c r="S477" s="2067"/>
    </row>
    <row r="478" spans="1:19" s="2068" customFormat="1" ht="24" customHeight="1">
      <c r="A478" s="2069"/>
      <c r="B478" s="2174" t="s">
        <v>2686</v>
      </c>
      <c r="C478" s="1191"/>
      <c r="D478" s="1471"/>
      <c r="E478" s="1206">
        <v>1</v>
      </c>
      <c r="F478" s="1207" t="s">
        <v>363</v>
      </c>
      <c r="G478" s="2178">
        <v>68500</v>
      </c>
      <c r="H478" s="1264">
        <f>ROUND(E478*G478,)</f>
        <v>68500</v>
      </c>
      <c r="I478" s="1344">
        <f>ROUND(G478*0.01,)</f>
        <v>685</v>
      </c>
      <c r="J478" s="1264">
        <f>ROUND(I478*E478,)</f>
        <v>685</v>
      </c>
      <c r="K478" s="1265">
        <f>H478+J478</f>
        <v>69185</v>
      </c>
      <c r="L478" s="2066"/>
      <c r="M478" s="2067"/>
      <c r="N478" s="2067"/>
      <c r="O478" s="2067"/>
      <c r="P478" s="2067"/>
      <c r="Q478" s="2067"/>
      <c r="R478" s="2067"/>
      <c r="S478" s="2067"/>
    </row>
    <row r="479" spans="1:19" s="2068" customFormat="1" ht="24" customHeight="1">
      <c r="A479" s="2069"/>
      <c r="B479" s="2174" t="s">
        <v>2687</v>
      </c>
      <c r="C479" s="1191"/>
      <c r="D479" s="1471"/>
      <c r="E479" s="1206">
        <v>1</v>
      </c>
      <c r="F479" s="1207" t="s">
        <v>363</v>
      </c>
      <c r="G479" s="2175">
        <v>3598</v>
      </c>
      <c r="H479" s="1264">
        <f>ROUND(E479*G479,)</f>
        <v>3598</v>
      </c>
      <c r="I479" s="1344">
        <f>ROUND(G479*0.01,)</f>
        <v>36</v>
      </c>
      <c r="J479" s="1264">
        <f>ROUND(I479*E479,)</f>
        <v>36</v>
      </c>
      <c r="K479" s="1265">
        <f>H479+J479</f>
        <v>3634</v>
      </c>
      <c r="L479" s="2066"/>
      <c r="M479" s="2067"/>
      <c r="N479" s="2067"/>
      <c r="O479" s="2067"/>
      <c r="P479" s="2067"/>
      <c r="Q479" s="2067"/>
      <c r="R479" s="2067"/>
      <c r="S479" s="2067"/>
    </row>
    <row r="480" spans="1:19" s="2068" customFormat="1" ht="24" customHeight="1">
      <c r="A480" s="2069"/>
      <c r="B480" s="2174" t="s">
        <v>2688</v>
      </c>
      <c r="C480" s="1191"/>
      <c r="D480" s="1471"/>
      <c r="E480" s="1206">
        <v>24</v>
      </c>
      <c r="F480" s="1207" t="s">
        <v>363</v>
      </c>
      <c r="G480" s="2175">
        <v>245</v>
      </c>
      <c r="H480" s="1264">
        <f>ROUND(E480*G480,)</f>
        <v>5880</v>
      </c>
      <c r="I480" s="1344">
        <f>ROUND(G480*0.01,)</f>
        <v>2</v>
      </c>
      <c r="J480" s="1264">
        <f>ROUND(I480*E480,)</f>
        <v>48</v>
      </c>
      <c r="K480" s="1265">
        <f>H480+J480</f>
        <v>5928</v>
      </c>
      <c r="L480" s="2066"/>
      <c r="M480" s="2067"/>
      <c r="N480" s="2067"/>
      <c r="O480" s="2067"/>
      <c r="P480" s="2067"/>
      <c r="Q480" s="2067"/>
      <c r="R480" s="2067"/>
      <c r="S480" s="2067"/>
    </row>
    <row r="481" spans="1:19" s="2068" customFormat="1" ht="24" customHeight="1">
      <c r="A481" s="2069"/>
      <c r="B481" s="2174" t="s">
        <v>2689</v>
      </c>
      <c r="C481" s="1191"/>
      <c r="D481" s="1471"/>
      <c r="E481" s="1206"/>
      <c r="F481" s="1207" t="s">
        <v>363</v>
      </c>
      <c r="G481" s="2175">
        <v>22500</v>
      </c>
      <c r="H481" s="1264">
        <f>ROUND(E481*G481,)</f>
        <v>0</v>
      </c>
      <c r="I481" s="1344">
        <f>ROUND(G481*0.01,)</f>
        <v>225</v>
      </c>
      <c r="J481" s="1264">
        <f>ROUND(I481*E481,)</f>
        <v>0</v>
      </c>
      <c r="K481" s="1265">
        <f>H481+J481</f>
        <v>0</v>
      </c>
      <c r="L481" s="2066"/>
      <c r="M481" s="2067"/>
      <c r="N481" s="2067"/>
      <c r="O481" s="2067"/>
      <c r="P481" s="2067"/>
      <c r="Q481" s="2067"/>
      <c r="R481" s="2067"/>
      <c r="S481" s="2067"/>
    </row>
    <row r="482" spans="1:19" s="1199" customFormat="1" ht="24" customHeight="1">
      <c r="A482" s="1339" t="s">
        <v>1408</v>
      </c>
      <c r="B482" s="1259" t="s">
        <v>2691</v>
      </c>
      <c r="C482" s="1221"/>
      <c r="D482" s="1221"/>
      <c r="E482" s="1404"/>
      <c r="F482" s="1267"/>
      <c r="G482" s="1386"/>
      <c r="H482" s="1413"/>
      <c r="I482" s="1414"/>
      <c r="J482" s="1415"/>
      <c r="K482" s="1415"/>
      <c r="L482" s="1389"/>
    </row>
    <row r="483" spans="1:19" s="1199" customFormat="1" ht="24" customHeight="1">
      <c r="A483" s="1339"/>
      <c r="B483" s="1259" t="s">
        <v>2692</v>
      </c>
      <c r="C483" s="1221"/>
      <c r="D483" s="1221"/>
      <c r="E483" s="1404">
        <v>1</v>
      </c>
      <c r="F483" s="1267" t="s">
        <v>363</v>
      </c>
      <c r="G483" s="1386">
        <v>20000</v>
      </c>
      <c r="H483" s="1343">
        <f t="shared" ref="H483:H486" si="93">ROUND(G483*E483,)</f>
        <v>20000</v>
      </c>
      <c r="I483" s="1414">
        <f t="shared" ref="I483:I486" si="94">G483*0.1</f>
        <v>2000</v>
      </c>
      <c r="J483" s="1343">
        <f t="shared" ref="J483:J486" si="95">ROUND(E483*I483,)</f>
        <v>2000</v>
      </c>
      <c r="K483" s="1262">
        <f t="shared" ref="K483:K486" si="96">H483+J483</f>
        <v>22000</v>
      </c>
      <c r="L483" s="1389"/>
    </row>
    <row r="484" spans="1:19" s="1199" customFormat="1" ht="24" customHeight="1">
      <c r="A484" s="1339"/>
      <c r="B484" s="1259" t="s">
        <v>2693</v>
      </c>
      <c r="C484" s="1221"/>
      <c r="D484" s="1221"/>
      <c r="E484" s="1404">
        <v>1</v>
      </c>
      <c r="F484" s="1267" t="s">
        <v>363</v>
      </c>
      <c r="G484" s="1386">
        <v>20000</v>
      </c>
      <c r="H484" s="1343">
        <f t="shared" si="93"/>
        <v>20000</v>
      </c>
      <c r="I484" s="1414">
        <f t="shared" si="94"/>
        <v>2000</v>
      </c>
      <c r="J484" s="1343">
        <f t="shared" si="95"/>
        <v>2000</v>
      </c>
      <c r="K484" s="1262">
        <f t="shared" si="96"/>
        <v>22000</v>
      </c>
      <c r="L484" s="1389"/>
    </row>
    <row r="485" spans="1:19" s="1199" customFormat="1" ht="24" customHeight="1">
      <c r="A485" s="1339"/>
      <c r="B485" s="1259" t="s">
        <v>2694</v>
      </c>
      <c r="C485" s="1221"/>
      <c r="D485" s="1221"/>
      <c r="E485" s="1404">
        <v>1</v>
      </c>
      <c r="F485" s="1267" t="s">
        <v>363</v>
      </c>
      <c r="G485" s="1386">
        <v>20000</v>
      </c>
      <c r="H485" s="1343">
        <f t="shared" si="93"/>
        <v>20000</v>
      </c>
      <c r="I485" s="1414">
        <f t="shared" si="94"/>
        <v>2000</v>
      </c>
      <c r="J485" s="1343">
        <f t="shared" si="95"/>
        <v>2000</v>
      </c>
      <c r="K485" s="1262">
        <f t="shared" si="96"/>
        <v>22000</v>
      </c>
      <c r="L485" s="1389"/>
    </row>
    <row r="486" spans="1:19" s="1199" customFormat="1" ht="24" customHeight="1">
      <c r="A486" s="1339"/>
      <c r="B486" s="1259" t="s">
        <v>2695</v>
      </c>
      <c r="C486" s="1221"/>
      <c r="D486" s="1221"/>
      <c r="E486" s="1404">
        <v>1</v>
      </c>
      <c r="F486" s="1267" t="s">
        <v>363</v>
      </c>
      <c r="G486" s="1386">
        <v>20000</v>
      </c>
      <c r="H486" s="1343">
        <f t="shared" si="93"/>
        <v>20000</v>
      </c>
      <c r="I486" s="1414">
        <f t="shared" si="94"/>
        <v>2000</v>
      </c>
      <c r="J486" s="1343">
        <f t="shared" si="95"/>
        <v>2000</v>
      </c>
      <c r="K486" s="1262">
        <f t="shared" si="96"/>
        <v>22000</v>
      </c>
      <c r="L486" s="1389"/>
    </row>
    <row r="487" spans="1:19" s="1199" customFormat="1" ht="24" customHeight="1">
      <c r="A487" s="1470" t="s">
        <v>1409</v>
      </c>
      <c r="B487" s="1259" t="s">
        <v>2697</v>
      </c>
      <c r="C487" s="1221"/>
      <c r="D487" s="1221"/>
      <c r="E487" s="1404"/>
      <c r="F487" s="1267"/>
      <c r="G487" s="1386"/>
      <c r="H487" s="1413"/>
      <c r="I487" s="1414"/>
      <c r="J487" s="1415"/>
      <c r="K487" s="1415"/>
      <c r="L487" s="1389"/>
    </row>
    <row r="488" spans="1:19" s="1199" customFormat="1" ht="24" customHeight="1">
      <c r="A488" s="1339"/>
      <c r="B488" s="1259" t="s">
        <v>2698</v>
      </c>
      <c r="C488" s="1221"/>
      <c r="D488" s="1221"/>
      <c r="E488" s="1404">
        <v>1</v>
      </c>
      <c r="F488" s="1267" t="s">
        <v>363</v>
      </c>
      <c r="G488" s="1386">
        <v>300000</v>
      </c>
      <c r="H488" s="1343">
        <f t="shared" ref="H488:H489" si="97">ROUND(G488*E488,)</f>
        <v>300000</v>
      </c>
      <c r="I488" s="1414">
        <f t="shared" ref="I488:I489" si="98">G488*0.1</f>
        <v>30000</v>
      </c>
      <c r="J488" s="1343">
        <f t="shared" ref="J488:J489" si="99">ROUND(E488*I488,)</f>
        <v>30000</v>
      </c>
      <c r="K488" s="1262">
        <f t="shared" ref="K488:K490" si="100">H488+J488</f>
        <v>330000</v>
      </c>
      <c r="L488" s="1389"/>
    </row>
    <row r="489" spans="1:19" s="1199" customFormat="1" ht="24" customHeight="1">
      <c r="A489" s="1339"/>
      <c r="B489" s="1259" t="s">
        <v>2699</v>
      </c>
      <c r="C489" s="1221"/>
      <c r="D489" s="1221"/>
      <c r="E489" s="1404">
        <v>4</v>
      </c>
      <c r="F489" s="1267" t="s">
        <v>363</v>
      </c>
      <c r="G489" s="1386">
        <v>16000</v>
      </c>
      <c r="H489" s="1343">
        <f t="shared" si="97"/>
        <v>64000</v>
      </c>
      <c r="I489" s="1414">
        <f t="shared" si="98"/>
        <v>1600</v>
      </c>
      <c r="J489" s="1343">
        <f t="shared" si="99"/>
        <v>6400</v>
      </c>
      <c r="K489" s="1262">
        <f t="shared" si="100"/>
        <v>70400</v>
      </c>
      <c r="L489" s="1389"/>
    </row>
    <row r="490" spans="1:19" s="1199" customFormat="1" ht="24" customHeight="1">
      <c r="A490" s="1406" t="s">
        <v>2681</v>
      </c>
      <c r="B490" s="2174" t="s">
        <v>2676</v>
      </c>
      <c r="C490" s="1235"/>
      <c r="D490" s="1235"/>
      <c r="E490" s="1397">
        <v>1</v>
      </c>
      <c r="F490" s="1408" t="s">
        <v>363</v>
      </c>
      <c r="G490" s="1399">
        <v>45000</v>
      </c>
      <c r="H490" s="1400">
        <f>G490*E490</f>
        <v>45000</v>
      </c>
      <c r="I490" s="1401">
        <f>G490*0.1</f>
        <v>4500</v>
      </c>
      <c r="J490" s="1402">
        <f>I490*E490</f>
        <v>4500</v>
      </c>
      <c r="K490" s="1405">
        <f t="shared" si="100"/>
        <v>49500</v>
      </c>
      <c r="L490" s="1403"/>
    </row>
    <row r="491" spans="1:19" s="1199" customFormat="1" ht="24" customHeight="1">
      <c r="A491" s="1406" t="s">
        <v>2682</v>
      </c>
      <c r="B491" s="2174" t="s">
        <v>3008</v>
      </c>
      <c r="C491" s="1191"/>
      <c r="D491" s="1471"/>
      <c r="E491" s="1206">
        <v>1</v>
      </c>
      <c r="F491" s="1207" t="s">
        <v>363</v>
      </c>
      <c r="G491" s="2175">
        <v>15000</v>
      </c>
      <c r="H491" s="1264">
        <f>ROUND(E491*G491,)</f>
        <v>15000</v>
      </c>
      <c r="I491" s="1265"/>
      <c r="J491" s="1264">
        <f>ROUND(I491*E491,)</f>
        <v>0</v>
      </c>
      <c r="K491" s="1265">
        <f>H491+J491</f>
        <v>15000</v>
      </c>
      <c r="L491" s="1473"/>
      <c r="M491" s="1214"/>
      <c r="N491" s="1214"/>
      <c r="O491" s="1214"/>
      <c r="P491" s="1214"/>
      <c r="Q491" s="1214"/>
      <c r="R491" s="1214"/>
      <c r="S491" s="1214"/>
    </row>
    <row r="492" spans="1:19" s="1199" customFormat="1" ht="24" customHeight="1">
      <c r="A492" s="1406" t="s">
        <v>2973</v>
      </c>
      <c r="B492" s="2174" t="s">
        <v>1578</v>
      </c>
      <c r="C492" s="1191"/>
      <c r="D492" s="1471"/>
      <c r="E492" s="1206"/>
      <c r="F492" s="1207"/>
      <c r="G492" s="2179"/>
      <c r="H492" s="1273"/>
      <c r="I492" s="1332"/>
      <c r="J492" s="1264"/>
      <c r="K492" s="1265"/>
      <c r="L492" s="1473"/>
      <c r="M492" s="1214"/>
      <c r="N492" s="1214"/>
      <c r="O492" s="1214"/>
      <c r="P492" s="1214"/>
      <c r="Q492" s="1214"/>
      <c r="R492" s="1214"/>
      <c r="S492" s="1214"/>
    </row>
    <row r="493" spans="1:19" s="1199" customFormat="1" ht="24" customHeight="1">
      <c r="A493" s="1478"/>
      <c r="B493" s="2174" t="s">
        <v>1685</v>
      </c>
      <c r="C493" s="1191"/>
      <c r="D493" s="1471"/>
      <c r="E493" s="1387">
        <v>20</v>
      </c>
      <c r="F493" s="1207"/>
      <c r="G493" s="2179">
        <v>37</v>
      </c>
      <c r="H493" s="1273">
        <f>ROUND(G493*E493,)</f>
        <v>740</v>
      </c>
      <c r="I493" s="1332">
        <v>5</v>
      </c>
      <c r="J493" s="1264">
        <f t="shared" ref="J493" si="101">I493*E493</f>
        <v>100</v>
      </c>
      <c r="K493" s="1265">
        <f>J493+H493</f>
        <v>840</v>
      </c>
      <c r="L493" s="1473"/>
      <c r="M493" s="1214"/>
      <c r="N493" s="1214"/>
      <c r="O493" s="1214"/>
      <c r="P493" s="1214"/>
      <c r="Q493" s="1214"/>
      <c r="R493" s="1214"/>
      <c r="S493" s="1214"/>
    </row>
    <row r="494" spans="1:19" s="1199" customFormat="1" ht="24" customHeight="1">
      <c r="A494" s="1331"/>
      <c r="B494" s="2174" t="s">
        <v>1103</v>
      </c>
      <c r="C494" s="1202"/>
      <c r="D494" s="1202"/>
      <c r="E494" s="1404">
        <v>1</v>
      </c>
      <c r="F494" s="1384" t="s">
        <v>1104</v>
      </c>
      <c r="G494" s="2176">
        <f>ROUND(SUM(H493)*5%,0)</f>
        <v>37</v>
      </c>
      <c r="H494" s="1264">
        <f>ROUND(E494*G494,)</f>
        <v>37</v>
      </c>
      <c r="I494" s="2177">
        <f>ROUND(G494*0.3,0)</f>
        <v>11</v>
      </c>
      <c r="J494" s="1264">
        <f>ROUND(E494*I494,)</f>
        <v>11</v>
      </c>
      <c r="K494" s="1273">
        <f>H494+J494</f>
        <v>48</v>
      </c>
      <c r="L494" s="1389"/>
    </row>
    <row r="495" spans="1:19" s="1199" customFormat="1" ht="24" customHeight="1">
      <c r="A495" s="1331" t="s">
        <v>2974</v>
      </c>
      <c r="B495" s="2174" t="s">
        <v>1397</v>
      </c>
      <c r="C495" s="1202"/>
      <c r="D495" s="1202"/>
      <c r="E495" s="1404"/>
      <c r="F495" s="1407"/>
      <c r="G495" s="2176"/>
      <c r="H495" s="1388"/>
      <c r="I495" s="2177"/>
      <c r="J495" s="1385"/>
      <c r="K495" s="1385"/>
      <c r="L495" s="1389"/>
    </row>
    <row r="496" spans="1:19" s="1199" customFormat="1" ht="24" customHeight="1">
      <c r="A496" s="1331"/>
      <c r="B496" s="2174" t="s">
        <v>1398</v>
      </c>
      <c r="C496" s="1202"/>
      <c r="D496" s="1202"/>
      <c r="E496" s="1404">
        <v>1000</v>
      </c>
      <c r="F496" s="1358" t="s">
        <v>226</v>
      </c>
      <c r="G496" s="2176">
        <v>27</v>
      </c>
      <c r="H496" s="1264">
        <f>ROUND(E496*G496,)</f>
        <v>27000</v>
      </c>
      <c r="I496" s="2177">
        <v>12</v>
      </c>
      <c r="J496" s="1264">
        <f>ROUND(E496*I496,)</f>
        <v>12000</v>
      </c>
      <c r="K496" s="1273">
        <f>H496+J496</f>
        <v>39000</v>
      </c>
      <c r="L496" s="1389"/>
    </row>
    <row r="497" spans="1:19" s="1199" customFormat="1" ht="24" customHeight="1">
      <c r="A497" s="1331"/>
      <c r="B497" s="2174" t="s">
        <v>1103</v>
      </c>
      <c r="C497" s="1202"/>
      <c r="D497" s="1202"/>
      <c r="E497" s="1404">
        <v>1</v>
      </c>
      <c r="F497" s="1384" t="s">
        <v>1104</v>
      </c>
      <c r="G497" s="2176">
        <f>SUM(H496)*5%</f>
        <v>1350</v>
      </c>
      <c r="H497" s="1264">
        <f>ROUND(E497*G497,)</f>
        <v>1350</v>
      </c>
      <c r="I497" s="2177">
        <f>G497*0.3</f>
        <v>405</v>
      </c>
      <c r="J497" s="1264">
        <f>ROUND(E497*I497,)</f>
        <v>405</v>
      </c>
      <c r="K497" s="1273">
        <f>H497+J497</f>
        <v>1755</v>
      </c>
      <c r="L497" s="1389"/>
    </row>
    <row r="498" spans="1:19" s="1199" customFormat="1" ht="24" customHeight="1">
      <c r="A498" s="1331" t="s">
        <v>2975</v>
      </c>
      <c r="B498" s="2174" t="s">
        <v>1526</v>
      </c>
      <c r="C498" s="1202"/>
      <c r="D498" s="1202"/>
      <c r="E498" s="1404"/>
      <c r="F498" s="1384"/>
      <c r="G498" s="2176"/>
      <c r="H498" s="1264"/>
      <c r="I498" s="2177"/>
      <c r="J498" s="1264"/>
      <c r="K498" s="1273"/>
      <c r="L498" s="1385"/>
      <c r="M498" s="1214"/>
      <c r="N498" s="1214"/>
      <c r="O498" s="1214"/>
      <c r="P498" s="1214"/>
      <c r="Q498" s="1214"/>
    </row>
    <row r="499" spans="1:19" s="1199" customFormat="1" ht="24" customHeight="1">
      <c r="A499" s="1331"/>
      <c r="B499" s="2174" t="s">
        <v>1350</v>
      </c>
      <c r="C499" s="1202"/>
      <c r="D499" s="1202"/>
      <c r="E499" s="1387">
        <v>20</v>
      </c>
      <c r="F499" s="1358" t="s">
        <v>226</v>
      </c>
      <c r="G499" s="2176">
        <v>27</v>
      </c>
      <c r="H499" s="1264">
        <f t="shared" ref="H499:H500" si="102">ROUND(E499*G499,)</f>
        <v>540</v>
      </c>
      <c r="I499" s="2177">
        <v>22</v>
      </c>
      <c r="J499" s="1264">
        <f t="shared" ref="J499:J500" si="103">ROUND(E499*I499,)</f>
        <v>440</v>
      </c>
      <c r="K499" s="1802">
        <f t="shared" ref="K499:K500" si="104">H499+J499</f>
        <v>980</v>
      </c>
      <c r="L499" s="2001" t="s">
        <v>2667</v>
      </c>
      <c r="M499" s="1214"/>
      <c r="P499" s="1214"/>
      <c r="Q499" s="1214"/>
    </row>
    <row r="500" spans="1:19" s="1199" customFormat="1" ht="24" customHeight="1">
      <c r="A500" s="1331"/>
      <c r="B500" s="2174" t="s">
        <v>1384</v>
      </c>
      <c r="C500" s="1202"/>
      <c r="D500" s="1202"/>
      <c r="E500" s="1387">
        <v>1</v>
      </c>
      <c r="F500" s="1384" t="s">
        <v>1104</v>
      </c>
      <c r="G500" s="2176">
        <f>ROUND(SUM(H499)*15%,0)</f>
        <v>81</v>
      </c>
      <c r="H500" s="1264">
        <f t="shared" si="102"/>
        <v>81</v>
      </c>
      <c r="I500" s="2177">
        <f>ROUND(G500*0.3,0)</f>
        <v>24</v>
      </c>
      <c r="J500" s="1264">
        <f t="shared" si="103"/>
        <v>24</v>
      </c>
      <c r="K500" s="1273">
        <f t="shared" si="104"/>
        <v>105</v>
      </c>
      <c r="L500" s="1385"/>
      <c r="M500" s="1214"/>
      <c r="N500" s="1214"/>
      <c r="O500" s="1214"/>
      <c r="P500" s="1214"/>
      <c r="Q500" s="1214"/>
    </row>
    <row r="501" spans="1:19" s="1199" customFormat="1" ht="24" customHeight="1">
      <c r="A501" s="1331" t="s">
        <v>2976</v>
      </c>
      <c r="B501" s="2174" t="s">
        <v>1343</v>
      </c>
      <c r="C501" s="1202"/>
      <c r="D501" s="1202"/>
      <c r="E501" s="1404"/>
      <c r="F501" s="1384"/>
      <c r="G501" s="2176"/>
      <c r="H501" s="1388"/>
      <c r="I501" s="2177"/>
      <c r="J501" s="1385"/>
      <c r="K501" s="1385"/>
      <c r="L501" s="1389"/>
    </row>
    <row r="502" spans="1:19" s="1199" customFormat="1" ht="24" customHeight="1">
      <c r="A502" s="1331"/>
      <c r="B502" s="2174" t="s">
        <v>1344</v>
      </c>
      <c r="C502" s="1202"/>
      <c r="D502" s="1202"/>
      <c r="E502" s="1404"/>
      <c r="F502" s="1358" t="s">
        <v>226</v>
      </c>
      <c r="G502" s="2176">
        <v>316</v>
      </c>
      <c r="H502" s="1264">
        <f>ROUND(E502*G502,)</f>
        <v>0</v>
      </c>
      <c r="I502" s="2177">
        <v>50</v>
      </c>
      <c r="J502" s="1264">
        <f>ROUND(E502*I502,)</f>
        <v>0</v>
      </c>
      <c r="K502" s="1273">
        <f>H502+J502</f>
        <v>0</v>
      </c>
      <c r="L502" s="1389"/>
    </row>
    <row r="503" spans="1:19" s="1199" customFormat="1" ht="24" customHeight="1">
      <c r="A503" s="1331"/>
      <c r="B503" s="2174" t="s">
        <v>1384</v>
      </c>
      <c r="C503" s="1202"/>
      <c r="D503" s="1202"/>
      <c r="E503" s="1404"/>
      <c r="F503" s="1384" t="s">
        <v>1104</v>
      </c>
      <c r="G503" s="2176">
        <f>SUM(H502)*15%</f>
        <v>0</v>
      </c>
      <c r="H503" s="1264">
        <f>ROUND(G503*E503,)</f>
        <v>0</v>
      </c>
      <c r="I503" s="2177">
        <f>G503*0.3</f>
        <v>0</v>
      </c>
      <c r="J503" s="1264">
        <f>ROUND(E503*I503,)</f>
        <v>0</v>
      </c>
      <c r="K503" s="1273">
        <f>H503+J503</f>
        <v>0</v>
      </c>
      <c r="L503" s="1389"/>
    </row>
    <row r="504" spans="1:19" s="1199" customFormat="1" ht="24" customHeight="1">
      <c r="A504" s="1331" t="s">
        <v>2977</v>
      </c>
      <c r="B504" s="2174" t="s">
        <v>1381</v>
      </c>
      <c r="C504" s="1202"/>
      <c r="D504" s="1202"/>
      <c r="E504" s="1404">
        <v>1</v>
      </c>
      <c r="F504" s="1384" t="s">
        <v>1104</v>
      </c>
      <c r="G504" s="2176"/>
      <c r="H504" s="1388"/>
      <c r="I504" s="2177">
        <v>50000</v>
      </c>
      <c r="J504" s="1264">
        <f>ROUND(E504*I504,)</f>
        <v>50000</v>
      </c>
      <c r="K504" s="1273">
        <f>H504+J504</f>
        <v>50000</v>
      </c>
      <c r="L504" s="1389"/>
    </row>
    <row r="505" spans="1:19" s="1199" customFormat="1" ht="24" customHeight="1">
      <c r="A505" s="1359"/>
      <c r="B505" s="1190" t="s">
        <v>1117</v>
      </c>
      <c r="C505" s="1225"/>
      <c r="D505" s="1225"/>
      <c r="E505" s="1410"/>
      <c r="F505" s="1391"/>
      <c r="G505" s="1392"/>
      <c r="H505" s="1393"/>
      <c r="I505" s="1394"/>
      <c r="J505" s="1395"/>
      <c r="K505" s="1395"/>
      <c r="L505" s="1396"/>
    </row>
    <row r="506" spans="1:19" s="1199" customFormat="1" ht="24" customHeight="1">
      <c r="A506" s="1339"/>
      <c r="B506" s="1220" t="s">
        <v>1118</v>
      </c>
      <c r="C506" s="1225"/>
      <c r="D506" s="1225"/>
      <c r="E506" s="1404"/>
      <c r="F506" s="1412"/>
      <c r="G506" s="1386"/>
      <c r="H506" s="1413"/>
      <c r="I506" s="1414"/>
      <c r="J506" s="1415"/>
      <c r="K506" s="1415"/>
      <c r="L506" s="1415"/>
      <c r="M506" s="1214"/>
      <c r="N506" s="1214"/>
      <c r="O506" s="1214"/>
      <c r="P506" s="1214"/>
    </row>
    <row r="507" spans="1:19" s="1199" customFormat="1" ht="24" customHeight="1">
      <c r="A507" s="1339"/>
      <c r="B507" s="1220" t="s">
        <v>1118</v>
      </c>
      <c r="C507" s="1225"/>
      <c r="D507" s="1225"/>
      <c r="E507" s="1404"/>
      <c r="F507" s="1412"/>
      <c r="G507" s="1386"/>
      <c r="H507" s="1413"/>
      <c r="I507" s="1414"/>
      <c r="J507" s="1415"/>
      <c r="K507" s="1415"/>
      <c r="L507" s="1415"/>
      <c r="M507" s="1214"/>
      <c r="N507" s="1214"/>
      <c r="O507" s="1214"/>
      <c r="P507" s="1214"/>
    </row>
    <row r="508" spans="1:19" s="1199" customFormat="1" ht="24" customHeight="1">
      <c r="A508" s="1243"/>
      <c r="B508" s="2257" t="str">
        <f>"รวมราคารายการที่ "&amp;A471</f>
        <v>รวมราคารายการที่ 3.15</v>
      </c>
      <c r="C508" s="2258"/>
      <c r="D508" s="2259"/>
      <c r="E508" s="1244"/>
      <c r="F508" s="1245"/>
      <c r="G508" s="1246"/>
      <c r="H508" s="1247">
        <f>SUM(H471:H507)</f>
        <v>689704</v>
      </c>
      <c r="I508" s="1246"/>
      <c r="J508" s="1247">
        <f>SUM(J471:J507)</f>
        <v>113418</v>
      </c>
      <c r="K508" s="1247">
        <f>SUM(K471:K507)</f>
        <v>803122</v>
      </c>
      <c r="L508" s="1245"/>
    </row>
    <row r="509" spans="1:19" s="1199" customFormat="1" ht="24" customHeight="1">
      <c r="A509" s="1381" t="s">
        <v>1410</v>
      </c>
      <c r="B509" s="1292" t="s">
        <v>1419</v>
      </c>
      <c r="C509" s="1235"/>
      <c r="D509" s="1235"/>
      <c r="E509" s="1397"/>
      <c r="F509" s="1398"/>
      <c r="G509" s="1399"/>
      <c r="H509" s="1400"/>
      <c r="I509" s="1401"/>
      <c r="J509" s="1402"/>
      <c r="K509" s="1402"/>
      <c r="L509" s="1403"/>
    </row>
    <row r="510" spans="1:19" s="2068" customFormat="1" ht="24" customHeight="1">
      <c r="A510" s="2065" t="s">
        <v>1412</v>
      </c>
      <c r="B510" s="2174" t="s">
        <v>2705</v>
      </c>
      <c r="C510" s="1191"/>
      <c r="D510" s="1471"/>
      <c r="E510" s="1206"/>
      <c r="F510" s="1207"/>
      <c r="G510" s="2175"/>
      <c r="H510" s="1264"/>
      <c r="I510" s="1265"/>
      <c r="J510" s="1264"/>
      <c r="K510" s="1265"/>
      <c r="L510" s="2066"/>
      <c r="M510" s="2067"/>
      <c r="N510" s="2067"/>
      <c r="O510" s="2067"/>
      <c r="P510" s="2067"/>
      <c r="Q510" s="2067"/>
      <c r="R510" s="2067"/>
      <c r="S510" s="2067"/>
    </row>
    <row r="511" spans="1:19" s="2068" customFormat="1" ht="24" customHeight="1">
      <c r="A511" s="2069"/>
      <c r="B511" s="2174" t="s">
        <v>2686</v>
      </c>
      <c r="C511" s="1191"/>
      <c r="D511" s="1471"/>
      <c r="E511" s="1206">
        <v>1</v>
      </c>
      <c r="F511" s="1207" t="s">
        <v>363</v>
      </c>
      <c r="G511" s="2178">
        <v>68500</v>
      </c>
      <c r="H511" s="1264">
        <f>ROUND(E511*G511,)</f>
        <v>68500</v>
      </c>
      <c r="I511" s="1344">
        <f>ROUND(G511*0.01,)</f>
        <v>685</v>
      </c>
      <c r="J511" s="1264">
        <f>ROUND(I511*E511,)</f>
        <v>685</v>
      </c>
      <c r="K511" s="1265">
        <f>H511+J511</f>
        <v>69185</v>
      </c>
      <c r="L511" s="2066"/>
      <c r="M511" s="2067"/>
      <c r="N511" s="2067"/>
      <c r="O511" s="2067"/>
      <c r="P511" s="2067"/>
      <c r="Q511" s="2067"/>
      <c r="R511" s="2067"/>
      <c r="S511" s="2067"/>
    </row>
    <row r="512" spans="1:19" s="2068" customFormat="1" ht="24" customHeight="1">
      <c r="A512" s="2069"/>
      <c r="B512" s="2174" t="s">
        <v>2687</v>
      </c>
      <c r="C512" s="1191"/>
      <c r="D512" s="1471"/>
      <c r="E512" s="1206">
        <v>1</v>
      </c>
      <c r="F512" s="1207" t="s">
        <v>363</v>
      </c>
      <c r="G512" s="2175">
        <v>3598</v>
      </c>
      <c r="H512" s="1264">
        <f>ROUND(E512*G512,)</f>
        <v>3598</v>
      </c>
      <c r="I512" s="1344">
        <f>ROUND(G512*0.01,)</f>
        <v>36</v>
      </c>
      <c r="J512" s="1264">
        <f>ROUND(I512*E512,)</f>
        <v>36</v>
      </c>
      <c r="K512" s="1265">
        <f>H512+J512</f>
        <v>3634</v>
      </c>
      <c r="L512" s="2066"/>
      <c r="M512" s="2067"/>
      <c r="N512" s="2067"/>
      <c r="O512" s="2067"/>
      <c r="P512" s="2067"/>
      <c r="Q512" s="2067"/>
      <c r="R512" s="2067"/>
      <c r="S512" s="2067"/>
    </row>
    <row r="513" spans="1:19" s="2068" customFormat="1" ht="24" customHeight="1">
      <c r="A513" s="2069"/>
      <c r="B513" s="2174" t="s">
        <v>2688</v>
      </c>
      <c r="C513" s="1191"/>
      <c r="D513" s="1471"/>
      <c r="E513" s="1206">
        <v>24</v>
      </c>
      <c r="F513" s="1207" t="s">
        <v>363</v>
      </c>
      <c r="G513" s="2175">
        <v>245</v>
      </c>
      <c r="H513" s="1264">
        <f>ROUND(E513*G513,)</f>
        <v>5880</v>
      </c>
      <c r="I513" s="1344">
        <f>ROUND(G513*0.01,)</f>
        <v>2</v>
      </c>
      <c r="J513" s="1264">
        <f>ROUND(I513*E513,)</f>
        <v>48</v>
      </c>
      <c r="K513" s="1265">
        <f>H513+J513</f>
        <v>5928</v>
      </c>
      <c r="L513" s="2066"/>
      <c r="M513" s="2067"/>
      <c r="N513" s="2067"/>
      <c r="O513" s="2067"/>
      <c r="P513" s="2067"/>
      <c r="Q513" s="2067"/>
      <c r="R513" s="2067"/>
      <c r="S513" s="2067"/>
    </row>
    <row r="514" spans="1:19" s="2068" customFormat="1" ht="24" customHeight="1">
      <c r="A514" s="2069"/>
      <c r="B514" s="2174" t="s">
        <v>2689</v>
      </c>
      <c r="C514" s="1191"/>
      <c r="D514" s="1471"/>
      <c r="E514" s="1206"/>
      <c r="F514" s="1207" t="s">
        <v>363</v>
      </c>
      <c r="G514" s="2175">
        <v>22500</v>
      </c>
      <c r="H514" s="1264">
        <f>ROUND(E514*G514,)</f>
        <v>0</v>
      </c>
      <c r="I514" s="1344">
        <f>ROUND(G514*0.01,)</f>
        <v>225</v>
      </c>
      <c r="J514" s="1264">
        <f>ROUND(I514*E514,)</f>
        <v>0</v>
      </c>
      <c r="K514" s="1265">
        <f>H514+J514</f>
        <v>0</v>
      </c>
      <c r="L514" s="2066"/>
      <c r="M514" s="2067"/>
      <c r="N514" s="2067"/>
      <c r="O514" s="2067"/>
      <c r="P514" s="2067"/>
      <c r="Q514" s="2067"/>
      <c r="R514" s="2067"/>
      <c r="S514" s="2067"/>
    </row>
    <row r="515" spans="1:19" s="2068" customFormat="1" ht="24" customHeight="1">
      <c r="A515" s="2065" t="s">
        <v>1413</v>
      </c>
      <c r="B515" s="2174" t="s">
        <v>2690</v>
      </c>
      <c r="C515" s="1191"/>
      <c r="D515" s="1471"/>
      <c r="E515" s="1206"/>
      <c r="F515" s="1207"/>
      <c r="G515" s="2175"/>
      <c r="H515" s="1264"/>
      <c r="I515" s="1265"/>
      <c r="J515" s="1264"/>
      <c r="K515" s="1265"/>
      <c r="L515" s="2066"/>
      <c r="M515" s="2067"/>
      <c r="N515" s="2067"/>
      <c r="O515" s="2067"/>
      <c r="P515" s="2067"/>
      <c r="Q515" s="2067"/>
      <c r="R515" s="2067"/>
      <c r="S515" s="2067"/>
    </row>
    <row r="516" spans="1:19" s="2068" customFormat="1" ht="24" customHeight="1">
      <c r="A516" s="2069"/>
      <c r="B516" s="2174" t="s">
        <v>2686</v>
      </c>
      <c r="C516" s="1191"/>
      <c r="D516" s="1471"/>
      <c r="E516" s="1206">
        <v>1</v>
      </c>
      <c r="F516" s="1207" t="s">
        <v>363</v>
      </c>
      <c r="G516" s="2178">
        <v>68500</v>
      </c>
      <c r="H516" s="1264">
        <f>ROUND(E516*G516,)</f>
        <v>68500</v>
      </c>
      <c r="I516" s="1344">
        <f>ROUND(G516*0.01,)</f>
        <v>685</v>
      </c>
      <c r="J516" s="1264">
        <f>ROUND(I516*E516,)</f>
        <v>685</v>
      </c>
      <c r="K516" s="1265">
        <f>H516+J516</f>
        <v>69185</v>
      </c>
      <c r="L516" s="2066"/>
      <c r="M516" s="2067"/>
      <c r="N516" s="2067"/>
      <c r="O516" s="2067"/>
      <c r="P516" s="2067"/>
      <c r="Q516" s="2067"/>
      <c r="R516" s="2067"/>
      <c r="S516" s="2067"/>
    </row>
    <row r="517" spans="1:19" s="2068" customFormat="1" ht="24" customHeight="1">
      <c r="A517" s="2069"/>
      <c r="B517" s="2174" t="s">
        <v>2687</v>
      </c>
      <c r="C517" s="1191"/>
      <c r="D517" s="1471"/>
      <c r="E517" s="1206">
        <v>1</v>
      </c>
      <c r="F517" s="1207" t="s">
        <v>363</v>
      </c>
      <c r="G517" s="2175">
        <v>3598</v>
      </c>
      <c r="H517" s="1264">
        <f>ROUND(E517*G517,)</f>
        <v>3598</v>
      </c>
      <c r="I517" s="1344">
        <f>ROUND(G517*0.01,)</f>
        <v>36</v>
      </c>
      <c r="J517" s="1264">
        <f>ROUND(I517*E517,)</f>
        <v>36</v>
      </c>
      <c r="K517" s="1265">
        <f>H517+J517</f>
        <v>3634</v>
      </c>
      <c r="L517" s="2066"/>
      <c r="M517" s="2067"/>
      <c r="N517" s="2067"/>
      <c r="O517" s="2067"/>
      <c r="P517" s="2067"/>
      <c r="Q517" s="2067"/>
      <c r="R517" s="2067"/>
      <c r="S517" s="2067"/>
    </row>
    <row r="518" spans="1:19" s="2068" customFormat="1" ht="24" customHeight="1">
      <c r="A518" s="2069"/>
      <c r="B518" s="2174" t="s">
        <v>2688</v>
      </c>
      <c r="C518" s="1191"/>
      <c r="D518" s="1471"/>
      <c r="E518" s="1206">
        <v>24</v>
      </c>
      <c r="F518" s="1207" t="s">
        <v>363</v>
      </c>
      <c r="G518" s="2175">
        <v>245</v>
      </c>
      <c r="H518" s="1264">
        <f>ROUND(E518*G518,)</f>
        <v>5880</v>
      </c>
      <c r="I518" s="1344">
        <f>ROUND(G518*0.01,)</f>
        <v>2</v>
      </c>
      <c r="J518" s="1264">
        <f>ROUND(I518*E518,)</f>
        <v>48</v>
      </c>
      <c r="K518" s="1265">
        <f>H518+J518</f>
        <v>5928</v>
      </c>
      <c r="L518" s="2066"/>
      <c r="M518" s="2067"/>
      <c r="N518" s="2067"/>
      <c r="O518" s="2067"/>
      <c r="P518" s="2067"/>
      <c r="Q518" s="2067"/>
      <c r="R518" s="2067"/>
      <c r="S518" s="2067"/>
    </row>
    <row r="519" spans="1:19" s="2068" customFormat="1" ht="24" customHeight="1">
      <c r="A519" s="2069"/>
      <c r="B519" s="2174" t="s">
        <v>2689</v>
      </c>
      <c r="C519" s="1191"/>
      <c r="D519" s="1471"/>
      <c r="E519" s="1206"/>
      <c r="F519" s="1207" t="s">
        <v>363</v>
      </c>
      <c r="G519" s="2175">
        <v>22500</v>
      </c>
      <c r="H519" s="1264">
        <f>ROUND(E519*G519,)</f>
        <v>0</v>
      </c>
      <c r="I519" s="1344">
        <f>ROUND(G519*0.01,)</f>
        <v>225</v>
      </c>
      <c r="J519" s="1264">
        <f>ROUND(I519*E519,)</f>
        <v>0</v>
      </c>
      <c r="K519" s="1265">
        <f>H519+J519</f>
        <v>0</v>
      </c>
      <c r="L519" s="2066"/>
      <c r="M519" s="2067"/>
      <c r="N519" s="2067"/>
      <c r="O519" s="2067"/>
      <c r="P519" s="2067"/>
      <c r="Q519" s="2067"/>
      <c r="R519" s="2067"/>
      <c r="S519" s="2067"/>
    </row>
    <row r="520" spans="1:19" s="1199" customFormat="1" ht="24" customHeight="1">
      <c r="A520" s="2064" t="s">
        <v>1414</v>
      </c>
      <c r="B520" s="2174" t="s">
        <v>2676</v>
      </c>
      <c r="C520" s="1235"/>
      <c r="D520" s="1235"/>
      <c r="E520" s="1397">
        <v>1</v>
      </c>
      <c r="F520" s="1408" t="s">
        <v>363</v>
      </c>
      <c r="G520" s="1399">
        <v>45000</v>
      </c>
      <c r="H520" s="1400">
        <f>G520*E520</f>
        <v>45000</v>
      </c>
      <c r="I520" s="1401">
        <f>G520*0.1</f>
        <v>4500</v>
      </c>
      <c r="J520" s="1402">
        <f>I520*E520</f>
        <v>4500</v>
      </c>
      <c r="K520" s="1405">
        <f t="shared" ref="K520" si="105">H520+J520</f>
        <v>49500</v>
      </c>
      <c r="L520" s="1403"/>
    </row>
    <row r="521" spans="1:19" s="1199" customFormat="1" ht="24" customHeight="1">
      <c r="A521" s="1470" t="s">
        <v>1415</v>
      </c>
      <c r="B521" s="2174" t="s">
        <v>2680</v>
      </c>
      <c r="C521" s="1191"/>
      <c r="D521" s="1471"/>
      <c r="E521" s="1206">
        <v>1</v>
      </c>
      <c r="F521" s="1207" t="s">
        <v>363</v>
      </c>
      <c r="G521" s="2175">
        <v>7500</v>
      </c>
      <c r="H521" s="1264">
        <f>ROUND(E521*G521,)</f>
        <v>7500</v>
      </c>
      <c r="I521" s="1265"/>
      <c r="J521" s="1264">
        <f>ROUND(I521*E521,)</f>
        <v>0</v>
      </c>
      <c r="K521" s="1265">
        <f>H521+J521</f>
        <v>7500</v>
      </c>
      <c r="L521" s="1473"/>
      <c r="M521" s="1214"/>
      <c r="N521" s="1214"/>
      <c r="O521" s="1214"/>
      <c r="P521" s="1214"/>
      <c r="Q521" s="1214"/>
      <c r="R521" s="1214"/>
      <c r="S521" s="1214"/>
    </row>
    <row r="522" spans="1:19" s="1199" customFormat="1" ht="24" customHeight="1">
      <c r="A522" s="2064" t="s">
        <v>1417</v>
      </c>
      <c r="B522" s="2174" t="s">
        <v>1578</v>
      </c>
      <c r="C522" s="1191"/>
      <c r="D522" s="1471"/>
      <c r="E522" s="1206"/>
      <c r="F522" s="1207"/>
      <c r="G522" s="2179"/>
      <c r="H522" s="1273"/>
      <c r="I522" s="1332"/>
      <c r="J522" s="1264"/>
      <c r="K522" s="1265"/>
      <c r="L522" s="1473"/>
      <c r="M522" s="1214"/>
      <c r="N522" s="1214"/>
      <c r="O522" s="1214"/>
      <c r="P522" s="1214"/>
      <c r="Q522" s="1214"/>
      <c r="R522" s="1214"/>
      <c r="S522" s="1214"/>
    </row>
    <row r="523" spans="1:19" s="1199" customFormat="1" ht="24" customHeight="1">
      <c r="A523" s="1478"/>
      <c r="B523" s="2174" t="s">
        <v>1685</v>
      </c>
      <c r="C523" s="1191"/>
      <c r="D523" s="1471"/>
      <c r="E523" s="1387">
        <v>25</v>
      </c>
      <c r="F523" s="1358" t="s">
        <v>226</v>
      </c>
      <c r="G523" s="2179">
        <v>37</v>
      </c>
      <c r="H523" s="1273">
        <f>ROUND(G523*E523,)</f>
        <v>925</v>
      </c>
      <c r="I523" s="1332">
        <v>5</v>
      </c>
      <c r="J523" s="1264">
        <f t="shared" ref="J523" si="106">I523*E523</f>
        <v>125</v>
      </c>
      <c r="K523" s="1265">
        <f>J523+H523</f>
        <v>1050</v>
      </c>
      <c r="L523" s="1473"/>
      <c r="M523" s="1214"/>
      <c r="N523" s="1214"/>
      <c r="O523" s="1214"/>
      <c r="P523" s="1214"/>
      <c r="Q523" s="1214"/>
      <c r="R523" s="1214"/>
      <c r="S523" s="1214"/>
    </row>
    <row r="524" spans="1:19" s="1199" customFormat="1" ht="24" customHeight="1">
      <c r="A524" s="1331"/>
      <c r="B524" s="2174" t="s">
        <v>1103</v>
      </c>
      <c r="C524" s="1202"/>
      <c r="D524" s="1202"/>
      <c r="E524" s="1404">
        <v>1</v>
      </c>
      <c r="F524" s="1384" t="s">
        <v>1104</v>
      </c>
      <c r="G524" s="2176">
        <f>ROUND(SUM(H523)*5%,0)</f>
        <v>46</v>
      </c>
      <c r="H524" s="1264">
        <f>ROUND(E524*G524,)</f>
        <v>46</v>
      </c>
      <c r="I524" s="2177">
        <f>ROUND(G524*0.3,0)</f>
        <v>14</v>
      </c>
      <c r="J524" s="1264">
        <f>ROUND(E524*I524,)</f>
        <v>14</v>
      </c>
      <c r="K524" s="1273">
        <f>H524+J524</f>
        <v>60</v>
      </c>
      <c r="L524" s="1389"/>
    </row>
    <row r="525" spans="1:19" s="1199" customFormat="1" ht="24" customHeight="1">
      <c r="A525" s="1331" t="s">
        <v>2978</v>
      </c>
      <c r="B525" s="2174" t="s">
        <v>1397</v>
      </c>
      <c r="C525" s="1202"/>
      <c r="D525" s="1202"/>
      <c r="E525" s="1404"/>
      <c r="F525" s="1207"/>
      <c r="G525" s="2176"/>
      <c r="H525" s="1388"/>
      <c r="I525" s="2177"/>
      <c r="J525" s="1385"/>
      <c r="K525" s="1385"/>
      <c r="L525" s="1389"/>
    </row>
    <row r="526" spans="1:19" s="1199" customFormat="1" ht="24" customHeight="1">
      <c r="A526" s="1331"/>
      <c r="B526" s="2174" t="s">
        <v>1398</v>
      </c>
      <c r="C526" s="1202"/>
      <c r="D526" s="1202"/>
      <c r="E526" s="1404">
        <v>1000</v>
      </c>
      <c r="F526" s="1358" t="s">
        <v>226</v>
      </c>
      <c r="G526" s="2176">
        <v>27</v>
      </c>
      <c r="H526" s="1264">
        <f>ROUND(E526*G526,)</f>
        <v>27000</v>
      </c>
      <c r="I526" s="2177">
        <v>12</v>
      </c>
      <c r="J526" s="1264">
        <f>ROUND(E526*I526,)</f>
        <v>12000</v>
      </c>
      <c r="K526" s="1273">
        <f>H526+J526</f>
        <v>39000</v>
      </c>
      <c r="L526" s="1389"/>
    </row>
    <row r="527" spans="1:19" s="1199" customFormat="1" ht="24" customHeight="1">
      <c r="A527" s="1331"/>
      <c r="B527" s="2174" t="s">
        <v>1103</v>
      </c>
      <c r="C527" s="1202"/>
      <c r="D527" s="1202"/>
      <c r="E527" s="1404">
        <v>1</v>
      </c>
      <c r="F527" s="1384" t="s">
        <v>1104</v>
      </c>
      <c r="G527" s="2176">
        <f>SUM(H526)*5%</f>
        <v>1350</v>
      </c>
      <c r="H527" s="1264">
        <f>ROUND(E527*G527,)</f>
        <v>1350</v>
      </c>
      <c r="I527" s="2177">
        <f>G527*0.3</f>
        <v>405</v>
      </c>
      <c r="J527" s="1264">
        <f>ROUND(E527*I527,)</f>
        <v>405</v>
      </c>
      <c r="K527" s="1273">
        <f>H527+J527</f>
        <v>1755</v>
      </c>
      <c r="L527" s="1389"/>
    </row>
    <row r="528" spans="1:19" s="1199" customFormat="1" ht="24" customHeight="1">
      <c r="A528" s="2064" t="s">
        <v>2979</v>
      </c>
      <c r="B528" s="2174" t="s">
        <v>1526</v>
      </c>
      <c r="C528" s="1202"/>
      <c r="D528" s="1202"/>
      <c r="E528" s="1404"/>
      <c r="F528" s="1384"/>
      <c r="G528" s="2176"/>
      <c r="H528" s="1264"/>
      <c r="I528" s="2177"/>
      <c r="J528" s="1264"/>
      <c r="K528" s="1273"/>
      <c r="L528" s="1385"/>
      <c r="M528" s="1214"/>
      <c r="N528" s="1214"/>
      <c r="O528" s="1214"/>
      <c r="P528" s="1214"/>
      <c r="Q528" s="1214"/>
    </row>
    <row r="529" spans="1:19" s="1199" customFormat="1" ht="24" customHeight="1">
      <c r="A529" s="1331"/>
      <c r="B529" s="2174" t="s">
        <v>1350</v>
      </c>
      <c r="C529" s="1202"/>
      <c r="D529" s="1202"/>
      <c r="E529" s="1387">
        <v>25</v>
      </c>
      <c r="F529" s="1358" t="s">
        <v>226</v>
      </c>
      <c r="G529" s="2176">
        <v>27</v>
      </c>
      <c r="H529" s="1264">
        <f t="shared" ref="H529:H530" si="107">ROUND(E529*G529,)</f>
        <v>675</v>
      </c>
      <c r="I529" s="2177">
        <v>22</v>
      </c>
      <c r="J529" s="1264">
        <f t="shared" ref="J529:J530" si="108">ROUND(E529*I529,)</f>
        <v>550</v>
      </c>
      <c r="K529" s="1802">
        <f t="shared" ref="K529:K530" si="109">H529+J529</f>
        <v>1225</v>
      </c>
      <c r="L529" s="2001" t="s">
        <v>2667</v>
      </c>
      <c r="M529" s="1214"/>
      <c r="P529" s="1214"/>
      <c r="Q529" s="1214"/>
    </row>
    <row r="530" spans="1:19" s="1199" customFormat="1" ht="24" customHeight="1">
      <c r="A530" s="1331"/>
      <c r="B530" s="2174" t="s">
        <v>1384</v>
      </c>
      <c r="C530" s="1202"/>
      <c r="D530" s="1202"/>
      <c r="E530" s="1387">
        <v>1</v>
      </c>
      <c r="F530" s="1384" t="s">
        <v>1104</v>
      </c>
      <c r="G530" s="2176">
        <f>ROUND(SUM(H529)*15%,0)</f>
        <v>101</v>
      </c>
      <c r="H530" s="1264">
        <f t="shared" si="107"/>
        <v>101</v>
      </c>
      <c r="I530" s="2177">
        <f>ROUND(G530*0.3,0)</f>
        <v>30</v>
      </c>
      <c r="J530" s="1264">
        <f t="shared" si="108"/>
        <v>30</v>
      </c>
      <c r="K530" s="1273">
        <f t="shared" si="109"/>
        <v>131</v>
      </c>
      <c r="L530" s="1385"/>
      <c r="M530" s="1214"/>
      <c r="N530" s="1214"/>
      <c r="O530" s="1214"/>
      <c r="P530" s="1214"/>
      <c r="Q530" s="1214"/>
    </row>
    <row r="531" spans="1:19" s="1199" customFormat="1" ht="24" customHeight="1">
      <c r="A531" s="1331"/>
      <c r="B531" s="2174"/>
      <c r="C531" s="1202"/>
      <c r="D531" s="1202"/>
      <c r="E531" s="1387"/>
      <c r="F531" s="1407"/>
      <c r="G531" s="2176"/>
      <c r="H531" s="1264"/>
      <c r="I531" s="2177"/>
      <c r="J531" s="1273"/>
      <c r="K531" s="1273"/>
      <c r="L531" s="1385"/>
      <c r="M531" s="1214"/>
      <c r="N531" s="1214"/>
      <c r="O531" s="1214"/>
      <c r="P531" s="1214"/>
      <c r="Q531" s="1214"/>
    </row>
    <row r="532" spans="1:19" s="1199" customFormat="1" ht="24" customHeight="1">
      <c r="A532" s="1331"/>
      <c r="B532" s="2174"/>
      <c r="C532" s="1202"/>
      <c r="D532" s="1202"/>
      <c r="E532" s="1387"/>
      <c r="F532" s="1407"/>
      <c r="G532" s="2176"/>
      <c r="H532" s="1264"/>
      <c r="I532" s="2177"/>
      <c r="J532" s="1273"/>
      <c r="K532" s="1273"/>
      <c r="L532" s="1385"/>
      <c r="M532" s="1214"/>
      <c r="N532" s="1214"/>
      <c r="O532" s="1214"/>
      <c r="P532" s="1214"/>
      <c r="Q532" s="1214"/>
    </row>
    <row r="533" spans="1:19" s="1199" customFormat="1" ht="24" customHeight="1">
      <c r="A533" s="1331" t="s">
        <v>2980</v>
      </c>
      <c r="B533" s="2174" t="s">
        <v>1343</v>
      </c>
      <c r="C533" s="1202"/>
      <c r="D533" s="1202"/>
      <c r="E533" s="1404"/>
      <c r="F533" s="1407"/>
      <c r="G533" s="2176"/>
      <c r="H533" s="1388"/>
      <c r="I533" s="2177"/>
      <c r="J533" s="1385"/>
      <c r="K533" s="1385"/>
      <c r="L533" s="1389"/>
    </row>
    <row r="534" spans="1:19" s="1199" customFormat="1" ht="24" customHeight="1">
      <c r="A534" s="1331"/>
      <c r="B534" s="2174" t="s">
        <v>1344</v>
      </c>
      <c r="C534" s="1202"/>
      <c r="D534" s="1202"/>
      <c r="E534" s="1404"/>
      <c r="F534" s="1358" t="s">
        <v>226</v>
      </c>
      <c r="G534" s="2176">
        <v>316</v>
      </c>
      <c r="H534" s="1264">
        <f>ROUND(E534*G534,)</f>
        <v>0</v>
      </c>
      <c r="I534" s="2177">
        <v>50</v>
      </c>
      <c r="J534" s="1264">
        <f>ROUND(E534*I534,)</f>
        <v>0</v>
      </c>
      <c r="K534" s="1273">
        <f>H534+J534</f>
        <v>0</v>
      </c>
      <c r="L534" s="1389"/>
    </row>
    <row r="535" spans="1:19" s="1199" customFormat="1" ht="24" customHeight="1">
      <c r="A535" s="1331"/>
      <c r="B535" s="2174" t="s">
        <v>1384</v>
      </c>
      <c r="C535" s="1202"/>
      <c r="D535" s="1202"/>
      <c r="E535" s="1404"/>
      <c r="F535" s="1407" t="s">
        <v>1104</v>
      </c>
      <c r="G535" s="2176">
        <f>SUM(H534)*15%</f>
        <v>0</v>
      </c>
      <c r="H535" s="1264">
        <f>ROUND(G535*E535,)</f>
        <v>0</v>
      </c>
      <c r="I535" s="2177">
        <f>G535*0.3</f>
        <v>0</v>
      </c>
      <c r="J535" s="1264">
        <f>ROUND(E535*I535,)</f>
        <v>0</v>
      </c>
      <c r="K535" s="1273">
        <f>H535+J535</f>
        <v>0</v>
      </c>
      <c r="L535" s="1389"/>
    </row>
    <row r="536" spans="1:19" s="1199" customFormat="1" ht="24" customHeight="1">
      <c r="A536" s="1331" t="s">
        <v>2981</v>
      </c>
      <c r="B536" s="2174" t="s">
        <v>1381</v>
      </c>
      <c r="C536" s="1202"/>
      <c r="D536" s="1202"/>
      <c r="E536" s="1387">
        <v>1</v>
      </c>
      <c r="F536" s="1384" t="s">
        <v>1104</v>
      </c>
      <c r="G536" s="2176"/>
      <c r="H536" s="1388"/>
      <c r="I536" s="2177">
        <v>100000</v>
      </c>
      <c r="J536" s="1264">
        <f>ROUND(E536*I536,)</f>
        <v>100000</v>
      </c>
      <c r="K536" s="1273">
        <f>H536+J536</f>
        <v>100000</v>
      </c>
      <c r="L536" s="1389"/>
    </row>
    <row r="537" spans="1:19" s="1199" customFormat="1" ht="24" customHeight="1">
      <c r="A537" s="1331"/>
      <c r="B537" s="2174" t="s">
        <v>1117</v>
      </c>
      <c r="C537" s="1202"/>
      <c r="D537" s="1202"/>
      <c r="E537" s="1387"/>
      <c r="F537" s="1384"/>
      <c r="G537" s="2176"/>
      <c r="H537" s="1388"/>
      <c r="I537" s="2177"/>
      <c r="J537" s="1264"/>
      <c r="K537" s="1273"/>
      <c r="L537" s="1389"/>
    </row>
    <row r="538" spans="1:19" s="1199" customFormat="1" ht="24" customHeight="1">
      <c r="A538" s="1243"/>
      <c r="B538" s="2257" t="str">
        <f>"รวมราคารายการที่ "&amp;A509</f>
        <v>รวมราคารายการที่ 3.16</v>
      </c>
      <c r="C538" s="2258"/>
      <c r="D538" s="2259"/>
      <c r="E538" s="1244"/>
      <c r="F538" s="1245"/>
      <c r="G538" s="1246"/>
      <c r="H538" s="1247">
        <f>SUM(H509:H537)</f>
        <v>238553</v>
      </c>
      <c r="I538" s="1246"/>
      <c r="J538" s="1247">
        <f>SUM(J509:J537)</f>
        <v>119162</v>
      </c>
      <c r="K538" s="1247">
        <f>SUM(K509:K537)</f>
        <v>357715</v>
      </c>
      <c r="L538" s="1245"/>
    </row>
    <row r="539" spans="1:19" s="1199" customFormat="1" ht="24" customHeight="1">
      <c r="A539" s="1467" t="s">
        <v>1418</v>
      </c>
      <c r="B539" s="1292" t="s">
        <v>1571</v>
      </c>
      <c r="C539" s="1468"/>
      <c r="D539" s="1192"/>
      <c r="E539" s="1193"/>
      <c r="F539" s="1194"/>
      <c r="G539" s="1297"/>
      <c r="H539" s="1298"/>
      <c r="I539" s="1299"/>
      <c r="J539" s="1298"/>
      <c r="K539" s="1299"/>
      <c r="L539" s="1469"/>
    </row>
    <row r="540" spans="1:19" s="1199" customFormat="1" ht="24" customHeight="1">
      <c r="A540" s="1470" t="s">
        <v>1420</v>
      </c>
      <c r="B540" s="2174" t="s">
        <v>2676</v>
      </c>
      <c r="C540" s="1191"/>
      <c r="D540" s="1471"/>
      <c r="E540" s="1206">
        <v>1</v>
      </c>
      <c r="F540" s="1207" t="s">
        <v>363</v>
      </c>
      <c r="G540" s="2175">
        <v>45000</v>
      </c>
      <c r="H540" s="1264">
        <f>ROUND(E540*G540,)</f>
        <v>45000</v>
      </c>
      <c r="I540" s="1265"/>
      <c r="J540" s="1264">
        <f>ROUND(I540*E540,)</f>
        <v>0</v>
      </c>
      <c r="K540" s="1265">
        <f>H540+J540</f>
        <v>45000</v>
      </c>
      <c r="L540" s="1473"/>
      <c r="M540" s="1214"/>
      <c r="N540" s="1214"/>
      <c r="O540" s="1214"/>
      <c r="P540" s="1214"/>
      <c r="Q540" s="1214"/>
      <c r="R540" s="1214"/>
      <c r="S540" s="1214"/>
    </row>
    <row r="541" spans="1:19" s="1199" customFormat="1" ht="24" customHeight="1">
      <c r="A541" s="1470" t="s">
        <v>1421</v>
      </c>
      <c r="B541" s="2174" t="s">
        <v>2680</v>
      </c>
      <c r="C541" s="1191"/>
      <c r="D541" s="1471"/>
      <c r="E541" s="1206">
        <v>1</v>
      </c>
      <c r="F541" s="1207" t="s">
        <v>363</v>
      </c>
      <c r="G541" s="2175">
        <v>7500</v>
      </c>
      <c r="H541" s="1264">
        <f>ROUND(E541*G541,)</f>
        <v>7500</v>
      </c>
      <c r="I541" s="1265"/>
      <c r="J541" s="1264">
        <f>ROUND(I541*E541,)</f>
        <v>0</v>
      </c>
      <c r="K541" s="1265">
        <f>H541+J541</f>
        <v>7500</v>
      </c>
      <c r="L541" s="1473"/>
      <c r="M541" s="1214"/>
      <c r="N541" s="1214"/>
      <c r="O541" s="1214"/>
      <c r="P541" s="1214"/>
      <c r="Q541" s="1214"/>
      <c r="R541" s="1214"/>
      <c r="S541" s="1214"/>
    </row>
    <row r="542" spans="1:19" s="1199" customFormat="1" ht="24" customHeight="1">
      <c r="A542" s="1470" t="s">
        <v>1422</v>
      </c>
      <c r="B542" s="2174" t="s">
        <v>2706</v>
      </c>
      <c r="C542" s="1191"/>
      <c r="D542" s="1471"/>
      <c r="E542" s="1206">
        <v>1</v>
      </c>
      <c r="F542" s="1207" t="s">
        <v>363</v>
      </c>
      <c r="G542" s="2175">
        <v>18525</v>
      </c>
      <c r="H542" s="1264">
        <f>ROUND(E542*G542,)</f>
        <v>18525</v>
      </c>
      <c r="I542" s="1265"/>
      <c r="J542" s="1264">
        <f>ROUND(I542*E542,)</f>
        <v>0</v>
      </c>
      <c r="K542" s="1265">
        <f>H542+J542</f>
        <v>18525</v>
      </c>
      <c r="L542" s="1473"/>
      <c r="M542" s="1214"/>
      <c r="N542" s="1214"/>
      <c r="O542" s="1214"/>
      <c r="P542" s="1214"/>
      <c r="Q542" s="1214"/>
      <c r="R542" s="1214"/>
      <c r="S542" s="1214"/>
    </row>
    <row r="543" spans="1:19" s="1199" customFormat="1" ht="24" customHeight="1">
      <c r="A543" s="1470" t="s">
        <v>2696</v>
      </c>
      <c r="B543" s="2174" t="s">
        <v>2707</v>
      </c>
      <c r="C543" s="1191"/>
      <c r="D543" s="1471"/>
      <c r="E543" s="1206">
        <v>1</v>
      </c>
      <c r="F543" s="1207" t="s">
        <v>363</v>
      </c>
      <c r="G543" s="2175">
        <v>60000</v>
      </c>
      <c r="H543" s="1264">
        <f>ROUND(E543*G543,)</f>
        <v>60000</v>
      </c>
      <c r="I543" s="1265"/>
      <c r="J543" s="1264">
        <f>ROUND(I543*E543,)</f>
        <v>0</v>
      </c>
      <c r="K543" s="1265">
        <f>H543+J543</f>
        <v>60000</v>
      </c>
      <c r="L543" s="1473"/>
      <c r="M543" s="1214"/>
      <c r="N543" s="1214"/>
      <c r="O543" s="1214"/>
      <c r="P543" s="1214"/>
      <c r="Q543" s="1214"/>
      <c r="R543" s="1214"/>
      <c r="S543" s="1214"/>
    </row>
    <row r="544" spans="1:19" s="2068" customFormat="1" ht="24" customHeight="1">
      <c r="A544" s="2065" t="s">
        <v>2700</v>
      </c>
      <c r="B544" s="2174" t="s">
        <v>2708</v>
      </c>
      <c r="C544" s="1191"/>
      <c r="D544" s="1471"/>
      <c r="E544" s="1206"/>
      <c r="F544" s="1207"/>
      <c r="G544" s="2175"/>
      <c r="H544" s="1264"/>
      <c r="I544" s="1265"/>
      <c r="J544" s="1264"/>
      <c r="K544" s="1265"/>
      <c r="L544" s="2066"/>
      <c r="M544" s="2067"/>
      <c r="N544" s="2067"/>
      <c r="O544" s="2067"/>
      <c r="P544" s="2067"/>
      <c r="Q544" s="2067"/>
      <c r="R544" s="2067"/>
      <c r="S544" s="2067"/>
    </row>
    <row r="545" spans="1:19" s="2068" customFormat="1" ht="24" customHeight="1">
      <c r="A545" s="2069"/>
      <c r="B545" s="2174" t="s">
        <v>2686</v>
      </c>
      <c r="C545" s="1191"/>
      <c r="D545" s="1471"/>
      <c r="E545" s="1206">
        <v>1</v>
      </c>
      <c r="F545" s="1207" t="s">
        <v>363</v>
      </c>
      <c r="G545" s="2178">
        <v>68500</v>
      </c>
      <c r="H545" s="1264">
        <f>ROUND(E545*G545,)</f>
        <v>68500</v>
      </c>
      <c r="I545" s="1344">
        <f>ROUND(G545*0.01,)</f>
        <v>685</v>
      </c>
      <c r="J545" s="1264">
        <f>ROUND(I545*E545,)</f>
        <v>685</v>
      </c>
      <c r="K545" s="1265">
        <f>H545+J545</f>
        <v>69185</v>
      </c>
      <c r="L545" s="2066"/>
      <c r="M545" s="2067"/>
      <c r="N545" s="2067"/>
      <c r="O545" s="2067"/>
      <c r="P545" s="2067"/>
      <c r="Q545" s="2067"/>
      <c r="R545" s="2067"/>
      <c r="S545" s="2067"/>
    </row>
    <row r="546" spans="1:19" s="2068" customFormat="1" ht="24" customHeight="1">
      <c r="A546" s="2069"/>
      <c r="B546" s="2174" t="s">
        <v>2687</v>
      </c>
      <c r="C546" s="1191"/>
      <c r="D546" s="1471"/>
      <c r="E546" s="1206">
        <v>1</v>
      </c>
      <c r="F546" s="1207" t="s">
        <v>363</v>
      </c>
      <c r="G546" s="2175">
        <v>3598</v>
      </c>
      <c r="H546" s="1264">
        <f>ROUND(E546*G546,)</f>
        <v>3598</v>
      </c>
      <c r="I546" s="1344">
        <f>ROUND(G546*0.01,)</f>
        <v>36</v>
      </c>
      <c r="J546" s="1264">
        <f>ROUND(I546*E546,)</f>
        <v>36</v>
      </c>
      <c r="K546" s="1265">
        <f>H546+J546</f>
        <v>3634</v>
      </c>
      <c r="L546" s="2066"/>
      <c r="M546" s="2067"/>
      <c r="N546" s="2067"/>
      <c r="O546" s="2067"/>
      <c r="P546" s="2067"/>
      <c r="Q546" s="2067"/>
      <c r="R546" s="2067"/>
      <c r="S546" s="2067"/>
    </row>
    <row r="547" spans="1:19" s="2068" customFormat="1" ht="24" customHeight="1">
      <c r="A547" s="2069"/>
      <c r="B547" s="2174" t="s">
        <v>2688</v>
      </c>
      <c r="C547" s="1191"/>
      <c r="D547" s="1471"/>
      <c r="E547" s="1206">
        <v>24</v>
      </c>
      <c r="F547" s="1207" t="s">
        <v>363</v>
      </c>
      <c r="G547" s="2175">
        <v>245</v>
      </c>
      <c r="H547" s="1264">
        <f>ROUND(E547*G547,)</f>
        <v>5880</v>
      </c>
      <c r="I547" s="1344">
        <f>ROUND(G547*0.01,)</f>
        <v>2</v>
      </c>
      <c r="J547" s="1264">
        <f>ROUND(I547*E547,)</f>
        <v>48</v>
      </c>
      <c r="K547" s="1265">
        <f>H547+J547</f>
        <v>5928</v>
      </c>
      <c r="L547" s="2066"/>
      <c r="M547" s="2067"/>
      <c r="N547" s="2067"/>
      <c r="O547" s="2067"/>
      <c r="P547" s="2067"/>
      <c r="Q547" s="2067"/>
      <c r="R547" s="2067"/>
      <c r="S547" s="2067"/>
    </row>
    <row r="548" spans="1:19" s="2068" customFormat="1" ht="24" customHeight="1">
      <c r="A548" s="2069"/>
      <c r="B548" s="2174" t="s">
        <v>2689</v>
      </c>
      <c r="C548" s="1191"/>
      <c r="D548" s="1471"/>
      <c r="E548" s="1206"/>
      <c r="F548" s="1207" t="s">
        <v>363</v>
      </c>
      <c r="G548" s="2175">
        <v>22500</v>
      </c>
      <c r="H548" s="1264">
        <f>ROUND(E548*G548,)</f>
        <v>0</v>
      </c>
      <c r="I548" s="1344">
        <f>ROUND(G548*0.01,)</f>
        <v>225</v>
      </c>
      <c r="J548" s="1264">
        <f>ROUND(I548*E548,)</f>
        <v>0</v>
      </c>
      <c r="K548" s="1265">
        <f>H548+J548</f>
        <v>0</v>
      </c>
      <c r="L548" s="2066"/>
      <c r="M548" s="2067"/>
      <c r="N548" s="2067"/>
      <c r="O548" s="2067"/>
      <c r="P548" s="2067"/>
      <c r="Q548" s="2067"/>
      <c r="R548" s="2067"/>
      <c r="S548" s="2067"/>
    </row>
    <row r="549" spans="1:19" s="2068" customFormat="1" ht="24" customHeight="1">
      <c r="A549" s="2065" t="s">
        <v>2701</v>
      </c>
      <c r="B549" s="2174" t="s">
        <v>2690</v>
      </c>
      <c r="C549" s="1191"/>
      <c r="D549" s="1471"/>
      <c r="E549" s="1206"/>
      <c r="F549" s="1207"/>
      <c r="G549" s="2175"/>
      <c r="H549" s="1264"/>
      <c r="I549" s="1265"/>
      <c r="J549" s="1264"/>
      <c r="K549" s="1265"/>
      <c r="L549" s="2066"/>
      <c r="M549" s="2067"/>
      <c r="N549" s="2067"/>
      <c r="O549" s="2067"/>
      <c r="P549" s="2067"/>
      <c r="Q549" s="2067"/>
      <c r="R549" s="2067"/>
      <c r="S549" s="2067"/>
    </row>
    <row r="550" spans="1:19" s="2068" customFormat="1" ht="24" customHeight="1">
      <c r="A550" s="2069"/>
      <c r="B550" s="2174" t="s">
        <v>2686</v>
      </c>
      <c r="C550" s="1191"/>
      <c r="D550" s="1471"/>
      <c r="E550" s="1206">
        <v>1</v>
      </c>
      <c r="F550" s="1207" t="s">
        <v>363</v>
      </c>
      <c r="G550" s="2178">
        <v>68500</v>
      </c>
      <c r="H550" s="1264">
        <f>ROUND(E550*G550,)</f>
        <v>68500</v>
      </c>
      <c r="I550" s="1344">
        <f>ROUND(G550*0.01,)</f>
        <v>685</v>
      </c>
      <c r="J550" s="1264">
        <f>ROUND(I550*E550,)</f>
        <v>685</v>
      </c>
      <c r="K550" s="1265">
        <f>H550+J550</f>
        <v>69185</v>
      </c>
      <c r="L550" s="2066"/>
      <c r="M550" s="2067"/>
      <c r="N550" s="2067"/>
      <c r="O550" s="2067"/>
      <c r="P550" s="2067"/>
      <c r="Q550" s="2067"/>
      <c r="R550" s="2067"/>
      <c r="S550" s="2067"/>
    </row>
    <row r="551" spans="1:19" s="2068" customFormat="1" ht="24" customHeight="1">
      <c r="A551" s="2069"/>
      <c r="B551" s="2174" t="s">
        <v>2687</v>
      </c>
      <c r="C551" s="1191"/>
      <c r="D551" s="1471"/>
      <c r="E551" s="1206">
        <v>1</v>
      </c>
      <c r="F551" s="1207" t="s">
        <v>363</v>
      </c>
      <c r="G551" s="2175">
        <v>3598</v>
      </c>
      <c r="H551" s="1264">
        <f>ROUND(E551*G551,)</f>
        <v>3598</v>
      </c>
      <c r="I551" s="1344">
        <f>ROUND(G551*0.01,)</f>
        <v>36</v>
      </c>
      <c r="J551" s="1264">
        <f>ROUND(I551*E551,)</f>
        <v>36</v>
      </c>
      <c r="K551" s="1265">
        <f>H551+J551</f>
        <v>3634</v>
      </c>
      <c r="L551" s="2066"/>
      <c r="M551" s="2067"/>
      <c r="N551" s="2067"/>
      <c r="O551" s="2067"/>
      <c r="P551" s="2067"/>
      <c r="Q551" s="2067"/>
      <c r="R551" s="2067"/>
      <c r="S551" s="2067"/>
    </row>
    <row r="552" spans="1:19" s="2068" customFormat="1" ht="24" customHeight="1">
      <c r="A552" s="2069"/>
      <c r="B552" s="2174" t="s">
        <v>2688</v>
      </c>
      <c r="C552" s="1191"/>
      <c r="D552" s="1471"/>
      <c r="E552" s="1206">
        <v>24</v>
      </c>
      <c r="F552" s="1207" t="s">
        <v>363</v>
      </c>
      <c r="G552" s="2175">
        <v>245</v>
      </c>
      <c r="H552" s="1264">
        <f>ROUND(E552*G552,)</f>
        <v>5880</v>
      </c>
      <c r="I552" s="1344">
        <f>ROUND(G552*0.01,)</f>
        <v>2</v>
      </c>
      <c r="J552" s="1264">
        <f>ROUND(I552*E552,)</f>
        <v>48</v>
      </c>
      <c r="K552" s="1265">
        <f>H552+J552</f>
        <v>5928</v>
      </c>
      <c r="L552" s="2066"/>
      <c r="M552" s="2067"/>
      <c r="N552" s="2067"/>
      <c r="O552" s="2067"/>
      <c r="P552" s="2067"/>
      <c r="Q552" s="2067"/>
      <c r="R552" s="2067"/>
      <c r="S552" s="2067"/>
    </row>
    <row r="553" spans="1:19" s="2068" customFormat="1" ht="24" customHeight="1">
      <c r="A553" s="2069"/>
      <c r="B553" s="2174" t="s">
        <v>2689</v>
      </c>
      <c r="C553" s="1191"/>
      <c r="D553" s="1471"/>
      <c r="E553" s="1206"/>
      <c r="F553" s="1207" t="s">
        <v>363</v>
      </c>
      <c r="G553" s="2175">
        <v>22500</v>
      </c>
      <c r="H553" s="1264">
        <f>ROUND(E553*G553,)</f>
        <v>0</v>
      </c>
      <c r="I553" s="1344">
        <f>ROUND(G553*0.01,)</f>
        <v>225</v>
      </c>
      <c r="J553" s="1264">
        <f>ROUND(I553*E553,)</f>
        <v>0</v>
      </c>
      <c r="K553" s="1687">
        <f>H553+J553</f>
        <v>0</v>
      </c>
      <c r="L553" s="2366"/>
      <c r="M553" s="2067"/>
      <c r="N553" s="2067"/>
      <c r="O553" s="2067"/>
      <c r="P553" s="2067"/>
      <c r="Q553" s="2067"/>
      <c r="R553" s="2067"/>
      <c r="S553" s="2067"/>
    </row>
    <row r="554" spans="1:19" s="2068" customFormat="1" ht="24" customHeight="1">
      <c r="A554" s="2069"/>
      <c r="B554" s="2174"/>
      <c r="C554" s="1191"/>
      <c r="D554" s="1471"/>
      <c r="E554" s="1206"/>
      <c r="F554" s="1207"/>
      <c r="G554" s="2175"/>
      <c r="H554" s="1264"/>
      <c r="I554" s="1344"/>
      <c r="J554" s="1264"/>
      <c r="K554" s="1687"/>
      <c r="L554" s="2366"/>
      <c r="M554" s="2067"/>
      <c r="N554" s="2067"/>
      <c r="O554" s="2067"/>
      <c r="P554" s="2067"/>
      <c r="Q554" s="2067"/>
      <c r="R554" s="2067"/>
      <c r="S554" s="2067"/>
    </row>
    <row r="555" spans="1:19" s="1199" customFormat="1" ht="24" customHeight="1">
      <c r="A555" s="1470" t="s">
        <v>2702</v>
      </c>
      <c r="B555" s="2174" t="s">
        <v>1397</v>
      </c>
      <c r="C555" s="1191"/>
      <c r="D555" s="1471"/>
      <c r="E555" s="1206"/>
      <c r="F555" s="1207"/>
      <c r="G555" s="2175"/>
      <c r="H555" s="1264"/>
      <c r="I555" s="1265"/>
      <c r="J555" s="1264"/>
      <c r="K555" s="1687"/>
      <c r="L555" s="1531"/>
      <c r="M555" s="1214"/>
      <c r="N555" s="1214"/>
      <c r="O555" s="1214"/>
      <c r="P555" s="1214"/>
      <c r="Q555" s="1214"/>
      <c r="R555" s="1214"/>
      <c r="S555" s="1214"/>
    </row>
    <row r="556" spans="1:19" s="1199" customFormat="1" ht="24" customHeight="1">
      <c r="A556" s="2070"/>
      <c r="B556" s="2174" t="s">
        <v>1398</v>
      </c>
      <c r="C556" s="1202"/>
      <c r="D556" s="1203"/>
      <c r="E556" s="2171">
        <v>1000</v>
      </c>
      <c r="F556" s="1358" t="s">
        <v>226</v>
      </c>
      <c r="G556" s="2176">
        <v>27</v>
      </c>
      <c r="H556" s="1264">
        <f>ROUND(E556*G556,)</f>
        <v>27000</v>
      </c>
      <c r="I556" s="2177">
        <v>12</v>
      </c>
      <c r="J556" s="1264">
        <f>ROUND(E556*I556,)</f>
        <v>12000</v>
      </c>
      <c r="K556" s="1687">
        <f>H556+J556</f>
        <v>39000</v>
      </c>
      <c r="L556" s="1531"/>
      <c r="M556" s="1214"/>
      <c r="N556" s="1214"/>
      <c r="O556" s="1214"/>
      <c r="P556" s="1214"/>
      <c r="Q556" s="1214"/>
      <c r="R556" s="1214"/>
      <c r="S556" s="1214"/>
    </row>
    <row r="557" spans="1:19" s="1199" customFormat="1" ht="24" customHeight="1">
      <c r="A557" s="1331"/>
      <c r="B557" s="2174" t="s">
        <v>1103</v>
      </c>
      <c r="C557" s="1202"/>
      <c r="D557" s="1203"/>
      <c r="E557" s="2171">
        <v>1</v>
      </c>
      <c r="F557" s="1384" t="s">
        <v>1104</v>
      </c>
      <c r="G557" s="2176">
        <f>ROUND(SUM(H556)*5%,0)</f>
        <v>1350</v>
      </c>
      <c r="H557" s="1264">
        <f>ROUND(E557*G557,)</f>
        <v>1350</v>
      </c>
      <c r="I557" s="2177">
        <f>ROUND(G557*0.3,0)</f>
        <v>405</v>
      </c>
      <c r="J557" s="1264">
        <f>ROUND(E557*I557,)</f>
        <v>405</v>
      </c>
      <c r="K557" s="1687">
        <f>H557+J557</f>
        <v>1755</v>
      </c>
      <c r="L557" s="1389"/>
    </row>
    <row r="558" spans="1:19" s="1199" customFormat="1" ht="24" customHeight="1">
      <c r="A558" s="1470" t="s">
        <v>2703</v>
      </c>
      <c r="B558" s="2174" t="s">
        <v>1578</v>
      </c>
      <c r="C558" s="1191"/>
      <c r="D558" s="1471"/>
      <c r="E558" s="1206"/>
      <c r="F558" s="1207"/>
      <c r="G558" s="2175"/>
      <c r="H558" s="1264"/>
      <c r="I558" s="1265"/>
      <c r="J558" s="1264"/>
      <c r="K558" s="1687"/>
      <c r="L558" s="1531"/>
      <c r="M558" s="1214"/>
      <c r="N558" s="1214"/>
      <c r="O558" s="1214"/>
      <c r="P558" s="1214"/>
      <c r="Q558" s="1214"/>
      <c r="R558" s="1214"/>
      <c r="S558" s="1214"/>
    </row>
    <row r="559" spans="1:19" s="1199" customFormat="1" ht="24" customHeight="1">
      <c r="A559" s="2070"/>
      <c r="B559" s="2174" t="s">
        <v>1579</v>
      </c>
      <c r="C559" s="1191"/>
      <c r="D559" s="1471"/>
      <c r="E559" s="1206">
        <v>25</v>
      </c>
      <c r="F559" s="1207" t="s">
        <v>226</v>
      </c>
      <c r="G559" s="2179">
        <v>37</v>
      </c>
      <c r="H559" s="1264">
        <f>ROUND(E559*G559,)</f>
        <v>925</v>
      </c>
      <c r="I559" s="1265">
        <v>5</v>
      </c>
      <c r="J559" s="1264">
        <f>ROUND(I559*E559,)</f>
        <v>125</v>
      </c>
      <c r="K559" s="1687">
        <f>H559+I559</f>
        <v>930</v>
      </c>
      <c r="L559" s="1531"/>
      <c r="M559" s="1214"/>
      <c r="N559" s="1214"/>
      <c r="O559" s="1214"/>
      <c r="P559" s="1214"/>
      <c r="Q559" s="1214"/>
      <c r="R559" s="1214"/>
      <c r="S559" s="1214"/>
    </row>
    <row r="560" spans="1:19" s="1199" customFormat="1" ht="24" customHeight="1">
      <c r="A560" s="1331"/>
      <c r="B560" s="2174" t="s">
        <v>1103</v>
      </c>
      <c r="C560" s="1202"/>
      <c r="D560" s="1203"/>
      <c r="E560" s="2171">
        <v>1</v>
      </c>
      <c r="F560" s="1384" t="s">
        <v>1104</v>
      </c>
      <c r="G560" s="2176">
        <f>ROUND(SUM(H559)*5%,0)</f>
        <v>46</v>
      </c>
      <c r="H560" s="1264">
        <f>ROUND(E560*G560,)</f>
        <v>46</v>
      </c>
      <c r="I560" s="2177">
        <f>ROUND(G560*0.3,0)</f>
        <v>14</v>
      </c>
      <c r="J560" s="1264">
        <f>ROUND(E560*I560,)</f>
        <v>14</v>
      </c>
      <c r="K560" s="1687">
        <f>H560+J560</f>
        <v>60</v>
      </c>
      <c r="L560" s="1389"/>
    </row>
    <row r="561" spans="1:19" s="1199" customFormat="1" ht="24" customHeight="1">
      <c r="A561" s="1331"/>
      <c r="B561" s="2174"/>
      <c r="C561" s="1202"/>
      <c r="D561" s="1203"/>
      <c r="E561" s="2171"/>
      <c r="F561" s="1407"/>
      <c r="G561" s="2176"/>
      <c r="H561" s="1264"/>
      <c r="I561" s="2176"/>
      <c r="J561" s="1264"/>
      <c r="K561" s="1687"/>
      <c r="L561" s="1389"/>
    </row>
    <row r="562" spans="1:19" s="1199" customFormat="1" ht="24" customHeight="1">
      <c r="A562" s="1331"/>
      <c r="B562" s="2174"/>
      <c r="C562" s="1202"/>
      <c r="D562" s="1203"/>
      <c r="E562" s="2171"/>
      <c r="F562" s="1407"/>
      <c r="G562" s="2176"/>
      <c r="H562" s="1264"/>
      <c r="I562" s="2176"/>
      <c r="J562" s="1264"/>
      <c r="K562" s="1687"/>
      <c r="L562" s="1389"/>
    </row>
    <row r="563" spans="1:19" s="1199" customFormat="1" ht="24" customHeight="1">
      <c r="A563" s="1470" t="s">
        <v>2704</v>
      </c>
      <c r="B563" s="2174" t="s">
        <v>1526</v>
      </c>
      <c r="C563" s="1191"/>
      <c r="D563" s="1471"/>
      <c r="E563" s="1206"/>
      <c r="F563" s="1207"/>
      <c r="G563" s="2175"/>
      <c r="H563" s="1264"/>
      <c r="I563" s="1265"/>
      <c r="J563" s="1264"/>
      <c r="K563" s="1687"/>
      <c r="L563" s="1531"/>
      <c r="M563" s="1214"/>
      <c r="N563" s="1214"/>
      <c r="O563" s="1214"/>
      <c r="P563" s="1214"/>
      <c r="Q563" s="1214"/>
      <c r="R563" s="1214"/>
      <c r="S563" s="1214"/>
    </row>
    <row r="564" spans="1:19" s="1199" customFormat="1" ht="24" customHeight="1">
      <c r="A564" s="1474"/>
      <c r="B564" s="2174" t="s">
        <v>1350</v>
      </c>
      <c r="C564" s="1191"/>
      <c r="D564" s="1471"/>
      <c r="E564" s="2365">
        <v>25</v>
      </c>
      <c r="F564" s="1358" t="s">
        <v>226</v>
      </c>
      <c r="G564" s="2176">
        <v>27</v>
      </c>
      <c r="H564" s="1264">
        <f t="shared" ref="H564" si="110">ROUND(E564*G564,)</f>
        <v>675</v>
      </c>
      <c r="I564" s="2177">
        <v>22</v>
      </c>
      <c r="J564" s="1264">
        <f t="shared" ref="J564" si="111">ROUND(E564*I564,)</f>
        <v>550</v>
      </c>
      <c r="K564" s="1802">
        <f t="shared" ref="K564" si="112">H564+J564</f>
        <v>1225</v>
      </c>
      <c r="L564" s="1531"/>
      <c r="M564" s="1214"/>
      <c r="N564" s="1214"/>
      <c r="O564" s="1214"/>
      <c r="P564" s="1214"/>
      <c r="Q564" s="1214"/>
      <c r="R564" s="1214"/>
      <c r="S564" s="1214"/>
    </row>
    <row r="565" spans="1:19" s="1199" customFormat="1" ht="24" customHeight="1">
      <c r="A565" s="1480"/>
      <c r="B565" s="2174" t="s">
        <v>1384</v>
      </c>
      <c r="C565" s="1191"/>
      <c r="D565" s="1471"/>
      <c r="E565" s="1206">
        <v>1</v>
      </c>
      <c r="F565" s="1207" t="s">
        <v>1104</v>
      </c>
      <c r="G565" s="2175">
        <f>ROUND(SUM(H564)*15%,0)</f>
        <v>101</v>
      </c>
      <c r="H565" s="1264">
        <f>ROUND(E565*G565,)</f>
        <v>101</v>
      </c>
      <c r="I565" s="1265">
        <f>G565*0.3</f>
        <v>30.299999999999997</v>
      </c>
      <c r="J565" s="1264">
        <f>ROUND(I565*E565,)</f>
        <v>30</v>
      </c>
      <c r="K565" s="1687">
        <f>H565+I565</f>
        <v>131.30000000000001</v>
      </c>
      <c r="L565" s="1531"/>
      <c r="M565" s="1214"/>
      <c r="N565" s="1214"/>
      <c r="O565" s="1214"/>
      <c r="P565" s="1214"/>
      <c r="Q565" s="1214"/>
      <c r="R565" s="1214"/>
      <c r="S565" s="1214"/>
    </row>
    <row r="566" spans="1:19" s="1199" customFormat="1" ht="24" customHeight="1">
      <c r="A566" s="1470" t="s">
        <v>2982</v>
      </c>
      <c r="B566" s="2174" t="s">
        <v>1110</v>
      </c>
      <c r="C566" s="1191"/>
      <c r="D566" s="1471"/>
      <c r="E566" s="1206"/>
      <c r="F566" s="1207"/>
      <c r="G566" s="2175"/>
      <c r="H566" s="1264"/>
      <c r="I566" s="1265"/>
      <c r="J566" s="1264"/>
      <c r="K566" s="1687"/>
      <c r="L566" s="1531"/>
      <c r="M566" s="1214"/>
      <c r="N566" s="1214"/>
      <c r="O566" s="1214"/>
      <c r="P566" s="1214"/>
      <c r="Q566" s="1214"/>
      <c r="R566" s="1214"/>
      <c r="S566" s="1214"/>
    </row>
    <row r="567" spans="1:19" s="1199" customFormat="1" ht="24" customHeight="1">
      <c r="A567" s="1480"/>
      <c r="B567" s="2174" t="s">
        <v>1350</v>
      </c>
      <c r="C567" s="1191"/>
      <c r="D567" s="1471"/>
      <c r="E567" s="2365"/>
      <c r="F567" s="1358" t="s">
        <v>226</v>
      </c>
      <c r="G567" s="2176">
        <v>54</v>
      </c>
      <c r="H567" s="1264">
        <f>ROUND(E567*G567,)</f>
        <v>0</v>
      </c>
      <c r="I567" s="2177">
        <v>26</v>
      </c>
      <c r="J567" s="1264">
        <f t="shared" ref="J567" si="113">ROUND(E567*I567,)</f>
        <v>0</v>
      </c>
      <c r="K567" s="1687">
        <f t="shared" ref="K567" si="114">H567+J567</f>
        <v>0</v>
      </c>
      <c r="L567" s="1531"/>
      <c r="M567" s="1214"/>
      <c r="N567" s="1214"/>
      <c r="O567" s="1214"/>
      <c r="P567" s="1214"/>
      <c r="Q567" s="1214"/>
      <c r="R567" s="1214"/>
      <c r="S567" s="1214"/>
    </row>
    <row r="568" spans="1:19" s="1199" customFormat="1" ht="24" customHeight="1">
      <c r="A568" s="1480"/>
      <c r="B568" s="2174" t="s">
        <v>1384</v>
      </c>
      <c r="C568" s="1191"/>
      <c r="D568" s="1471"/>
      <c r="E568" s="1206">
        <v>1</v>
      </c>
      <c r="F568" s="1207" t="s">
        <v>1104</v>
      </c>
      <c r="G568" s="2175">
        <f>ROUND(SUM(H567)*15%,0)</f>
        <v>0</v>
      </c>
      <c r="H568" s="1264">
        <f>ROUND(E568*G568,)</f>
        <v>0</v>
      </c>
      <c r="I568" s="1265">
        <f>ROUND(G568*0.3,0)</f>
        <v>0</v>
      </c>
      <c r="J568" s="1264">
        <f>ROUND(I568*E568,)</f>
        <v>0</v>
      </c>
      <c r="K568" s="1687">
        <f>H568+I568</f>
        <v>0</v>
      </c>
      <c r="L568" s="1531"/>
      <c r="M568" s="1214"/>
      <c r="N568" s="1214"/>
      <c r="O568" s="1214"/>
      <c r="P568" s="1214"/>
      <c r="Q568" s="1214"/>
      <c r="R568" s="1214"/>
      <c r="S568" s="1214"/>
    </row>
    <row r="569" spans="1:19" s="1199" customFormat="1" ht="24" customHeight="1">
      <c r="A569" s="1331" t="s">
        <v>2983</v>
      </c>
      <c r="B569" s="2174" t="s">
        <v>1343</v>
      </c>
      <c r="C569" s="1202"/>
      <c r="D569" s="1202"/>
      <c r="E569" s="1404"/>
      <c r="F569" s="1384"/>
      <c r="G569" s="2176"/>
      <c r="H569" s="1264"/>
      <c r="I569" s="2177"/>
      <c r="J569" s="1264"/>
      <c r="K569" s="1687"/>
      <c r="L569" s="1389"/>
    </row>
    <row r="570" spans="1:19" s="1199" customFormat="1" ht="24" customHeight="1">
      <c r="A570" s="1331"/>
      <c r="B570" s="2174" t="s">
        <v>1383</v>
      </c>
      <c r="C570" s="1202"/>
      <c r="D570" s="1202"/>
      <c r="E570" s="1404"/>
      <c r="F570" s="1358" t="s">
        <v>226</v>
      </c>
      <c r="G570" s="2176">
        <v>247</v>
      </c>
      <c r="H570" s="1264">
        <f>ROUND(E570*G570,)</f>
        <v>0</v>
      </c>
      <c r="I570" s="2177">
        <v>40</v>
      </c>
      <c r="J570" s="1264">
        <f>ROUND(E570*I570,)</f>
        <v>0</v>
      </c>
      <c r="K570" s="1273">
        <f>H570+J570</f>
        <v>0</v>
      </c>
      <c r="L570" s="1389"/>
    </row>
    <row r="571" spans="1:19" s="1199" customFormat="1" ht="24" customHeight="1">
      <c r="A571" s="1331"/>
      <c r="B571" s="2174" t="s">
        <v>1384</v>
      </c>
      <c r="C571" s="1202"/>
      <c r="D571" s="1202"/>
      <c r="E571" s="1387">
        <v>1</v>
      </c>
      <c r="F571" s="1384" t="s">
        <v>1104</v>
      </c>
      <c r="G571" s="2176">
        <f>ROUND(SUM(H570)*15%,0)</f>
        <v>0</v>
      </c>
      <c r="H571" s="1264">
        <f>ROUND(G571*E571,)</f>
        <v>0</v>
      </c>
      <c r="I571" s="2177">
        <f>ROUND(G571*0.3,0)</f>
        <v>0</v>
      </c>
      <c r="J571" s="1264">
        <f t="shared" ref="J571" si="115">ROUND(E571*I571,)</f>
        <v>0</v>
      </c>
      <c r="K571" s="1273">
        <f t="shared" ref="K571" si="116">H571+J571</f>
        <v>0</v>
      </c>
      <c r="L571" s="1389"/>
    </row>
    <row r="572" spans="1:19" s="1199" customFormat="1" ht="24" customHeight="1">
      <c r="A572" s="1470" t="s">
        <v>2982</v>
      </c>
      <c r="B572" s="2174" t="s">
        <v>1381</v>
      </c>
      <c r="C572" s="1191"/>
      <c r="D572" s="1471"/>
      <c r="E572" s="1206">
        <v>1</v>
      </c>
      <c r="F572" s="1207" t="s">
        <v>1104</v>
      </c>
      <c r="G572" s="2175"/>
      <c r="H572" s="1264"/>
      <c r="I572" s="1265">
        <v>50000</v>
      </c>
      <c r="J572" s="1264">
        <f>ROUND(I572*E572,)</f>
        <v>50000</v>
      </c>
      <c r="K572" s="1265">
        <f>H572+I572</f>
        <v>50000</v>
      </c>
      <c r="L572" s="1473"/>
      <c r="M572" s="1214"/>
      <c r="N572" s="1214"/>
      <c r="O572" s="1214"/>
      <c r="P572" s="1214"/>
      <c r="Q572" s="1214"/>
      <c r="R572" s="1214"/>
      <c r="S572" s="1214"/>
    </row>
    <row r="573" spans="1:19" s="1199" customFormat="1" ht="24" customHeight="1">
      <c r="A573" s="1480"/>
      <c r="B573" s="2174" t="s">
        <v>1117</v>
      </c>
      <c r="C573" s="1191"/>
      <c r="D573" s="1471"/>
      <c r="E573" s="1206"/>
      <c r="F573" s="1207"/>
      <c r="G573" s="2175"/>
      <c r="H573" s="1264"/>
      <c r="I573" s="1265"/>
      <c r="J573" s="1264"/>
      <c r="K573" s="1265"/>
      <c r="L573" s="1473"/>
      <c r="M573" s="1214"/>
      <c r="N573" s="1214"/>
      <c r="O573" s="1214"/>
      <c r="P573" s="1214"/>
      <c r="Q573" s="1214"/>
      <c r="R573" s="1214"/>
      <c r="S573" s="1214"/>
    </row>
    <row r="574" spans="1:19" s="1199" customFormat="1" ht="24" customHeight="1">
      <c r="A574" s="1480"/>
      <c r="B574" s="2174" t="s">
        <v>1118</v>
      </c>
      <c r="C574" s="1191"/>
      <c r="D574" s="1471"/>
      <c r="E574" s="1206"/>
      <c r="F574" s="1207"/>
      <c r="G574" s="2175"/>
      <c r="H574" s="1264"/>
      <c r="I574" s="1265"/>
      <c r="J574" s="1264"/>
      <c r="K574" s="1265"/>
      <c r="L574" s="1473"/>
      <c r="M574" s="1214"/>
      <c r="N574" s="1214"/>
      <c r="O574" s="1214"/>
      <c r="P574" s="1214"/>
      <c r="Q574" s="1214"/>
      <c r="R574" s="1214"/>
      <c r="S574" s="1214"/>
    </row>
    <row r="575" spans="1:19" s="1199" customFormat="1" ht="24" customHeight="1">
      <c r="A575" s="1543"/>
      <c r="B575" s="1190" t="s">
        <v>1118</v>
      </c>
      <c r="C575" s="1544"/>
      <c r="D575" s="1545"/>
      <c r="E575" s="2071"/>
      <c r="F575" s="1227"/>
      <c r="G575" s="1360"/>
      <c r="H575" s="1281"/>
      <c r="I575" s="1282"/>
      <c r="J575" s="1281"/>
      <c r="K575" s="1282"/>
      <c r="L575" s="2072"/>
      <c r="M575" s="1214"/>
      <c r="N575" s="1214"/>
      <c r="O575" s="1214"/>
      <c r="P575" s="1214"/>
      <c r="Q575" s="1214"/>
      <c r="R575" s="1214"/>
      <c r="S575" s="1214"/>
    </row>
    <row r="576" spans="1:19" s="1199" customFormat="1" ht="24" customHeight="1">
      <c r="A576" s="1243"/>
      <c r="B576" s="2257" t="str">
        <f>"รวมราคารายการที่ "&amp;A539</f>
        <v>รวมราคารายการที่ 3.17</v>
      </c>
      <c r="C576" s="2258"/>
      <c r="D576" s="2259"/>
      <c r="E576" s="1244"/>
      <c r="F576" s="1245"/>
      <c r="G576" s="1246"/>
      <c r="H576" s="1247">
        <f>SUM(H539:H575)</f>
        <v>317078</v>
      </c>
      <c r="I576" s="1246"/>
      <c r="J576" s="1247">
        <f t="shared" ref="J576:K576" si="117">SUM(J539:J575)</f>
        <v>64662</v>
      </c>
      <c r="K576" s="1247">
        <f t="shared" si="117"/>
        <v>381620.3</v>
      </c>
      <c r="L576" s="1245"/>
    </row>
    <row r="577" spans="1:12" s="1199" customFormat="1" ht="24" customHeight="1">
      <c r="A577" s="1381" t="s">
        <v>1423</v>
      </c>
      <c r="B577" s="1292" t="s">
        <v>1424</v>
      </c>
      <c r="C577" s="1235"/>
      <c r="D577" s="1235"/>
      <c r="E577" s="1397">
        <v>1</v>
      </c>
      <c r="F577" s="1398" t="s">
        <v>1104</v>
      </c>
      <c r="G577" s="1399">
        <v>630000</v>
      </c>
      <c r="H577" s="1400">
        <f>ROUND(E577*G577,)</f>
        <v>630000</v>
      </c>
      <c r="I577" s="1401">
        <f>G577*0.3</f>
        <v>189000</v>
      </c>
      <c r="J577" s="1402">
        <f>ROUND(E577*I577,)</f>
        <v>189000</v>
      </c>
      <c r="K577" s="1402">
        <f>H577+J577</f>
        <v>819000</v>
      </c>
      <c r="L577" s="1403"/>
    </row>
    <row r="578" spans="1:12" s="1199" customFormat="1" ht="24" customHeight="1">
      <c r="A578" s="1470"/>
      <c r="B578" s="2174"/>
      <c r="C578" s="1191"/>
      <c r="D578" s="1471"/>
      <c r="E578" s="1206"/>
      <c r="F578" s="1207"/>
      <c r="G578" s="2175"/>
      <c r="H578" s="1264"/>
      <c r="I578" s="1265"/>
      <c r="J578" s="1264"/>
      <c r="K578" s="1265"/>
      <c r="L578" s="1473"/>
    </row>
    <row r="579" spans="1:12" s="1199" customFormat="1" ht="24" customHeight="1">
      <c r="A579" s="1480"/>
      <c r="B579" s="2174"/>
      <c r="C579" s="1191"/>
      <c r="D579" s="1471"/>
      <c r="E579" s="1387"/>
      <c r="F579" s="1358"/>
      <c r="G579" s="2176"/>
      <c r="H579" s="1264"/>
      <c r="I579" s="2177"/>
      <c r="J579" s="1264"/>
      <c r="K579" s="1273"/>
      <c r="L579" s="1473"/>
    </row>
    <row r="580" spans="1:12" s="1199" customFormat="1" ht="24" customHeight="1">
      <c r="A580" s="1480"/>
      <c r="B580" s="2174"/>
      <c r="C580" s="1191"/>
      <c r="D580" s="1471"/>
      <c r="E580" s="1206"/>
      <c r="F580" s="1207"/>
      <c r="G580" s="2175"/>
      <c r="H580" s="1264"/>
      <c r="I580" s="1265"/>
      <c r="J580" s="1264"/>
      <c r="K580" s="1265"/>
      <c r="L580" s="1473"/>
    </row>
    <row r="581" spans="1:12" s="1199" customFormat="1" ht="24" customHeight="1">
      <c r="A581" s="1331"/>
      <c r="B581" s="2174"/>
      <c r="C581" s="1202"/>
      <c r="D581" s="1202"/>
      <c r="E581" s="1404"/>
      <c r="F581" s="1384"/>
      <c r="G581" s="2176"/>
      <c r="H581" s="1264"/>
      <c r="I581" s="2177"/>
      <c r="J581" s="1264"/>
      <c r="K581" s="1273"/>
      <c r="L581" s="1389"/>
    </row>
    <row r="582" spans="1:12" s="1199" customFormat="1" ht="24" customHeight="1">
      <c r="A582" s="1331"/>
      <c r="B582" s="2174"/>
      <c r="C582" s="1202"/>
      <c r="D582" s="1202"/>
      <c r="E582" s="1404"/>
      <c r="F582" s="1358"/>
      <c r="G582" s="2176"/>
      <c r="H582" s="1264"/>
      <c r="I582" s="2177"/>
      <c r="J582" s="1264"/>
      <c r="K582" s="1273"/>
      <c r="L582" s="1389"/>
    </row>
    <row r="583" spans="1:12" s="1199" customFormat="1" ht="24" customHeight="1">
      <c r="A583" s="1470"/>
      <c r="B583" s="2174"/>
      <c r="C583" s="1191"/>
      <c r="D583" s="1471"/>
      <c r="E583" s="1206"/>
      <c r="F583" s="1207"/>
      <c r="G583" s="2175"/>
      <c r="H583" s="1264"/>
      <c r="I583" s="1265"/>
      <c r="J583" s="1264"/>
      <c r="K583" s="1265"/>
      <c r="L583" s="1473"/>
    </row>
    <row r="584" spans="1:12" s="1199" customFormat="1" ht="24" customHeight="1">
      <c r="A584" s="1480"/>
      <c r="B584" s="2174"/>
      <c r="C584" s="1191"/>
      <c r="D584" s="1471"/>
      <c r="E584" s="1387"/>
      <c r="F584" s="1358"/>
      <c r="G584" s="2176"/>
      <c r="H584" s="1264"/>
      <c r="I584" s="2177"/>
      <c r="J584" s="1264"/>
      <c r="K584" s="1273"/>
      <c r="L584" s="1473"/>
    </row>
    <row r="585" spans="1:12" s="1199" customFormat="1" ht="24" customHeight="1">
      <c r="A585" s="1480"/>
      <c r="B585" s="2174"/>
      <c r="C585" s="1191"/>
      <c r="D585" s="1471"/>
      <c r="E585" s="1206"/>
      <c r="F585" s="1207"/>
      <c r="G585" s="2175"/>
      <c r="H585" s="1264"/>
      <c r="I585" s="1265"/>
      <c r="J585" s="1264"/>
      <c r="K585" s="1265"/>
      <c r="L585" s="1473"/>
    </row>
    <row r="586" spans="1:12" s="1199" customFormat="1" ht="24" customHeight="1">
      <c r="A586" s="1243"/>
      <c r="B586" s="2257" t="str">
        <f>"รวมราคารายการที่ "&amp;A577</f>
        <v>รวมราคารายการที่ 3.18</v>
      </c>
      <c r="C586" s="2258"/>
      <c r="D586" s="2259"/>
      <c r="E586" s="1244"/>
      <c r="F586" s="1245"/>
      <c r="G586" s="1246"/>
      <c r="H586" s="1247">
        <f>SUM(H577:H577)</f>
        <v>630000</v>
      </c>
      <c r="I586" s="1246"/>
      <c r="J586" s="1247">
        <f>SUM(J577:J577)</f>
        <v>189000</v>
      </c>
      <c r="K586" s="1245">
        <f>SUM(K577:K577)</f>
        <v>819000</v>
      </c>
      <c r="L586" s="1245"/>
    </row>
    <row r="587" spans="1:12" s="1199" customFormat="1" ht="21.3">
      <c r="A587" s="1427"/>
      <c r="E587" s="1363"/>
      <c r="L587" s="1428"/>
    </row>
    <row r="588" spans="1:12" s="1199" customFormat="1" ht="21.3">
      <c r="A588" s="1427"/>
      <c r="E588" s="1363"/>
      <c r="L588" s="1428"/>
    </row>
    <row r="589" spans="1:12" s="1199" customFormat="1" ht="21.3">
      <c r="A589" s="1427"/>
      <c r="E589" s="1363"/>
      <c r="L589" s="1428"/>
    </row>
    <row r="590" spans="1:12" s="1199" customFormat="1" ht="21.3">
      <c r="A590" s="1427"/>
      <c r="E590" s="1363"/>
      <c r="L590" s="1428"/>
    </row>
    <row r="591" spans="1:12">
      <c r="A591" s="1427"/>
      <c r="B591" s="1199"/>
      <c r="C591" s="1199"/>
      <c r="D591" s="1199"/>
      <c r="E591" s="1363"/>
      <c r="F591" s="1199"/>
      <c r="G591" s="1199"/>
      <c r="H591" s="1199"/>
      <c r="I591" s="1199"/>
      <c r="J591" s="1199"/>
      <c r="K591" s="1199"/>
      <c r="L591" s="1428"/>
    </row>
    <row r="592" spans="1:12">
      <c r="A592" s="1427"/>
      <c r="B592" s="1199"/>
      <c r="C592" s="1199"/>
      <c r="D592" s="1199"/>
      <c r="E592" s="1363"/>
      <c r="F592" s="1199"/>
      <c r="G592" s="1199"/>
      <c r="H592" s="1199"/>
      <c r="I592" s="1199"/>
      <c r="J592" s="1199"/>
      <c r="K592" s="1199"/>
      <c r="L592" s="1428"/>
    </row>
    <row r="593" spans="1:12">
      <c r="A593" s="1427"/>
      <c r="B593" s="1199"/>
      <c r="C593" s="1199"/>
      <c r="D593" s="1199"/>
      <c r="E593" s="1363"/>
      <c r="F593" s="1199"/>
      <c r="G593" s="1199"/>
      <c r="H593" s="1199"/>
      <c r="I593" s="1199"/>
      <c r="J593" s="1199"/>
      <c r="K593" s="1199"/>
      <c r="L593" s="1428"/>
    </row>
    <row r="594" spans="1:12">
      <c r="A594" s="1427"/>
      <c r="B594" s="1199"/>
      <c r="C594" s="1199"/>
      <c r="D594" s="1199"/>
      <c r="E594" s="1363"/>
      <c r="F594" s="1199"/>
      <c r="G594" s="1199"/>
      <c r="H594" s="1199"/>
      <c r="I594" s="1199"/>
      <c r="J594" s="1199"/>
      <c r="K594" s="1199"/>
      <c r="L594" s="1428"/>
    </row>
    <row r="595" spans="1:12">
      <c r="A595" s="1427"/>
      <c r="B595" s="1199"/>
      <c r="C595" s="1199"/>
      <c r="D595" s="1199"/>
      <c r="E595" s="1363"/>
      <c r="F595" s="1199"/>
      <c r="G595" s="1199"/>
      <c r="H595" s="1199"/>
      <c r="I595" s="1199"/>
      <c r="J595" s="1199"/>
      <c r="K595" s="1199"/>
      <c r="L595" s="1428"/>
    </row>
  </sheetData>
  <mergeCells count="27">
    <mergeCell ref="L7:L8"/>
    <mergeCell ref="A9:A10"/>
    <mergeCell ref="B9:D10"/>
    <mergeCell ref="E9:E10"/>
    <mergeCell ref="F9:F10"/>
    <mergeCell ref="G9:H9"/>
    <mergeCell ref="I9:J9"/>
    <mergeCell ref="L9:L10"/>
    <mergeCell ref="B404:D404"/>
    <mergeCell ref="B34:D34"/>
    <mergeCell ref="B58:D58"/>
    <mergeCell ref="B68:D68"/>
    <mergeCell ref="B82:D82"/>
    <mergeCell ref="B106:D106"/>
    <mergeCell ref="B214:D214"/>
    <mergeCell ref="B260:D260"/>
    <mergeCell ref="B287:D287"/>
    <mergeCell ref="B331:D331"/>
    <mergeCell ref="B356:D356"/>
    <mergeCell ref="B381:D381"/>
    <mergeCell ref="B586:D586"/>
    <mergeCell ref="B426:D426"/>
    <mergeCell ref="B452:D452"/>
    <mergeCell ref="B470:D470"/>
    <mergeCell ref="B508:D508"/>
    <mergeCell ref="B538:D538"/>
    <mergeCell ref="B576:D576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(Main Equipment)-อาคารทิศตะวันตก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63428-4DDA-44D3-A5A1-A721C30C56DC}">
  <sheetPr>
    <tabColor rgb="FFFFFF00"/>
  </sheetPr>
  <dimension ref="A1:U34"/>
  <sheetViews>
    <sheetView showGridLines="0" view="pageBreakPreview" topLeftCell="A10" zoomScale="85" zoomScaleNormal="60" zoomScaleSheetLayoutView="85" workbookViewId="0">
      <selection activeCell="D24" sqref="D24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15.703125" style="1" customWidth="1"/>
    <col min="13" max="14" width="7.703125" style="1" customWidth="1"/>
    <col min="15" max="15" width="15" style="1" bestFit="1" customWidth="1"/>
    <col min="16" max="99" width="7.703125" style="1" customWidth="1"/>
    <col min="100" max="16384" width="9" style="1"/>
  </cols>
  <sheetData>
    <row r="1" spans="1:15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5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5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5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5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5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5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5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5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5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5" ht="24" customHeight="1">
      <c r="A11" s="1560" t="s">
        <v>24</v>
      </c>
      <c r="B11" s="1561" t="s">
        <v>25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429"/>
    </row>
    <row r="12" spans="1:15" ht="24" customHeight="1">
      <c r="A12" s="1743"/>
      <c r="B12" s="1744"/>
      <c r="C12" s="1745"/>
      <c r="D12" s="1746"/>
      <c r="E12" s="1747"/>
      <c r="F12" s="1747"/>
      <c r="G12" s="1748"/>
      <c r="H12" s="1749"/>
      <c r="I12" s="1750"/>
      <c r="J12" s="1749"/>
      <c r="K12" s="1751"/>
      <c r="L12" s="1752"/>
    </row>
    <row r="13" spans="1:15" s="1199" customFormat="1" ht="24" customHeight="1">
      <c r="A13" s="1564">
        <v>1</v>
      </c>
      <c r="B13" s="1538" t="str">
        <f>'06.AC อาคารทิศตะวันตก (Main)'!B11</f>
        <v>งานระบบปรับอากาศ และระบายอากาศ (Main Equipment)</v>
      </c>
      <c r="C13" s="1533"/>
      <c r="D13" s="1534"/>
      <c r="E13" s="1753">
        <v>1</v>
      </c>
      <c r="F13" s="1567" t="s">
        <v>19</v>
      </c>
      <c r="G13" s="1195"/>
      <c r="H13" s="1196">
        <f>'06.AC อาคารทิศตะวันตก (Main)'!H34</f>
        <v>13438791</v>
      </c>
      <c r="I13" s="1197"/>
      <c r="J13" s="1196">
        <f>'06.AC อาคารทิศตะวันตก (Main)'!J34</f>
        <v>4564559</v>
      </c>
      <c r="K13" s="1196">
        <f>'06.AC อาคารทิศตะวันตก (Main)'!K34</f>
        <v>18003350</v>
      </c>
      <c r="L13" s="1531"/>
      <c r="M13" s="1532"/>
      <c r="O13" s="1570"/>
    </row>
    <row r="14" spans="1:15" s="1199" customFormat="1" ht="24" customHeight="1">
      <c r="A14" s="1564">
        <v>2</v>
      </c>
      <c r="B14" s="1538" t="str">
        <f>'06.AC อาคารทิศตะวันตก (B2FL)'!B11</f>
        <v>งานระบบปรับอากาศ และระบายอากาศ ชั้น B2</v>
      </c>
      <c r="C14" s="1533"/>
      <c r="D14" s="1534"/>
      <c r="E14" s="1753">
        <v>1</v>
      </c>
      <c r="F14" s="1567" t="s">
        <v>19</v>
      </c>
      <c r="G14" s="1195"/>
      <c r="H14" s="1196">
        <f>'06.AC อาคารทิศตะวันตก (B2FL)'!H34</f>
        <v>7754669</v>
      </c>
      <c r="I14" s="1197"/>
      <c r="J14" s="1196">
        <f>'06.AC อาคารทิศตะวันตก (B2FL)'!J34</f>
        <v>1541498</v>
      </c>
      <c r="K14" s="1196">
        <f>'06.AC อาคารทิศตะวันตก (B2FL)'!K34</f>
        <v>9296167</v>
      </c>
      <c r="L14" s="1531"/>
      <c r="M14" s="1532"/>
      <c r="O14" s="1570"/>
    </row>
    <row r="15" spans="1:15" s="1199" customFormat="1" ht="24" customHeight="1">
      <c r="A15" s="1564">
        <v>3</v>
      </c>
      <c r="B15" s="1538" t="str">
        <f>'06.AC อาคารทิศตะวันตก (B1FL)'!B11</f>
        <v>งานระบบปรับอากาศ และระบายอากาศ ชั้น B1</v>
      </c>
      <c r="C15" s="1533"/>
      <c r="D15" s="1534"/>
      <c r="E15" s="1753">
        <v>1</v>
      </c>
      <c r="F15" s="1567" t="s">
        <v>19</v>
      </c>
      <c r="G15" s="1195"/>
      <c r="H15" s="1196">
        <f>'06.AC อาคารทิศตะวันตก (B1FL)'!H34</f>
        <v>13625452</v>
      </c>
      <c r="I15" s="1197"/>
      <c r="J15" s="1196">
        <f>'06.AC อาคารทิศตะวันตก (B1FL)'!J34</f>
        <v>2881568</v>
      </c>
      <c r="K15" s="1196">
        <f>'06.AC อาคารทิศตะวันตก (B1FL)'!K34</f>
        <v>16507020</v>
      </c>
      <c r="L15" s="1531"/>
      <c r="M15" s="1532"/>
      <c r="O15" s="1570"/>
    </row>
    <row r="16" spans="1:15" s="1199" customFormat="1" ht="24" customHeight="1">
      <c r="A16" s="1564">
        <v>4</v>
      </c>
      <c r="B16" s="1538" t="str">
        <f>'06.AC อาคารทิศตะวันตก (1FL)'!B11</f>
        <v>งานระบบปรับอากาศ และระบายอากาศ ชั้น 1</v>
      </c>
      <c r="C16" s="1533"/>
      <c r="D16" s="1534"/>
      <c r="E16" s="1753">
        <v>1</v>
      </c>
      <c r="F16" s="1567" t="s">
        <v>19</v>
      </c>
      <c r="G16" s="1195"/>
      <c r="H16" s="1196">
        <f>'06.AC อาคารทิศตะวันตก (1FL)'!H34</f>
        <v>4972188</v>
      </c>
      <c r="I16" s="1197"/>
      <c r="J16" s="1196">
        <f>'06.AC อาคารทิศตะวันตก (1FL)'!J34</f>
        <v>651414</v>
      </c>
      <c r="K16" s="1196">
        <f>'06.AC อาคารทิศตะวันตก (1FL)'!K34</f>
        <v>5623602</v>
      </c>
      <c r="L16" s="1531"/>
      <c r="M16" s="1532"/>
      <c r="O16" s="1570"/>
    </row>
    <row r="17" spans="1:15" s="1199" customFormat="1" ht="24" customHeight="1">
      <c r="A17" s="1564">
        <v>5</v>
      </c>
      <c r="B17" s="1538" t="str">
        <f>'06.AC อาคารทิศตะวันตก (2FL)'!B11</f>
        <v>งานระบบปรับอากาศ และระบายอากาศ ชั้น 2</v>
      </c>
      <c r="C17" s="1533"/>
      <c r="D17" s="1534"/>
      <c r="E17" s="1753">
        <v>1</v>
      </c>
      <c r="F17" s="1567" t="s">
        <v>19</v>
      </c>
      <c r="G17" s="1195"/>
      <c r="H17" s="1196">
        <f>'06.AC อาคารทิศตะวันตก (2FL)'!H34</f>
        <v>4072480</v>
      </c>
      <c r="I17" s="1197"/>
      <c r="J17" s="1196">
        <f>'06.AC อาคารทิศตะวันตก (2FL)'!J34</f>
        <v>463146</v>
      </c>
      <c r="K17" s="1196">
        <f>'06.AC อาคารทิศตะวันตก (2FL)'!K34</f>
        <v>4535626</v>
      </c>
      <c r="L17" s="1531"/>
      <c r="M17" s="1532"/>
      <c r="O17" s="1570"/>
    </row>
    <row r="18" spans="1:15" s="1199" customFormat="1" ht="24" customHeight="1">
      <c r="A18" s="1564">
        <v>6</v>
      </c>
      <c r="B18" s="1538" t="str">
        <f>'06.AC อาคารทิศตะวันตก (3FL)'!B11</f>
        <v>งานระบบปรับอากาศ และระบายอากาศ ชั้น 3</v>
      </c>
      <c r="C18" s="1533"/>
      <c r="D18" s="1534"/>
      <c r="E18" s="1753">
        <v>1</v>
      </c>
      <c r="F18" s="1567" t="s">
        <v>19</v>
      </c>
      <c r="G18" s="1195"/>
      <c r="H18" s="1196">
        <f>'06.AC อาคารทิศตะวันตก (3FL)'!H34</f>
        <v>3652490</v>
      </c>
      <c r="I18" s="1197"/>
      <c r="J18" s="1196">
        <f>'06.AC อาคารทิศตะวันตก (3FL)'!J34</f>
        <v>466389</v>
      </c>
      <c r="K18" s="1196">
        <f>'06.AC อาคารทิศตะวันตก (3FL)'!K34</f>
        <v>4118879</v>
      </c>
      <c r="L18" s="1531"/>
      <c r="M18" s="1532"/>
      <c r="O18" s="1570"/>
    </row>
    <row r="19" spans="1:15" s="1199" customFormat="1" ht="24" customHeight="1">
      <c r="A19" s="1564">
        <v>7</v>
      </c>
      <c r="B19" s="1538" t="str">
        <f>'06.AC อาคารทิศตะวันตก (4FL)'!B11</f>
        <v>งานระบบปรับอากาศ และระบายอากาศ ชั้น 4</v>
      </c>
      <c r="C19" s="1533"/>
      <c r="D19" s="1534"/>
      <c r="E19" s="1753">
        <v>1</v>
      </c>
      <c r="F19" s="1567" t="s">
        <v>19</v>
      </c>
      <c r="G19" s="1195"/>
      <c r="H19" s="1196">
        <f>'06.AC อาคารทิศตะวันตก (4FL)'!H34</f>
        <v>5178817</v>
      </c>
      <c r="I19" s="1197"/>
      <c r="J19" s="1196">
        <f>'06.AC อาคารทิศตะวันตก (4FL)'!J34</f>
        <v>626567</v>
      </c>
      <c r="K19" s="1196">
        <f>'06.AC อาคารทิศตะวันตก (4FL)'!K34</f>
        <v>5805384</v>
      </c>
      <c r="L19" s="1531"/>
      <c r="M19" s="1532"/>
      <c r="O19" s="1570"/>
    </row>
    <row r="20" spans="1:15" s="1199" customFormat="1" ht="24" customHeight="1">
      <c r="A20" s="1564">
        <v>8</v>
      </c>
      <c r="B20" s="1538" t="str">
        <f>'06.AC อาคารทิศตะวันตก (5FL)'!B11</f>
        <v>งานระบบปรับอากาศ และระบายอากาศ ชั้น 5</v>
      </c>
      <c r="C20" s="1533"/>
      <c r="D20" s="1534"/>
      <c r="E20" s="1753">
        <v>1</v>
      </c>
      <c r="F20" s="1567" t="s">
        <v>19</v>
      </c>
      <c r="G20" s="1195"/>
      <c r="H20" s="1196">
        <f>'06.AC อาคารทิศตะวันตก (5FL)'!H34</f>
        <v>4218268</v>
      </c>
      <c r="I20" s="1197"/>
      <c r="J20" s="1196">
        <f>'06.AC อาคารทิศตะวันตก (5FL)'!J34</f>
        <v>500999</v>
      </c>
      <c r="K20" s="1196">
        <f>'06.AC อาคารทิศตะวันตก (5FL)'!K34</f>
        <v>4719267</v>
      </c>
      <c r="L20" s="1531"/>
      <c r="M20" s="1532"/>
      <c r="O20" s="1570"/>
    </row>
    <row r="21" spans="1:15" s="1199" customFormat="1" ht="24" customHeight="1">
      <c r="A21" s="1564">
        <v>9</v>
      </c>
      <c r="B21" s="1538" t="str">
        <f>'06.AC อาคารทิศตะวันตก (6FL)'!B11</f>
        <v>งานระบบปรับอากาศ และระบายอากาศ ชั้น 6</v>
      </c>
      <c r="C21" s="1533"/>
      <c r="D21" s="1534"/>
      <c r="E21" s="1753">
        <v>1</v>
      </c>
      <c r="F21" s="1567" t="s">
        <v>19</v>
      </c>
      <c r="G21" s="1195"/>
      <c r="H21" s="1196">
        <f>'06.AC อาคารทิศตะวันตก (6FL)'!H34</f>
        <v>4218268</v>
      </c>
      <c r="I21" s="1197"/>
      <c r="J21" s="1196">
        <f>'06.AC อาคารทิศตะวันตก (6FL)'!J34</f>
        <v>500999</v>
      </c>
      <c r="K21" s="1196">
        <f>'06.AC อาคารทิศตะวันตก (6FL)'!K34</f>
        <v>4719267</v>
      </c>
      <c r="L21" s="1531"/>
      <c r="M21" s="1532"/>
      <c r="O21" s="1570"/>
    </row>
    <row r="22" spans="1:15" s="1199" customFormat="1" ht="24" customHeight="1">
      <c r="A22" s="1564">
        <v>10</v>
      </c>
      <c r="B22" s="1538" t="str">
        <f>'06.AC อาคารทิศตะวันตก (7FL)'!B11</f>
        <v>งานระบบปรับอากาศ และระบายอากาศ ชั้น 7</v>
      </c>
      <c r="C22" s="1533"/>
      <c r="D22" s="1534"/>
      <c r="E22" s="1753">
        <v>1</v>
      </c>
      <c r="F22" s="1567" t="s">
        <v>19</v>
      </c>
      <c r="G22" s="1195"/>
      <c r="H22" s="1196">
        <f>'06.AC อาคารทิศตะวันตก (7FL)'!H34</f>
        <v>4218268</v>
      </c>
      <c r="I22" s="1197"/>
      <c r="J22" s="1196">
        <f>'06.AC อาคารทิศตะวันตก (7FL)'!J34</f>
        <v>500999</v>
      </c>
      <c r="K22" s="1196">
        <f>'06.AC อาคารทิศตะวันตก (7FL)'!K34</f>
        <v>4719267</v>
      </c>
      <c r="L22" s="1531"/>
      <c r="M22" s="1532"/>
      <c r="O22" s="1570"/>
    </row>
    <row r="23" spans="1:15" s="1199" customFormat="1" ht="24" customHeight="1">
      <c r="A23" s="1564">
        <v>11</v>
      </c>
      <c r="B23" s="1538" t="str">
        <f>'06.AC อาคารทิศตะวันตก (8FL)'!B11</f>
        <v>งานระบบปรับอากาศ และระบายอากาศ ชั้น 8</v>
      </c>
      <c r="C23" s="1533"/>
      <c r="D23" s="1534"/>
      <c r="E23" s="1753">
        <v>1</v>
      </c>
      <c r="F23" s="1567" t="s">
        <v>19</v>
      </c>
      <c r="G23" s="1195"/>
      <c r="H23" s="1196">
        <f>'06.AC อาคารทิศตะวันตก (8FL)'!H34</f>
        <v>4089023</v>
      </c>
      <c r="I23" s="1197"/>
      <c r="J23" s="1196">
        <f>'06.AC อาคารทิศตะวันตก (8FL)'!J34</f>
        <v>394700</v>
      </c>
      <c r="K23" s="1196">
        <f>'06.AC อาคารทิศตะวันตก (8FL)'!K34</f>
        <v>4483723</v>
      </c>
      <c r="L23" s="1531"/>
      <c r="M23" s="1532"/>
      <c r="O23" s="1570"/>
    </row>
    <row r="24" spans="1:15" s="1199" customFormat="1" ht="24" customHeight="1">
      <c r="A24" s="1564">
        <v>12</v>
      </c>
      <c r="B24" s="1538" t="str">
        <f>'06.AC อาคารทิศตะวันตก (9FL)'!B11</f>
        <v>งานระบบปรับอากาศ และระบายอากาศ ชั้น 9</v>
      </c>
      <c r="C24" s="1533"/>
      <c r="D24" s="1534"/>
      <c r="E24" s="1753">
        <v>1</v>
      </c>
      <c r="F24" s="1567" t="s">
        <v>19</v>
      </c>
      <c r="G24" s="1195"/>
      <c r="H24" s="1196">
        <f>'06.AC อาคารทิศตะวันตก (9FL)'!H34</f>
        <v>4089023</v>
      </c>
      <c r="I24" s="1197"/>
      <c r="J24" s="1196">
        <f>'06.AC อาคารทิศตะวันตก (9FL)'!J34</f>
        <v>394700</v>
      </c>
      <c r="K24" s="1196">
        <f>'06.AC อาคารทิศตะวันตก (9FL)'!K34</f>
        <v>4483723</v>
      </c>
      <c r="L24" s="1531"/>
      <c r="M24" s="1532"/>
      <c r="O24" s="1570"/>
    </row>
    <row r="25" spans="1:15" s="1199" customFormat="1" ht="24" customHeight="1">
      <c r="A25" s="1564">
        <v>13</v>
      </c>
      <c r="B25" s="1538" t="str">
        <f>'06.AC อาคารทิศตะวันตก (10FL)'!B11</f>
        <v>งานระบบปรับอากาศ และระบายอากาศ ชั้น 10</v>
      </c>
      <c r="C25" s="1533"/>
      <c r="D25" s="1534"/>
      <c r="E25" s="1753">
        <v>1</v>
      </c>
      <c r="F25" s="1567" t="s">
        <v>19</v>
      </c>
      <c r="G25" s="1195"/>
      <c r="H25" s="1196">
        <f>'06.AC อาคารทิศตะวันตก (10FL)'!H34</f>
        <v>4218268</v>
      </c>
      <c r="I25" s="1197"/>
      <c r="J25" s="1196">
        <f>'06.AC อาคารทิศตะวันตก (10FL)'!J34</f>
        <v>500999</v>
      </c>
      <c r="K25" s="1196">
        <f>'06.AC อาคารทิศตะวันตก (10FL)'!K34</f>
        <v>4719267</v>
      </c>
      <c r="L25" s="1531"/>
      <c r="M25" s="1532"/>
      <c r="O25" s="1570"/>
    </row>
    <row r="26" spans="1:15" s="1199" customFormat="1" ht="24" customHeight="1">
      <c r="A26" s="1564">
        <v>14</v>
      </c>
      <c r="B26" s="1538" t="str">
        <f>'06.AC อาคารทิศตะวันตก (11FL)'!B11</f>
        <v>งานระบบปรับอากาศ และระบายอากาศ ชั้น 11</v>
      </c>
      <c r="C26" s="1533"/>
      <c r="D26" s="1534"/>
      <c r="E26" s="1753">
        <v>1</v>
      </c>
      <c r="F26" s="1567" t="s">
        <v>19</v>
      </c>
      <c r="G26" s="1195"/>
      <c r="H26" s="1196">
        <f>'06.AC อาคารทิศตะวันตก (11FL)'!H34</f>
        <v>4291785</v>
      </c>
      <c r="I26" s="1197"/>
      <c r="J26" s="1196">
        <f>'06.AC อาคารทิศตะวันตก (11FL)'!J34</f>
        <v>546268</v>
      </c>
      <c r="K26" s="1196">
        <f>'06.AC อาคารทิศตะวันตก (11FL)'!K34</f>
        <v>4838053</v>
      </c>
      <c r="L26" s="1531"/>
      <c r="M26" s="1532"/>
      <c r="O26" s="1570"/>
    </row>
    <row r="27" spans="1:15" s="1199" customFormat="1" ht="24" customHeight="1">
      <c r="A27" s="1564">
        <v>15</v>
      </c>
      <c r="B27" s="1538" t="str">
        <f>'06.AC อาคารทิศตะวันตก (RFL)'!B11</f>
        <v>งานระบบปรับอากาศ และระบายอากาศ ชั้น ดาดฟ้า</v>
      </c>
      <c r="C27" s="1533"/>
      <c r="D27" s="1534"/>
      <c r="E27" s="1753">
        <v>1</v>
      </c>
      <c r="F27" s="1567" t="s">
        <v>19</v>
      </c>
      <c r="G27" s="1195"/>
      <c r="H27" s="1196">
        <f>'06.AC อาคารทิศตะวันตก (RFL)'!H34</f>
        <v>19585932</v>
      </c>
      <c r="I27" s="1197"/>
      <c r="J27" s="1196">
        <f>'06.AC อาคารทิศตะวันตก (RFL)'!J34</f>
        <v>2009431</v>
      </c>
      <c r="K27" s="1196">
        <f>'06.AC อาคารทิศตะวันตก (RFL)'!K34</f>
        <v>21595363</v>
      </c>
      <c r="L27" s="1531"/>
      <c r="M27" s="1532"/>
      <c r="O27" s="1570"/>
    </row>
    <row r="28" spans="1:15" s="1199" customFormat="1" ht="24" customHeight="1">
      <c r="A28" s="1564"/>
      <c r="B28" s="1538"/>
      <c r="C28" s="1533"/>
      <c r="D28" s="1534"/>
      <c r="E28" s="1567"/>
      <c r="F28" s="1567"/>
      <c r="G28" s="1195"/>
      <c r="H28" s="1196"/>
      <c r="I28" s="1197"/>
      <c r="J28" s="1196"/>
      <c r="K28" s="1196"/>
      <c r="L28" s="1531"/>
    </row>
    <row r="29" spans="1:15" s="1199" customFormat="1" ht="24" customHeight="1">
      <c r="A29" s="1564"/>
      <c r="B29" s="1538"/>
      <c r="C29" s="1533"/>
      <c r="D29" s="1534"/>
      <c r="E29" s="1567"/>
      <c r="F29" s="1567"/>
      <c r="G29" s="1195"/>
      <c r="H29" s="1196"/>
      <c r="I29" s="1197"/>
      <c r="J29" s="1196"/>
      <c r="K29" s="1196"/>
      <c r="L29" s="1531"/>
      <c r="O29" s="1532"/>
    </row>
    <row r="30" spans="1:15" s="1199" customFormat="1" ht="24" customHeight="1">
      <c r="A30" s="1564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  <c r="O30" s="1532"/>
    </row>
    <row r="31" spans="1:15" s="1199" customFormat="1" ht="24" customHeight="1">
      <c r="A31" s="1564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  <c r="O31" s="1532"/>
    </row>
    <row r="32" spans="1:15" s="1199" customFormat="1" ht="24" customHeight="1">
      <c r="A32" s="1564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  <c r="O32" s="1532"/>
    </row>
    <row r="33" spans="1:21" s="1199" customFormat="1" ht="24" customHeight="1">
      <c r="A33" s="1564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  <c r="O33" s="1532"/>
    </row>
    <row r="34" spans="1:21" s="1199" customFormat="1" ht="30" customHeight="1">
      <c r="A34" s="1209"/>
      <c r="B34" s="2252" t="str">
        <f>"รวมราคา"&amp;B11</f>
        <v>รวมราคางานระบบปรับอากาศ และระบายอากาศ</v>
      </c>
      <c r="C34" s="2252"/>
      <c r="D34" s="2252"/>
      <c r="E34" s="2252"/>
      <c r="F34" s="2252"/>
      <c r="G34" s="2265"/>
      <c r="H34" s="1213">
        <f>SUM(H13:H33)</f>
        <v>101623722</v>
      </c>
      <c r="I34" s="1213"/>
      <c r="J34" s="1213">
        <f>SUM(J13:J33)</f>
        <v>16544236</v>
      </c>
      <c r="K34" s="1213">
        <f>SUM(K13:K33)</f>
        <v>118167958</v>
      </c>
      <c r="L34" s="1213"/>
      <c r="M34" s="1214"/>
      <c r="N34" s="1214"/>
      <c r="O34" s="1214"/>
      <c r="P34" s="1214"/>
      <c r="Q34" s="1214"/>
      <c r="R34" s="1214"/>
      <c r="S34" s="1214"/>
      <c r="T34" s="1214"/>
      <c r="U34" s="1214"/>
    </row>
  </sheetData>
  <mergeCells count="9">
    <mergeCell ref="B34:G34"/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&amp;Rหน้าสรุปงานระบบปรับอากาศและระบายอากาศ-อาคารด้านทิศตะวันตก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933D6-AAB5-4EA1-A889-66789DAF4BBF}">
  <sheetPr>
    <tabColor rgb="FFFFFF00"/>
  </sheetPr>
  <dimension ref="A1:T392"/>
  <sheetViews>
    <sheetView showGridLines="0" view="pageBreakPreview" topLeftCell="A112" zoomScale="85" zoomScaleNormal="60" zoomScaleSheetLayoutView="85" workbookViewId="0">
      <selection activeCell="I376" sqref="I37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6" style="1" customWidth="1"/>
    <col min="13" max="81" width="7.703125" style="1" customWidth="1"/>
    <col min="82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24</v>
      </c>
      <c r="B11" s="1561" t="s">
        <v>1982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429"/>
    </row>
    <row r="12" spans="1:12" s="1199" customFormat="1" ht="24" customHeight="1">
      <c r="A12" s="1564">
        <f>A35</f>
        <v>7.1</v>
      </c>
      <c r="B12" s="1538" t="str">
        <f>B35</f>
        <v>อุปกรณ์ควบคุมอัตโนมัติ (Automatic Control Equipment)</v>
      </c>
      <c r="C12" s="1533"/>
      <c r="D12" s="1534"/>
      <c r="E12" s="1753">
        <v>1</v>
      </c>
      <c r="F12" s="1567" t="s">
        <v>19</v>
      </c>
      <c r="G12" s="1195"/>
      <c r="H12" s="1196">
        <f>H48</f>
        <v>1124080</v>
      </c>
      <c r="I12" s="1197"/>
      <c r="J12" s="1196">
        <f>J48</f>
        <v>11200</v>
      </c>
      <c r="K12" s="1196">
        <f t="shared" ref="K12:K26" si="0">SUM(H12:J12)</f>
        <v>1135280</v>
      </c>
      <c r="L12" s="1531"/>
    </row>
    <row r="13" spans="1:12" s="1199" customFormat="1" ht="24" customHeight="1">
      <c r="A13" s="1754" t="str">
        <f>A49</f>
        <v>7.2</v>
      </c>
      <c r="B13" s="1538" t="str">
        <f>B49</f>
        <v>พัดลมระบายอากาศ (Ventilating Fan)</v>
      </c>
      <c r="C13" s="1533"/>
      <c r="D13" s="1534"/>
      <c r="E13" s="1753">
        <v>1</v>
      </c>
      <c r="F13" s="1567" t="s">
        <v>19</v>
      </c>
      <c r="G13" s="1195"/>
      <c r="H13" s="1196">
        <f>H98</f>
        <v>91200</v>
      </c>
      <c r="I13" s="1197"/>
      <c r="J13" s="1196">
        <f>J98</f>
        <v>18080</v>
      </c>
      <c r="K13" s="1196">
        <f t="shared" si="0"/>
        <v>109280</v>
      </c>
      <c r="L13" s="1531"/>
    </row>
    <row r="14" spans="1:12" s="1199" customFormat="1" ht="24" customHeight="1">
      <c r="A14" s="1564">
        <f>A99</f>
        <v>7.3</v>
      </c>
      <c r="B14" s="1538" t="str">
        <f>B99</f>
        <v>งานท่อ (Piping Work)</v>
      </c>
      <c r="C14" s="1533"/>
      <c r="D14" s="1534"/>
      <c r="E14" s="1753">
        <v>1</v>
      </c>
      <c r="F14" s="1567" t="s">
        <v>19</v>
      </c>
      <c r="G14" s="1195"/>
      <c r="H14" s="1196">
        <f>H123</f>
        <v>1509062</v>
      </c>
      <c r="I14" s="1197"/>
      <c r="J14" s="1196">
        <f>J123</f>
        <v>478768</v>
      </c>
      <c r="K14" s="1196">
        <f t="shared" si="0"/>
        <v>1987830</v>
      </c>
      <c r="L14" s="1531"/>
    </row>
    <row r="15" spans="1:12" s="1199" customFormat="1" ht="24" customHeight="1">
      <c r="A15" s="1755" t="str">
        <f>A124</f>
        <v>7.4</v>
      </c>
      <c r="B15" s="1538" t="str">
        <f>B124</f>
        <v>ฉนวนหุ้มท่อ (Pipe Insulation)</v>
      </c>
      <c r="C15" s="1533"/>
      <c r="D15" s="1534"/>
      <c r="E15" s="1753">
        <v>1</v>
      </c>
      <c r="F15" s="1567" t="s">
        <v>19</v>
      </c>
      <c r="G15" s="1195"/>
      <c r="H15" s="1196">
        <f>H146</f>
        <v>1084280</v>
      </c>
      <c r="I15" s="1197"/>
      <c r="J15" s="1196">
        <f>J146</f>
        <v>215696</v>
      </c>
      <c r="K15" s="1196">
        <f t="shared" si="0"/>
        <v>1299976</v>
      </c>
      <c r="L15" s="1531"/>
    </row>
    <row r="16" spans="1:12" s="1199" customFormat="1" ht="24" customHeight="1">
      <c r="A16" s="1564">
        <f>A147</f>
        <v>7.5</v>
      </c>
      <c r="B16" s="1538" t="str">
        <f>B147</f>
        <v>วาล์วและอุปกรณ์ประกอบ  (Valve &amp; Pipe Accessories)</v>
      </c>
      <c r="C16" s="1533"/>
      <c r="D16" s="1534"/>
      <c r="E16" s="1753">
        <v>1</v>
      </c>
      <c r="F16" s="1567" t="s">
        <v>19</v>
      </c>
      <c r="G16" s="1195"/>
      <c r="H16" s="1196">
        <f>H184</f>
        <v>879004</v>
      </c>
      <c r="I16" s="1197"/>
      <c r="J16" s="1196">
        <f>J184</f>
        <v>127100</v>
      </c>
      <c r="K16" s="1196">
        <f t="shared" si="0"/>
        <v>1006104</v>
      </c>
      <c r="L16" s="1531"/>
    </row>
    <row r="17" spans="1:12" s="1199" customFormat="1" ht="24" customHeight="1">
      <c r="A17" s="1537" t="str">
        <f>A185</f>
        <v>7.6</v>
      </c>
      <c r="B17" s="1538" t="str">
        <f>B185</f>
        <v>ระบบท่อลม (Duct Work)</v>
      </c>
      <c r="C17" s="1533"/>
      <c r="D17" s="1534"/>
      <c r="E17" s="1753">
        <v>1</v>
      </c>
      <c r="F17" s="1567" t="s">
        <v>19</v>
      </c>
      <c r="G17" s="1195"/>
      <c r="H17" s="1196">
        <f>H201</f>
        <v>4380879</v>
      </c>
      <c r="I17" s="1197"/>
      <c r="J17" s="1196">
        <f>J201</f>
        <v>2939148</v>
      </c>
      <c r="K17" s="1196">
        <f t="shared" si="0"/>
        <v>7320027</v>
      </c>
      <c r="L17" s="1531"/>
    </row>
    <row r="18" spans="1:12" s="1199" customFormat="1" ht="24" customHeight="1">
      <c r="A18" s="1756">
        <f>A202</f>
        <v>7.7</v>
      </c>
      <c r="B18" s="1538" t="str">
        <f>B202</f>
        <v>ฉนวนหุ้มท่อลม (Duct Insulation)</v>
      </c>
      <c r="C18" s="1533"/>
      <c r="D18" s="1534"/>
      <c r="E18" s="1753">
        <v>1</v>
      </c>
      <c r="F18" s="1567" t="s">
        <v>19</v>
      </c>
      <c r="G18" s="1195"/>
      <c r="H18" s="1196">
        <f>H209</f>
        <v>1701504</v>
      </c>
      <c r="I18" s="1197"/>
      <c r="J18" s="1196">
        <f>J209</f>
        <v>405120</v>
      </c>
      <c r="K18" s="1196">
        <f t="shared" si="0"/>
        <v>2106624</v>
      </c>
      <c r="L18" s="1531"/>
    </row>
    <row r="19" spans="1:12" s="1199" customFormat="1" ht="24" customHeight="1">
      <c r="A19" s="1537" t="str">
        <f>A210</f>
        <v>7.8</v>
      </c>
      <c r="B19" s="1538" t="str">
        <f>B210</f>
        <v>หน้ากากลม (Air Diffuser, Grille &amp; Register)</v>
      </c>
      <c r="C19" s="1533"/>
      <c r="D19" s="1534"/>
      <c r="E19" s="1753">
        <v>1</v>
      </c>
      <c r="F19" s="1567" t="s">
        <v>19</v>
      </c>
      <c r="G19" s="1195"/>
      <c r="H19" s="1196">
        <f>H234</f>
        <v>461250</v>
      </c>
      <c r="I19" s="1197"/>
      <c r="J19" s="1196">
        <f>J234</f>
        <v>71640</v>
      </c>
      <c r="K19" s="1196">
        <f t="shared" si="0"/>
        <v>532890</v>
      </c>
      <c r="L19" s="1531"/>
    </row>
    <row r="20" spans="1:12" s="1199" customFormat="1" ht="24" customHeight="1">
      <c r="A20" s="1756">
        <f>A235</f>
        <v>7.9</v>
      </c>
      <c r="B20" s="1538" t="str">
        <f>B235</f>
        <v>ระบบไฟฟ้าและควบคุม (Electrical &amp; Control System)</v>
      </c>
      <c r="C20" s="1533"/>
      <c r="D20" s="1534"/>
      <c r="E20" s="1753">
        <v>1</v>
      </c>
      <c r="F20" s="1567" t="s">
        <v>19</v>
      </c>
      <c r="G20" s="1195"/>
      <c r="H20" s="1196">
        <f>H259</f>
        <v>233381</v>
      </c>
      <c r="I20" s="1197"/>
      <c r="J20" s="1196">
        <f>J259</f>
        <v>79804</v>
      </c>
      <c r="K20" s="1196">
        <f t="shared" si="0"/>
        <v>313185</v>
      </c>
      <c r="L20" s="1531"/>
    </row>
    <row r="21" spans="1:12" s="1199" customFormat="1" ht="24" customHeight="1">
      <c r="A21" s="1537" t="str">
        <f>A260</f>
        <v>7.10</v>
      </c>
      <c r="B21" s="1538" t="str">
        <f>B260</f>
        <v>หมวดงานเชื่อมต่อกับระบบ BAS</v>
      </c>
      <c r="C21" s="1533"/>
      <c r="D21" s="1534"/>
      <c r="E21" s="1753">
        <v>1</v>
      </c>
      <c r="F21" s="1567" t="s">
        <v>19</v>
      </c>
      <c r="G21" s="1195"/>
      <c r="H21" s="1196">
        <f>H284</f>
        <v>11487</v>
      </c>
      <c r="I21" s="1197"/>
      <c r="J21" s="1196">
        <f>J284</f>
        <v>80679</v>
      </c>
      <c r="K21" s="1196">
        <f t="shared" si="0"/>
        <v>92166</v>
      </c>
      <c r="L21" s="1531"/>
    </row>
    <row r="22" spans="1:12" s="1199" customFormat="1" ht="24" customHeight="1">
      <c r="A22" s="1537" t="str">
        <f>A285</f>
        <v>7.11</v>
      </c>
      <c r="B22" s="1538" t="str">
        <f>B285</f>
        <v>ระบบป้องกันไฟและควันลาม (Fire Barrier System)</v>
      </c>
      <c r="C22" s="1533"/>
      <c r="D22" s="1534"/>
      <c r="E22" s="1753">
        <v>1</v>
      </c>
      <c r="F22" s="1567" t="s">
        <v>19</v>
      </c>
      <c r="G22" s="1195"/>
      <c r="H22" s="1196">
        <f>H292</f>
        <v>1320000</v>
      </c>
      <c r="I22" s="1197"/>
      <c r="J22" s="1196">
        <f>J292</f>
        <v>66000</v>
      </c>
      <c r="K22" s="1196">
        <f t="shared" si="0"/>
        <v>1386000</v>
      </c>
      <c r="L22" s="1531"/>
    </row>
    <row r="23" spans="1:12" s="1199" customFormat="1" ht="24" customHeight="1">
      <c r="A23" s="1537">
        <f>A293</f>
        <v>7.12</v>
      </c>
      <c r="B23" s="1780" t="str">
        <f>B293</f>
        <v>เครื่องส่งลมเย็นขนาดเล็ก (Fan Coil Unit)</v>
      </c>
      <c r="C23" s="1533"/>
      <c r="D23" s="1534"/>
      <c r="E23" s="1753">
        <v>1</v>
      </c>
      <c r="F23" s="1567" t="s">
        <v>19</v>
      </c>
      <c r="G23" s="1195"/>
      <c r="H23" s="1196">
        <f>H342</f>
        <v>642664</v>
      </c>
      <c r="I23" s="1197"/>
      <c r="J23" s="1196">
        <f>J342</f>
        <v>71324</v>
      </c>
      <c r="K23" s="1196">
        <f t="shared" si="0"/>
        <v>713988</v>
      </c>
      <c r="L23" s="1531"/>
    </row>
    <row r="24" spans="1:12" s="1199" customFormat="1" ht="24" customHeight="1">
      <c r="A24" s="1537" t="str">
        <f>A343</f>
        <v>7.13</v>
      </c>
      <c r="B24" s="1538" t="str">
        <f>B343</f>
        <v>เครื่องส่งลมเย็นขนาดใหญ่ (Air Handling Unit)</v>
      </c>
      <c r="C24" s="1533"/>
      <c r="D24" s="1534"/>
      <c r="E24" s="1753">
        <v>1</v>
      </c>
      <c r="F24" s="1567" t="s">
        <v>19</v>
      </c>
      <c r="G24" s="1195"/>
      <c r="H24" s="1196">
        <f>H352</f>
        <v>0</v>
      </c>
      <c r="I24" s="1197"/>
      <c r="J24" s="1196">
        <f>J352</f>
        <v>0</v>
      </c>
      <c r="K24" s="1196">
        <f t="shared" si="0"/>
        <v>0</v>
      </c>
      <c r="L24" s="1531"/>
    </row>
    <row r="25" spans="1:12" s="1199" customFormat="1" ht="24" customHeight="1">
      <c r="A25" s="1537">
        <f>A353</f>
        <v>7.14</v>
      </c>
      <c r="B25" s="1538" t="str">
        <f>B353</f>
        <v>Variable Speed Controller</v>
      </c>
      <c r="C25" s="1533"/>
      <c r="D25" s="1534"/>
      <c r="E25" s="1753">
        <v>1</v>
      </c>
      <c r="F25" s="1567" t="s">
        <v>19</v>
      </c>
      <c r="G25" s="1195" t="s">
        <v>1683</v>
      </c>
      <c r="H25" s="1196">
        <f>H359</f>
        <v>0</v>
      </c>
      <c r="I25" s="1197"/>
      <c r="J25" s="1196">
        <f>J359</f>
        <v>0</v>
      </c>
      <c r="K25" s="1196">
        <f t="shared" si="0"/>
        <v>0</v>
      </c>
      <c r="L25" s="1531"/>
    </row>
    <row r="26" spans="1:12" s="1199" customFormat="1" ht="24" customHeight="1">
      <c r="A26" s="1537">
        <f>A360</f>
        <v>7.15</v>
      </c>
      <c r="B26" s="1538" t="str">
        <f>B360</f>
        <v>ระบบกรองอากาศ (Air Filtration System)</v>
      </c>
      <c r="C26" s="2083"/>
      <c r="D26" s="1534"/>
      <c r="E26" s="1753">
        <v>1</v>
      </c>
      <c r="F26" s="1567" t="s">
        <v>19</v>
      </c>
      <c r="G26" s="1195"/>
      <c r="H26" s="1196">
        <f>H384</f>
        <v>0</v>
      </c>
      <c r="I26" s="1197"/>
      <c r="J26" s="1196">
        <f>J384</f>
        <v>0</v>
      </c>
      <c r="K26" s="1196">
        <f t="shared" si="0"/>
        <v>0</v>
      </c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(Main Equipment)</v>
      </c>
      <c r="C34" s="2258"/>
      <c r="D34" s="2259"/>
      <c r="E34" s="1579"/>
      <c r="F34" s="1579"/>
      <c r="G34" s="1580"/>
      <c r="H34" s="1581">
        <f>SUM(H11:H33)</f>
        <v>13438791</v>
      </c>
      <c r="I34" s="1582"/>
      <c r="J34" s="1581">
        <f>SUM(J11:J33)</f>
        <v>4564559</v>
      </c>
      <c r="K34" s="1583">
        <f>SUM(K11:K33)</f>
        <v>18003350</v>
      </c>
      <c r="L34" s="1583"/>
    </row>
    <row r="35" spans="1:20" s="1765" customFormat="1" ht="24" customHeight="1">
      <c r="A35" s="1757">
        <v>7.1</v>
      </c>
      <c r="B35" s="1758" t="s">
        <v>1983</v>
      </c>
      <c r="C35" s="1251"/>
      <c r="D35" s="1759"/>
      <c r="E35" s="1760"/>
      <c r="F35" s="1498"/>
      <c r="G35" s="1761"/>
      <c r="H35" s="1762"/>
      <c r="I35" s="1763"/>
      <c r="J35" s="1762"/>
      <c r="K35" s="1764"/>
      <c r="L35" s="1764"/>
    </row>
    <row r="36" spans="1:20" s="1765" customFormat="1" ht="24" customHeight="1">
      <c r="A36" s="1766" t="s">
        <v>1984</v>
      </c>
      <c r="B36" s="1538" t="s">
        <v>1985</v>
      </c>
      <c r="C36" s="1275"/>
      <c r="D36" s="1767"/>
      <c r="E36" s="1768">
        <v>6</v>
      </c>
      <c r="F36" s="1385" t="s">
        <v>363</v>
      </c>
      <c r="G36" s="1769">
        <v>6900</v>
      </c>
      <c r="H36" s="1369">
        <f t="shared" ref="H36:H37" si="1">ROUND(E36*G36,)</f>
        <v>41400</v>
      </c>
      <c r="I36" s="1769">
        <v>500</v>
      </c>
      <c r="J36" s="1298">
        <f t="shared" ref="J36:J37" si="2">ROUND(E36*I36,)</f>
        <v>3000</v>
      </c>
      <c r="K36" s="1382">
        <f t="shared" ref="K36:K37" si="3">H36+J36</f>
        <v>44400</v>
      </c>
      <c r="L36" s="1770"/>
    </row>
    <row r="37" spans="1:20" s="1765" customFormat="1" ht="24" customHeight="1">
      <c r="A37" s="1766" t="s">
        <v>1986</v>
      </c>
      <c r="B37" s="1538" t="s">
        <v>1987</v>
      </c>
      <c r="C37" s="1275"/>
      <c r="D37" s="1767"/>
      <c r="E37" s="1768">
        <f>52</f>
        <v>52</v>
      </c>
      <c r="F37" s="1385" t="s">
        <v>363</v>
      </c>
      <c r="G37" s="1516">
        <v>1590</v>
      </c>
      <c r="H37" s="1264">
        <f t="shared" si="1"/>
        <v>82680</v>
      </c>
      <c r="I37" s="1265">
        <v>100</v>
      </c>
      <c r="J37" s="1264">
        <f t="shared" si="2"/>
        <v>5200</v>
      </c>
      <c r="K37" s="1273">
        <f t="shared" si="3"/>
        <v>87880</v>
      </c>
      <c r="L37" s="1770"/>
    </row>
    <row r="38" spans="1:20" s="1765" customFormat="1" ht="24" customHeight="1">
      <c r="A38" s="1766" t="s">
        <v>1988</v>
      </c>
      <c r="B38" s="1538" t="s">
        <v>1989</v>
      </c>
      <c r="C38" s="1275"/>
      <c r="D38" s="1767"/>
      <c r="E38" s="1771"/>
      <c r="F38" s="1385"/>
      <c r="G38" s="1772"/>
      <c r="H38" s="1773"/>
      <c r="I38" s="1595"/>
      <c r="J38" s="1773"/>
      <c r="K38" s="1774"/>
      <c r="L38" s="1632"/>
    </row>
    <row r="39" spans="1:20" s="1765" customFormat="1" ht="24" customHeight="1">
      <c r="A39" s="1766"/>
      <c r="B39" s="1538" t="s">
        <v>1754</v>
      </c>
      <c r="C39" s="1275"/>
      <c r="D39" s="1767"/>
      <c r="E39" s="1768"/>
      <c r="F39" s="1385" t="s">
        <v>363</v>
      </c>
      <c r="G39" s="1772">
        <v>111100</v>
      </c>
      <c r="H39" s="1369">
        <f t="shared" ref="H39:H41" si="4">ROUND(E39*G39,)</f>
        <v>0</v>
      </c>
      <c r="I39" s="1386">
        <v>1500</v>
      </c>
      <c r="J39" s="1298">
        <f t="shared" ref="J39:J41" si="5">ROUND(E39*I39,)</f>
        <v>0</v>
      </c>
      <c r="K39" s="1382">
        <f t="shared" ref="K39:K41" si="6">H39+J39</f>
        <v>0</v>
      </c>
      <c r="L39" s="1770"/>
    </row>
    <row r="40" spans="1:20" s="1765" customFormat="1" ht="24" customHeight="1">
      <c r="A40" s="1766"/>
      <c r="B40" s="1538" t="s">
        <v>1866</v>
      </c>
      <c r="C40" s="1275"/>
      <c r="D40" s="1767"/>
      <c r="E40" s="1768">
        <v>1</v>
      </c>
      <c r="F40" s="1385" t="s">
        <v>363</v>
      </c>
      <c r="G40" s="1769">
        <v>300000</v>
      </c>
      <c r="H40" s="1369">
        <f t="shared" si="4"/>
        <v>300000</v>
      </c>
      <c r="I40" s="1769">
        <v>1500</v>
      </c>
      <c r="J40" s="1298">
        <f t="shared" si="5"/>
        <v>1500</v>
      </c>
      <c r="K40" s="1382">
        <f t="shared" si="6"/>
        <v>301500</v>
      </c>
      <c r="L40" s="1770"/>
    </row>
    <row r="41" spans="1:20" s="1765" customFormat="1" ht="24" customHeight="1">
      <c r="A41" s="1766"/>
      <c r="B41" s="1538" t="s">
        <v>2225</v>
      </c>
      <c r="C41" s="1275"/>
      <c r="D41" s="1767"/>
      <c r="E41" s="1768">
        <v>1</v>
      </c>
      <c r="F41" s="1385" t="s">
        <v>363</v>
      </c>
      <c r="G41" s="1769">
        <v>700000</v>
      </c>
      <c r="H41" s="1369">
        <f t="shared" si="4"/>
        <v>700000</v>
      </c>
      <c r="I41" s="1769">
        <v>1500</v>
      </c>
      <c r="J41" s="1298">
        <f t="shared" si="5"/>
        <v>1500</v>
      </c>
      <c r="K41" s="1382">
        <f t="shared" si="6"/>
        <v>701500</v>
      </c>
      <c r="L41" s="1770"/>
    </row>
    <row r="42" spans="1:20" s="1765" customFormat="1" ht="24" customHeight="1">
      <c r="A42" s="1258" t="s">
        <v>2198</v>
      </c>
      <c r="B42" s="1538" t="s">
        <v>2725</v>
      </c>
      <c r="C42" s="1275"/>
      <c r="D42" s="1767"/>
      <c r="E42" s="1771"/>
      <c r="F42" s="1385"/>
      <c r="G42" s="1778"/>
      <c r="H42" s="1594"/>
      <c r="I42" s="1595"/>
      <c r="J42" s="1594"/>
      <c r="K42" s="1632"/>
      <c r="L42" s="1632"/>
      <c r="M42" s="1710"/>
      <c r="N42" s="1710"/>
      <c r="O42" s="1710"/>
      <c r="P42" s="1710"/>
      <c r="Q42" s="1710"/>
      <c r="R42" s="1710"/>
      <c r="S42" s="1710"/>
      <c r="T42" s="1710"/>
    </row>
    <row r="43" spans="1:20" s="1765" customFormat="1" ht="24" customHeight="1">
      <c r="A43" s="1258"/>
      <c r="B43" s="1538" t="s">
        <v>1821</v>
      </c>
      <c r="C43" s="1275"/>
      <c r="D43" s="1767"/>
      <c r="E43" s="1813"/>
      <c r="F43" s="1389" t="s">
        <v>363</v>
      </c>
      <c r="G43" s="1814">
        <v>3300</v>
      </c>
      <c r="H43" s="1773">
        <f t="shared" ref="H43:H45" si="7">ROUND(E43*G43,)</f>
        <v>0</v>
      </c>
      <c r="I43" s="1815">
        <v>150</v>
      </c>
      <c r="J43" s="1773">
        <f t="shared" ref="J43:J45" si="8">ROUND(E43*I43,)</f>
        <v>0</v>
      </c>
      <c r="K43" s="1774">
        <f t="shared" ref="K43:K45" si="9">H43+J43</f>
        <v>0</v>
      </c>
      <c r="L43" s="1632"/>
      <c r="M43" s="1710"/>
      <c r="N43" s="1710"/>
      <c r="O43" s="1710"/>
      <c r="P43" s="1710"/>
      <c r="Q43" s="1710"/>
      <c r="R43" s="1710"/>
      <c r="S43" s="1710"/>
      <c r="T43" s="1710"/>
    </row>
    <row r="44" spans="1:20" s="213" customFormat="1" ht="24" customHeight="1">
      <c r="A44" s="1258"/>
      <c r="B44" s="1538" t="s">
        <v>2881</v>
      </c>
      <c r="C44" s="1275"/>
      <c r="D44" s="1767"/>
      <c r="E44" s="1813"/>
      <c r="F44" s="1389" t="s">
        <v>363</v>
      </c>
      <c r="G44" s="1814">
        <v>55000</v>
      </c>
      <c r="H44" s="1773">
        <f t="shared" si="7"/>
        <v>0</v>
      </c>
      <c r="I44" s="1815">
        <v>500</v>
      </c>
      <c r="J44" s="1773">
        <f t="shared" si="8"/>
        <v>0</v>
      </c>
      <c r="K44" s="1774">
        <f t="shared" si="9"/>
        <v>0</v>
      </c>
      <c r="L44" s="1632"/>
      <c r="M44" s="1710"/>
      <c r="N44" s="1710"/>
      <c r="O44" s="1710"/>
      <c r="P44" s="1710"/>
      <c r="Q44" s="1710"/>
      <c r="R44" s="1710"/>
      <c r="S44" s="1710"/>
      <c r="T44" s="1710"/>
    </row>
    <row r="45" spans="1:20" s="213" customFormat="1" ht="24" customHeight="1">
      <c r="A45" s="1258" t="s">
        <v>2726</v>
      </c>
      <c r="B45" s="1538" t="s">
        <v>2727</v>
      </c>
      <c r="C45" s="1275"/>
      <c r="D45" s="1767"/>
      <c r="E45" s="1771"/>
      <c r="F45" s="1389" t="s">
        <v>363</v>
      </c>
      <c r="G45" s="1814">
        <v>16150</v>
      </c>
      <c r="H45" s="1773">
        <f t="shared" si="7"/>
        <v>0</v>
      </c>
      <c r="I45" s="1815">
        <v>500</v>
      </c>
      <c r="J45" s="1773">
        <f t="shared" si="8"/>
        <v>0</v>
      </c>
      <c r="K45" s="1774">
        <f t="shared" si="9"/>
        <v>0</v>
      </c>
      <c r="L45" s="1632"/>
      <c r="M45" s="1710"/>
      <c r="N45" s="1710"/>
      <c r="O45" s="1710"/>
      <c r="P45" s="1710"/>
      <c r="Q45" s="1710"/>
      <c r="R45" s="1710"/>
      <c r="S45" s="1710"/>
      <c r="T45" s="1710"/>
    </row>
    <row r="46" spans="1:20" s="1765" customFormat="1" ht="24" customHeight="1">
      <c r="A46" s="1584"/>
      <c r="B46" s="1538" t="s">
        <v>1117</v>
      </c>
      <c r="C46" s="1275"/>
      <c r="D46" s="1767"/>
      <c r="E46" s="1686"/>
      <c r="F46" s="1402"/>
      <c r="G46" s="1661"/>
      <c r="H46" s="1588"/>
      <c r="I46" s="1589"/>
      <c r="J46" s="1588"/>
      <c r="K46" s="1770"/>
      <c r="L46" s="1770"/>
    </row>
    <row r="47" spans="1:20" s="1765" customFormat="1" ht="24" customHeight="1">
      <c r="A47" s="1584"/>
      <c r="B47" s="1538" t="s">
        <v>1118</v>
      </c>
      <c r="C47" s="1275"/>
      <c r="D47" s="1767"/>
      <c r="E47" s="1686"/>
      <c r="F47" s="1402"/>
      <c r="G47" s="1661"/>
      <c r="H47" s="1588"/>
      <c r="I47" s="1589"/>
      <c r="J47" s="1588"/>
      <c r="K47" s="1770"/>
      <c r="L47" s="1770"/>
    </row>
    <row r="48" spans="1:20" s="1765" customFormat="1" ht="24" customHeight="1">
      <c r="A48" s="1578"/>
      <c r="B48" s="2257" t="str">
        <f>"รวมราคารายการที่ "&amp;A35</f>
        <v>รวมราคารายการที่ 7.1</v>
      </c>
      <c r="C48" s="2258"/>
      <c r="D48" s="2259"/>
      <c r="E48" s="1579"/>
      <c r="F48" s="1579"/>
      <c r="G48" s="1580"/>
      <c r="H48" s="1581">
        <f>SUM(H36:H47)</f>
        <v>1124080</v>
      </c>
      <c r="I48" s="1582"/>
      <c r="J48" s="1581">
        <f>SUM(J36:J47)</f>
        <v>11200</v>
      </c>
      <c r="K48" s="1583">
        <f>SUM(K36:K47)</f>
        <v>1135280</v>
      </c>
      <c r="L48" s="1583"/>
    </row>
    <row r="49" spans="1:12" s="1765" customFormat="1" ht="24" customHeight="1">
      <c r="A49" s="1775" t="s">
        <v>1990</v>
      </c>
      <c r="B49" s="1776" t="s">
        <v>1991</v>
      </c>
      <c r="C49" s="1293"/>
      <c r="D49" s="1777"/>
      <c r="E49" s="1686"/>
      <c r="F49" s="1402"/>
      <c r="G49" s="1661"/>
      <c r="H49" s="1588"/>
      <c r="I49" s="1589"/>
      <c r="J49" s="1588"/>
      <c r="K49" s="1770"/>
      <c r="L49" s="1770"/>
    </row>
    <row r="50" spans="1:12" s="1765" customFormat="1" ht="24" customHeight="1">
      <c r="A50" s="1189" t="s">
        <v>1992</v>
      </c>
      <c r="B50" s="1538" t="s">
        <v>1993</v>
      </c>
      <c r="C50" s="1275"/>
      <c r="D50" s="1767"/>
      <c r="E50" s="1771"/>
      <c r="F50" s="1385"/>
      <c r="G50" s="1778"/>
      <c r="H50" s="1594"/>
      <c r="I50" s="1595"/>
      <c r="J50" s="1594"/>
      <c r="K50" s="1632"/>
      <c r="L50" s="1632"/>
    </row>
    <row r="51" spans="1:12" s="213" customFormat="1" ht="24" customHeight="1">
      <c r="A51" s="1189"/>
      <c r="B51" s="1538" t="s">
        <v>1994</v>
      </c>
      <c r="C51" s="1275"/>
      <c r="D51" s="1767"/>
      <c r="E51" s="1771">
        <v>1</v>
      </c>
      <c r="F51" s="1385" t="s">
        <v>363</v>
      </c>
      <c r="G51" s="1778">
        <v>1700</v>
      </c>
      <c r="H51" s="1594">
        <f>ROUND(E51*G51,)</f>
        <v>1700</v>
      </c>
      <c r="I51" s="1595">
        <v>450</v>
      </c>
      <c r="J51" s="1594">
        <f>ROUND(E51*I51,)</f>
        <v>450</v>
      </c>
      <c r="K51" s="1632">
        <f>H51+J51</f>
        <v>2150</v>
      </c>
      <c r="L51" s="1632"/>
    </row>
    <row r="52" spans="1:12" s="213" customFormat="1" ht="24" customHeight="1">
      <c r="A52" s="1189"/>
      <c r="B52" s="1538" t="s">
        <v>1995</v>
      </c>
      <c r="C52" s="1275"/>
      <c r="D52" s="1767"/>
      <c r="E52" s="1771">
        <v>1</v>
      </c>
      <c r="F52" s="1385" t="s">
        <v>363</v>
      </c>
      <c r="G52" s="1778">
        <v>1700</v>
      </c>
      <c r="H52" s="1594">
        <f t="shared" ref="H52:H60" si="10">ROUND(E52*G52,)</f>
        <v>1700</v>
      </c>
      <c r="I52" s="1595">
        <v>450</v>
      </c>
      <c r="J52" s="1594">
        <f t="shared" ref="J52:J60" si="11">ROUND(E52*I52,)</f>
        <v>450</v>
      </c>
      <c r="K52" s="1632">
        <f t="shared" ref="K52:K60" si="12">H52+J52</f>
        <v>2150</v>
      </c>
      <c r="L52" s="1632"/>
    </row>
    <row r="53" spans="1:12" s="213" customFormat="1" ht="24" customHeight="1">
      <c r="A53" s="1189"/>
      <c r="B53" s="1538" t="s">
        <v>1996</v>
      </c>
      <c r="C53" s="1275"/>
      <c r="D53" s="1767"/>
      <c r="E53" s="1771">
        <v>1</v>
      </c>
      <c r="F53" s="1385" t="s">
        <v>363</v>
      </c>
      <c r="G53" s="1778">
        <v>1700</v>
      </c>
      <c r="H53" s="1594">
        <f t="shared" si="10"/>
        <v>1700</v>
      </c>
      <c r="I53" s="1595">
        <v>450</v>
      </c>
      <c r="J53" s="1594">
        <f t="shared" si="11"/>
        <v>450</v>
      </c>
      <c r="K53" s="1632">
        <f t="shared" si="12"/>
        <v>2150</v>
      </c>
      <c r="L53" s="1632"/>
    </row>
    <row r="54" spans="1:12" s="213" customFormat="1" ht="24" customHeight="1">
      <c r="A54" s="1189"/>
      <c r="B54" s="1538" t="s">
        <v>1997</v>
      </c>
      <c r="C54" s="1275"/>
      <c r="D54" s="1767"/>
      <c r="E54" s="1771">
        <v>1</v>
      </c>
      <c r="F54" s="1385" t="s">
        <v>363</v>
      </c>
      <c r="G54" s="1778">
        <v>1700</v>
      </c>
      <c r="H54" s="1594">
        <f t="shared" si="10"/>
        <v>1700</v>
      </c>
      <c r="I54" s="1595">
        <v>450</v>
      </c>
      <c r="J54" s="1594">
        <f t="shared" si="11"/>
        <v>450</v>
      </c>
      <c r="K54" s="1632">
        <f t="shared" si="12"/>
        <v>2150</v>
      </c>
      <c r="L54" s="1632"/>
    </row>
    <row r="55" spans="1:12" s="213" customFormat="1" ht="24" customHeight="1">
      <c r="A55" s="1189"/>
      <c r="B55" s="1538" t="s">
        <v>1998</v>
      </c>
      <c r="C55" s="1275"/>
      <c r="D55" s="1767"/>
      <c r="E55" s="1771">
        <v>1</v>
      </c>
      <c r="F55" s="1385" t="s">
        <v>363</v>
      </c>
      <c r="G55" s="1778">
        <v>1700</v>
      </c>
      <c r="H55" s="1594">
        <f t="shared" si="10"/>
        <v>1700</v>
      </c>
      <c r="I55" s="1595">
        <v>450</v>
      </c>
      <c r="J55" s="1594">
        <f t="shared" si="11"/>
        <v>450</v>
      </c>
      <c r="K55" s="1632">
        <f t="shared" si="12"/>
        <v>2150</v>
      </c>
      <c r="L55" s="1632"/>
    </row>
    <row r="56" spans="1:12" s="213" customFormat="1" ht="24" customHeight="1">
      <c r="A56" s="1189"/>
      <c r="B56" s="1538" t="s">
        <v>1999</v>
      </c>
      <c r="C56" s="1275"/>
      <c r="D56" s="1767"/>
      <c r="E56" s="1771">
        <v>1</v>
      </c>
      <c r="F56" s="1385" t="s">
        <v>363</v>
      </c>
      <c r="G56" s="1778">
        <v>1700</v>
      </c>
      <c r="H56" s="1594">
        <f t="shared" si="10"/>
        <v>1700</v>
      </c>
      <c r="I56" s="1595">
        <v>450</v>
      </c>
      <c r="J56" s="1594">
        <f t="shared" si="11"/>
        <v>450</v>
      </c>
      <c r="K56" s="1632">
        <f t="shared" si="12"/>
        <v>2150</v>
      </c>
      <c r="L56" s="1632"/>
    </row>
    <row r="57" spans="1:12" s="213" customFormat="1" ht="24" customHeight="1">
      <c r="A57" s="1189"/>
      <c r="B57" s="1538" t="s">
        <v>2000</v>
      </c>
      <c r="C57" s="1275"/>
      <c r="D57" s="1767"/>
      <c r="E57" s="1771">
        <v>1</v>
      </c>
      <c r="F57" s="1385" t="s">
        <v>363</v>
      </c>
      <c r="G57" s="1778">
        <v>1700</v>
      </c>
      <c r="H57" s="1594">
        <f t="shared" si="10"/>
        <v>1700</v>
      </c>
      <c r="I57" s="1595">
        <v>450</v>
      </c>
      <c r="J57" s="1594">
        <f t="shared" si="11"/>
        <v>450</v>
      </c>
      <c r="K57" s="1632">
        <f t="shared" si="12"/>
        <v>2150</v>
      </c>
      <c r="L57" s="1632"/>
    </row>
    <row r="58" spans="1:12" s="213" customFormat="1" ht="24" customHeight="1">
      <c r="A58" s="1189"/>
      <c r="B58" s="1538" t="s">
        <v>2001</v>
      </c>
      <c r="C58" s="1275"/>
      <c r="D58" s="1767"/>
      <c r="E58" s="1771">
        <v>1</v>
      </c>
      <c r="F58" s="1385" t="s">
        <v>363</v>
      </c>
      <c r="G58" s="1778">
        <v>1700</v>
      </c>
      <c r="H58" s="1594">
        <f t="shared" si="10"/>
        <v>1700</v>
      </c>
      <c r="I58" s="1595">
        <v>450</v>
      </c>
      <c r="J58" s="1594">
        <f t="shared" si="11"/>
        <v>450</v>
      </c>
      <c r="K58" s="1632">
        <f t="shared" si="12"/>
        <v>2150</v>
      </c>
      <c r="L58" s="1632"/>
    </row>
    <row r="59" spans="1:12" s="213" customFormat="1" ht="24" customHeight="1">
      <c r="A59" s="1189"/>
      <c r="B59" s="1538" t="s">
        <v>2002</v>
      </c>
      <c r="C59" s="1275"/>
      <c r="D59" s="1767"/>
      <c r="E59" s="1771">
        <v>1</v>
      </c>
      <c r="F59" s="1385" t="s">
        <v>363</v>
      </c>
      <c r="G59" s="1778">
        <v>1700</v>
      </c>
      <c r="H59" s="1594">
        <f t="shared" si="10"/>
        <v>1700</v>
      </c>
      <c r="I59" s="1595">
        <v>450</v>
      </c>
      <c r="J59" s="1594">
        <f t="shared" si="11"/>
        <v>450</v>
      </c>
      <c r="K59" s="1632">
        <f t="shared" si="12"/>
        <v>2150</v>
      </c>
      <c r="L59" s="1632"/>
    </row>
    <row r="60" spans="1:12" s="213" customFormat="1" ht="24" customHeight="1">
      <c r="A60" s="1189"/>
      <c r="B60" s="1538" t="s">
        <v>2003</v>
      </c>
      <c r="C60" s="1275"/>
      <c r="D60" s="1767"/>
      <c r="E60" s="1771">
        <v>1</v>
      </c>
      <c r="F60" s="1385" t="s">
        <v>363</v>
      </c>
      <c r="G60" s="1778">
        <v>1700</v>
      </c>
      <c r="H60" s="1594">
        <f t="shared" si="10"/>
        <v>1700</v>
      </c>
      <c r="I60" s="1595">
        <v>450</v>
      </c>
      <c r="J60" s="1594">
        <f t="shared" si="11"/>
        <v>450</v>
      </c>
      <c r="K60" s="1632">
        <f t="shared" si="12"/>
        <v>2150</v>
      </c>
      <c r="L60" s="1632"/>
    </row>
    <row r="61" spans="1:12" s="213" customFormat="1" ht="24" customHeight="1">
      <c r="A61" s="1189"/>
      <c r="B61" s="1538" t="s">
        <v>2004</v>
      </c>
      <c r="C61" s="1275"/>
      <c r="D61" s="1767"/>
      <c r="E61" s="1771">
        <v>1</v>
      </c>
      <c r="F61" s="1385" t="s">
        <v>363</v>
      </c>
      <c r="G61" s="1778">
        <v>1700</v>
      </c>
      <c r="H61" s="1594">
        <f>ROUND(E61*G61,)</f>
        <v>1700</v>
      </c>
      <c r="I61" s="1595">
        <f>G61*0.1</f>
        <v>170</v>
      </c>
      <c r="J61" s="1594">
        <f>ROUND(E61*I61,)</f>
        <v>170</v>
      </c>
      <c r="K61" s="1632">
        <f>H61+J61</f>
        <v>1870</v>
      </c>
      <c r="L61" s="1632"/>
    </row>
    <row r="62" spans="1:12" s="213" customFormat="1" ht="24" customHeight="1">
      <c r="A62" s="1189"/>
      <c r="B62" s="1538" t="s">
        <v>2005</v>
      </c>
      <c r="C62" s="1275"/>
      <c r="D62" s="1725"/>
      <c r="E62" s="1771">
        <v>1</v>
      </c>
      <c r="F62" s="1385" t="s">
        <v>363</v>
      </c>
      <c r="G62" s="1778">
        <v>1700</v>
      </c>
      <c r="H62" s="1594">
        <f t="shared" ref="H62:H70" si="13">ROUND(E62*G62,)</f>
        <v>1700</v>
      </c>
      <c r="I62" s="1595">
        <f t="shared" ref="I62:I70" si="14">G62*0.1</f>
        <v>170</v>
      </c>
      <c r="J62" s="1594">
        <f t="shared" ref="J62:J70" si="15">ROUND(E62*I62,)</f>
        <v>170</v>
      </c>
      <c r="K62" s="1632">
        <f t="shared" ref="K62:K70" si="16">H62+J62</f>
        <v>1870</v>
      </c>
      <c r="L62" s="1632"/>
    </row>
    <row r="63" spans="1:12" s="213" customFormat="1" ht="24" customHeight="1">
      <c r="A63" s="1189"/>
      <c r="B63" s="1538" t="s">
        <v>2006</v>
      </c>
      <c r="C63" s="1275"/>
      <c r="D63" s="1725"/>
      <c r="E63" s="1771">
        <v>1</v>
      </c>
      <c r="F63" s="1385" t="s">
        <v>363</v>
      </c>
      <c r="G63" s="1778">
        <v>1700</v>
      </c>
      <c r="H63" s="1594">
        <f t="shared" si="13"/>
        <v>1700</v>
      </c>
      <c r="I63" s="1595">
        <f t="shared" si="14"/>
        <v>170</v>
      </c>
      <c r="J63" s="1594">
        <f t="shared" si="15"/>
        <v>170</v>
      </c>
      <c r="K63" s="1632">
        <f t="shared" si="16"/>
        <v>1870</v>
      </c>
      <c r="L63" s="1632"/>
    </row>
    <row r="64" spans="1:12" s="213" customFormat="1" ht="24" customHeight="1">
      <c r="A64" s="1189"/>
      <c r="B64" s="1538" t="s">
        <v>2007</v>
      </c>
      <c r="C64" s="1275"/>
      <c r="D64" s="1767"/>
      <c r="E64" s="1771">
        <v>1</v>
      </c>
      <c r="F64" s="1385" t="s">
        <v>363</v>
      </c>
      <c r="G64" s="1778">
        <v>1700</v>
      </c>
      <c r="H64" s="1594">
        <f t="shared" si="13"/>
        <v>1700</v>
      </c>
      <c r="I64" s="1595">
        <f t="shared" si="14"/>
        <v>170</v>
      </c>
      <c r="J64" s="1594">
        <f t="shared" si="15"/>
        <v>170</v>
      </c>
      <c r="K64" s="1632">
        <f t="shared" si="16"/>
        <v>1870</v>
      </c>
      <c r="L64" s="1632"/>
    </row>
    <row r="65" spans="1:12" s="213" customFormat="1" ht="24" customHeight="1">
      <c r="A65" s="1189"/>
      <c r="B65" s="1538" t="s">
        <v>2008</v>
      </c>
      <c r="C65" s="1275"/>
      <c r="D65" s="1725"/>
      <c r="E65" s="1771">
        <v>1</v>
      </c>
      <c r="F65" s="1385" t="s">
        <v>363</v>
      </c>
      <c r="G65" s="1778">
        <v>1700</v>
      </c>
      <c r="H65" s="1594">
        <f t="shared" si="13"/>
        <v>1700</v>
      </c>
      <c r="I65" s="1595">
        <f t="shared" si="14"/>
        <v>170</v>
      </c>
      <c r="J65" s="1594">
        <f t="shared" si="15"/>
        <v>170</v>
      </c>
      <c r="K65" s="1632">
        <f t="shared" si="16"/>
        <v>1870</v>
      </c>
      <c r="L65" s="1632"/>
    </row>
    <row r="66" spans="1:12" s="213" customFormat="1" ht="24" customHeight="1">
      <c r="A66" s="1189"/>
      <c r="B66" s="1538" t="s">
        <v>2009</v>
      </c>
      <c r="C66" s="1275"/>
      <c r="D66" s="1767"/>
      <c r="E66" s="1771">
        <v>1</v>
      </c>
      <c r="F66" s="1385" t="s">
        <v>363</v>
      </c>
      <c r="G66" s="1778">
        <v>1700</v>
      </c>
      <c r="H66" s="1594">
        <f t="shared" si="13"/>
        <v>1700</v>
      </c>
      <c r="I66" s="1595">
        <f t="shared" si="14"/>
        <v>170</v>
      </c>
      <c r="J66" s="1594">
        <f t="shared" si="15"/>
        <v>170</v>
      </c>
      <c r="K66" s="1632">
        <f t="shared" si="16"/>
        <v>1870</v>
      </c>
      <c r="L66" s="1632"/>
    </row>
    <row r="67" spans="1:12" s="213" customFormat="1" ht="24" customHeight="1">
      <c r="A67" s="1189"/>
      <c r="B67" s="1538" t="s">
        <v>2010</v>
      </c>
      <c r="C67" s="1275"/>
      <c r="D67" s="1767"/>
      <c r="E67" s="1771">
        <v>1</v>
      </c>
      <c r="F67" s="1385" t="s">
        <v>363</v>
      </c>
      <c r="G67" s="1778">
        <v>1700</v>
      </c>
      <c r="H67" s="1594">
        <f t="shared" si="13"/>
        <v>1700</v>
      </c>
      <c r="I67" s="1595">
        <f t="shared" si="14"/>
        <v>170</v>
      </c>
      <c r="J67" s="1594">
        <f t="shared" si="15"/>
        <v>170</v>
      </c>
      <c r="K67" s="1632">
        <f t="shared" si="16"/>
        <v>1870</v>
      </c>
      <c r="L67" s="1632"/>
    </row>
    <row r="68" spans="1:12" s="213" customFormat="1" ht="24" customHeight="1">
      <c r="A68" s="1189"/>
      <c r="B68" s="1538" t="s">
        <v>2011</v>
      </c>
      <c r="C68" s="1275"/>
      <c r="D68" s="1767"/>
      <c r="E68" s="1771">
        <v>1</v>
      </c>
      <c r="F68" s="1385" t="s">
        <v>363</v>
      </c>
      <c r="G68" s="1778">
        <v>1700</v>
      </c>
      <c r="H68" s="1594">
        <f t="shared" si="13"/>
        <v>1700</v>
      </c>
      <c r="I68" s="1595">
        <f t="shared" si="14"/>
        <v>170</v>
      </c>
      <c r="J68" s="1594">
        <f t="shared" si="15"/>
        <v>170</v>
      </c>
      <c r="K68" s="1632">
        <f t="shared" si="16"/>
        <v>1870</v>
      </c>
      <c r="L68" s="1632"/>
    </row>
    <row r="69" spans="1:12" s="213" customFormat="1" ht="24" customHeight="1">
      <c r="A69" s="1189"/>
      <c r="B69" s="1538" t="s">
        <v>2012</v>
      </c>
      <c r="C69" s="1275"/>
      <c r="D69" s="1767"/>
      <c r="E69" s="1771">
        <v>1</v>
      </c>
      <c r="F69" s="1385" t="s">
        <v>363</v>
      </c>
      <c r="G69" s="1778">
        <v>1700</v>
      </c>
      <c r="H69" s="1594">
        <f t="shared" si="13"/>
        <v>1700</v>
      </c>
      <c r="I69" s="1595">
        <f t="shared" si="14"/>
        <v>170</v>
      </c>
      <c r="J69" s="1594">
        <f t="shared" si="15"/>
        <v>170</v>
      </c>
      <c r="K69" s="1632">
        <f t="shared" si="16"/>
        <v>1870</v>
      </c>
      <c r="L69" s="1632"/>
    </row>
    <row r="70" spans="1:12" s="213" customFormat="1" ht="24" customHeight="1">
      <c r="A70" s="1189"/>
      <c r="B70" s="1538" t="s">
        <v>2013</v>
      </c>
      <c r="C70" s="1275"/>
      <c r="D70" s="1725"/>
      <c r="E70" s="1771">
        <v>1</v>
      </c>
      <c r="F70" s="1385" t="s">
        <v>363</v>
      </c>
      <c r="G70" s="1778">
        <v>1700</v>
      </c>
      <c r="H70" s="1594">
        <f t="shared" si="13"/>
        <v>1700</v>
      </c>
      <c r="I70" s="1595">
        <f t="shared" si="14"/>
        <v>170</v>
      </c>
      <c r="J70" s="1594">
        <f t="shared" si="15"/>
        <v>170</v>
      </c>
      <c r="K70" s="1632">
        <f t="shared" si="16"/>
        <v>1870</v>
      </c>
      <c r="L70" s="1632"/>
    </row>
    <row r="71" spans="1:12" s="213" customFormat="1" ht="24" customHeight="1">
      <c r="A71" s="1779"/>
      <c r="B71" s="1780" t="s">
        <v>2014</v>
      </c>
      <c r="C71" s="1260"/>
      <c r="D71" s="1781"/>
      <c r="E71" s="715">
        <v>1</v>
      </c>
      <c r="F71" s="1415" t="s">
        <v>363</v>
      </c>
      <c r="G71" s="1772">
        <v>1700</v>
      </c>
      <c r="H71" s="1413">
        <f>ROUND(E71*G71,)</f>
        <v>1700</v>
      </c>
      <c r="I71" s="1386">
        <v>450</v>
      </c>
      <c r="J71" s="1413">
        <f>ROUND(E71*I71,)</f>
        <v>450</v>
      </c>
      <c r="K71" s="1415">
        <f>H71+J71</f>
        <v>2150</v>
      </c>
      <c r="L71" s="1415"/>
    </row>
    <row r="72" spans="1:12" s="213" customFormat="1" ht="24" customHeight="1">
      <c r="A72" s="1779"/>
      <c r="B72" s="1780" t="s">
        <v>2015</v>
      </c>
      <c r="C72" s="1260"/>
      <c r="D72" s="1781"/>
      <c r="E72" s="715">
        <v>1</v>
      </c>
      <c r="F72" s="1415" t="s">
        <v>363</v>
      </c>
      <c r="G72" s="1772">
        <v>1700</v>
      </c>
      <c r="H72" s="1413">
        <f t="shared" ref="H72:H92" si="17">ROUND(E72*G72,)</f>
        <v>1700</v>
      </c>
      <c r="I72" s="1386">
        <v>450</v>
      </c>
      <c r="J72" s="1413">
        <f t="shared" ref="J72:J92" si="18">ROUND(E72*I72,)</f>
        <v>450</v>
      </c>
      <c r="K72" s="1415">
        <f t="shared" ref="K72:K92" si="19">H72+J72</f>
        <v>2150</v>
      </c>
      <c r="L72" s="1415"/>
    </row>
    <row r="73" spans="1:12" s="213" customFormat="1" ht="24" customHeight="1">
      <c r="A73" s="1782"/>
      <c r="B73" s="1780" t="s">
        <v>2016</v>
      </c>
      <c r="C73" s="1260"/>
      <c r="D73" s="1781"/>
      <c r="E73" s="825">
        <v>1</v>
      </c>
      <c r="F73" s="1457" t="s">
        <v>363</v>
      </c>
      <c r="G73" s="1769">
        <v>1700</v>
      </c>
      <c r="H73" s="820">
        <f t="shared" si="17"/>
        <v>1700</v>
      </c>
      <c r="I73" s="1455">
        <v>450</v>
      </c>
      <c r="J73" s="820">
        <f t="shared" si="18"/>
        <v>450</v>
      </c>
      <c r="K73" s="1457">
        <f t="shared" si="19"/>
        <v>2150</v>
      </c>
      <c r="L73" s="1457"/>
    </row>
    <row r="74" spans="1:12" s="213" customFormat="1" ht="24" customHeight="1">
      <c r="A74" s="1782"/>
      <c r="B74" s="1780" t="s">
        <v>2017</v>
      </c>
      <c r="C74" s="1260"/>
      <c r="D74" s="1781"/>
      <c r="E74" s="825">
        <v>1</v>
      </c>
      <c r="F74" s="1457" t="s">
        <v>363</v>
      </c>
      <c r="G74" s="1769">
        <v>1700</v>
      </c>
      <c r="H74" s="820">
        <f t="shared" si="17"/>
        <v>1700</v>
      </c>
      <c r="I74" s="1455">
        <v>450</v>
      </c>
      <c r="J74" s="820">
        <f t="shared" si="18"/>
        <v>450</v>
      </c>
      <c r="K74" s="1457">
        <f t="shared" si="19"/>
        <v>2150</v>
      </c>
      <c r="L74" s="1457"/>
    </row>
    <row r="75" spans="1:12" s="213" customFormat="1" ht="24" customHeight="1">
      <c r="A75" s="1782"/>
      <c r="B75" s="1780" t="s">
        <v>2018</v>
      </c>
      <c r="C75" s="1260"/>
      <c r="D75" s="1781"/>
      <c r="E75" s="825">
        <v>1</v>
      </c>
      <c r="F75" s="1457" t="s">
        <v>363</v>
      </c>
      <c r="G75" s="1769">
        <v>1700</v>
      </c>
      <c r="H75" s="820">
        <f t="shared" si="17"/>
        <v>1700</v>
      </c>
      <c r="I75" s="1455">
        <v>450</v>
      </c>
      <c r="J75" s="820">
        <f t="shared" si="18"/>
        <v>450</v>
      </c>
      <c r="K75" s="1457">
        <f t="shared" si="19"/>
        <v>2150</v>
      </c>
      <c r="L75" s="1457"/>
    </row>
    <row r="76" spans="1:12" s="213" customFormat="1" ht="24" customHeight="1">
      <c r="A76" s="1782"/>
      <c r="B76" s="1780" t="s">
        <v>2019</v>
      </c>
      <c r="C76" s="1260"/>
      <c r="D76" s="1781"/>
      <c r="E76" s="825">
        <v>1</v>
      </c>
      <c r="F76" s="1457" t="s">
        <v>363</v>
      </c>
      <c r="G76" s="1769">
        <v>1700</v>
      </c>
      <c r="H76" s="820">
        <f t="shared" si="17"/>
        <v>1700</v>
      </c>
      <c r="I76" s="1455">
        <v>450</v>
      </c>
      <c r="J76" s="820">
        <f t="shared" si="18"/>
        <v>450</v>
      </c>
      <c r="K76" s="1457">
        <f t="shared" si="19"/>
        <v>2150</v>
      </c>
      <c r="L76" s="1457"/>
    </row>
    <row r="77" spans="1:12" s="213" customFormat="1" ht="24" customHeight="1">
      <c r="A77" s="1779"/>
      <c r="B77" s="1780" t="s">
        <v>2020</v>
      </c>
      <c r="C77" s="1260"/>
      <c r="D77" s="1781"/>
      <c r="E77" s="715">
        <v>1</v>
      </c>
      <c r="F77" s="1415" t="s">
        <v>363</v>
      </c>
      <c r="G77" s="1772">
        <v>1700</v>
      </c>
      <c r="H77" s="1413">
        <f t="shared" si="17"/>
        <v>1700</v>
      </c>
      <c r="I77" s="1386">
        <v>450</v>
      </c>
      <c r="J77" s="1413">
        <f t="shared" si="18"/>
        <v>450</v>
      </c>
      <c r="K77" s="1415">
        <f t="shared" si="19"/>
        <v>2150</v>
      </c>
      <c r="L77" s="1415"/>
    </row>
    <row r="78" spans="1:12" s="213" customFormat="1" ht="24" customHeight="1">
      <c r="A78" s="1779"/>
      <c r="B78" s="1780" t="s">
        <v>2021</v>
      </c>
      <c r="C78" s="1260"/>
      <c r="D78" s="1781"/>
      <c r="E78" s="715">
        <v>1</v>
      </c>
      <c r="F78" s="1415" t="s">
        <v>363</v>
      </c>
      <c r="G78" s="1772">
        <v>1700</v>
      </c>
      <c r="H78" s="1413">
        <f t="shared" si="17"/>
        <v>1700</v>
      </c>
      <c r="I78" s="1386">
        <v>450</v>
      </c>
      <c r="J78" s="1413">
        <f t="shared" si="18"/>
        <v>450</v>
      </c>
      <c r="K78" s="1415">
        <f t="shared" si="19"/>
        <v>2150</v>
      </c>
      <c r="L78" s="1415"/>
    </row>
    <row r="79" spans="1:12" s="213" customFormat="1" ht="24" customHeight="1">
      <c r="A79" s="1782"/>
      <c r="B79" s="1780" t="s">
        <v>2022</v>
      </c>
      <c r="C79" s="1260"/>
      <c r="D79" s="1781"/>
      <c r="E79" s="825">
        <v>1</v>
      </c>
      <c r="F79" s="1457" t="s">
        <v>363</v>
      </c>
      <c r="G79" s="1769">
        <v>1700</v>
      </c>
      <c r="H79" s="820">
        <f t="shared" si="17"/>
        <v>1700</v>
      </c>
      <c r="I79" s="1455">
        <v>450</v>
      </c>
      <c r="J79" s="820">
        <f t="shared" si="18"/>
        <v>450</v>
      </c>
      <c r="K79" s="1457">
        <f t="shared" si="19"/>
        <v>2150</v>
      </c>
      <c r="L79" s="1457"/>
    </row>
    <row r="80" spans="1:12" s="213" customFormat="1" ht="24" customHeight="1">
      <c r="A80" s="1782"/>
      <c r="B80" s="1780" t="s">
        <v>2023</v>
      </c>
      <c r="C80" s="1260"/>
      <c r="D80" s="1781"/>
      <c r="E80" s="825">
        <v>1</v>
      </c>
      <c r="F80" s="1457" t="s">
        <v>363</v>
      </c>
      <c r="G80" s="1769">
        <v>1700</v>
      </c>
      <c r="H80" s="820">
        <f t="shared" si="17"/>
        <v>1700</v>
      </c>
      <c r="I80" s="1455">
        <v>450</v>
      </c>
      <c r="J80" s="820">
        <f t="shared" si="18"/>
        <v>450</v>
      </c>
      <c r="K80" s="1457">
        <f t="shared" si="19"/>
        <v>2150</v>
      </c>
      <c r="L80" s="1457"/>
    </row>
    <row r="81" spans="1:12" s="213" customFormat="1" ht="24" customHeight="1">
      <c r="A81" s="1782"/>
      <c r="B81" s="1780" t="s">
        <v>2024</v>
      </c>
      <c r="C81" s="1260"/>
      <c r="D81" s="1781"/>
      <c r="E81" s="825">
        <v>1</v>
      </c>
      <c r="F81" s="1457" t="s">
        <v>363</v>
      </c>
      <c r="G81" s="1769">
        <v>1700</v>
      </c>
      <c r="H81" s="820">
        <f t="shared" si="17"/>
        <v>1700</v>
      </c>
      <c r="I81" s="1455">
        <v>450</v>
      </c>
      <c r="J81" s="820">
        <f t="shared" si="18"/>
        <v>450</v>
      </c>
      <c r="K81" s="1457">
        <f t="shared" si="19"/>
        <v>2150</v>
      </c>
      <c r="L81" s="1457"/>
    </row>
    <row r="82" spans="1:12" s="213" customFormat="1" ht="24" customHeight="1">
      <c r="A82" s="1782"/>
      <c r="B82" s="1780" t="s">
        <v>2025</v>
      </c>
      <c r="C82" s="1260"/>
      <c r="D82" s="1781"/>
      <c r="E82" s="825">
        <v>1</v>
      </c>
      <c r="F82" s="1457" t="s">
        <v>363</v>
      </c>
      <c r="G82" s="1769">
        <v>1700</v>
      </c>
      <c r="H82" s="820">
        <f t="shared" si="17"/>
        <v>1700</v>
      </c>
      <c r="I82" s="1455">
        <v>450</v>
      </c>
      <c r="J82" s="820">
        <f t="shared" si="18"/>
        <v>450</v>
      </c>
      <c r="K82" s="1457">
        <f t="shared" si="19"/>
        <v>2150</v>
      </c>
      <c r="L82" s="1457"/>
    </row>
    <row r="83" spans="1:12" s="213" customFormat="1" ht="24" customHeight="1">
      <c r="A83" s="1782"/>
      <c r="B83" s="1780" t="s">
        <v>2026</v>
      </c>
      <c r="C83" s="1260"/>
      <c r="D83" s="1781"/>
      <c r="E83" s="825">
        <v>1</v>
      </c>
      <c r="F83" s="1457" t="s">
        <v>363</v>
      </c>
      <c r="G83" s="1769">
        <v>1700</v>
      </c>
      <c r="H83" s="820">
        <f t="shared" si="17"/>
        <v>1700</v>
      </c>
      <c r="I83" s="1455">
        <v>450</v>
      </c>
      <c r="J83" s="820">
        <f t="shared" si="18"/>
        <v>450</v>
      </c>
      <c r="K83" s="1457">
        <f t="shared" si="19"/>
        <v>2150</v>
      </c>
      <c r="L83" s="1457"/>
    </row>
    <row r="84" spans="1:12" s="213" customFormat="1" ht="24" customHeight="1">
      <c r="A84" s="1782"/>
      <c r="B84" s="1780" t="s">
        <v>2027</v>
      </c>
      <c r="C84" s="1260"/>
      <c r="D84" s="1781"/>
      <c r="E84" s="825">
        <v>1</v>
      </c>
      <c r="F84" s="1457" t="s">
        <v>363</v>
      </c>
      <c r="G84" s="1769">
        <v>1700</v>
      </c>
      <c r="H84" s="820">
        <f t="shared" si="17"/>
        <v>1700</v>
      </c>
      <c r="I84" s="1455">
        <v>450</v>
      </c>
      <c r="J84" s="820">
        <f t="shared" si="18"/>
        <v>450</v>
      </c>
      <c r="K84" s="1457">
        <f t="shared" si="19"/>
        <v>2150</v>
      </c>
      <c r="L84" s="1457"/>
    </row>
    <row r="85" spans="1:12" s="213" customFormat="1" ht="24" customHeight="1">
      <c r="A85" s="1782"/>
      <c r="B85" s="1780" t="s">
        <v>2028</v>
      </c>
      <c r="C85" s="1260"/>
      <c r="D85" s="1781"/>
      <c r="E85" s="825">
        <v>1</v>
      </c>
      <c r="F85" s="1457" t="s">
        <v>363</v>
      </c>
      <c r="G85" s="1769">
        <v>1700</v>
      </c>
      <c r="H85" s="820">
        <f t="shared" si="17"/>
        <v>1700</v>
      </c>
      <c r="I85" s="1455">
        <v>450</v>
      </c>
      <c r="J85" s="820">
        <f t="shared" si="18"/>
        <v>450</v>
      </c>
      <c r="K85" s="1457">
        <f t="shared" si="19"/>
        <v>2150</v>
      </c>
      <c r="L85" s="1457"/>
    </row>
    <row r="86" spans="1:12" s="213" customFormat="1" ht="24" customHeight="1">
      <c r="A86" s="1782"/>
      <c r="B86" s="1780" t="s">
        <v>2029</v>
      </c>
      <c r="C86" s="1260"/>
      <c r="D86" s="1781"/>
      <c r="E86" s="825">
        <v>1</v>
      </c>
      <c r="F86" s="1457" t="s">
        <v>363</v>
      </c>
      <c r="G86" s="1769">
        <v>1700</v>
      </c>
      <c r="H86" s="820">
        <f t="shared" si="17"/>
        <v>1700</v>
      </c>
      <c r="I86" s="1455">
        <v>450</v>
      </c>
      <c r="J86" s="820">
        <f t="shared" si="18"/>
        <v>450</v>
      </c>
      <c r="K86" s="1457">
        <f t="shared" si="19"/>
        <v>2150</v>
      </c>
      <c r="L86" s="1457"/>
    </row>
    <row r="87" spans="1:12" s="213" customFormat="1" ht="24" customHeight="1">
      <c r="A87" s="1779"/>
      <c r="B87" s="1780" t="s">
        <v>2030</v>
      </c>
      <c r="C87" s="1260"/>
      <c r="D87" s="1781"/>
      <c r="E87" s="715">
        <v>1</v>
      </c>
      <c r="F87" s="1415" t="s">
        <v>363</v>
      </c>
      <c r="G87" s="1772">
        <v>1700</v>
      </c>
      <c r="H87" s="1413">
        <f t="shared" si="17"/>
        <v>1700</v>
      </c>
      <c r="I87" s="1386">
        <v>450</v>
      </c>
      <c r="J87" s="1413">
        <f t="shared" si="18"/>
        <v>450</v>
      </c>
      <c r="K87" s="1415">
        <f t="shared" si="19"/>
        <v>2150</v>
      </c>
      <c r="L87" s="1415"/>
    </row>
    <row r="88" spans="1:12" s="213" customFormat="1" ht="24" customHeight="1">
      <c r="A88" s="1779"/>
      <c r="B88" s="1780" t="s">
        <v>2031</v>
      </c>
      <c r="C88" s="1260"/>
      <c r="D88" s="1781"/>
      <c r="E88" s="715">
        <v>1</v>
      </c>
      <c r="F88" s="1415" t="s">
        <v>363</v>
      </c>
      <c r="G88" s="1772">
        <v>1700</v>
      </c>
      <c r="H88" s="1413">
        <f t="shared" si="17"/>
        <v>1700</v>
      </c>
      <c r="I88" s="1386">
        <v>450</v>
      </c>
      <c r="J88" s="1413">
        <f t="shared" si="18"/>
        <v>450</v>
      </c>
      <c r="K88" s="1415">
        <f t="shared" si="19"/>
        <v>2150</v>
      </c>
      <c r="L88" s="1415"/>
    </row>
    <row r="89" spans="1:12" s="213" customFormat="1" ht="24" customHeight="1">
      <c r="A89" s="1782"/>
      <c r="B89" s="1780" t="s">
        <v>2032</v>
      </c>
      <c r="C89" s="1260"/>
      <c r="D89" s="1781"/>
      <c r="E89" s="825">
        <v>1</v>
      </c>
      <c r="F89" s="1457" t="s">
        <v>363</v>
      </c>
      <c r="G89" s="1769">
        <v>1700</v>
      </c>
      <c r="H89" s="820">
        <f t="shared" si="17"/>
        <v>1700</v>
      </c>
      <c r="I89" s="1455">
        <v>450</v>
      </c>
      <c r="J89" s="820">
        <f t="shared" si="18"/>
        <v>450</v>
      </c>
      <c r="K89" s="1457">
        <f t="shared" si="19"/>
        <v>2150</v>
      </c>
      <c r="L89" s="1457"/>
    </row>
    <row r="90" spans="1:12" s="213" customFormat="1" ht="24" customHeight="1">
      <c r="A90" s="1782"/>
      <c r="B90" s="1780" t="s">
        <v>2033</v>
      </c>
      <c r="C90" s="1260"/>
      <c r="D90" s="1781"/>
      <c r="E90" s="825">
        <v>1</v>
      </c>
      <c r="F90" s="1457" t="s">
        <v>363</v>
      </c>
      <c r="G90" s="1769">
        <v>1700</v>
      </c>
      <c r="H90" s="820">
        <f t="shared" si="17"/>
        <v>1700</v>
      </c>
      <c r="I90" s="1455">
        <v>450</v>
      </c>
      <c r="J90" s="820">
        <f t="shared" si="18"/>
        <v>450</v>
      </c>
      <c r="K90" s="1457">
        <f t="shared" si="19"/>
        <v>2150</v>
      </c>
      <c r="L90" s="1457"/>
    </row>
    <row r="91" spans="1:12" s="213" customFormat="1" ht="24" customHeight="1">
      <c r="A91" s="1779"/>
      <c r="B91" s="1780" t="s">
        <v>2034</v>
      </c>
      <c r="C91" s="1260"/>
      <c r="D91" s="1781"/>
      <c r="E91" s="715">
        <v>1</v>
      </c>
      <c r="F91" s="1415" t="s">
        <v>363</v>
      </c>
      <c r="G91" s="1772">
        <v>1700</v>
      </c>
      <c r="H91" s="1413">
        <f t="shared" si="17"/>
        <v>1700</v>
      </c>
      <c r="I91" s="1386">
        <v>450</v>
      </c>
      <c r="J91" s="1413">
        <f t="shared" si="18"/>
        <v>450</v>
      </c>
      <c r="K91" s="1415">
        <f t="shared" si="19"/>
        <v>2150</v>
      </c>
      <c r="L91" s="1415"/>
    </row>
    <row r="92" spans="1:12" s="213" customFormat="1" ht="24" customHeight="1">
      <c r="A92" s="1782"/>
      <c r="B92" s="1780" t="s">
        <v>2035</v>
      </c>
      <c r="C92" s="1260"/>
      <c r="D92" s="1781"/>
      <c r="E92" s="825">
        <v>1</v>
      </c>
      <c r="F92" s="1457" t="s">
        <v>363</v>
      </c>
      <c r="G92" s="1769">
        <v>1700</v>
      </c>
      <c r="H92" s="820">
        <f t="shared" si="17"/>
        <v>1700</v>
      </c>
      <c r="I92" s="1455">
        <v>450</v>
      </c>
      <c r="J92" s="820">
        <f t="shared" si="18"/>
        <v>450</v>
      </c>
      <c r="K92" s="1457">
        <f t="shared" si="19"/>
        <v>2150</v>
      </c>
      <c r="L92" s="1457"/>
    </row>
    <row r="93" spans="1:12" s="1765" customFormat="1" ht="24" customHeight="1">
      <c r="A93" s="1189" t="s">
        <v>2036</v>
      </c>
      <c r="B93" s="1538" t="s">
        <v>2037</v>
      </c>
      <c r="C93" s="1275"/>
      <c r="D93" s="1767"/>
      <c r="E93" s="1771"/>
      <c r="F93" s="1385"/>
      <c r="G93" s="1778"/>
      <c r="H93" s="1594"/>
      <c r="I93" s="1595"/>
      <c r="J93" s="1594"/>
      <c r="K93" s="1632"/>
      <c r="L93" s="1632"/>
    </row>
    <row r="94" spans="1:12" s="1765" customFormat="1" ht="24" customHeight="1">
      <c r="A94" s="1189"/>
      <c r="B94" s="1538" t="s">
        <v>2038</v>
      </c>
      <c r="C94" s="1275"/>
      <c r="D94" s="1767"/>
      <c r="E94" s="1771">
        <v>1</v>
      </c>
      <c r="F94" s="1385" t="s">
        <v>363</v>
      </c>
      <c r="G94" s="1778">
        <v>9900</v>
      </c>
      <c r="H94" s="1594">
        <f>ROUND(E94*G94,)</f>
        <v>9900</v>
      </c>
      <c r="I94" s="1595">
        <f>G94*0.1</f>
        <v>990</v>
      </c>
      <c r="J94" s="1594">
        <f>ROUND(E94*I94,)</f>
        <v>990</v>
      </c>
      <c r="K94" s="1632">
        <f>H94+J94</f>
        <v>10890</v>
      </c>
      <c r="L94" s="1632"/>
    </row>
    <row r="95" spans="1:12" s="1765" customFormat="1" ht="24" customHeight="1">
      <c r="A95" s="1189"/>
      <c r="B95" s="1538" t="s">
        <v>2039</v>
      </c>
      <c r="C95" s="1275"/>
      <c r="D95" s="1767"/>
      <c r="E95" s="1771">
        <v>1</v>
      </c>
      <c r="F95" s="1385" t="s">
        <v>363</v>
      </c>
      <c r="G95" s="1778">
        <v>9900</v>
      </c>
      <c r="H95" s="1594">
        <f>ROUND(E95*G95,)</f>
        <v>9900</v>
      </c>
      <c r="I95" s="1595">
        <f>G95*0.1</f>
        <v>990</v>
      </c>
      <c r="J95" s="1594">
        <f>ROUND(E95*I95,)</f>
        <v>990</v>
      </c>
      <c r="K95" s="1632">
        <f>H95+J95</f>
        <v>10890</v>
      </c>
      <c r="L95" s="1632"/>
    </row>
    <row r="96" spans="1:12" s="1765" customFormat="1" ht="24" customHeight="1">
      <c r="A96" s="1189" t="s">
        <v>2040</v>
      </c>
      <c r="B96" s="1538" t="s">
        <v>2041</v>
      </c>
      <c r="C96" s="1275"/>
      <c r="D96" s="1767"/>
      <c r="E96" s="1771"/>
      <c r="F96" s="1385" t="s">
        <v>363</v>
      </c>
      <c r="G96" s="1778">
        <v>1200</v>
      </c>
      <c r="H96" s="1594">
        <f t="shared" ref="H96" si="20">ROUND(E96*G96,)</f>
        <v>0</v>
      </c>
      <c r="I96" s="1595">
        <f>G96*0.3</f>
        <v>360</v>
      </c>
      <c r="J96" s="1594">
        <f t="shared" ref="J96" si="21">ROUND(E96*I96,)</f>
        <v>0</v>
      </c>
      <c r="K96" s="1632">
        <f t="shared" ref="K96" si="22">H96+J96</f>
        <v>0</v>
      </c>
      <c r="L96" s="1632"/>
    </row>
    <row r="97" spans="1:12" s="1765" customFormat="1" ht="24" customHeight="1">
      <c r="A97" s="1189"/>
      <c r="B97" s="1538" t="s">
        <v>1117</v>
      </c>
      <c r="C97" s="1275"/>
      <c r="D97" s="1767"/>
      <c r="E97" s="1771"/>
      <c r="F97" s="1385"/>
      <c r="G97" s="1778"/>
      <c r="H97" s="1594"/>
      <c r="I97" s="1595"/>
      <c r="J97" s="1594"/>
      <c r="K97" s="1632"/>
      <c r="L97" s="1632"/>
    </row>
    <row r="98" spans="1:12" s="1765" customFormat="1" ht="24" customHeight="1">
      <c r="A98" s="1578"/>
      <c r="B98" s="2268" t="str">
        <f>"รวมราคารายการที่ "&amp;A49</f>
        <v>รวมราคารายการที่ 7.2</v>
      </c>
      <c r="C98" s="2269"/>
      <c r="D98" s="2270"/>
      <c r="E98" s="1579"/>
      <c r="F98" s="1579"/>
      <c r="G98" s="1580"/>
      <c r="H98" s="1581">
        <f>SUM(H50:H97)</f>
        <v>91200</v>
      </c>
      <c r="I98" s="1582"/>
      <c r="J98" s="1581">
        <f>SUM(J50:J97)</f>
        <v>18080</v>
      </c>
      <c r="K98" s="1583">
        <f>SUM(K50:K97)</f>
        <v>109280</v>
      </c>
      <c r="L98" s="1583"/>
    </row>
    <row r="99" spans="1:12" s="1765" customFormat="1" ht="24" customHeight="1">
      <c r="A99" s="1291">
        <v>7.3</v>
      </c>
      <c r="B99" s="1783" t="s">
        <v>2042</v>
      </c>
      <c r="C99" s="1294"/>
      <c r="D99" s="1777"/>
      <c r="E99" s="1686"/>
      <c r="F99" s="1402"/>
      <c r="G99" s="1661"/>
      <c r="H99" s="1588"/>
      <c r="I99" s="1589"/>
      <c r="J99" s="1588"/>
      <c r="K99" s="1770"/>
      <c r="L99" s="1770"/>
    </row>
    <row r="100" spans="1:12" s="1765" customFormat="1" ht="24" customHeight="1">
      <c r="A100" s="1766" t="s">
        <v>2043</v>
      </c>
      <c r="B100" s="1538" t="s">
        <v>2044</v>
      </c>
      <c r="C100" s="1275"/>
      <c r="D100" s="1767"/>
      <c r="E100" s="1686"/>
      <c r="F100" s="1402"/>
      <c r="G100" s="1661"/>
      <c r="H100" s="1588"/>
      <c r="I100" s="1589"/>
      <c r="J100" s="1588"/>
      <c r="K100" s="1770"/>
      <c r="L100" s="1770"/>
    </row>
    <row r="101" spans="1:12" s="1765" customFormat="1" ht="24" customHeight="1">
      <c r="A101" s="1189" t="s">
        <v>2045</v>
      </c>
      <c r="B101" s="1538" t="s">
        <v>2046</v>
      </c>
      <c r="C101" s="1275"/>
      <c r="D101" s="1278"/>
      <c r="E101" s="1768"/>
      <c r="F101" s="1296"/>
      <c r="G101" s="1263"/>
      <c r="H101" s="1298"/>
      <c r="I101" s="1299"/>
      <c r="J101" s="1298"/>
      <c r="K101" s="1382"/>
      <c r="L101" s="1382"/>
    </row>
    <row r="102" spans="1:12" s="1765" customFormat="1" ht="24" customHeight="1">
      <c r="A102" s="1189"/>
      <c r="B102" s="1538" t="s">
        <v>1754</v>
      </c>
      <c r="C102" s="1275"/>
      <c r="D102" s="1767"/>
      <c r="E102" s="1768">
        <v>198</v>
      </c>
      <c r="F102" s="1296" t="s">
        <v>226</v>
      </c>
      <c r="G102" s="1772">
        <v>1168</v>
      </c>
      <c r="H102" s="1343">
        <f t="shared" ref="H102" si="23">ROUND(E102*G102,)</f>
        <v>231264</v>
      </c>
      <c r="I102" s="1386">
        <v>280</v>
      </c>
      <c r="J102" s="1343">
        <f t="shared" ref="J102:J105" si="24">ROUND(E102*I102,)</f>
        <v>55440</v>
      </c>
      <c r="K102" s="1262">
        <f t="shared" ref="K102:K103" si="25">H102+J102</f>
        <v>286704</v>
      </c>
      <c r="L102" s="1770"/>
    </row>
    <row r="103" spans="1:12" s="1765" customFormat="1" ht="24" customHeight="1">
      <c r="A103" s="1766"/>
      <c r="B103" s="1538" t="s">
        <v>1866</v>
      </c>
      <c r="C103" s="1275"/>
      <c r="D103" s="1767"/>
      <c r="E103" s="1768">
        <v>191</v>
      </c>
      <c r="F103" s="1296" t="s">
        <v>226</v>
      </c>
      <c r="G103" s="1772">
        <v>2654</v>
      </c>
      <c r="H103" s="1343">
        <f>ROUND(E103*G103,)</f>
        <v>506914</v>
      </c>
      <c r="I103" s="1386">
        <v>750</v>
      </c>
      <c r="J103" s="1343">
        <f t="shared" si="24"/>
        <v>143250</v>
      </c>
      <c r="K103" s="1262">
        <f t="shared" si="25"/>
        <v>650164</v>
      </c>
      <c r="L103" s="1770"/>
    </row>
    <row r="104" spans="1:12" s="1765" customFormat="1" ht="24" customHeight="1">
      <c r="A104" s="1189" t="s">
        <v>2577</v>
      </c>
      <c r="B104" s="1538" t="s">
        <v>2167</v>
      </c>
      <c r="C104" s="1275"/>
      <c r="D104" s="1767"/>
      <c r="E104" s="1771"/>
      <c r="F104" s="1385"/>
      <c r="G104" s="1778"/>
      <c r="H104" s="1594"/>
      <c r="I104" s="1595"/>
      <c r="J104" s="1594"/>
      <c r="K104" s="1632"/>
      <c r="L104" s="1632"/>
    </row>
    <row r="105" spans="1:12" s="1765" customFormat="1" ht="24" customHeight="1">
      <c r="A105" s="1258"/>
      <c r="B105" s="1538" t="s">
        <v>2168</v>
      </c>
      <c r="C105" s="1275"/>
      <c r="D105" s="1767"/>
      <c r="E105" s="825">
        <f>18*22*2</f>
        <v>792</v>
      </c>
      <c r="F105" s="1358" t="s">
        <v>226</v>
      </c>
      <c r="G105" s="1516">
        <v>69.5</v>
      </c>
      <c r="H105" s="1298">
        <f t="shared" ref="H105:H113" si="26">ROUND(E105*G105,)</f>
        <v>55044</v>
      </c>
      <c r="I105" s="1265">
        <v>30</v>
      </c>
      <c r="J105" s="1298">
        <f t="shared" si="24"/>
        <v>23760</v>
      </c>
      <c r="K105" s="1273">
        <f t="shared" ref="K105:K113" si="27">H105+J105</f>
        <v>78804</v>
      </c>
      <c r="L105" s="1632"/>
    </row>
    <row r="106" spans="1:12" s="1765" customFormat="1" ht="24" customHeight="1">
      <c r="A106" s="1784"/>
      <c r="B106" s="2084" t="s">
        <v>1901</v>
      </c>
      <c r="C106" s="1260"/>
      <c r="D106" s="1781"/>
      <c r="E106" s="825"/>
      <c r="F106" s="1356" t="s">
        <v>226</v>
      </c>
      <c r="G106" s="1516">
        <v>103.5</v>
      </c>
      <c r="H106" s="1264">
        <f t="shared" si="26"/>
        <v>0</v>
      </c>
      <c r="I106" s="1265">
        <v>45</v>
      </c>
      <c r="J106" s="1264">
        <f t="shared" ref="J106:J110" si="28">ROUND(I106*E106,)</f>
        <v>0</v>
      </c>
      <c r="K106" s="1273">
        <f t="shared" si="27"/>
        <v>0</v>
      </c>
      <c r="L106" s="1457"/>
    </row>
    <row r="107" spans="1:12" s="1765" customFormat="1" ht="24" customHeight="1">
      <c r="A107" s="1784"/>
      <c r="B107" s="1816" t="s">
        <v>1340</v>
      </c>
      <c r="C107" s="1260"/>
      <c r="D107" s="1781"/>
      <c r="E107" s="825"/>
      <c r="F107" s="1356" t="s">
        <v>226</v>
      </c>
      <c r="G107" s="1661">
        <v>225</v>
      </c>
      <c r="H107" s="1264">
        <f t="shared" si="26"/>
        <v>0</v>
      </c>
      <c r="I107" s="1589">
        <v>95</v>
      </c>
      <c r="J107" s="1264">
        <f t="shared" si="28"/>
        <v>0</v>
      </c>
      <c r="K107" s="1273">
        <f t="shared" si="27"/>
        <v>0</v>
      </c>
      <c r="L107" s="1457"/>
    </row>
    <row r="108" spans="1:12" s="1765" customFormat="1" ht="24" customHeight="1">
      <c r="A108" s="1784"/>
      <c r="B108" s="1816" t="s">
        <v>1341</v>
      </c>
      <c r="C108" s="1260"/>
      <c r="D108" s="1781"/>
      <c r="E108" s="2142"/>
      <c r="F108" s="1356" t="s">
        <v>226</v>
      </c>
      <c r="G108" s="1661">
        <v>357</v>
      </c>
      <c r="H108" s="1264">
        <f t="shared" si="26"/>
        <v>0</v>
      </c>
      <c r="I108" s="1589">
        <v>95</v>
      </c>
      <c r="J108" s="1264">
        <f t="shared" si="28"/>
        <v>0</v>
      </c>
      <c r="K108" s="1273">
        <f t="shared" si="27"/>
        <v>0</v>
      </c>
      <c r="L108" s="1457"/>
    </row>
    <row r="109" spans="1:12" s="1765" customFormat="1" ht="24" customHeight="1">
      <c r="A109" s="1804"/>
      <c r="B109" s="1780" t="s">
        <v>1342</v>
      </c>
      <c r="C109" s="1260"/>
      <c r="D109" s="1781"/>
      <c r="E109" s="2142"/>
      <c r="F109" s="1262" t="s">
        <v>226</v>
      </c>
      <c r="G109" s="1661">
        <v>467</v>
      </c>
      <c r="H109" s="1264">
        <f t="shared" si="26"/>
        <v>0</v>
      </c>
      <c r="I109" s="1589">
        <v>200</v>
      </c>
      <c r="J109" s="1264">
        <f t="shared" si="28"/>
        <v>0</v>
      </c>
      <c r="K109" s="1273">
        <f t="shared" si="27"/>
        <v>0</v>
      </c>
      <c r="L109" s="1415"/>
    </row>
    <row r="110" spans="1:12" s="1765" customFormat="1" ht="24" customHeight="1">
      <c r="A110" s="1784"/>
      <c r="B110" s="2084" t="s">
        <v>1111</v>
      </c>
      <c r="C110" s="1260"/>
      <c r="D110" s="1781"/>
      <c r="E110" s="2142"/>
      <c r="F110" s="1356" t="s">
        <v>226</v>
      </c>
      <c r="G110" s="1661">
        <v>665</v>
      </c>
      <c r="H110" s="1264">
        <f t="shared" si="26"/>
        <v>0</v>
      </c>
      <c r="I110" s="1589">
        <v>280</v>
      </c>
      <c r="J110" s="1264">
        <f t="shared" si="28"/>
        <v>0</v>
      </c>
      <c r="K110" s="1273">
        <f t="shared" si="27"/>
        <v>0</v>
      </c>
      <c r="L110" s="1457"/>
    </row>
    <row r="111" spans="1:12" s="1765" customFormat="1" ht="24" customHeight="1">
      <c r="A111" s="1766"/>
      <c r="B111" s="1538" t="s">
        <v>1719</v>
      </c>
      <c r="C111" s="1275"/>
      <c r="D111" s="1767"/>
      <c r="E111" s="1686">
        <v>1</v>
      </c>
      <c r="F111" s="1402" t="s">
        <v>1104</v>
      </c>
      <c r="G111" s="1661">
        <f>SUM(H102:H110)*50%</f>
        <v>396611</v>
      </c>
      <c r="H111" s="1298">
        <f t="shared" si="26"/>
        <v>396611</v>
      </c>
      <c r="I111" s="1589">
        <f>ROUND(G111*0.3,)</f>
        <v>118983</v>
      </c>
      <c r="J111" s="1298">
        <f t="shared" ref="J111:J113" si="29">ROUND(E111*I111,)</f>
        <v>118983</v>
      </c>
      <c r="K111" s="1382">
        <f t="shared" si="27"/>
        <v>515594</v>
      </c>
      <c r="L111" s="1770"/>
    </row>
    <row r="112" spans="1:12" s="1765" customFormat="1" ht="24" customHeight="1">
      <c r="A112" s="1766"/>
      <c r="B112" s="1538" t="s">
        <v>1720</v>
      </c>
      <c r="C112" s="1275"/>
      <c r="D112" s="1767"/>
      <c r="E112" s="1686">
        <v>1</v>
      </c>
      <c r="F112" s="1402" t="s">
        <v>1104</v>
      </c>
      <c r="G112" s="1661">
        <f>ROUND(SUM(H102:H110)*20%,)</f>
        <v>158644</v>
      </c>
      <c r="H112" s="1298">
        <f t="shared" si="26"/>
        <v>158644</v>
      </c>
      <c r="I112" s="1589">
        <f>ROUND(G112*0.3,)</f>
        <v>47593</v>
      </c>
      <c r="J112" s="1298">
        <f t="shared" si="29"/>
        <v>47593</v>
      </c>
      <c r="K112" s="1382">
        <f t="shared" si="27"/>
        <v>206237</v>
      </c>
      <c r="L112" s="1770"/>
    </row>
    <row r="113" spans="1:15" s="1765" customFormat="1" ht="24" customHeight="1">
      <c r="A113" s="1766"/>
      <c r="B113" s="1538" t="s">
        <v>1721</v>
      </c>
      <c r="C113" s="1275"/>
      <c r="D113" s="1767"/>
      <c r="E113" s="1686">
        <v>1</v>
      </c>
      <c r="F113" s="1402" t="s">
        <v>1104</v>
      </c>
      <c r="G113" s="1661">
        <f>ROUND(SUM(H102:H110)*10%,)</f>
        <v>79322</v>
      </c>
      <c r="H113" s="1298">
        <f t="shared" si="26"/>
        <v>79322</v>
      </c>
      <c r="I113" s="1589">
        <f>ROUND(G113*0.3,)</f>
        <v>23797</v>
      </c>
      <c r="J113" s="1298">
        <f t="shared" si="29"/>
        <v>23797</v>
      </c>
      <c r="K113" s="1382">
        <f t="shared" si="27"/>
        <v>103119</v>
      </c>
      <c r="L113" s="1770"/>
    </row>
    <row r="114" spans="1:15" s="1765" customFormat="1" ht="24" customHeight="1">
      <c r="A114" s="1784" t="s">
        <v>2047</v>
      </c>
      <c r="B114" s="1780" t="s">
        <v>2048</v>
      </c>
      <c r="C114" s="1260"/>
      <c r="D114" s="1781"/>
      <c r="E114" s="825"/>
      <c r="F114" s="1457"/>
      <c r="G114" s="1769"/>
      <c r="H114" s="820"/>
      <c r="I114" s="1455"/>
      <c r="J114" s="820"/>
      <c r="K114" s="1457"/>
      <c r="L114" s="1457"/>
    </row>
    <row r="115" spans="1:15" s="1765" customFormat="1" ht="24" customHeight="1">
      <c r="A115" s="1784" t="s">
        <v>2049</v>
      </c>
      <c r="B115" s="1780" t="s">
        <v>2050</v>
      </c>
      <c r="C115" s="1260"/>
      <c r="D115" s="1781"/>
      <c r="E115" s="825"/>
      <c r="F115" s="1457"/>
      <c r="G115" s="1769"/>
      <c r="H115" s="820"/>
      <c r="I115" s="1455"/>
      <c r="J115" s="820"/>
      <c r="K115" s="1457"/>
      <c r="L115" s="1457"/>
    </row>
    <row r="116" spans="1:15" s="1765" customFormat="1" ht="24" customHeight="1">
      <c r="A116" s="1784"/>
      <c r="B116" s="1780" t="s">
        <v>2168</v>
      </c>
      <c r="C116" s="1260"/>
      <c r="D116" s="1781"/>
      <c r="E116" s="825">
        <f>18*22</f>
        <v>396</v>
      </c>
      <c r="F116" s="1356" t="s">
        <v>226</v>
      </c>
      <c r="G116" s="1516">
        <v>12</v>
      </c>
      <c r="H116" s="1343">
        <f t="shared" ref="H116:H122" si="30">ROUND(E116*G116,)</f>
        <v>4752</v>
      </c>
      <c r="I116" s="1386">
        <v>25</v>
      </c>
      <c r="J116" s="1343">
        <f t="shared" ref="J116:J122" si="31">ROUND(E116*I116,)</f>
        <v>9900</v>
      </c>
      <c r="K116" s="1273">
        <f t="shared" ref="K116:K122" si="32">H116+J116</f>
        <v>14652</v>
      </c>
      <c r="L116" s="2082" t="s">
        <v>2667</v>
      </c>
      <c r="M116" s="2002"/>
      <c r="N116" s="2009">
        <v>48.23</v>
      </c>
      <c r="O116" s="1199">
        <f>ROUND(N116/4,)</f>
        <v>12</v>
      </c>
    </row>
    <row r="117" spans="1:15" s="1765" customFormat="1" ht="24" customHeight="1">
      <c r="A117" s="1766"/>
      <c r="B117" s="1538" t="s">
        <v>1901</v>
      </c>
      <c r="C117" s="1275"/>
      <c r="D117" s="1767"/>
      <c r="E117" s="2085"/>
      <c r="F117" s="1356" t="s">
        <v>226</v>
      </c>
      <c r="G117" s="1516">
        <v>16</v>
      </c>
      <c r="H117" s="1264">
        <f t="shared" si="30"/>
        <v>0</v>
      </c>
      <c r="I117" s="1265">
        <v>30</v>
      </c>
      <c r="J117" s="1264">
        <f t="shared" si="31"/>
        <v>0</v>
      </c>
      <c r="K117" s="1273">
        <f t="shared" si="32"/>
        <v>0</v>
      </c>
      <c r="L117" s="2082" t="s">
        <v>2667</v>
      </c>
      <c r="M117" s="2002"/>
      <c r="N117" s="1765">
        <v>63.7</v>
      </c>
      <c r="O117" s="1199">
        <f>ROUND(N117/4,)</f>
        <v>16</v>
      </c>
    </row>
    <row r="118" spans="1:15" s="1765" customFormat="1" ht="24" customHeight="1">
      <c r="A118" s="1258"/>
      <c r="B118" s="1538" t="s">
        <v>1339</v>
      </c>
      <c r="C118" s="1275"/>
      <c r="D118" s="1767"/>
      <c r="E118" s="2140"/>
      <c r="F118" s="1358" t="s">
        <v>226</v>
      </c>
      <c r="G118" s="1541">
        <v>26</v>
      </c>
      <c r="H118" s="1369">
        <f t="shared" si="30"/>
        <v>0</v>
      </c>
      <c r="I118" s="2007">
        <v>30</v>
      </c>
      <c r="J118" s="2008">
        <f t="shared" si="31"/>
        <v>0</v>
      </c>
      <c r="K118" s="1774">
        <f t="shared" si="32"/>
        <v>0</v>
      </c>
      <c r="L118" s="2082" t="s">
        <v>2667</v>
      </c>
      <c r="M118" s="2002"/>
      <c r="N118" s="2024">
        <v>103.74</v>
      </c>
      <c r="O118" s="1199">
        <f>ROUND(N118/4,)</f>
        <v>26</v>
      </c>
    </row>
    <row r="119" spans="1:15" s="1765" customFormat="1" ht="24" customHeight="1">
      <c r="A119" s="1784"/>
      <c r="B119" s="1780" t="s">
        <v>2051</v>
      </c>
      <c r="C119" s="1260"/>
      <c r="D119" s="1781"/>
      <c r="E119" s="825">
        <v>1050</v>
      </c>
      <c r="F119" s="1356" t="s">
        <v>226</v>
      </c>
      <c r="G119" s="1772">
        <v>41</v>
      </c>
      <c r="H119" s="1343">
        <f t="shared" si="30"/>
        <v>43050</v>
      </c>
      <c r="I119" s="1386">
        <v>25</v>
      </c>
      <c r="J119" s="1343">
        <f t="shared" si="31"/>
        <v>26250</v>
      </c>
      <c r="K119" s="1262">
        <f t="shared" si="32"/>
        <v>69300</v>
      </c>
      <c r="L119" s="2082" t="s">
        <v>2667</v>
      </c>
      <c r="M119" s="2002"/>
      <c r="N119" s="2024">
        <v>163.80000000000001</v>
      </c>
      <c r="O119" s="1199">
        <f>ROUND(N119/4,)</f>
        <v>41</v>
      </c>
    </row>
    <row r="120" spans="1:15" s="1765" customFormat="1" ht="24" customHeight="1">
      <c r="A120" s="1784"/>
      <c r="B120" s="1780" t="s">
        <v>1719</v>
      </c>
      <c r="C120" s="1260"/>
      <c r="D120" s="1781"/>
      <c r="E120" s="825">
        <v>1</v>
      </c>
      <c r="F120" s="1457" t="s">
        <v>1104</v>
      </c>
      <c r="G120" s="2086">
        <f>SUM(H116:H119)*40%</f>
        <v>19120.8</v>
      </c>
      <c r="H120" s="1369">
        <f t="shared" si="30"/>
        <v>19121</v>
      </c>
      <c r="I120" s="1455">
        <v>17026</v>
      </c>
      <c r="J120" s="1369">
        <f t="shared" si="31"/>
        <v>17026</v>
      </c>
      <c r="K120" s="1356">
        <f t="shared" si="32"/>
        <v>36147</v>
      </c>
      <c r="L120" s="1457"/>
    </row>
    <row r="121" spans="1:15" s="1199" customFormat="1" ht="24" customHeight="1">
      <c r="A121" s="1784"/>
      <c r="B121" s="1780" t="s">
        <v>1720</v>
      </c>
      <c r="C121" s="1260"/>
      <c r="D121" s="1781"/>
      <c r="E121" s="825">
        <v>1</v>
      </c>
      <c r="F121" s="1457" t="s">
        <v>1104</v>
      </c>
      <c r="G121" s="1769">
        <f>SUM(H116:H119)*20%</f>
        <v>9560.4</v>
      </c>
      <c r="H121" s="1369">
        <f t="shared" si="30"/>
        <v>9560</v>
      </c>
      <c r="I121" s="1455">
        <v>8513</v>
      </c>
      <c r="J121" s="1369">
        <f t="shared" si="31"/>
        <v>8513</v>
      </c>
      <c r="K121" s="1356">
        <f t="shared" si="32"/>
        <v>18073</v>
      </c>
      <c r="L121" s="1457"/>
    </row>
    <row r="122" spans="1:15" s="1765" customFormat="1" ht="24" customHeight="1">
      <c r="A122" s="1784"/>
      <c r="B122" s="1780" t="s">
        <v>1721</v>
      </c>
      <c r="C122" s="1260"/>
      <c r="D122" s="1781"/>
      <c r="E122" s="825">
        <v>1</v>
      </c>
      <c r="F122" s="1457" t="s">
        <v>1104</v>
      </c>
      <c r="G122" s="1769">
        <f>SUM(H116:H119)*10%</f>
        <v>4780.2</v>
      </c>
      <c r="H122" s="1369">
        <f t="shared" si="30"/>
        <v>4780</v>
      </c>
      <c r="I122" s="1455">
        <v>4256</v>
      </c>
      <c r="J122" s="1369">
        <f t="shared" si="31"/>
        <v>4256</v>
      </c>
      <c r="K122" s="1356">
        <f t="shared" si="32"/>
        <v>9036</v>
      </c>
      <c r="L122" s="1457"/>
    </row>
    <row r="123" spans="1:15" s="1765" customFormat="1" ht="24" customHeight="1">
      <c r="A123" s="1578"/>
      <c r="B123" s="2257" t="str">
        <f>"รวมราคารายการที่ "&amp;A99</f>
        <v>รวมราคารายการที่ 7.3</v>
      </c>
      <c r="C123" s="2258"/>
      <c r="D123" s="2259"/>
      <c r="E123" s="1579"/>
      <c r="F123" s="1579"/>
      <c r="G123" s="1580"/>
      <c r="H123" s="1581">
        <f>SUM(H100:H122)</f>
        <v>1509062</v>
      </c>
      <c r="I123" s="1582"/>
      <c r="J123" s="1581">
        <f>SUM(J100:J122)</f>
        <v>478768</v>
      </c>
      <c r="K123" s="1581">
        <f>SUM(K100:K122)</f>
        <v>1987830</v>
      </c>
      <c r="L123" s="1583"/>
    </row>
    <row r="124" spans="1:15" s="1765" customFormat="1" ht="24" customHeight="1">
      <c r="A124" s="1785" t="s">
        <v>2052</v>
      </c>
      <c r="B124" s="1776" t="s">
        <v>2053</v>
      </c>
      <c r="C124" s="1293"/>
      <c r="D124" s="1294"/>
      <c r="E124" s="1786"/>
      <c r="F124" s="1296"/>
      <c r="G124" s="1357"/>
      <c r="H124" s="1298"/>
      <c r="I124" s="1299"/>
      <c r="J124" s="1298"/>
      <c r="K124" s="1382"/>
      <c r="L124" s="1382"/>
    </row>
    <row r="125" spans="1:15" s="1765" customFormat="1" ht="24" customHeight="1">
      <c r="A125" s="1258" t="s">
        <v>2054</v>
      </c>
      <c r="B125" s="1780" t="s">
        <v>2055</v>
      </c>
      <c r="C125" s="1437"/>
      <c r="D125" s="1278"/>
      <c r="E125" s="1768"/>
      <c r="F125" s="1296"/>
      <c r="G125" s="1516"/>
      <c r="H125" s="1298"/>
      <c r="I125" s="1299"/>
      <c r="J125" s="1298"/>
      <c r="K125" s="1382"/>
      <c r="L125" s="1382"/>
    </row>
    <row r="126" spans="1:15" s="1765" customFormat="1" ht="24" customHeight="1">
      <c r="A126" s="1258"/>
      <c r="B126" s="1538" t="s">
        <v>2168</v>
      </c>
      <c r="C126" s="1437"/>
      <c r="D126" s="1278"/>
      <c r="E126" s="2085"/>
      <c r="F126" s="1358" t="s">
        <v>226</v>
      </c>
      <c r="G126" s="1516">
        <v>59</v>
      </c>
      <c r="H126" s="1264">
        <f t="shared" ref="H126:H127" si="33">ROUND(E126*G126,)</f>
        <v>0</v>
      </c>
      <c r="I126" s="1265">
        <v>20</v>
      </c>
      <c r="J126" s="1264">
        <f t="shared" ref="J126:J127" si="34">ROUND(E126*I126,)</f>
        <v>0</v>
      </c>
      <c r="K126" s="1273">
        <f t="shared" ref="K126:K127" si="35">H126+J126</f>
        <v>0</v>
      </c>
      <c r="L126" s="1382"/>
    </row>
    <row r="127" spans="1:15" s="1765" customFormat="1" ht="24" customHeight="1">
      <c r="A127" s="1258"/>
      <c r="B127" s="1538" t="s">
        <v>1901</v>
      </c>
      <c r="C127" s="1437"/>
      <c r="D127" s="1275"/>
      <c r="E127" s="2087"/>
      <c r="F127" s="1358" t="s">
        <v>226</v>
      </c>
      <c r="G127" s="1516">
        <v>69</v>
      </c>
      <c r="H127" s="1264">
        <f t="shared" si="33"/>
        <v>0</v>
      </c>
      <c r="I127" s="1265">
        <v>26</v>
      </c>
      <c r="J127" s="1264">
        <f t="shared" si="34"/>
        <v>0</v>
      </c>
      <c r="K127" s="1273">
        <f t="shared" si="35"/>
        <v>0</v>
      </c>
      <c r="L127" s="1273"/>
    </row>
    <row r="128" spans="1:15" s="1765" customFormat="1" ht="24" customHeight="1">
      <c r="A128" s="1258"/>
      <c r="B128" s="1780" t="s">
        <v>1339</v>
      </c>
      <c r="C128" s="1437"/>
      <c r="D128" s="1275"/>
      <c r="E128" s="2088"/>
      <c r="F128" s="1358" t="s">
        <v>226</v>
      </c>
      <c r="G128" s="1516">
        <v>121</v>
      </c>
      <c r="H128" s="1264">
        <f>ROUND(E128*G128,)</f>
        <v>0</v>
      </c>
      <c r="I128" s="1265">
        <v>39</v>
      </c>
      <c r="J128" s="1264">
        <f>ROUND(E128*I128,)</f>
        <v>0</v>
      </c>
      <c r="K128" s="1273">
        <f>H128+J128</f>
        <v>0</v>
      </c>
      <c r="L128" s="1273"/>
    </row>
    <row r="129" spans="1:12" s="1765" customFormat="1" ht="24" customHeight="1">
      <c r="A129" s="1258"/>
      <c r="B129" s="1780" t="s">
        <v>1340</v>
      </c>
      <c r="C129" s="1437"/>
      <c r="D129" s="1278"/>
      <c r="E129" s="1686">
        <f>E119</f>
        <v>1050</v>
      </c>
      <c r="F129" s="1296" t="s">
        <v>226</v>
      </c>
      <c r="G129" s="1516">
        <v>148</v>
      </c>
      <c r="H129" s="1298">
        <f t="shared" ref="H129" si="36">ROUND(E129*G129,)</f>
        <v>155400</v>
      </c>
      <c r="I129" s="1299">
        <v>52</v>
      </c>
      <c r="J129" s="1298">
        <f t="shared" ref="J129" si="37">ROUND(E129*I129,)</f>
        <v>54600</v>
      </c>
      <c r="K129" s="1382">
        <f t="shared" ref="K129" si="38">H129+J129</f>
        <v>210000</v>
      </c>
      <c r="L129" s="1382"/>
    </row>
    <row r="130" spans="1:12" s="1765" customFormat="1" ht="24" customHeight="1">
      <c r="A130" s="1258" t="s">
        <v>2056</v>
      </c>
      <c r="B130" s="1538" t="s">
        <v>2169</v>
      </c>
      <c r="C130" s="1437"/>
      <c r="D130" s="1275"/>
      <c r="E130" s="2089"/>
      <c r="F130" s="1358"/>
      <c r="G130" s="1516"/>
      <c r="H130" s="1264"/>
      <c r="I130" s="1265"/>
      <c r="J130" s="1264"/>
      <c r="K130" s="1273"/>
      <c r="L130" s="1273"/>
    </row>
    <row r="131" spans="1:12" s="1765" customFormat="1" ht="24" customHeight="1">
      <c r="A131" s="1258"/>
      <c r="B131" s="1538" t="s">
        <v>1901</v>
      </c>
      <c r="C131" s="1437"/>
      <c r="D131" s="1275"/>
      <c r="E131" s="2090"/>
      <c r="F131" s="1358" t="s">
        <v>226</v>
      </c>
      <c r="G131" s="1516">
        <v>85</v>
      </c>
      <c r="H131" s="1264">
        <f>ROUND(E131*G131,)</f>
        <v>0</v>
      </c>
      <c r="I131" s="1265">
        <v>26</v>
      </c>
      <c r="J131" s="1264">
        <f>ROUND(E131*I131,)</f>
        <v>0</v>
      </c>
      <c r="K131" s="1273">
        <f>H131+J131</f>
        <v>0</v>
      </c>
      <c r="L131" s="1273"/>
    </row>
    <row r="132" spans="1:12" s="1765" customFormat="1" ht="24" customHeight="1">
      <c r="A132" s="1804" t="s">
        <v>2056</v>
      </c>
      <c r="B132" s="1538" t="s">
        <v>2265</v>
      </c>
      <c r="C132" s="1800"/>
      <c r="D132" s="1260"/>
      <c r="E132" s="1801"/>
      <c r="F132" s="1262"/>
      <c r="G132" s="1515"/>
      <c r="H132" s="1343"/>
      <c r="I132" s="1344"/>
      <c r="J132" s="1343"/>
      <c r="K132" s="1262"/>
      <c r="L132" s="1262"/>
    </row>
    <row r="133" spans="1:12" s="1765" customFormat="1" ht="24" customHeight="1">
      <c r="A133" s="1804"/>
      <c r="B133" s="1538" t="s">
        <v>1339</v>
      </c>
      <c r="C133" s="1800"/>
      <c r="D133" s="1260"/>
      <c r="E133" s="715"/>
      <c r="F133" s="1262" t="s">
        <v>226</v>
      </c>
      <c r="G133" s="1515">
        <v>164</v>
      </c>
      <c r="H133" s="1343">
        <f>ROUND(E133*G133,)</f>
        <v>0</v>
      </c>
      <c r="I133" s="1344">
        <v>39</v>
      </c>
      <c r="J133" s="1343">
        <f>ROUND(E133*I133,)</f>
        <v>0</v>
      </c>
      <c r="K133" s="1262">
        <f>H133+J133</f>
        <v>0</v>
      </c>
      <c r="L133" s="1262"/>
    </row>
    <row r="134" spans="1:12" s="1765" customFormat="1" ht="24" customHeight="1">
      <c r="A134" s="1804"/>
      <c r="B134" s="1538" t="s">
        <v>1340</v>
      </c>
      <c r="C134" s="1800"/>
      <c r="D134" s="1260"/>
      <c r="E134" s="715"/>
      <c r="F134" s="1262" t="s">
        <v>226</v>
      </c>
      <c r="G134" s="1515">
        <v>200</v>
      </c>
      <c r="H134" s="1343">
        <f>ROUND(E134*G134,)</f>
        <v>0</v>
      </c>
      <c r="I134" s="1344">
        <v>52</v>
      </c>
      <c r="J134" s="1343">
        <f>ROUND(E134*I134,)</f>
        <v>0</v>
      </c>
      <c r="K134" s="1262">
        <f>H134+J134</f>
        <v>0</v>
      </c>
      <c r="L134" s="1262"/>
    </row>
    <row r="135" spans="1:12" s="1765" customFormat="1" ht="24" customHeight="1">
      <c r="A135" s="1804"/>
      <c r="B135" s="1538" t="s">
        <v>1341</v>
      </c>
      <c r="C135" s="1800"/>
      <c r="D135" s="1260"/>
      <c r="E135" s="715">
        <f>E108</f>
        <v>0</v>
      </c>
      <c r="F135" s="1262" t="s">
        <v>226</v>
      </c>
      <c r="G135" s="1515">
        <v>256</v>
      </c>
      <c r="H135" s="1343">
        <f>ROUND(E135*G135,)</f>
        <v>0</v>
      </c>
      <c r="I135" s="1344">
        <v>65</v>
      </c>
      <c r="J135" s="1343">
        <f>ROUND(E135*I135,)</f>
        <v>0</v>
      </c>
      <c r="K135" s="1262">
        <f>H135+J135</f>
        <v>0</v>
      </c>
      <c r="L135" s="1262"/>
    </row>
    <row r="136" spans="1:12" s="1765" customFormat="1" ht="24" customHeight="1">
      <c r="A136" s="1804"/>
      <c r="B136" s="1538" t="s">
        <v>1342</v>
      </c>
      <c r="C136" s="1800"/>
      <c r="D136" s="1260"/>
      <c r="E136" s="715">
        <f>E109</f>
        <v>0</v>
      </c>
      <c r="F136" s="1262" t="s">
        <v>226</v>
      </c>
      <c r="G136" s="1515">
        <v>302</v>
      </c>
      <c r="H136" s="1343">
        <f>ROUND(E136*G136,)</f>
        <v>0</v>
      </c>
      <c r="I136" s="1344">
        <v>78</v>
      </c>
      <c r="J136" s="1343">
        <f>ROUND(E136*I136,)</f>
        <v>0</v>
      </c>
      <c r="K136" s="1262">
        <f>H136+J136</f>
        <v>0</v>
      </c>
      <c r="L136" s="1262"/>
    </row>
    <row r="137" spans="1:12" s="1765" customFormat="1" ht="24" customHeight="1">
      <c r="A137" s="1804"/>
      <c r="B137" s="1538" t="s">
        <v>1759</v>
      </c>
      <c r="C137" s="1800"/>
      <c r="D137" s="1260"/>
      <c r="E137" s="715">
        <f>E110</f>
        <v>0</v>
      </c>
      <c r="F137" s="1262" t="s">
        <v>226</v>
      </c>
      <c r="G137" s="1515">
        <v>367</v>
      </c>
      <c r="H137" s="1343">
        <f>ROUND(E137*G137,)</f>
        <v>0</v>
      </c>
      <c r="I137" s="1344">
        <v>104</v>
      </c>
      <c r="J137" s="1343">
        <f>ROUND(E137*I137,)</f>
        <v>0</v>
      </c>
      <c r="K137" s="1262">
        <f>H137+J137</f>
        <v>0</v>
      </c>
      <c r="L137" s="1262"/>
    </row>
    <row r="138" spans="1:12" s="1765" customFormat="1" ht="24" customHeight="1">
      <c r="A138" s="1258" t="s">
        <v>2059</v>
      </c>
      <c r="B138" s="1780" t="s">
        <v>2057</v>
      </c>
      <c r="C138" s="1437"/>
      <c r="D138" s="1278"/>
      <c r="E138" s="1768"/>
      <c r="F138" s="1296"/>
      <c r="G138" s="1516"/>
      <c r="H138" s="1298"/>
      <c r="I138" s="1299"/>
      <c r="J138" s="1298"/>
      <c r="K138" s="1382"/>
      <c r="L138" s="1382"/>
    </row>
    <row r="139" spans="1:12" s="1765" customFormat="1" ht="24" customHeight="1">
      <c r="A139" s="1766"/>
      <c r="B139" s="1780" t="s">
        <v>1885</v>
      </c>
      <c r="C139" s="1275"/>
      <c r="D139" s="1767"/>
      <c r="E139" s="1686">
        <f>E102</f>
        <v>198</v>
      </c>
      <c r="F139" s="1296" t="s">
        <v>226</v>
      </c>
      <c r="G139" s="1769">
        <v>465</v>
      </c>
      <c r="H139" s="1298">
        <f t="shared" ref="H139:H140" si="39">ROUND(E139*G139,)</f>
        <v>92070</v>
      </c>
      <c r="I139" s="1299">
        <v>156</v>
      </c>
      <c r="J139" s="1298">
        <f t="shared" ref="J139:J140" si="40">ROUND(E139*I139,)</f>
        <v>30888</v>
      </c>
      <c r="K139" s="1382">
        <f t="shared" ref="K139:K140" si="41">H139+J139</f>
        <v>122958</v>
      </c>
      <c r="L139" s="1770"/>
    </row>
    <row r="140" spans="1:12" s="1765" customFormat="1" ht="24" customHeight="1">
      <c r="A140" s="1766"/>
      <c r="B140" s="1780" t="s">
        <v>2058</v>
      </c>
      <c r="C140" s="1275"/>
      <c r="D140" s="1767"/>
      <c r="E140" s="1686">
        <f>E103</f>
        <v>191</v>
      </c>
      <c r="F140" s="1296" t="s">
        <v>226</v>
      </c>
      <c r="G140" s="1769">
        <v>767</v>
      </c>
      <c r="H140" s="1369">
        <f t="shared" si="39"/>
        <v>146497</v>
      </c>
      <c r="I140" s="1769">
        <v>260</v>
      </c>
      <c r="J140" s="1298">
        <f t="shared" si="40"/>
        <v>49660</v>
      </c>
      <c r="K140" s="1382">
        <f t="shared" si="41"/>
        <v>196157</v>
      </c>
      <c r="L140" s="1770"/>
    </row>
    <row r="141" spans="1:12" s="1765" customFormat="1" ht="24" customHeight="1">
      <c r="A141" s="1258" t="s">
        <v>2260</v>
      </c>
      <c r="B141" s="1538" t="s">
        <v>2060</v>
      </c>
      <c r="C141" s="1437"/>
      <c r="D141" s="1275"/>
      <c r="E141" s="1768"/>
      <c r="F141" s="1358"/>
      <c r="G141" s="1516"/>
      <c r="H141" s="1264"/>
      <c r="I141" s="1265"/>
      <c r="J141" s="1264"/>
      <c r="K141" s="1273"/>
      <c r="L141" s="1273"/>
    </row>
    <row r="142" spans="1:12" s="1765" customFormat="1" ht="24" customHeight="1">
      <c r="A142" s="1258"/>
      <c r="B142" s="1538" t="s">
        <v>1754</v>
      </c>
      <c r="C142" s="1437"/>
      <c r="D142" s="1275"/>
      <c r="E142" s="1768">
        <f>E102</f>
        <v>198</v>
      </c>
      <c r="F142" s="1358" t="s">
        <v>226</v>
      </c>
      <c r="G142" s="1516">
        <v>1288</v>
      </c>
      <c r="H142" s="1264">
        <f t="shared" ref="H142:H143" si="42">ROUND(E142*G142,)</f>
        <v>255024</v>
      </c>
      <c r="I142" s="1265">
        <v>156</v>
      </c>
      <c r="J142" s="1264">
        <f t="shared" ref="J142:J143" si="43">ROUND(E142*I142,)</f>
        <v>30888</v>
      </c>
      <c r="K142" s="1273">
        <f t="shared" ref="K142:K143" si="44">H142+J142</f>
        <v>285912</v>
      </c>
      <c r="L142" s="1273"/>
    </row>
    <row r="143" spans="1:12" s="1765" customFormat="1" ht="24" customHeight="1">
      <c r="A143" s="1258"/>
      <c r="B143" s="1538" t="s">
        <v>1866</v>
      </c>
      <c r="C143" s="1437"/>
      <c r="D143" s="1275"/>
      <c r="E143" s="1768">
        <f>E103</f>
        <v>191</v>
      </c>
      <c r="F143" s="1358" t="s">
        <v>226</v>
      </c>
      <c r="G143" s="1516">
        <v>2279</v>
      </c>
      <c r="H143" s="1264">
        <f t="shared" si="42"/>
        <v>435289</v>
      </c>
      <c r="I143" s="1265">
        <v>260</v>
      </c>
      <c r="J143" s="1264">
        <f t="shared" si="43"/>
        <v>49660</v>
      </c>
      <c r="K143" s="1273">
        <f t="shared" si="44"/>
        <v>484949</v>
      </c>
      <c r="L143" s="1273"/>
    </row>
    <row r="144" spans="1:12" s="1765" customFormat="1" ht="24" customHeight="1">
      <c r="A144" s="1258"/>
      <c r="B144" s="1538" t="s">
        <v>1117</v>
      </c>
      <c r="C144" s="1437"/>
      <c r="D144" s="1275"/>
      <c r="E144" s="1768"/>
      <c r="F144" s="1358"/>
      <c r="G144" s="1516"/>
      <c r="H144" s="1264"/>
      <c r="I144" s="1265"/>
      <c r="J144" s="1264"/>
      <c r="K144" s="1273"/>
      <c r="L144" s="1273"/>
    </row>
    <row r="145" spans="1:12" s="1765" customFormat="1" ht="24" customHeight="1">
      <c r="A145" s="1258"/>
      <c r="B145" s="1538" t="s">
        <v>1118</v>
      </c>
      <c r="C145" s="1437"/>
      <c r="D145" s="1275"/>
      <c r="E145" s="1768"/>
      <c r="F145" s="1358"/>
      <c r="G145" s="1516"/>
      <c r="H145" s="1264"/>
      <c r="I145" s="1265"/>
      <c r="J145" s="1264"/>
      <c r="K145" s="1273"/>
      <c r="L145" s="1273"/>
    </row>
    <row r="146" spans="1:12" s="1765" customFormat="1" ht="24" customHeight="1">
      <c r="A146" s="1578"/>
      <c r="B146" s="2257" t="str">
        <f>"รวมราคารายการที่ "&amp;A124</f>
        <v>รวมราคารายการที่ 7.4</v>
      </c>
      <c r="C146" s="2258"/>
      <c r="D146" s="2259"/>
      <c r="E146" s="1579"/>
      <c r="F146" s="1579"/>
      <c r="G146" s="1580"/>
      <c r="H146" s="1581">
        <f>SUM(H124:H145)</f>
        <v>1084280</v>
      </c>
      <c r="I146" s="1582"/>
      <c r="J146" s="1581">
        <f>SUM(J124:J145)</f>
        <v>215696</v>
      </c>
      <c r="K146" s="1581">
        <f>SUM(K124:K145)</f>
        <v>1299976</v>
      </c>
      <c r="L146" s="1583"/>
    </row>
    <row r="147" spans="1:12" s="1765" customFormat="1" ht="24" customHeight="1">
      <c r="A147" s="1291">
        <v>7.5</v>
      </c>
      <c r="B147" s="1776" t="s">
        <v>2061</v>
      </c>
      <c r="C147" s="1293"/>
      <c r="D147" s="1294"/>
      <c r="E147" s="1786"/>
      <c r="F147" s="1296"/>
      <c r="G147" s="1357"/>
      <c r="H147" s="1298"/>
      <c r="I147" s="1299"/>
      <c r="J147" s="1298"/>
      <c r="K147" s="1382"/>
      <c r="L147" s="1382"/>
    </row>
    <row r="148" spans="1:12" s="1765" customFormat="1" ht="24" customHeight="1">
      <c r="A148" s="1258" t="s">
        <v>2062</v>
      </c>
      <c r="B148" s="1538" t="s">
        <v>2063</v>
      </c>
      <c r="C148" s="1437"/>
      <c r="D148" s="1275"/>
      <c r="E148" s="1768"/>
      <c r="F148" s="1358"/>
      <c r="G148" s="1516"/>
      <c r="H148" s="1264"/>
      <c r="I148" s="1265"/>
      <c r="J148" s="1264"/>
      <c r="K148" s="1273"/>
      <c r="L148" s="1273"/>
    </row>
    <row r="149" spans="1:12" s="1765" customFormat="1" ht="24" customHeight="1">
      <c r="A149" s="1258"/>
      <c r="B149" s="1538" t="s">
        <v>1448</v>
      </c>
      <c r="C149" s="1437"/>
      <c r="D149" s="1275"/>
      <c r="E149" s="1787">
        <f>4</f>
        <v>4</v>
      </c>
      <c r="F149" s="1788" t="s">
        <v>363</v>
      </c>
      <c r="G149" s="2003">
        <v>880</v>
      </c>
      <c r="H149" s="1343">
        <f t="shared" ref="H149:H152" si="45">ROUND(E149*G149,)</f>
        <v>3520</v>
      </c>
      <c r="I149" s="2004">
        <v>150</v>
      </c>
      <c r="J149" s="2005">
        <f t="shared" ref="J149:J152" si="46">ROUND(E149*I149,)</f>
        <v>600</v>
      </c>
      <c r="K149" s="1801">
        <f t="shared" ref="K149:K152" si="47">H149+J149</f>
        <v>4120</v>
      </c>
      <c r="L149" s="2082" t="s">
        <v>2667</v>
      </c>
    </row>
    <row r="150" spans="1:12" s="1765" customFormat="1" ht="24" customHeight="1">
      <c r="A150" s="1258"/>
      <c r="B150" s="1538" t="s">
        <v>1337</v>
      </c>
      <c r="C150" s="1437"/>
      <c r="D150" s="1275"/>
      <c r="E150" s="1768"/>
      <c r="F150" s="1358" t="s">
        <v>363</v>
      </c>
      <c r="G150" s="2012">
        <v>1316</v>
      </c>
      <c r="H150" s="1264">
        <f t="shared" si="45"/>
        <v>0</v>
      </c>
      <c r="I150" s="1332">
        <v>200</v>
      </c>
      <c r="J150" s="2013">
        <f t="shared" si="46"/>
        <v>0</v>
      </c>
      <c r="K150" s="1687">
        <f t="shared" si="47"/>
        <v>0</v>
      </c>
      <c r="L150" s="2082" t="s">
        <v>2667</v>
      </c>
    </row>
    <row r="151" spans="1:12" s="1765" customFormat="1" ht="24" customHeight="1">
      <c r="A151" s="1258"/>
      <c r="B151" s="1538" t="s">
        <v>1338</v>
      </c>
      <c r="C151" s="1437"/>
      <c r="D151" s="1275"/>
      <c r="E151" s="1768">
        <f>2</f>
        <v>2</v>
      </c>
      <c r="F151" s="1358" t="s">
        <v>363</v>
      </c>
      <c r="G151" s="1836">
        <v>1985</v>
      </c>
      <c r="H151" s="1343">
        <f t="shared" si="45"/>
        <v>3970</v>
      </c>
      <c r="I151" s="1344">
        <v>250</v>
      </c>
      <c r="J151" s="1343">
        <f t="shared" si="46"/>
        <v>500</v>
      </c>
      <c r="K151" s="1262">
        <f t="shared" si="47"/>
        <v>4470</v>
      </c>
      <c r="L151" s="2082" t="s">
        <v>2667</v>
      </c>
    </row>
    <row r="152" spans="1:12" s="1765" customFormat="1" ht="24" customHeight="1">
      <c r="A152" s="1258"/>
      <c r="B152" s="1538" t="s">
        <v>1340</v>
      </c>
      <c r="C152" s="1437"/>
      <c r="D152" s="1275"/>
      <c r="E152" s="1768">
        <f>2</f>
        <v>2</v>
      </c>
      <c r="F152" s="1358" t="s">
        <v>363</v>
      </c>
      <c r="G152" s="1836">
        <v>4040</v>
      </c>
      <c r="H152" s="1343">
        <f t="shared" si="45"/>
        <v>8080</v>
      </c>
      <c r="I152" s="1344">
        <v>350</v>
      </c>
      <c r="J152" s="1343">
        <f t="shared" si="46"/>
        <v>700</v>
      </c>
      <c r="K152" s="1262">
        <f t="shared" si="47"/>
        <v>8780</v>
      </c>
      <c r="L152" s="2082" t="s">
        <v>2667</v>
      </c>
    </row>
    <row r="153" spans="1:12" s="1765" customFormat="1" ht="24" customHeight="1">
      <c r="A153" s="1258" t="s">
        <v>2064</v>
      </c>
      <c r="B153" s="1538" t="s">
        <v>2065</v>
      </c>
      <c r="C153" s="1437"/>
      <c r="D153" s="1275"/>
      <c r="E153" s="1768"/>
      <c r="F153" s="1358"/>
      <c r="G153" s="1516"/>
      <c r="H153" s="1264"/>
      <c r="I153" s="1265"/>
      <c r="J153" s="1264"/>
      <c r="K153" s="1273"/>
      <c r="L153" s="1273"/>
    </row>
    <row r="154" spans="1:12" s="1765" customFormat="1" ht="24" customHeight="1">
      <c r="A154" s="1258"/>
      <c r="B154" s="1780" t="s">
        <v>1341</v>
      </c>
      <c r="C154" s="1800"/>
      <c r="D154" s="1260"/>
      <c r="E154" s="1801"/>
      <c r="F154" s="1262" t="s">
        <v>363</v>
      </c>
      <c r="G154" s="1836">
        <v>1862</v>
      </c>
      <c r="H154" s="1343">
        <f t="shared" ref="H154:H177" si="48">ROUND(E154*G154,)</f>
        <v>0</v>
      </c>
      <c r="I154" s="1344">
        <v>500</v>
      </c>
      <c r="J154" s="1343">
        <f t="shared" ref="J154:J157" si="49">ROUND(E154*I154,)</f>
        <v>0</v>
      </c>
      <c r="K154" s="1262">
        <f t="shared" ref="K154:K157" si="50">H154+J154</f>
        <v>0</v>
      </c>
      <c r="L154" s="1262"/>
    </row>
    <row r="155" spans="1:12" s="1765" customFormat="1" ht="24" customHeight="1">
      <c r="A155" s="1258"/>
      <c r="B155" s="1780" t="s">
        <v>1342</v>
      </c>
      <c r="C155" s="1800"/>
      <c r="D155" s="1260"/>
      <c r="E155" s="2091"/>
      <c r="F155" s="1262" t="s">
        <v>363</v>
      </c>
      <c r="G155" s="1836">
        <v>2159</v>
      </c>
      <c r="H155" s="1343">
        <f t="shared" si="48"/>
        <v>0</v>
      </c>
      <c r="I155" s="1344">
        <v>600</v>
      </c>
      <c r="J155" s="1343">
        <f t="shared" si="49"/>
        <v>0</v>
      </c>
      <c r="K155" s="1262">
        <f t="shared" si="50"/>
        <v>0</v>
      </c>
      <c r="L155" s="1262"/>
    </row>
    <row r="156" spans="1:12" s="1765" customFormat="1" ht="24" customHeight="1">
      <c r="A156" s="1258"/>
      <c r="B156" s="1538" t="s">
        <v>1759</v>
      </c>
      <c r="C156" s="1437"/>
      <c r="D156" s="1275"/>
      <c r="E156" s="1768">
        <f>44+8</f>
        <v>52</v>
      </c>
      <c r="F156" s="1358" t="s">
        <v>363</v>
      </c>
      <c r="G156" s="1593">
        <v>2811</v>
      </c>
      <c r="H156" s="1264">
        <f t="shared" si="48"/>
        <v>146172</v>
      </c>
      <c r="I156" s="1265">
        <v>800</v>
      </c>
      <c r="J156" s="1264">
        <f t="shared" si="49"/>
        <v>41600</v>
      </c>
      <c r="K156" s="1273">
        <f t="shared" si="50"/>
        <v>187772</v>
      </c>
      <c r="L156" s="1632"/>
    </row>
    <row r="157" spans="1:12" s="1765" customFormat="1" ht="24" customHeight="1">
      <c r="A157" s="1258"/>
      <c r="B157" s="1538" t="s">
        <v>1866</v>
      </c>
      <c r="C157" s="1437"/>
      <c r="D157" s="1275"/>
      <c r="E157" s="1768">
        <f>8</f>
        <v>8</v>
      </c>
      <c r="F157" s="1358" t="s">
        <v>363</v>
      </c>
      <c r="G157" s="1593">
        <v>14327</v>
      </c>
      <c r="H157" s="1264">
        <f t="shared" si="48"/>
        <v>114616</v>
      </c>
      <c r="I157" s="1265">
        <v>2000</v>
      </c>
      <c r="J157" s="1264">
        <f t="shared" si="49"/>
        <v>16000</v>
      </c>
      <c r="K157" s="1273">
        <f t="shared" si="50"/>
        <v>130616</v>
      </c>
      <c r="L157" s="1273"/>
    </row>
    <row r="158" spans="1:12" s="1765" customFormat="1" ht="24" customHeight="1">
      <c r="A158" s="1258"/>
      <c r="B158" s="1538"/>
      <c r="C158" s="1437"/>
      <c r="D158" s="1275"/>
      <c r="E158" s="1768"/>
      <c r="F158" s="1358"/>
      <c r="G158" s="1593"/>
      <c r="H158" s="1264"/>
      <c r="I158" s="1265"/>
      <c r="J158" s="1264"/>
      <c r="K158" s="1273"/>
      <c r="L158" s="1273"/>
    </row>
    <row r="159" spans="1:12" s="1765" customFormat="1" ht="24" customHeight="1">
      <c r="A159" s="1258"/>
      <c r="B159" s="1538"/>
      <c r="C159" s="1437"/>
      <c r="D159" s="1275"/>
      <c r="E159" s="1768"/>
      <c r="F159" s="1358"/>
      <c r="G159" s="1593"/>
      <c r="H159" s="1264"/>
      <c r="I159" s="1265"/>
      <c r="J159" s="1264"/>
      <c r="K159" s="1273"/>
      <c r="L159" s="1273"/>
    </row>
    <row r="160" spans="1:12" s="1765" customFormat="1" ht="24" customHeight="1">
      <c r="A160" s="1258" t="s">
        <v>2066</v>
      </c>
      <c r="B160" s="1538" t="s">
        <v>2067</v>
      </c>
      <c r="C160" s="1437"/>
      <c r="D160" s="1275"/>
      <c r="E160" s="1768"/>
      <c r="F160" s="1358"/>
      <c r="G160" s="1516"/>
      <c r="H160" s="1264"/>
      <c r="I160" s="1265"/>
      <c r="J160" s="1264"/>
      <c r="K160" s="1273"/>
      <c r="L160" s="1273"/>
    </row>
    <row r="161" spans="1:12" s="1765" customFormat="1" ht="24" customHeight="1">
      <c r="A161" s="1258"/>
      <c r="B161" s="1538" t="s">
        <v>1448</v>
      </c>
      <c r="C161" s="1437"/>
      <c r="D161" s="1275"/>
      <c r="E161" s="1787">
        <v>4</v>
      </c>
      <c r="F161" s="1788" t="s">
        <v>363</v>
      </c>
      <c r="G161" s="1790">
        <v>350</v>
      </c>
      <c r="H161" s="1773">
        <f t="shared" si="48"/>
        <v>1400</v>
      </c>
      <c r="I161" s="1789">
        <v>150</v>
      </c>
      <c r="J161" s="1773">
        <f t="shared" ref="J161:J166" si="51">ROUND(E161*I161,)</f>
        <v>600</v>
      </c>
      <c r="K161" s="1269">
        <f t="shared" ref="K161:K166" si="52">H161+J161</f>
        <v>2000</v>
      </c>
      <c r="L161" s="1273"/>
    </row>
    <row r="162" spans="1:12" s="1765" customFormat="1" ht="24" customHeight="1">
      <c r="A162" s="1258"/>
      <c r="B162" s="1538" t="s">
        <v>1338</v>
      </c>
      <c r="C162" s="1437"/>
      <c r="D162" s="1275"/>
      <c r="E162" s="1768">
        <v>2</v>
      </c>
      <c r="F162" s="1358" t="s">
        <v>363</v>
      </c>
      <c r="G162" s="1516">
        <v>1084</v>
      </c>
      <c r="H162" s="1264">
        <f t="shared" si="48"/>
        <v>2168</v>
      </c>
      <c r="I162" s="1265">
        <v>250</v>
      </c>
      <c r="J162" s="1264">
        <f t="shared" si="51"/>
        <v>500</v>
      </c>
      <c r="K162" s="1273">
        <f t="shared" si="52"/>
        <v>2668</v>
      </c>
      <c r="L162" s="1273"/>
    </row>
    <row r="163" spans="1:12" s="1765" customFormat="1" ht="24" customHeight="1">
      <c r="A163" s="1258"/>
      <c r="B163" s="1538" t="s">
        <v>1340</v>
      </c>
      <c r="C163" s="1437"/>
      <c r="D163" s="1275"/>
      <c r="E163" s="1768">
        <v>2</v>
      </c>
      <c r="F163" s="1358" t="s">
        <v>363</v>
      </c>
      <c r="G163" s="1593">
        <v>2839</v>
      </c>
      <c r="H163" s="1264">
        <f t="shared" si="48"/>
        <v>5678</v>
      </c>
      <c r="I163" s="1265">
        <v>400</v>
      </c>
      <c r="J163" s="1264">
        <f t="shared" si="51"/>
        <v>800</v>
      </c>
      <c r="K163" s="1273">
        <f t="shared" si="52"/>
        <v>6478</v>
      </c>
      <c r="L163" s="1273"/>
    </row>
    <row r="164" spans="1:12" s="1765" customFormat="1" ht="24" customHeight="1">
      <c r="A164" s="1258"/>
      <c r="B164" s="1538" t="s">
        <v>1341</v>
      </c>
      <c r="C164" s="1437"/>
      <c r="D164" s="1275"/>
      <c r="E164" s="1768"/>
      <c r="F164" s="1358" t="s">
        <v>363</v>
      </c>
      <c r="G164" s="1593">
        <v>3747</v>
      </c>
      <c r="H164" s="1264">
        <f t="shared" si="48"/>
        <v>0</v>
      </c>
      <c r="I164" s="1265">
        <v>500</v>
      </c>
      <c r="J164" s="1264">
        <f t="shared" si="51"/>
        <v>0</v>
      </c>
      <c r="K164" s="1273">
        <f t="shared" si="52"/>
        <v>0</v>
      </c>
      <c r="L164" s="1273"/>
    </row>
    <row r="165" spans="1:12" s="1765" customFormat="1" ht="24" customHeight="1">
      <c r="A165" s="1804"/>
      <c r="B165" s="2092" t="s">
        <v>1834</v>
      </c>
      <c r="C165" s="1800"/>
      <c r="D165" s="1260"/>
      <c r="E165" s="2091"/>
      <c r="F165" s="1262" t="s">
        <v>363</v>
      </c>
      <c r="G165" s="1836">
        <v>4489</v>
      </c>
      <c r="H165" s="1343">
        <f t="shared" si="48"/>
        <v>0</v>
      </c>
      <c r="I165" s="1344">
        <v>600</v>
      </c>
      <c r="J165" s="1343">
        <f t="shared" si="51"/>
        <v>0</v>
      </c>
      <c r="K165" s="1262">
        <f t="shared" si="52"/>
        <v>0</v>
      </c>
      <c r="L165" s="1262"/>
    </row>
    <row r="166" spans="1:12" s="1765" customFormat="1" ht="24" customHeight="1">
      <c r="A166" s="1258"/>
      <c r="B166" s="1538" t="s">
        <v>1759</v>
      </c>
      <c r="C166" s="1437"/>
      <c r="D166" s="1275"/>
      <c r="E166" s="1768">
        <v>44</v>
      </c>
      <c r="F166" s="1358" t="s">
        <v>363</v>
      </c>
      <c r="G166" s="1593">
        <v>6528</v>
      </c>
      <c r="H166" s="1264">
        <f t="shared" si="48"/>
        <v>287232</v>
      </c>
      <c r="I166" s="1265">
        <v>800</v>
      </c>
      <c r="J166" s="1264">
        <f t="shared" si="51"/>
        <v>35200</v>
      </c>
      <c r="K166" s="1273">
        <f t="shared" si="52"/>
        <v>322432</v>
      </c>
      <c r="L166" s="1273"/>
    </row>
    <row r="167" spans="1:12" s="1765" customFormat="1" ht="24" customHeight="1">
      <c r="A167" s="1258" t="s">
        <v>2068</v>
      </c>
      <c r="B167" s="1538" t="s">
        <v>2728</v>
      </c>
      <c r="C167" s="1437"/>
      <c r="D167" s="1275"/>
      <c r="E167" s="1768"/>
      <c r="F167" s="1358"/>
      <c r="G167" s="1516"/>
      <c r="H167" s="1264"/>
      <c r="I167" s="1265"/>
      <c r="J167" s="1264"/>
      <c r="K167" s="1273"/>
      <c r="L167" s="1273"/>
    </row>
    <row r="168" spans="1:12" s="1765" customFormat="1" ht="24" customHeight="1">
      <c r="A168" s="1804"/>
      <c r="B168" s="2092" t="s">
        <v>1865</v>
      </c>
      <c r="C168" s="1800"/>
      <c r="D168" s="1260"/>
      <c r="E168" s="2091"/>
      <c r="F168" s="1262" t="s">
        <v>363</v>
      </c>
      <c r="G168" s="1515">
        <v>300</v>
      </c>
      <c r="H168" s="1343">
        <f>ROUND(E168*G168,)</f>
        <v>0</v>
      </c>
      <c r="I168" s="1344">
        <v>200</v>
      </c>
      <c r="J168" s="1343">
        <f>ROUND(E168*I168,)</f>
        <v>0</v>
      </c>
      <c r="K168" s="1262">
        <f>H168+J168</f>
        <v>0</v>
      </c>
      <c r="L168" s="1262"/>
    </row>
    <row r="169" spans="1:12" s="1765" customFormat="1" ht="24" customHeight="1">
      <c r="A169" s="1258" t="s">
        <v>2068</v>
      </c>
      <c r="B169" s="1538" t="s">
        <v>2069</v>
      </c>
      <c r="C169" s="1437"/>
      <c r="D169" s="1275"/>
      <c r="E169" s="1768"/>
      <c r="F169" s="1358"/>
      <c r="G169" s="1516"/>
      <c r="H169" s="1264"/>
      <c r="I169" s="1265"/>
      <c r="J169" s="1264"/>
      <c r="K169" s="1273"/>
      <c r="L169" s="1273"/>
    </row>
    <row r="170" spans="1:12" s="1765" customFormat="1" ht="24" customHeight="1">
      <c r="A170" s="1804"/>
      <c r="B170" s="2092" t="s">
        <v>1856</v>
      </c>
      <c r="C170" s="1800"/>
      <c r="D170" s="1260"/>
      <c r="E170" s="2091"/>
      <c r="F170" s="1262" t="s">
        <v>363</v>
      </c>
      <c r="G170" s="1515">
        <v>3876</v>
      </c>
      <c r="H170" s="1343">
        <f>ROUND(E170*G170,)</f>
        <v>0</v>
      </c>
      <c r="I170" s="1344">
        <v>500</v>
      </c>
      <c r="J170" s="1343">
        <f>ROUND(E170*I170,)</f>
        <v>0</v>
      </c>
      <c r="K170" s="1262">
        <f>H170+J170</f>
        <v>0</v>
      </c>
      <c r="L170" s="1262"/>
    </row>
    <row r="171" spans="1:12" s="1765" customFormat="1" ht="24" customHeight="1">
      <c r="A171" s="1804"/>
      <c r="B171" s="2092" t="s">
        <v>1834</v>
      </c>
      <c r="C171" s="1800"/>
      <c r="D171" s="1260"/>
      <c r="E171" s="2091"/>
      <c r="F171" s="1262" t="s">
        <v>363</v>
      </c>
      <c r="G171" s="1515">
        <v>4175</v>
      </c>
      <c r="H171" s="1343">
        <f>ROUND(E171*G171,)</f>
        <v>0</v>
      </c>
      <c r="I171" s="1344">
        <v>600</v>
      </c>
      <c r="J171" s="1343">
        <f>ROUND(E171*I171,)</f>
        <v>0</v>
      </c>
      <c r="K171" s="1262">
        <f>H171+J171</f>
        <v>0</v>
      </c>
      <c r="L171" s="1262"/>
    </row>
    <row r="172" spans="1:12" s="1765" customFormat="1" ht="24" customHeight="1">
      <c r="A172" s="1258"/>
      <c r="B172" s="1538" t="s">
        <v>1759</v>
      </c>
      <c r="C172" s="1437"/>
      <c r="D172" s="1275"/>
      <c r="E172" s="1768">
        <v>16</v>
      </c>
      <c r="F172" s="1358" t="s">
        <v>363</v>
      </c>
      <c r="G172" s="1593">
        <v>5541</v>
      </c>
      <c r="H172" s="1264">
        <f t="shared" si="48"/>
        <v>88656</v>
      </c>
      <c r="I172" s="1265">
        <v>800</v>
      </c>
      <c r="J172" s="1264">
        <f t="shared" ref="J172:J173" si="53">ROUND(E172*I172,)</f>
        <v>12800</v>
      </c>
      <c r="K172" s="1273">
        <f t="shared" ref="K172:K173" si="54">H172+J172</f>
        <v>101456</v>
      </c>
      <c r="L172" s="1273"/>
    </row>
    <row r="173" spans="1:12" s="1765" customFormat="1" ht="24" customHeight="1">
      <c r="A173" s="1258"/>
      <c r="B173" s="1538" t="s">
        <v>1866</v>
      </c>
      <c r="C173" s="1437"/>
      <c r="D173" s="1275"/>
      <c r="E173" s="1768">
        <f>4</f>
        <v>4</v>
      </c>
      <c r="F173" s="1358"/>
      <c r="G173" s="1593">
        <v>18915</v>
      </c>
      <c r="H173" s="1264">
        <f t="shared" si="48"/>
        <v>75660</v>
      </c>
      <c r="I173" s="1265">
        <v>2000</v>
      </c>
      <c r="J173" s="1264">
        <f t="shared" si="53"/>
        <v>8000</v>
      </c>
      <c r="K173" s="1273">
        <f t="shared" si="54"/>
        <v>83660</v>
      </c>
      <c r="L173" s="1273"/>
    </row>
    <row r="174" spans="1:12" s="1765" customFormat="1" ht="24" customHeight="1">
      <c r="A174" s="1258" t="s">
        <v>2070</v>
      </c>
      <c r="B174" s="1538" t="s">
        <v>1730</v>
      </c>
      <c r="C174" s="1437"/>
      <c r="D174" s="1275"/>
      <c r="E174" s="1768"/>
      <c r="F174" s="1358"/>
      <c r="G174" s="1516"/>
      <c r="H174" s="1264"/>
      <c r="I174" s="1265"/>
      <c r="J174" s="1264"/>
      <c r="K174" s="1273"/>
      <c r="L174" s="1273"/>
    </row>
    <row r="175" spans="1:12" s="1765" customFormat="1" ht="24" customHeight="1">
      <c r="A175" s="1258"/>
      <c r="B175" s="1538" t="s">
        <v>1337</v>
      </c>
      <c r="C175" s="1437"/>
      <c r="D175" s="1275"/>
      <c r="E175" s="1768">
        <f>8</f>
        <v>8</v>
      </c>
      <c r="F175" s="1358" t="s">
        <v>363</v>
      </c>
      <c r="G175" s="1516">
        <v>2400</v>
      </c>
      <c r="H175" s="1264">
        <f t="shared" si="48"/>
        <v>19200</v>
      </c>
      <c r="I175" s="1265">
        <v>200</v>
      </c>
      <c r="J175" s="1264">
        <f t="shared" ref="J175:J177" si="55">ROUND(E175*I175,)</f>
        <v>1600</v>
      </c>
      <c r="K175" s="1273">
        <f t="shared" ref="K175:K177" si="56">H175+J175</f>
        <v>20800</v>
      </c>
      <c r="L175" s="1632"/>
    </row>
    <row r="176" spans="1:12" s="1765" customFormat="1" ht="24" customHeight="1">
      <c r="A176" s="1258" t="s">
        <v>2071</v>
      </c>
      <c r="B176" s="1538" t="s">
        <v>1741</v>
      </c>
      <c r="C176" s="1437"/>
      <c r="D176" s="1275"/>
      <c r="E176" s="1768">
        <f>56</f>
        <v>56</v>
      </c>
      <c r="F176" s="1358" t="s">
        <v>363</v>
      </c>
      <c r="G176" s="1516">
        <v>1452</v>
      </c>
      <c r="H176" s="1264">
        <f t="shared" si="48"/>
        <v>81312</v>
      </c>
      <c r="I176" s="1265">
        <v>100</v>
      </c>
      <c r="J176" s="1264">
        <f t="shared" si="55"/>
        <v>5600</v>
      </c>
      <c r="K176" s="1273">
        <f t="shared" si="56"/>
        <v>86912</v>
      </c>
      <c r="L176" s="1273"/>
    </row>
    <row r="177" spans="1:12" s="1765" customFormat="1" ht="24" customHeight="1">
      <c r="A177" s="1258" t="s">
        <v>2072</v>
      </c>
      <c r="B177" s="1538" t="s">
        <v>1987</v>
      </c>
      <c r="C177" s="1437"/>
      <c r="D177" s="1275"/>
      <c r="E177" s="1768">
        <f>26</f>
        <v>26</v>
      </c>
      <c r="F177" s="1358" t="s">
        <v>363</v>
      </c>
      <c r="G177" s="1516">
        <v>1590</v>
      </c>
      <c r="H177" s="1264">
        <f t="shared" si="48"/>
        <v>41340</v>
      </c>
      <c r="I177" s="1265">
        <v>100</v>
      </c>
      <c r="J177" s="1264">
        <f t="shared" si="55"/>
        <v>2600</v>
      </c>
      <c r="K177" s="1273">
        <f t="shared" si="56"/>
        <v>43940</v>
      </c>
      <c r="L177" s="1273"/>
    </row>
    <row r="178" spans="1:12" s="1765" customFormat="1" ht="24" customHeight="1">
      <c r="A178" s="1804"/>
      <c r="B178" s="2092"/>
      <c r="C178" s="1800"/>
      <c r="D178" s="1260"/>
      <c r="E178" s="2091"/>
      <c r="F178" s="1262"/>
      <c r="G178" s="1515"/>
      <c r="H178" s="1343"/>
      <c r="I178" s="1344"/>
      <c r="J178" s="1343"/>
      <c r="K178" s="1262"/>
      <c r="L178" s="1262"/>
    </row>
    <row r="179" spans="1:12" s="1765" customFormat="1" ht="24" customHeight="1">
      <c r="A179" s="1258"/>
      <c r="B179" s="1538"/>
      <c r="C179" s="1437"/>
      <c r="D179" s="1275"/>
      <c r="E179" s="1768"/>
      <c r="F179" s="1358"/>
      <c r="G179" s="1593"/>
      <c r="H179" s="1264"/>
      <c r="I179" s="1265"/>
      <c r="J179" s="1264"/>
      <c r="K179" s="1273"/>
      <c r="L179" s="1273"/>
    </row>
    <row r="180" spans="1:12" s="1765" customFormat="1" ht="24" customHeight="1">
      <c r="A180" s="1258"/>
      <c r="B180" s="1538"/>
      <c r="C180" s="1437"/>
      <c r="D180" s="1275"/>
      <c r="E180" s="1768"/>
      <c r="F180" s="1358"/>
      <c r="G180" s="1593"/>
      <c r="H180" s="1264"/>
      <c r="I180" s="1265"/>
      <c r="J180" s="1264"/>
      <c r="K180" s="1273"/>
      <c r="L180" s="1273"/>
    </row>
    <row r="181" spans="1:12" s="1765" customFormat="1" ht="24" customHeight="1">
      <c r="A181" s="1258"/>
      <c r="B181" s="1538"/>
      <c r="C181" s="1437"/>
      <c r="D181" s="1275"/>
      <c r="E181" s="1768"/>
      <c r="F181" s="1358"/>
      <c r="G181" s="1516"/>
      <c r="H181" s="1264"/>
      <c r="I181" s="1265"/>
      <c r="J181" s="1264"/>
      <c r="K181" s="1273"/>
      <c r="L181" s="1273"/>
    </row>
    <row r="182" spans="1:12" s="1765" customFormat="1" ht="24" customHeight="1">
      <c r="A182" s="1804"/>
      <c r="B182" s="2092"/>
      <c r="C182" s="1800"/>
      <c r="D182" s="1260"/>
      <c r="E182" s="2091"/>
      <c r="F182" s="1262"/>
      <c r="G182" s="1515"/>
      <c r="H182" s="1343"/>
      <c r="I182" s="1344"/>
      <c r="J182" s="1343"/>
      <c r="K182" s="1262"/>
      <c r="L182" s="1262"/>
    </row>
    <row r="183" spans="1:12" s="1765" customFormat="1" ht="24" customHeight="1">
      <c r="A183" s="1258"/>
      <c r="B183" s="1538"/>
      <c r="C183" s="1437"/>
      <c r="D183" s="1275"/>
      <c r="E183" s="1768"/>
      <c r="F183" s="1358"/>
      <c r="G183" s="1593"/>
      <c r="H183" s="1264"/>
      <c r="I183" s="1265"/>
      <c r="J183" s="1264"/>
      <c r="K183" s="1273"/>
      <c r="L183" s="1273"/>
    </row>
    <row r="184" spans="1:12" s="1765" customFormat="1" ht="24" customHeight="1">
      <c r="A184" s="1578"/>
      <c r="B184" s="2257" t="str">
        <f>"รวมราคารายการที่ "&amp;A147</f>
        <v>รวมราคารายการที่ 7.5</v>
      </c>
      <c r="C184" s="2258"/>
      <c r="D184" s="2259"/>
      <c r="E184" s="1579"/>
      <c r="F184" s="1579"/>
      <c r="G184" s="1580"/>
      <c r="H184" s="1581">
        <f>SUM(H148:H177)</f>
        <v>879004</v>
      </c>
      <c r="I184" s="1582"/>
      <c r="J184" s="1581">
        <f>SUM(J148:J177)</f>
        <v>127100</v>
      </c>
      <c r="K184" s="1581">
        <f>SUM(K148:K177)</f>
        <v>1006104</v>
      </c>
      <c r="L184" s="1583"/>
    </row>
    <row r="185" spans="1:12" s="1765" customFormat="1" ht="24" customHeight="1">
      <c r="A185" s="1291" t="s">
        <v>2073</v>
      </c>
      <c r="B185" s="1776" t="s">
        <v>2074</v>
      </c>
      <c r="C185" s="1293"/>
      <c r="D185" s="1294"/>
      <c r="E185" s="1786"/>
      <c r="F185" s="1794"/>
      <c r="G185" s="1721"/>
      <c r="H185" s="1255"/>
      <c r="I185" s="1256"/>
      <c r="J185" s="1255"/>
      <c r="K185" s="1502"/>
      <c r="L185" s="1502"/>
    </row>
    <row r="186" spans="1:12" s="1765" customFormat="1" ht="24" customHeight="1">
      <c r="A186" s="1277" t="s">
        <v>2075</v>
      </c>
      <c r="B186" s="1783" t="s">
        <v>2076</v>
      </c>
      <c r="C186" s="1293"/>
      <c r="D186" s="1294"/>
      <c r="E186" s="1795"/>
      <c r="F186" s="1768"/>
      <c r="G186" s="1516"/>
      <c r="H186" s="1264"/>
      <c r="I186" s="1265"/>
      <c r="J186" s="1264"/>
      <c r="K186" s="1273"/>
      <c r="L186" s="1273"/>
    </row>
    <row r="187" spans="1:12" s="1765" customFormat="1" ht="24" customHeight="1">
      <c r="A187" s="1258"/>
      <c r="B187" s="1538" t="s">
        <v>2077</v>
      </c>
      <c r="C187" s="1437"/>
      <c r="D187" s="1278"/>
      <c r="E187" s="1796">
        <v>1034</v>
      </c>
      <c r="F187" s="1296" t="s">
        <v>2078</v>
      </c>
      <c r="G187" s="1516">
        <v>218</v>
      </c>
      <c r="H187" s="1298">
        <f t="shared" ref="H187:H193" si="57">ROUND(E187*G187,)</f>
        <v>225412</v>
      </c>
      <c r="I187" s="1516">
        <f>ROUND(18*10.76,)</f>
        <v>194</v>
      </c>
      <c r="J187" s="1264">
        <f t="shared" ref="J187:J193" si="58">ROUND(E187*I187,)</f>
        <v>200596</v>
      </c>
      <c r="K187" s="1382">
        <f t="shared" ref="K187:K193" si="59">H187+J187</f>
        <v>426008</v>
      </c>
      <c r="L187" s="1273"/>
    </row>
    <row r="188" spans="1:12" s="1765" customFormat="1" ht="24" customHeight="1">
      <c r="A188" s="1258"/>
      <c r="B188" s="1538" t="s">
        <v>2079</v>
      </c>
      <c r="C188" s="1437"/>
      <c r="D188" s="1278"/>
      <c r="E188" s="1796">
        <v>242</v>
      </c>
      <c r="F188" s="1296" t="s">
        <v>2078</v>
      </c>
      <c r="G188" s="1516">
        <v>263</v>
      </c>
      <c r="H188" s="1298">
        <f t="shared" si="57"/>
        <v>63646</v>
      </c>
      <c r="I188" s="1516">
        <f>ROUND(24*10.76,)</f>
        <v>258</v>
      </c>
      <c r="J188" s="1264">
        <f t="shared" si="58"/>
        <v>62436</v>
      </c>
      <c r="K188" s="1382">
        <f t="shared" si="59"/>
        <v>126082</v>
      </c>
      <c r="L188" s="1273"/>
    </row>
    <row r="189" spans="1:12" s="1765" customFormat="1" ht="24" customHeight="1">
      <c r="A189" s="1258"/>
      <c r="B189" s="1538" t="s">
        <v>2080</v>
      </c>
      <c r="C189" s="1437"/>
      <c r="D189" s="1278"/>
      <c r="E189" s="1796">
        <f>1316</f>
        <v>1316</v>
      </c>
      <c r="F189" s="1296" t="s">
        <v>2078</v>
      </c>
      <c r="G189" s="1516">
        <v>314</v>
      </c>
      <c r="H189" s="1298">
        <f t="shared" si="57"/>
        <v>413224</v>
      </c>
      <c r="I189" s="1516">
        <f>ROUND(25*10.76,)</f>
        <v>269</v>
      </c>
      <c r="J189" s="1264">
        <f t="shared" si="58"/>
        <v>354004</v>
      </c>
      <c r="K189" s="1382">
        <f t="shared" si="59"/>
        <v>767228</v>
      </c>
      <c r="L189" s="1273"/>
    </row>
    <row r="190" spans="1:12" s="1765" customFormat="1" ht="24" customHeight="1">
      <c r="A190" s="1258"/>
      <c r="B190" s="1797" t="s">
        <v>2081</v>
      </c>
      <c r="C190" s="1798"/>
      <c r="D190" s="1278"/>
      <c r="E190" s="1768">
        <f>3062</f>
        <v>3062</v>
      </c>
      <c r="F190" s="1296" t="s">
        <v>2078</v>
      </c>
      <c r="G190" s="1516">
        <v>381</v>
      </c>
      <c r="H190" s="1298">
        <f t="shared" si="57"/>
        <v>1166622</v>
      </c>
      <c r="I190" s="1516">
        <f>ROUND(30*10.76,)</f>
        <v>323</v>
      </c>
      <c r="J190" s="1264">
        <f t="shared" si="58"/>
        <v>989026</v>
      </c>
      <c r="K190" s="1382">
        <f t="shared" si="59"/>
        <v>2155648</v>
      </c>
      <c r="L190" s="1382"/>
    </row>
    <row r="191" spans="1:12" s="1765" customFormat="1" ht="24" customHeight="1">
      <c r="A191" s="1258"/>
      <c r="B191" s="1538" t="s">
        <v>2082</v>
      </c>
      <c r="C191" s="1437"/>
      <c r="D191" s="1275"/>
      <c r="E191" s="1796">
        <f>2374</f>
        <v>2374</v>
      </c>
      <c r="F191" s="1358" t="s">
        <v>2078</v>
      </c>
      <c r="G191" s="1516">
        <v>443</v>
      </c>
      <c r="H191" s="1264">
        <f t="shared" si="57"/>
        <v>1051682</v>
      </c>
      <c r="I191" s="1516">
        <f>ROUND(35*10.76,)</f>
        <v>377</v>
      </c>
      <c r="J191" s="1264">
        <f t="shared" si="58"/>
        <v>894998</v>
      </c>
      <c r="K191" s="1273">
        <f t="shared" si="59"/>
        <v>1946680</v>
      </c>
      <c r="L191" s="1273"/>
    </row>
    <row r="192" spans="1:12" s="1765" customFormat="1" ht="24" customHeight="1">
      <c r="A192" s="1258"/>
      <c r="B192" s="1538" t="s">
        <v>1719</v>
      </c>
      <c r="C192" s="1437"/>
      <c r="D192" s="1278"/>
      <c r="E192" s="1796">
        <v>1</v>
      </c>
      <c r="F192" s="1296" t="s">
        <v>1104</v>
      </c>
      <c r="G192" s="1516">
        <f>ROUND(SUM(H187:H191)*30%,)</f>
        <v>876176</v>
      </c>
      <c r="H192" s="1298">
        <f t="shared" si="57"/>
        <v>876176</v>
      </c>
      <c r="I192" s="1516">
        <f>ROUND(G192*0.3,)</f>
        <v>262853</v>
      </c>
      <c r="J192" s="1264">
        <f t="shared" si="58"/>
        <v>262853</v>
      </c>
      <c r="K192" s="1382">
        <f t="shared" si="59"/>
        <v>1139029</v>
      </c>
      <c r="L192" s="1273"/>
    </row>
    <row r="193" spans="1:12" s="1765" customFormat="1" ht="24" customHeight="1">
      <c r="A193" s="1258"/>
      <c r="B193" s="1538" t="s">
        <v>1720</v>
      </c>
      <c r="C193" s="1437"/>
      <c r="D193" s="1278"/>
      <c r="E193" s="1796">
        <v>1</v>
      </c>
      <c r="F193" s="1296" t="s">
        <v>1104</v>
      </c>
      <c r="G193" s="1516">
        <f>SUM(H187:H191)*20%</f>
        <v>584117.20000000007</v>
      </c>
      <c r="H193" s="1298">
        <f t="shared" si="57"/>
        <v>584117</v>
      </c>
      <c r="I193" s="1516">
        <f>ROUND(G193*0.3,)</f>
        <v>175235</v>
      </c>
      <c r="J193" s="1264">
        <f t="shared" si="58"/>
        <v>175235</v>
      </c>
      <c r="K193" s="1382">
        <f t="shared" si="59"/>
        <v>759352</v>
      </c>
      <c r="L193" s="1273"/>
    </row>
    <row r="194" spans="1:12" s="1765" customFormat="1" ht="24" customHeight="1">
      <c r="A194" s="1258"/>
      <c r="B194" s="1538" t="s">
        <v>1117</v>
      </c>
      <c r="C194" s="1437"/>
      <c r="D194" s="1278"/>
      <c r="E194" s="1796"/>
      <c r="F194" s="1296"/>
      <c r="G194" s="1516"/>
      <c r="H194" s="1298"/>
      <c r="I194" s="1516"/>
      <c r="J194" s="1264"/>
      <c r="K194" s="1382"/>
      <c r="L194" s="1273"/>
    </row>
    <row r="195" spans="1:12" s="1765" customFormat="1" ht="24" customHeight="1">
      <c r="A195" s="1258"/>
      <c r="B195" s="1797"/>
      <c r="C195" s="1798"/>
      <c r="D195" s="1278"/>
      <c r="E195" s="1768"/>
      <c r="F195" s="1296"/>
      <c r="G195" s="1516"/>
      <c r="H195" s="1298"/>
      <c r="I195" s="1516"/>
      <c r="J195" s="1264"/>
      <c r="K195" s="1382"/>
      <c r="L195" s="1382"/>
    </row>
    <row r="196" spans="1:12" s="1765" customFormat="1" ht="24" customHeight="1">
      <c r="A196" s="1258"/>
      <c r="B196" s="1538"/>
      <c r="C196" s="1437"/>
      <c r="D196" s="1275"/>
      <c r="E196" s="1796"/>
      <c r="F196" s="1358"/>
      <c r="G196" s="1516"/>
      <c r="H196" s="1264"/>
      <c r="I196" s="1516"/>
      <c r="J196" s="1264"/>
      <c r="K196" s="1273"/>
      <c r="L196" s="1273"/>
    </row>
    <row r="197" spans="1:12" s="1765" customFormat="1" ht="24" customHeight="1">
      <c r="A197" s="1258"/>
      <c r="B197" s="1538"/>
      <c r="C197" s="1437"/>
      <c r="D197" s="1278"/>
      <c r="E197" s="1796"/>
      <c r="F197" s="1296"/>
      <c r="G197" s="1516"/>
      <c r="H197" s="1298"/>
      <c r="I197" s="1516"/>
      <c r="J197" s="1264"/>
      <c r="K197" s="1382"/>
      <c r="L197" s="1273"/>
    </row>
    <row r="198" spans="1:12" s="1765" customFormat="1" ht="24" customHeight="1">
      <c r="A198" s="1258"/>
      <c r="B198" s="1538"/>
      <c r="C198" s="1437"/>
      <c r="D198" s="1278"/>
      <c r="E198" s="1796"/>
      <c r="F198" s="1296"/>
      <c r="G198" s="1516"/>
      <c r="H198" s="1298"/>
      <c r="I198" s="1516"/>
      <c r="J198" s="1264"/>
      <c r="K198" s="1382"/>
      <c r="L198" s="1273"/>
    </row>
    <row r="199" spans="1:12" s="1765" customFormat="1" ht="24" customHeight="1">
      <c r="A199" s="1258"/>
      <c r="B199" s="1538"/>
      <c r="C199" s="1437"/>
      <c r="D199" s="1278"/>
      <c r="E199" s="1796"/>
      <c r="F199" s="1296"/>
      <c r="G199" s="1516"/>
      <c r="H199" s="1298"/>
      <c r="I199" s="1516"/>
      <c r="J199" s="1264"/>
      <c r="K199" s="1382"/>
      <c r="L199" s="1273"/>
    </row>
    <row r="200" spans="1:12" s="1765" customFormat="1" ht="24" customHeight="1">
      <c r="A200" s="1258"/>
      <c r="B200" s="1797"/>
      <c r="C200" s="1798"/>
      <c r="D200" s="1278"/>
      <c r="E200" s="1768"/>
      <c r="F200" s="1296"/>
      <c r="G200" s="1516"/>
      <c r="H200" s="1298"/>
      <c r="I200" s="1516"/>
      <c r="J200" s="1264"/>
      <c r="K200" s="1382"/>
      <c r="L200" s="1382"/>
    </row>
    <row r="201" spans="1:12" s="1765" customFormat="1" ht="24" customHeight="1">
      <c r="A201" s="1578"/>
      <c r="B201" s="2257" t="str">
        <f>"รวมราคารายการที่ "&amp;A185</f>
        <v>รวมราคารายการที่ 7.6</v>
      </c>
      <c r="C201" s="2258"/>
      <c r="D201" s="2259"/>
      <c r="E201" s="1579"/>
      <c r="F201" s="1579"/>
      <c r="G201" s="1580"/>
      <c r="H201" s="1581">
        <f>SUM(H187:H194)</f>
        <v>4380879</v>
      </c>
      <c r="I201" s="1582"/>
      <c r="J201" s="1581">
        <f>SUM(J187:J194)</f>
        <v>2939148</v>
      </c>
      <c r="K201" s="1583">
        <f>SUM(K187:K194)</f>
        <v>7320027</v>
      </c>
      <c r="L201" s="1583"/>
    </row>
    <row r="202" spans="1:12" s="1765" customFormat="1" ht="24" customHeight="1">
      <c r="A202" s="1291">
        <v>7.7</v>
      </c>
      <c r="B202" s="1776" t="s">
        <v>2083</v>
      </c>
      <c r="C202" s="1293"/>
      <c r="D202" s="1294"/>
      <c r="E202" s="1786"/>
      <c r="F202" s="1296"/>
      <c r="G202" s="1357"/>
      <c r="H202" s="1298"/>
      <c r="I202" s="1299"/>
      <c r="J202" s="1298"/>
      <c r="K202" s="1382"/>
      <c r="L202" s="1382"/>
    </row>
    <row r="203" spans="1:12" s="1765" customFormat="1" ht="24" customHeight="1">
      <c r="A203" s="1258" t="s">
        <v>2084</v>
      </c>
      <c r="B203" s="1538" t="s">
        <v>2085</v>
      </c>
      <c r="C203" s="1437"/>
      <c r="D203" s="1278"/>
      <c r="E203" s="1768"/>
      <c r="F203" s="1296"/>
      <c r="G203" s="1516"/>
      <c r="H203" s="1298"/>
      <c r="I203" s="1299"/>
      <c r="J203" s="1298"/>
      <c r="K203" s="1382"/>
      <c r="L203" s="1382"/>
    </row>
    <row r="204" spans="1:12" s="1765" customFormat="1" ht="24" customHeight="1">
      <c r="A204" s="1258"/>
      <c r="B204" s="1538" t="s">
        <v>2086</v>
      </c>
      <c r="C204" s="1437"/>
      <c r="D204" s="1278"/>
      <c r="E204" s="1768"/>
      <c r="F204" s="1296" t="s">
        <v>2078</v>
      </c>
      <c r="G204" s="1516">
        <v>148</v>
      </c>
      <c r="H204" s="1264">
        <f t="shared" ref="H204:H207" si="60">ROUND(E204*G204,)</f>
        <v>0</v>
      </c>
      <c r="I204" s="1299">
        <v>45</v>
      </c>
      <c r="J204" s="1264">
        <f t="shared" ref="J204:J207" si="61">ROUND(E204*I204,)</f>
        <v>0</v>
      </c>
      <c r="K204" s="1273">
        <f t="shared" ref="K204:K207" si="62">H204+J204</f>
        <v>0</v>
      </c>
      <c r="L204" s="1382"/>
    </row>
    <row r="205" spans="1:12" s="1765" customFormat="1" ht="24" customHeight="1">
      <c r="A205" s="1449"/>
      <c r="B205" s="1538" t="s">
        <v>2087</v>
      </c>
      <c r="C205" s="1437"/>
      <c r="D205" s="1278"/>
      <c r="E205" s="1768">
        <v>6752</v>
      </c>
      <c r="F205" s="1296" t="s">
        <v>2078</v>
      </c>
      <c r="G205" s="1516">
        <v>212</v>
      </c>
      <c r="H205" s="1298">
        <f t="shared" si="60"/>
        <v>1431424</v>
      </c>
      <c r="I205" s="1299">
        <v>45</v>
      </c>
      <c r="J205" s="1264">
        <f t="shared" si="61"/>
        <v>303840</v>
      </c>
      <c r="K205" s="1273">
        <f t="shared" si="62"/>
        <v>1735264</v>
      </c>
      <c r="L205" s="1382"/>
    </row>
    <row r="206" spans="1:12" s="1765" customFormat="1" ht="24" customHeight="1">
      <c r="A206" s="1449"/>
      <c r="B206" s="1538" t="s">
        <v>2088</v>
      </c>
      <c r="C206" s="1437"/>
      <c r="D206" s="1275"/>
      <c r="E206" s="1768"/>
      <c r="F206" s="1358" t="s">
        <v>2078</v>
      </c>
      <c r="G206" s="1516">
        <v>454</v>
      </c>
      <c r="H206" s="1264">
        <f t="shared" si="60"/>
        <v>0</v>
      </c>
      <c r="I206" s="1265">
        <f>ROUND(G206*0.3,)</f>
        <v>136</v>
      </c>
      <c r="J206" s="1264">
        <f t="shared" si="61"/>
        <v>0</v>
      </c>
      <c r="K206" s="1273">
        <f t="shared" si="62"/>
        <v>0</v>
      </c>
      <c r="L206" s="1273"/>
    </row>
    <row r="207" spans="1:12" s="1765" customFormat="1" ht="24" customHeight="1">
      <c r="A207" s="1258" t="s">
        <v>2089</v>
      </c>
      <c r="B207" s="1538" t="s">
        <v>2090</v>
      </c>
      <c r="C207" s="1437"/>
      <c r="D207" s="1275"/>
      <c r="E207" s="1768">
        <v>1</v>
      </c>
      <c r="F207" s="1358" t="s">
        <v>1104</v>
      </c>
      <c r="G207" s="1516">
        <f>E205*40</f>
        <v>270080</v>
      </c>
      <c r="H207" s="1264">
        <f t="shared" si="60"/>
        <v>270080</v>
      </c>
      <c r="I207" s="1265">
        <f>E205*15</f>
        <v>101280</v>
      </c>
      <c r="J207" s="1264">
        <f t="shared" si="61"/>
        <v>101280</v>
      </c>
      <c r="K207" s="1273">
        <f t="shared" si="62"/>
        <v>371360</v>
      </c>
      <c r="L207" s="1273"/>
    </row>
    <row r="208" spans="1:12" s="1765" customFormat="1" ht="24" customHeight="1">
      <c r="A208" s="1449"/>
      <c r="B208" s="1538" t="s">
        <v>1117</v>
      </c>
      <c r="C208" s="1437"/>
      <c r="D208" s="1278"/>
      <c r="E208" s="1768"/>
      <c r="F208" s="1296"/>
      <c r="G208" s="1516"/>
      <c r="H208" s="1298"/>
      <c r="I208" s="1299"/>
      <c r="J208" s="1298"/>
      <c r="K208" s="1382"/>
      <c r="L208" s="1382"/>
    </row>
    <row r="209" spans="1:12" s="1765" customFormat="1" ht="24" customHeight="1">
      <c r="A209" s="1578"/>
      <c r="B209" s="2257" t="str">
        <f>"รวมราคารายการที่ "&amp;A202</f>
        <v>รวมราคารายการที่ 7.7</v>
      </c>
      <c r="C209" s="2258"/>
      <c r="D209" s="2259"/>
      <c r="E209" s="1579"/>
      <c r="F209" s="1579"/>
      <c r="G209" s="1580"/>
      <c r="H209" s="1581">
        <f>SUM(H203:H208)</f>
        <v>1701504</v>
      </c>
      <c r="I209" s="1582"/>
      <c r="J209" s="1581">
        <f>SUM(J203:J208)</f>
        <v>405120</v>
      </c>
      <c r="K209" s="1583">
        <f>SUM(K203:K208)</f>
        <v>2106624</v>
      </c>
      <c r="L209" s="1583"/>
    </row>
    <row r="210" spans="1:12" s="1765" customFormat="1" ht="24" customHeight="1">
      <c r="A210" s="1291" t="s">
        <v>2091</v>
      </c>
      <c r="B210" s="1776" t="s">
        <v>2092</v>
      </c>
      <c r="C210" s="1293"/>
      <c r="D210" s="1294"/>
      <c r="E210" s="1786"/>
      <c r="F210" s="1296"/>
      <c r="G210" s="1357"/>
      <c r="H210" s="1298"/>
      <c r="I210" s="1299"/>
      <c r="J210" s="1298"/>
      <c r="K210" s="1382"/>
      <c r="L210" s="1382"/>
    </row>
    <row r="211" spans="1:12" s="1765" customFormat="1" ht="24" customHeight="1">
      <c r="A211" s="1258" t="s">
        <v>2093</v>
      </c>
      <c r="B211" s="1799" t="s">
        <v>2094</v>
      </c>
      <c r="C211" s="1800"/>
      <c r="D211" s="1375"/>
      <c r="E211" s="1801"/>
      <c r="F211" s="1356"/>
      <c r="G211" s="1515"/>
      <c r="H211" s="1369"/>
      <c r="I211" s="1370"/>
      <c r="J211" s="1369"/>
      <c r="K211" s="1356"/>
      <c r="L211" s="1356"/>
    </row>
    <row r="212" spans="1:12" s="1765" customFormat="1" ht="24" customHeight="1">
      <c r="A212" s="1258"/>
      <c r="B212" s="1799" t="s">
        <v>2175</v>
      </c>
      <c r="C212" s="1800"/>
      <c r="D212" s="1375"/>
      <c r="E212" s="1801">
        <v>88</v>
      </c>
      <c r="F212" s="1356" t="s">
        <v>363</v>
      </c>
      <c r="G212" s="1515">
        <v>500</v>
      </c>
      <c r="H212" s="1298">
        <f t="shared" ref="H212:H213" si="63">ROUND(E212*G212,)</f>
        <v>44000</v>
      </c>
      <c r="I212" s="1370">
        <f>G212*0.1</f>
        <v>50</v>
      </c>
      <c r="J212" s="1343">
        <f t="shared" ref="J212:J213" si="64">ROUND(E212*I212,)</f>
        <v>4400</v>
      </c>
      <c r="K212" s="1262">
        <f t="shared" ref="K212:K213" si="65">H212+J212</f>
        <v>48400</v>
      </c>
      <c r="L212" s="1356"/>
    </row>
    <row r="213" spans="1:12" s="1765" customFormat="1" ht="24" customHeight="1">
      <c r="A213" s="1258"/>
      <c r="B213" s="1799" t="s">
        <v>2095</v>
      </c>
      <c r="C213" s="1800"/>
      <c r="D213" s="1375"/>
      <c r="E213" s="1801">
        <f>22+286</f>
        <v>308</v>
      </c>
      <c r="F213" s="1356" t="s">
        <v>363</v>
      </c>
      <c r="G213" s="1515">
        <v>500</v>
      </c>
      <c r="H213" s="1298">
        <f t="shared" si="63"/>
        <v>154000</v>
      </c>
      <c r="I213" s="1370">
        <f>G213*0.1</f>
        <v>50</v>
      </c>
      <c r="J213" s="1343">
        <f t="shared" si="64"/>
        <v>15400</v>
      </c>
      <c r="K213" s="1262">
        <f t="shared" si="65"/>
        <v>169400</v>
      </c>
      <c r="L213" s="1356"/>
    </row>
    <row r="214" spans="1:12" s="1765" customFormat="1" ht="24" customHeight="1">
      <c r="A214" s="1258" t="s">
        <v>2096</v>
      </c>
      <c r="B214" s="1799" t="s">
        <v>2275</v>
      </c>
      <c r="C214" s="1800"/>
      <c r="D214" s="1375"/>
      <c r="E214" s="1801"/>
      <c r="F214" s="1356"/>
      <c r="G214" s="1515"/>
      <c r="H214" s="1369"/>
      <c r="I214" s="1370"/>
      <c r="J214" s="1369"/>
      <c r="K214" s="1356"/>
      <c r="L214" s="1356"/>
    </row>
    <row r="215" spans="1:12" s="1765" customFormat="1" ht="24" customHeight="1">
      <c r="A215" s="1258"/>
      <c r="B215" s="1799" t="s">
        <v>2578</v>
      </c>
      <c r="C215" s="1800"/>
      <c r="D215" s="1375"/>
      <c r="E215" s="1801">
        <v>44</v>
      </c>
      <c r="F215" s="1356" t="s">
        <v>363</v>
      </c>
      <c r="G215" s="1515">
        <v>500</v>
      </c>
      <c r="H215" s="1298">
        <f t="shared" ref="H215" si="66">ROUND(E215*G215,)</f>
        <v>22000</v>
      </c>
      <c r="I215" s="1370">
        <f>G215*0.1</f>
        <v>50</v>
      </c>
      <c r="J215" s="1343">
        <f t="shared" ref="J215" si="67">ROUND(E215*I215,)</f>
        <v>2200</v>
      </c>
      <c r="K215" s="1262">
        <f t="shared" ref="K215" si="68">H215+J215</f>
        <v>24200</v>
      </c>
      <c r="L215" s="1356"/>
    </row>
    <row r="216" spans="1:12" s="1765" customFormat="1" ht="24" customHeight="1">
      <c r="A216" s="1258" t="s">
        <v>2099</v>
      </c>
      <c r="B216" s="1799" t="s">
        <v>2579</v>
      </c>
      <c r="C216" s="1800"/>
      <c r="D216" s="1375"/>
      <c r="E216" s="1801"/>
      <c r="F216" s="1356"/>
      <c r="G216" s="1515"/>
      <c r="H216" s="1369"/>
      <c r="I216" s="1370"/>
      <c r="J216" s="1369"/>
      <c r="K216" s="1356"/>
      <c r="L216" s="1356"/>
    </row>
    <row r="217" spans="1:12" s="1765" customFormat="1" ht="24" customHeight="1">
      <c r="A217" s="1258"/>
      <c r="B217" s="1799" t="s">
        <v>2580</v>
      </c>
      <c r="C217" s="1800"/>
      <c r="D217" s="1375"/>
      <c r="E217" s="1801">
        <v>22</v>
      </c>
      <c r="F217" s="1356" t="s">
        <v>363</v>
      </c>
      <c r="G217" s="1515">
        <v>600</v>
      </c>
      <c r="H217" s="1298">
        <f t="shared" ref="H217" si="69">ROUND(E217*G217,)</f>
        <v>13200</v>
      </c>
      <c r="I217" s="1370">
        <f>G217*0.1</f>
        <v>60</v>
      </c>
      <c r="J217" s="1343">
        <f t="shared" ref="J217" si="70">ROUND(E217*I217,)</f>
        <v>1320</v>
      </c>
      <c r="K217" s="1262">
        <f t="shared" ref="K217" si="71">H217+J217</f>
        <v>14520</v>
      </c>
      <c r="L217" s="1356"/>
    </row>
    <row r="218" spans="1:12" s="1765" customFormat="1" ht="24" customHeight="1">
      <c r="A218" s="1258" t="s">
        <v>2104</v>
      </c>
      <c r="B218" s="1799" t="s">
        <v>2097</v>
      </c>
      <c r="C218" s="1800"/>
      <c r="D218" s="1375"/>
      <c r="E218" s="1801"/>
      <c r="F218" s="1356"/>
      <c r="G218" s="1515"/>
      <c r="H218" s="1369"/>
      <c r="I218" s="1370"/>
      <c r="J218" s="1369"/>
      <c r="K218" s="1356"/>
      <c r="L218" s="1356"/>
    </row>
    <row r="219" spans="1:12" s="1765" customFormat="1" ht="24" customHeight="1">
      <c r="A219" s="1258"/>
      <c r="B219" s="1799" t="s">
        <v>2098</v>
      </c>
      <c r="C219" s="1800"/>
      <c r="D219" s="1375"/>
      <c r="E219" s="1801">
        <v>22</v>
      </c>
      <c r="F219" s="1356" t="s">
        <v>363</v>
      </c>
      <c r="G219" s="1515">
        <v>600</v>
      </c>
      <c r="H219" s="1298">
        <f t="shared" ref="H219" si="72">ROUND(E219*G219,)</f>
        <v>13200</v>
      </c>
      <c r="I219" s="1370">
        <f>G219*0.1</f>
        <v>60</v>
      </c>
      <c r="J219" s="1343">
        <f t="shared" ref="J219" si="73">ROUND(E219*I219,)</f>
        <v>1320</v>
      </c>
      <c r="K219" s="1262">
        <f t="shared" ref="K219" si="74">H219+J219</f>
        <v>14520</v>
      </c>
      <c r="L219" s="1356"/>
    </row>
    <row r="220" spans="1:12" s="1765" customFormat="1" ht="24" customHeight="1">
      <c r="A220" s="1258" t="s">
        <v>2581</v>
      </c>
      <c r="B220" s="1797" t="s">
        <v>2100</v>
      </c>
      <c r="C220" s="1437"/>
      <c r="D220" s="1278"/>
      <c r="E220" s="1768"/>
      <c r="F220" s="1296"/>
      <c r="G220" s="1515"/>
      <c r="H220" s="1298"/>
      <c r="I220" s="1299"/>
      <c r="J220" s="1298"/>
      <c r="K220" s="1382"/>
      <c r="L220" s="1382"/>
    </row>
    <row r="221" spans="1:12" s="1765" customFormat="1" ht="24" customHeight="1">
      <c r="A221" s="1258"/>
      <c r="B221" s="1797" t="s">
        <v>2101</v>
      </c>
      <c r="C221" s="1437"/>
      <c r="D221" s="1278"/>
      <c r="E221" s="1768">
        <v>14</v>
      </c>
      <c r="F221" s="1296" t="str">
        <f t="shared" ref="F221:F223" si="75">IF(E221="","","ชุด")</f>
        <v>ชุด</v>
      </c>
      <c r="G221" s="1515">
        <v>2000</v>
      </c>
      <c r="H221" s="1298">
        <f t="shared" ref="H221:H223" si="76">ROUND(E221*G221,)</f>
        <v>28000</v>
      </c>
      <c r="I221" s="1299">
        <v>500</v>
      </c>
      <c r="J221" s="1264">
        <f t="shared" ref="J221:J223" si="77">ROUND(E221*I221,)</f>
        <v>7000</v>
      </c>
      <c r="K221" s="1273">
        <f t="shared" ref="K221:K223" si="78">H221+J221</f>
        <v>35000</v>
      </c>
      <c r="L221" s="1382"/>
    </row>
    <row r="222" spans="1:12" s="1765" customFormat="1" ht="24" customHeight="1">
      <c r="A222" s="1258"/>
      <c r="B222" s="1797" t="s">
        <v>2102</v>
      </c>
      <c r="C222" s="1437"/>
      <c r="D222" s="1278"/>
      <c r="E222" s="1768">
        <v>12</v>
      </c>
      <c r="F222" s="1296" t="str">
        <f t="shared" si="75"/>
        <v>ชุด</v>
      </c>
      <c r="G222" s="1515">
        <v>2325</v>
      </c>
      <c r="H222" s="1298">
        <f t="shared" si="76"/>
        <v>27900</v>
      </c>
      <c r="I222" s="1299">
        <v>500</v>
      </c>
      <c r="J222" s="1264">
        <f t="shared" si="77"/>
        <v>6000</v>
      </c>
      <c r="K222" s="1273">
        <f t="shared" si="78"/>
        <v>33900</v>
      </c>
      <c r="L222" s="1382"/>
    </row>
    <row r="223" spans="1:12" s="1765" customFormat="1" ht="24" customHeight="1">
      <c r="A223" s="1258"/>
      <c r="B223" s="1797" t="s">
        <v>2103</v>
      </c>
      <c r="C223" s="1437"/>
      <c r="D223" s="1278"/>
      <c r="E223" s="1768">
        <v>26</v>
      </c>
      <c r="F223" s="1296" t="str">
        <f t="shared" si="75"/>
        <v>ชุด</v>
      </c>
      <c r="G223" s="1515">
        <v>4075</v>
      </c>
      <c r="H223" s="1298">
        <f t="shared" si="76"/>
        <v>105950</v>
      </c>
      <c r="I223" s="1299">
        <v>500</v>
      </c>
      <c r="J223" s="1264">
        <f t="shared" si="77"/>
        <v>13000</v>
      </c>
      <c r="K223" s="1273">
        <f t="shared" si="78"/>
        <v>118950</v>
      </c>
      <c r="L223" s="1382"/>
    </row>
    <row r="224" spans="1:12" s="1765" customFormat="1" ht="24" customHeight="1">
      <c r="A224" s="1258" t="s">
        <v>2582</v>
      </c>
      <c r="B224" s="1797" t="s">
        <v>2105</v>
      </c>
      <c r="C224" s="1437"/>
      <c r="D224" s="1278"/>
      <c r="E224" s="1768"/>
      <c r="F224" s="1296"/>
      <c r="G224" s="1515"/>
      <c r="H224" s="1298"/>
      <c r="I224" s="1299"/>
      <c r="J224" s="1298"/>
      <c r="K224" s="1382"/>
      <c r="L224" s="1382"/>
    </row>
    <row r="225" spans="1:16" s="1765" customFormat="1" ht="24" customHeight="1">
      <c r="A225" s="1258"/>
      <c r="B225" s="1797" t="s">
        <v>2106</v>
      </c>
      <c r="C225" s="1437"/>
      <c r="D225" s="1278"/>
      <c r="E225" s="1768">
        <v>26</v>
      </c>
      <c r="F225" s="1296" t="str">
        <f t="shared" ref="F225:F226" si="79">IF(E225="","","ชุด")</f>
        <v>ชุด</v>
      </c>
      <c r="G225" s="1515">
        <v>500</v>
      </c>
      <c r="H225" s="1298">
        <f t="shared" ref="H225:H226" si="80">ROUND(E225*G225,)</f>
        <v>13000</v>
      </c>
      <c r="I225" s="1299">
        <v>500</v>
      </c>
      <c r="J225" s="1264">
        <f t="shared" ref="J225:J226" si="81">ROUND(E225*I225,)</f>
        <v>13000</v>
      </c>
      <c r="K225" s="1273">
        <f t="shared" ref="K225:K226" si="82">H225+J225</f>
        <v>26000</v>
      </c>
      <c r="L225" s="1382"/>
    </row>
    <row r="226" spans="1:16" s="1765" customFormat="1" ht="24" customHeight="1">
      <c r="A226" s="1258"/>
      <c r="B226" s="1797" t="s">
        <v>2107</v>
      </c>
      <c r="C226" s="1437"/>
      <c r="D226" s="1278"/>
      <c r="E226" s="1768">
        <v>16</v>
      </c>
      <c r="F226" s="1296" t="str">
        <f t="shared" si="79"/>
        <v>ชุด</v>
      </c>
      <c r="G226" s="1515">
        <v>2500</v>
      </c>
      <c r="H226" s="1298">
        <f t="shared" si="80"/>
        <v>40000</v>
      </c>
      <c r="I226" s="1299">
        <v>500</v>
      </c>
      <c r="J226" s="1264">
        <f t="shared" si="81"/>
        <v>8000</v>
      </c>
      <c r="K226" s="1273">
        <f t="shared" si="82"/>
        <v>48000</v>
      </c>
      <c r="L226" s="1382"/>
    </row>
    <row r="227" spans="1:16" s="1765" customFormat="1" ht="24" customHeight="1">
      <c r="A227" s="1258"/>
      <c r="B227" s="1538" t="s">
        <v>1117</v>
      </c>
      <c r="C227" s="1437"/>
      <c r="D227" s="1275"/>
      <c r="E227" s="1768"/>
      <c r="F227" s="1358"/>
      <c r="G227" s="1516"/>
      <c r="H227" s="1264"/>
      <c r="I227" s="1265"/>
      <c r="J227" s="1264"/>
      <c r="K227" s="1273"/>
      <c r="L227" s="1273"/>
    </row>
    <row r="228" spans="1:16" s="1765" customFormat="1" ht="24" customHeight="1">
      <c r="A228" s="1258"/>
      <c r="B228" s="1538"/>
      <c r="C228" s="1437"/>
      <c r="D228" s="1275"/>
      <c r="E228" s="1768"/>
      <c r="F228" s="1358"/>
      <c r="G228" s="1516"/>
      <c r="H228" s="1264"/>
      <c r="I228" s="1265"/>
      <c r="J228" s="1264"/>
      <c r="K228" s="1273"/>
      <c r="L228" s="1273"/>
    </row>
    <row r="229" spans="1:16" s="1765" customFormat="1" ht="24" customHeight="1">
      <c r="A229" s="1258"/>
      <c r="B229" s="1538"/>
      <c r="C229" s="1437"/>
      <c r="D229" s="1275"/>
      <c r="E229" s="1768"/>
      <c r="F229" s="1358"/>
      <c r="G229" s="1516"/>
      <c r="H229" s="1264"/>
      <c r="I229" s="1265"/>
      <c r="J229" s="1264"/>
      <c r="K229" s="1273"/>
      <c r="L229" s="1273"/>
    </row>
    <row r="230" spans="1:16" s="1765" customFormat="1" ht="24" customHeight="1">
      <c r="A230" s="1277"/>
      <c r="B230" s="1797"/>
      <c r="C230" s="1798"/>
      <c r="D230" s="1278"/>
      <c r="E230" s="1795"/>
      <c r="F230" s="1350"/>
      <c r="G230" s="1351"/>
      <c r="H230" s="1281"/>
      <c r="I230" s="1282"/>
      <c r="J230" s="1281"/>
      <c r="K230" s="1405"/>
      <c r="L230" s="1405"/>
    </row>
    <row r="231" spans="1:16" s="1765" customFormat="1" ht="24" customHeight="1">
      <c r="A231" s="1277"/>
      <c r="B231" s="1797"/>
      <c r="C231" s="1798"/>
      <c r="D231" s="1278"/>
      <c r="E231" s="1795"/>
      <c r="F231" s="1350"/>
      <c r="G231" s="1351"/>
      <c r="H231" s="1281"/>
      <c r="I231" s="1282"/>
      <c r="J231" s="1281"/>
      <c r="K231" s="1405"/>
      <c r="L231" s="1405"/>
    </row>
    <row r="232" spans="1:16" s="1765" customFormat="1" ht="24" customHeight="1">
      <c r="A232" s="1277"/>
      <c r="B232" s="1797"/>
      <c r="C232" s="1798"/>
      <c r="D232" s="1278"/>
      <c r="E232" s="1795"/>
      <c r="F232" s="1350"/>
      <c r="G232" s="1351"/>
      <c r="H232" s="1281"/>
      <c r="I232" s="1282"/>
      <c r="J232" s="1281"/>
      <c r="K232" s="1405"/>
      <c r="L232" s="1405"/>
    </row>
    <row r="233" spans="1:16" s="1765" customFormat="1" ht="24" customHeight="1">
      <c r="A233" s="1791"/>
      <c r="B233" s="1792"/>
      <c r="C233" s="1702"/>
      <c r="D233" s="1486"/>
      <c r="E233" s="1793"/>
      <c r="F233" s="1487"/>
      <c r="G233" s="1735"/>
      <c r="H233" s="1425"/>
      <c r="I233" s="1488"/>
      <c r="J233" s="1425"/>
      <c r="K233" s="1426"/>
      <c r="L233" s="1426"/>
    </row>
    <row r="234" spans="1:16" s="1765" customFormat="1" ht="24" customHeight="1">
      <c r="A234" s="1578"/>
      <c r="B234" s="2257" t="str">
        <f>"รวมราคารายการที่ "&amp;A210</f>
        <v>รวมราคารายการที่ 7.8</v>
      </c>
      <c r="C234" s="2258"/>
      <c r="D234" s="2259"/>
      <c r="E234" s="1579"/>
      <c r="F234" s="1579"/>
      <c r="G234" s="1580"/>
      <c r="H234" s="1581">
        <f>SUM(H210:H233)</f>
        <v>461250</v>
      </c>
      <c r="I234" s="1582"/>
      <c r="J234" s="1581">
        <f>SUM(J210:J233)</f>
        <v>71640</v>
      </c>
      <c r="K234" s="1581">
        <f>SUM(K210:K233)</f>
        <v>532890</v>
      </c>
      <c r="L234" s="1583"/>
    </row>
    <row r="235" spans="1:16" s="1765" customFormat="1" ht="24" customHeight="1">
      <c r="A235" s="1291">
        <v>7.9</v>
      </c>
      <c r="B235" s="1776" t="s">
        <v>2177</v>
      </c>
      <c r="C235" s="1293"/>
      <c r="D235" s="1294"/>
      <c r="E235" s="2093"/>
      <c r="F235" s="1296"/>
      <c r="G235" s="1357"/>
      <c r="H235" s="1298"/>
      <c r="I235" s="1299"/>
      <c r="J235" s="1298"/>
      <c r="K235" s="1382"/>
      <c r="L235" s="1382"/>
    </row>
    <row r="236" spans="1:16" s="1765" customFormat="1" ht="24" customHeight="1">
      <c r="A236" s="1258" t="s">
        <v>2110</v>
      </c>
      <c r="B236" s="1797" t="s">
        <v>2729</v>
      </c>
      <c r="C236" s="1437"/>
      <c r="D236" s="1278"/>
      <c r="E236" s="2093"/>
      <c r="F236" s="1296"/>
      <c r="G236" s="1357"/>
      <c r="H236" s="1298"/>
      <c r="I236" s="1299"/>
      <c r="J236" s="1298"/>
      <c r="K236" s="1382"/>
      <c r="L236" s="1382"/>
    </row>
    <row r="237" spans="1:16" s="1765" customFormat="1" ht="24" customHeight="1">
      <c r="A237" s="1804"/>
      <c r="B237" s="1780"/>
      <c r="C237" s="1800"/>
      <c r="D237" s="1260"/>
      <c r="E237" s="1801"/>
      <c r="F237" s="1262"/>
      <c r="G237" s="1515"/>
      <c r="H237" s="1413"/>
      <c r="I237" s="1515"/>
      <c r="J237" s="1413"/>
      <c r="K237" s="1415"/>
      <c r="L237" s="1262"/>
    </row>
    <row r="238" spans="1:16" s="1765" customFormat="1" ht="24" customHeight="1">
      <c r="A238" s="1804" t="s">
        <v>2112</v>
      </c>
      <c r="B238" s="1780" t="s">
        <v>1355</v>
      </c>
      <c r="C238" s="1800"/>
      <c r="D238" s="1260"/>
      <c r="E238" s="1801"/>
      <c r="F238" s="1262"/>
      <c r="G238" s="1515"/>
      <c r="H238" s="1343"/>
      <c r="I238" s="1515"/>
      <c r="J238" s="1343"/>
      <c r="K238" s="1262"/>
      <c r="L238" s="1262"/>
      <c r="N238" s="1854"/>
      <c r="O238" s="1854"/>
      <c r="P238" s="1854"/>
    </row>
    <row r="239" spans="1:16" s="1765" customFormat="1" ht="24" customHeight="1">
      <c r="A239" s="1804"/>
      <c r="B239" s="1780" t="s">
        <v>1811</v>
      </c>
      <c r="C239" s="1800"/>
      <c r="D239" s="1260"/>
      <c r="E239" s="1801"/>
      <c r="F239" s="1262" t="s">
        <v>226</v>
      </c>
      <c r="G239" s="1386">
        <v>9</v>
      </c>
      <c r="H239" s="1343">
        <f t="shared" ref="H239:H252" si="83">ROUND(E239*G239,)</f>
        <v>0</v>
      </c>
      <c r="I239" s="1344">
        <v>7</v>
      </c>
      <c r="J239" s="1343">
        <f t="shared" ref="J239:J252" si="84">ROUND(E239*I239,)</f>
        <v>0</v>
      </c>
      <c r="K239" s="1262">
        <f t="shared" ref="K239:K245" si="85">H239+J239</f>
        <v>0</v>
      </c>
      <c r="L239" s="2001" t="s">
        <v>2667</v>
      </c>
      <c r="N239" s="1854">
        <v>912.1</v>
      </c>
      <c r="O239" s="1854">
        <f t="shared" ref="O239:O245" si="86">ROUND(N239/100,)</f>
        <v>9</v>
      </c>
      <c r="P239" s="1854"/>
    </row>
    <row r="240" spans="1:16" s="1765" customFormat="1" ht="24" customHeight="1">
      <c r="A240" s="1804"/>
      <c r="B240" s="1780" t="s">
        <v>1316</v>
      </c>
      <c r="C240" s="1800"/>
      <c r="D240" s="1260"/>
      <c r="E240" s="1801"/>
      <c r="F240" s="1262" t="s">
        <v>226</v>
      </c>
      <c r="G240" s="1386">
        <v>14</v>
      </c>
      <c r="H240" s="1343">
        <f t="shared" si="83"/>
        <v>0</v>
      </c>
      <c r="I240" s="1344">
        <v>10</v>
      </c>
      <c r="J240" s="1343">
        <f t="shared" si="84"/>
        <v>0</v>
      </c>
      <c r="K240" s="1262">
        <f t="shared" si="85"/>
        <v>0</v>
      </c>
      <c r="L240" s="2001" t="s">
        <v>2667</v>
      </c>
      <c r="N240" s="1854">
        <v>1375.8</v>
      </c>
      <c r="O240" s="1854">
        <f t="shared" si="86"/>
        <v>14</v>
      </c>
      <c r="P240" s="1854"/>
    </row>
    <row r="241" spans="1:16" s="213" customFormat="1" ht="24" customHeight="1">
      <c r="A241" s="1804"/>
      <c r="B241" s="1780" t="s">
        <v>1317</v>
      </c>
      <c r="C241" s="1800"/>
      <c r="D241" s="1260"/>
      <c r="E241" s="2119"/>
      <c r="F241" s="1262" t="s">
        <v>226</v>
      </c>
      <c r="G241" s="1386">
        <v>23</v>
      </c>
      <c r="H241" s="1343">
        <f t="shared" si="83"/>
        <v>0</v>
      </c>
      <c r="I241" s="1344">
        <v>12</v>
      </c>
      <c r="J241" s="1343">
        <f t="shared" si="84"/>
        <v>0</v>
      </c>
      <c r="K241" s="1262">
        <f t="shared" si="85"/>
        <v>0</v>
      </c>
      <c r="L241" s="2001" t="s">
        <v>2667</v>
      </c>
      <c r="N241" s="2127">
        <v>2264.1999999999998</v>
      </c>
      <c r="O241" s="2127">
        <f t="shared" si="86"/>
        <v>23</v>
      </c>
      <c r="P241" s="2127"/>
    </row>
    <row r="242" spans="1:16" s="1765" customFormat="1" ht="24" customHeight="1">
      <c r="A242" s="1804"/>
      <c r="B242" s="1780" t="s">
        <v>1318</v>
      </c>
      <c r="C242" s="1800"/>
      <c r="D242" s="1260"/>
      <c r="E242" s="1801">
        <v>2256</v>
      </c>
      <c r="F242" s="1262" t="s">
        <v>226</v>
      </c>
      <c r="G242" s="1386">
        <v>39</v>
      </c>
      <c r="H242" s="1343">
        <f t="shared" si="83"/>
        <v>87984</v>
      </c>
      <c r="I242" s="1344">
        <v>16</v>
      </c>
      <c r="J242" s="1343">
        <f t="shared" si="84"/>
        <v>36096</v>
      </c>
      <c r="K242" s="1262">
        <f t="shared" si="85"/>
        <v>124080</v>
      </c>
      <c r="L242" s="2001" t="s">
        <v>2667</v>
      </c>
      <c r="N242" s="1854">
        <v>3944.2</v>
      </c>
      <c r="O242" s="1854">
        <f t="shared" si="86"/>
        <v>39</v>
      </c>
      <c r="P242" s="1854"/>
    </row>
    <row r="243" spans="1:16" s="1765" customFormat="1" ht="24" customHeight="1">
      <c r="A243" s="1804"/>
      <c r="B243" s="1780" t="s">
        <v>1319</v>
      </c>
      <c r="C243" s="1800"/>
      <c r="D243" s="1260"/>
      <c r="E243" s="1801"/>
      <c r="F243" s="1262" t="s">
        <v>226</v>
      </c>
      <c r="G243" s="1386">
        <v>61</v>
      </c>
      <c r="H243" s="1343">
        <f t="shared" si="83"/>
        <v>0</v>
      </c>
      <c r="I243" s="1344">
        <v>20</v>
      </c>
      <c r="J243" s="1343">
        <f t="shared" si="84"/>
        <v>0</v>
      </c>
      <c r="K243" s="1262">
        <f t="shared" si="85"/>
        <v>0</v>
      </c>
      <c r="L243" s="2001" t="s">
        <v>2667</v>
      </c>
      <c r="N243" s="1854">
        <v>6120</v>
      </c>
      <c r="O243" s="1854">
        <f t="shared" si="86"/>
        <v>61</v>
      </c>
      <c r="P243" s="1854"/>
    </row>
    <row r="244" spans="1:16" s="1765" customFormat="1" ht="24" customHeight="1">
      <c r="A244" s="1804"/>
      <c r="B244" s="1780" t="s">
        <v>1320</v>
      </c>
      <c r="C244" s="1800"/>
      <c r="D244" s="1260"/>
      <c r="E244" s="1801">
        <v>502</v>
      </c>
      <c r="F244" s="1262" t="s">
        <v>226</v>
      </c>
      <c r="G244" s="1386">
        <v>91</v>
      </c>
      <c r="H244" s="1343">
        <f t="shared" si="83"/>
        <v>45682</v>
      </c>
      <c r="I244" s="1344">
        <v>30</v>
      </c>
      <c r="J244" s="1343">
        <f t="shared" si="84"/>
        <v>15060</v>
      </c>
      <c r="K244" s="1262">
        <f t="shared" si="85"/>
        <v>60742</v>
      </c>
      <c r="L244" s="2001" t="s">
        <v>2667</v>
      </c>
      <c r="N244" s="1854">
        <v>6120</v>
      </c>
      <c r="O244" s="1854">
        <f t="shared" si="86"/>
        <v>61</v>
      </c>
      <c r="P244" s="1854"/>
    </row>
    <row r="245" spans="1:16" s="1765" customFormat="1" ht="24" customHeight="1">
      <c r="A245" s="1804"/>
      <c r="B245" s="1780" t="s">
        <v>1322</v>
      </c>
      <c r="C245" s="1800"/>
      <c r="D245" s="1260"/>
      <c r="E245" s="1801"/>
      <c r="F245" s="1262" t="s">
        <v>226</v>
      </c>
      <c r="G245" s="1386">
        <v>183</v>
      </c>
      <c r="H245" s="1343">
        <f t="shared" si="83"/>
        <v>0</v>
      </c>
      <c r="I245" s="1344">
        <v>40</v>
      </c>
      <c r="J245" s="1343">
        <f t="shared" si="84"/>
        <v>0</v>
      </c>
      <c r="K245" s="1262">
        <f t="shared" si="85"/>
        <v>0</v>
      </c>
      <c r="L245" s="2001" t="s">
        <v>2667</v>
      </c>
      <c r="N245" s="1854">
        <v>18335.8</v>
      </c>
      <c r="O245" s="1854">
        <f t="shared" si="86"/>
        <v>183</v>
      </c>
      <c r="P245" s="1854"/>
    </row>
    <row r="246" spans="1:16" s="1765" customFormat="1" ht="24" customHeight="1">
      <c r="A246" s="1804" t="s">
        <v>2114</v>
      </c>
      <c r="B246" s="1780" t="s">
        <v>1110</v>
      </c>
      <c r="C246" s="1800"/>
      <c r="D246" s="1260"/>
      <c r="E246" s="1801"/>
      <c r="F246" s="1262"/>
      <c r="G246" s="1515"/>
      <c r="H246" s="1343"/>
      <c r="I246" s="1344"/>
      <c r="J246" s="1343">
        <f t="shared" si="84"/>
        <v>0</v>
      </c>
      <c r="K246" s="1262"/>
      <c r="L246" s="1262"/>
      <c r="N246" s="1854"/>
      <c r="O246" s="1854"/>
      <c r="P246" s="1854"/>
    </row>
    <row r="247" spans="1:16" s="1765" customFormat="1" ht="24" customHeight="1">
      <c r="A247" s="1804"/>
      <c r="B247" s="1780" t="s">
        <v>1350</v>
      </c>
      <c r="C247" s="1800"/>
      <c r="D247" s="1260"/>
      <c r="E247" s="1801"/>
      <c r="F247" s="1262" t="s">
        <v>226</v>
      </c>
      <c r="G247" s="1515">
        <v>56</v>
      </c>
      <c r="H247" s="1264">
        <f t="shared" ref="H247:H251" si="87">ROUND(E247*G247,)</f>
        <v>0</v>
      </c>
      <c r="I247" s="1344">
        <v>26</v>
      </c>
      <c r="J247" s="1413">
        <f t="shared" si="84"/>
        <v>0</v>
      </c>
      <c r="K247" s="1415">
        <f t="shared" ref="K247:K252" si="88">H247+J247</f>
        <v>0</v>
      </c>
      <c r="L247" s="2082" t="s">
        <v>2667</v>
      </c>
      <c r="M247" s="2002"/>
      <c r="N247" s="1765">
        <v>169.2</v>
      </c>
      <c r="O247" s="1765">
        <f t="shared" ref="O247:O251" si="89">ROUND(N247/3,)</f>
        <v>56</v>
      </c>
      <c r="P247" s="1854"/>
    </row>
    <row r="248" spans="1:16" s="54" customFormat="1" ht="24" customHeight="1">
      <c r="A248" s="2121"/>
      <c r="B248" s="2122" t="s">
        <v>1448</v>
      </c>
      <c r="C248" s="2123"/>
      <c r="D248" s="2124"/>
      <c r="E248" s="2143">
        <f>E241</f>
        <v>0</v>
      </c>
      <c r="F248" s="2125" t="s">
        <v>226</v>
      </c>
      <c r="G248" s="2128">
        <v>75</v>
      </c>
      <c r="H248" s="1975">
        <f t="shared" si="87"/>
        <v>0</v>
      </c>
      <c r="I248" s="2044">
        <v>28</v>
      </c>
      <c r="J248" s="2129">
        <f t="shared" si="84"/>
        <v>0</v>
      </c>
      <c r="K248" s="2130">
        <f t="shared" si="88"/>
        <v>0</v>
      </c>
      <c r="L248" s="2131" t="s">
        <v>2667</v>
      </c>
      <c r="M248" s="2132"/>
      <c r="N248" s="54">
        <v>225</v>
      </c>
      <c r="O248" s="54">
        <f t="shared" si="89"/>
        <v>75</v>
      </c>
      <c r="P248" s="2126"/>
    </row>
    <row r="249" spans="1:16" s="1765" customFormat="1" ht="24" customHeight="1">
      <c r="A249" s="1804"/>
      <c r="B249" s="1780" t="s">
        <v>1337</v>
      </c>
      <c r="C249" s="1800"/>
      <c r="D249" s="1260"/>
      <c r="E249" s="1801">
        <v>752</v>
      </c>
      <c r="F249" s="1262" t="s">
        <v>226</v>
      </c>
      <c r="G249" s="1515">
        <v>102</v>
      </c>
      <c r="H249" s="1264">
        <f t="shared" si="87"/>
        <v>76704</v>
      </c>
      <c r="I249" s="1344">
        <v>33</v>
      </c>
      <c r="J249" s="1413">
        <f t="shared" si="84"/>
        <v>24816</v>
      </c>
      <c r="K249" s="1415">
        <f t="shared" si="88"/>
        <v>101520</v>
      </c>
      <c r="L249" s="2082" t="s">
        <v>2667</v>
      </c>
      <c r="M249" s="2002"/>
      <c r="N249" s="1765">
        <v>225</v>
      </c>
      <c r="O249" s="1765">
        <f t="shared" si="89"/>
        <v>75</v>
      </c>
      <c r="P249" s="1854"/>
    </row>
    <row r="250" spans="1:16" s="1765" customFormat="1" ht="24" customHeight="1">
      <c r="A250" s="1804"/>
      <c r="B250" s="1780" t="s">
        <v>1338</v>
      </c>
      <c r="C250" s="1800"/>
      <c r="D250" s="1260"/>
      <c r="E250" s="1801"/>
      <c r="F250" s="1262" t="s">
        <v>226</v>
      </c>
      <c r="G250" s="1271">
        <v>131</v>
      </c>
      <c r="H250" s="1264">
        <f t="shared" si="87"/>
        <v>0</v>
      </c>
      <c r="I250" s="1272">
        <v>38</v>
      </c>
      <c r="J250" s="1264">
        <f t="shared" si="84"/>
        <v>0</v>
      </c>
      <c r="K250" s="1273">
        <f t="shared" si="88"/>
        <v>0</v>
      </c>
      <c r="L250" s="2082" t="s">
        <v>2667</v>
      </c>
      <c r="M250" s="2002"/>
      <c r="N250" s="1765">
        <v>391.8</v>
      </c>
      <c r="O250" s="1765">
        <f t="shared" si="89"/>
        <v>131</v>
      </c>
      <c r="P250" s="1854"/>
    </row>
    <row r="251" spans="1:16" s="1765" customFormat="1" ht="24" customHeight="1">
      <c r="A251" s="1804"/>
      <c r="B251" s="1780" t="s">
        <v>1340</v>
      </c>
      <c r="C251" s="1800"/>
      <c r="D251" s="1260"/>
      <c r="E251" s="1801"/>
      <c r="F251" s="1262" t="s">
        <v>226</v>
      </c>
      <c r="G251" s="1271">
        <v>219</v>
      </c>
      <c r="H251" s="1264">
        <f t="shared" si="87"/>
        <v>0</v>
      </c>
      <c r="I251" s="1272">
        <v>48</v>
      </c>
      <c r="J251" s="1264">
        <f t="shared" si="84"/>
        <v>0</v>
      </c>
      <c r="K251" s="1273">
        <f t="shared" si="88"/>
        <v>0</v>
      </c>
      <c r="L251" s="2082" t="s">
        <v>2667</v>
      </c>
      <c r="M251" s="2002"/>
      <c r="N251" s="1765">
        <v>657.6</v>
      </c>
      <c r="O251" s="1765">
        <f t="shared" si="89"/>
        <v>219</v>
      </c>
      <c r="P251" s="1854"/>
    </row>
    <row r="252" spans="1:16" s="1765" customFormat="1" ht="24" customHeight="1">
      <c r="A252" s="1804"/>
      <c r="B252" s="1780" t="s">
        <v>1384</v>
      </c>
      <c r="C252" s="1800"/>
      <c r="D252" s="1260"/>
      <c r="E252" s="1801">
        <v>1</v>
      </c>
      <c r="F252" s="1262" t="s">
        <v>1104</v>
      </c>
      <c r="G252" s="1515">
        <f>ROUND(SUM(H247:H251)*30%,)</f>
        <v>23011</v>
      </c>
      <c r="H252" s="1343">
        <f t="shared" si="83"/>
        <v>23011</v>
      </c>
      <c r="I252" s="1344">
        <v>3832</v>
      </c>
      <c r="J252" s="1343">
        <f t="shared" si="84"/>
        <v>3832</v>
      </c>
      <c r="K252" s="1262">
        <f t="shared" si="88"/>
        <v>26843</v>
      </c>
      <c r="L252" s="1262"/>
      <c r="N252" s="1854"/>
      <c r="O252" s="1854"/>
      <c r="P252" s="1854"/>
    </row>
    <row r="253" spans="1:16" s="1765" customFormat="1" ht="24" customHeight="1">
      <c r="A253" s="1804"/>
      <c r="B253" s="1780" t="s">
        <v>1117</v>
      </c>
      <c r="C253" s="1800"/>
      <c r="D253" s="1260"/>
      <c r="E253" s="1801"/>
      <c r="F253" s="1262"/>
      <c r="G253" s="1515"/>
      <c r="H253" s="1343"/>
      <c r="I253" s="1344"/>
      <c r="J253" s="1343"/>
      <c r="K253" s="1262"/>
      <c r="L253" s="1262"/>
      <c r="N253" s="1854"/>
      <c r="O253" s="1854"/>
      <c r="P253" s="1854"/>
    </row>
    <row r="254" spans="1:16" s="1765" customFormat="1" ht="24" customHeight="1">
      <c r="A254" s="1804"/>
      <c r="B254" s="1799"/>
      <c r="C254" s="1800"/>
      <c r="D254" s="1375"/>
      <c r="E254" s="1801"/>
      <c r="F254" s="1356"/>
      <c r="G254" s="1515"/>
      <c r="H254" s="1369"/>
      <c r="I254" s="1370"/>
      <c r="J254" s="1369"/>
      <c r="K254" s="1356"/>
      <c r="L254" s="1356"/>
      <c r="N254" s="1854"/>
      <c r="O254" s="1854"/>
      <c r="P254" s="1854"/>
    </row>
    <row r="255" spans="1:16" s="1765" customFormat="1" ht="24" customHeight="1">
      <c r="A255" s="1804"/>
      <c r="B255" s="1799" t="s">
        <v>1118</v>
      </c>
      <c r="C255" s="1800"/>
      <c r="D255" s="1375"/>
      <c r="E255" s="1801"/>
      <c r="F255" s="1356"/>
      <c r="G255" s="1515"/>
      <c r="H255" s="1369"/>
      <c r="I255" s="1370"/>
      <c r="J255" s="1369"/>
      <c r="K255" s="1356"/>
      <c r="L255" s="1356"/>
      <c r="N255" s="1854"/>
      <c r="O255" s="2094"/>
      <c r="P255" s="1854"/>
    </row>
    <row r="256" spans="1:16" s="1765" customFormat="1" ht="24" customHeight="1">
      <c r="A256" s="1804"/>
      <c r="B256" s="1799"/>
      <c r="C256" s="1800"/>
      <c r="D256" s="1375"/>
      <c r="E256" s="1801"/>
      <c r="F256" s="1356"/>
      <c r="G256" s="1515"/>
      <c r="H256" s="1369"/>
      <c r="I256" s="1370"/>
      <c r="J256" s="1369"/>
      <c r="K256" s="1356"/>
      <c r="L256" s="1356"/>
      <c r="N256" s="1854"/>
      <c r="O256" s="2094"/>
      <c r="P256" s="1854"/>
    </row>
    <row r="257" spans="1:16" s="1765" customFormat="1" ht="24" customHeight="1">
      <c r="A257" s="1804"/>
      <c r="B257" s="1799"/>
      <c r="C257" s="1800"/>
      <c r="D257" s="1375"/>
      <c r="E257" s="1801"/>
      <c r="F257" s="1356"/>
      <c r="G257" s="1515"/>
      <c r="H257" s="1369"/>
      <c r="I257" s="1370"/>
      <c r="J257" s="1369"/>
      <c r="K257" s="1356"/>
      <c r="L257" s="1356"/>
      <c r="N257" s="1854"/>
      <c r="O257" s="2094"/>
      <c r="P257" s="1854"/>
    </row>
    <row r="258" spans="1:16" s="1765" customFormat="1" ht="24" customHeight="1">
      <c r="A258" s="1449"/>
      <c r="B258" s="1538" t="s">
        <v>1118</v>
      </c>
      <c r="C258" s="1437"/>
      <c r="D258" s="1275"/>
      <c r="E258" s="1768"/>
      <c r="F258" s="1358"/>
      <c r="G258" s="1516"/>
      <c r="H258" s="1264"/>
      <c r="I258" s="1265"/>
      <c r="J258" s="1264"/>
      <c r="K258" s="1273"/>
      <c r="L258" s="1273"/>
    </row>
    <row r="259" spans="1:16" s="1765" customFormat="1" ht="24" customHeight="1">
      <c r="A259" s="1578"/>
      <c r="B259" s="2257" t="s">
        <v>2777</v>
      </c>
      <c r="C259" s="2258"/>
      <c r="D259" s="2259"/>
      <c r="E259" s="2095"/>
      <c r="F259" s="1579"/>
      <c r="G259" s="1580"/>
      <c r="H259" s="1581">
        <f>SUM(H235:H255)</f>
        <v>233381</v>
      </c>
      <c r="I259" s="1582"/>
      <c r="J259" s="1581">
        <f>SUM(J235:J255)</f>
        <v>79804</v>
      </c>
      <c r="K259" s="1583">
        <f>SUM(K235:K255)</f>
        <v>313185</v>
      </c>
      <c r="L259" s="1583"/>
    </row>
    <row r="260" spans="1:16" s="1765" customFormat="1" ht="24" customHeight="1">
      <c r="A260" s="1291" t="s">
        <v>2130</v>
      </c>
      <c r="B260" s="1776" t="s">
        <v>2109</v>
      </c>
      <c r="C260" s="1293"/>
      <c r="D260" s="1294"/>
      <c r="E260" s="1786"/>
      <c r="F260" s="1296"/>
      <c r="G260" s="1357"/>
      <c r="H260" s="1298"/>
      <c r="I260" s="1299"/>
      <c r="J260" s="1298"/>
      <c r="K260" s="1382"/>
      <c r="L260" s="1382"/>
    </row>
    <row r="261" spans="1:16" s="1765" customFormat="1" ht="24" customHeight="1">
      <c r="A261" s="1766" t="s">
        <v>2268</v>
      </c>
      <c r="B261" s="1799" t="s">
        <v>2111</v>
      </c>
      <c r="C261" s="1800"/>
      <c r="D261" s="1375"/>
      <c r="E261" s="1802"/>
      <c r="F261" s="1356" t="s">
        <v>363</v>
      </c>
      <c r="G261" s="1803">
        <v>690000</v>
      </c>
      <c r="H261" s="1343">
        <f t="shared" ref="H261" si="90">ROUND(E261*G261,)</f>
        <v>0</v>
      </c>
      <c r="I261" s="1370">
        <v>17250</v>
      </c>
      <c r="J261" s="1343">
        <f t="shared" ref="J261:J268" si="91">ROUND(E261*I261,)</f>
        <v>0</v>
      </c>
      <c r="K261" s="1262">
        <f t="shared" ref="K261:K268" si="92">H261+J261</f>
        <v>0</v>
      </c>
      <c r="L261" s="1356"/>
    </row>
    <row r="262" spans="1:16" s="1765" customFormat="1" ht="24" customHeight="1">
      <c r="A262" s="1766" t="s">
        <v>2272</v>
      </c>
      <c r="B262" s="1799" t="s">
        <v>2113</v>
      </c>
      <c r="C262" s="1800"/>
      <c r="D262" s="1375"/>
      <c r="E262" s="1802"/>
      <c r="F262" s="1356" t="s">
        <v>363</v>
      </c>
      <c r="G262" s="1803">
        <v>80000</v>
      </c>
      <c r="H262" s="1343">
        <f>ROUND(E262*G262,)</f>
        <v>0</v>
      </c>
      <c r="I262" s="1370">
        <v>2000</v>
      </c>
      <c r="J262" s="1343">
        <f t="shared" si="91"/>
        <v>0</v>
      </c>
      <c r="K262" s="1262">
        <f t="shared" si="92"/>
        <v>0</v>
      </c>
      <c r="L262" s="1356"/>
    </row>
    <row r="263" spans="1:16" s="1765" customFormat="1" ht="24" customHeight="1">
      <c r="A263" s="1766" t="s">
        <v>2274</v>
      </c>
      <c r="B263" s="1538" t="s">
        <v>1816</v>
      </c>
      <c r="C263" s="1437"/>
      <c r="D263" s="1275"/>
      <c r="E263" s="1768"/>
      <c r="F263" s="1358"/>
      <c r="G263" s="1516">
        <v>950000</v>
      </c>
      <c r="H263" s="1264">
        <f t="shared" ref="H263:H268" si="93">ROUND(E263*G263,)</f>
        <v>0</v>
      </c>
      <c r="I263" s="1265">
        <f>G263*0.015</f>
        <v>14250</v>
      </c>
      <c r="J263" s="1264">
        <f t="shared" si="91"/>
        <v>0</v>
      </c>
      <c r="K263" s="1273">
        <f t="shared" si="92"/>
        <v>0</v>
      </c>
      <c r="L263" s="1273"/>
    </row>
    <row r="264" spans="1:16" s="1765" customFormat="1" ht="24" customHeight="1">
      <c r="A264" s="1766"/>
      <c r="B264" s="1538" t="s">
        <v>2115</v>
      </c>
      <c r="C264" s="1437"/>
      <c r="D264" s="1275"/>
      <c r="E264" s="2141"/>
      <c r="F264" s="1358" t="s">
        <v>363</v>
      </c>
      <c r="G264" s="1515">
        <v>2650</v>
      </c>
      <c r="H264" s="1343">
        <f t="shared" si="93"/>
        <v>0</v>
      </c>
      <c r="I264" s="1370">
        <v>500</v>
      </c>
      <c r="J264" s="1343">
        <f t="shared" si="91"/>
        <v>0</v>
      </c>
      <c r="K264" s="1262">
        <f t="shared" si="92"/>
        <v>0</v>
      </c>
      <c r="L264" s="1273"/>
    </row>
    <row r="265" spans="1:16" s="1765" customFormat="1" ht="24" customHeight="1">
      <c r="A265" s="1766"/>
      <c r="B265" s="1538" t="s">
        <v>2116</v>
      </c>
      <c r="C265" s="1437"/>
      <c r="D265" s="1275"/>
      <c r="E265" s="2141"/>
      <c r="F265" s="1358" t="s">
        <v>363</v>
      </c>
      <c r="G265" s="1515">
        <v>560</v>
      </c>
      <c r="H265" s="1343">
        <f t="shared" si="93"/>
        <v>0</v>
      </c>
      <c r="I265" s="1370">
        <v>500</v>
      </c>
      <c r="J265" s="1343">
        <f t="shared" si="91"/>
        <v>0</v>
      </c>
      <c r="K265" s="1262">
        <f t="shared" si="92"/>
        <v>0</v>
      </c>
      <c r="L265" s="1273"/>
    </row>
    <row r="266" spans="1:16" s="1765" customFormat="1" ht="24" customHeight="1">
      <c r="A266" s="1258"/>
      <c r="B266" s="1538" t="s">
        <v>2117</v>
      </c>
      <c r="C266" s="1437"/>
      <c r="D266" s="1275"/>
      <c r="E266" s="1768"/>
      <c r="F266" s="1358" t="s">
        <v>363</v>
      </c>
      <c r="G266" s="1515">
        <v>1340</v>
      </c>
      <c r="H266" s="1343">
        <f t="shared" si="93"/>
        <v>0</v>
      </c>
      <c r="I266" s="1370">
        <v>500</v>
      </c>
      <c r="J266" s="1343">
        <f t="shared" si="91"/>
        <v>0</v>
      </c>
      <c r="K266" s="1262">
        <f t="shared" si="92"/>
        <v>0</v>
      </c>
      <c r="L266" s="1273"/>
    </row>
    <row r="267" spans="1:16" s="1765" customFormat="1" ht="24" customHeight="1">
      <c r="A267" s="1258"/>
      <c r="B267" s="1538" t="s">
        <v>2118</v>
      </c>
      <c r="C267" s="1437"/>
      <c r="D267" s="1275"/>
      <c r="E267" s="1768"/>
      <c r="F267" s="1358" t="s">
        <v>363</v>
      </c>
      <c r="G267" s="1515">
        <v>760</v>
      </c>
      <c r="H267" s="1343">
        <f t="shared" si="93"/>
        <v>0</v>
      </c>
      <c r="I267" s="1370">
        <v>500</v>
      </c>
      <c r="J267" s="1343">
        <f t="shared" si="91"/>
        <v>0</v>
      </c>
      <c r="K267" s="1262">
        <f t="shared" si="92"/>
        <v>0</v>
      </c>
      <c r="L267" s="1273"/>
    </row>
    <row r="268" spans="1:16" s="1765" customFormat="1" ht="24" customHeight="1">
      <c r="A268" s="1258"/>
      <c r="B268" s="1538" t="s">
        <v>2119</v>
      </c>
      <c r="C268" s="1437"/>
      <c r="D268" s="1275"/>
      <c r="E268" s="2141"/>
      <c r="F268" s="1358" t="s">
        <v>363</v>
      </c>
      <c r="G268" s="1515">
        <v>1340</v>
      </c>
      <c r="H268" s="1343">
        <f t="shared" si="93"/>
        <v>0</v>
      </c>
      <c r="I268" s="1370">
        <v>500</v>
      </c>
      <c r="J268" s="1343">
        <f t="shared" si="91"/>
        <v>0</v>
      </c>
      <c r="K268" s="1262">
        <f t="shared" si="92"/>
        <v>0</v>
      </c>
      <c r="L268" s="1273"/>
    </row>
    <row r="269" spans="1:16" s="1765" customFormat="1" ht="24" customHeight="1">
      <c r="A269" s="1258"/>
      <c r="B269" s="1538" t="s">
        <v>2120</v>
      </c>
      <c r="C269" s="1437"/>
      <c r="D269" s="1275"/>
      <c r="E269" s="1768"/>
      <c r="F269" s="1358" t="s">
        <v>363</v>
      </c>
      <c r="G269" s="1515"/>
      <c r="H269" s="1369"/>
      <c r="I269" s="1370"/>
      <c r="J269" s="1369"/>
      <c r="K269" s="1356"/>
      <c r="L269" s="1273"/>
    </row>
    <row r="270" spans="1:16" s="1765" customFormat="1" ht="24" customHeight="1">
      <c r="A270" s="1258"/>
      <c r="B270" s="1538" t="s">
        <v>2121</v>
      </c>
      <c r="C270" s="1437"/>
      <c r="D270" s="1275"/>
      <c r="E270" s="2141"/>
      <c r="F270" s="1358" t="s">
        <v>363</v>
      </c>
      <c r="G270" s="1515">
        <v>4550</v>
      </c>
      <c r="H270" s="1343">
        <f t="shared" ref="H270" si="94">ROUND(E270*G270,)</f>
        <v>0</v>
      </c>
      <c r="I270" s="1370">
        <v>1365</v>
      </c>
      <c r="J270" s="1343">
        <f t="shared" ref="J270" si="95">ROUND(E270*I270,)</f>
        <v>0</v>
      </c>
      <c r="K270" s="1262">
        <f t="shared" ref="K270" si="96">H270+J270</f>
        <v>0</v>
      </c>
      <c r="L270" s="1273"/>
    </row>
    <row r="271" spans="1:16" s="1765" customFormat="1" ht="24" customHeight="1">
      <c r="A271" s="1766" t="s">
        <v>2278</v>
      </c>
      <c r="B271" s="1538" t="s">
        <v>2122</v>
      </c>
      <c r="C271" s="1437"/>
      <c r="D271" s="1275"/>
      <c r="E271" s="1768"/>
      <c r="F271" s="1358"/>
      <c r="G271" s="1516"/>
      <c r="H271" s="1264"/>
      <c r="I271" s="1265"/>
      <c r="J271" s="1264"/>
      <c r="K271" s="1273"/>
      <c r="L271" s="1273"/>
    </row>
    <row r="272" spans="1:16" s="1765" customFormat="1" ht="24" customHeight="1">
      <c r="A272" s="1258"/>
      <c r="B272" s="1538" t="s">
        <v>2123</v>
      </c>
      <c r="C272" s="1437"/>
      <c r="D272" s="1275"/>
      <c r="E272" s="1801">
        <f>30</f>
        <v>30</v>
      </c>
      <c r="F272" s="1356" t="s">
        <v>226</v>
      </c>
      <c r="G272" s="1515">
        <v>139</v>
      </c>
      <c r="H272" s="1343">
        <f t="shared" ref="H272:H273" si="97">ROUND(E272*G272,)</f>
        <v>4170</v>
      </c>
      <c r="I272" s="1370">
        <v>21</v>
      </c>
      <c r="J272" s="1343">
        <f t="shared" ref="J272:J273" si="98">ROUND(E272*I272,)</f>
        <v>630</v>
      </c>
      <c r="K272" s="1262">
        <f t="shared" ref="K272:K273" si="99">H272+J272</f>
        <v>4800</v>
      </c>
      <c r="L272" s="1273"/>
    </row>
    <row r="273" spans="1:15" s="1765" customFormat="1" ht="24" customHeight="1">
      <c r="A273" s="1258"/>
      <c r="B273" s="1538" t="s">
        <v>2124</v>
      </c>
      <c r="C273" s="1437"/>
      <c r="D273" s="1275"/>
      <c r="E273" s="1801">
        <f>30</f>
        <v>30</v>
      </c>
      <c r="F273" s="1356" t="s">
        <v>226</v>
      </c>
      <c r="G273" s="1515">
        <v>103</v>
      </c>
      <c r="H273" s="1343">
        <f t="shared" si="97"/>
        <v>3090</v>
      </c>
      <c r="I273" s="1370">
        <v>15</v>
      </c>
      <c r="J273" s="1343">
        <f t="shared" si="98"/>
        <v>450</v>
      </c>
      <c r="K273" s="1262">
        <f t="shared" si="99"/>
        <v>3540</v>
      </c>
      <c r="L273" s="1273"/>
    </row>
    <row r="274" spans="1:15" s="1765" customFormat="1" ht="24" customHeight="1">
      <c r="A274" s="1258"/>
      <c r="B274" s="1538" t="s">
        <v>1548</v>
      </c>
      <c r="C274" s="1437"/>
      <c r="D274" s="1275"/>
      <c r="E274" s="1768"/>
      <c r="F274" s="1358" t="s">
        <v>226</v>
      </c>
      <c r="G274" s="1516"/>
      <c r="H274" s="1264"/>
      <c r="I274" s="1265"/>
      <c r="J274" s="1264"/>
      <c r="K274" s="1273"/>
      <c r="L274" s="1273"/>
    </row>
    <row r="275" spans="1:15" s="1765" customFormat="1" ht="24" customHeight="1">
      <c r="A275" s="1804"/>
      <c r="B275" s="1799" t="s">
        <v>2125</v>
      </c>
      <c r="C275" s="1800"/>
      <c r="D275" s="1375"/>
      <c r="E275" s="1801"/>
      <c r="F275" s="1356" t="s">
        <v>226</v>
      </c>
      <c r="G275" s="1515">
        <v>24</v>
      </c>
      <c r="H275" s="1343">
        <f t="shared" ref="H275:H277" si="100">ROUND(E275*G275,)</f>
        <v>0</v>
      </c>
      <c r="I275" s="1370">
        <v>8</v>
      </c>
      <c r="J275" s="1343">
        <f t="shared" ref="J275:J277" si="101">ROUND(E275*I275,)</f>
        <v>0</v>
      </c>
      <c r="K275" s="1262">
        <f t="shared" ref="K275:K277" si="102">H275+J275</f>
        <v>0</v>
      </c>
      <c r="L275" s="1356"/>
    </row>
    <row r="276" spans="1:15" s="1765" customFormat="1" ht="24" customHeight="1">
      <c r="A276" s="1804"/>
      <c r="B276" s="1799" t="s">
        <v>2126</v>
      </c>
      <c r="C276" s="1800"/>
      <c r="D276" s="1375"/>
      <c r="E276" s="1801"/>
      <c r="F276" s="1356" t="s">
        <v>226</v>
      </c>
      <c r="G276" s="1515">
        <v>15</v>
      </c>
      <c r="H276" s="1343">
        <f t="shared" si="100"/>
        <v>0</v>
      </c>
      <c r="I276" s="1370">
        <v>5</v>
      </c>
      <c r="J276" s="1343">
        <f t="shared" si="101"/>
        <v>0</v>
      </c>
      <c r="K276" s="1262">
        <f t="shared" si="102"/>
        <v>0</v>
      </c>
      <c r="L276" s="1356"/>
    </row>
    <row r="277" spans="1:15" s="1765" customFormat="1" ht="24" customHeight="1">
      <c r="A277" s="1804"/>
      <c r="B277" s="1799" t="s">
        <v>2127</v>
      </c>
      <c r="C277" s="1800"/>
      <c r="D277" s="1375"/>
      <c r="E277" s="1801">
        <v>1</v>
      </c>
      <c r="F277" s="1356" t="s">
        <v>1104</v>
      </c>
      <c r="G277" s="1515">
        <f>SUM(H272:H276)*5%</f>
        <v>363</v>
      </c>
      <c r="H277" s="1343">
        <f t="shared" si="100"/>
        <v>363</v>
      </c>
      <c r="I277" s="1370">
        <v>19745</v>
      </c>
      <c r="J277" s="1343">
        <f t="shared" si="101"/>
        <v>19745</v>
      </c>
      <c r="K277" s="1262">
        <f t="shared" si="102"/>
        <v>20108</v>
      </c>
      <c r="L277" s="1356"/>
    </row>
    <row r="278" spans="1:15" s="1765" customFormat="1" ht="24" customHeight="1">
      <c r="A278" s="1766" t="s">
        <v>2280</v>
      </c>
      <c r="B278" s="1538" t="s">
        <v>1110</v>
      </c>
      <c r="C278" s="1437"/>
      <c r="D278" s="1275"/>
      <c r="E278" s="1768"/>
      <c r="F278" s="1358"/>
      <c r="G278" s="1515"/>
      <c r="H278" s="1264"/>
      <c r="I278" s="1265"/>
      <c r="J278" s="1264"/>
      <c r="K278" s="1273"/>
      <c r="L278" s="1273"/>
    </row>
    <row r="279" spans="1:15" s="1765" customFormat="1" ht="24" customHeight="1">
      <c r="A279" s="1766"/>
      <c r="B279" s="1538" t="s">
        <v>1350</v>
      </c>
      <c r="C279" s="1437"/>
      <c r="D279" s="1275"/>
      <c r="E279" s="1768">
        <f>60</f>
        <v>60</v>
      </c>
      <c r="F279" s="1358" t="s">
        <v>226</v>
      </c>
      <c r="G279" s="2004">
        <v>56</v>
      </c>
      <c r="H279" s="1413">
        <f t="shared" ref="H279:H280" si="103">ROUND(E279*G279,)</f>
        <v>3360</v>
      </c>
      <c r="I279" s="1541">
        <v>28</v>
      </c>
      <c r="J279" s="2006">
        <f t="shared" ref="J279:J280" si="104">ROUND(E279*I279,)</f>
        <v>1680</v>
      </c>
      <c r="K279" s="715">
        <f t="shared" ref="K279:K280" si="105">H279+J279</f>
        <v>5040</v>
      </c>
      <c r="L279" s="2082" t="s">
        <v>2667</v>
      </c>
      <c r="M279" s="2002"/>
      <c r="N279" s="1199">
        <v>169.2</v>
      </c>
      <c r="O279" s="1199">
        <f>ROUND(N279/3,)</f>
        <v>56</v>
      </c>
    </row>
    <row r="280" spans="1:15" s="1765" customFormat="1" ht="24" customHeight="1">
      <c r="A280" s="1804"/>
      <c r="B280" s="1799" t="s">
        <v>2128</v>
      </c>
      <c r="C280" s="1800"/>
      <c r="D280" s="1375"/>
      <c r="E280" s="1801">
        <v>1</v>
      </c>
      <c r="F280" s="1356" t="s">
        <v>1104</v>
      </c>
      <c r="G280" s="1515">
        <f>H279*15%</f>
        <v>504</v>
      </c>
      <c r="H280" s="1343">
        <f t="shared" si="103"/>
        <v>504</v>
      </c>
      <c r="I280" s="1370">
        <v>58174</v>
      </c>
      <c r="J280" s="1343">
        <f t="shared" si="104"/>
        <v>58174</v>
      </c>
      <c r="K280" s="1262">
        <f t="shared" si="105"/>
        <v>58678</v>
      </c>
      <c r="L280" s="1356"/>
    </row>
    <row r="281" spans="1:15" s="1765" customFormat="1" ht="24" customHeight="1">
      <c r="A281" s="1766" t="s">
        <v>2629</v>
      </c>
      <c r="B281" s="1538" t="s">
        <v>1343</v>
      </c>
      <c r="C281" s="1437"/>
      <c r="D281" s="1275"/>
      <c r="E281" s="1768"/>
      <c r="F281" s="1358"/>
      <c r="G281" s="1515"/>
      <c r="H281" s="1264"/>
      <c r="I281" s="1265"/>
      <c r="J281" s="1264"/>
      <c r="K281" s="1273"/>
      <c r="L281" s="1273"/>
    </row>
    <row r="282" spans="1:15" s="1765" customFormat="1" ht="24" customHeight="1">
      <c r="A282" s="1258"/>
      <c r="B282" s="1538" t="s">
        <v>2129</v>
      </c>
      <c r="C282" s="1437"/>
      <c r="D282" s="1275"/>
      <c r="E282" s="1801"/>
      <c r="F282" s="1356" t="s">
        <v>226</v>
      </c>
      <c r="G282" s="1386">
        <v>316</v>
      </c>
      <c r="H282" s="1343">
        <f t="shared" ref="H282:H283" si="106">ROUND(E282*G282,)</f>
        <v>0</v>
      </c>
      <c r="I282" s="1414">
        <v>50</v>
      </c>
      <c r="J282" s="1343">
        <f t="shared" ref="J282:J283" si="107">ROUND(E282*I282,)</f>
        <v>0</v>
      </c>
      <c r="K282" s="1262">
        <f t="shared" ref="K282:K283" si="108">H282+J282</f>
        <v>0</v>
      </c>
      <c r="L282" s="1273"/>
    </row>
    <row r="283" spans="1:15" s="1765" customFormat="1" ht="24" customHeight="1">
      <c r="A283" s="1258"/>
      <c r="B283" s="1538" t="s">
        <v>2128</v>
      </c>
      <c r="C283" s="1437"/>
      <c r="D283" s="1275"/>
      <c r="E283" s="1801"/>
      <c r="F283" s="1356" t="s">
        <v>1104</v>
      </c>
      <c r="G283" s="1515">
        <f>H282*15%</f>
        <v>0</v>
      </c>
      <c r="H283" s="1343">
        <f t="shared" si="106"/>
        <v>0</v>
      </c>
      <c r="I283" s="1370">
        <v>16637</v>
      </c>
      <c r="J283" s="1343">
        <f t="shared" si="107"/>
        <v>0</v>
      </c>
      <c r="K283" s="1262">
        <f t="shared" si="108"/>
        <v>0</v>
      </c>
      <c r="L283" s="1273"/>
    </row>
    <row r="284" spans="1:15" s="1199" customFormat="1" ht="22.15" customHeight="1">
      <c r="A284" s="1578"/>
      <c r="B284" s="2257" t="str">
        <f>"รวมราคารายการที่ "&amp;A260</f>
        <v>รวมราคารายการที่ 7.10</v>
      </c>
      <c r="C284" s="2258"/>
      <c r="D284" s="2259"/>
      <c r="E284" s="1579"/>
      <c r="F284" s="1579"/>
      <c r="G284" s="1580"/>
      <c r="H284" s="1581">
        <f>SUM(H260:H283)</f>
        <v>11487</v>
      </c>
      <c r="I284" s="1582"/>
      <c r="J284" s="1581">
        <f>SUM(J260:J283)</f>
        <v>80679</v>
      </c>
      <c r="K284" s="1581">
        <f>SUM(K260:K283)</f>
        <v>92166</v>
      </c>
      <c r="L284" s="1583"/>
    </row>
    <row r="285" spans="1:15" s="1199" customFormat="1" ht="24" customHeight="1">
      <c r="A285" s="1291" t="s">
        <v>2282</v>
      </c>
      <c r="B285" s="1776" t="s">
        <v>1424</v>
      </c>
      <c r="C285" s="1293"/>
      <c r="D285" s="1294"/>
      <c r="E285" s="1786">
        <v>1</v>
      </c>
      <c r="F285" s="1296" t="s">
        <v>1104</v>
      </c>
      <c r="G285" s="1357">
        <f>132*10000</f>
        <v>1320000</v>
      </c>
      <c r="H285" s="1298">
        <f t="shared" ref="H285" si="109">ROUND(E285*G285,)</f>
        <v>1320000</v>
      </c>
      <c r="I285" s="1299">
        <f>G285*0.05</f>
        <v>66000</v>
      </c>
      <c r="J285" s="1264">
        <f t="shared" ref="J285" si="110">ROUND(E285*I285,)</f>
        <v>66000</v>
      </c>
      <c r="K285" s="1382">
        <f t="shared" ref="K285" si="111">H285+J285</f>
        <v>1386000</v>
      </c>
      <c r="L285" s="1382"/>
    </row>
    <row r="286" spans="1:15" s="1199" customFormat="1" ht="24" customHeight="1">
      <c r="A286" s="1766"/>
      <c r="B286" s="1538"/>
      <c r="C286" s="1437"/>
      <c r="D286" s="1275"/>
      <c r="E286" s="1768"/>
      <c r="F286" s="1358"/>
      <c r="G286" s="1515"/>
      <c r="H286" s="1343"/>
      <c r="I286" s="1370"/>
      <c r="J286" s="1343"/>
      <c r="K286" s="1262"/>
      <c r="L286" s="1273"/>
    </row>
    <row r="287" spans="1:15" s="1199" customFormat="1" ht="24" customHeight="1">
      <c r="A287" s="1258"/>
      <c r="B287" s="1538"/>
      <c r="C287" s="1437"/>
      <c r="D287" s="1275"/>
      <c r="E287" s="1768"/>
      <c r="F287" s="1358"/>
      <c r="G287" s="1515"/>
      <c r="H287" s="1343"/>
      <c r="I287" s="1370"/>
      <c r="J287" s="1343"/>
      <c r="K287" s="1262"/>
      <c r="L287" s="1273"/>
    </row>
    <row r="288" spans="1:15" s="1199" customFormat="1" ht="24" customHeight="1">
      <c r="A288" s="1258"/>
      <c r="B288" s="1538"/>
      <c r="C288" s="1437"/>
      <c r="D288" s="1275"/>
      <c r="E288" s="1768"/>
      <c r="F288" s="1358"/>
      <c r="G288" s="1515"/>
      <c r="H288" s="1343"/>
      <c r="I288" s="1370"/>
      <c r="J288" s="1343"/>
      <c r="K288" s="1262"/>
      <c r="L288" s="1273"/>
    </row>
    <row r="289" spans="1:12" s="1199" customFormat="1" ht="24" customHeight="1">
      <c r="A289" s="1258"/>
      <c r="B289" s="1538"/>
      <c r="C289" s="1437"/>
      <c r="D289" s="1275"/>
      <c r="E289" s="1768"/>
      <c r="F289" s="1358"/>
      <c r="G289" s="1515"/>
      <c r="H289" s="1343"/>
      <c r="I289" s="1370"/>
      <c r="J289" s="1343"/>
      <c r="K289" s="1262"/>
      <c r="L289" s="1273"/>
    </row>
    <row r="290" spans="1:12" s="1199" customFormat="1" ht="24" customHeight="1">
      <c r="A290" s="1766"/>
      <c r="B290" s="1538"/>
      <c r="C290" s="1437"/>
      <c r="D290" s="1275"/>
      <c r="E290" s="1768"/>
      <c r="F290" s="1358"/>
      <c r="G290" s="1515"/>
      <c r="H290" s="1343"/>
      <c r="I290" s="1370"/>
      <c r="J290" s="1343"/>
      <c r="K290" s="1262"/>
      <c r="L290" s="1273"/>
    </row>
    <row r="291" spans="1:12" s="1199" customFormat="1" ht="24" customHeight="1">
      <c r="A291" s="1766"/>
      <c r="B291" s="1538"/>
      <c r="C291" s="1437"/>
      <c r="D291" s="1275"/>
      <c r="E291" s="1768"/>
      <c r="F291" s="1358"/>
      <c r="G291" s="1516"/>
      <c r="H291" s="1264"/>
      <c r="I291" s="1265"/>
      <c r="J291" s="1264"/>
      <c r="K291" s="1273"/>
      <c r="L291" s="1273"/>
    </row>
    <row r="292" spans="1:12">
      <c r="A292" s="1578"/>
      <c r="B292" s="2257" t="str">
        <f>"รวมราคารายการที่ "&amp;A285</f>
        <v>รวมราคารายการที่ 7.11</v>
      </c>
      <c r="C292" s="2258"/>
      <c r="D292" s="2259"/>
      <c r="E292" s="1579"/>
      <c r="F292" s="1579"/>
      <c r="G292" s="1580"/>
      <c r="H292" s="1581">
        <f>SUM(H285:H291)</f>
        <v>1320000</v>
      </c>
      <c r="I292" s="1582"/>
      <c r="J292" s="1581">
        <f>SUM(J285:J291)</f>
        <v>66000</v>
      </c>
      <c r="K292" s="1583">
        <f>SUM(K285:K291)</f>
        <v>1386000</v>
      </c>
      <c r="L292" s="1583"/>
    </row>
    <row r="293" spans="1:12" s="1199" customFormat="1" ht="24" customHeight="1">
      <c r="A293" s="1291">
        <v>7.12</v>
      </c>
      <c r="B293" s="2050" t="s">
        <v>2132</v>
      </c>
      <c r="C293" s="1293"/>
      <c r="D293" s="1294"/>
      <c r="E293" s="1786"/>
      <c r="F293" s="1296"/>
      <c r="G293" s="1357"/>
      <c r="H293" s="1298"/>
      <c r="I293" s="1299"/>
      <c r="J293" s="1264"/>
      <c r="K293" s="1382"/>
      <c r="L293" s="1382"/>
    </row>
    <row r="294" spans="1:12" s="1199" customFormat="1" ht="24" customHeight="1">
      <c r="A294" s="1766" t="s">
        <v>2778</v>
      </c>
      <c r="B294" s="1780" t="s">
        <v>2134</v>
      </c>
      <c r="C294" s="1260"/>
      <c r="D294" s="1781"/>
      <c r="E294" s="715"/>
      <c r="F294" s="1415"/>
      <c r="G294" s="1772"/>
      <c r="H294" s="1343"/>
      <c r="I294" s="1386"/>
      <c r="J294" s="1343"/>
      <c r="K294" s="1344"/>
      <c r="L294" s="1273"/>
    </row>
    <row r="295" spans="1:12" s="1199" customFormat="1" ht="24" customHeight="1">
      <c r="A295" s="1258"/>
      <c r="B295" s="1780" t="s">
        <v>2583</v>
      </c>
      <c r="C295" s="1260"/>
      <c r="D295" s="1781"/>
      <c r="E295" s="715">
        <v>1</v>
      </c>
      <c r="F295" s="1415" t="s">
        <v>363</v>
      </c>
      <c r="G295" s="1772">
        <v>13806</v>
      </c>
      <c r="H295" s="1343">
        <f t="shared" ref="H295:H339" si="112">ROUND(E295*G295,)</f>
        <v>13806</v>
      </c>
      <c r="I295" s="1386">
        <v>1380.6000000000001</v>
      </c>
      <c r="J295" s="1343">
        <f t="shared" ref="J295:J339" si="113">ROUND(E295*I295,)</f>
        <v>1381</v>
      </c>
      <c r="K295" s="1801">
        <f t="shared" ref="K295:K339" si="114">H295+J295</f>
        <v>15187</v>
      </c>
      <c r="L295" s="1273"/>
    </row>
    <row r="296" spans="1:12" s="1199" customFormat="1" ht="24" customHeight="1">
      <c r="A296" s="1258"/>
      <c r="B296" s="1780" t="s">
        <v>2584</v>
      </c>
      <c r="C296" s="1260"/>
      <c r="D296" s="1781"/>
      <c r="E296" s="715">
        <v>1</v>
      </c>
      <c r="F296" s="1415" t="s">
        <v>363</v>
      </c>
      <c r="G296" s="1772">
        <v>13806</v>
      </c>
      <c r="H296" s="1343">
        <f t="shared" si="112"/>
        <v>13806</v>
      </c>
      <c r="I296" s="1386">
        <v>1380.6000000000001</v>
      </c>
      <c r="J296" s="1343">
        <f t="shared" si="113"/>
        <v>1381</v>
      </c>
      <c r="K296" s="1801">
        <f t="shared" si="114"/>
        <v>15187</v>
      </c>
      <c r="L296" s="1273"/>
    </row>
    <row r="297" spans="1:12" s="1199" customFormat="1" ht="24" customHeight="1">
      <c r="A297" s="1258"/>
      <c r="B297" s="1780" t="s">
        <v>2585</v>
      </c>
      <c r="C297" s="1260"/>
      <c r="D297" s="1781"/>
      <c r="E297" s="715">
        <v>1</v>
      </c>
      <c r="F297" s="1415" t="s">
        <v>363</v>
      </c>
      <c r="G297" s="1772">
        <v>13806</v>
      </c>
      <c r="H297" s="1343">
        <f t="shared" si="112"/>
        <v>13806</v>
      </c>
      <c r="I297" s="1386">
        <v>1380.6000000000001</v>
      </c>
      <c r="J297" s="1343">
        <f t="shared" si="113"/>
        <v>1381</v>
      </c>
      <c r="K297" s="1801">
        <f t="shared" si="114"/>
        <v>15187</v>
      </c>
      <c r="L297" s="1273"/>
    </row>
    <row r="298" spans="1:12" s="1199" customFormat="1" ht="24" customHeight="1">
      <c r="A298" s="1258"/>
      <c r="B298" s="1780" t="s">
        <v>2586</v>
      </c>
      <c r="C298" s="1260"/>
      <c r="D298" s="1781"/>
      <c r="E298" s="715">
        <v>1</v>
      </c>
      <c r="F298" s="1415" t="s">
        <v>363</v>
      </c>
      <c r="G298" s="1772">
        <v>13806</v>
      </c>
      <c r="H298" s="1343">
        <f t="shared" si="112"/>
        <v>13806</v>
      </c>
      <c r="I298" s="1386">
        <v>1380.6000000000001</v>
      </c>
      <c r="J298" s="1343">
        <f t="shared" si="113"/>
        <v>1381</v>
      </c>
      <c r="K298" s="1801">
        <f t="shared" si="114"/>
        <v>15187</v>
      </c>
      <c r="L298" s="1273"/>
    </row>
    <row r="299" spans="1:12" s="1199" customFormat="1" ht="24" customHeight="1">
      <c r="A299" s="1258"/>
      <c r="B299" s="1780" t="s">
        <v>2587</v>
      </c>
      <c r="C299" s="1260"/>
      <c r="D299" s="1781"/>
      <c r="E299" s="715">
        <v>1</v>
      </c>
      <c r="F299" s="1415" t="s">
        <v>363</v>
      </c>
      <c r="G299" s="1772">
        <v>13806</v>
      </c>
      <c r="H299" s="1343">
        <f t="shared" si="112"/>
        <v>13806</v>
      </c>
      <c r="I299" s="1386">
        <v>1380.6000000000001</v>
      </c>
      <c r="J299" s="1343">
        <f t="shared" si="113"/>
        <v>1381</v>
      </c>
      <c r="K299" s="1801">
        <f t="shared" si="114"/>
        <v>15187</v>
      </c>
      <c r="L299" s="1273"/>
    </row>
    <row r="300" spans="1:12" s="1199" customFormat="1" ht="24" customHeight="1">
      <c r="A300" s="1258"/>
      <c r="B300" s="1780" t="s">
        <v>2588</v>
      </c>
      <c r="C300" s="1260"/>
      <c r="D300" s="1781"/>
      <c r="E300" s="715">
        <v>1</v>
      </c>
      <c r="F300" s="1415" t="s">
        <v>363</v>
      </c>
      <c r="G300" s="1772">
        <v>13806</v>
      </c>
      <c r="H300" s="1343">
        <f t="shared" si="112"/>
        <v>13806</v>
      </c>
      <c r="I300" s="1386">
        <v>1380.6000000000001</v>
      </c>
      <c r="J300" s="1343">
        <f t="shared" si="113"/>
        <v>1381</v>
      </c>
      <c r="K300" s="1801">
        <f t="shared" si="114"/>
        <v>15187</v>
      </c>
      <c r="L300" s="1273"/>
    </row>
    <row r="301" spans="1:12" s="1199" customFormat="1" ht="24" customHeight="1">
      <c r="A301" s="1258"/>
      <c r="B301" s="1780" t="s">
        <v>2589</v>
      </c>
      <c r="C301" s="1260"/>
      <c r="D301" s="1781"/>
      <c r="E301" s="715">
        <v>1</v>
      </c>
      <c r="F301" s="1415" t="s">
        <v>363</v>
      </c>
      <c r="G301" s="1772">
        <v>13806</v>
      </c>
      <c r="H301" s="1343">
        <f t="shared" si="112"/>
        <v>13806</v>
      </c>
      <c r="I301" s="1386">
        <v>1380.6000000000001</v>
      </c>
      <c r="J301" s="1343">
        <f t="shared" si="113"/>
        <v>1381</v>
      </c>
      <c r="K301" s="1801">
        <f t="shared" si="114"/>
        <v>15187</v>
      </c>
      <c r="L301" s="1273"/>
    </row>
    <row r="302" spans="1:12" s="1199" customFormat="1" ht="24" customHeight="1">
      <c r="A302" s="1258"/>
      <c r="B302" s="1780" t="s">
        <v>2590</v>
      </c>
      <c r="C302" s="1260"/>
      <c r="D302" s="1781"/>
      <c r="E302" s="715">
        <v>1</v>
      </c>
      <c r="F302" s="1415" t="s">
        <v>363</v>
      </c>
      <c r="G302" s="1772">
        <v>13806</v>
      </c>
      <c r="H302" s="1343">
        <f t="shared" si="112"/>
        <v>13806</v>
      </c>
      <c r="I302" s="1386">
        <v>1380.6000000000001</v>
      </c>
      <c r="J302" s="1343">
        <f t="shared" si="113"/>
        <v>1381</v>
      </c>
      <c r="K302" s="1801">
        <f t="shared" si="114"/>
        <v>15187</v>
      </c>
      <c r="L302" s="1273"/>
    </row>
    <row r="303" spans="1:12" s="1199" customFormat="1" ht="24" customHeight="1">
      <c r="A303" s="1258"/>
      <c r="B303" s="1780" t="s">
        <v>2591</v>
      </c>
      <c r="C303" s="1260"/>
      <c r="D303" s="1781"/>
      <c r="E303" s="715">
        <v>1</v>
      </c>
      <c r="F303" s="1415" t="s">
        <v>363</v>
      </c>
      <c r="G303" s="1772">
        <v>13806</v>
      </c>
      <c r="H303" s="1343">
        <f t="shared" si="112"/>
        <v>13806</v>
      </c>
      <c r="I303" s="1386">
        <v>1380.6000000000001</v>
      </c>
      <c r="J303" s="1343">
        <f t="shared" si="113"/>
        <v>1381</v>
      </c>
      <c r="K303" s="1801">
        <f t="shared" si="114"/>
        <v>15187</v>
      </c>
      <c r="L303" s="1273"/>
    </row>
    <row r="304" spans="1:12" s="1199" customFormat="1" ht="24" customHeight="1">
      <c r="A304" s="1258"/>
      <c r="B304" s="1780" t="s">
        <v>2592</v>
      </c>
      <c r="C304" s="1260"/>
      <c r="D304" s="1781"/>
      <c r="E304" s="715">
        <v>1</v>
      </c>
      <c r="F304" s="1415" t="s">
        <v>363</v>
      </c>
      <c r="G304" s="1772">
        <v>13806</v>
      </c>
      <c r="H304" s="1343">
        <f t="shared" si="112"/>
        <v>13806</v>
      </c>
      <c r="I304" s="1386">
        <v>1380.6000000000001</v>
      </c>
      <c r="J304" s="1343">
        <f t="shared" si="113"/>
        <v>1381</v>
      </c>
      <c r="K304" s="1801">
        <f t="shared" si="114"/>
        <v>15187</v>
      </c>
      <c r="L304" s="1273"/>
    </row>
    <row r="305" spans="1:12" s="1199" customFormat="1" ht="24" customHeight="1">
      <c r="A305" s="1258"/>
      <c r="B305" s="1780" t="s">
        <v>2593</v>
      </c>
      <c r="C305" s="1260"/>
      <c r="D305" s="1781"/>
      <c r="E305" s="715">
        <v>1</v>
      </c>
      <c r="F305" s="1415" t="s">
        <v>363</v>
      </c>
      <c r="G305" s="1772">
        <v>13806</v>
      </c>
      <c r="H305" s="1343">
        <f t="shared" si="112"/>
        <v>13806</v>
      </c>
      <c r="I305" s="1386">
        <v>1380.6000000000001</v>
      </c>
      <c r="J305" s="1343">
        <f t="shared" si="113"/>
        <v>1381</v>
      </c>
      <c r="K305" s="1801">
        <f t="shared" si="114"/>
        <v>15187</v>
      </c>
      <c r="L305" s="1273"/>
    </row>
    <row r="306" spans="1:12" s="1199" customFormat="1" ht="24" customHeight="1">
      <c r="A306" s="1258"/>
      <c r="B306" s="1780" t="s">
        <v>2594</v>
      </c>
      <c r="C306" s="1260"/>
      <c r="D306" s="1781"/>
      <c r="E306" s="715">
        <v>1</v>
      </c>
      <c r="F306" s="1415" t="s">
        <v>363</v>
      </c>
      <c r="G306" s="1772">
        <v>13806</v>
      </c>
      <c r="H306" s="1343">
        <f t="shared" si="112"/>
        <v>13806</v>
      </c>
      <c r="I306" s="1386">
        <v>1380.6000000000001</v>
      </c>
      <c r="J306" s="1343">
        <f t="shared" si="113"/>
        <v>1381</v>
      </c>
      <c r="K306" s="1801">
        <f t="shared" si="114"/>
        <v>15187</v>
      </c>
      <c r="L306" s="1273"/>
    </row>
    <row r="307" spans="1:12" s="1199" customFormat="1" ht="24" customHeight="1">
      <c r="A307" s="1258"/>
      <c r="B307" s="1780" t="s">
        <v>2595</v>
      </c>
      <c r="C307" s="1260"/>
      <c r="D307" s="1781"/>
      <c r="E307" s="715">
        <v>1</v>
      </c>
      <c r="F307" s="1415" t="s">
        <v>363</v>
      </c>
      <c r="G307" s="1772">
        <v>13806</v>
      </c>
      <c r="H307" s="1343">
        <f t="shared" si="112"/>
        <v>13806</v>
      </c>
      <c r="I307" s="1386">
        <v>1380.6000000000001</v>
      </c>
      <c r="J307" s="1343">
        <f t="shared" si="113"/>
        <v>1381</v>
      </c>
      <c r="K307" s="1801">
        <f t="shared" si="114"/>
        <v>15187</v>
      </c>
      <c r="L307" s="1273"/>
    </row>
    <row r="308" spans="1:12" s="1199" customFormat="1" ht="24" customHeight="1">
      <c r="A308" s="1258"/>
      <c r="B308" s="1780" t="s">
        <v>2596</v>
      </c>
      <c r="C308" s="1260"/>
      <c r="D308" s="1781"/>
      <c r="E308" s="715">
        <v>1</v>
      </c>
      <c r="F308" s="1415" t="s">
        <v>363</v>
      </c>
      <c r="G308" s="1772">
        <v>13806</v>
      </c>
      <c r="H308" s="1343">
        <f t="shared" si="112"/>
        <v>13806</v>
      </c>
      <c r="I308" s="1386">
        <v>1380.6000000000001</v>
      </c>
      <c r="J308" s="1343">
        <f t="shared" si="113"/>
        <v>1381</v>
      </c>
      <c r="K308" s="1801">
        <f t="shared" si="114"/>
        <v>15187</v>
      </c>
      <c r="L308" s="1273"/>
    </row>
    <row r="309" spans="1:12" s="1199" customFormat="1" ht="24" customHeight="1">
      <c r="A309" s="1258"/>
      <c r="B309" s="1780" t="s">
        <v>2597</v>
      </c>
      <c r="C309" s="1260"/>
      <c r="D309" s="1781"/>
      <c r="E309" s="715">
        <v>1</v>
      </c>
      <c r="F309" s="1415" t="s">
        <v>363</v>
      </c>
      <c r="G309" s="1772">
        <v>13806</v>
      </c>
      <c r="H309" s="1343">
        <f t="shared" si="112"/>
        <v>13806</v>
      </c>
      <c r="I309" s="1386">
        <v>1380.6000000000001</v>
      </c>
      <c r="J309" s="1343">
        <f t="shared" si="113"/>
        <v>1381</v>
      </c>
      <c r="K309" s="1801">
        <f t="shared" si="114"/>
        <v>15187</v>
      </c>
      <c r="L309" s="1273"/>
    </row>
    <row r="310" spans="1:12" s="1199" customFormat="1" ht="24" customHeight="1">
      <c r="A310" s="1258"/>
      <c r="B310" s="1780" t="s">
        <v>2598</v>
      </c>
      <c r="C310" s="1260"/>
      <c r="D310" s="1781"/>
      <c r="E310" s="715">
        <v>1</v>
      </c>
      <c r="F310" s="1415" t="s">
        <v>363</v>
      </c>
      <c r="G310" s="1772">
        <v>13806</v>
      </c>
      <c r="H310" s="1343">
        <f t="shared" si="112"/>
        <v>13806</v>
      </c>
      <c r="I310" s="1386">
        <v>1380.6000000000001</v>
      </c>
      <c r="J310" s="1343">
        <f t="shared" si="113"/>
        <v>1381</v>
      </c>
      <c r="K310" s="1801">
        <f t="shared" si="114"/>
        <v>15187</v>
      </c>
      <c r="L310" s="1273"/>
    </row>
    <row r="311" spans="1:12" s="1199" customFormat="1" ht="24" customHeight="1">
      <c r="A311" s="1258"/>
      <c r="B311" s="1780" t="s">
        <v>2599</v>
      </c>
      <c r="C311" s="1260"/>
      <c r="D311" s="1781"/>
      <c r="E311" s="715">
        <v>1</v>
      </c>
      <c r="F311" s="1415" t="s">
        <v>363</v>
      </c>
      <c r="G311" s="1772">
        <v>13806</v>
      </c>
      <c r="H311" s="1343">
        <f t="shared" si="112"/>
        <v>13806</v>
      </c>
      <c r="I311" s="1386">
        <v>1380.6000000000001</v>
      </c>
      <c r="J311" s="1343">
        <f t="shared" si="113"/>
        <v>1381</v>
      </c>
      <c r="K311" s="1801">
        <f t="shared" si="114"/>
        <v>15187</v>
      </c>
      <c r="L311" s="1273"/>
    </row>
    <row r="312" spans="1:12" s="1199" customFormat="1" ht="24" customHeight="1">
      <c r="A312" s="1258"/>
      <c r="B312" s="1780" t="s">
        <v>2600</v>
      </c>
      <c r="C312" s="1260"/>
      <c r="D312" s="1781"/>
      <c r="E312" s="715">
        <v>1</v>
      </c>
      <c r="F312" s="1415" t="s">
        <v>363</v>
      </c>
      <c r="G312" s="1772">
        <v>13806</v>
      </c>
      <c r="H312" s="1343">
        <f t="shared" si="112"/>
        <v>13806</v>
      </c>
      <c r="I312" s="1386">
        <v>1380.6000000000001</v>
      </c>
      <c r="J312" s="1343">
        <f t="shared" si="113"/>
        <v>1381</v>
      </c>
      <c r="K312" s="1801">
        <f t="shared" si="114"/>
        <v>15187</v>
      </c>
      <c r="L312" s="1273"/>
    </row>
    <row r="313" spans="1:12" s="1199" customFormat="1" ht="24" customHeight="1">
      <c r="A313" s="1258"/>
      <c r="B313" s="1780" t="s">
        <v>2601</v>
      </c>
      <c r="C313" s="1260"/>
      <c r="D313" s="1781"/>
      <c r="E313" s="715">
        <v>1</v>
      </c>
      <c r="F313" s="1415" t="s">
        <v>363</v>
      </c>
      <c r="G313" s="1772">
        <v>13806</v>
      </c>
      <c r="H313" s="1343">
        <f t="shared" si="112"/>
        <v>13806</v>
      </c>
      <c r="I313" s="1386">
        <v>1380.6000000000001</v>
      </c>
      <c r="J313" s="1343">
        <f t="shared" si="113"/>
        <v>1381</v>
      </c>
      <c r="K313" s="1801">
        <f t="shared" si="114"/>
        <v>15187</v>
      </c>
      <c r="L313" s="1273"/>
    </row>
    <row r="314" spans="1:12" s="1199" customFormat="1" ht="24" customHeight="1">
      <c r="A314" s="1258"/>
      <c r="B314" s="1780" t="s">
        <v>2602</v>
      </c>
      <c r="C314" s="1260"/>
      <c r="D314" s="1781"/>
      <c r="E314" s="715">
        <v>1</v>
      </c>
      <c r="F314" s="1415" t="s">
        <v>363</v>
      </c>
      <c r="G314" s="1772">
        <v>13806</v>
      </c>
      <c r="H314" s="1343">
        <f t="shared" si="112"/>
        <v>13806</v>
      </c>
      <c r="I314" s="1386">
        <v>1380.6000000000001</v>
      </c>
      <c r="J314" s="1343">
        <f t="shared" si="113"/>
        <v>1381</v>
      </c>
      <c r="K314" s="1801">
        <f t="shared" si="114"/>
        <v>15187</v>
      </c>
      <c r="L314" s="1273"/>
    </row>
    <row r="315" spans="1:12" s="1199" customFormat="1" ht="24" customHeight="1">
      <c r="A315" s="1258"/>
      <c r="B315" s="1780" t="s">
        <v>2603</v>
      </c>
      <c r="C315" s="1260"/>
      <c r="D315" s="1781"/>
      <c r="E315" s="715">
        <v>1</v>
      </c>
      <c r="F315" s="1415" t="s">
        <v>363</v>
      </c>
      <c r="G315" s="1772">
        <v>13806</v>
      </c>
      <c r="H315" s="1343">
        <f t="shared" si="112"/>
        <v>13806</v>
      </c>
      <c r="I315" s="1386">
        <v>1380.6000000000001</v>
      </c>
      <c r="J315" s="1343">
        <f t="shared" si="113"/>
        <v>1381</v>
      </c>
      <c r="K315" s="1801">
        <f t="shared" si="114"/>
        <v>15187</v>
      </c>
      <c r="L315" s="1273"/>
    </row>
    <row r="316" spans="1:12" s="1199" customFormat="1" ht="24" customHeight="1">
      <c r="A316" s="1258"/>
      <c r="B316" s="1780" t="s">
        <v>2604</v>
      </c>
      <c r="C316" s="1260"/>
      <c r="D316" s="1781"/>
      <c r="E316" s="715">
        <v>1</v>
      </c>
      <c r="F316" s="1415" t="s">
        <v>363</v>
      </c>
      <c r="G316" s="1772">
        <v>13806</v>
      </c>
      <c r="H316" s="1343">
        <f t="shared" si="112"/>
        <v>13806</v>
      </c>
      <c r="I316" s="1386">
        <v>1380.6000000000001</v>
      </c>
      <c r="J316" s="1343">
        <f t="shared" si="113"/>
        <v>1381</v>
      </c>
      <c r="K316" s="1801">
        <f t="shared" si="114"/>
        <v>15187</v>
      </c>
      <c r="L316" s="1273"/>
    </row>
    <row r="317" spans="1:12" s="1199" customFormat="1" ht="24" customHeight="1">
      <c r="A317" s="1258"/>
      <c r="B317" s="1780" t="s">
        <v>2605</v>
      </c>
      <c r="C317" s="1260"/>
      <c r="D317" s="1781"/>
      <c r="E317" s="715">
        <v>1</v>
      </c>
      <c r="F317" s="1415" t="s">
        <v>363</v>
      </c>
      <c r="G317" s="1772">
        <v>13806</v>
      </c>
      <c r="H317" s="1343">
        <f t="shared" si="112"/>
        <v>13806</v>
      </c>
      <c r="I317" s="1386">
        <v>1380.6000000000001</v>
      </c>
      <c r="J317" s="1343">
        <f t="shared" si="113"/>
        <v>1381</v>
      </c>
      <c r="K317" s="1801">
        <f t="shared" si="114"/>
        <v>15187</v>
      </c>
      <c r="L317" s="1273"/>
    </row>
    <row r="318" spans="1:12" s="1199" customFormat="1" ht="24" customHeight="1">
      <c r="A318" s="1258"/>
      <c r="B318" s="1780" t="s">
        <v>2606</v>
      </c>
      <c r="C318" s="1260"/>
      <c r="D318" s="1781"/>
      <c r="E318" s="715">
        <v>1</v>
      </c>
      <c r="F318" s="1415" t="s">
        <v>363</v>
      </c>
      <c r="G318" s="1772">
        <v>13806</v>
      </c>
      <c r="H318" s="1343">
        <f t="shared" si="112"/>
        <v>13806</v>
      </c>
      <c r="I318" s="1386">
        <v>1380.6000000000001</v>
      </c>
      <c r="J318" s="1343">
        <f t="shared" si="113"/>
        <v>1381</v>
      </c>
      <c r="K318" s="1801">
        <f t="shared" si="114"/>
        <v>15187</v>
      </c>
      <c r="L318" s="1273"/>
    </row>
    <row r="319" spans="1:12" s="1199" customFormat="1" ht="24" customHeight="1">
      <c r="A319" s="1258"/>
      <c r="B319" s="1780" t="s">
        <v>2607</v>
      </c>
      <c r="C319" s="1260"/>
      <c r="D319" s="1781"/>
      <c r="E319" s="715">
        <v>1</v>
      </c>
      <c r="F319" s="1415" t="s">
        <v>363</v>
      </c>
      <c r="G319" s="1772">
        <v>13806</v>
      </c>
      <c r="H319" s="1343">
        <f t="shared" si="112"/>
        <v>13806</v>
      </c>
      <c r="I319" s="1386">
        <v>1380.6000000000001</v>
      </c>
      <c r="J319" s="1343">
        <f t="shared" si="113"/>
        <v>1381</v>
      </c>
      <c r="K319" s="1801">
        <f t="shared" si="114"/>
        <v>15187</v>
      </c>
      <c r="L319" s="1273"/>
    </row>
    <row r="320" spans="1:12" s="1199" customFormat="1" ht="24" customHeight="1">
      <c r="A320" s="1258"/>
      <c r="B320" s="1780" t="s">
        <v>2608</v>
      </c>
      <c r="C320" s="1260"/>
      <c r="D320" s="1781"/>
      <c r="E320" s="715">
        <v>1</v>
      </c>
      <c r="F320" s="1415" t="s">
        <v>363</v>
      </c>
      <c r="G320" s="1772">
        <v>13806</v>
      </c>
      <c r="H320" s="1343">
        <f t="shared" si="112"/>
        <v>13806</v>
      </c>
      <c r="I320" s="1386">
        <v>1380.6000000000001</v>
      </c>
      <c r="J320" s="1343">
        <f t="shared" si="113"/>
        <v>1381</v>
      </c>
      <c r="K320" s="1801">
        <f t="shared" si="114"/>
        <v>15187</v>
      </c>
      <c r="L320" s="1273"/>
    </row>
    <row r="321" spans="1:12" s="1199" customFormat="1" ht="24" customHeight="1">
      <c r="A321" s="1258"/>
      <c r="B321" s="1780" t="s">
        <v>2609</v>
      </c>
      <c r="C321" s="1260"/>
      <c r="D321" s="1781"/>
      <c r="E321" s="715">
        <v>1</v>
      </c>
      <c r="F321" s="1415" t="s">
        <v>363</v>
      </c>
      <c r="G321" s="1772">
        <v>13806</v>
      </c>
      <c r="H321" s="1343">
        <f t="shared" si="112"/>
        <v>13806</v>
      </c>
      <c r="I321" s="1386">
        <v>1380.6000000000001</v>
      </c>
      <c r="J321" s="1343">
        <f t="shared" si="113"/>
        <v>1381</v>
      </c>
      <c r="K321" s="1801">
        <f t="shared" si="114"/>
        <v>15187</v>
      </c>
      <c r="L321" s="1273"/>
    </row>
    <row r="322" spans="1:12" s="1199" customFormat="1" ht="24" customHeight="1">
      <c r="A322" s="1258"/>
      <c r="B322" s="1780" t="s">
        <v>2610</v>
      </c>
      <c r="C322" s="1260"/>
      <c r="D322" s="1781"/>
      <c r="E322" s="715">
        <v>1</v>
      </c>
      <c r="F322" s="1415" t="s">
        <v>363</v>
      </c>
      <c r="G322" s="1772">
        <v>13806</v>
      </c>
      <c r="H322" s="1343">
        <f t="shared" si="112"/>
        <v>13806</v>
      </c>
      <c r="I322" s="1386">
        <v>1380.6000000000001</v>
      </c>
      <c r="J322" s="1343">
        <f t="shared" si="113"/>
        <v>1381</v>
      </c>
      <c r="K322" s="1801">
        <f t="shared" si="114"/>
        <v>15187</v>
      </c>
      <c r="L322" s="1273"/>
    </row>
    <row r="323" spans="1:12" s="1199" customFormat="1" ht="24" customHeight="1">
      <c r="A323" s="1258"/>
      <c r="B323" s="1780" t="s">
        <v>2611</v>
      </c>
      <c r="C323" s="1260"/>
      <c r="D323" s="1781"/>
      <c r="E323" s="715">
        <v>1</v>
      </c>
      <c r="F323" s="1415" t="s">
        <v>363</v>
      </c>
      <c r="G323" s="1772">
        <v>13806</v>
      </c>
      <c r="H323" s="1343">
        <f t="shared" si="112"/>
        <v>13806</v>
      </c>
      <c r="I323" s="1386">
        <v>1380.6000000000001</v>
      </c>
      <c r="J323" s="1343">
        <f t="shared" si="113"/>
        <v>1381</v>
      </c>
      <c r="K323" s="1801">
        <f t="shared" si="114"/>
        <v>15187</v>
      </c>
      <c r="L323" s="1273"/>
    </row>
    <row r="324" spans="1:12" s="1199" customFormat="1" ht="24" customHeight="1">
      <c r="A324" s="1258"/>
      <c r="B324" s="1780" t="s">
        <v>2612</v>
      </c>
      <c r="C324" s="1260"/>
      <c r="D324" s="1781"/>
      <c r="E324" s="715">
        <v>1</v>
      </c>
      <c r="F324" s="1415" t="s">
        <v>363</v>
      </c>
      <c r="G324" s="1772">
        <v>13806</v>
      </c>
      <c r="H324" s="1343">
        <f t="shared" si="112"/>
        <v>13806</v>
      </c>
      <c r="I324" s="1386">
        <v>1380.6000000000001</v>
      </c>
      <c r="J324" s="1343">
        <f t="shared" si="113"/>
        <v>1381</v>
      </c>
      <c r="K324" s="1801">
        <f t="shared" si="114"/>
        <v>15187</v>
      </c>
      <c r="L324" s="1273"/>
    </row>
    <row r="325" spans="1:12" s="1199" customFormat="1" ht="24" customHeight="1">
      <c r="A325" s="1258"/>
      <c r="B325" s="1780" t="s">
        <v>2613</v>
      </c>
      <c r="C325" s="1260"/>
      <c r="D325" s="1781"/>
      <c r="E325" s="715">
        <v>1</v>
      </c>
      <c r="F325" s="1415" t="s">
        <v>363</v>
      </c>
      <c r="G325" s="1772">
        <v>13806</v>
      </c>
      <c r="H325" s="1343">
        <f t="shared" si="112"/>
        <v>13806</v>
      </c>
      <c r="I325" s="1386">
        <v>1380.6000000000001</v>
      </c>
      <c r="J325" s="1343">
        <f t="shared" si="113"/>
        <v>1381</v>
      </c>
      <c r="K325" s="1801">
        <f t="shared" si="114"/>
        <v>15187</v>
      </c>
      <c r="L325" s="1273"/>
    </row>
    <row r="326" spans="1:12" s="1199" customFormat="1" ht="24" customHeight="1">
      <c r="A326" s="1258"/>
      <c r="B326" s="1780" t="s">
        <v>2614</v>
      </c>
      <c r="C326" s="1260"/>
      <c r="D326" s="1781"/>
      <c r="E326" s="715">
        <v>1</v>
      </c>
      <c r="F326" s="1415" t="s">
        <v>363</v>
      </c>
      <c r="G326" s="1772">
        <v>13806</v>
      </c>
      <c r="H326" s="1343">
        <f t="shared" si="112"/>
        <v>13806</v>
      </c>
      <c r="I326" s="1386">
        <v>1380.6000000000001</v>
      </c>
      <c r="J326" s="1343">
        <f t="shared" si="113"/>
        <v>1381</v>
      </c>
      <c r="K326" s="1801">
        <f t="shared" si="114"/>
        <v>15187</v>
      </c>
      <c r="L326" s="1273"/>
    </row>
    <row r="327" spans="1:12" s="1199" customFormat="1" ht="24" customHeight="1">
      <c r="A327" s="1258"/>
      <c r="B327" s="1780" t="s">
        <v>2615</v>
      </c>
      <c r="C327" s="1260"/>
      <c r="D327" s="1781"/>
      <c r="E327" s="715">
        <v>1</v>
      </c>
      <c r="F327" s="1415" t="s">
        <v>363</v>
      </c>
      <c r="G327" s="1772">
        <v>13806</v>
      </c>
      <c r="H327" s="1343">
        <f t="shared" si="112"/>
        <v>13806</v>
      </c>
      <c r="I327" s="1386">
        <v>1380.6000000000001</v>
      </c>
      <c r="J327" s="1343">
        <f t="shared" si="113"/>
        <v>1381</v>
      </c>
      <c r="K327" s="1801">
        <f t="shared" si="114"/>
        <v>15187</v>
      </c>
      <c r="L327" s="1273"/>
    </row>
    <row r="328" spans="1:12" s="1199" customFormat="1" ht="24" customHeight="1">
      <c r="A328" s="1258"/>
      <c r="B328" s="1780" t="s">
        <v>2616</v>
      </c>
      <c r="C328" s="1260"/>
      <c r="D328" s="1781"/>
      <c r="E328" s="715">
        <v>1</v>
      </c>
      <c r="F328" s="1415" t="s">
        <v>363</v>
      </c>
      <c r="G328" s="1772">
        <v>13806</v>
      </c>
      <c r="H328" s="1343">
        <f t="shared" si="112"/>
        <v>13806</v>
      </c>
      <c r="I328" s="1386">
        <v>1380.6000000000001</v>
      </c>
      <c r="J328" s="1343">
        <f t="shared" si="113"/>
        <v>1381</v>
      </c>
      <c r="K328" s="1801">
        <f t="shared" si="114"/>
        <v>15187</v>
      </c>
      <c r="L328" s="1273"/>
    </row>
    <row r="329" spans="1:12" s="1199" customFormat="1" ht="24" customHeight="1">
      <c r="A329" s="1258"/>
      <c r="B329" s="1780" t="s">
        <v>2617</v>
      </c>
      <c r="C329" s="1260"/>
      <c r="D329" s="1781"/>
      <c r="E329" s="715">
        <v>1</v>
      </c>
      <c r="F329" s="1415" t="s">
        <v>363</v>
      </c>
      <c r="G329" s="1772">
        <v>13806</v>
      </c>
      <c r="H329" s="1343">
        <f t="shared" si="112"/>
        <v>13806</v>
      </c>
      <c r="I329" s="1386">
        <v>1380.6000000000001</v>
      </c>
      <c r="J329" s="1343">
        <f t="shared" si="113"/>
        <v>1381</v>
      </c>
      <c r="K329" s="1801">
        <f t="shared" si="114"/>
        <v>15187</v>
      </c>
      <c r="L329" s="1273"/>
    </row>
    <row r="330" spans="1:12" s="1199" customFormat="1" ht="24" customHeight="1">
      <c r="A330" s="1258"/>
      <c r="B330" s="1780" t="s">
        <v>2618</v>
      </c>
      <c r="C330" s="1260"/>
      <c r="D330" s="1781"/>
      <c r="E330" s="715">
        <v>1</v>
      </c>
      <c r="F330" s="1415" t="s">
        <v>363</v>
      </c>
      <c r="G330" s="1772">
        <v>13806</v>
      </c>
      <c r="H330" s="1343">
        <f t="shared" si="112"/>
        <v>13806</v>
      </c>
      <c r="I330" s="1386">
        <v>1380.6000000000001</v>
      </c>
      <c r="J330" s="1343">
        <f t="shared" si="113"/>
        <v>1381</v>
      </c>
      <c r="K330" s="1801">
        <f t="shared" si="114"/>
        <v>15187</v>
      </c>
      <c r="L330" s="1273"/>
    </row>
    <row r="331" spans="1:12" s="1199" customFormat="1" ht="24" customHeight="1">
      <c r="A331" s="1258"/>
      <c r="B331" s="1780" t="s">
        <v>2619</v>
      </c>
      <c r="C331" s="1260"/>
      <c r="D331" s="1781"/>
      <c r="E331" s="715">
        <v>1</v>
      </c>
      <c r="F331" s="1415" t="s">
        <v>363</v>
      </c>
      <c r="G331" s="1772">
        <v>13806</v>
      </c>
      <c r="H331" s="1343">
        <f t="shared" si="112"/>
        <v>13806</v>
      </c>
      <c r="I331" s="1386">
        <v>1380.6000000000001</v>
      </c>
      <c r="J331" s="1343">
        <f t="shared" si="113"/>
        <v>1381</v>
      </c>
      <c r="K331" s="1801">
        <f t="shared" si="114"/>
        <v>15187</v>
      </c>
      <c r="L331" s="1273"/>
    </row>
    <row r="332" spans="1:12" s="1199" customFormat="1" ht="24" customHeight="1">
      <c r="A332" s="1258"/>
      <c r="B332" s="1780" t="s">
        <v>2620</v>
      </c>
      <c r="C332" s="1260"/>
      <c r="D332" s="1781"/>
      <c r="E332" s="715">
        <v>1</v>
      </c>
      <c r="F332" s="1415" t="s">
        <v>363</v>
      </c>
      <c r="G332" s="1772">
        <v>13806</v>
      </c>
      <c r="H332" s="1343">
        <f t="shared" si="112"/>
        <v>13806</v>
      </c>
      <c r="I332" s="1386">
        <v>1380.6000000000001</v>
      </c>
      <c r="J332" s="1343">
        <f t="shared" si="113"/>
        <v>1381</v>
      </c>
      <c r="K332" s="1801">
        <f t="shared" si="114"/>
        <v>15187</v>
      </c>
      <c r="L332" s="1273"/>
    </row>
    <row r="333" spans="1:12" s="1199" customFormat="1" ht="24" customHeight="1">
      <c r="A333" s="1258"/>
      <c r="B333" s="1780" t="s">
        <v>2621</v>
      </c>
      <c r="C333" s="1260"/>
      <c r="D333" s="1781"/>
      <c r="E333" s="715">
        <v>1</v>
      </c>
      <c r="F333" s="1415" t="s">
        <v>363</v>
      </c>
      <c r="G333" s="1772">
        <v>13806</v>
      </c>
      <c r="H333" s="1343">
        <f t="shared" si="112"/>
        <v>13806</v>
      </c>
      <c r="I333" s="1386">
        <v>1380.6000000000001</v>
      </c>
      <c r="J333" s="1343">
        <f t="shared" si="113"/>
        <v>1381</v>
      </c>
      <c r="K333" s="1801">
        <f t="shared" si="114"/>
        <v>15187</v>
      </c>
      <c r="L333" s="1273"/>
    </row>
    <row r="334" spans="1:12" s="1199" customFormat="1" ht="24" customHeight="1">
      <c r="A334" s="1258"/>
      <c r="B334" s="1780" t="s">
        <v>2622</v>
      </c>
      <c r="C334" s="1260"/>
      <c r="D334" s="1781"/>
      <c r="E334" s="715">
        <v>1</v>
      </c>
      <c r="F334" s="1415" t="s">
        <v>363</v>
      </c>
      <c r="G334" s="1772">
        <v>13806</v>
      </c>
      <c r="H334" s="1343">
        <f t="shared" si="112"/>
        <v>13806</v>
      </c>
      <c r="I334" s="1386">
        <v>1380.6000000000001</v>
      </c>
      <c r="J334" s="1343">
        <f t="shared" si="113"/>
        <v>1381</v>
      </c>
      <c r="K334" s="1801">
        <f t="shared" si="114"/>
        <v>15187</v>
      </c>
      <c r="L334" s="1273"/>
    </row>
    <row r="335" spans="1:12" s="1199" customFormat="1" ht="24" customHeight="1">
      <c r="A335" s="1258"/>
      <c r="B335" s="1780" t="s">
        <v>2623</v>
      </c>
      <c r="C335" s="1260"/>
      <c r="D335" s="1781"/>
      <c r="E335" s="715">
        <v>1</v>
      </c>
      <c r="F335" s="1415" t="s">
        <v>363</v>
      </c>
      <c r="G335" s="1772">
        <v>13806</v>
      </c>
      <c r="H335" s="1343">
        <f t="shared" si="112"/>
        <v>13806</v>
      </c>
      <c r="I335" s="1386">
        <v>1380.6000000000001</v>
      </c>
      <c r="J335" s="1343">
        <f t="shared" si="113"/>
        <v>1381</v>
      </c>
      <c r="K335" s="1801">
        <f t="shared" si="114"/>
        <v>15187</v>
      </c>
      <c r="L335" s="1273"/>
    </row>
    <row r="336" spans="1:12" s="1199" customFormat="1" ht="24" customHeight="1">
      <c r="A336" s="1258"/>
      <c r="B336" s="1780" t="s">
        <v>2624</v>
      </c>
      <c r="C336" s="1260"/>
      <c r="D336" s="1781"/>
      <c r="E336" s="715">
        <v>1</v>
      </c>
      <c r="F336" s="1415" t="s">
        <v>363</v>
      </c>
      <c r="G336" s="1772">
        <v>13806</v>
      </c>
      <c r="H336" s="1343">
        <f t="shared" si="112"/>
        <v>13806</v>
      </c>
      <c r="I336" s="1386">
        <v>1380.6000000000001</v>
      </c>
      <c r="J336" s="1343">
        <f t="shared" si="113"/>
        <v>1381</v>
      </c>
      <c r="K336" s="1801">
        <f t="shared" si="114"/>
        <v>15187</v>
      </c>
      <c r="L336" s="1273"/>
    </row>
    <row r="337" spans="1:20" s="1199" customFormat="1" ht="24" customHeight="1">
      <c r="A337" s="1258"/>
      <c r="B337" s="1780" t="s">
        <v>2625</v>
      </c>
      <c r="C337" s="1260"/>
      <c r="D337" s="1781"/>
      <c r="E337" s="715">
        <v>1</v>
      </c>
      <c r="F337" s="1415" t="s">
        <v>363</v>
      </c>
      <c r="G337" s="1772">
        <v>13806</v>
      </c>
      <c r="H337" s="1343">
        <f t="shared" si="112"/>
        <v>13806</v>
      </c>
      <c r="I337" s="1386">
        <v>1380.6000000000001</v>
      </c>
      <c r="J337" s="1343">
        <f t="shared" si="113"/>
        <v>1381</v>
      </c>
      <c r="K337" s="1801">
        <f t="shared" si="114"/>
        <v>15187</v>
      </c>
      <c r="L337" s="1273"/>
    </row>
    <row r="338" spans="1:20" s="1199" customFormat="1" ht="24" customHeight="1">
      <c r="A338" s="1258"/>
      <c r="B338" s="1780" t="s">
        <v>2626</v>
      </c>
      <c r="C338" s="1260"/>
      <c r="D338" s="1781"/>
      <c r="E338" s="715">
        <v>1</v>
      </c>
      <c r="F338" s="1415" t="s">
        <v>363</v>
      </c>
      <c r="G338" s="1772">
        <v>13806</v>
      </c>
      <c r="H338" s="1343">
        <f t="shared" si="112"/>
        <v>13806</v>
      </c>
      <c r="I338" s="1386">
        <v>1380.6000000000001</v>
      </c>
      <c r="J338" s="1343">
        <f t="shared" si="113"/>
        <v>1381</v>
      </c>
      <c r="K338" s="1801">
        <f t="shared" si="114"/>
        <v>15187</v>
      </c>
      <c r="L338" s="1273"/>
    </row>
    <row r="339" spans="1:20" s="1199" customFormat="1" ht="24" customHeight="1">
      <c r="A339" s="1766" t="s">
        <v>2779</v>
      </c>
      <c r="B339" s="1538" t="s">
        <v>2041</v>
      </c>
      <c r="C339" s="1275"/>
      <c r="D339" s="1767"/>
      <c r="E339" s="1771">
        <f>SUM(E295:E338)</f>
        <v>44</v>
      </c>
      <c r="F339" s="1415" t="s">
        <v>363</v>
      </c>
      <c r="G339" s="1778">
        <v>800</v>
      </c>
      <c r="H339" s="1264">
        <f t="shared" si="112"/>
        <v>35200</v>
      </c>
      <c r="I339" s="1595">
        <f>G339*0.3</f>
        <v>240</v>
      </c>
      <c r="J339" s="1264">
        <f t="shared" si="113"/>
        <v>10560</v>
      </c>
      <c r="K339" s="1687">
        <f t="shared" si="114"/>
        <v>45760</v>
      </c>
      <c r="L339" s="1273"/>
    </row>
    <row r="340" spans="1:20" s="1199" customFormat="1" ht="24" customHeight="1">
      <c r="A340" s="1766"/>
      <c r="B340" s="1538" t="s">
        <v>1117</v>
      </c>
      <c r="C340" s="1275"/>
      <c r="D340" s="1767"/>
      <c r="E340" s="1771"/>
      <c r="F340" s="1385"/>
      <c r="G340" s="1778"/>
      <c r="H340" s="1594"/>
      <c r="I340" s="1595"/>
      <c r="J340" s="1594"/>
      <c r="K340" s="1596"/>
      <c r="L340" s="1273"/>
    </row>
    <row r="341" spans="1:20" s="1199" customFormat="1" ht="24" customHeight="1">
      <c r="A341" s="1766"/>
      <c r="B341" s="1538"/>
      <c r="C341" s="1437"/>
      <c r="D341" s="1275"/>
      <c r="E341" s="1768"/>
      <c r="F341" s="1358"/>
      <c r="G341" s="1515"/>
      <c r="H341" s="1343"/>
      <c r="I341" s="1370"/>
      <c r="J341" s="1343"/>
      <c r="K341" s="1262"/>
      <c r="L341" s="1273"/>
    </row>
    <row r="342" spans="1:20">
      <c r="A342" s="1578"/>
      <c r="B342" s="2257" t="str">
        <f>"รวมราคารายการที่ "&amp;A293</f>
        <v>รวมราคารายการที่ 7.12</v>
      </c>
      <c r="C342" s="2258"/>
      <c r="D342" s="2259"/>
      <c r="E342" s="1579"/>
      <c r="F342" s="1579"/>
      <c r="G342" s="1580"/>
      <c r="H342" s="1581">
        <f>SUM(H293:H341)</f>
        <v>642664</v>
      </c>
      <c r="I342" s="1582"/>
      <c r="J342" s="1581">
        <f>SUM(J293:J341)</f>
        <v>71324</v>
      </c>
      <c r="K342" s="1583">
        <f>SUM(K293:K341)</f>
        <v>713988</v>
      </c>
      <c r="L342" s="1583"/>
    </row>
    <row r="343" spans="1:20" s="1765" customFormat="1" ht="24" customHeight="1">
      <c r="A343" s="1291" t="s">
        <v>2780</v>
      </c>
      <c r="B343" s="1776" t="s">
        <v>2247</v>
      </c>
      <c r="C343" s="1294"/>
      <c r="D343" s="1777"/>
      <c r="E343" s="1686"/>
      <c r="F343" s="1402"/>
      <c r="G343" s="1661"/>
      <c r="H343" s="1588"/>
      <c r="I343" s="1589"/>
      <c r="J343" s="1588"/>
      <c r="K343" s="1770"/>
      <c r="L343" s="1770"/>
      <c r="M343" s="1710"/>
      <c r="N343" s="1710"/>
      <c r="O343" s="1710"/>
      <c r="P343" s="1710"/>
      <c r="Q343" s="1710"/>
      <c r="R343" s="1710"/>
      <c r="S343" s="1710"/>
      <c r="T343" s="1710"/>
    </row>
    <row r="344" spans="1:20" s="1765" customFormat="1" ht="24" customHeight="1">
      <c r="A344" s="1766" t="s">
        <v>2781</v>
      </c>
      <c r="B344" s="1783" t="s">
        <v>2782</v>
      </c>
      <c r="C344" s="1294"/>
      <c r="D344" s="1777"/>
      <c r="E344" s="1686"/>
      <c r="F344" s="1402"/>
      <c r="G344" s="1661"/>
      <c r="H344" s="1588"/>
      <c r="I344" s="1589"/>
      <c r="J344" s="1588"/>
      <c r="K344" s="1770"/>
      <c r="L344" s="1770"/>
      <c r="M344" s="1710"/>
      <c r="N344" s="1710"/>
      <c r="O344" s="1710"/>
      <c r="P344" s="1710"/>
      <c r="Q344" s="1710"/>
      <c r="R344" s="1710"/>
      <c r="S344" s="1710"/>
      <c r="T344" s="1710"/>
    </row>
    <row r="345" spans="1:20" s="1765" customFormat="1" ht="24" customHeight="1">
      <c r="A345" s="1766"/>
      <c r="B345" s="1783"/>
      <c r="C345" s="1294"/>
      <c r="D345" s="1777"/>
      <c r="E345" s="1686"/>
      <c r="F345" s="1402"/>
      <c r="G345" s="1661"/>
      <c r="H345" s="1413"/>
      <c r="I345" s="1589"/>
      <c r="J345" s="1413"/>
      <c r="K345" s="1415"/>
      <c r="L345" s="1770"/>
      <c r="M345" s="1710"/>
      <c r="N345" s="1710"/>
      <c r="O345" s="1710"/>
      <c r="P345" s="1710"/>
      <c r="Q345" s="1710"/>
      <c r="R345" s="1710"/>
      <c r="S345" s="1710"/>
      <c r="T345" s="1710"/>
    </row>
    <row r="346" spans="1:20" s="1765" customFormat="1" ht="24" customHeight="1">
      <c r="A346" s="1766" t="s">
        <v>2830</v>
      </c>
      <c r="B346" s="1783" t="s">
        <v>2252</v>
      </c>
      <c r="C346" s="1294"/>
      <c r="D346" s="1777"/>
      <c r="E346" s="1686"/>
      <c r="F346" s="1402"/>
      <c r="G346" s="1661"/>
      <c r="H346" s="1588"/>
      <c r="I346" s="1589"/>
      <c r="J346" s="1588"/>
      <c r="K346" s="1770"/>
      <c r="L346" s="1770"/>
      <c r="M346" s="1710"/>
      <c r="N346" s="1710"/>
      <c r="O346" s="1710"/>
      <c r="P346" s="1710"/>
      <c r="Q346" s="1710"/>
      <c r="R346" s="1710"/>
      <c r="S346" s="1710"/>
      <c r="T346" s="1710"/>
    </row>
    <row r="347" spans="1:20" s="213" customFormat="1" ht="24" customHeight="1">
      <c r="A347" s="1766"/>
      <c r="B347" s="1783" t="s">
        <v>2253</v>
      </c>
      <c r="C347" s="1294"/>
      <c r="D347" s="1777"/>
      <c r="E347" s="1686">
        <f>SUM(E345:E345)</f>
        <v>0</v>
      </c>
      <c r="F347" s="1402" t="s">
        <v>363</v>
      </c>
      <c r="G347" s="1661">
        <v>2000</v>
      </c>
      <c r="H347" s="1413">
        <f t="shared" ref="H347:H349" si="115">ROUND(E347*G347,)</f>
        <v>0</v>
      </c>
      <c r="I347" s="1589" t="s">
        <v>1683</v>
      </c>
      <c r="J347" s="1588"/>
      <c r="K347" s="1415">
        <f t="shared" ref="K347:K349" si="116">H347+J347</f>
        <v>0</v>
      </c>
      <c r="L347" s="1770"/>
      <c r="M347" s="1710"/>
      <c r="N347" s="1710"/>
      <c r="O347" s="1710"/>
      <c r="P347" s="1710"/>
      <c r="Q347" s="1710"/>
      <c r="R347" s="1710"/>
      <c r="S347" s="1710"/>
      <c r="T347" s="1710"/>
    </row>
    <row r="348" spans="1:20" s="213" customFormat="1" ht="24" customHeight="1">
      <c r="A348" s="1766" t="s">
        <v>2831</v>
      </c>
      <c r="B348" s="1783" t="s">
        <v>2041</v>
      </c>
      <c r="C348" s="1294"/>
      <c r="D348" s="1777"/>
      <c r="E348" s="1686">
        <f>E347</f>
        <v>0</v>
      </c>
      <c r="F348" s="1402" t="s">
        <v>363</v>
      </c>
      <c r="G348" s="1661">
        <v>2400</v>
      </c>
      <c r="H348" s="1413">
        <f t="shared" si="115"/>
        <v>0</v>
      </c>
      <c r="I348" s="1589">
        <v>720</v>
      </c>
      <c r="J348" s="1413">
        <f t="shared" ref="J348:J349" si="117">ROUND(E348*I348,)</f>
        <v>0</v>
      </c>
      <c r="K348" s="1415">
        <f t="shared" si="116"/>
        <v>0</v>
      </c>
      <c r="L348" s="1770"/>
      <c r="M348" s="1710"/>
      <c r="N348" s="1710"/>
      <c r="O348" s="1710"/>
      <c r="P348" s="1710"/>
      <c r="Q348" s="1710"/>
      <c r="R348" s="1710"/>
      <c r="S348" s="1710"/>
      <c r="T348" s="1710"/>
    </row>
    <row r="349" spans="1:20" s="213" customFormat="1" ht="24" customHeight="1">
      <c r="A349" s="1766" t="s">
        <v>2832</v>
      </c>
      <c r="B349" s="1783" t="s">
        <v>2331</v>
      </c>
      <c r="C349" s="1294"/>
      <c r="D349" s="1777"/>
      <c r="E349" s="1686">
        <f>E347</f>
        <v>0</v>
      </c>
      <c r="F349" s="1402" t="s">
        <v>363</v>
      </c>
      <c r="G349" s="1661">
        <v>4000</v>
      </c>
      <c r="H349" s="1413">
        <f t="shared" si="115"/>
        <v>0</v>
      </c>
      <c r="I349" s="1589">
        <f t="shared" ref="I349" si="118">G349*0.1</f>
        <v>400</v>
      </c>
      <c r="J349" s="1413">
        <f t="shared" si="117"/>
        <v>0</v>
      </c>
      <c r="K349" s="1415">
        <f t="shared" si="116"/>
        <v>0</v>
      </c>
      <c r="L349" s="1770"/>
      <c r="M349" s="1710"/>
      <c r="N349" s="1710"/>
      <c r="O349" s="1710"/>
      <c r="P349" s="1710"/>
      <c r="Q349" s="1710"/>
      <c r="R349" s="1710"/>
      <c r="S349" s="1710"/>
      <c r="T349" s="1710"/>
    </row>
    <row r="350" spans="1:20" s="1765" customFormat="1" ht="24" customHeight="1">
      <c r="A350" s="1766"/>
      <c r="B350" s="1783" t="s">
        <v>1117</v>
      </c>
      <c r="C350" s="1294"/>
      <c r="D350" s="1777"/>
      <c r="E350" s="1686"/>
      <c r="F350" s="1402"/>
      <c r="G350" s="1661"/>
      <c r="H350" s="1588"/>
      <c r="I350" s="1589"/>
      <c r="J350" s="1588"/>
      <c r="K350" s="1770"/>
      <c r="L350" s="1770"/>
      <c r="M350" s="1710"/>
      <c r="N350" s="1710"/>
      <c r="O350" s="1710"/>
      <c r="P350" s="1710"/>
      <c r="Q350" s="1710"/>
      <c r="R350" s="1710"/>
      <c r="S350" s="1710"/>
      <c r="T350" s="1710"/>
    </row>
    <row r="351" spans="1:20" s="1765" customFormat="1" ht="24" customHeight="1">
      <c r="A351" s="1766"/>
      <c r="B351" s="1783" t="s">
        <v>1369</v>
      </c>
      <c r="C351" s="1294"/>
      <c r="D351" s="1777"/>
      <c r="E351" s="1686"/>
      <c r="F351" s="1402"/>
      <c r="G351" s="1661"/>
      <c r="H351" s="1588"/>
      <c r="I351" s="1589"/>
      <c r="J351" s="1588"/>
      <c r="K351" s="1770"/>
      <c r="L351" s="1770"/>
      <c r="M351" s="1710"/>
      <c r="N351" s="1710"/>
      <c r="O351" s="1710"/>
      <c r="P351" s="1710"/>
      <c r="Q351" s="1710"/>
      <c r="R351" s="1710"/>
      <c r="S351" s="1710"/>
      <c r="T351" s="1710"/>
    </row>
    <row r="352" spans="1:20" s="1765" customFormat="1" ht="24" customHeight="1">
      <c r="A352" s="1578"/>
      <c r="B352" s="2257" t="str">
        <f>"รวมราคารายการที่ "&amp;A343</f>
        <v>รวมราคารายการที่ 7.13</v>
      </c>
      <c r="C352" s="2258"/>
      <c r="D352" s="2259"/>
      <c r="E352" s="1579"/>
      <c r="F352" s="1579"/>
      <c r="G352" s="1580"/>
      <c r="H352" s="1581">
        <f>SUM(H343:H351)</f>
        <v>0</v>
      </c>
      <c r="I352" s="1582"/>
      <c r="J352" s="1581">
        <f>SUM(J343:J351)</f>
        <v>0</v>
      </c>
      <c r="K352" s="1581">
        <f>SUM(K343:K351)</f>
        <v>0</v>
      </c>
      <c r="L352" s="1583"/>
      <c r="M352" s="2019"/>
      <c r="N352" s="2019"/>
      <c r="O352" s="2019"/>
      <c r="P352" s="2019"/>
      <c r="Q352" s="2019"/>
      <c r="R352" s="2019"/>
      <c r="S352" s="2019"/>
      <c r="T352" s="2019"/>
    </row>
    <row r="353" spans="1:20" s="1765" customFormat="1" ht="24" customHeight="1">
      <c r="A353" s="1291">
        <v>7.14</v>
      </c>
      <c r="B353" s="1776" t="s">
        <v>2182</v>
      </c>
      <c r="C353" s="1293"/>
      <c r="D353" s="1294"/>
      <c r="E353" s="1801"/>
      <c r="F353" s="1356"/>
      <c r="G353" s="1515"/>
      <c r="H353" s="1369"/>
      <c r="I353" s="1370"/>
      <c r="J353" s="1369"/>
      <c r="K353" s="1356"/>
      <c r="L353" s="1356"/>
    </row>
    <row r="354" spans="1:20" s="1765" customFormat="1" ht="24" customHeight="1">
      <c r="A354" s="1804"/>
      <c r="B354" s="1799" t="s">
        <v>2436</v>
      </c>
      <c r="C354" s="1800"/>
      <c r="D354" s="1375"/>
      <c r="E354" s="1801"/>
      <c r="F354" s="1356" t="s">
        <v>363</v>
      </c>
      <c r="G354" s="2096">
        <v>38629</v>
      </c>
      <c r="H354" s="1264">
        <f t="shared" ref="H354:H357" si="119">ROUND(E354*G354,)</f>
        <v>0</v>
      </c>
      <c r="I354" s="1370">
        <v>2500</v>
      </c>
      <c r="J354" s="1369">
        <f t="shared" ref="J354:J357" si="120">ROUND(E354*I354,)</f>
        <v>0</v>
      </c>
      <c r="K354" s="1356">
        <f t="shared" ref="K354:K357" si="121">H354+J354</f>
        <v>0</v>
      </c>
      <c r="L354" s="1356"/>
    </row>
    <row r="355" spans="1:20" s="1765" customFormat="1" ht="24" customHeight="1">
      <c r="A355" s="1804"/>
      <c r="B355" s="1799" t="s">
        <v>2833</v>
      </c>
      <c r="C355" s="1800"/>
      <c r="D355" s="1375"/>
      <c r="E355" s="1801"/>
      <c r="F355" s="1356" t="s">
        <v>363</v>
      </c>
      <c r="G355" s="2096">
        <v>42511</v>
      </c>
      <c r="H355" s="1264">
        <f t="shared" si="119"/>
        <v>0</v>
      </c>
      <c r="I355" s="1370">
        <v>2500</v>
      </c>
      <c r="J355" s="1369">
        <f t="shared" si="120"/>
        <v>0</v>
      </c>
      <c r="K355" s="1356">
        <f t="shared" si="121"/>
        <v>0</v>
      </c>
      <c r="L355" s="1356"/>
    </row>
    <row r="356" spans="1:20" s="1765" customFormat="1" ht="24" customHeight="1">
      <c r="A356" s="1804"/>
      <c r="B356" s="1799" t="s">
        <v>2834</v>
      </c>
      <c r="C356" s="1800"/>
      <c r="D356" s="1375"/>
      <c r="E356" s="1801"/>
      <c r="F356" s="1356" t="s">
        <v>363</v>
      </c>
      <c r="G356" s="2096">
        <v>48420</v>
      </c>
      <c r="H356" s="1264">
        <f t="shared" si="119"/>
        <v>0</v>
      </c>
      <c r="I356" s="1370">
        <v>2500</v>
      </c>
      <c r="J356" s="1369">
        <f t="shared" si="120"/>
        <v>0</v>
      </c>
      <c r="K356" s="1356">
        <f t="shared" si="121"/>
        <v>0</v>
      </c>
      <c r="L356" s="1356"/>
    </row>
    <row r="357" spans="1:20" s="1765" customFormat="1" ht="24" customHeight="1">
      <c r="A357" s="1804"/>
      <c r="B357" s="1799" t="s">
        <v>2835</v>
      </c>
      <c r="C357" s="1800"/>
      <c r="D357" s="1375"/>
      <c r="E357" s="1801"/>
      <c r="F357" s="1356" t="s">
        <v>363</v>
      </c>
      <c r="G357" s="2096">
        <v>120558</v>
      </c>
      <c r="H357" s="1264">
        <f t="shared" si="119"/>
        <v>0</v>
      </c>
      <c r="I357" s="1370">
        <v>2500</v>
      </c>
      <c r="J357" s="1369">
        <f t="shared" si="120"/>
        <v>0</v>
      </c>
      <c r="K357" s="1356">
        <f t="shared" si="121"/>
        <v>0</v>
      </c>
      <c r="L357" s="1356"/>
      <c r="N357" s="1854"/>
      <c r="O357" s="1854"/>
      <c r="P357" s="1854"/>
    </row>
    <row r="358" spans="1:20" s="1765" customFormat="1" ht="24" customHeight="1">
      <c r="A358" s="1804"/>
      <c r="B358" s="1799" t="s">
        <v>1117</v>
      </c>
      <c r="C358" s="1800"/>
      <c r="D358" s="1375"/>
      <c r="E358" s="1801"/>
      <c r="F358" s="1356"/>
      <c r="G358" s="1515"/>
      <c r="H358" s="1369"/>
      <c r="I358" s="1370"/>
      <c r="J358" s="1369"/>
      <c r="K358" s="1356"/>
      <c r="L358" s="1356"/>
      <c r="N358" s="1854"/>
      <c r="O358" s="1854"/>
      <c r="P358" s="1854"/>
    </row>
    <row r="359" spans="1:20" s="1765" customFormat="1" ht="24" customHeight="1">
      <c r="A359" s="1578"/>
      <c r="B359" s="2257" t="str">
        <f>"รวมราคารายการที่ "&amp;A353</f>
        <v>รวมราคารายการที่ 7.14</v>
      </c>
      <c r="C359" s="2258"/>
      <c r="D359" s="2259"/>
      <c r="E359" s="2095"/>
      <c r="F359" s="1579"/>
      <c r="G359" s="1580"/>
      <c r="H359" s="1581">
        <f>SUM(H353:H358)</f>
        <v>0</v>
      </c>
      <c r="I359" s="1582"/>
      <c r="J359" s="1581">
        <f>SUM(J353:J358)</f>
        <v>0</v>
      </c>
      <c r="K359" s="1583">
        <f>SUM(K353:K358)</f>
        <v>0</v>
      </c>
      <c r="L359" s="1583"/>
    </row>
    <row r="360" spans="1:20" s="1765" customFormat="1" ht="24" customHeight="1">
      <c r="A360" s="1291">
        <v>7.15</v>
      </c>
      <c r="B360" s="1852" t="s">
        <v>2255</v>
      </c>
      <c r="C360" s="1293"/>
      <c r="D360" s="1777"/>
      <c r="E360" s="1686"/>
      <c r="F360" s="1402"/>
      <c r="G360" s="1661"/>
      <c r="H360" s="1588"/>
      <c r="I360" s="1589"/>
      <c r="J360" s="1588"/>
      <c r="K360" s="1770"/>
      <c r="L360" s="1770"/>
      <c r="M360" s="1710"/>
      <c r="N360" s="1710"/>
      <c r="O360" s="1710"/>
      <c r="P360" s="1710"/>
      <c r="Q360" s="1710"/>
      <c r="R360" s="1710"/>
      <c r="S360" s="1710"/>
      <c r="T360" s="1710"/>
    </row>
    <row r="361" spans="1:20" s="1765" customFormat="1" ht="24" customHeight="1">
      <c r="A361" s="1766" t="s">
        <v>2836</v>
      </c>
      <c r="B361" s="1538" t="s">
        <v>2256</v>
      </c>
      <c r="C361" s="1275"/>
      <c r="D361" s="1767"/>
      <c r="E361" s="1686"/>
      <c r="F361" s="1402"/>
      <c r="G361" s="1661"/>
      <c r="H361" s="1588"/>
      <c r="I361" s="1589"/>
      <c r="J361" s="1588"/>
      <c r="K361" s="1770"/>
      <c r="L361" s="1770"/>
      <c r="M361" s="1710"/>
      <c r="N361" s="1710"/>
      <c r="O361" s="1710"/>
      <c r="P361" s="1710"/>
      <c r="Q361" s="1710"/>
      <c r="R361" s="1710"/>
      <c r="S361" s="1710"/>
      <c r="T361" s="1710"/>
    </row>
    <row r="362" spans="1:20" s="1765" customFormat="1" ht="24" customHeight="1">
      <c r="A362" s="1766"/>
      <c r="B362" s="1538" t="s">
        <v>2257</v>
      </c>
      <c r="C362" s="1275"/>
      <c r="D362" s="1767"/>
      <c r="E362" s="1686"/>
      <c r="F362" s="1402" t="s">
        <v>363</v>
      </c>
      <c r="G362" s="1661">
        <v>650</v>
      </c>
      <c r="H362" s="1588">
        <f t="shared" ref="H362:H366" si="122">ROUND(E362*G362,)</f>
        <v>0</v>
      </c>
      <c r="I362" s="1589">
        <v>150</v>
      </c>
      <c r="J362" s="1588">
        <f t="shared" ref="J362:J366" si="123">ROUND(E362*I362,)</f>
        <v>0</v>
      </c>
      <c r="K362" s="1770">
        <f t="shared" ref="K362:K366" si="124">H362+J362</f>
        <v>0</v>
      </c>
      <c r="L362" s="1770"/>
      <c r="M362" s="1710"/>
      <c r="N362" s="1710"/>
      <c r="O362" s="1710"/>
      <c r="P362" s="1710"/>
      <c r="Q362" s="1710"/>
      <c r="R362" s="1710"/>
      <c r="S362" s="1710"/>
      <c r="T362" s="1710"/>
    </row>
    <row r="363" spans="1:20" s="1765" customFormat="1" ht="24" customHeight="1">
      <c r="A363" s="1766"/>
      <c r="B363" s="1538" t="s">
        <v>2365</v>
      </c>
      <c r="C363" s="1275"/>
      <c r="D363" s="1767"/>
      <c r="E363" s="1686"/>
      <c r="F363" s="1402" t="s">
        <v>363</v>
      </c>
      <c r="G363" s="1661">
        <v>2600</v>
      </c>
      <c r="H363" s="1588">
        <f t="shared" si="122"/>
        <v>0</v>
      </c>
      <c r="I363" s="1589">
        <v>200</v>
      </c>
      <c r="J363" s="1588">
        <f t="shared" si="123"/>
        <v>0</v>
      </c>
      <c r="K363" s="1770">
        <f t="shared" si="124"/>
        <v>0</v>
      </c>
      <c r="L363" s="1770"/>
      <c r="M363" s="1710"/>
      <c r="N363" s="1710"/>
      <c r="O363" s="1710"/>
      <c r="P363" s="1710"/>
      <c r="Q363" s="1710"/>
      <c r="R363" s="1710"/>
      <c r="S363" s="1710"/>
      <c r="T363" s="1710"/>
    </row>
    <row r="364" spans="1:20" s="213" customFormat="1" ht="24" customHeight="1">
      <c r="A364" s="1766" t="s">
        <v>2837</v>
      </c>
      <c r="B364" s="1538" t="s">
        <v>2258</v>
      </c>
      <c r="C364" s="1275"/>
      <c r="D364" s="1767"/>
      <c r="E364" s="1686"/>
      <c r="F364" s="1402" t="s">
        <v>363</v>
      </c>
      <c r="G364" s="1661">
        <v>2400</v>
      </c>
      <c r="H364" s="1588">
        <f t="shared" si="122"/>
        <v>0</v>
      </c>
      <c r="I364" s="1589">
        <v>150</v>
      </c>
      <c r="J364" s="1588">
        <f t="shared" si="123"/>
        <v>0</v>
      </c>
      <c r="K364" s="1770">
        <f t="shared" si="124"/>
        <v>0</v>
      </c>
      <c r="L364" s="1770"/>
      <c r="M364" s="1710"/>
      <c r="N364" s="1710"/>
      <c r="O364" s="1710"/>
      <c r="P364" s="1710"/>
      <c r="Q364" s="1710"/>
      <c r="R364" s="1710"/>
      <c r="S364" s="1710"/>
      <c r="T364" s="1710"/>
    </row>
    <row r="365" spans="1:20" s="213" customFormat="1" ht="24" customHeight="1">
      <c r="A365" s="1766" t="s">
        <v>2838</v>
      </c>
      <c r="B365" s="1538" t="s">
        <v>2259</v>
      </c>
      <c r="C365" s="1275"/>
      <c r="D365" s="1767"/>
      <c r="E365" s="1686"/>
      <c r="F365" s="1402" t="s">
        <v>363</v>
      </c>
      <c r="G365" s="1661">
        <v>2200</v>
      </c>
      <c r="H365" s="1588">
        <f t="shared" si="122"/>
        <v>0</v>
      </c>
      <c r="I365" s="1589">
        <v>150</v>
      </c>
      <c r="J365" s="1588">
        <f t="shared" si="123"/>
        <v>0</v>
      </c>
      <c r="K365" s="1770">
        <f t="shared" si="124"/>
        <v>0</v>
      </c>
      <c r="L365" s="1770"/>
      <c r="M365" s="1710"/>
      <c r="N365" s="1710"/>
      <c r="O365" s="1710"/>
      <c r="P365" s="1710"/>
      <c r="Q365" s="1710"/>
      <c r="R365" s="1710"/>
      <c r="S365" s="1710"/>
      <c r="T365" s="1710"/>
    </row>
    <row r="366" spans="1:20" s="1765" customFormat="1" ht="24" customHeight="1">
      <c r="A366" s="1766" t="s">
        <v>2839</v>
      </c>
      <c r="B366" s="1538" t="s">
        <v>2261</v>
      </c>
      <c r="C366" s="1275"/>
      <c r="D366" s="1767"/>
      <c r="E366" s="1686"/>
      <c r="F366" s="1402" t="s">
        <v>1104</v>
      </c>
      <c r="G366" s="1661">
        <f>4*2500</f>
        <v>10000</v>
      </c>
      <c r="H366" s="1588">
        <f t="shared" si="122"/>
        <v>0</v>
      </c>
      <c r="I366" s="1589">
        <f>G366*0.3</f>
        <v>3000</v>
      </c>
      <c r="J366" s="1588">
        <f t="shared" si="123"/>
        <v>0</v>
      </c>
      <c r="K366" s="1770">
        <f t="shared" si="124"/>
        <v>0</v>
      </c>
      <c r="L366" s="1770"/>
      <c r="M366" s="1710"/>
      <c r="N366" s="1710"/>
      <c r="O366" s="1710"/>
      <c r="P366" s="1710"/>
      <c r="Q366" s="1710"/>
      <c r="R366" s="1710"/>
      <c r="S366" s="1710"/>
      <c r="T366" s="1710"/>
    </row>
    <row r="367" spans="1:20" s="1765" customFormat="1" ht="24" customHeight="1">
      <c r="A367" s="1766"/>
      <c r="B367" s="1538" t="s">
        <v>1117</v>
      </c>
      <c r="C367" s="1275"/>
      <c r="D367" s="1767"/>
      <c r="E367" s="1686"/>
      <c r="F367" s="1402"/>
      <c r="G367" s="1661"/>
      <c r="H367" s="1588"/>
      <c r="I367" s="1589"/>
      <c r="J367" s="1588"/>
      <c r="K367" s="1770"/>
      <c r="L367" s="1770"/>
      <c r="M367" s="1710"/>
      <c r="N367" s="1710"/>
      <c r="O367" s="1710"/>
      <c r="P367" s="1710"/>
      <c r="Q367" s="1710"/>
      <c r="R367" s="1710"/>
      <c r="S367" s="1710"/>
      <c r="T367" s="1710"/>
    </row>
    <row r="368" spans="1:20" s="1765" customFormat="1" ht="24" customHeight="1">
      <c r="A368" s="1766"/>
      <c r="B368" s="1538"/>
      <c r="C368" s="1275"/>
      <c r="D368" s="1767"/>
      <c r="E368" s="1686"/>
      <c r="F368" s="1402"/>
      <c r="G368" s="1661"/>
      <c r="H368" s="1588"/>
      <c r="I368" s="1589"/>
      <c r="J368" s="1588"/>
      <c r="K368" s="1770"/>
      <c r="L368" s="1770"/>
      <c r="M368" s="1710"/>
      <c r="N368" s="1710"/>
      <c r="O368" s="1710"/>
      <c r="P368" s="1710"/>
      <c r="Q368" s="1710"/>
      <c r="R368" s="1710"/>
      <c r="S368" s="1710"/>
      <c r="T368" s="1710"/>
    </row>
    <row r="369" spans="1:20" s="1765" customFormat="1" ht="24" customHeight="1">
      <c r="A369" s="1766"/>
      <c r="B369" s="1538"/>
      <c r="C369" s="1275"/>
      <c r="D369" s="1767"/>
      <c r="E369" s="1686"/>
      <c r="F369" s="1402"/>
      <c r="G369" s="1661"/>
      <c r="H369" s="1588"/>
      <c r="I369" s="1589"/>
      <c r="J369" s="1588"/>
      <c r="K369" s="1770"/>
      <c r="L369" s="1770"/>
      <c r="M369" s="1710"/>
      <c r="N369" s="1710"/>
      <c r="O369" s="1710"/>
      <c r="P369" s="1710"/>
      <c r="Q369" s="1710"/>
      <c r="R369" s="1710"/>
      <c r="S369" s="1710"/>
      <c r="T369" s="1710"/>
    </row>
    <row r="370" spans="1:20" s="1765" customFormat="1" ht="24" customHeight="1">
      <c r="A370" s="1766"/>
      <c r="B370" s="1538"/>
      <c r="C370" s="1275"/>
      <c r="D370" s="1767"/>
      <c r="E370" s="1686"/>
      <c r="F370" s="1402"/>
      <c r="G370" s="1661"/>
      <c r="H370" s="1588"/>
      <c r="I370" s="1589"/>
      <c r="J370" s="1588"/>
      <c r="K370" s="1770"/>
      <c r="L370" s="1770"/>
      <c r="M370" s="1710"/>
      <c r="N370" s="1710"/>
      <c r="O370" s="1710"/>
      <c r="P370" s="1710"/>
      <c r="Q370" s="1710"/>
      <c r="R370" s="1710"/>
      <c r="S370" s="1710"/>
      <c r="T370" s="1710"/>
    </row>
    <row r="371" spans="1:20" s="1765" customFormat="1" ht="24" customHeight="1">
      <c r="A371" s="1766"/>
      <c r="B371" s="1538"/>
      <c r="C371" s="1275"/>
      <c r="D371" s="1767"/>
      <c r="E371" s="1686"/>
      <c r="F371" s="1402"/>
      <c r="G371" s="1661"/>
      <c r="H371" s="1588"/>
      <c r="I371" s="1589"/>
      <c r="J371" s="1588"/>
      <c r="K371" s="1770"/>
      <c r="L371" s="1770"/>
      <c r="M371" s="1710"/>
      <c r="N371" s="1710"/>
      <c r="O371" s="1710"/>
      <c r="P371" s="1710"/>
      <c r="Q371" s="1710"/>
      <c r="R371" s="1710"/>
      <c r="S371" s="1710"/>
      <c r="T371" s="1710"/>
    </row>
    <row r="372" spans="1:20" s="1765" customFormat="1" ht="24" customHeight="1">
      <c r="A372" s="1766"/>
      <c r="B372" s="1538"/>
      <c r="C372" s="1275"/>
      <c r="D372" s="1767"/>
      <c r="E372" s="1686"/>
      <c r="F372" s="1402"/>
      <c r="G372" s="1661"/>
      <c r="H372" s="1588"/>
      <c r="I372" s="1589"/>
      <c r="J372" s="1588"/>
      <c r="K372" s="1770"/>
      <c r="L372" s="1770"/>
      <c r="M372" s="1710"/>
      <c r="N372" s="1710"/>
      <c r="O372" s="1710"/>
      <c r="P372" s="1710"/>
      <c r="Q372" s="1710"/>
      <c r="R372" s="1710"/>
      <c r="S372" s="1710"/>
      <c r="T372" s="1710"/>
    </row>
    <row r="373" spans="1:20" s="1765" customFormat="1" ht="24" customHeight="1">
      <c r="A373" s="1766"/>
      <c r="B373" s="1538"/>
      <c r="C373" s="1275"/>
      <c r="D373" s="1767"/>
      <c r="E373" s="1686"/>
      <c r="F373" s="1402"/>
      <c r="G373" s="1661"/>
      <c r="H373" s="1588"/>
      <c r="I373" s="1589"/>
      <c r="J373" s="1588"/>
      <c r="K373" s="1770"/>
      <c r="L373" s="1770"/>
      <c r="M373" s="1710"/>
      <c r="N373" s="1710"/>
      <c r="O373" s="1710"/>
      <c r="P373" s="1710"/>
      <c r="Q373" s="1710"/>
      <c r="R373" s="1710"/>
      <c r="S373" s="1710"/>
      <c r="T373" s="1710"/>
    </row>
    <row r="374" spans="1:20" s="1765" customFormat="1" ht="24" customHeight="1">
      <c r="A374" s="1766"/>
      <c r="B374" s="1538"/>
      <c r="C374" s="1275"/>
      <c r="D374" s="1767"/>
      <c r="E374" s="1686"/>
      <c r="F374" s="1402"/>
      <c r="G374" s="1661"/>
      <c r="H374" s="1588"/>
      <c r="I374" s="1589"/>
      <c r="J374" s="1588"/>
      <c r="K374" s="1770"/>
      <c r="L374" s="1770"/>
      <c r="M374" s="1710"/>
      <c r="N374" s="1710"/>
      <c r="O374" s="1710"/>
      <c r="P374" s="1710"/>
      <c r="Q374" s="1710"/>
      <c r="R374" s="1710"/>
      <c r="S374" s="1710"/>
      <c r="T374" s="1710"/>
    </row>
    <row r="375" spans="1:20" s="1765" customFormat="1" ht="24" customHeight="1">
      <c r="A375" s="1766"/>
      <c r="B375" s="1538"/>
      <c r="C375" s="1275"/>
      <c r="D375" s="1767"/>
      <c r="E375" s="1686"/>
      <c r="F375" s="1402"/>
      <c r="G375" s="1661"/>
      <c r="H375" s="1588"/>
      <c r="I375" s="1589"/>
      <c r="J375" s="1588"/>
      <c r="K375" s="1770"/>
      <c r="L375" s="1770"/>
      <c r="M375" s="1710"/>
      <c r="N375" s="1710"/>
      <c r="O375" s="1710"/>
      <c r="P375" s="1710"/>
      <c r="Q375" s="1710"/>
      <c r="R375" s="1710"/>
      <c r="S375" s="1710"/>
      <c r="T375" s="1710"/>
    </row>
    <row r="376" spans="1:20" s="1765" customFormat="1" ht="24" customHeight="1">
      <c r="A376" s="1766"/>
      <c r="B376" s="1538"/>
      <c r="C376" s="1275"/>
      <c r="D376" s="1767"/>
      <c r="E376" s="1686"/>
      <c r="F376" s="1402"/>
      <c r="G376" s="1661"/>
      <c r="H376" s="1588"/>
      <c r="I376" s="1589"/>
      <c r="J376" s="1588"/>
      <c r="K376" s="1770"/>
      <c r="L376" s="1770"/>
      <c r="M376" s="1710"/>
      <c r="N376" s="1710"/>
      <c r="O376" s="1710"/>
      <c r="P376" s="1710"/>
      <c r="Q376" s="1710"/>
      <c r="R376" s="1710"/>
      <c r="S376" s="1710"/>
      <c r="T376" s="1710"/>
    </row>
    <row r="377" spans="1:20" s="1765" customFormat="1" ht="24" customHeight="1">
      <c r="A377" s="1766"/>
      <c r="B377" s="1538"/>
      <c r="C377" s="1275"/>
      <c r="D377" s="1767"/>
      <c r="E377" s="1686"/>
      <c r="F377" s="1402"/>
      <c r="G377" s="1661"/>
      <c r="H377" s="1588"/>
      <c r="I377" s="1589"/>
      <c r="J377" s="1588"/>
      <c r="K377" s="1770"/>
      <c r="L377" s="1770"/>
      <c r="M377" s="1710"/>
      <c r="N377" s="1710"/>
      <c r="O377" s="1710"/>
      <c r="P377" s="1710"/>
      <c r="Q377" s="1710"/>
      <c r="R377" s="1710"/>
      <c r="S377" s="1710"/>
      <c r="T377" s="1710"/>
    </row>
    <row r="378" spans="1:20" s="1765" customFormat="1" ht="24" customHeight="1">
      <c r="A378" s="1766"/>
      <c r="B378" s="1538"/>
      <c r="C378" s="1275"/>
      <c r="D378" s="1767"/>
      <c r="E378" s="1686"/>
      <c r="F378" s="1402"/>
      <c r="G378" s="1661"/>
      <c r="H378" s="1588"/>
      <c r="I378" s="1589"/>
      <c r="J378" s="1588"/>
      <c r="K378" s="1770"/>
      <c r="L378" s="1770"/>
      <c r="M378" s="1710"/>
      <c r="N378" s="1710"/>
      <c r="O378" s="1710"/>
      <c r="P378" s="1710"/>
      <c r="Q378" s="1710"/>
      <c r="R378" s="1710"/>
      <c r="S378" s="1710"/>
      <c r="T378" s="1710"/>
    </row>
    <row r="379" spans="1:20" s="1765" customFormat="1" ht="24" customHeight="1">
      <c r="A379" s="1766"/>
      <c r="B379" s="1538"/>
      <c r="C379" s="1275"/>
      <c r="D379" s="1767"/>
      <c r="E379" s="1686"/>
      <c r="F379" s="1402"/>
      <c r="G379" s="1661"/>
      <c r="H379" s="1588"/>
      <c r="I379" s="1589"/>
      <c r="J379" s="1588"/>
      <c r="K379" s="1770"/>
      <c r="L379" s="1770"/>
      <c r="M379" s="1710"/>
      <c r="N379" s="1710"/>
      <c r="O379" s="1710"/>
      <c r="P379" s="1710"/>
      <c r="Q379" s="1710"/>
      <c r="R379" s="1710"/>
      <c r="S379" s="1710"/>
      <c r="T379" s="1710"/>
    </row>
    <row r="380" spans="1:20" s="1765" customFormat="1" ht="24" customHeight="1">
      <c r="A380" s="1766"/>
      <c r="B380" s="1538"/>
      <c r="C380" s="1275"/>
      <c r="D380" s="1767"/>
      <c r="E380" s="1686"/>
      <c r="F380" s="1402"/>
      <c r="G380" s="1661"/>
      <c r="H380" s="1588"/>
      <c r="I380" s="1589"/>
      <c r="J380" s="1588"/>
      <c r="K380" s="1770"/>
      <c r="L380" s="1770"/>
      <c r="M380" s="1710"/>
      <c r="N380" s="1710"/>
      <c r="O380" s="1710"/>
      <c r="P380" s="1710"/>
      <c r="Q380" s="1710"/>
      <c r="R380" s="1710"/>
      <c r="S380" s="1710"/>
      <c r="T380" s="1710"/>
    </row>
    <row r="381" spans="1:20" s="1765" customFormat="1" ht="24" customHeight="1">
      <c r="A381" s="1766"/>
      <c r="B381" s="1538"/>
      <c r="C381" s="1275"/>
      <c r="D381" s="1767"/>
      <c r="E381" s="1686"/>
      <c r="F381" s="1402"/>
      <c r="G381" s="1661"/>
      <c r="H381" s="1588"/>
      <c r="I381" s="1589"/>
      <c r="J381" s="1588"/>
      <c r="K381" s="1770"/>
      <c r="L381" s="1770"/>
      <c r="M381" s="1710"/>
      <c r="N381" s="1710"/>
      <c r="O381" s="1710"/>
      <c r="P381" s="1710"/>
      <c r="Q381" s="1710"/>
      <c r="R381" s="1710"/>
      <c r="S381" s="1710"/>
      <c r="T381" s="1710"/>
    </row>
    <row r="382" spans="1:20" s="1765" customFormat="1" ht="24" customHeight="1">
      <c r="A382" s="1766"/>
      <c r="B382" s="1538"/>
      <c r="C382" s="1275"/>
      <c r="D382" s="1767"/>
      <c r="E382" s="1686"/>
      <c r="F382" s="1402"/>
      <c r="G382" s="1661"/>
      <c r="H382" s="1588"/>
      <c r="I382" s="1589"/>
      <c r="J382" s="1588"/>
      <c r="K382" s="1770"/>
      <c r="L382" s="1770"/>
      <c r="M382" s="1710"/>
      <c r="N382" s="1710"/>
      <c r="O382" s="1710"/>
      <c r="P382" s="1710"/>
      <c r="Q382" s="1710"/>
      <c r="R382" s="1710"/>
      <c r="S382" s="1710"/>
      <c r="T382" s="1710"/>
    </row>
    <row r="383" spans="1:20" s="1765" customFormat="1" ht="24" customHeight="1">
      <c r="A383" s="1766"/>
      <c r="B383" s="1538"/>
      <c r="C383" s="1275"/>
      <c r="D383" s="1767"/>
      <c r="E383" s="1686"/>
      <c r="F383" s="1402"/>
      <c r="G383" s="1661"/>
      <c r="H383" s="1588"/>
      <c r="I383" s="1589"/>
      <c r="J383" s="1588"/>
      <c r="K383" s="1770"/>
      <c r="L383" s="1770"/>
      <c r="M383" s="1710"/>
      <c r="N383" s="1710"/>
      <c r="O383" s="1710"/>
      <c r="P383" s="1710"/>
      <c r="Q383" s="1710"/>
      <c r="R383" s="1710"/>
      <c r="S383" s="1710"/>
      <c r="T383" s="1710"/>
    </row>
    <row r="384" spans="1:20" s="1765" customFormat="1" ht="24" customHeight="1">
      <c r="A384" s="1578"/>
      <c r="B384" s="2257" t="str">
        <f>"รวมราคารายการที่ "&amp;A360</f>
        <v>รวมราคารายการที่ 7.15</v>
      </c>
      <c r="C384" s="2258"/>
      <c r="D384" s="2259"/>
      <c r="E384" s="1579"/>
      <c r="F384" s="1579"/>
      <c r="G384" s="1580"/>
      <c r="H384" s="1581">
        <f>SUM(H361:H367)</f>
        <v>0</v>
      </c>
      <c r="I384" s="1582"/>
      <c r="J384" s="1581">
        <f>SUM(J361:J367)</f>
        <v>0</v>
      </c>
      <c r="K384" s="1583">
        <f>SUM(K361:K367)</f>
        <v>0</v>
      </c>
      <c r="L384" s="1583"/>
      <c r="M384" s="2019"/>
      <c r="N384" s="2019"/>
      <c r="O384" s="2019"/>
      <c r="P384" s="2019"/>
      <c r="Q384" s="2019"/>
      <c r="R384" s="2019"/>
      <c r="S384" s="2019"/>
      <c r="T384" s="2019"/>
    </row>
    <row r="391" spans="2:2">
      <c r="B391" s="1805"/>
    </row>
    <row r="392" spans="2:2">
      <c r="B392" s="1805"/>
    </row>
  </sheetData>
  <mergeCells count="24">
    <mergeCell ref="B184:D184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8:D48"/>
    <mergeCell ref="B98:D98"/>
    <mergeCell ref="B123:D123"/>
    <mergeCell ref="B146:D146"/>
    <mergeCell ref="B342:D342"/>
    <mergeCell ref="B352:D352"/>
    <mergeCell ref="B359:D359"/>
    <mergeCell ref="B384:D384"/>
    <mergeCell ref="B201:D201"/>
    <mergeCell ref="B209:D209"/>
    <mergeCell ref="B234:D234"/>
    <mergeCell ref="B259:D259"/>
    <mergeCell ref="B284:D284"/>
    <mergeCell ref="B292:D292"/>
  </mergeCells>
  <conditionalFormatting sqref="A73:L74">
    <cfRule type="expression" dxfId="299" priority="33">
      <formula>SUMPRODUCT(--(ROW()=$O$12:$O$22))&gt;0</formula>
    </cfRule>
  </conditionalFormatting>
  <conditionalFormatting sqref="A75:L76">
    <cfRule type="expression" dxfId="298" priority="32">
      <formula>SUMPRODUCT(--(ROW()=$O$12:$O$22))&gt;0</formula>
    </cfRule>
  </conditionalFormatting>
  <conditionalFormatting sqref="A77:L78">
    <cfRule type="expression" dxfId="297" priority="31">
      <formula>SUMPRODUCT(--(ROW()=$O$12:$O$22))&gt;0</formula>
    </cfRule>
  </conditionalFormatting>
  <conditionalFormatting sqref="A79:L80 B212:F212 B219:F219 L219 H218:L218 G218:G226 L212:L213 L215 L217">
    <cfRule type="expression" dxfId="296" priority="30">
      <formula>SUMPRODUCT(--(ROW()=$O$12:$O$21))&gt;0</formula>
    </cfRule>
  </conditionalFormatting>
  <conditionalFormatting sqref="A81:L82">
    <cfRule type="expression" dxfId="295" priority="29">
      <formula>SUMPRODUCT(--(ROW()=$O$12:$O$21))&gt;0</formula>
    </cfRule>
  </conditionalFormatting>
  <conditionalFormatting sqref="A83:L84">
    <cfRule type="expression" dxfId="294" priority="28">
      <formula>SUMPRODUCT(--(ROW()=$O$12:$O$21))&gt;0</formula>
    </cfRule>
  </conditionalFormatting>
  <conditionalFormatting sqref="A85:L86">
    <cfRule type="expression" dxfId="293" priority="27">
      <formula>SUMPRODUCT(--(ROW()=$O$12:$O$21))&gt;0</formula>
    </cfRule>
  </conditionalFormatting>
  <conditionalFormatting sqref="A87:L88">
    <cfRule type="expression" dxfId="292" priority="26">
      <formula>SUMPRODUCT(--(ROW()=$O$12:$O$21))&gt;0</formula>
    </cfRule>
  </conditionalFormatting>
  <conditionalFormatting sqref="A89:L90">
    <cfRule type="expression" dxfId="291" priority="25">
      <formula>SUMPRODUCT(--(ROW()=$O$12:$O$21))&gt;0</formula>
    </cfRule>
  </conditionalFormatting>
  <conditionalFormatting sqref="A91:L92">
    <cfRule type="expression" dxfId="290" priority="24">
      <formula>SUMPRODUCT(--(ROW()=$O$12:$O$22))&gt;0</formula>
    </cfRule>
  </conditionalFormatting>
  <conditionalFormatting sqref="B211:L211">
    <cfRule type="expression" dxfId="289" priority="23">
      <formula>SUMPRODUCT(--(ROW()=$O$12:$O$21))&gt;0</formula>
    </cfRule>
  </conditionalFormatting>
  <conditionalFormatting sqref="I212:K212">
    <cfRule type="expression" dxfId="288" priority="22">
      <formula>SUMPRODUCT(--(ROW()=$O$12:$O$21))&gt;0</formula>
    </cfRule>
  </conditionalFormatting>
  <conditionalFormatting sqref="B218:F218">
    <cfRule type="expression" dxfId="287" priority="21">
      <formula>SUMPRODUCT(--(ROW()=$O$12:$O$21))&gt;0</formula>
    </cfRule>
  </conditionalFormatting>
  <conditionalFormatting sqref="I219:K219">
    <cfRule type="expression" dxfId="286" priority="20">
      <formula>SUMPRODUCT(--(ROW()=$O$12:$O$21))&gt;0</formula>
    </cfRule>
  </conditionalFormatting>
  <conditionalFormatting sqref="G212">
    <cfRule type="expression" dxfId="285" priority="19">
      <formula>SUMPRODUCT(--(ROW()=$O$12:$O$21))&gt;0</formula>
    </cfRule>
  </conditionalFormatting>
  <conditionalFormatting sqref="B213:F213">
    <cfRule type="expression" dxfId="284" priority="18">
      <formula>SUMPRODUCT(--(ROW()=$O$12:$O$21))&gt;0</formula>
    </cfRule>
  </conditionalFormatting>
  <conditionalFormatting sqref="I213:K213">
    <cfRule type="expression" dxfId="283" priority="17">
      <formula>SUMPRODUCT(--(ROW()=$O$12:$O$21))&gt;0</formula>
    </cfRule>
  </conditionalFormatting>
  <conditionalFormatting sqref="G213">
    <cfRule type="expression" dxfId="282" priority="16">
      <formula>SUMPRODUCT(--(ROW()=$O$12:$O$21))&gt;0</formula>
    </cfRule>
  </conditionalFormatting>
  <conditionalFormatting sqref="B214:L214">
    <cfRule type="expression" dxfId="281" priority="15">
      <formula>SUMPRODUCT(--(ROW()=$O$12:$O$21))&gt;0</formula>
    </cfRule>
  </conditionalFormatting>
  <conditionalFormatting sqref="B215:F215">
    <cfRule type="expression" dxfId="280" priority="14">
      <formula>SUMPRODUCT(--(ROW()=$O$12:$O$21))&gt;0</formula>
    </cfRule>
  </conditionalFormatting>
  <conditionalFormatting sqref="I215:K215">
    <cfRule type="expression" dxfId="279" priority="13">
      <formula>SUMPRODUCT(--(ROW()=$O$12:$O$21))&gt;0</formula>
    </cfRule>
  </conditionalFormatting>
  <conditionalFormatting sqref="G215">
    <cfRule type="expression" dxfId="278" priority="12">
      <formula>SUMPRODUCT(--(ROW()=$O$12:$O$21))&gt;0</formula>
    </cfRule>
  </conditionalFormatting>
  <conditionalFormatting sqref="B217:F217">
    <cfRule type="expression" dxfId="277" priority="11">
      <formula>SUMPRODUCT(--(ROW()=$O$12:$O$21))&gt;0</formula>
    </cfRule>
  </conditionalFormatting>
  <conditionalFormatting sqref="B216:L216">
    <cfRule type="expression" dxfId="276" priority="10">
      <formula>SUMPRODUCT(--(ROW()=$O$12:$O$21))&gt;0</formula>
    </cfRule>
  </conditionalFormatting>
  <conditionalFormatting sqref="I217:K217">
    <cfRule type="expression" dxfId="275" priority="9">
      <formula>SUMPRODUCT(--(ROW()=$O$12:$O$21))&gt;0</formula>
    </cfRule>
  </conditionalFormatting>
  <conditionalFormatting sqref="G217">
    <cfRule type="expression" dxfId="274" priority="8">
      <formula>SUMPRODUCT(--(ROW()=$O$12:$O$21))&gt;0</formula>
    </cfRule>
  </conditionalFormatting>
  <conditionalFormatting sqref="H118">
    <cfRule type="expression" dxfId="273" priority="7">
      <formula>SUMPRODUCT(--(ROW()=$O$14:$O$25))&gt;0</formula>
    </cfRule>
  </conditionalFormatting>
  <conditionalFormatting sqref="E135 A354:G357 I354:L357 A252:L257 A246:L246 A239:K243 A247:F248 A245:K245 A250:F251">
    <cfRule type="expression" dxfId="272" priority="6">
      <formula>SUMPRODUCT(--(ROW()=$O$12:$O$24))&gt;0</formula>
    </cfRule>
  </conditionalFormatting>
  <conditionalFormatting sqref="A358:L358">
    <cfRule type="expression" dxfId="271" priority="5">
      <formula>SUMPRODUCT(--(ROW()=$O$12:$O$24))&gt;0</formula>
    </cfRule>
  </conditionalFormatting>
  <conditionalFormatting sqref="E353:L353">
    <cfRule type="expression" dxfId="270" priority="4">
      <formula>SUMPRODUCT(--(ROW()=$O$12:$O$24))&gt;0</formula>
    </cfRule>
  </conditionalFormatting>
  <conditionalFormatting sqref="A238:L238">
    <cfRule type="expression" dxfId="269" priority="3">
      <formula>SUMPRODUCT(--(ROW()=$O$12:$O$24))&gt;0</formula>
    </cfRule>
  </conditionalFormatting>
  <conditionalFormatting sqref="A244:K244">
    <cfRule type="expression" dxfId="268" priority="2">
      <formula>SUMPRODUCT(--(ROW()=$O$12:$O$24))&gt;0</formula>
    </cfRule>
  </conditionalFormatting>
  <conditionalFormatting sqref="A249:F249">
    <cfRule type="expression" dxfId="267" priority="1">
      <formula>SUMPRODUCT(--(ROW()=$O$12:$O$24))&gt;0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&amp;Rงานระบบปรับอากาศและระบายอากาศ(Main Equipment)-อาคารด้านทิศตะวันตก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7921C-3675-446D-83A5-CA12FC917BFE}">
  <sheetPr>
    <tabColor rgb="FFFFFF00"/>
  </sheetPr>
  <dimension ref="A1:O220"/>
  <sheetViews>
    <sheetView showGridLines="0" view="pageBreakPreview" topLeftCell="A166" zoomScale="85" zoomScaleNormal="60" zoomScaleSheetLayoutView="85" workbookViewId="0">
      <selection activeCell="D39" sqref="D39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6.29296875" style="1" customWidth="1"/>
    <col min="13" max="13" width="7.703125" style="1" customWidth="1"/>
    <col min="14" max="14" width="12.87890625" style="1" customWidth="1"/>
    <col min="15" max="15" width="11.87890625" style="1" customWidth="1"/>
    <col min="16" max="16" width="14.29296875" style="1" customWidth="1"/>
    <col min="17" max="81" width="7.703125" style="1" customWidth="1"/>
    <col min="82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24</v>
      </c>
      <c r="B11" s="1561" t="s">
        <v>2131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>
        <f>A35</f>
        <v>7.1</v>
      </c>
      <c r="B12" s="1538" t="str">
        <f>+B35</f>
        <v>เครื่องส่งลมเย็นขนาดเล็ก (Fan Coil Unit)</v>
      </c>
      <c r="C12" s="1533"/>
      <c r="D12" s="1534"/>
      <c r="E12" s="1753">
        <v>1</v>
      </c>
      <c r="F12" s="1567" t="s">
        <v>19</v>
      </c>
      <c r="G12" s="1195"/>
      <c r="H12" s="1196">
        <f>H46</f>
        <v>29212</v>
      </c>
      <c r="I12" s="1197"/>
      <c r="J12" s="1196">
        <f>J46</f>
        <v>3242</v>
      </c>
      <c r="K12" s="1196">
        <f t="shared" ref="K12:K21" si="0">SUM(H12:J12)</f>
        <v>32454</v>
      </c>
      <c r="L12" s="1531"/>
    </row>
    <row r="13" spans="1:12" s="1199" customFormat="1" ht="24" customHeight="1">
      <c r="A13" s="1572">
        <f>A47</f>
        <v>7.2</v>
      </c>
      <c r="B13" s="1797" t="str">
        <f>+B47</f>
        <v>อุปกรณ์ควบคุมอัตโนมัติ (Automatic Control Equipment)</v>
      </c>
      <c r="C13" s="1574"/>
      <c r="D13" s="1575"/>
      <c r="E13" s="1753">
        <v>1</v>
      </c>
      <c r="F13" s="1577" t="s">
        <v>19</v>
      </c>
      <c r="G13" s="1228"/>
      <c r="H13" s="1229">
        <f>H59</f>
        <v>252000</v>
      </c>
      <c r="I13" s="1230"/>
      <c r="J13" s="1229">
        <f>J59</f>
        <v>3600</v>
      </c>
      <c r="K13" s="1196">
        <f t="shared" si="0"/>
        <v>255600</v>
      </c>
      <c r="L13" s="1430"/>
    </row>
    <row r="14" spans="1:12" s="1199" customFormat="1" ht="24" customHeight="1">
      <c r="A14" s="1564">
        <f>A60</f>
        <v>7.3</v>
      </c>
      <c r="B14" s="1538" t="str">
        <f>+B60</f>
        <v>พัดลมระบายอากาศ (Ventilating Fan)</v>
      </c>
      <c r="C14" s="1533"/>
      <c r="D14" s="1534"/>
      <c r="E14" s="1753">
        <v>1</v>
      </c>
      <c r="F14" s="1567" t="s">
        <v>19</v>
      </c>
      <c r="G14" s="1195"/>
      <c r="H14" s="1196">
        <f>H84</f>
        <v>4692444</v>
      </c>
      <c r="I14" s="1197"/>
      <c r="J14" s="1196">
        <f>J84</f>
        <v>244222</v>
      </c>
      <c r="K14" s="1196">
        <f t="shared" si="0"/>
        <v>4936666</v>
      </c>
      <c r="L14" s="1531"/>
    </row>
    <row r="15" spans="1:12" s="1199" customFormat="1" ht="24" customHeight="1">
      <c r="A15" s="1564">
        <f>A85</f>
        <v>7.4</v>
      </c>
      <c r="B15" s="1538" t="str">
        <f>+B85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H99</f>
        <v>3986</v>
      </c>
      <c r="I15" s="1197"/>
      <c r="J15" s="1196">
        <f>J99</f>
        <v>1970</v>
      </c>
      <c r="K15" s="1196">
        <f t="shared" si="0"/>
        <v>5956</v>
      </c>
      <c r="L15" s="1531"/>
    </row>
    <row r="16" spans="1:12" s="1199" customFormat="1" ht="24" customHeight="1">
      <c r="A16" s="1564">
        <f>A100</f>
        <v>7.5</v>
      </c>
      <c r="B16" s="1538" t="str">
        <f>+B100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H109</f>
        <v>3307</v>
      </c>
      <c r="I16" s="1197"/>
      <c r="J16" s="1196">
        <f>J109</f>
        <v>1063</v>
      </c>
      <c r="K16" s="1196">
        <f t="shared" si="0"/>
        <v>4370</v>
      </c>
      <c r="L16" s="1531"/>
    </row>
    <row r="17" spans="1:12" s="1199" customFormat="1" ht="24" customHeight="1">
      <c r="A17" s="1564">
        <f>A110</f>
        <v>7.6</v>
      </c>
      <c r="B17" s="1538" t="str">
        <f>B110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H123</f>
        <v>0</v>
      </c>
      <c r="I17" s="1197"/>
      <c r="J17" s="1196">
        <f>J123</f>
        <v>0</v>
      </c>
      <c r="K17" s="1196">
        <f t="shared" si="0"/>
        <v>0</v>
      </c>
      <c r="L17" s="1531"/>
    </row>
    <row r="18" spans="1:12" s="1199" customFormat="1" ht="24" customHeight="1">
      <c r="A18" s="1564">
        <f>A124</f>
        <v>7.7</v>
      </c>
      <c r="B18" s="1538" t="str">
        <f>B124</f>
        <v>ระบบท่อลม (Duct Work)</v>
      </c>
      <c r="C18" s="1533"/>
      <c r="D18" s="1534"/>
      <c r="E18" s="1753">
        <v>1</v>
      </c>
      <c r="F18" s="1567" t="s">
        <v>19</v>
      </c>
      <c r="G18" s="1195"/>
      <c r="H18" s="1196">
        <f>H134</f>
        <v>1720980</v>
      </c>
      <c r="I18" s="1197"/>
      <c r="J18" s="1196">
        <f>J134</f>
        <v>1151048</v>
      </c>
      <c r="K18" s="1196">
        <f t="shared" si="0"/>
        <v>2872028</v>
      </c>
      <c r="L18" s="1531"/>
    </row>
    <row r="19" spans="1:12" s="1199" customFormat="1" ht="24" customHeight="1">
      <c r="A19" s="1564">
        <f>A135</f>
        <v>7.8</v>
      </c>
      <c r="B19" s="1538" t="str">
        <f>B135</f>
        <v>หน้ากากลม (Air Diffuser, Grille &amp; Register)</v>
      </c>
      <c r="C19" s="1533"/>
      <c r="D19" s="1534"/>
      <c r="E19" s="1753">
        <v>1</v>
      </c>
      <c r="F19" s="1567" t="s">
        <v>19</v>
      </c>
      <c r="G19" s="1195"/>
      <c r="H19" s="1196">
        <f>H147</f>
        <v>64200</v>
      </c>
      <c r="I19" s="1197"/>
      <c r="J19" s="1196">
        <f>J147</f>
        <v>8600</v>
      </c>
      <c r="K19" s="1196">
        <f t="shared" si="0"/>
        <v>72800</v>
      </c>
      <c r="L19" s="1531"/>
    </row>
    <row r="20" spans="1:12" s="1199" customFormat="1" ht="24" customHeight="1">
      <c r="A20" s="1564">
        <f>A148</f>
        <v>7.9</v>
      </c>
      <c r="B20" s="1538" t="str">
        <f>B148</f>
        <v>ระบบไฟฟ้าและควบคุม (Electrical &amp; Control System)</v>
      </c>
      <c r="C20" s="1533"/>
      <c r="D20" s="1534"/>
      <c r="E20" s="1753">
        <v>1</v>
      </c>
      <c r="F20" s="1567" t="s">
        <v>19</v>
      </c>
      <c r="G20" s="1195"/>
      <c r="H20" s="1196">
        <f>H170</f>
        <v>988540</v>
      </c>
      <c r="I20" s="1197"/>
      <c r="J20" s="1196">
        <f>J170</f>
        <v>127753</v>
      </c>
      <c r="K20" s="1196">
        <f t="shared" si="0"/>
        <v>1116293</v>
      </c>
      <c r="L20" s="1531"/>
    </row>
    <row r="21" spans="1:12" s="1199" customFormat="1" ht="24" customHeight="1">
      <c r="A21" s="1564" t="str">
        <f>A171</f>
        <v>7.10</v>
      </c>
      <c r="B21" s="1538" t="str">
        <f>B171</f>
        <v>Variable Speed Controller</v>
      </c>
      <c r="C21" s="1533"/>
      <c r="D21" s="1534"/>
      <c r="E21" s="1753">
        <v>1</v>
      </c>
      <c r="F21" s="1567" t="s">
        <v>19</v>
      </c>
      <c r="G21" s="1195" t="s">
        <v>1683</v>
      </c>
      <c r="H21" s="1196">
        <f>H184</f>
        <v>0</v>
      </c>
      <c r="I21" s="1197"/>
      <c r="J21" s="1196">
        <f>J184</f>
        <v>0</v>
      </c>
      <c r="K21" s="1196">
        <f t="shared" si="0"/>
        <v>0</v>
      </c>
      <c r="L21" s="1531"/>
    </row>
    <row r="22" spans="1:12" s="1199" customFormat="1" ht="24" customHeight="1">
      <c r="A22" s="1806"/>
      <c r="B22" s="1783"/>
      <c r="C22" s="1622"/>
      <c r="D22" s="1623"/>
      <c r="E22" s="1753"/>
      <c r="F22" s="1625"/>
      <c r="G22" s="1237"/>
      <c r="H22" s="1238"/>
      <c r="I22" s="1239"/>
      <c r="J22" s="1238"/>
      <c r="K22" s="1196"/>
      <c r="L22" s="1807"/>
    </row>
    <row r="23" spans="1:12" s="1199" customFormat="1" ht="24" customHeight="1">
      <c r="A23" s="1537"/>
      <c r="B23" s="1538"/>
      <c r="C23" s="1533"/>
      <c r="D23" s="1534"/>
      <c r="E23" s="1753"/>
      <c r="F23" s="1567"/>
      <c r="G23" s="1195"/>
      <c r="H23" s="1196"/>
      <c r="I23" s="1197"/>
      <c r="J23" s="1196"/>
      <c r="K23" s="1196"/>
      <c r="L23" s="1531"/>
    </row>
    <row r="24" spans="1:12" s="1199" customFormat="1" ht="24" customHeight="1">
      <c r="A24" s="1806"/>
      <c r="B24" s="1783"/>
      <c r="C24" s="1622"/>
      <c r="D24" s="1623"/>
      <c r="E24" s="1567"/>
      <c r="F24" s="1625"/>
      <c r="G24" s="1237"/>
      <c r="H24" s="1238"/>
      <c r="I24" s="1239"/>
      <c r="J24" s="1238"/>
      <c r="K24" s="1196"/>
      <c r="L24" s="1807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12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12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B2</v>
      </c>
      <c r="C34" s="2258"/>
      <c r="D34" s="2259"/>
      <c r="E34" s="1579"/>
      <c r="F34" s="1579"/>
      <c r="G34" s="1580"/>
      <c r="H34" s="1581">
        <f>SUM(H11:H33)</f>
        <v>7754669</v>
      </c>
      <c r="I34" s="1582"/>
      <c r="J34" s="1581">
        <f>SUM(J11:J33)</f>
        <v>1541498</v>
      </c>
      <c r="K34" s="1583">
        <f>SUM(K11:K33)</f>
        <v>9296167</v>
      </c>
      <c r="L34" s="1583"/>
    </row>
    <row r="35" spans="1:12" s="1765" customFormat="1" ht="24" customHeight="1">
      <c r="A35" s="1291">
        <v>7.1</v>
      </c>
      <c r="B35" s="1776" t="s">
        <v>2132</v>
      </c>
      <c r="C35" s="1293"/>
      <c r="D35" s="1777"/>
      <c r="E35" s="1686"/>
      <c r="F35" s="1402"/>
      <c r="G35" s="1661"/>
      <c r="H35" s="1588"/>
      <c r="I35" s="1589"/>
      <c r="J35" s="1588"/>
      <c r="K35" s="1589"/>
      <c r="L35" s="1330"/>
    </row>
    <row r="36" spans="1:12" s="1765" customFormat="1" ht="24" customHeight="1">
      <c r="A36" s="1766" t="s">
        <v>1984</v>
      </c>
      <c r="B36" s="1538" t="s">
        <v>2133</v>
      </c>
      <c r="C36" s="1275"/>
      <c r="D36" s="1767"/>
      <c r="E36" s="1686"/>
      <c r="F36" s="1402"/>
      <c r="G36" s="1661"/>
      <c r="H36" s="1298"/>
      <c r="I36" s="1589"/>
      <c r="J36" s="1588"/>
      <c r="K36" s="1589"/>
      <c r="L36" s="1330"/>
    </row>
    <row r="37" spans="1:12" s="1765" customFormat="1" ht="24" customHeight="1">
      <c r="A37" s="1584"/>
      <c r="B37" s="1538" t="s">
        <v>2134</v>
      </c>
      <c r="C37" s="1275"/>
      <c r="D37" s="1767"/>
      <c r="E37" s="1686"/>
      <c r="F37" s="1402"/>
      <c r="G37" s="1661"/>
      <c r="H37" s="1588"/>
      <c r="I37" s="1589"/>
      <c r="J37" s="1588"/>
      <c r="K37" s="1589"/>
      <c r="L37" s="1330"/>
    </row>
    <row r="38" spans="1:12" s="1765" customFormat="1" ht="24" customHeight="1">
      <c r="A38" s="1584"/>
      <c r="B38" s="1780" t="s">
        <v>2135</v>
      </c>
      <c r="C38" s="1260"/>
      <c r="D38" s="1781"/>
      <c r="E38" s="715">
        <v>1</v>
      </c>
      <c r="F38" s="1415" t="s">
        <v>363</v>
      </c>
      <c r="G38" s="1515">
        <v>13806</v>
      </c>
      <c r="H38" s="1343">
        <f t="shared" ref="H38:H41" si="1">ROUND(E38*G38,)</f>
        <v>13806</v>
      </c>
      <c r="I38" s="1386">
        <f>ROUND(G38*0.1,)</f>
        <v>1381</v>
      </c>
      <c r="J38" s="1343">
        <f t="shared" ref="J38:J39" si="2">ROUND(E38*I38,)</f>
        <v>1381</v>
      </c>
      <c r="K38" s="1801">
        <f t="shared" ref="K38:K41" si="3">H38+J38</f>
        <v>15187</v>
      </c>
      <c r="L38" s="1330"/>
    </row>
    <row r="39" spans="1:12" s="1765" customFormat="1" ht="24" customHeight="1">
      <c r="A39" s="1584"/>
      <c r="B39" s="1780" t="s">
        <v>2136</v>
      </c>
      <c r="C39" s="1260"/>
      <c r="D39" s="1781"/>
      <c r="E39" s="715">
        <v>1</v>
      </c>
      <c r="F39" s="1415" t="s">
        <v>363</v>
      </c>
      <c r="G39" s="1515">
        <v>13806</v>
      </c>
      <c r="H39" s="1343">
        <f t="shared" si="1"/>
        <v>13806</v>
      </c>
      <c r="I39" s="1386">
        <f>ROUND(G39*0.1,)</f>
        <v>1381</v>
      </c>
      <c r="J39" s="1343">
        <f t="shared" si="2"/>
        <v>1381</v>
      </c>
      <c r="K39" s="1801">
        <f t="shared" si="3"/>
        <v>15187</v>
      </c>
      <c r="L39" s="1330"/>
    </row>
    <row r="40" spans="1:12" s="1765" customFormat="1" ht="24" customHeight="1">
      <c r="A40" s="1766" t="s">
        <v>1986</v>
      </c>
      <c r="B40" s="1538" t="s">
        <v>2137</v>
      </c>
      <c r="C40" s="1275"/>
      <c r="D40" s="1767"/>
      <c r="E40" s="825"/>
      <c r="F40" s="1402" t="s">
        <v>363</v>
      </c>
      <c r="G40" s="1661">
        <v>3000</v>
      </c>
      <c r="H40" s="1264">
        <f t="shared" si="1"/>
        <v>0</v>
      </c>
      <c r="I40" s="1589" t="s">
        <v>1683</v>
      </c>
      <c r="J40" s="1343"/>
      <c r="K40" s="1687">
        <f t="shared" si="3"/>
        <v>0</v>
      </c>
      <c r="L40" s="1330"/>
    </row>
    <row r="41" spans="1:12" s="1765" customFormat="1" ht="24" customHeight="1">
      <c r="A41" s="1584" t="s">
        <v>1988</v>
      </c>
      <c r="B41" s="1538" t="s">
        <v>2041</v>
      </c>
      <c r="C41" s="1275"/>
      <c r="D41" s="1767"/>
      <c r="E41" s="1686">
        <v>2</v>
      </c>
      <c r="F41" s="1402" t="s">
        <v>363</v>
      </c>
      <c r="G41" s="1661">
        <v>800</v>
      </c>
      <c r="H41" s="1264">
        <f t="shared" si="1"/>
        <v>1600</v>
      </c>
      <c r="I41" s="1589">
        <f>G41*0.3</f>
        <v>240</v>
      </c>
      <c r="J41" s="1264">
        <f t="shared" ref="J41" si="4">ROUND(E41*I41,)</f>
        <v>480</v>
      </c>
      <c r="K41" s="1687">
        <f t="shared" si="3"/>
        <v>2080</v>
      </c>
      <c r="L41" s="1330"/>
    </row>
    <row r="42" spans="1:12" s="1765" customFormat="1" ht="24" customHeight="1">
      <c r="A42" s="1584"/>
      <c r="B42" s="1538" t="s">
        <v>1117</v>
      </c>
      <c r="C42" s="1275"/>
      <c r="D42" s="1767"/>
      <c r="E42" s="1686"/>
      <c r="F42" s="1402"/>
      <c r="G42" s="1661"/>
      <c r="H42" s="1588"/>
      <c r="I42" s="1589"/>
      <c r="J42" s="1588"/>
      <c r="K42" s="1589"/>
      <c r="L42" s="1330"/>
    </row>
    <row r="43" spans="1:12" s="1765" customFormat="1" ht="24" customHeight="1">
      <c r="A43" s="1584"/>
      <c r="B43" s="1538" t="s">
        <v>1118</v>
      </c>
      <c r="C43" s="1275"/>
      <c r="D43" s="1767"/>
      <c r="E43" s="1686"/>
      <c r="F43" s="1402"/>
      <c r="G43" s="1661"/>
      <c r="H43" s="1588"/>
      <c r="I43" s="1589"/>
      <c r="J43" s="1588"/>
      <c r="K43" s="1589"/>
      <c r="L43" s="1330"/>
    </row>
    <row r="44" spans="1:12" s="1765" customFormat="1" ht="24" customHeight="1">
      <c r="A44" s="1584"/>
      <c r="B44" s="1538" t="s">
        <v>1118</v>
      </c>
      <c r="C44" s="1275"/>
      <c r="D44" s="1767"/>
      <c r="E44" s="1686"/>
      <c r="F44" s="1402"/>
      <c r="G44" s="1661"/>
      <c r="H44" s="1588"/>
      <c r="I44" s="1589"/>
      <c r="J44" s="1588"/>
      <c r="K44" s="1589"/>
      <c r="L44" s="1330"/>
    </row>
    <row r="45" spans="1:12" s="1765" customFormat="1" ht="24" customHeight="1">
      <c r="A45" s="1808"/>
      <c r="B45" s="1809"/>
      <c r="C45" s="1810"/>
      <c r="D45" s="1810"/>
      <c r="E45" s="1811"/>
      <c r="F45" s="1448"/>
      <c r="G45" s="1665"/>
      <c r="H45" s="1709"/>
      <c r="I45" s="1710"/>
      <c r="J45" s="1709"/>
      <c r="K45" s="1710"/>
      <c r="L45" s="1812"/>
    </row>
    <row r="46" spans="1:12" s="1199" customFormat="1" ht="24" customHeight="1">
      <c r="A46" s="1578"/>
      <c r="B46" s="2257" t="str">
        <f>"รวมราคารายการที่ "&amp;A35</f>
        <v>รวมราคารายการที่ 7.1</v>
      </c>
      <c r="C46" s="2258"/>
      <c r="D46" s="2259"/>
      <c r="E46" s="1579"/>
      <c r="F46" s="1579"/>
      <c r="G46" s="1580"/>
      <c r="H46" s="1581">
        <f>SUM(H36:H45)</f>
        <v>29212</v>
      </c>
      <c r="I46" s="1582"/>
      <c r="J46" s="1581">
        <f>SUM(J36:J45)</f>
        <v>3242</v>
      </c>
      <c r="K46" s="1583">
        <f>SUM(K36:K45)</f>
        <v>32454</v>
      </c>
      <c r="L46" s="1583"/>
    </row>
    <row r="47" spans="1:12" s="1765" customFormat="1" ht="24" customHeight="1">
      <c r="A47" s="1757">
        <v>7.2</v>
      </c>
      <c r="B47" s="1758" t="s">
        <v>1983</v>
      </c>
      <c r="C47" s="1251"/>
      <c r="D47" s="1759"/>
      <c r="E47" s="1760"/>
      <c r="F47" s="1498"/>
      <c r="G47" s="1761"/>
      <c r="H47" s="1762"/>
      <c r="I47" s="1763"/>
      <c r="J47" s="1762"/>
      <c r="K47" s="1764"/>
      <c r="L47" s="1764"/>
    </row>
    <row r="48" spans="1:12" s="1765" customFormat="1" ht="24" customHeight="1">
      <c r="A48" s="1258" t="s">
        <v>1992</v>
      </c>
      <c r="B48" s="1538" t="s">
        <v>2138</v>
      </c>
      <c r="C48" s="1275"/>
      <c r="D48" s="1767"/>
      <c r="E48" s="1771"/>
      <c r="F48" s="1385"/>
      <c r="G48" s="1778"/>
      <c r="H48" s="1594"/>
      <c r="I48" s="1595"/>
      <c r="J48" s="1594"/>
      <c r="K48" s="1632"/>
      <c r="L48" s="1632"/>
    </row>
    <row r="49" spans="1:12" s="1765" customFormat="1" ht="24" customHeight="1">
      <c r="A49" s="1766" t="s">
        <v>2139</v>
      </c>
      <c r="B49" s="1538" t="s">
        <v>2140</v>
      </c>
      <c r="C49" s="1275"/>
      <c r="D49" s="1767"/>
      <c r="E49" s="1686"/>
      <c r="F49" s="1402"/>
      <c r="G49" s="1661"/>
      <c r="H49" s="1588"/>
      <c r="I49" s="1589"/>
      <c r="J49" s="1588"/>
      <c r="K49" s="1770"/>
      <c r="L49" s="1770"/>
    </row>
    <row r="50" spans="1:12" s="1765" customFormat="1" ht="24" customHeight="1">
      <c r="A50" s="1766"/>
      <c r="B50" s="1538" t="s">
        <v>1731</v>
      </c>
      <c r="C50" s="1275"/>
      <c r="D50" s="1767"/>
      <c r="E50" s="1813">
        <f>E40</f>
        <v>0</v>
      </c>
      <c r="F50" s="1389" t="s">
        <v>363</v>
      </c>
      <c r="G50" s="1814">
        <v>3300</v>
      </c>
      <c r="H50" s="1773">
        <f t="shared" ref="H50:H52" si="5">ROUND(E50*G50,)</f>
        <v>0</v>
      </c>
      <c r="I50" s="1815">
        <v>150</v>
      </c>
      <c r="J50" s="1773">
        <f t="shared" ref="J50:J51" si="6">ROUND(E50*I50,)</f>
        <v>0</v>
      </c>
      <c r="K50" s="1774">
        <f t="shared" ref="K50:K52" si="7">H50+J50</f>
        <v>0</v>
      </c>
      <c r="L50" s="1770"/>
    </row>
    <row r="51" spans="1:12" s="1765" customFormat="1" ht="24" customHeight="1">
      <c r="A51" s="1584" t="s">
        <v>2036</v>
      </c>
      <c r="B51" s="1780" t="s">
        <v>2141</v>
      </c>
      <c r="C51" s="1275"/>
      <c r="D51" s="1767"/>
      <c r="E51" s="715">
        <v>12</v>
      </c>
      <c r="F51" s="1415" t="s">
        <v>363</v>
      </c>
      <c r="G51" s="1772">
        <v>18000</v>
      </c>
      <c r="H51" s="1343">
        <f t="shared" si="5"/>
        <v>216000</v>
      </c>
      <c r="I51" s="1386">
        <v>150</v>
      </c>
      <c r="J51" s="1343">
        <f t="shared" si="6"/>
        <v>1800</v>
      </c>
      <c r="K51" s="1801">
        <f t="shared" si="7"/>
        <v>217800</v>
      </c>
      <c r="L51" s="1770"/>
    </row>
    <row r="52" spans="1:12" s="1765" customFormat="1" ht="24" customHeight="1">
      <c r="A52" s="1584" t="s">
        <v>2040</v>
      </c>
      <c r="B52" s="1538" t="s">
        <v>2142</v>
      </c>
      <c r="C52" s="1275"/>
      <c r="D52" s="1767"/>
      <c r="E52" s="1771">
        <v>12</v>
      </c>
      <c r="F52" s="1415" t="s">
        <v>363</v>
      </c>
      <c r="G52" s="1772">
        <v>3000</v>
      </c>
      <c r="H52" s="1343">
        <f t="shared" si="5"/>
        <v>36000</v>
      </c>
      <c r="I52" s="1386">
        <v>150</v>
      </c>
      <c r="J52" s="1343">
        <f>ROUND(E52*I52,)</f>
        <v>1800</v>
      </c>
      <c r="K52" s="1801">
        <f t="shared" si="7"/>
        <v>37800</v>
      </c>
      <c r="L52" s="1632"/>
    </row>
    <row r="53" spans="1:12" s="1765" customFormat="1" ht="24" customHeight="1">
      <c r="A53" s="1584"/>
      <c r="B53" s="1538" t="s">
        <v>1117</v>
      </c>
      <c r="C53" s="1275"/>
      <c r="D53" s="1767"/>
      <c r="E53" s="1686"/>
      <c r="F53" s="1402"/>
      <c r="G53" s="1661"/>
      <c r="H53" s="1588"/>
      <c r="I53" s="1589"/>
      <c r="J53" s="1588"/>
      <c r="K53" s="1770"/>
      <c r="L53" s="1770"/>
    </row>
    <row r="54" spans="1:12" s="1765" customFormat="1" ht="24" customHeight="1">
      <c r="A54" s="1584"/>
      <c r="B54" s="1538" t="s">
        <v>1118</v>
      </c>
      <c r="C54" s="1275"/>
      <c r="D54" s="1767"/>
      <c r="E54" s="1686"/>
      <c r="F54" s="1402"/>
      <c r="G54" s="1661"/>
      <c r="H54" s="1588"/>
      <c r="I54" s="1589"/>
      <c r="J54" s="1588"/>
      <c r="K54" s="1770"/>
      <c r="L54" s="1770"/>
    </row>
    <row r="55" spans="1:12" s="1765" customFormat="1" ht="24" customHeight="1">
      <c r="A55" s="1584"/>
      <c r="B55" s="1538"/>
      <c r="C55" s="1275"/>
      <c r="D55" s="1767"/>
      <c r="E55" s="1686"/>
      <c r="F55" s="1402"/>
      <c r="G55" s="1661"/>
      <c r="H55" s="1588"/>
      <c r="I55" s="1589"/>
      <c r="J55" s="1588"/>
      <c r="K55" s="1770"/>
      <c r="L55" s="1770"/>
    </row>
    <row r="56" spans="1:12" s="1765" customFormat="1" ht="24" customHeight="1">
      <c r="A56" s="1584"/>
      <c r="B56" s="1538"/>
      <c r="C56" s="1275"/>
      <c r="D56" s="1767"/>
      <c r="E56" s="1686"/>
      <c r="F56" s="1402"/>
      <c r="G56" s="1661"/>
      <c r="H56" s="1588"/>
      <c r="I56" s="1589"/>
      <c r="J56" s="1588"/>
      <c r="K56" s="1770"/>
      <c r="L56" s="1770"/>
    </row>
    <row r="57" spans="1:12" s="1765" customFormat="1" ht="24" customHeight="1">
      <c r="A57" s="1584"/>
      <c r="B57" s="1538"/>
      <c r="C57" s="1275"/>
      <c r="D57" s="1767"/>
      <c r="E57" s="1686"/>
      <c r="F57" s="1402"/>
      <c r="G57" s="1661"/>
      <c r="H57" s="1588"/>
      <c r="I57" s="1589"/>
      <c r="J57" s="1588"/>
      <c r="K57" s="1770"/>
      <c r="L57" s="1770"/>
    </row>
    <row r="58" spans="1:12" s="1765" customFormat="1" ht="24" customHeight="1">
      <c r="A58" s="1584"/>
      <c r="B58" s="1538"/>
      <c r="C58" s="1275"/>
      <c r="D58" s="1767"/>
      <c r="E58" s="1686"/>
      <c r="F58" s="1402"/>
      <c r="G58" s="1661"/>
      <c r="H58" s="1588"/>
      <c r="I58" s="1589"/>
      <c r="J58" s="1588"/>
      <c r="K58" s="1770"/>
      <c r="L58" s="1770"/>
    </row>
    <row r="59" spans="1:12" s="1199" customFormat="1" ht="24" customHeight="1">
      <c r="A59" s="1578"/>
      <c r="B59" s="2257" t="str">
        <f>"รวมราคารายการที่ "&amp;A47</f>
        <v>รวมราคารายการที่ 7.2</v>
      </c>
      <c r="C59" s="2258"/>
      <c r="D59" s="2259"/>
      <c r="E59" s="1579"/>
      <c r="F59" s="1579"/>
      <c r="G59" s="1580"/>
      <c r="H59" s="1581">
        <f>SUM(H48:H58)</f>
        <v>252000</v>
      </c>
      <c r="I59" s="1582"/>
      <c r="J59" s="1581">
        <f>SUM(J48:J58)</f>
        <v>3600</v>
      </c>
      <c r="K59" s="1583">
        <f>SUM(K48:K58)</f>
        <v>255600</v>
      </c>
      <c r="L59" s="1583"/>
    </row>
    <row r="60" spans="1:12" s="1765" customFormat="1" ht="24" customHeight="1">
      <c r="A60" s="1291">
        <v>7.3</v>
      </c>
      <c r="B60" s="1776" t="s">
        <v>1991</v>
      </c>
      <c r="C60" s="1293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12" s="1765" customFormat="1" ht="24" customHeight="1">
      <c r="A61" s="1189" t="s">
        <v>2043</v>
      </c>
      <c r="B61" s="1538" t="s">
        <v>2143</v>
      </c>
      <c r="C61" s="1275"/>
      <c r="D61" s="1767"/>
      <c r="E61" s="1771"/>
      <c r="F61" s="1385"/>
      <c r="G61" s="1778"/>
      <c r="H61" s="1594"/>
      <c r="I61" s="1265"/>
      <c r="J61" s="1264"/>
      <c r="K61" s="1687"/>
      <c r="L61" s="1632"/>
    </row>
    <row r="62" spans="1:12" s="1765" customFormat="1" ht="24" customHeight="1">
      <c r="A62" s="1189"/>
      <c r="B62" s="1538" t="s">
        <v>2144</v>
      </c>
      <c r="C62" s="1275"/>
      <c r="D62" s="1767"/>
      <c r="E62" s="1771">
        <v>1</v>
      </c>
      <c r="F62" s="1385" t="s">
        <v>363</v>
      </c>
      <c r="G62" s="1778">
        <f t="shared" ref="G62:G68" si="8">24500*25</f>
        <v>612500</v>
      </c>
      <c r="H62" s="1594">
        <f t="shared" ref="H62:H69" si="9">ROUND(E62*G62,)</f>
        <v>612500</v>
      </c>
      <c r="I62" s="1265">
        <f t="shared" ref="I62:I68" si="10">G62*0.05</f>
        <v>30625</v>
      </c>
      <c r="J62" s="1264">
        <f t="shared" ref="J62:J69" si="11">ROUND(E62*I62,)</f>
        <v>30625</v>
      </c>
      <c r="K62" s="1687">
        <f t="shared" ref="K62:K69" si="12">H62+J62</f>
        <v>643125</v>
      </c>
      <c r="L62" s="1632"/>
    </row>
    <row r="63" spans="1:12" s="1765" customFormat="1" ht="24" customHeight="1">
      <c r="A63" s="1189"/>
      <c r="B63" s="1538" t="s">
        <v>2145</v>
      </c>
      <c r="C63" s="1275"/>
      <c r="D63" s="1767"/>
      <c r="E63" s="1771">
        <v>1</v>
      </c>
      <c r="F63" s="1385" t="s">
        <v>363</v>
      </c>
      <c r="G63" s="1778">
        <f t="shared" si="8"/>
        <v>612500</v>
      </c>
      <c r="H63" s="1594">
        <f t="shared" si="9"/>
        <v>612500</v>
      </c>
      <c r="I63" s="1265">
        <f t="shared" si="10"/>
        <v>30625</v>
      </c>
      <c r="J63" s="1264">
        <f t="shared" si="11"/>
        <v>30625</v>
      </c>
      <c r="K63" s="1687">
        <f t="shared" si="12"/>
        <v>643125</v>
      </c>
      <c r="L63" s="1632"/>
    </row>
    <row r="64" spans="1:12" s="1765" customFormat="1" ht="24" customHeight="1">
      <c r="A64" s="1189"/>
      <c r="B64" s="1538" t="s">
        <v>2146</v>
      </c>
      <c r="C64" s="1275"/>
      <c r="D64" s="1767"/>
      <c r="E64" s="1771">
        <v>1</v>
      </c>
      <c r="F64" s="1385" t="s">
        <v>363</v>
      </c>
      <c r="G64" s="1778">
        <f t="shared" si="8"/>
        <v>612500</v>
      </c>
      <c r="H64" s="1594">
        <f t="shared" si="9"/>
        <v>612500</v>
      </c>
      <c r="I64" s="1265">
        <f t="shared" si="10"/>
        <v>30625</v>
      </c>
      <c r="J64" s="1264">
        <f t="shared" si="11"/>
        <v>30625</v>
      </c>
      <c r="K64" s="1687">
        <f t="shared" si="12"/>
        <v>643125</v>
      </c>
      <c r="L64" s="1632"/>
    </row>
    <row r="65" spans="1:12" s="1765" customFormat="1" ht="24" customHeight="1">
      <c r="A65" s="1189"/>
      <c r="B65" s="1538" t="s">
        <v>2147</v>
      </c>
      <c r="C65" s="1275"/>
      <c r="D65" s="1767"/>
      <c r="E65" s="1771">
        <v>1</v>
      </c>
      <c r="F65" s="1385" t="s">
        <v>363</v>
      </c>
      <c r="G65" s="1778">
        <f t="shared" si="8"/>
        <v>612500</v>
      </c>
      <c r="H65" s="1594">
        <f t="shared" si="9"/>
        <v>612500</v>
      </c>
      <c r="I65" s="1265">
        <f t="shared" si="10"/>
        <v>30625</v>
      </c>
      <c r="J65" s="1264">
        <f t="shared" si="11"/>
        <v>30625</v>
      </c>
      <c r="K65" s="1687">
        <f t="shared" si="12"/>
        <v>643125</v>
      </c>
      <c r="L65" s="1632"/>
    </row>
    <row r="66" spans="1:12" s="1765" customFormat="1" ht="24" customHeight="1">
      <c r="A66" s="1189"/>
      <c r="B66" s="1538" t="s">
        <v>2148</v>
      </c>
      <c r="C66" s="1275"/>
      <c r="D66" s="1767"/>
      <c r="E66" s="1771">
        <v>1</v>
      </c>
      <c r="F66" s="1385" t="s">
        <v>363</v>
      </c>
      <c r="G66" s="1778">
        <v>14722</v>
      </c>
      <c r="H66" s="1594">
        <f t="shared" si="9"/>
        <v>14722</v>
      </c>
      <c r="I66" s="1265">
        <f>ROUND(G66*0.05,)</f>
        <v>736</v>
      </c>
      <c r="J66" s="1264">
        <f t="shared" si="11"/>
        <v>736</v>
      </c>
      <c r="K66" s="1687">
        <f t="shared" si="12"/>
        <v>15458</v>
      </c>
      <c r="L66" s="1632"/>
    </row>
    <row r="67" spans="1:12" s="1765" customFormat="1" ht="24" customHeight="1">
      <c r="A67" s="1189"/>
      <c r="B67" s="1538" t="s">
        <v>2149</v>
      </c>
      <c r="C67" s="1275"/>
      <c r="D67" s="1767"/>
      <c r="E67" s="1771">
        <v>1</v>
      </c>
      <c r="F67" s="1385" t="s">
        <v>363</v>
      </c>
      <c r="G67" s="1778">
        <f t="shared" si="8"/>
        <v>612500</v>
      </c>
      <c r="H67" s="1594">
        <f t="shared" si="9"/>
        <v>612500</v>
      </c>
      <c r="I67" s="1265">
        <f t="shared" si="10"/>
        <v>30625</v>
      </c>
      <c r="J67" s="1264">
        <f t="shared" si="11"/>
        <v>30625</v>
      </c>
      <c r="K67" s="1687">
        <f t="shared" si="12"/>
        <v>643125</v>
      </c>
      <c r="L67" s="1632"/>
    </row>
    <row r="68" spans="1:12" s="1765" customFormat="1" ht="24" customHeight="1">
      <c r="A68" s="1189"/>
      <c r="B68" s="1538" t="s">
        <v>2150</v>
      </c>
      <c r="C68" s="1275"/>
      <c r="D68" s="1767"/>
      <c r="E68" s="1771">
        <v>1</v>
      </c>
      <c r="F68" s="1385" t="s">
        <v>363</v>
      </c>
      <c r="G68" s="1778">
        <f t="shared" si="8"/>
        <v>612500</v>
      </c>
      <c r="H68" s="1594">
        <f t="shared" si="9"/>
        <v>612500</v>
      </c>
      <c r="I68" s="1265">
        <f t="shared" si="10"/>
        <v>30625</v>
      </c>
      <c r="J68" s="1264">
        <f t="shared" si="11"/>
        <v>30625</v>
      </c>
      <c r="K68" s="1687">
        <f t="shared" si="12"/>
        <v>643125</v>
      </c>
      <c r="L68" s="1632"/>
    </row>
    <row r="69" spans="1:12" s="1765" customFormat="1" ht="24" customHeight="1">
      <c r="A69" s="1189"/>
      <c r="B69" s="1538" t="s">
        <v>2151</v>
      </c>
      <c r="C69" s="1275"/>
      <c r="D69" s="1767"/>
      <c r="E69" s="1771">
        <v>1</v>
      </c>
      <c r="F69" s="1385" t="s">
        <v>363</v>
      </c>
      <c r="G69" s="1778">
        <v>14722</v>
      </c>
      <c r="H69" s="1594">
        <f t="shared" si="9"/>
        <v>14722</v>
      </c>
      <c r="I69" s="1265">
        <f>ROUND(G69*0.05,)</f>
        <v>736</v>
      </c>
      <c r="J69" s="1264">
        <f t="shared" si="11"/>
        <v>736</v>
      </c>
      <c r="K69" s="1687">
        <f t="shared" si="12"/>
        <v>15458</v>
      </c>
      <c r="L69" s="1632"/>
    </row>
    <row r="70" spans="1:12" s="1765" customFormat="1" ht="24" customHeight="1">
      <c r="A70" s="1189" t="s">
        <v>2047</v>
      </c>
      <c r="B70" s="1538" t="s">
        <v>2152</v>
      </c>
      <c r="C70" s="1275"/>
      <c r="D70" s="1767"/>
      <c r="E70" s="1771"/>
      <c r="F70" s="1385"/>
      <c r="G70" s="1778"/>
      <c r="H70" s="1594"/>
      <c r="I70" s="1595"/>
      <c r="J70" s="1594"/>
      <c r="K70" s="1632"/>
      <c r="L70" s="1632"/>
    </row>
    <row r="71" spans="1:12" s="1765" customFormat="1" ht="24" customHeight="1">
      <c r="A71" s="1189"/>
      <c r="B71" s="1538" t="s">
        <v>2153</v>
      </c>
      <c r="C71" s="1275"/>
      <c r="D71" s="1767"/>
      <c r="E71" s="1771">
        <v>6</v>
      </c>
      <c r="F71" s="1385" t="s">
        <v>363</v>
      </c>
      <c r="G71" s="1778">
        <v>39000</v>
      </c>
      <c r="H71" s="1594">
        <f t="shared" ref="H71:H72" si="13">ROUND(E71*G71,)</f>
        <v>234000</v>
      </c>
      <c r="I71" s="1595">
        <f>G71*0.05</f>
        <v>1950</v>
      </c>
      <c r="J71" s="1594">
        <f t="shared" ref="J71:J72" si="14">ROUND(E71*I71,)</f>
        <v>11700</v>
      </c>
      <c r="K71" s="1632">
        <f t="shared" ref="K71:K72" si="15">H71+J71</f>
        <v>245700</v>
      </c>
      <c r="L71" s="1632"/>
    </row>
    <row r="72" spans="1:12" s="1765" customFormat="1" ht="24" customHeight="1">
      <c r="A72" s="1189"/>
      <c r="B72" s="1538" t="s">
        <v>2154</v>
      </c>
      <c r="C72" s="1275"/>
      <c r="D72" s="1767"/>
      <c r="E72" s="1771">
        <v>18</v>
      </c>
      <c r="F72" s="1385" t="s">
        <v>363</v>
      </c>
      <c r="G72" s="1778">
        <v>39000</v>
      </c>
      <c r="H72" s="1594">
        <f t="shared" si="13"/>
        <v>702000</v>
      </c>
      <c r="I72" s="1595">
        <f t="shared" ref="I72" si="16">G72*0.05</f>
        <v>1950</v>
      </c>
      <c r="J72" s="1594">
        <f t="shared" si="14"/>
        <v>35100</v>
      </c>
      <c r="K72" s="1632">
        <f t="shared" si="15"/>
        <v>737100</v>
      </c>
      <c r="L72" s="1632"/>
    </row>
    <row r="73" spans="1:12" s="1765" customFormat="1" ht="24" customHeight="1">
      <c r="A73" s="1189" t="s">
        <v>2155</v>
      </c>
      <c r="B73" s="1538" t="s">
        <v>2156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12" s="1765" customFormat="1" ht="24" customHeight="1">
      <c r="A74" s="1189"/>
      <c r="B74" s="1538" t="s">
        <v>2157</v>
      </c>
      <c r="C74" s="1275"/>
      <c r="D74" s="1767"/>
      <c r="E74" s="1771">
        <v>1</v>
      </c>
      <c r="F74" s="1385" t="s">
        <v>363</v>
      </c>
      <c r="G74" s="1778">
        <v>1700</v>
      </c>
      <c r="H74" s="1594">
        <f t="shared" ref="H74:H82" si="17">ROUND(E74*G74,)</f>
        <v>1700</v>
      </c>
      <c r="I74" s="1265">
        <f t="shared" ref="I74:I81" si="18">G74*0.05</f>
        <v>85</v>
      </c>
      <c r="J74" s="1264">
        <f t="shared" ref="J74:J82" si="19">ROUND(E74*I74,)</f>
        <v>85</v>
      </c>
      <c r="K74" s="1687">
        <f t="shared" ref="K74:K82" si="20">H74+J74</f>
        <v>1785</v>
      </c>
      <c r="L74" s="1632"/>
    </row>
    <row r="75" spans="1:12" s="1765" customFormat="1" ht="24" customHeight="1">
      <c r="A75" s="1189"/>
      <c r="B75" s="1538" t="s">
        <v>2158</v>
      </c>
      <c r="C75" s="1275"/>
      <c r="D75" s="1767"/>
      <c r="E75" s="1771">
        <v>1</v>
      </c>
      <c r="F75" s="1385" t="s">
        <v>363</v>
      </c>
      <c r="G75" s="1778">
        <v>1700</v>
      </c>
      <c r="H75" s="1594">
        <f t="shared" si="17"/>
        <v>1700</v>
      </c>
      <c r="I75" s="1265">
        <f t="shared" si="18"/>
        <v>85</v>
      </c>
      <c r="J75" s="1264">
        <f t="shared" si="19"/>
        <v>85</v>
      </c>
      <c r="K75" s="1687">
        <f t="shared" si="20"/>
        <v>1785</v>
      </c>
      <c r="L75" s="1632"/>
    </row>
    <row r="76" spans="1:12" s="1765" customFormat="1" ht="24" customHeight="1">
      <c r="A76" s="1189"/>
      <c r="B76" s="1538" t="s">
        <v>2159</v>
      </c>
      <c r="C76" s="1275"/>
      <c r="D76" s="1767"/>
      <c r="E76" s="1771">
        <v>1</v>
      </c>
      <c r="F76" s="1385" t="s">
        <v>363</v>
      </c>
      <c r="G76" s="1778">
        <v>1700</v>
      </c>
      <c r="H76" s="1594">
        <f t="shared" si="17"/>
        <v>1700</v>
      </c>
      <c r="I76" s="1265">
        <f t="shared" si="18"/>
        <v>85</v>
      </c>
      <c r="J76" s="1264">
        <f t="shared" si="19"/>
        <v>85</v>
      </c>
      <c r="K76" s="1687">
        <f t="shared" si="20"/>
        <v>1785</v>
      </c>
      <c r="L76" s="1632"/>
    </row>
    <row r="77" spans="1:12" s="1765" customFormat="1" ht="24" customHeight="1">
      <c r="A77" s="1189"/>
      <c r="B77" s="1538" t="s">
        <v>2160</v>
      </c>
      <c r="C77" s="1275"/>
      <c r="D77" s="1767"/>
      <c r="E77" s="1771">
        <v>1</v>
      </c>
      <c r="F77" s="1385" t="s">
        <v>363</v>
      </c>
      <c r="G77" s="1778">
        <v>1700</v>
      </c>
      <c r="H77" s="1594">
        <f t="shared" si="17"/>
        <v>1700</v>
      </c>
      <c r="I77" s="1265">
        <f t="shared" si="18"/>
        <v>85</v>
      </c>
      <c r="J77" s="1264">
        <f t="shared" si="19"/>
        <v>85</v>
      </c>
      <c r="K77" s="1687">
        <f t="shared" si="20"/>
        <v>1785</v>
      </c>
      <c r="L77" s="1632"/>
    </row>
    <row r="78" spans="1:12" s="1765" customFormat="1" ht="24" customHeight="1">
      <c r="A78" s="1189"/>
      <c r="B78" s="1538" t="s">
        <v>2161</v>
      </c>
      <c r="C78" s="1275"/>
      <c r="D78" s="1767"/>
      <c r="E78" s="1771">
        <v>1</v>
      </c>
      <c r="F78" s="1385" t="s">
        <v>363</v>
      </c>
      <c r="G78" s="1778">
        <v>1700</v>
      </c>
      <c r="H78" s="1594">
        <f t="shared" si="17"/>
        <v>1700</v>
      </c>
      <c r="I78" s="1265">
        <f t="shared" si="18"/>
        <v>85</v>
      </c>
      <c r="J78" s="1264">
        <f t="shared" si="19"/>
        <v>85</v>
      </c>
      <c r="K78" s="1687">
        <f t="shared" si="20"/>
        <v>1785</v>
      </c>
      <c r="L78" s="1632"/>
    </row>
    <row r="79" spans="1:12" s="1765" customFormat="1" ht="24" customHeight="1">
      <c r="A79" s="1189"/>
      <c r="B79" s="1538" t="s">
        <v>2162</v>
      </c>
      <c r="C79" s="1275"/>
      <c r="D79" s="1767"/>
      <c r="E79" s="1771">
        <v>1</v>
      </c>
      <c r="F79" s="1385" t="s">
        <v>363</v>
      </c>
      <c r="G79" s="1778">
        <v>1700</v>
      </c>
      <c r="H79" s="1594">
        <f t="shared" si="17"/>
        <v>1700</v>
      </c>
      <c r="I79" s="1265">
        <f t="shared" si="18"/>
        <v>85</v>
      </c>
      <c r="J79" s="1264">
        <f t="shared" si="19"/>
        <v>85</v>
      </c>
      <c r="K79" s="1687">
        <f t="shared" si="20"/>
        <v>1785</v>
      </c>
      <c r="L79" s="1632"/>
    </row>
    <row r="80" spans="1:12" s="1765" customFormat="1" ht="24" customHeight="1">
      <c r="A80" s="1189"/>
      <c r="B80" s="1538" t="s">
        <v>2163</v>
      </c>
      <c r="C80" s="1275"/>
      <c r="D80" s="1767"/>
      <c r="E80" s="1771">
        <v>1</v>
      </c>
      <c r="F80" s="1385" t="s">
        <v>363</v>
      </c>
      <c r="G80" s="1778">
        <v>1700</v>
      </c>
      <c r="H80" s="1594">
        <f t="shared" si="17"/>
        <v>1700</v>
      </c>
      <c r="I80" s="1265">
        <f t="shared" si="18"/>
        <v>85</v>
      </c>
      <c r="J80" s="1264">
        <f t="shared" si="19"/>
        <v>85</v>
      </c>
      <c r="K80" s="1687">
        <f t="shared" si="20"/>
        <v>1785</v>
      </c>
      <c r="L80" s="1632"/>
    </row>
    <row r="81" spans="1:15" s="1765" customFormat="1" ht="24" customHeight="1">
      <c r="A81" s="1189"/>
      <c r="B81" s="1538" t="s">
        <v>2164</v>
      </c>
      <c r="C81" s="1275"/>
      <c r="D81" s="1767"/>
      <c r="E81" s="1771">
        <v>1</v>
      </c>
      <c r="F81" s="1385" t="s">
        <v>363</v>
      </c>
      <c r="G81" s="1778">
        <v>1700</v>
      </c>
      <c r="H81" s="1594">
        <f t="shared" si="17"/>
        <v>1700</v>
      </c>
      <c r="I81" s="1265">
        <f t="shared" si="18"/>
        <v>85</v>
      </c>
      <c r="J81" s="1264">
        <f t="shared" si="19"/>
        <v>85</v>
      </c>
      <c r="K81" s="1687">
        <f t="shared" si="20"/>
        <v>1785</v>
      </c>
      <c r="L81" s="1632"/>
    </row>
    <row r="82" spans="1:15" s="1765" customFormat="1" ht="24" customHeight="1">
      <c r="A82" s="1189" t="s">
        <v>2165</v>
      </c>
      <c r="B82" s="1538" t="s">
        <v>2041</v>
      </c>
      <c r="C82" s="1275"/>
      <c r="D82" s="1767"/>
      <c r="E82" s="1771">
        <f>SUM(E62:E72)</f>
        <v>32</v>
      </c>
      <c r="F82" s="1385" t="s">
        <v>363</v>
      </c>
      <c r="G82" s="1778">
        <v>1200</v>
      </c>
      <c r="H82" s="1594">
        <f t="shared" si="17"/>
        <v>38400</v>
      </c>
      <c r="I82" s="1595">
        <f>G82*0.3</f>
        <v>360</v>
      </c>
      <c r="J82" s="1594">
        <f t="shared" si="19"/>
        <v>11520</v>
      </c>
      <c r="K82" s="1632">
        <f t="shared" si="20"/>
        <v>49920</v>
      </c>
      <c r="L82" s="1632"/>
    </row>
    <row r="83" spans="1:15" s="1765" customFormat="1" ht="24" customHeight="1">
      <c r="A83" s="1189"/>
      <c r="B83" s="1538" t="s">
        <v>1117</v>
      </c>
      <c r="C83" s="1275"/>
      <c r="D83" s="1767"/>
      <c r="E83" s="1771"/>
      <c r="F83" s="1385"/>
      <c r="G83" s="1778"/>
      <c r="H83" s="1594"/>
      <c r="I83" s="1595"/>
      <c r="J83" s="1594"/>
      <c r="K83" s="1632"/>
      <c r="L83" s="1632"/>
    </row>
    <row r="84" spans="1:15" s="1199" customFormat="1" ht="24" customHeight="1">
      <c r="A84" s="1578"/>
      <c r="B84" s="2257" t="str">
        <f>"รวมราคารายการที่ "&amp;A60</f>
        <v>รวมราคารายการที่ 7.3</v>
      </c>
      <c r="C84" s="2258"/>
      <c r="D84" s="2259"/>
      <c r="E84" s="1579"/>
      <c r="F84" s="1579"/>
      <c r="G84" s="1580"/>
      <c r="H84" s="1581">
        <f>SUM(H61:H83)</f>
        <v>4692444</v>
      </c>
      <c r="I84" s="1582"/>
      <c r="J84" s="1581">
        <f>SUM(J61:J83)</f>
        <v>244222</v>
      </c>
      <c r="K84" s="1583">
        <f>SUM(K61:K83)</f>
        <v>4936666</v>
      </c>
      <c r="L84" s="1583"/>
    </row>
    <row r="85" spans="1:15" s="1765" customFormat="1" ht="24" customHeight="1">
      <c r="A85" s="1291">
        <v>7.4</v>
      </c>
      <c r="B85" s="1783" t="s">
        <v>2042</v>
      </c>
      <c r="C85" s="1294"/>
      <c r="D85" s="1777"/>
      <c r="E85" s="1686"/>
      <c r="F85" s="1402"/>
      <c r="G85" s="1661"/>
      <c r="H85" s="1588"/>
      <c r="I85" s="1589"/>
      <c r="J85" s="1588"/>
      <c r="K85" s="1770"/>
      <c r="L85" s="1770"/>
    </row>
    <row r="86" spans="1:15" s="1765" customFormat="1" ht="24" customHeight="1">
      <c r="A86" s="1258" t="s">
        <v>2054</v>
      </c>
      <c r="B86" s="1538" t="s">
        <v>2044</v>
      </c>
      <c r="C86" s="1275"/>
      <c r="D86" s="1767"/>
      <c r="E86" s="1771"/>
      <c r="F86" s="1385"/>
      <c r="G86" s="1778"/>
      <c r="H86" s="1594"/>
      <c r="I86" s="1595"/>
      <c r="J86" s="1594"/>
      <c r="K86" s="1632"/>
      <c r="L86" s="1632"/>
    </row>
    <row r="87" spans="1:15" s="1765" customFormat="1" ht="24" customHeight="1">
      <c r="A87" s="1189" t="s">
        <v>2166</v>
      </c>
      <c r="B87" s="1538" t="s">
        <v>2167</v>
      </c>
      <c r="C87" s="1275"/>
      <c r="D87" s="1767"/>
      <c r="E87" s="1771"/>
      <c r="F87" s="1385"/>
      <c r="G87" s="1778"/>
      <c r="H87" s="1594"/>
      <c r="I87" s="1595"/>
      <c r="J87" s="1594"/>
      <c r="K87" s="1632"/>
      <c r="L87" s="1632"/>
    </row>
    <row r="88" spans="1:15" s="1765" customFormat="1" ht="24" customHeight="1">
      <c r="A88" s="1258"/>
      <c r="B88" s="1538" t="s">
        <v>2168</v>
      </c>
      <c r="C88" s="1275"/>
      <c r="D88" s="1767"/>
      <c r="E88" s="1813">
        <v>27</v>
      </c>
      <c r="F88" s="1788" t="s">
        <v>226</v>
      </c>
      <c r="G88" s="819">
        <v>69.5</v>
      </c>
      <c r="H88" s="1343">
        <f t="shared" ref="H88:H91" si="21">ROUND(E88*G88,)</f>
        <v>1877</v>
      </c>
      <c r="I88" s="2004">
        <v>30</v>
      </c>
      <c r="J88" s="2005">
        <f t="shared" ref="J88:J91" si="22">ROUND(E88*I88,)</f>
        <v>810</v>
      </c>
      <c r="K88" s="1801">
        <f t="shared" ref="K88:K91" si="23">H88+J88</f>
        <v>2687</v>
      </c>
      <c r="L88" s="1632"/>
    </row>
    <row r="89" spans="1:15" s="1765" customFormat="1" ht="24" customHeight="1">
      <c r="A89" s="1258"/>
      <c r="B89" s="1538" t="s">
        <v>1719</v>
      </c>
      <c r="C89" s="1275"/>
      <c r="D89" s="1767"/>
      <c r="E89" s="1771">
        <v>1</v>
      </c>
      <c r="F89" s="1385" t="s">
        <v>1104</v>
      </c>
      <c r="G89" s="1778">
        <f>SUM(H88:H88)*50%</f>
        <v>938.5</v>
      </c>
      <c r="H89" s="1264">
        <f t="shared" si="21"/>
        <v>939</v>
      </c>
      <c r="I89" s="1265">
        <f>ROUND(G89*0.3,)</f>
        <v>282</v>
      </c>
      <c r="J89" s="1264">
        <f t="shared" si="22"/>
        <v>282</v>
      </c>
      <c r="K89" s="1273">
        <f t="shared" si="23"/>
        <v>1221</v>
      </c>
      <c r="L89" s="1632"/>
    </row>
    <row r="90" spans="1:15" s="1765" customFormat="1" ht="24" customHeight="1">
      <c r="A90" s="1258"/>
      <c r="B90" s="1538" t="s">
        <v>1720</v>
      </c>
      <c r="C90" s="1275"/>
      <c r="D90" s="1767"/>
      <c r="E90" s="1771">
        <v>1</v>
      </c>
      <c r="F90" s="1385" t="s">
        <v>1104</v>
      </c>
      <c r="G90" s="1778">
        <f>ROUND(SUM(H88)*20%,)</f>
        <v>375</v>
      </c>
      <c r="H90" s="1264">
        <f t="shared" si="21"/>
        <v>375</v>
      </c>
      <c r="I90" s="1265">
        <f>ROUND(G90*0.3,)</f>
        <v>113</v>
      </c>
      <c r="J90" s="1264">
        <f t="shared" si="22"/>
        <v>113</v>
      </c>
      <c r="K90" s="1273">
        <f t="shared" si="23"/>
        <v>488</v>
      </c>
      <c r="L90" s="1632"/>
    </row>
    <row r="91" spans="1:15" s="1765" customFormat="1" ht="24" customHeight="1">
      <c r="A91" s="1258"/>
      <c r="B91" s="1538" t="s">
        <v>1721</v>
      </c>
      <c r="C91" s="1275"/>
      <c r="D91" s="1767"/>
      <c r="E91" s="1771">
        <v>1</v>
      </c>
      <c r="F91" s="1385" t="s">
        <v>1104</v>
      </c>
      <c r="G91" s="1778">
        <f>ROUND(SUM(H88)*10%,)</f>
        <v>188</v>
      </c>
      <c r="H91" s="1264">
        <f t="shared" si="21"/>
        <v>188</v>
      </c>
      <c r="I91" s="1265">
        <f>ROUND(G91*0.3,)</f>
        <v>56</v>
      </c>
      <c r="J91" s="1264">
        <f t="shared" si="22"/>
        <v>56</v>
      </c>
      <c r="K91" s="1273">
        <f t="shared" si="23"/>
        <v>244</v>
      </c>
      <c r="L91" s="1632"/>
    </row>
    <row r="92" spans="1:15" s="1765" customFormat="1" ht="24" customHeight="1">
      <c r="A92" s="1258" t="s">
        <v>2056</v>
      </c>
      <c r="B92" s="1538" t="s">
        <v>2050</v>
      </c>
      <c r="C92" s="1275"/>
      <c r="D92" s="1767"/>
      <c r="E92" s="1771"/>
      <c r="F92" s="1385"/>
      <c r="G92" s="1778"/>
      <c r="H92" s="1594"/>
      <c r="I92" s="1595"/>
      <c r="J92" s="1594"/>
      <c r="K92" s="1632"/>
      <c r="L92" s="1632"/>
    </row>
    <row r="93" spans="1:15" s="1765" customFormat="1" ht="24" customHeight="1">
      <c r="A93" s="1258"/>
      <c r="B93" s="1538" t="s">
        <v>2168</v>
      </c>
      <c r="C93" s="1275"/>
      <c r="D93" s="1767"/>
      <c r="E93" s="1813">
        <v>9.5</v>
      </c>
      <c r="F93" s="1788" t="s">
        <v>226</v>
      </c>
      <c r="G93" s="819">
        <v>12</v>
      </c>
      <c r="H93" s="1343">
        <f t="shared" ref="H93:H97" si="24">ROUND(E93*G93,)</f>
        <v>114</v>
      </c>
      <c r="I93" s="819">
        <v>25</v>
      </c>
      <c r="J93" s="2005">
        <f t="shared" ref="J93:J97" si="25">ROUND(E93*I93,)</f>
        <v>238</v>
      </c>
      <c r="K93" s="1801">
        <f t="shared" ref="K93:K97" si="26">H93+J93</f>
        <v>352</v>
      </c>
      <c r="L93" s="2082" t="s">
        <v>2667</v>
      </c>
      <c r="M93" s="2002"/>
      <c r="N93" s="2009">
        <v>48.23</v>
      </c>
      <c r="O93" s="1199">
        <f>ROUND(N93/4,)</f>
        <v>12</v>
      </c>
    </row>
    <row r="94" spans="1:15" s="1765" customFormat="1" ht="24" customHeight="1">
      <c r="A94" s="1258"/>
      <c r="B94" s="1538" t="s">
        <v>1901</v>
      </c>
      <c r="C94" s="1275"/>
      <c r="D94" s="1767"/>
      <c r="E94" s="1771">
        <v>12.8</v>
      </c>
      <c r="F94" s="1358" t="s">
        <v>226</v>
      </c>
      <c r="G94" s="1541">
        <v>16</v>
      </c>
      <c r="H94" s="1369">
        <f t="shared" si="24"/>
        <v>205</v>
      </c>
      <c r="I94" s="2007">
        <v>30</v>
      </c>
      <c r="J94" s="2008">
        <f t="shared" si="25"/>
        <v>384</v>
      </c>
      <c r="K94" s="1774">
        <f t="shared" si="26"/>
        <v>589</v>
      </c>
      <c r="L94" s="2082" t="s">
        <v>2667</v>
      </c>
      <c r="M94" s="2002"/>
      <c r="N94" s="1765">
        <v>63.7</v>
      </c>
      <c r="O94" s="1199">
        <f>ROUND(N94/4,)</f>
        <v>16</v>
      </c>
    </row>
    <row r="95" spans="1:15" s="1765" customFormat="1" ht="24" customHeight="1">
      <c r="A95" s="1258"/>
      <c r="B95" s="1538" t="s">
        <v>1719</v>
      </c>
      <c r="C95" s="1275"/>
      <c r="D95" s="1767"/>
      <c r="E95" s="1771">
        <v>1</v>
      </c>
      <c r="F95" s="1385" t="s">
        <v>1104</v>
      </c>
      <c r="G95" s="1778">
        <f>SUM(H93:H94)*50%</f>
        <v>159.5</v>
      </c>
      <c r="H95" s="1264">
        <f t="shared" si="24"/>
        <v>160</v>
      </c>
      <c r="I95" s="1265">
        <f>ROUND(G95*0.3,)</f>
        <v>48</v>
      </c>
      <c r="J95" s="1264">
        <f t="shared" si="25"/>
        <v>48</v>
      </c>
      <c r="K95" s="1273">
        <f t="shared" si="26"/>
        <v>208</v>
      </c>
      <c r="L95" s="1632"/>
    </row>
    <row r="96" spans="1:15" s="1765" customFormat="1" ht="24" customHeight="1">
      <c r="A96" s="1258"/>
      <c r="B96" s="1538" t="s">
        <v>1720</v>
      </c>
      <c r="C96" s="1275"/>
      <c r="D96" s="1767"/>
      <c r="E96" s="1771">
        <v>1</v>
      </c>
      <c r="F96" s="1385" t="s">
        <v>1104</v>
      </c>
      <c r="G96" s="1778">
        <f>ROUND(SUM(H93:H94)*30%,)</f>
        <v>96</v>
      </c>
      <c r="H96" s="1264">
        <f t="shared" si="24"/>
        <v>96</v>
      </c>
      <c r="I96" s="1265">
        <f>ROUND(G96*0.3,)</f>
        <v>29</v>
      </c>
      <c r="J96" s="1264">
        <f t="shared" si="25"/>
        <v>29</v>
      </c>
      <c r="K96" s="1273">
        <f t="shared" si="26"/>
        <v>125</v>
      </c>
      <c r="L96" s="1632"/>
    </row>
    <row r="97" spans="1:12" s="1765" customFormat="1" ht="24" customHeight="1">
      <c r="A97" s="1258"/>
      <c r="B97" s="1538" t="s">
        <v>1721</v>
      </c>
      <c r="C97" s="1275"/>
      <c r="D97" s="1767"/>
      <c r="E97" s="1771">
        <v>1</v>
      </c>
      <c r="F97" s="1385" t="s">
        <v>1104</v>
      </c>
      <c r="G97" s="1778">
        <f>ROUND(SUM(H93:H94)*10%,)</f>
        <v>32</v>
      </c>
      <c r="H97" s="1264">
        <f t="shared" si="24"/>
        <v>32</v>
      </c>
      <c r="I97" s="1265">
        <f>ROUND(G97*0.3,)</f>
        <v>10</v>
      </c>
      <c r="J97" s="1264">
        <f t="shared" si="25"/>
        <v>10</v>
      </c>
      <c r="K97" s="1273">
        <f t="shared" si="26"/>
        <v>42</v>
      </c>
      <c r="L97" s="1632"/>
    </row>
    <row r="98" spans="1:12" s="1765" customFormat="1" ht="24" customHeight="1">
      <c r="A98" s="1258"/>
      <c r="B98" s="1538" t="s">
        <v>1117</v>
      </c>
      <c r="C98" s="1275"/>
      <c r="D98" s="1767"/>
      <c r="E98" s="1771"/>
      <c r="F98" s="1385"/>
      <c r="G98" s="1778"/>
      <c r="H98" s="1594"/>
      <c r="I98" s="1595"/>
      <c r="J98" s="1594"/>
      <c r="K98" s="1632"/>
      <c r="L98" s="1632"/>
    </row>
    <row r="99" spans="1:12" s="1765" customFormat="1" ht="24" customHeight="1">
      <c r="A99" s="1578"/>
      <c r="B99" s="2257" t="str">
        <f>"รวมราคารายการที่ "&amp;A85</f>
        <v>รวมราคารายการที่ 7.4</v>
      </c>
      <c r="C99" s="2258"/>
      <c r="D99" s="2259"/>
      <c r="E99" s="1579"/>
      <c r="F99" s="1579"/>
      <c r="G99" s="1580"/>
      <c r="H99" s="1581">
        <f>SUM(H86:H98)</f>
        <v>3986</v>
      </c>
      <c r="I99" s="1582"/>
      <c r="J99" s="1581">
        <f>SUM(J86:J98)</f>
        <v>1970</v>
      </c>
      <c r="K99" s="1583">
        <f>SUM(K86:K98)</f>
        <v>5956</v>
      </c>
      <c r="L99" s="1583"/>
    </row>
    <row r="100" spans="1:12" s="1765" customFormat="1" ht="24" customHeight="1">
      <c r="A100" s="1785">
        <v>7.5</v>
      </c>
      <c r="B100" s="1776" t="s">
        <v>2053</v>
      </c>
      <c r="C100" s="1293"/>
      <c r="D100" s="1294"/>
      <c r="E100" s="1786"/>
      <c r="F100" s="1296"/>
      <c r="G100" s="1357"/>
      <c r="H100" s="1298"/>
      <c r="I100" s="1299"/>
      <c r="J100" s="1298"/>
      <c r="K100" s="1382"/>
      <c r="L100" s="1382"/>
    </row>
    <row r="101" spans="1:12" s="1765" customFormat="1" ht="24" customHeight="1">
      <c r="A101" s="1258" t="s">
        <v>2062</v>
      </c>
      <c r="B101" s="1538" t="s">
        <v>2055</v>
      </c>
      <c r="C101" s="1437"/>
      <c r="D101" s="1275"/>
      <c r="E101" s="1768"/>
      <c r="F101" s="1358"/>
      <c r="G101" s="1516"/>
      <c r="H101" s="1264"/>
      <c r="I101" s="1265"/>
      <c r="J101" s="1264"/>
      <c r="K101" s="1273"/>
      <c r="L101" s="1273"/>
    </row>
    <row r="102" spans="1:12" s="1765" customFormat="1" ht="24" customHeight="1">
      <c r="A102" s="1258"/>
      <c r="B102" s="1538" t="s">
        <v>2168</v>
      </c>
      <c r="C102" s="1437"/>
      <c r="D102" s="1275"/>
      <c r="E102" s="1813">
        <f>E93</f>
        <v>9.5</v>
      </c>
      <c r="F102" s="1788" t="s">
        <v>226</v>
      </c>
      <c r="G102" s="1790">
        <v>59</v>
      </c>
      <c r="H102" s="1773">
        <f t="shared" ref="H102:H104" si="27">ROUND(E102*G102,)</f>
        <v>561</v>
      </c>
      <c r="I102" s="1789">
        <f>ROUND(20*0.75*1.3,)</f>
        <v>20</v>
      </c>
      <c r="J102" s="1773">
        <f t="shared" ref="J102:J104" si="28">ROUND(E102*I102,)</f>
        <v>190</v>
      </c>
      <c r="K102" s="1269">
        <f t="shared" ref="K102:K104" si="29">H102+J102</f>
        <v>751</v>
      </c>
      <c r="L102" s="1273"/>
    </row>
    <row r="103" spans="1:12" s="1765" customFormat="1" ht="24" customHeight="1">
      <c r="A103" s="1258"/>
      <c r="B103" s="1538" t="s">
        <v>1901</v>
      </c>
      <c r="C103" s="1437"/>
      <c r="D103" s="1275"/>
      <c r="E103" s="1813">
        <f>E94</f>
        <v>12.8</v>
      </c>
      <c r="F103" s="1358" t="s">
        <v>226</v>
      </c>
      <c r="G103" s="1516">
        <v>69</v>
      </c>
      <c r="H103" s="1264">
        <f t="shared" si="27"/>
        <v>883</v>
      </c>
      <c r="I103" s="1265">
        <f>ROUND(20*1*1.3,)</f>
        <v>26</v>
      </c>
      <c r="J103" s="1264">
        <f t="shared" si="28"/>
        <v>333</v>
      </c>
      <c r="K103" s="1273">
        <f t="shared" si="29"/>
        <v>1216</v>
      </c>
      <c r="L103" s="1273"/>
    </row>
    <row r="104" spans="1:12" s="1765" customFormat="1" ht="24" customHeight="1">
      <c r="A104" s="1258"/>
      <c r="B104" s="1538" t="s">
        <v>1338</v>
      </c>
      <c r="C104" s="1437"/>
      <c r="D104" s="1275"/>
      <c r="E104" s="1771"/>
      <c r="F104" s="1358" t="s">
        <v>226</v>
      </c>
      <c r="G104" s="1516">
        <v>92</v>
      </c>
      <c r="H104" s="1264">
        <f t="shared" si="27"/>
        <v>0</v>
      </c>
      <c r="I104" s="1265">
        <f>ROUND(20*1.25*1.3,)</f>
        <v>33</v>
      </c>
      <c r="J104" s="1264">
        <f t="shared" si="28"/>
        <v>0</v>
      </c>
      <c r="K104" s="1273">
        <f t="shared" si="29"/>
        <v>0</v>
      </c>
      <c r="L104" s="1273"/>
    </row>
    <row r="105" spans="1:12" s="1765" customFormat="1" ht="24" customHeight="1">
      <c r="A105" s="1258" t="s">
        <v>2064</v>
      </c>
      <c r="B105" s="1538" t="s">
        <v>2169</v>
      </c>
      <c r="C105" s="1437"/>
      <c r="D105" s="1275"/>
      <c r="E105" s="1768"/>
      <c r="F105" s="1358"/>
      <c r="G105" s="1516"/>
      <c r="H105" s="1264"/>
      <c r="I105" s="1265"/>
      <c r="J105" s="1264"/>
      <c r="K105" s="1273"/>
      <c r="L105" s="1273"/>
    </row>
    <row r="106" spans="1:12" s="1765" customFormat="1" ht="24" customHeight="1">
      <c r="A106" s="1258"/>
      <c r="B106" s="1538" t="s">
        <v>2168</v>
      </c>
      <c r="C106" s="1437"/>
      <c r="D106" s="1275"/>
      <c r="E106" s="1813">
        <f>E88</f>
        <v>27</v>
      </c>
      <c r="F106" s="1788" t="s">
        <v>226</v>
      </c>
      <c r="G106" s="1790">
        <v>69</v>
      </c>
      <c r="H106" s="1773">
        <f t="shared" ref="H106" si="30">ROUND(E106*G106,)</f>
        <v>1863</v>
      </c>
      <c r="I106" s="1789">
        <f>ROUND(20*0.75*1.3,)</f>
        <v>20</v>
      </c>
      <c r="J106" s="1773">
        <f t="shared" ref="J106" si="31">ROUND(E106*I106,)</f>
        <v>540</v>
      </c>
      <c r="K106" s="1269">
        <f t="shared" ref="K106" si="32">H106+J106</f>
        <v>2403</v>
      </c>
      <c r="L106" s="1269"/>
    </row>
    <row r="107" spans="1:12" s="1765" customFormat="1" ht="24" customHeight="1">
      <c r="A107" s="1258"/>
      <c r="B107" s="1538" t="s">
        <v>1117</v>
      </c>
      <c r="C107" s="1437"/>
      <c r="D107" s="1275"/>
      <c r="E107" s="1771"/>
      <c r="F107" s="1358"/>
      <c r="G107" s="1516"/>
      <c r="H107" s="1264"/>
      <c r="I107" s="1265"/>
      <c r="J107" s="1264"/>
      <c r="K107" s="1273"/>
      <c r="L107" s="1273"/>
    </row>
    <row r="108" spans="1:12" s="1765" customFormat="1" ht="24" customHeight="1">
      <c r="A108" s="1258"/>
      <c r="B108" s="1538" t="s">
        <v>1369</v>
      </c>
      <c r="C108" s="1437"/>
      <c r="D108" s="1275"/>
      <c r="E108" s="1771"/>
      <c r="F108" s="1358"/>
      <c r="G108" s="1516"/>
      <c r="H108" s="1264"/>
      <c r="I108" s="1265"/>
      <c r="J108" s="1264"/>
      <c r="K108" s="1273"/>
      <c r="L108" s="1273"/>
    </row>
    <row r="109" spans="1:12" s="1765" customFormat="1" ht="24" customHeight="1">
      <c r="A109" s="1578"/>
      <c r="B109" s="2257" t="str">
        <f>"รวมราคารายการที่ "&amp;A100</f>
        <v>รวมราคารายการที่ 7.5</v>
      </c>
      <c r="C109" s="2258"/>
      <c r="D109" s="2259"/>
      <c r="E109" s="1579"/>
      <c r="F109" s="1579"/>
      <c r="G109" s="1580"/>
      <c r="H109" s="1581">
        <f>SUM(H101:H108)</f>
        <v>3307</v>
      </c>
      <c r="I109" s="1582"/>
      <c r="J109" s="1581">
        <f>SUM(J101:J108)</f>
        <v>1063</v>
      </c>
      <c r="K109" s="1583">
        <f>SUM(K101:K108)</f>
        <v>4370</v>
      </c>
      <c r="L109" s="1583"/>
    </row>
    <row r="110" spans="1:12" s="1765" customFormat="1" ht="24" customHeight="1">
      <c r="A110" s="1291">
        <v>7.6</v>
      </c>
      <c r="B110" s="1776" t="s">
        <v>2061</v>
      </c>
      <c r="C110" s="1293"/>
      <c r="D110" s="1294"/>
      <c r="E110" s="1786"/>
      <c r="F110" s="1296"/>
      <c r="G110" s="1357"/>
      <c r="H110" s="1298"/>
      <c r="I110" s="1299"/>
      <c r="J110" s="1298"/>
      <c r="K110" s="1382"/>
      <c r="L110" s="1382"/>
    </row>
    <row r="111" spans="1:12" s="1765" customFormat="1" ht="24" customHeight="1">
      <c r="A111" s="1258" t="s">
        <v>2075</v>
      </c>
      <c r="B111" s="1538" t="s">
        <v>2063</v>
      </c>
      <c r="C111" s="1437"/>
      <c r="D111" s="1275"/>
      <c r="E111" s="1768"/>
      <c r="F111" s="1358"/>
      <c r="G111" s="1516"/>
      <c r="H111" s="1264"/>
      <c r="I111" s="1265"/>
      <c r="J111" s="1264"/>
      <c r="K111" s="1273"/>
      <c r="L111" s="1273"/>
    </row>
    <row r="112" spans="1:12" s="1765" customFormat="1" ht="24" customHeight="1">
      <c r="A112" s="1258"/>
      <c r="B112" s="1538" t="s">
        <v>1448</v>
      </c>
      <c r="C112" s="1437"/>
      <c r="D112" s="1275"/>
      <c r="E112" s="1787">
        <f>E50*2</f>
        <v>0</v>
      </c>
      <c r="F112" s="1788" t="s">
        <v>363</v>
      </c>
      <c r="G112" s="2010">
        <v>880</v>
      </c>
      <c r="H112" s="1773">
        <f t="shared" ref="H112:H116" si="33">ROUND(E112*G112,)</f>
        <v>0</v>
      </c>
      <c r="I112" s="2011">
        <v>150</v>
      </c>
      <c r="J112" s="2008">
        <f t="shared" ref="J112:J116" si="34">ROUND(E112*I112,)</f>
        <v>0</v>
      </c>
      <c r="K112" s="1774">
        <f t="shared" ref="K112:K116" si="35">H112+J112</f>
        <v>0</v>
      </c>
      <c r="L112" s="2082" t="s">
        <v>2667</v>
      </c>
    </row>
    <row r="113" spans="1:12" s="1765" customFormat="1" ht="24" customHeight="1">
      <c r="A113" s="1258"/>
      <c r="B113" s="1538" t="s">
        <v>1337</v>
      </c>
      <c r="C113" s="1437"/>
      <c r="D113" s="1275"/>
      <c r="E113" s="1768"/>
      <c r="F113" s="1358" t="s">
        <v>363</v>
      </c>
      <c r="G113" s="2012">
        <v>1316</v>
      </c>
      <c r="H113" s="1264">
        <f t="shared" si="33"/>
        <v>0</v>
      </c>
      <c r="I113" s="1332">
        <v>200</v>
      </c>
      <c r="J113" s="2013">
        <f t="shared" si="34"/>
        <v>0</v>
      </c>
      <c r="K113" s="1687">
        <f t="shared" si="35"/>
        <v>0</v>
      </c>
      <c r="L113" s="2082" t="s">
        <v>2667</v>
      </c>
    </row>
    <row r="114" spans="1:12" s="1765" customFormat="1" ht="24" customHeight="1">
      <c r="A114" s="1258"/>
      <c r="B114" s="1538" t="s">
        <v>1338</v>
      </c>
      <c r="C114" s="1437"/>
      <c r="D114" s="1275"/>
      <c r="E114" s="1768"/>
      <c r="F114" s="1358" t="s">
        <v>363</v>
      </c>
      <c r="G114" s="2012">
        <v>1984</v>
      </c>
      <c r="H114" s="1264">
        <f t="shared" si="33"/>
        <v>0</v>
      </c>
      <c r="I114" s="1332">
        <v>250</v>
      </c>
      <c r="J114" s="2013">
        <f t="shared" si="34"/>
        <v>0</v>
      </c>
      <c r="K114" s="1687">
        <f t="shared" si="35"/>
        <v>0</v>
      </c>
      <c r="L114" s="2082" t="s">
        <v>2667</v>
      </c>
    </row>
    <row r="115" spans="1:12" s="1765" customFormat="1" ht="24" customHeight="1">
      <c r="A115" s="1258"/>
      <c r="B115" s="1538" t="s">
        <v>1339</v>
      </c>
      <c r="C115" s="1437"/>
      <c r="D115" s="1275"/>
      <c r="E115" s="1768"/>
      <c r="F115" s="1358" t="s">
        <v>363</v>
      </c>
      <c r="G115" s="2012">
        <v>2610</v>
      </c>
      <c r="H115" s="1264">
        <f t="shared" si="33"/>
        <v>0</v>
      </c>
      <c r="I115" s="1332">
        <v>300</v>
      </c>
      <c r="J115" s="2013">
        <f t="shared" si="34"/>
        <v>0</v>
      </c>
      <c r="K115" s="1687">
        <f t="shared" si="35"/>
        <v>0</v>
      </c>
      <c r="L115" s="2082" t="s">
        <v>2667</v>
      </c>
    </row>
    <row r="116" spans="1:12" s="1765" customFormat="1" ht="24" customHeight="1">
      <c r="A116" s="1258"/>
      <c r="B116" s="1538" t="s">
        <v>1340</v>
      </c>
      <c r="C116" s="1437"/>
      <c r="D116" s="1275"/>
      <c r="E116" s="1768"/>
      <c r="F116" s="1358" t="s">
        <v>363</v>
      </c>
      <c r="G116" s="2012">
        <v>4040</v>
      </c>
      <c r="H116" s="1264">
        <f t="shared" si="33"/>
        <v>0</v>
      </c>
      <c r="I116" s="1332">
        <v>400</v>
      </c>
      <c r="J116" s="2013">
        <f t="shared" si="34"/>
        <v>0</v>
      </c>
      <c r="K116" s="1687">
        <f t="shared" si="35"/>
        <v>0</v>
      </c>
      <c r="L116" s="2082" t="s">
        <v>2667</v>
      </c>
    </row>
    <row r="117" spans="1:12" s="1765" customFormat="1" ht="24" customHeight="1">
      <c r="A117" s="1258" t="s">
        <v>2170</v>
      </c>
      <c r="B117" s="1538" t="s">
        <v>2067</v>
      </c>
      <c r="C117" s="1437"/>
      <c r="D117" s="1275"/>
      <c r="E117" s="1768"/>
      <c r="F117" s="1358"/>
      <c r="G117" s="1516"/>
      <c r="H117" s="1264"/>
      <c r="I117" s="1265"/>
      <c r="J117" s="1264"/>
      <c r="K117" s="1273"/>
      <c r="L117" s="1273"/>
    </row>
    <row r="118" spans="1:12" s="1765" customFormat="1" ht="24" customHeight="1">
      <c r="A118" s="1258"/>
      <c r="B118" s="1538" t="s">
        <v>1448</v>
      </c>
      <c r="C118" s="1437"/>
      <c r="D118" s="1275"/>
      <c r="E118" s="1787">
        <f>E112/2</f>
        <v>0</v>
      </c>
      <c r="F118" s="1788" t="s">
        <v>363</v>
      </c>
      <c r="G118" s="1790">
        <v>350</v>
      </c>
      <c r="H118" s="1773">
        <f t="shared" ref="H118:H121" si="36">ROUND(E118*G118,)</f>
        <v>0</v>
      </c>
      <c r="I118" s="1789">
        <v>150</v>
      </c>
      <c r="J118" s="1773">
        <f t="shared" ref="J118:J121" si="37">ROUND(E118*I118,)</f>
        <v>0</v>
      </c>
      <c r="K118" s="1269">
        <f t="shared" ref="K118:K121" si="38">H118+J118</f>
        <v>0</v>
      </c>
      <c r="L118" s="1273"/>
    </row>
    <row r="119" spans="1:12" s="1765" customFormat="1" ht="24" customHeight="1">
      <c r="A119" s="1258"/>
      <c r="B119" s="1538" t="s">
        <v>1338</v>
      </c>
      <c r="C119" s="1437"/>
      <c r="D119" s="1275"/>
      <c r="E119" s="1768"/>
      <c r="F119" s="1358" t="s">
        <v>363</v>
      </c>
      <c r="G119" s="1516">
        <v>1084</v>
      </c>
      <c r="H119" s="1264">
        <f t="shared" si="36"/>
        <v>0</v>
      </c>
      <c r="I119" s="1265">
        <v>250</v>
      </c>
      <c r="J119" s="1264">
        <f t="shared" si="37"/>
        <v>0</v>
      </c>
      <c r="K119" s="1273">
        <f t="shared" si="38"/>
        <v>0</v>
      </c>
      <c r="L119" s="1273"/>
    </row>
    <row r="120" spans="1:12" s="1765" customFormat="1" ht="24" customHeight="1">
      <c r="A120" s="1258"/>
      <c r="B120" s="1538" t="s">
        <v>1339</v>
      </c>
      <c r="C120" s="1437"/>
      <c r="D120" s="1275"/>
      <c r="E120" s="1768"/>
      <c r="F120" s="1358" t="s">
        <v>363</v>
      </c>
      <c r="G120" s="1516">
        <v>1710</v>
      </c>
      <c r="H120" s="1264">
        <f t="shared" si="36"/>
        <v>0</v>
      </c>
      <c r="I120" s="1265">
        <v>300</v>
      </c>
      <c r="J120" s="1264">
        <f t="shared" si="37"/>
        <v>0</v>
      </c>
      <c r="K120" s="1273">
        <f t="shared" si="38"/>
        <v>0</v>
      </c>
      <c r="L120" s="1273"/>
    </row>
    <row r="121" spans="1:12" s="1765" customFormat="1" ht="24" customHeight="1">
      <c r="A121" s="1258"/>
      <c r="B121" s="1538" t="s">
        <v>1340</v>
      </c>
      <c r="C121" s="1437"/>
      <c r="D121" s="1275"/>
      <c r="E121" s="1768"/>
      <c r="F121" s="1358" t="s">
        <v>363</v>
      </c>
      <c r="G121" s="1593">
        <v>2839</v>
      </c>
      <c r="H121" s="1264">
        <f t="shared" si="36"/>
        <v>0</v>
      </c>
      <c r="I121" s="1265">
        <v>400</v>
      </c>
      <c r="J121" s="1264">
        <f t="shared" si="37"/>
        <v>0</v>
      </c>
      <c r="K121" s="1273">
        <f t="shared" si="38"/>
        <v>0</v>
      </c>
      <c r="L121" s="1273"/>
    </row>
    <row r="122" spans="1:12" s="1765" customFormat="1" ht="24" customHeight="1">
      <c r="A122" s="1258"/>
      <c r="B122" s="1538" t="s">
        <v>1117</v>
      </c>
      <c r="C122" s="1437"/>
      <c r="D122" s="1275"/>
      <c r="E122" s="1768"/>
      <c r="F122" s="1358"/>
      <c r="G122" s="1516"/>
      <c r="H122" s="1264"/>
      <c r="I122" s="1265"/>
      <c r="J122" s="1264"/>
      <c r="K122" s="1273"/>
      <c r="L122" s="1273"/>
    </row>
    <row r="123" spans="1:12" s="1765" customFormat="1" ht="24" customHeight="1">
      <c r="A123" s="1578"/>
      <c r="B123" s="2257" t="str">
        <f>"รวมราคารายการที่ "&amp;A110</f>
        <v>รวมราคารายการที่ 7.6</v>
      </c>
      <c r="C123" s="2258"/>
      <c r="D123" s="2259"/>
      <c r="E123" s="1579"/>
      <c r="F123" s="1579"/>
      <c r="G123" s="1580"/>
      <c r="H123" s="1581">
        <f>SUM(H111:H122)</f>
        <v>0</v>
      </c>
      <c r="I123" s="1582"/>
      <c r="J123" s="1581">
        <f>SUM(J111:J122)</f>
        <v>0</v>
      </c>
      <c r="K123" s="1581">
        <f>SUM(K111:K122)</f>
        <v>0</v>
      </c>
      <c r="L123" s="1583"/>
    </row>
    <row r="124" spans="1:12" s="1765" customFormat="1" ht="24" customHeight="1">
      <c r="A124" s="1291">
        <v>7.7</v>
      </c>
      <c r="B124" s="1776" t="s">
        <v>2074</v>
      </c>
      <c r="C124" s="1293"/>
      <c r="D124" s="1294"/>
      <c r="E124" s="1786"/>
      <c r="F124" s="1794"/>
      <c r="G124" s="1721"/>
      <c r="H124" s="1255"/>
      <c r="I124" s="1256"/>
      <c r="J124" s="1255"/>
      <c r="K124" s="1502"/>
      <c r="L124" s="1502"/>
    </row>
    <row r="125" spans="1:12" s="1765" customFormat="1" ht="24" customHeight="1">
      <c r="A125" s="1277" t="s">
        <v>2084</v>
      </c>
      <c r="B125" s="1797" t="s">
        <v>2171</v>
      </c>
      <c r="C125" s="1798"/>
      <c r="D125" s="1278"/>
      <c r="E125" s="1795"/>
      <c r="F125" s="1768"/>
      <c r="G125" s="1516"/>
      <c r="H125" s="1264"/>
      <c r="I125" s="1265"/>
      <c r="J125" s="1264"/>
      <c r="K125" s="1273"/>
      <c r="L125" s="1273"/>
    </row>
    <row r="126" spans="1:12" s="1765" customFormat="1" ht="24" customHeight="1">
      <c r="A126" s="1258"/>
      <c r="B126" s="1538" t="s">
        <v>2077</v>
      </c>
      <c r="C126" s="1437"/>
      <c r="D126" s="1278"/>
      <c r="E126" s="1796">
        <f>100</f>
        <v>100</v>
      </c>
      <c r="F126" s="1296" t="s">
        <v>2078</v>
      </c>
      <c r="G126" s="1516">
        <v>218</v>
      </c>
      <c r="H126" s="1298">
        <f t="shared" ref="H126:H132" si="39">ROUND(E126*G126,)</f>
        <v>21800</v>
      </c>
      <c r="I126" s="1516">
        <f>ROUND(18*10.76,)</f>
        <v>194</v>
      </c>
      <c r="J126" s="1264">
        <f t="shared" ref="J126:J132" si="40">ROUND(E126*I126,)</f>
        <v>19400</v>
      </c>
      <c r="K126" s="1382">
        <f t="shared" ref="K126:K132" si="41">H126+J126</f>
        <v>41200</v>
      </c>
      <c r="L126" s="1273"/>
    </row>
    <row r="127" spans="1:12" s="1765" customFormat="1" ht="24" customHeight="1">
      <c r="A127" s="1258"/>
      <c r="B127" s="1538" t="s">
        <v>2079</v>
      </c>
      <c r="C127" s="1437"/>
      <c r="D127" s="1278"/>
      <c r="E127" s="1796">
        <f>80</f>
        <v>80</v>
      </c>
      <c r="F127" s="1296" t="s">
        <v>2078</v>
      </c>
      <c r="G127" s="1516">
        <v>263</v>
      </c>
      <c r="H127" s="1298">
        <f t="shared" si="39"/>
        <v>21040</v>
      </c>
      <c r="I127" s="1516">
        <f>ROUND(24*10.76,)</f>
        <v>258</v>
      </c>
      <c r="J127" s="1264">
        <f t="shared" si="40"/>
        <v>20640</v>
      </c>
      <c r="K127" s="1382">
        <f t="shared" si="41"/>
        <v>41680</v>
      </c>
      <c r="L127" s="1273"/>
    </row>
    <row r="128" spans="1:12" s="1765" customFormat="1" ht="24" customHeight="1">
      <c r="A128" s="1258"/>
      <c r="B128" s="1538" t="s">
        <v>2080</v>
      </c>
      <c r="C128" s="1437"/>
      <c r="D128" s="1278"/>
      <c r="E128" s="1796">
        <f>490</f>
        <v>490</v>
      </c>
      <c r="F128" s="1296" t="s">
        <v>2078</v>
      </c>
      <c r="G128" s="1516">
        <v>314</v>
      </c>
      <c r="H128" s="1298">
        <f t="shared" si="39"/>
        <v>153860</v>
      </c>
      <c r="I128" s="1516">
        <f>ROUND(25*10.76,)</f>
        <v>269</v>
      </c>
      <c r="J128" s="1264">
        <f t="shared" si="40"/>
        <v>131810</v>
      </c>
      <c r="K128" s="1382">
        <f t="shared" si="41"/>
        <v>285670</v>
      </c>
      <c r="L128" s="1273"/>
    </row>
    <row r="129" spans="1:12" s="1765" customFormat="1" ht="24" customHeight="1">
      <c r="A129" s="1258"/>
      <c r="B129" s="1538" t="s">
        <v>2081</v>
      </c>
      <c r="C129" s="1437"/>
      <c r="D129" s="1278"/>
      <c r="E129" s="1796">
        <f>1530</f>
        <v>1530</v>
      </c>
      <c r="F129" s="1296" t="s">
        <v>2078</v>
      </c>
      <c r="G129" s="1516">
        <v>381</v>
      </c>
      <c r="H129" s="1298">
        <f t="shared" si="39"/>
        <v>582930</v>
      </c>
      <c r="I129" s="1516">
        <f>ROUND(30*10.76,)</f>
        <v>323</v>
      </c>
      <c r="J129" s="1264">
        <f t="shared" si="40"/>
        <v>494190</v>
      </c>
      <c r="K129" s="1382">
        <f t="shared" si="41"/>
        <v>1077120</v>
      </c>
      <c r="L129" s="1273"/>
    </row>
    <row r="130" spans="1:12" s="1765" customFormat="1" ht="24" customHeight="1">
      <c r="A130" s="1258"/>
      <c r="B130" s="1538" t="s">
        <v>2082</v>
      </c>
      <c r="C130" s="1437"/>
      <c r="D130" s="1275"/>
      <c r="E130" s="1796">
        <f>830</f>
        <v>830</v>
      </c>
      <c r="F130" s="1296" t="s">
        <v>2078</v>
      </c>
      <c r="G130" s="1516">
        <v>443</v>
      </c>
      <c r="H130" s="1298">
        <f t="shared" si="39"/>
        <v>367690</v>
      </c>
      <c r="I130" s="1516">
        <f>ROUND(35*10.76,)</f>
        <v>377</v>
      </c>
      <c r="J130" s="1264">
        <f t="shared" si="40"/>
        <v>312910</v>
      </c>
      <c r="K130" s="1382">
        <f t="shared" si="41"/>
        <v>680600</v>
      </c>
      <c r="L130" s="1273"/>
    </row>
    <row r="131" spans="1:12" s="1765" customFormat="1" ht="24" customHeight="1">
      <c r="A131" s="1766"/>
      <c r="B131" s="1783" t="s">
        <v>1719</v>
      </c>
      <c r="C131" s="1293"/>
      <c r="D131" s="1294"/>
      <c r="E131" s="1768">
        <v>1</v>
      </c>
      <c r="F131" s="1296" t="s">
        <v>1104</v>
      </c>
      <c r="G131" s="1516">
        <f>ROUND(SUM(H126:H130)*30%,)</f>
        <v>344196</v>
      </c>
      <c r="H131" s="1298">
        <f t="shared" si="39"/>
        <v>344196</v>
      </c>
      <c r="I131" s="1265">
        <f>ROUND(G131*0.3,)</f>
        <v>103259</v>
      </c>
      <c r="J131" s="1264">
        <f t="shared" si="40"/>
        <v>103259</v>
      </c>
      <c r="K131" s="1382">
        <f t="shared" si="41"/>
        <v>447455</v>
      </c>
      <c r="L131" s="1273"/>
    </row>
    <row r="132" spans="1:12" s="1765" customFormat="1" ht="24" customHeight="1">
      <c r="A132" s="1766"/>
      <c r="B132" s="1783" t="s">
        <v>1720</v>
      </c>
      <c r="C132" s="1293"/>
      <c r="D132" s="1294"/>
      <c r="E132" s="1768">
        <v>1</v>
      </c>
      <c r="F132" s="1768" t="s">
        <v>1104</v>
      </c>
      <c r="G132" s="1516">
        <f>ROUND(SUM(H126:H130)*20%,)</f>
        <v>229464</v>
      </c>
      <c r="H132" s="1264">
        <f t="shared" si="39"/>
        <v>229464</v>
      </c>
      <c r="I132" s="1265">
        <f>ROUND(G132*0.3,)</f>
        <v>68839</v>
      </c>
      <c r="J132" s="1264">
        <f t="shared" si="40"/>
        <v>68839</v>
      </c>
      <c r="K132" s="1273">
        <f t="shared" si="41"/>
        <v>298303</v>
      </c>
      <c r="L132" s="1273"/>
    </row>
    <row r="133" spans="1:12" s="1765" customFormat="1" ht="24" customHeight="1">
      <c r="A133" s="1449"/>
      <c r="B133" s="1538" t="s">
        <v>1117</v>
      </c>
      <c r="C133" s="1437"/>
      <c r="D133" s="1278"/>
      <c r="E133" s="1768"/>
      <c r="F133" s="1296"/>
      <c r="G133" s="1516"/>
      <c r="H133" s="1298"/>
      <c r="I133" s="1299"/>
      <c r="J133" s="1298"/>
      <c r="K133" s="1382"/>
      <c r="L133" s="1382"/>
    </row>
    <row r="134" spans="1:12" s="1765" customFormat="1" ht="24" customHeight="1">
      <c r="A134" s="1578"/>
      <c r="B134" s="2257" t="str">
        <f>"รวมราคารายการที่ "&amp;A124</f>
        <v>รวมราคารายการที่ 7.7</v>
      </c>
      <c r="C134" s="2258"/>
      <c r="D134" s="2259"/>
      <c r="E134" s="1579"/>
      <c r="F134" s="1579"/>
      <c r="G134" s="1580"/>
      <c r="H134" s="1581">
        <f>SUM(H125:H133)</f>
        <v>1720980</v>
      </c>
      <c r="I134" s="1582"/>
      <c r="J134" s="1581">
        <f>SUM(J125:J133)</f>
        <v>1151048</v>
      </c>
      <c r="K134" s="1583">
        <f>SUM(K125:K133)</f>
        <v>2872028</v>
      </c>
      <c r="L134" s="1583"/>
    </row>
    <row r="135" spans="1:12" s="1765" customFormat="1" ht="24" customHeight="1">
      <c r="A135" s="1291">
        <v>7.8</v>
      </c>
      <c r="B135" s="1776" t="s">
        <v>2092</v>
      </c>
      <c r="C135" s="1293"/>
      <c r="D135" s="1294"/>
      <c r="E135" s="1786"/>
      <c r="F135" s="1296"/>
      <c r="G135" s="1357"/>
      <c r="H135" s="1298"/>
      <c r="I135" s="1299"/>
      <c r="J135" s="1298"/>
      <c r="K135" s="1382"/>
      <c r="L135" s="1382"/>
    </row>
    <row r="136" spans="1:12" s="1765" customFormat="1" ht="24" customHeight="1">
      <c r="A136" s="1258" t="s">
        <v>2093</v>
      </c>
      <c r="B136" s="1538" t="s">
        <v>2172</v>
      </c>
      <c r="C136" s="1437"/>
      <c r="D136" s="1275"/>
      <c r="E136" s="1768"/>
      <c r="F136" s="1358"/>
      <c r="G136" s="1516"/>
      <c r="H136" s="1264"/>
      <c r="I136" s="1265"/>
      <c r="J136" s="1264"/>
      <c r="K136" s="1273"/>
      <c r="L136" s="1273"/>
    </row>
    <row r="137" spans="1:12" s="1765" customFormat="1" ht="24" customHeight="1">
      <c r="A137" s="1258"/>
      <c r="B137" s="1538" t="s">
        <v>2173</v>
      </c>
      <c r="C137" s="1437"/>
      <c r="D137" s="1275"/>
      <c r="E137" s="1768">
        <v>16</v>
      </c>
      <c r="F137" s="1358" t="s">
        <v>363</v>
      </c>
      <c r="G137" s="1516">
        <v>3800</v>
      </c>
      <c r="H137" s="1264">
        <f t="shared" ref="H137" si="42">ROUND(E137*G137,)</f>
        <v>60800</v>
      </c>
      <c r="I137" s="1265">
        <v>500</v>
      </c>
      <c r="J137" s="1264">
        <f t="shared" ref="J137" si="43">ROUND(E137*I137,)</f>
        <v>8000</v>
      </c>
      <c r="K137" s="1273">
        <f t="shared" ref="K137" si="44">H137+J137</f>
        <v>68800</v>
      </c>
      <c r="L137" s="1273"/>
    </row>
    <row r="138" spans="1:12" s="1765" customFormat="1" ht="24" customHeight="1">
      <c r="A138" s="1258"/>
      <c r="B138" s="1538" t="s">
        <v>2174</v>
      </c>
      <c r="C138" s="1437"/>
      <c r="D138" s="1275"/>
      <c r="E138" s="1768">
        <v>24</v>
      </c>
      <c r="F138" s="1358" t="s">
        <v>363</v>
      </c>
      <c r="G138" s="1516">
        <v>4200</v>
      </c>
      <c r="H138" s="1264"/>
      <c r="I138" s="1265">
        <v>500</v>
      </c>
      <c r="J138" s="1264"/>
      <c r="K138" s="1273"/>
      <c r="L138" s="1273"/>
    </row>
    <row r="139" spans="1:12" s="1765" customFormat="1" ht="24" customHeight="1">
      <c r="A139" s="1258" t="s">
        <v>2096</v>
      </c>
      <c r="B139" s="1538" t="s">
        <v>2097</v>
      </c>
      <c r="C139" s="1437"/>
      <c r="D139" s="1275"/>
      <c r="E139" s="1768"/>
      <c r="F139" s="1358"/>
      <c r="G139" s="1516"/>
      <c r="H139" s="1264"/>
      <c r="I139" s="1265"/>
      <c r="J139" s="1264"/>
      <c r="K139" s="1273"/>
      <c r="L139" s="1273"/>
    </row>
    <row r="140" spans="1:12" s="1765" customFormat="1" ht="24" customHeight="1">
      <c r="A140" s="1258"/>
      <c r="B140" s="1538" t="s">
        <v>2175</v>
      </c>
      <c r="C140" s="1437"/>
      <c r="D140" s="1275"/>
      <c r="E140" s="1768">
        <v>2</v>
      </c>
      <c r="F140" s="1358" t="s">
        <v>363</v>
      </c>
      <c r="G140" s="1516">
        <v>500</v>
      </c>
      <c r="H140" s="1264">
        <f t="shared" ref="H140" si="45">ROUND(E140*G140,)</f>
        <v>1000</v>
      </c>
      <c r="I140" s="1265">
        <v>100</v>
      </c>
      <c r="J140" s="1264">
        <f t="shared" ref="J140" si="46">ROUND(E140*I140,)</f>
        <v>200</v>
      </c>
      <c r="K140" s="1273">
        <f t="shared" ref="K140" si="47">H140+J140</f>
        <v>1200</v>
      </c>
      <c r="L140" s="1273"/>
    </row>
    <row r="141" spans="1:12" s="1765" customFormat="1" ht="24" customHeight="1">
      <c r="A141" s="1258"/>
      <c r="B141" s="1538" t="s">
        <v>2176</v>
      </c>
      <c r="C141" s="1437"/>
      <c r="D141" s="1275"/>
      <c r="E141" s="1768">
        <v>2</v>
      </c>
      <c r="F141" s="1358" t="s">
        <v>363</v>
      </c>
      <c r="G141" s="1516">
        <v>500</v>
      </c>
      <c r="H141" s="1264"/>
      <c r="I141" s="1265"/>
      <c r="J141" s="1264"/>
      <c r="K141" s="1273"/>
      <c r="L141" s="1273"/>
    </row>
    <row r="142" spans="1:12" s="1765" customFormat="1" ht="24" customHeight="1">
      <c r="A142" s="1258"/>
      <c r="B142" s="1538" t="s">
        <v>2098</v>
      </c>
      <c r="C142" s="1437"/>
      <c r="D142" s="1275"/>
      <c r="E142" s="1768">
        <v>4</v>
      </c>
      <c r="F142" s="1358" t="s">
        <v>363</v>
      </c>
      <c r="G142" s="1516">
        <v>600</v>
      </c>
      <c r="H142" s="1264">
        <f t="shared" ref="H142" si="48">ROUND(E142*G142,)</f>
        <v>2400</v>
      </c>
      <c r="I142" s="1265">
        <v>100</v>
      </c>
      <c r="J142" s="1264">
        <f t="shared" ref="J142" si="49">ROUND(E142*I142,)</f>
        <v>400</v>
      </c>
      <c r="K142" s="1273">
        <f t="shared" ref="K142" si="50">H142+J142</f>
        <v>2800</v>
      </c>
      <c r="L142" s="1273"/>
    </row>
    <row r="143" spans="1:12" s="1765" customFormat="1" ht="24" customHeight="1">
      <c r="A143" s="1258"/>
      <c r="B143" s="1816" t="s">
        <v>1117</v>
      </c>
      <c r="C143" s="1437"/>
      <c r="D143" s="1275"/>
      <c r="E143" s="1768"/>
      <c r="F143" s="1358"/>
      <c r="G143" s="1516"/>
      <c r="H143" s="1264"/>
      <c r="I143" s="1265"/>
      <c r="J143" s="1264"/>
      <c r="K143" s="1273"/>
      <c r="L143" s="1273"/>
    </row>
    <row r="144" spans="1:12" s="1765" customFormat="1" ht="24" customHeight="1">
      <c r="A144" s="1258"/>
      <c r="B144" s="1816"/>
      <c r="C144" s="1437"/>
      <c r="D144" s="1275"/>
      <c r="E144" s="1768"/>
      <c r="F144" s="1358"/>
      <c r="G144" s="1516"/>
      <c r="H144" s="1264"/>
      <c r="I144" s="1265"/>
      <c r="J144" s="1264"/>
      <c r="K144" s="1273"/>
      <c r="L144" s="1273"/>
    </row>
    <row r="145" spans="1:12" s="1765" customFormat="1" ht="24" customHeight="1">
      <c r="A145" s="1258"/>
      <c r="B145" s="1816"/>
      <c r="C145" s="1437"/>
      <c r="D145" s="1275"/>
      <c r="E145" s="1768"/>
      <c r="F145" s="1358"/>
      <c r="G145" s="1516"/>
      <c r="H145" s="1264"/>
      <c r="I145" s="1265"/>
      <c r="J145" s="1264"/>
      <c r="K145" s="1273"/>
      <c r="L145" s="1273"/>
    </row>
    <row r="146" spans="1:12" s="1765" customFormat="1" ht="24" customHeight="1">
      <c r="A146" s="1791"/>
      <c r="B146" s="1817"/>
      <c r="C146" s="1702"/>
      <c r="D146" s="1486"/>
      <c r="E146" s="1793"/>
      <c r="F146" s="1487"/>
      <c r="G146" s="1735"/>
      <c r="H146" s="1425"/>
      <c r="I146" s="1488"/>
      <c r="J146" s="1425"/>
      <c r="K146" s="1426"/>
      <c r="L146" s="1426"/>
    </row>
    <row r="147" spans="1:12" s="1765" customFormat="1" ht="24" customHeight="1">
      <c r="A147" s="1578"/>
      <c r="B147" s="2257" t="str">
        <f>"รวมราคารายการที่ "&amp;A135</f>
        <v>รวมราคารายการที่ 7.8</v>
      </c>
      <c r="C147" s="2258"/>
      <c r="D147" s="2259"/>
      <c r="E147" s="1579"/>
      <c r="F147" s="1579"/>
      <c r="G147" s="1580"/>
      <c r="H147" s="1581">
        <f>SUM(H136:H146)</f>
        <v>64200</v>
      </c>
      <c r="I147" s="1582"/>
      <c r="J147" s="1581">
        <f>SUM(J136:J146)</f>
        <v>8600</v>
      </c>
      <c r="K147" s="1581">
        <f>SUM(K136:K146)</f>
        <v>72800</v>
      </c>
      <c r="L147" s="1583"/>
    </row>
    <row r="148" spans="1:12" s="1765" customFormat="1" ht="24" customHeight="1">
      <c r="A148" s="1291">
        <v>7.9</v>
      </c>
      <c r="B148" s="1776" t="s">
        <v>2177</v>
      </c>
      <c r="C148" s="1293"/>
      <c r="D148" s="1294"/>
      <c r="E148" s="1786"/>
      <c r="F148" s="1296"/>
      <c r="G148" s="1357"/>
      <c r="H148" s="1298"/>
      <c r="I148" s="1299"/>
      <c r="J148" s="1298"/>
      <c r="K148" s="1382"/>
      <c r="L148" s="1382"/>
    </row>
    <row r="149" spans="1:12" s="1765" customFormat="1" ht="24" customHeight="1">
      <c r="A149" s="1258" t="s">
        <v>2110</v>
      </c>
      <c r="B149" s="1538" t="s">
        <v>2178</v>
      </c>
      <c r="C149" s="1437"/>
      <c r="D149" s="1275"/>
      <c r="E149" s="1768"/>
      <c r="F149" s="1358"/>
      <c r="G149" s="1516"/>
      <c r="H149" s="1264"/>
      <c r="I149" s="1265"/>
      <c r="J149" s="1264"/>
      <c r="K149" s="1273"/>
      <c r="L149" s="1273"/>
    </row>
    <row r="150" spans="1:12" s="1765" customFormat="1" ht="24" customHeight="1">
      <c r="A150" s="1258"/>
      <c r="B150" s="1538" t="s">
        <v>2179</v>
      </c>
      <c r="C150" s="1437"/>
      <c r="D150" s="1275"/>
      <c r="E150" s="1768">
        <v>1</v>
      </c>
      <c r="F150" s="1358" t="s">
        <v>363</v>
      </c>
      <c r="G150" s="1515">
        <v>413000</v>
      </c>
      <c r="H150" s="1413">
        <f t="shared" ref="H150" si="51">ROUND(E150*G150,)</f>
        <v>413000</v>
      </c>
      <c r="I150" s="1515">
        <f>G150*0.1</f>
        <v>41300</v>
      </c>
      <c r="J150" s="1413">
        <f t="shared" ref="J150" si="52">ROUND(E150*I150,)</f>
        <v>41300</v>
      </c>
      <c r="K150" s="1415">
        <f t="shared" ref="K150" si="53">H150+J150</f>
        <v>454300</v>
      </c>
      <c r="L150" s="1273"/>
    </row>
    <row r="151" spans="1:12" s="1765" customFormat="1" ht="24" customHeight="1">
      <c r="A151" s="1258"/>
      <c r="B151" s="1538" t="s">
        <v>2180</v>
      </c>
      <c r="C151" s="1437"/>
      <c r="D151" s="1275"/>
      <c r="E151" s="1768">
        <v>1</v>
      </c>
      <c r="F151" s="1358" t="s">
        <v>363</v>
      </c>
      <c r="G151" s="1516">
        <v>269000</v>
      </c>
      <c r="H151" s="1264">
        <f>G151*E151</f>
        <v>269000</v>
      </c>
      <c r="I151" s="1265">
        <f>G151*0.1</f>
        <v>26900</v>
      </c>
      <c r="J151" s="1264">
        <f>I151*E151</f>
        <v>26900</v>
      </c>
      <c r="K151" s="1273">
        <f>H151+J151</f>
        <v>295900</v>
      </c>
      <c r="L151" s="1273"/>
    </row>
    <row r="152" spans="1:12" s="1765" customFormat="1" ht="24" customHeight="1">
      <c r="A152" s="1258"/>
      <c r="B152" s="1538" t="s">
        <v>2181</v>
      </c>
      <c r="C152" s="1437"/>
      <c r="D152" s="1275"/>
      <c r="E152" s="1768">
        <v>1</v>
      </c>
      <c r="F152" s="1358" t="s">
        <v>363</v>
      </c>
      <c r="G152" s="1516">
        <v>162000</v>
      </c>
      <c r="H152" s="1264">
        <f>G152*E152</f>
        <v>162000</v>
      </c>
      <c r="I152" s="1265">
        <f>G152*0.1</f>
        <v>16200</v>
      </c>
      <c r="J152" s="1264">
        <f>I152*E152</f>
        <v>16200</v>
      </c>
      <c r="K152" s="1273">
        <f>H152+J152</f>
        <v>178200</v>
      </c>
      <c r="L152" s="1273"/>
    </row>
    <row r="153" spans="1:12" s="1765" customFormat="1" ht="24" customHeight="1">
      <c r="A153" s="1258" t="s">
        <v>2112</v>
      </c>
      <c r="B153" s="1538" t="s">
        <v>1331</v>
      </c>
      <c r="C153" s="1437"/>
      <c r="D153" s="1275"/>
      <c r="E153" s="1768"/>
      <c r="F153" s="1358"/>
      <c r="G153" s="1516"/>
      <c r="H153" s="1264"/>
      <c r="I153" s="1265"/>
      <c r="J153" s="1264"/>
      <c r="K153" s="1273"/>
      <c r="L153" s="1273"/>
    </row>
    <row r="154" spans="1:12" s="1765" customFormat="1" ht="24" customHeight="1">
      <c r="A154" s="1258"/>
      <c r="B154" s="1538" t="s">
        <v>1811</v>
      </c>
      <c r="C154" s="1437"/>
      <c r="D154" s="1275"/>
      <c r="E154" s="1768">
        <v>1440</v>
      </c>
      <c r="F154" s="1358" t="s">
        <v>226</v>
      </c>
      <c r="G154" s="1516">
        <v>41</v>
      </c>
      <c r="H154" s="1264">
        <f t="shared" ref="H154:H167" si="54">ROUND(E154*G154,)</f>
        <v>59040</v>
      </c>
      <c r="I154" s="1265">
        <v>12</v>
      </c>
      <c r="J154" s="1264">
        <f t="shared" ref="J154:J156" si="55">ROUND(E154*I154,)</f>
        <v>17280</v>
      </c>
      <c r="K154" s="1273">
        <f t="shared" ref="K154:K156" si="56">H154+J154</f>
        <v>76320</v>
      </c>
      <c r="L154" s="1273"/>
    </row>
    <row r="155" spans="1:12" s="1765" customFormat="1" ht="24" customHeight="1">
      <c r="A155" s="1258"/>
      <c r="B155" s="1538" t="s">
        <v>1318</v>
      </c>
      <c r="C155" s="1437"/>
      <c r="D155" s="1275"/>
      <c r="E155" s="1768">
        <v>90</v>
      </c>
      <c r="F155" s="1358" t="s">
        <v>226</v>
      </c>
      <c r="G155" s="1516">
        <v>85</v>
      </c>
      <c r="H155" s="1264">
        <f t="shared" si="54"/>
        <v>7650</v>
      </c>
      <c r="I155" s="1265">
        <v>25</v>
      </c>
      <c r="J155" s="1264">
        <f t="shared" si="55"/>
        <v>2250</v>
      </c>
      <c r="K155" s="1273">
        <f t="shared" si="56"/>
        <v>9900</v>
      </c>
      <c r="L155" s="1273"/>
    </row>
    <row r="156" spans="1:12" s="1765" customFormat="1" ht="24" customHeight="1">
      <c r="A156" s="1258"/>
      <c r="B156" s="1538" t="s">
        <v>1319</v>
      </c>
      <c r="C156" s="1437"/>
      <c r="D156" s="1275"/>
      <c r="E156" s="1768">
        <v>270</v>
      </c>
      <c r="F156" s="1358" t="s">
        <v>226</v>
      </c>
      <c r="G156" s="1516">
        <v>112</v>
      </c>
      <c r="H156" s="1264">
        <f t="shared" si="54"/>
        <v>30240</v>
      </c>
      <c r="I156" s="1265">
        <v>30</v>
      </c>
      <c r="J156" s="1264">
        <f t="shared" si="55"/>
        <v>8100</v>
      </c>
      <c r="K156" s="1273">
        <f t="shared" si="56"/>
        <v>38340</v>
      </c>
      <c r="L156" s="1273"/>
    </row>
    <row r="157" spans="1:12" s="1765" customFormat="1" ht="24" customHeight="1">
      <c r="A157" s="1258"/>
      <c r="B157" s="1538"/>
      <c r="C157" s="1437"/>
      <c r="D157" s="1275"/>
      <c r="E157" s="1768"/>
      <c r="F157" s="1358"/>
      <c r="G157" s="1516"/>
      <c r="H157" s="1264"/>
      <c r="I157" s="1265"/>
      <c r="J157" s="1264"/>
      <c r="K157" s="1273"/>
      <c r="L157" s="1273"/>
    </row>
    <row r="158" spans="1:12" s="1765" customFormat="1" ht="24" customHeight="1">
      <c r="A158" s="1258"/>
      <c r="B158" s="1538"/>
      <c r="C158" s="1437"/>
      <c r="D158" s="1275"/>
      <c r="E158" s="1768"/>
      <c r="F158" s="1358"/>
      <c r="G158" s="1516"/>
      <c r="H158" s="1264"/>
      <c r="I158" s="1265"/>
      <c r="J158" s="1264"/>
      <c r="K158" s="1273"/>
      <c r="L158" s="1273"/>
    </row>
    <row r="159" spans="1:12" s="1765" customFormat="1" ht="24" customHeight="1">
      <c r="A159" s="1258"/>
      <c r="B159" s="1538"/>
      <c r="C159" s="1437"/>
      <c r="D159" s="1275"/>
      <c r="E159" s="1768"/>
      <c r="F159" s="1358"/>
      <c r="G159" s="1516"/>
      <c r="H159" s="1264"/>
      <c r="I159" s="1265"/>
      <c r="J159" s="1264"/>
      <c r="K159" s="1273"/>
      <c r="L159" s="1273"/>
    </row>
    <row r="160" spans="1:12" s="1765" customFormat="1" ht="24" customHeight="1">
      <c r="A160" s="1258" t="s">
        <v>2114</v>
      </c>
      <c r="B160" s="1538" t="s">
        <v>1110</v>
      </c>
      <c r="C160" s="1437"/>
      <c r="D160" s="1275"/>
      <c r="E160" s="1768"/>
      <c r="F160" s="1358"/>
      <c r="G160" s="1516"/>
      <c r="H160" s="1264"/>
      <c r="I160" s="1265"/>
      <c r="J160" s="1264"/>
      <c r="K160" s="1273"/>
      <c r="L160" s="1273"/>
    </row>
    <row r="161" spans="1:15" s="1765" customFormat="1" ht="24" customHeight="1">
      <c r="A161" s="1258"/>
      <c r="B161" s="1538" t="s">
        <v>1350</v>
      </c>
      <c r="C161" s="1437"/>
      <c r="D161" s="1275"/>
      <c r="E161" s="1768"/>
      <c r="F161" s="1358" t="s">
        <v>226</v>
      </c>
      <c r="G161" s="1515">
        <v>56</v>
      </c>
      <c r="H161" s="1264">
        <f t="shared" ref="H161:H166" si="57">ROUND(E161*G161,)</f>
        <v>0</v>
      </c>
      <c r="I161" s="1344">
        <v>26</v>
      </c>
      <c r="J161" s="1413">
        <f t="shared" ref="J161:J167" si="58">ROUND(E161*I161,)</f>
        <v>0</v>
      </c>
      <c r="K161" s="1415">
        <f t="shared" ref="K161:K167" si="59">H161+J161</f>
        <v>0</v>
      </c>
      <c r="L161" s="2082" t="s">
        <v>2667</v>
      </c>
      <c r="M161" s="2002"/>
      <c r="N161" s="1765">
        <v>169.2</v>
      </c>
      <c r="O161" s="1765">
        <f t="shared" ref="O161:O166" si="60">ROUND(N161/3,)</f>
        <v>56</v>
      </c>
    </row>
    <row r="162" spans="1:15" s="1765" customFormat="1" ht="24" customHeight="1">
      <c r="A162" s="1258"/>
      <c r="B162" s="1538" t="s">
        <v>1448</v>
      </c>
      <c r="C162" s="1437"/>
      <c r="D162" s="1275"/>
      <c r="E162" s="1768">
        <v>360</v>
      </c>
      <c r="F162" s="1358" t="s">
        <v>226</v>
      </c>
      <c r="G162" s="1515">
        <v>75</v>
      </c>
      <c r="H162" s="1264">
        <f t="shared" si="57"/>
        <v>27000</v>
      </c>
      <c r="I162" s="1344">
        <v>28</v>
      </c>
      <c r="J162" s="1413">
        <f t="shared" si="58"/>
        <v>10080</v>
      </c>
      <c r="K162" s="1415">
        <f t="shared" si="59"/>
        <v>37080</v>
      </c>
      <c r="L162" s="2082" t="s">
        <v>2667</v>
      </c>
      <c r="M162" s="2002"/>
      <c r="N162" s="1765">
        <v>225</v>
      </c>
      <c r="O162" s="1765">
        <f t="shared" si="60"/>
        <v>75</v>
      </c>
    </row>
    <row r="163" spans="1:15" s="1765" customFormat="1" ht="24" customHeight="1">
      <c r="A163" s="1258"/>
      <c r="B163" s="1538" t="s">
        <v>1337</v>
      </c>
      <c r="C163" s="1437"/>
      <c r="D163" s="1275"/>
      <c r="E163" s="1768"/>
      <c r="F163" s="1358" t="s">
        <v>226</v>
      </c>
      <c r="G163" s="1271">
        <v>101</v>
      </c>
      <c r="H163" s="1264">
        <f t="shared" si="57"/>
        <v>0</v>
      </c>
      <c r="I163" s="1272">
        <v>32</v>
      </c>
      <c r="J163" s="1264">
        <f t="shared" si="58"/>
        <v>0</v>
      </c>
      <c r="K163" s="1273">
        <f t="shared" si="59"/>
        <v>0</v>
      </c>
      <c r="L163" s="2082" t="s">
        <v>2667</v>
      </c>
      <c r="M163" s="2002"/>
      <c r="N163" s="1765">
        <v>303.60000000000002</v>
      </c>
      <c r="O163" s="1765">
        <f t="shared" si="60"/>
        <v>101</v>
      </c>
    </row>
    <row r="164" spans="1:15" s="1765" customFormat="1" ht="24" customHeight="1">
      <c r="A164" s="1258"/>
      <c r="B164" s="1538" t="s">
        <v>1338</v>
      </c>
      <c r="C164" s="1437"/>
      <c r="D164" s="1275"/>
      <c r="E164" s="1768"/>
      <c r="F164" s="1358" t="s">
        <v>226</v>
      </c>
      <c r="G164" s="1271">
        <v>131</v>
      </c>
      <c r="H164" s="1264">
        <f t="shared" si="57"/>
        <v>0</v>
      </c>
      <c r="I164" s="1272">
        <v>38</v>
      </c>
      <c r="J164" s="1264">
        <f t="shared" si="58"/>
        <v>0</v>
      </c>
      <c r="K164" s="1273">
        <f t="shared" si="59"/>
        <v>0</v>
      </c>
      <c r="L164" s="2082" t="s">
        <v>2667</v>
      </c>
      <c r="M164" s="2002"/>
      <c r="N164" s="1765">
        <v>391.8</v>
      </c>
      <c r="O164" s="1765">
        <f t="shared" si="60"/>
        <v>131</v>
      </c>
    </row>
    <row r="165" spans="1:15" s="1765" customFormat="1" ht="24" customHeight="1">
      <c r="A165" s="1258"/>
      <c r="B165" s="1538" t="s">
        <v>1339</v>
      </c>
      <c r="C165" s="1437"/>
      <c r="D165" s="1275"/>
      <c r="E165" s="1768">
        <v>90</v>
      </c>
      <c r="F165" s="1358" t="s">
        <v>226</v>
      </c>
      <c r="G165" s="1271">
        <v>160</v>
      </c>
      <c r="H165" s="1264">
        <f t="shared" si="57"/>
        <v>14400</v>
      </c>
      <c r="I165" s="1272">
        <v>42</v>
      </c>
      <c r="J165" s="1264">
        <f t="shared" si="58"/>
        <v>3780</v>
      </c>
      <c r="K165" s="1273">
        <f t="shared" si="59"/>
        <v>18180</v>
      </c>
      <c r="L165" s="2082" t="s">
        <v>2667</v>
      </c>
      <c r="M165" s="2002"/>
      <c r="N165" s="1765">
        <v>481.2</v>
      </c>
      <c r="O165" s="1765">
        <f t="shared" si="60"/>
        <v>160</v>
      </c>
    </row>
    <row r="166" spans="1:15" s="1765" customFormat="1" ht="24" customHeight="1">
      <c r="A166" s="1258"/>
      <c r="B166" s="1538" t="s">
        <v>1340</v>
      </c>
      <c r="C166" s="1437"/>
      <c r="D166" s="1275"/>
      <c r="E166" s="1768"/>
      <c r="F166" s="1358" t="s">
        <v>226</v>
      </c>
      <c r="G166" s="1271">
        <v>219</v>
      </c>
      <c r="H166" s="1264">
        <f t="shared" si="57"/>
        <v>0</v>
      </c>
      <c r="I166" s="1272">
        <v>48</v>
      </c>
      <c r="J166" s="1264">
        <f t="shared" si="58"/>
        <v>0</v>
      </c>
      <c r="K166" s="1273">
        <f t="shared" si="59"/>
        <v>0</v>
      </c>
      <c r="L166" s="2082" t="s">
        <v>2667</v>
      </c>
      <c r="M166" s="2002"/>
      <c r="N166" s="1765">
        <v>657.6</v>
      </c>
      <c r="O166" s="1765">
        <f t="shared" si="60"/>
        <v>219</v>
      </c>
    </row>
    <row r="167" spans="1:15" s="1765" customFormat="1" ht="24" customHeight="1">
      <c r="A167" s="1258"/>
      <c r="B167" s="1538" t="s">
        <v>1384</v>
      </c>
      <c r="C167" s="1437"/>
      <c r="D167" s="1275"/>
      <c r="E167" s="1768">
        <v>1</v>
      </c>
      <c r="F167" s="1358" t="s">
        <v>1104</v>
      </c>
      <c r="G167" s="1516">
        <f>SUM(H161:H166)*15%</f>
        <v>6210</v>
      </c>
      <c r="H167" s="1264">
        <f t="shared" si="54"/>
        <v>6210</v>
      </c>
      <c r="I167" s="1265">
        <f>G167*0.3</f>
        <v>1863</v>
      </c>
      <c r="J167" s="1264">
        <f t="shared" si="58"/>
        <v>1863</v>
      </c>
      <c r="K167" s="1273">
        <f t="shared" si="59"/>
        <v>8073</v>
      </c>
      <c r="L167" s="1273"/>
    </row>
    <row r="168" spans="1:15" s="1765" customFormat="1" ht="24" customHeight="1">
      <c r="A168" s="1258"/>
      <c r="B168" s="1538" t="s">
        <v>1117</v>
      </c>
      <c r="C168" s="1437"/>
      <c r="D168" s="1275"/>
      <c r="E168" s="1768"/>
      <c r="F168" s="1358"/>
      <c r="G168" s="1516"/>
      <c r="H168" s="1264"/>
      <c r="I168" s="1265"/>
      <c r="J168" s="1264"/>
      <c r="K168" s="1273"/>
      <c r="L168" s="1273"/>
    </row>
    <row r="169" spans="1:15" s="1765" customFormat="1" ht="24" customHeight="1">
      <c r="A169" s="1258"/>
      <c r="B169" s="1797" t="s">
        <v>1118</v>
      </c>
      <c r="C169" s="1437"/>
      <c r="D169" s="1278"/>
      <c r="E169" s="1768"/>
      <c r="F169" s="1296"/>
      <c r="G169" s="1516"/>
      <c r="H169" s="1298"/>
      <c r="I169" s="1299"/>
      <c r="J169" s="1298"/>
      <c r="K169" s="1382"/>
      <c r="L169" s="1382"/>
    </row>
    <row r="170" spans="1:15" s="1765" customFormat="1" ht="24" customHeight="1">
      <c r="A170" s="1578"/>
      <c r="B170" s="2257" t="str">
        <f>"รวมราคารายการที่ "&amp;A148</f>
        <v>รวมราคารายการที่ 7.9</v>
      </c>
      <c r="C170" s="2258"/>
      <c r="D170" s="2259"/>
      <c r="E170" s="1579"/>
      <c r="F170" s="1579"/>
      <c r="G170" s="1580"/>
      <c r="H170" s="1581">
        <f>SUM(H149:H169)</f>
        <v>988540</v>
      </c>
      <c r="I170" s="1582"/>
      <c r="J170" s="1581">
        <f>SUM(J149:J169)</f>
        <v>127753</v>
      </c>
      <c r="K170" s="1583">
        <f>SUM(K149:K169)</f>
        <v>1116293</v>
      </c>
      <c r="L170" s="1583"/>
    </row>
    <row r="171" spans="1:15" s="1765" customFormat="1" ht="24" customHeight="1">
      <c r="A171" s="1291" t="s">
        <v>2130</v>
      </c>
      <c r="B171" s="1776" t="s">
        <v>2182</v>
      </c>
      <c r="C171" s="1293"/>
      <c r="D171" s="1294"/>
      <c r="E171" s="1786"/>
      <c r="F171" s="1296"/>
      <c r="G171" s="1357"/>
      <c r="H171" s="1298"/>
      <c r="I171" s="1299"/>
      <c r="J171" s="1264"/>
      <c r="K171" s="1382"/>
      <c r="L171" s="1382"/>
    </row>
    <row r="172" spans="1:15" s="1765" customFormat="1" ht="24" customHeight="1">
      <c r="A172" s="1258"/>
      <c r="B172" s="1797" t="s">
        <v>2183</v>
      </c>
      <c r="C172" s="1437"/>
      <c r="D172" s="1278"/>
      <c r="E172" s="1768">
        <v>2</v>
      </c>
      <c r="F172" s="1296" t="s">
        <v>363</v>
      </c>
      <c r="G172" s="1821" t="s">
        <v>2184</v>
      </c>
      <c r="H172" s="1298"/>
      <c r="I172" s="1299"/>
      <c r="J172" s="1298"/>
      <c r="K172" s="1382"/>
      <c r="L172" s="1382"/>
    </row>
    <row r="173" spans="1:15" s="1765" customFormat="1" ht="24" customHeight="1">
      <c r="A173" s="1258"/>
      <c r="B173" s="1797" t="s">
        <v>1117</v>
      </c>
      <c r="C173" s="1437"/>
      <c r="D173" s="1278"/>
      <c r="E173" s="1768"/>
      <c r="F173" s="1296"/>
      <c r="G173" s="1516"/>
      <c r="H173" s="1298"/>
      <c r="I173" s="1299"/>
      <c r="J173" s="1298"/>
      <c r="K173" s="1382"/>
      <c r="L173" s="1382"/>
    </row>
    <row r="174" spans="1:15" s="1765" customFormat="1" ht="24" customHeight="1">
      <c r="A174" s="1258"/>
      <c r="B174" s="1797"/>
      <c r="C174" s="1437"/>
      <c r="D174" s="1278"/>
      <c r="E174" s="1768"/>
      <c r="F174" s="1296"/>
      <c r="G174" s="1516"/>
      <c r="H174" s="1298"/>
      <c r="I174" s="1299"/>
      <c r="J174" s="1298"/>
      <c r="K174" s="1382"/>
      <c r="L174" s="1382"/>
    </row>
    <row r="175" spans="1:15" s="1765" customFormat="1" ht="24" customHeight="1">
      <c r="A175" s="1258"/>
      <c r="B175" s="1797"/>
      <c r="C175" s="1437"/>
      <c r="D175" s="1278"/>
      <c r="E175" s="1768"/>
      <c r="F175" s="1296"/>
      <c r="G175" s="1516"/>
      <c r="H175" s="1298"/>
      <c r="I175" s="1299"/>
      <c r="J175" s="1298"/>
      <c r="K175" s="1382"/>
      <c r="L175" s="1382"/>
    </row>
    <row r="176" spans="1:15" s="1765" customFormat="1" ht="24" customHeight="1">
      <c r="A176" s="1258"/>
      <c r="B176" s="1797"/>
      <c r="C176" s="1437"/>
      <c r="D176" s="1278"/>
      <c r="E176" s="1768"/>
      <c r="F176" s="1296"/>
      <c r="G176" s="1516"/>
      <c r="H176" s="1298"/>
      <c r="I176" s="1299"/>
      <c r="J176" s="1298"/>
      <c r="K176" s="1382"/>
      <c r="L176" s="1382"/>
    </row>
    <row r="177" spans="1:12" s="1765" customFormat="1" ht="24" customHeight="1">
      <c r="A177" s="1258"/>
      <c r="B177" s="1797"/>
      <c r="C177" s="1437"/>
      <c r="D177" s="1278"/>
      <c r="E177" s="1768"/>
      <c r="F177" s="1296"/>
      <c r="G177" s="1516"/>
      <c r="H177" s="1298"/>
      <c r="I177" s="1299"/>
      <c r="J177" s="1298"/>
      <c r="K177" s="1382"/>
      <c r="L177" s="1382"/>
    </row>
    <row r="178" spans="1:12" s="1765" customFormat="1" ht="24" customHeight="1">
      <c r="A178" s="1258"/>
      <c r="B178" s="1797"/>
      <c r="C178" s="1437"/>
      <c r="D178" s="1278"/>
      <c r="E178" s="1768"/>
      <c r="F178" s="1296"/>
      <c r="G178" s="1516"/>
      <c r="H178" s="1298"/>
      <c r="I178" s="1299"/>
      <c r="J178" s="1298"/>
      <c r="K178" s="1382"/>
      <c r="L178" s="1382"/>
    </row>
    <row r="179" spans="1:12" s="1765" customFormat="1" ht="24" customHeight="1">
      <c r="A179" s="1258"/>
      <c r="B179" s="1797"/>
      <c r="C179" s="1437"/>
      <c r="D179" s="1278"/>
      <c r="E179" s="1768"/>
      <c r="F179" s="1296"/>
      <c r="G179" s="1516"/>
      <c r="H179" s="1298"/>
      <c r="I179" s="1299"/>
      <c r="J179" s="1298"/>
      <c r="K179" s="1382"/>
      <c r="L179" s="1382"/>
    </row>
    <row r="180" spans="1:12" s="1765" customFormat="1" ht="24" customHeight="1">
      <c r="A180" s="1258"/>
      <c r="B180" s="1797"/>
      <c r="C180" s="1437"/>
      <c r="D180" s="1278"/>
      <c r="E180" s="1768"/>
      <c r="F180" s="1296"/>
      <c r="G180" s="1516"/>
      <c r="H180" s="1298"/>
      <c r="I180" s="1299"/>
      <c r="J180" s="1298"/>
      <c r="K180" s="1382"/>
      <c r="L180" s="1382"/>
    </row>
    <row r="181" spans="1:12" s="1765" customFormat="1" ht="24" customHeight="1">
      <c r="A181" s="1258"/>
      <c r="B181" s="1797"/>
      <c r="C181" s="1437"/>
      <c r="D181" s="1278"/>
      <c r="E181" s="1768"/>
      <c r="F181" s="1296"/>
      <c r="G181" s="1516"/>
      <c r="H181" s="1298"/>
      <c r="I181" s="1299"/>
      <c r="J181" s="1298"/>
      <c r="K181" s="1382"/>
      <c r="L181" s="1382"/>
    </row>
    <row r="182" spans="1:12" s="1765" customFormat="1" ht="24" customHeight="1">
      <c r="A182" s="1258"/>
      <c r="B182" s="1797"/>
      <c r="C182" s="1437"/>
      <c r="D182" s="1278"/>
      <c r="E182" s="1768"/>
      <c r="F182" s="1296"/>
      <c r="G182" s="1516"/>
      <c r="H182" s="1298"/>
      <c r="I182" s="1299"/>
      <c r="J182" s="1298"/>
      <c r="K182" s="1382"/>
      <c r="L182" s="1382"/>
    </row>
    <row r="183" spans="1:12" s="1765" customFormat="1" ht="24" customHeight="1">
      <c r="A183" s="1258"/>
      <c r="B183" s="1797"/>
      <c r="C183" s="1437"/>
      <c r="D183" s="1278"/>
      <c r="E183" s="1768"/>
      <c r="F183" s="1296"/>
      <c r="G183" s="1516"/>
      <c r="H183" s="1298"/>
      <c r="I183" s="1299"/>
      <c r="J183" s="1298"/>
      <c r="K183" s="1382"/>
      <c r="L183" s="1382"/>
    </row>
    <row r="184" spans="1:12" s="1765" customFormat="1" ht="24" customHeight="1">
      <c r="A184" s="1578"/>
      <c r="B184" s="2257" t="str">
        <f>"รวมราคารายการที่ "&amp;A171</f>
        <v>รวมราคารายการที่ 7.10</v>
      </c>
      <c r="C184" s="2258"/>
      <c r="D184" s="2259"/>
      <c r="E184" s="1579"/>
      <c r="F184" s="1579"/>
      <c r="G184" s="1580"/>
      <c r="H184" s="1581">
        <f>SUM(H171:H183)</f>
        <v>0</v>
      </c>
      <c r="I184" s="1582"/>
      <c r="J184" s="1581">
        <f>SUM(J171:J183)</f>
        <v>0</v>
      </c>
      <c r="K184" s="1583">
        <f>SUM(K171:K183)</f>
        <v>0</v>
      </c>
      <c r="L184" s="1583"/>
    </row>
    <row r="185" spans="1:12" s="1199" customFormat="1" ht="22.15" customHeight="1">
      <c r="A185" s="1427"/>
    </row>
    <row r="186" spans="1:12" s="1199" customFormat="1" ht="22.15" customHeight="1">
      <c r="A186" s="1427"/>
    </row>
    <row r="187" spans="1:12" s="1199" customFormat="1" ht="22.15" customHeight="1">
      <c r="A187" s="1427"/>
    </row>
    <row r="188" spans="1:12" s="1199" customFormat="1" ht="22.15" customHeight="1">
      <c r="A188" s="1427"/>
    </row>
    <row r="189" spans="1:12" s="1199" customFormat="1" ht="22.15" customHeight="1">
      <c r="A189" s="1427"/>
    </row>
    <row r="190" spans="1:12" s="1199" customFormat="1" ht="22.15" customHeight="1">
      <c r="A190" s="1427"/>
    </row>
    <row r="191" spans="1:12" s="1199" customFormat="1" ht="22.15" customHeight="1">
      <c r="A191" s="1427"/>
    </row>
    <row r="192" spans="1:12" s="1199" customFormat="1" ht="22.15" customHeight="1">
      <c r="A192" s="1427"/>
    </row>
    <row r="193" spans="1:1" s="1199" customFormat="1" ht="22.15" customHeight="1">
      <c r="A193" s="1427"/>
    </row>
    <row r="194" spans="1:1" s="1199" customFormat="1" ht="22.15" customHeight="1">
      <c r="A194" s="1427"/>
    </row>
    <row r="195" spans="1:1" s="1199" customFormat="1" ht="22.15" customHeight="1">
      <c r="A195" s="1427"/>
    </row>
    <row r="196" spans="1:1" s="1199" customFormat="1" ht="21.3">
      <c r="A196" s="1427"/>
    </row>
    <row r="197" spans="1:1" s="1199" customFormat="1" ht="21.3">
      <c r="A197" s="1427"/>
    </row>
    <row r="198" spans="1:1" s="1199" customFormat="1" ht="21.3">
      <c r="A198" s="1427"/>
    </row>
    <row r="199" spans="1:1" s="1199" customFormat="1" ht="21.3">
      <c r="A199" s="1427"/>
    </row>
    <row r="200" spans="1:1" s="1199" customFormat="1" ht="21.3">
      <c r="A200" s="1427"/>
    </row>
    <row r="201" spans="1:1" s="1199" customFormat="1" ht="21.3">
      <c r="A201" s="1427"/>
    </row>
    <row r="202" spans="1:1" s="1199" customFormat="1" ht="21.3">
      <c r="A202" s="1427"/>
    </row>
    <row r="203" spans="1:1" s="1199" customFormat="1" ht="21.3">
      <c r="A203" s="1427"/>
    </row>
    <row r="204" spans="1:1" s="1199" customFormat="1" ht="21.3">
      <c r="A204" s="1427"/>
    </row>
    <row r="205" spans="1:1" s="1199" customFormat="1" ht="21.3">
      <c r="A205" s="1427"/>
    </row>
    <row r="206" spans="1:1" s="1199" customFormat="1" ht="21.3">
      <c r="A206" s="1427"/>
    </row>
    <row r="207" spans="1:1" s="1199" customFormat="1" ht="21.3">
      <c r="A207" s="1427"/>
    </row>
    <row r="208" spans="1:1" s="1199" customFormat="1" ht="21.3">
      <c r="A208" s="1427"/>
    </row>
    <row r="209" spans="1:12" s="1199" customFormat="1" ht="21.3">
      <c r="A209" s="1427"/>
    </row>
    <row r="210" spans="1:12">
      <c r="A210" s="1427"/>
      <c r="B210" s="1199"/>
      <c r="C210" s="1199"/>
      <c r="D210" s="1199"/>
      <c r="E210" s="1199"/>
      <c r="F210" s="1199"/>
      <c r="G210" s="1199"/>
      <c r="H210" s="1199"/>
      <c r="I210" s="1199"/>
      <c r="J210" s="1199"/>
      <c r="K210" s="1199"/>
      <c r="L210" s="1199"/>
    </row>
    <row r="211" spans="1:12">
      <c r="A211" s="1427"/>
      <c r="B211" s="1199"/>
      <c r="C211" s="1199"/>
      <c r="D211" s="1199"/>
      <c r="E211" s="1199"/>
      <c r="F211" s="1199"/>
      <c r="G211" s="1199"/>
      <c r="H211" s="1199"/>
      <c r="I211" s="1199"/>
      <c r="J211" s="1199"/>
      <c r="K211" s="1199"/>
      <c r="L211" s="1199"/>
    </row>
    <row r="212" spans="1:12">
      <c r="A212" s="1427"/>
      <c r="B212" s="1199"/>
      <c r="C212" s="1199"/>
      <c r="D212" s="1199"/>
      <c r="E212" s="1199"/>
      <c r="F212" s="1199"/>
      <c r="G212" s="1199"/>
      <c r="H212" s="1199"/>
      <c r="I212" s="1199"/>
      <c r="J212" s="1199"/>
      <c r="K212" s="1199"/>
      <c r="L212" s="1199"/>
    </row>
    <row r="219" spans="1:12">
      <c r="B219" s="1805"/>
    </row>
    <row r="220" spans="1:12">
      <c r="B220" s="1805"/>
    </row>
  </sheetData>
  <mergeCells count="19">
    <mergeCell ref="B109:D109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6:D46"/>
    <mergeCell ref="B59:D59"/>
    <mergeCell ref="B84:D84"/>
    <mergeCell ref="B99:D99"/>
    <mergeCell ref="B123:D123"/>
    <mergeCell ref="B134:D134"/>
    <mergeCell ref="B147:D147"/>
    <mergeCell ref="B170:D170"/>
    <mergeCell ref="B184:D184"/>
  </mergeCells>
  <conditionalFormatting sqref="H94">
    <cfRule type="expression" dxfId="266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B2-อาคารด้านทิศตะวันตก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F7DEC-82A4-48C0-9665-777AFDC8C5D5}">
  <sheetPr>
    <tabColor rgb="FFFFFF00"/>
  </sheetPr>
  <dimension ref="A1:V245"/>
  <sheetViews>
    <sheetView showGridLines="0" view="pageBreakPreview" topLeftCell="A127" zoomScale="60" zoomScaleNormal="60" zoomScalePageLayoutView="115" workbookViewId="0">
      <selection activeCell="H104" sqref="H104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10.29296875" style="1" customWidth="1"/>
    <col min="14" max="14" width="9.29296875" style="1" customWidth="1"/>
    <col min="15" max="15" width="8.703125" style="1" customWidth="1"/>
    <col min="16" max="17" width="15.703125" style="1" customWidth="1"/>
    <col min="18" max="18" width="7.703125" style="1" customWidth="1"/>
    <col min="19" max="19" width="12.703125" style="1" customWidth="1"/>
    <col min="20" max="20" width="13.29296875" style="1" customWidth="1"/>
    <col min="21" max="21" width="12.87890625" style="1" customWidth="1"/>
    <col min="22" max="22" width="12.5859375" style="1" customWidth="1"/>
    <col min="23" max="89" width="7.703125" style="1" customWidth="1"/>
    <col min="90" max="16384" width="9" style="1"/>
  </cols>
  <sheetData>
    <row r="1" spans="1:17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  <c r="M1" s="9"/>
      <c r="N1" s="9"/>
      <c r="O1" s="9"/>
      <c r="P1" s="9"/>
      <c r="Q1" s="9"/>
    </row>
    <row r="2" spans="1:17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  <c r="M2" s="2014"/>
      <c r="N2" s="2014"/>
      <c r="O2" s="2014"/>
      <c r="P2" s="2014"/>
      <c r="Q2" s="2014"/>
    </row>
    <row r="3" spans="1:17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  <c r="M3" s="2015"/>
      <c r="N3" s="2015"/>
      <c r="O3" s="2015"/>
      <c r="P3" s="2015"/>
      <c r="Q3" s="2015"/>
    </row>
    <row r="4" spans="1:17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  <c r="M4" s="2015"/>
      <c r="N4" s="2015"/>
      <c r="O4" s="2015"/>
      <c r="P4" s="2015"/>
      <c r="Q4" s="2015"/>
    </row>
    <row r="5" spans="1:17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  <c r="M5" s="2015"/>
      <c r="N5" s="2015"/>
      <c r="O5" s="2015"/>
      <c r="P5" s="2015"/>
      <c r="Q5" s="2015"/>
    </row>
    <row r="6" spans="1:17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  <c r="M6" s="2014"/>
      <c r="N6" s="2014"/>
      <c r="O6" s="2014"/>
      <c r="P6" s="2014"/>
      <c r="Q6" s="2014"/>
    </row>
    <row r="7" spans="1:17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  <c r="M7" s="2057"/>
      <c r="N7" s="2057"/>
      <c r="O7" s="2057"/>
      <c r="P7" s="2057"/>
      <c r="Q7" s="2057"/>
    </row>
    <row r="8" spans="1:17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  <c r="M8" s="2057"/>
      <c r="N8" s="2057"/>
      <c r="O8" s="2057"/>
      <c r="P8" s="2057"/>
      <c r="Q8" s="2057"/>
    </row>
    <row r="9" spans="1:17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  <c r="M9" s="2016"/>
      <c r="N9" s="2016"/>
      <c r="O9" s="2016"/>
      <c r="P9" s="2016"/>
      <c r="Q9" s="2016"/>
    </row>
    <row r="10" spans="1:17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  <c r="M10" s="2016"/>
      <c r="N10" s="2016"/>
      <c r="O10" s="2016"/>
      <c r="P10" s="2016"/>
      <c r="Q10" s="2016"/>
    </row>
    <row r="11" spans="1:17" ht="24" customHeight="1">
      <c r="A11" s="1560" t="s">
        <v>24</v>
      </c>
      <c r="B11" s="1561" t="s">
        <v>2185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  <c r="M11" s="2017"/>
      <c r="N11" s="2017"/>
      <c r="O11" s="2017"/>
      <c r="P11" s="2017"/>
      <c r="Q11" s="2017"/>
    </row>
    <row r="12" spans="1:17" s="1199" customFormat="1" ht="24" customHeight="1">
      <c r="A12" s="1564">
        <f>A35</f>
        <v>7.1</v>
      </c>
      <c r="B12" s="1538" t="str">
        <f>+B35</f>
        <v>เครื่องส่งลมเย็นขนาดเล็ก (Fan Coil Unit)</v>
      </c>
      <c r="C12" s="1533"/>
      <c r="D12" s="1534"/>
      <c r="E12" s="1753">
        <v>1</v>
      </c>
      <c r="F12" s="1567" t="s">
        <v>19</v>
      </c>
      <c r="G12" s="1195"/>
      <c r="H12" s="1196">
        <f>H59</f>
        <v>215290</v>
      </c>
      <c r="I12" s="1197"/>
      <c r="J12" s="1196">
        <f>J59</f>
        <v>23772</v>
      </c>
      <c r="K12" s="1196">
        <f t="shared" ref="K12:K21" si="0">SUM(H12:J12)</f>
        <v>239062</v>
      </c>
      <c r="L12" s="1531"/>
      <c r="M12" s="2018"/>
      <c r="N12" s="2018"/>
      <c r="O12" s="2018"/>
      <c r="P12" s="2018"/>
      <c r="Q12" s="2018"/>
    </row>
    <row r="13" spans="1:17" s="1199" customFormat="1" ht="24" customHeight="1">
      <c r="A13" s="1564">
        <f>A60</f>
        <v>7.2</v>
      </c>
      <c r="B13" s="1538" t="str">
        <f>+B60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H68</f>
        <v>252000</v>
      </c>
      <c r="I13" s="1197"/>
      <c r="J13" s="1196">
        <f>J68</f>
        <v>3600</v>
      </c>
      <c r="K13" s="1196">
        <f t="shared" si="0"/>
        <v>255600</v>
      </c>
      <c r="L13" s="1531"/>
      <c r="M13" s="2018"/>
      <c r="N13" s="2018"/>
      <c r="O13" s="2018"/>
      <c r="P13" s="2018"/>
      <c r="Q13" s="2018"/>
    </row>
    <row r="14" spans="1:17" s="1199" customFormat="1" ht="24" customHeight="1">
      <c r="A14" s="1564">
        <f>A69</f>
        <v>7.3</v>
      </c>
      <c r="B14" s="1538" t="str">
        <f>+B69</f>
        <v>พัดลมระบายอากาศ (Ventilating Fan)</v>
      </c>
      <c r="C14" s="1533"/>
      <c r="D14" s="1534"/>
      <c r="E14" s="1753">
        <v>1</v>
      </c>
      <c r="F14" s="1567" t="s">
        <v>19</v>
      </c>
      <c r="G14" s="1195"/>
      <c r="H14" s="1196">
        <f>H99</f>
        <v>4390475</v>
      </c>
      <c r="I14" s="1197"/>
      <c r="J14" s="1196">
        <f>J99</f>
        <v>227625</v>
      </c>
      <c r="K14" s="1196">
        <f t="shared" si="0"/>
        <v>4618100</v>
      </c>
      <c r="L14" s="1531"/>
      <c r="M14" s="2018"/>
      <c r="N14" s="2018"/>
      <c r="O14" s="2018"/>
      <c r="P14" s="2018"/>
      <c r="Q14" s="2018"/>
    </row>
    <row r="15" spans="1:17" s="1199" customFormat="1" ht="24" customHeight="1">
      <c r="A15" s="1564">
        <f>A100</f>
        <v>7.4</v>
      </c>
      <c r="B15" s="1538" t="str">
        <f>+B100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H116</f>
        <v>3996269</v>
      </c>
      <c r="I15" s="1197"/>
      <c r="J15" s="1196">
        <f>J116</f>
        <v>1086627</v>
      </c>
      <c r="K15" s="1196">
        <f t="shared" si="0"/>
        <v>5082896</v>
      </c>
      <c r="L15" s="1531"/>
      <c r="M15" s="2018"/>
      <c r="N15" s="2018"/>
      <c r="O15" s="2018"/>
      <c r="P15" s="2018"/>
      <c r="Q15" s="2018"/>
    </row>
    <row r="16" spans="1:17" s="1199" customFormat="1" ht="24" customHeight="1">
      <c r="A16" s="1564">
        <f>A117</f>
        <v>7.5</v>
      </c>
      <c r="B16" s="1538" t="str">
        <f>+B117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H129</f>
        <v>578600</v>
      </c>
      <c r="I16" s="1197"/>
      <c r="J16" s="1196">
        <f>J129</f>
        <v>194111</v>
      </c>
      <c r="K16" s="1196">
        <f t="shared" si="0"/>
        <v>772711</v>
      </c>
      <c r="L16" s="1531"/>
      <c r="M16" s="2018"/>
      <c r="N16" s="2018"/>
      <c r="O16" s="2018"/>
      <c r="P16" s="2018"/>
      <c r="Q16" s="2018"/>
    </row>
    <row r="17" spans="1:17" s="1199" customFormat="1" ht="24" customHeight="1">
      <c r="A17" s="1564">
        <f>A130</f>
        <v>7.6</v>
      </c>
      <c r="B17" s="1538" t="str">
        <f>B130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H147</f>
        <v>1204342</v>
      </c>
      <c r="I17" s="1197"/>
      <c r="J17" s="1196">
        <f>J147</f>
        <v>52000</v>
      </c>
      <c r="K17" s="1196">
        <f t="shared" si="0"/>
        <v>1256342</v>
      </c>
      <c r="L17" s="1531"/>
      <c r="M17" s="2018"/>
      <c r="N17" s="2018"/>
      <c r="O17" s="2018"/>
      <c r="P17" s="2018"/>
      <c r="Q17" s="2018"/>
    </row>
    <row r="18" spans="1:17" s="1199" customFormat="1" ht="24" customHeight="1">
      <c r="A18" s="1564">
        <f>A148</f>
        <v>7.7</v>
      </c>
      <c r="B18" s="1538" t="str">
        <f>B148</f>
        <v>ระบบท่อลม (Duct Work)</v>
      </c>
      <c r="C18" s="1533"/>
      <c r="D18" s="1534"/>
      <c r="E18" s="1753">
        <v>1</v>
      </c>
      <c r="F18" s="1567" t="s">
        <v>19</v>
      </c>
      <c r="G18" s="1195"/>
      <c r="H18" s="1196">
        <f>H159</f>
        <v>1708216</v>
      </c>
      <c r="I18" s="1197"/>
      <c r="J18" s="1196">
        <f>J159</f>
        <v>1142342</v>
      </c>
      <c r="K18" s="1196">
        <f t="shared" si="0"/>
        <v>2850558</v>
      </c>
      <c r="L18" s="1531"/>
      <c r="M18" s="2018"/>
      <c r="N18" s="2018"/>
      <c r="O18" s="2018"/>
      <c r="P18" s="2018"/>
      <c r="Q18" s="2018"/>
    </row>
    <row r="19" spans="1:17" s="1199" customFormat="1" ht="24" customHeight="1">
      <c r="A19" s="1564">
        <f>A160</f>
        <v>7.8</v>
      </c>
      <c r="B19" s="1538" t="str">
        <f>B160</f>
        <v>หน้ากากลม (Air Diffuser, Grille &amp; Register)</v>
      </c>
      <c r="C19" s="1533"/>
      <c r="D19" s="1534"/>
      <c r="E19" s="1753">
        <v>1</v>
      </c>
      <c r="F19" s="1567" t="s">
        <v>19</v>
      </c>
      <c r="G19" s="1195"/>
      <c r="H19" s="1196">
        <f>H178</f>
        <v>162890</v>
      </c>
      <c r="I19" s="1197"/>
      <c r="J19" s="1196">
        <f>J178</f>
        <v>10000</v>
      </c>
      <c r="K19" s="1196">
        <f t="shared" si="0"/>
        <v>172890</v>
      </c>
      <c r="L19" s="1531"/>
      <c r="M19" s="2018"/>
      <c r="N19" s="2018"/>
      <c r="O19" s="2018"/>
      <c r="P19" s="2018"/>
      <c r="Q19" s="2018"/>
    </row>
    <row r="20" spans="1:17" s="1199" customFormat="1" ht="24" customHeight="1">
      <c r="A20" s="1564">
        <f>A179</f>
        <v>7.9</v>
      </c>
      <c r="B20" s="1538" t="str">
        <f>B179</f>
        <v>ระบบไฟฟ้าและควบคุม (Electrical &amp; Control System)</v>
      </c>
      <c r="C20" s="1533"/>
      <c r="D20" s="1534"/>
      <c r="E20" s="1753">
        <v>1</v>
      </c>
      <c r="F20" s="1567" t="s">
        <v>19</v>
      </c>
      <c r="G20" s="1195"/>
      <c r="H20" s="1196">
        <f>H202</f>
        <v>1117370</v>
      </c>
      <c r="I20" s="1197"/>
      <c r="J20" s="1196">
        <f>J202</f>
        <v>141491</v>
      </c>
      <c r="K20" s="1196">
        <f t="shared" si="0"/>
        <v>1258861</v>
      </c>
      <c r="L20" s="1531"/>
      <c r="M20" s="2018"/>
      <c r="N20" s="2018"/>
      <c r="O20" s="2018"/>
      <c r="P20" s="2018"/>
      <c r="Q20" s="2018"/>
    </row>
    <row r="21" spans="1:17" s="1199" customFormat="1" ht="24" customHeight="1">
      <c r="A21" s="1564" t="str">
        <f>A203</f>
        <v>7.10</v>
      </c>
      <c r="B21" s="1538" t="str">
        <f>B203</f>
        <v>Variable Speed Controller</v>
      </c>
      <c r="C21" s="1533"/>
      <c r="D21" s="1534"/>
      <c r="E21" s="1753">
        <v>1</v>
      </c>
      <c r="F21" s="1567" t="s">
        <v>19</v>
      </c>
      <c r="G21" s="1195" t="s">
        <v>1683</v>
      </c>
      <c r="H21" s="1196">
        <f>H209</f>
        <v>0</v>
      </c>
      <c r="I21" s="1197"/>
      <c r="J21" s="1196">
        <f>J209</f>
        <v>0</v>
      </c>
      <c r="K21" s="1196">
        <f t="shared" si="0"/>
        <v>0</v>
      </c>
      <c r="L21" s="1531"/>
      <c r="M21" s="2018"/>
      <c r="N21" s="2018"/>
      <c r="O21" s="2018"/>
      <c r="P21" s="2018"/>
      <c r="Q21" s="2018"/>
    </row>
    <row r="22" spans="1:17" s="1199" customFormat="1" ht="24" customHeight="1">
      <c r="A22" s="1537"/>
      <c r="B22" s="1538"/>
      <c r="C22" s="1533"/>
      <c r="D22" s="1534"/>
      <c r="E22" s="1753"/>
      <c r="F22" s="1567"/>
      <c r="G22" s="1195"/>
      <c r="H22" s="1196"/>
      <c r="I22" s="1197"/>
      <c r="J22" s="1196"/>
      <c r="K22" s="1196"/>
      <c r="L22" s="1531"/>
      <c r="M22" s="2018"/>
      <c r="N22" s="2018"/>
      <c r="O22" s="2018"/>
      <c r="P22" s="2018"/>
      <c r="Q22" s="2018"/>
    </row>
    <row r="23" spans="1:17" s="1199" customFormat="1" ht="24" customHeight="1">
      <c r="A23" s="1537"/>
      <c r="B23" s="1538"/>
      <c r="C23" s="1533"/>
      <c r="D23" s="1534"/>
      <c r="E23" s="1753"/>
      <c r="F23" s="1567"/>
      <c r="G23" s="1195"/>
      <c r="H23" s="1196"/>
      <c r="I23" s="1197"/>
      <c r="J23" s="1196"/>
      <c r="K23" s="1196"/>
      <c r="L23" s="1531"/>
      <c r="M23" s="2018"/>
      <c r="N23" s="2018"/>
      <c r="O23" s="2018"/>
      <c r="P23" s="2018"/>
      <c r="Q23" s="2018"/>
    </row>
    <row r="24" spans="1:17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196"/>
      <c r="L24" s="1531"/>
      <c r="M24" s="2018"/>
      <c r="N24" s="2018"/>
      <c r="O24" s="2018"/>
      <c r="P24" s="2018"/>
      <c r="Q24" s="2018"/>
    </row>
    <row r="25" spans="1:17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  <c r="M25" s="2018"/>
      <c r="N25" s="2018"/>
      <c r="O25" s="2018"/>
      <c r="P25" s="2018"/>
      <c r="Q25" s="2018"/>
    </row>
    <row r="26" spans="1:17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  <c r="M26" s="2018"/>
      <c r="N26" s="2018"/>
      <c r="O26" s="2018"/>
      <c r="P26" s="2018"/>
      <c r="Q26" s="2018"/>
    </row>
    <row r="27" spans="1:17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  <c r="M27" s="2018"/>
      <c r="N27" s="2018"/>
      <c r="O27" s="2018"/>
      <c r="P27" s="2018"/>
      <c r="Q27" s="2018"/>
    </row>
    <row r="28" spans="1:17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  <c r="M28" s="2018"/>
      <c r="N28" s="2018"/>
      <c r="O28" s="2018"/>
      <c r="P28" s="2018"/>
      <c r="Q28" s="2018"/>
    </row>
    <row r="29" spans="1:17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  <c r="M29" s="2018"/>
      <c r="N29" s="2018"/>
      <c r="O29" s="2018"/>
      <c r="P29" s="2018"/>
      <c r="Q29" s="2018"/>
    </row>
    <row r="30" spans="1:17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  <c r="M30" s="2018"/>
      <c r="N30" s="2018"/>
      <c r="O30" s="2018"/>
      <c r="P30" s="2018"/>
      <c r="Q30" s="2018"/>
    </row>
    <row r="31" spans="1:17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  <c r="M31" s="2018"/>
      <c r="N31" s="2018"/>
      <c r="O31" s="2018"/>
      <c r="P31" s="2018"/>
      <c r="Q31" s="2018"/>
    </row>
    <row r="32" spans="1:17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  <c r="M32" s="2018"/>
      <c r="N32" s="2018"/>
      <c r="O32" s="2018"/>
      <c r="P32" s="2018"/>
      <c r="Q32" s="2018"/>
    </row>
    <row r="33" spans="1:17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  <c r="M33" s="2018"/>
      <c r="N33" s="2018"/>
      <c r="O33" s="2018"/>
      <c r="P33" s="2018"/>
      <c r="Q33" s="2018"/>
    </row>
    <row r="34" spans="1:17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B1</v>
      </c>
      <c r="C34" s="2258"/>
      <c r="D34" s="2259"/>
      <c r="E34" s="1579"/>
      <c r="F34" s="1579"/>
      <c r="G34" s="1580"/>
      <c r="H34" s="1581">
        <f>SUM(H11:H33)</f>
        <v>13625452</v>
      </c>
      <c r="I34" s="1582"/>
      <c r="J34" s="1581">
        <f>SUM(J11:J33)</f>
        <v>2881568</v>
      </c>
      <c r="K34" s="1583">
        <f>SUM(K11:K33)</f>
        <v>16507020</v>
      </c>
      <c r="L34" s="1583"/>
      <c r="M34" s="2019"/>
      <c r="N34" s="2019"/>
      <c r="O34" s="2019"/>
      <c r="P34" s="2019"/>
      <c r="Q34" s="2019"/>
    </row>
    <row r="35" spans="1:17" s="1765" customFormat="1" ht="24" customHeight="1">
      <c r="A35" s="1291">
        <v>7.1</v>
      </c>
      <c r="B35" s="1776" t="s">
        <v>2132</v>
      </c>
      <c r="C35" s="1293"/>
      <c r="D35" s="1777"/>
      <c r="E35" s="1686"/>
      <c r="F35" s="1402"/>
      <c r="G35" s="1661"/>
      <c r="H35" s="1588"/>
      <c r="I35" s="1589"/>
      <c r="J35" s="1588"/>
      <c r="K35" s="1589"/>
      <c r="L35" s="1330"/>
      <c r="M35" s="1710"/>
      <c r="N35" s="1710"/>
      <c r="O35" s="1710"/>
      <c r="P35" s="1710"/>
      <c r="Q35" s="1710"/>
    </row>
    <row r="36" spans="1:17" s="1765" customFormat="1" ht="24" customHeight="1">
      <c r="A36" s="1766" t="s">
        <v>1984</v>
      </c>
      <c r="B36" s="1538" t="s">
        <v>2133</v>
      </c>
      <c r="C36" s="1275"/>
      <c r="D36" s="1767"/>
      <c r="E36" s="1686"/>
      <c r="F36" s="1402"/>
      <c r="G36" s="1661"/>
      <c r="H36" s="1298"/>
      <c r="I36" s="1589"/>
      <c r="J36" s="1588"/>
      <c r="K36" s="1589"/>
      <c r="L36" s="1330"/>
      <c r="M36" s="1710"/>
      <c r="N36" s="1710"/>
      <c r="O36" s="1710"/>
      <c r="P36" s="1710"/>
      <c r="Q36" s="1710"/>
    </row>
    <row r="37" spans="1:17" s="1765" customFormat="1" ht="24" customHeight="1">
      <c r="A37" s="1584"/>
      <c r="B37" s="1538" t="s">
        <v>2134</v>
      </c>
      <c r="C37" s="1275"/>
      <c r="D37" s="1767"/>
      <c r="E37" s="1686"/>
      <c r="F37" s="1402"/>
      <c r="G37" s="1661"/>
      <c r="H37" s="1588"/>
      <c r="I37" s="1589"/>
      <c r="J37" s="1588"/>
      <c r="K37" s="1589"/>
      <c r="L37" s="1330"/>
      <c r="M37" s="1710"/>
      <c r="N37" s="1710"/>
      <c r="O37" s="1710"/>
      <c r="P37" s="1710"/>
      <c r="Q37" s="1710"/>
    </row>
    <row r="38" spans="1:17" s="1765" customFormat="1" ht="24" customHeight="1">
      <c r="A38" s="1584"/>
      <c r="B38" s="1538" t="s">
        <v>2186</v>
      </c>
      <c r="C38" s="1275"/>
      <c r="D38" s="1767"/>
      <c r="E38" s="715">
        <v>1</v>
      </c>
      <c r="F38" s="1415" t="s">
        <v>363</v>
      </c>
      <c r="G38" s="1515">
        <v>13806</v>
      </c>
      <c r="H38" s="1343">
        <f t="shared" ref="H38:H51" si="1">ROUND(E38*G38,)</f>
        <v>13806</v>
      </c>
      <c r="I38" s="1386">
        <f t="shared" ref="I38:I45" si="2">ROUND(G38*0.1,)</f>
        <v>1381</v>
      </c>
      <c r="J38" s="1343">
        <f t="shared" ref="J38:J47" si="3">ROUND(E38*I38,)</f>
        <v>1381</v>
      </c>
      <c r="K38" s="1801">
        <f t="shared" ref="K38:K51" si="4">H38+J38</f>
        <v>15187</v>
      </c>
      <c r="L38" s="1330"/>
      <c r="M38" s="1710"/>
      <c r="N38" s="1710"/>
      <c r="O38" s="1710"/>
      <c r="P38" s="1710"/>
      <c r="Q38" s="1710"/>
    </row>
    <row r="39" spans="1:17" s="1765" customFormat="1" ht="24" customHeight="1">
      <c r="A39" s="1584"/>
      <c r="B39" s="1538" t="s">
        <v>2187</v>
      </c>
      <c r="C39" s="1275"/>
      <c r="D39" s="1767"/>
      <c r="E39" s="715">
        <v>1</v>
      </c>
      <c r="F39" s="1415" t="s">
        <v>363</v>
      </c>
      <c r="G39" s="1515">
        <v>13806</v>
      </c>
      <c r="H39" s="1343">
        <f t="shared" si="1"/>
        <v>13806</v>
      </c>
      <c r="I39" s="1386">
        <f t="shared" si="2"/>
        <v>1381</v>
      </c>
      <c r="J39" s="1343">
        <f t="shared" si="3"/>
        <v>1381</v>
      </c>
      <c r="K39" s="1801">
        <f t="shared" si="4"/>
        <v>15187</v>
      </c>
      <c r="L39" s="1330"/>
      <c r="M39" s="1710"/>
      <c r="N39" s="1710"/>
      <c r="O39" s="1710"/>
      <c r="P39" s="1710"/>
      <c r="Q39" s="1710"/>
    </row>
    <row r="40" spans="1:17" s="1765" customFormat="1" ht="24" customHeight="1">
      <c r="A40" s="1584"/>
      <c r="B40" s="1538" t="s">
        <v>2188</v>
      </c>
      <c r="C40" s="1275"/>
      <c r="D40" s="1767"/>
      <c r="E40" s="715">
        <v>1</v>
      </c>
      <c r="F40" s="1415" t="s">
        <v>363</v>
      </c>
      <c r="G40" s="1515">
        <v>13806</v>
      </c>
      <c r="H40" s="1343">
        <f t="shared" si="1"/>
        <v>13806</v>
      </c>
      <c r="I40" s="1386">
        <f t="shared" si="2"/>
        <v>1381</v>
      </c>
      <c r="J40" s="1343">
        <f t="shared" si="3"/>
        <v>1381</v>
      </c>
      <c r="K40" s="1801">
        <f t="shared" si="4"/>
        <v>15187</v>
      </c>
      <c r="L40" s="1330"/>
      <c r="M40" s="1710"/>
      <c r="N40" s="1710"/>
      <c r="O40" s="1710"/>
      <c r="P40" s="1710"/>
      <c r="Q40" s="1710"/>
    </row>
    <row r="41" spans="1:17" s="1765" customFormat="1" ht="24" customHeight="1">
      <c r="A41" s="1584"/>
      <c r="B41" s="1538" t="s">
        <v>2189</v>
      </c>
      <c r="C41" s="1275"/>
      <c r="D41" s="1767"/>
      <c r="E41" s="825">
        <v>1</v>
      </c>
      <c r="F41" s="1415" t="s">
        <v>363</v>
      </c>
      <c r="G41" s="1515">
        <v>17127</v>
      </c>
      <c r="H41" s="1343">
        <f t="shared" si="1"/>
        <v>17127</v>
      </c>
      <c r="I41" s="1386">
        <f t="shared" si="2"/>
        <v>1713</v>
      </c>
      <c r="J41" s="1343">
        <f t="shared" si="3"/>
        <v>1713</v>
      </c>
      <c r="K41" s="1801">
        <f t="shared" si="4"/>
        <v>18840</v>
      </c>
      <c r="L41" s="1330"/>
      <c r="M41" s="1710"/>
      <c r="N41" s="1710"/>
      <c r="O41" s="1710"/>
      <c r="P41" s="1710"/>
      <c r="Q41" s="1710"/>
    </row>
    <row r="42" spans="1:17" s="1765" customFormat="1" ht="24" customHeight="1">
      <c r="A42" s="1584"/>
      <c r="B42" s="1538" t="s">
        <v>2190</v>
      </c>
      <c r="C42" s="1275"/>
      <c r="D42" s="1767"/>
      <c r="E42" s="825">
        <v>1</v>
      </c>
      <c r="F42" s="1415" t="s">
        <v>363</v>
      </c>
      <c r="G42" s="1515">
        <v>17127</v>
      </c>
      <c r="H42" s="1343">
        <f t="shared" si="1"/>
        <v>17127</v>
      </c>
      <c r="I42" s="1386">
        <f t="shared" si="2"/>
        <v>1713</v>
      </c>
      <c r="J42" s="1343">
        <f t="shared" si="3"/>
        <v>1713</v>
      </c>
      <c r="K42" s="1801">
        <f t="shared" si="4"/>
        <v>18840</v>
      </c>
      <c r="L42" s="1330"/>
      <c r="M42" s="1710"/>
      <c r="N42" s="1710"/>
      <c r="O42" s="1710"/>
      <c r="P42" s="1710"/>
      <c r="Q42" s="1710"/>
    </row>
    <row r="43" spans="1:17" s="1765" customFormat="1" ht="24" customHeight="1">
      <c r="A43" s="1584"/>
      <c r="B43" s="1538" t="s">
        <v>2191</v>
      </c>
      <c r="C43" s="1275"/>
      <c r="D43" s="1767"/>
      <c r="E43" s="715">
        <v>1</v>
      </c>
      <c r="F43" s="1415" t="s">
        <v>363</v>
      </c>
      <c r="G43" s="1515">
        <v>13806</v>
      </c>
      <c r="H43" s="1343">
        <f t="shared" si="1"/>
        <v>13806</v>
      </c>
      <c r="I43" s="1386">
        <f t="shared" si="2"/>
        <v>1381</v>
      </c>
      <c r="J43" s="1343">
        <f t="shared" si="3"/>
        <v>1381</v>
      </c>
      <c r="K43" s="1801">
        <f t="shared" si="4"/>
        <v>15187</v>
      </c>
      <c r="L43" s="1330"/>
      <c r="M43" s="1710"/>
      <c r="N43" s="1710"/>
      <c r="O43" s="1710"/>
      <c r="P43" s="1710"/>
      <c r="Q43" s="1710"/>
    </row>
    <row r="44" spans="1:17" s="1765" customFormat="1" ht="24" customHeight="1">
      <c r="A44" s="1584"/>
      <c r="B44" s="1538" t="s">
        <v>2192</v>
      </c>
      <c r="C44" s="1275"/>
      <c r="D44" s="1767"/>
      <c r="E44" s="825">
        <v>1</v>
      </c>
      <c r="F44" s="1415" t="s">
        <v>363</v>
      </c>
      <c r="G44" s="1515">
        <v>13806</v>
      </c>
      <c r="H44" s="1343">
        <f t="shared" si="1"/>
        <v>13806</v>
      </c>
      <c r="I44" s="1386">
        <f t="shared" si="2"/>
        <v>1381</v>
      </c>
      <c r="J44" s="1343">
        <f t="shared" si="3"/>
        <v>1381</v>
      </c>
      <c r="K44" s="1801">
        <f t="shared" si="4"/>
        <v>15187</v>
      </c>
      <c r="L44" s="1330"/>
      <c r="M44" s="1710"/>
      <c r="N44" s="1710"/>
      <c r="O44" s="1710"/>
      <c r="P44" s="1710"/>
      <c r="Q44" s="1710"/>
    </row>
    <row r="45" spans="1:17" s="1765" customFormat="1" ht="24" customHeight="1">
      <c r="A45" s="1584"/>
      <c r="B45" s="1538" t="s">
        <v>2193</v>
      </c>
      <c r="C45" s="1275"/>
      <c r="D45" s="1767"/>
      <c r="E45" s="825">
        <v>1</v>
      </c>
      <c r="F45" s="1415" t="s">
        <v>363</v>
      </c>
      <c r="G45" s="1515">
        <v>13806</v>
      </c>
      <c r="H45" s="1343">
        <f t="shared" si="1"/>
        <v>13806</v>
      </c>
      <c r="I45" s="1386">
        <f t="shared" si="2"/>
        <v>1381</v>
      </c>
      <c r="J45" s="1343">
        <f t="shared" si="3"/>
        <v>1381</v>
      </c>
      <c r="K45" s="1801">
        <f t="shared" si="4"/>
        <v>15187</v>
      </c>
      <c r="L45" s="1330"/>
      <c r="M45" s="1710"/>
      <c r="N45" s="1710"/>
      <c r="O45" s="1710"/>
      <c r="P45" s="1710"/>
      <c r="Q45" s="1710"/>
    </row>
    <row r="46" spans="1:17" s="1765" customFormat="1" ht="24" customHeight="1">
      <c r="A46" s="1584"/>
      <c r="B46" s="1538" t="s">
        <v>2194</v>
      </c>
      <c r="C46" s="1275"/>
      <c r="D46" s="1767"/>
      <c r="E46" s="825"/>
      <c r="F46" s="1415"/>
      <c r="G46" s="1769"/>
      <c r="H46" s="1343"/>
      <c r="I46" s="1386">
        <f t="shared" ref="I46:I47" si="5">G46*0.1</f>
        <v>0</v>
      </c>
      <c r="J46" s="1343"/>
      <c r="K46" s="1801"/>
      <c r="L46" s="1330"/>
      <c r="M46" s="1710"/>
      <c r="N46" s="1710"/>
      <c r="O46" s="1710"/>
      <c r="P46" s="1710"/>
      <c r="Q46" s="1710"/>
    </row>
    <row r="47" spans="1:17" s="1765" customFormat="1" ht="24" customHeight="1">
      <c r="A47" s="1584"/>
      <c r="B47" s="1538" t="s">
        <v>2195</v>
      </c>
      <c r="C47" s="1275"/>
      <c r="D47" s="1767"/>
      <c r="E47" s="825">
        <v>4</v>
      </c>
      <c r="F47" s="1415" t="s">
        <v>363</v>
      </c>
      <c r="G47" s="1515">
        <f>29000*0.75</f>
        <v>21750</v>
      </c>
      <c r="H47" s="1343">
        <f t="shared" si="1"/>
        <v>87000</v>
      </c>
      <c r="I47" s="1386">
        <f t="shared" si="5"/>
        <v>2175</v>
      </c>
      <c r="J47" s="1343">
        <f t="shared" si="3"/>
        <v>8700</v>
      </c>
      <c r="K47" s="1801">
        <f t="shared" si="4"/>
        <v>95700</v>
      </c>
      <c r="L47" s="1330"/>
      <c r="M47" s="1710"/>
      <c r="N47" s="1710"/>
      <c r="O47" s="1710"/>
      <c r="P47" s="1710"/>
      <c r="Q47" s="1710"/>
    </row>
    <row r="48" spans="1:17" s="1765" customFormat="1" ht="24" customHeight="1">
      <c r="A48" s="1766" t="s">
        <v>1986</v>
      </c>
      <c r="B48" s="1538" t="s">
        <v>2137</v>
      </c>
      <c r="C48" s="1275"/>
      <c r="D48" s="1767"/>
      <c r="E48" s="2147"/>
      <c r="F48" s="1402" t="s">
        <v>363</v>
      </c>
      <c r="G48" s="1661">
        <v>3000</v>
      </c>
      <c r="H48" s="1264">
        <f t="shared" si="1"/>
        <v>0</v>
      </c>
      <c r="I48" s="1589" t="s">
        <v>1683</v>
      </c>
      <c r="J48" s="1264"/>
      <c r="K48" s="1687">
        <f t="shared" si="4"/>
        <v>0</v>
      </c>
      <c r="L48" s="1330"/>
      <c r="M48" s="1710"/>
      <c r="N48" s="1710"/>
      <c r="O48" s="1710"/>
      <c r="P48" s="1710"/>
      <c r="Q48" s="1710"/>
    </row>
    <row r="49" spans="1:17" s="1765" customFormat="1" ht="24" customHeight="1">
      <c r="A49" s="1766" t="s">
        <v>1988</v>
      </c>
      <c r="B49" s="1538" t="s">
        <v>2196</v>
      </c>
      <c r="C49" s="1275"/>
      <c r="D49" s="1767"/>
      <c r="E49" s="1686"/>
      <c r="F49" s="1402"/>
      <c r="G49" s="1661"/>
      <c r="H49" s="1298"/>
      <c r="I49" s="1589"/>
      <c r="J49" s="1588"/>
      <c r="K49" s="1589"/>
      <c r="L49" s="1330"/>
      <c r="M49" s="1710"/>
      <c r="N49" s="1710"/>
      <c r="O49" s="1710"/>
      <c r="P49" s="1710"/>
      <c r="Q49" s="1710"/>
    </row>
    <row r="50" spans="1:17" s="1765" customFormat="1" ht="24" customHeight="1">
      <c r="A50" s="1766"/>
      <c r="B50" s="1538" t="s">
        <v>2197</v>
      </c>
      <c r="C50" s="1275"/>
      <c r="D50" s="1767"/>
      <c r="E50" s="1686"/>
      <c r="F50" s="1402" t="s">
        <v>363</v>
      </c>
      <c r="G50" s="1661">
        <v>700</v>
      </c>
      <c r="H50" s="1264">
        <f t="shared" si="1"/>
        <v>0</v>
      </c>
      <c r="I50" s="1589"/>
      <c r="J50" s="1588"/>
      <c r="K50" s="1687">
        <f t="shared" si="4"/>
        <v>0</v>
      </c>
      <c r="L50" s="1330"/>
      <c r="M50" s="1710"/>
      <c r="N50" s="1710"/>
      <c r="O50" s="1710"/>
      <c r="P50" s="1710"/>
      <c r="Q50" s="1710"/>
    </row>
    <row r="51" spans="1:17" s="1765" customFormat="1" ht="24" customHeight="1">
      <c r="A51" s="1584" t="s">
        <v>2198</v>
      </c>
      <c r="B51" s="1538" t="s">
        <v>2041</v>
      </c>
      <c r="C51" s="1275"/>
      <c r="D51" s="1767"/>
      <c r="E51" s="1686">
        <v>1</v>
      </c>
      <c r="F51" s="1402" t="s">
        <v>1104</v>
      </c>
      <c r="G51" s="1661">
        <f>14*800</f>
        <v>11200</v>
      </c>
      <c r="H51" s="1264">
        <f t="shared" si="1"/>
        <v>11200</v>
      </c>
      <c r="I51" s="1589">
        <f>G51*0.3</f>
        <v>3360</v>
      </c>
      <c r="J51" s="1264">
        <f t="shared" ref="J51" si="6">ROUND(E51*I51,)</f>
        <v>3360</v>
      </c>
      <c r="K51" s="1687">
        <f t="shared" si="4"/>
        <v>14560</v>
      </c>
      <c r="L51" s="1330"/>
      <c r="M51" s="1710"/>
      <c r="N51" s="1710"/>
      <c r="O51" s="1710"/>
      <c r="P51" s="1710"/>
      <c r="Q51" s="1710"/>
    </row>
    <row r="52" spans="1:17" s="1765" customFormat="1" ht="24" customHeight="1">
      <c r="A52" s="1189"/>
      <c r="B52" s="1538" t="s">
        <v>1117</v>
      </c>
      <c r="C52" s="1275"/>
      <c r="D52" s="1767"/>
      <c r="E52" s="1771"/>
      <c r="F52" s="1385"/>
      <c r="G52" s="1778"/>
      <c r="H52" s="1594"/>
      <c r="I52" s="1595"/>
      <c r="J52" s="1594"/>
      <c r="K52" s="1595"/>
      <c r="L52" s="1596"/>
      <c r="M52" s="1710"/>
      <c r="N52" s="1710"/>
      <c r="O52" s="1710"/>
      <c r="P52" s="1710"/>
      <c r="Q52" s="1710"/>
    </row>
    <row r="53" spans="1:17" s="1765" customFormat="1" ht="24" customHeight="1">
      <c r="A53" s="1189"/>
      <c r="B53" s="1538"/>
      <c r="C53" s="1275"/>
      <c r="D53" s="1767"/>
      <c r="E53" s="1771"/>
      <c r="F53" s="1385"/>
      <c r="G53" s="1778"/>
      <c r="H53" s="1594"/>
      <c r="I53" s="1595"/>
      <c r="J53" s="1594"/>
      <c r="K53" s="1595"/>
      <c r="L53" s="1596"/>
      <c r="M53" s="1710"/>
      <c r="N53" s="1710"/>
      <c r="O53" s="1710"/>
      <c r="P53" s="1710"/>
      <c r="Q53" s="1710"/>
    </row>
    <row r="54" spans="1:17" s="1765" customFormat="1" ht="24" customHeight="1">
      <c r="A54" s="1189"/>
      <c r="B54" s="1538"/>
      <c r="C54" s="1275"/>
      <c r="D54" s="1767"/>
      <c r="E54" s="1771"/>
      <c r="F54" s="1385"/>
      <c r="G54" s="1778"/>
      <c r="H54" s="1594"/>
      <c r="I54" s="1595"/>
      <c r="J54" s="1594"/>
      <c r="K54" s="1595"/>
      <c r="L54" s="1596"/>
      <c r="M54" s="1710"/>
      <c r="N54" s="1710"/>
      <c r="O54" s="1710"/>
      <c r="P54" s="1710"/>
      <c r="Q54" s="1710"/>
    </row>
    <row r="55" spans="1:17" s="1765" customFormat="1" ht="24" customHeight="1">
      <c r="A55" s="1189"/>
      <c r="B55" s="1538"/>
      <c r="C55" s="1275"/>
      <c r="D55" s="1767"/>
      <c r="E55" s="1771"/>
      <c r="F55" s="1385"/>
      <c r="G55" s="1778"/>
      <c r="H55" s="1594"/>
      <c r="I55" s="1595"/>
      <c r="J55" s="1594"/>
      <c r="K55" s="1595"/>
      <c r="L55" s="1596"/>
      <c r="M55" s="1710"/>
      <c r="N55" s="1710"/>
      <c r="O55" s="1710"/>
      <c r="P55" s="1710"/>
      <c r="Q55" s="1710"/>
    </row>
    <row r="56" spans="1:17" s="1765" customFormat="1" ht="24" customHeight="1">
      <c r="A56" s="1189"/>
      <c r="B56" s="1538"/>
      <c r="C56" s="1275"/>
      <c r="D56" s="1767"/>
      <c r="E56" s="1771"/>
      <c r="F56" s="1385"/>
      <c r="G56" s="1778"/>
      <c r="H56" s="1594"/>
      <c r="I56" s="1595"/>
      <c r="J56" s="1594"/>
      <c r="K56" s="1595"/>
      <c r="L56" s="1596"/>
      <c r="M56" s="1710"/>
      <c r="N56" s="1710"/>
      <c r="O56" s="1710"/>
      <c r="P56" s="1710"/>
      <c r="Q56" s="1710"/>
    </row>
    <row r="57" spans="1:17" s="1765" customFormat="1" ht="24" customHeight="1">
      <c r="A57" s="1189"/>
      <c r="B57" s="1538"/>
      <c r="C57" s="1275"/>
      <c r="D57" s="1767"/>
      <c r="E57" s="1771"/>
      <c r="F57" s="1385"/>
      <c r="G57" s="1778"/>
      <c r="H57" s="1594"/>
      <c r="I57" s="1595"/>
      <c r="J57" s="1594"/>
      <c r="K57" s="1595"/>
      <c r="L57" s="1596"/>
      <c r="M57" s="1710"/>
      <c r="N57" s="1710"/>
      <c r="O57" s="1710"/>
      <c r="P57" s="1710"/>
      <c r="Q57" s="1710"/>
    </row>
    <row r="58" spans="1:17" s="1765" customFormat="1" ht="24" customHeight="1">
      <c r="A58" s="1485"/>
      <c r="B58" s="1792"/>
      <c r="C58" s="1486"/>
      <c r="D58" s="1822"/>
      <c r="E58" s="1823"/>
      <c r="F58" s="1500"/>
      <c r="G58" s="1824"/>
      <c r="H58" s="1825"/>
      <c r="I58" s="1826"/>
      <c r="J58" s="1825"/>
      <c r="K58" s="1826"/>
      <c r="L58" s="1827"/>
      <c r="M58" s="1710"/>
      <c r="N58" s="1710"/>
      <c r="O58" s="1710"/>
      <c r="P58" s="1710"/>
      <c r="Q58" s="1710"/>
    </row>
    <row r="59" spans="1:17" s="1199" customFormat="1" ht="24" customHeight="1">
      <c r="A59" s="1578"/>
      <c r="B59" s="2257" t="str">
        <f>"รวมราคารายการที่ "&amp;A35</f>
        <v>รวมราคารายการที่ 7.1</v>
      </c>
      <c r="C59" s="2258"/>
      <c r="D59" s="2259"/>
      <c r="E59" s="1579"/>
      <c r="F59" s="1579"/>
      <c r="G59" s="1580"/>
      <c r="H59" s="1581">
        <f>SUM(H36:H52)</f>
        <v>215290</v>
      </c>
      <c r="I59" s="1582"/>
      <c r="J59" s="1581">
        <f>SUM(J36:J52)</f>
        <v>23772</v>
      </c>
      <c r="K59" s="1583">
        <f>SUM(K36:K52)</f>
        <v>239062</v>
      </c>
      <c r="L59" s="1583"/>
      <c r="M59" s="2019"/>
      <c r="N59" s="2019"/>
      <c r="O59" s="2019"/>
      <c r="P59" s="2019"/>
      <c r="Q59" s="2019"/>
    </row>
    <row r="60" spans="1:17" s="1765" customFormat="1" ht="24" customHeight="1">
      <c r="A60" s="1757">
        <v>7.2</v>
      </c>
      <c r="B60" s="1758" t="s">
        <v>1983</v>
      </c>
      <c r="C60" s="1251"/>
      <c r="D60" s="1759"/>
      <c r="E60" s="1760"/>
      <c r="F60" s="1498"/>
      <c r="G60" s="1761"/>
      <c r="H60" s="1762"/>
      <c r="I60" s="1763"/>
      <c r="J60" s="1762"/>
      <c r="K60" s="1764"/>
      <c r="L60" s="1764"/>
      <c r="M60" s="1710"/>
      <c r="N60" s="1710"/>
      <c r="O60" s="1710"/>
      <c r="P60" s="1710"/>
      <c r="Q60" s="1710"/>
    </row>
    <row r="61" spans="1:17" s="1765" customFormat="1" ht="24" customHeight="1">
      <c r="A61" s="1258" t="s">
        <v>1992</v>
      </c>
      <c r="B61" s="1538" t="s">
        <v>2138</v>
      </c>
      <c r="C61" s="1275"/>
      <c r="D61" s="1767"/>
      <c r="E61" s="1771"/>
      <c r="F61" s="1385"/>
      <c r="G61" s="1778"/>
      <c r="H61" s="1594"/>
      <c r="I61" s="1595"/>
      <c r="J61" s="1594"/>
      <c r="K61" s="1632"/>
      <c r="L61" s="1632"/>
      <c r="M61" s="1710"/>
      <c r="N61" s="1710"/>
      <c r="O61" s="1710"/>
      <c r="P61" s="1710"/>
      <c r="Q61" s="1710"/>
    </row>
    <row r="62" spans="1:17" s="1765" customFormat="1" ht="24" customHeight="1">
      <c r="A62" s="1258" t="s">
        <v>2139</v>
      </c>
      <c r="B62" s="1538" t="s">
        <v>2140</v>
      </c>
      <c r="C62" s="1275"/>
      <c r="D62" s="1767"/>
      <c r="E62" s="1771"/>
      <c r="F62" s="1385"/>
      <c r="G62" s="1778"/>
      <c r="H62" s="1594"/>
      <c r="I62" s="1595"/>
      <c r="J62" s="1594"/>
      <c r="K62" s="1632"/>
      <c r="L62" s="1632"/>
      <c r="M62" s="1710"/>
      <c r="N62" s="1710"/>
      <c r="O62" s="1710"/>
      <c r="P62" s="1710"/>
      <c r="Q62" s="1710"/>
    </row>
    <row r="63" spans="1:17" s="1765" customFormat="1" ht="24" customHeight="1">
      <c r="A63" s="1258"/>
      <c r="B63" s="1538" t="s">
        <v>1731</v>
      </c>
      <c r="C63" s="1275"/>
      <c r="D63" s="1767"/>
      <c r="E63" s="1813">
        <f>E48</f>
        <v>0</v>
      </c>
      <c r="F63" s="1389" t="s">
        <v>363</v>
      </c>
      <c r="G63" s="1814">
        <v>3300</v>
      </c>
      <c r="H63" s="1773">
        <f t="shared" ref="H63:H65" si="7">ROUND(E63*G63,)</f>
        <v>0</v>
      </c>
      <c r="I63" s="1815">
        <v>150</v>
      </c>
      <c r="J63" s="1773">
        <f t="shared" ref="J63:J64" si="8">ROUND(E63*I63,)</f>
        <v>0</v>
      </c>
      <c r="K63" s="1774">
        <f t="shared" ref="K63:K65" si="9">H63+J63</f>
        <v>0</v>
      </c>
      <c r="L63" s="1632"/>
      <c r="M63" s="1710"/>
      <c r="N63" s="1710"/>
      <c r="O63" s="1710"/>
      <c r="P63" s="1710"/>
      <c r="Q63" s="1710"/>
    </row>
    <row r="64" spans="1:17" s="1765" customFormat="1" ht="24" customHeight="1">
      <c r="A64" s="1189" t="s">
        <v>2036</v>
      </c>
      <c r="B64" s="1538" t="s">
        <v>2199</v>
      </c>
      <c r="C64" s="1275"/>
      <c r="D64" s="1767"/>
      <c r="E64" s="1771">
        <v>12</v>
      </c>
      <c r="F64" s="1415" t="s">
        <v>363</v>
      </c>
      <c r="G64" s="1772">
        <v>18000</v>
      </c>
      <c r="H64" s="1343">
        <f t="shared" si="7"/>
        <v>216000</v>
      </c>
      <c r="I64" s="1386">
        <v>150</v>
      </c>
      <c r="J64" s="1343">
        <f t="shared" si="8"/>
        <v>1800</v>
      </c>
      <c r="K64" s="1801">
        <f t="shared" si="9"/>
        <v>217800</v>
      </c>
      <c r="L64" s="1632"/>
      <c r="M64" s="1710"/>
      <c r="N64" s="1710"/>
      <c r="O64" s="1710"/>
      <c r="P64" s="1710"/>
      <c r="Q64" s="1710"/>
    </row>
    <row r="65" spans="1:17" s="1765" customFormat="1" ht="24" customHeight="1">
      <c r="A65" s="1189" t="s">
        <v>2040</v>
      </c>
      <c r="B65" s="1538" t="s">
        <v>2142</v>
      </c>
      <c r="C65" s="1275"/>
      <c r="D65" s="1767"/>
      <c r="E65" s="1771">
        <v>12</v>
      </c>
      <c r="F65" s="1415" t="s">
        <v>363</v>
      </c>
      <c r="G65" s="1772">
        <v>3000</v>
      </c>
      <c r="H65" s="1343">
        <f t="shared" si="7"/>
        <v>36000</v>
      </c>
      <c r="I65" s="1386">
        <v>150</v>
      </c>
      <c r="J65" s="1343">
        <f>ROUND(E65*I65,)</f>
        <v>1800</v>
      </c>
      <c r="K65" s="1801">
        <f t="shared" si="9"/>
        <v>37800</v>
      </c>
      <c r="L65" s="1632"/>
      <c r="M65" s="1710"/>
      <c r="N65" s="1710"/>
      <c r="O65" s="1710"/>
      <c r="P65" s="1710"/>
      <c r="Q65" s="1710"/>
    </row>
    <row r="66" spans="1:17" s="1765" customFormat="1" ht="24" customHeight="1">
      <c r="A66" s="1189"/>
      <c r="B66" s="1538" t="s">
        <v>1117</v>
      </c>
      <c r="C66" s="1275"/>
      <c r="D66" s="1767"/>
      <c r="E66" s="1771"/>
      <c r="F66" s="1415"/>
      <c r="G66" s="1772"/>
      <c r="H66" s="1343"/>
      <c r="I66" s="1386"/>
      <c r="J66" s="1343"/>
      <c r="K66" s="1801"/>
      <c r="L66" s="1632"/>
      <c r="M66" s="1710"/>
      <c r="N66" s="1710"/>
      <c r="O66" s="1710"/>
      <c r="P66" s="1710"/>
      <c r="Q66" s="1710"/>
    </row>
    <row r="67" spans="1:17" s="1765" customFormat="1" ht="24" customHeight="1">
      <c r="A67" s="1485"/>
      <c r="B67" s="1792"/>
      <c r="C67" s="1486"/>
      <c r="D67" s="1822"/>
      <c r="E67" s="1823"/>
      <c r="F67" s="1828"/>
      <c r="G67" s="1829"/>
      <c r="H67" s="1830"/>
      <c r="I67" s="1831"/>
      <c r="J67" s="1830"/>
      <c r="K67" s="1832"/>
      <c r="L67" s="1833"/>
      <c r="M67" s="1710"/>
      <c r="N67" s="1710"/>
      <c r="O67" s="1710"/>
      <c r="P67" s="1710"/>
      <c r="Q67" s="1710"/>
    </row>
    <row r="68" spans="1:17" s="1199" customFormat="1" ht="24" customHeight="1">
      <c r="A68" s="1578"/>
      <c r="B68" s="2257" t="str">
        <f>"รวมราคารายการที่ "&amp;A60</f>
        <v>รวมราคารายการที่ 7.2</v>
      </c>
      <c r="C68" s="2258"/>
      <c r="D68" s="2259"/>
      <c r="E68" s="1579"/>
      <c r="F68" s="1579"/>
      <c r="G68" s="1580"/>
      <c r="H68" s="1581">
        <f>SUM(H61:H67)</f>
        <v>252000</v>
      </c>
      <c r="I68" s="1582"/>
      <c r="J68" s="1581">
        <f>SUM(J61:J67)</f>
        <v>3600</v>
      </c>
      <c r="K68" s="1581">
        <f>SUM(K61:K67)</f>
        <v>255600</v>
      </c>
      <c r="L68" s="1583"/>
      <c r="M68" s="2019"/>
      <c r="N68" s="2019"/>
      <c r="O68" s="2019"/>
      <c r="P68" s="2019"/>
      <c r="Q68" s="2019"/>
    </row>
    <row r="69" spans="1:17" s="1765" customFormat="1" ht="24" customHeight="1">
      <c r="A69" s="1291">
        <v>7.3</v>
      </c>
      <c r="B69" s="1776" t="s">
        <v>1991</v>
      </c>
      <c r="C69" s="1293"/>
      <c r="D69" s="1777"/>
      <c r="E69" s="1686"/>
      <c r="F69" s="1402"/>
      <c r="G69" s="1661"/>
      <c r="H69" s="1588"/>
      <c r="I69" s="1589"/>
      <c r="J69" s="1588"/>
      <c r="K69" s="1770"/>
      <c r="L69" s="1770"/>
      <c r="M69" s="1710"/>
      <c r="N69" s="1710"/>
      <c r="O69" s="1710"/>
      <c r="P69" s="1710"/>
      <c r="Q69" s="1710"/>
    </row>
    <row r="70" spans="1:17" s="1765" customFormat="1" ht="24" customHeight="1">
      <c r="A70" s="1189" t="s">
        <v>2043</v>
      </c>
      <c r="B70" s="1538" t="s">
        <v>2143</v>
      </c>
      <c r="C70" s="1275"/>
      <c r="D70" s="1767"/>
      <c r="E70" s="1771"/>
      <c r="F70" s="1385"/>
      <c r="G70" s="1778"/>
      <c r="H70" s="1594"/>
      <c r="I70" s="1595"/>
      <c r="J70" s="1594"/>
      <c r="K70" s="1632"/>
      <c r="L70" s="1632"/>
      <c r="M70" s="1710"/>
      <c r="N70" s="1710"/>
      <c r="O70" s="1710"/>
      <c r="P70" s="1710"/>
      <c r="Q70" s="1710"/>
    </row>
    <row r="71" spans="1:17" s="1765" customFormat="1" ht="24" customHeight="1">
      <c r="A71" s="1189"/>
      <c r="B71" s="1538" t="s">
        <v>2200</v>
      </c>
      <c r="C71" s="1275"/>
      <c r="D71" s="1767"/>
      <c r="E71" s="1771">
        <v>1</v>
      </c>
      <c r="F71" s="1385" t="s">
        <v>363</v>
      </c>
      <c r="G71" s="1778">
        <f>25500*25</f>
        <v>637500</v>
      </c>
      <c r="H71" s="1594">
        <f t="shared" ref="H71:H78" si="10">ROUND(E71*G71,)</f>
        <v>637500</v>
      </c>
      <c r="I71" s="1265">
        <f>G71*0.05</f>
        <v>31875</v>
      </c>
      <c r="J71" s="1264">
        <f t="shared" ref="J71:J78" si="11">ROUND(E71*I71,)</f>
        <v>31875</v>
      </c>
      <c r="K71" s="1687">
        <f t="shared" ref="K71:K78" si="12">H71+J71</f>
        <v>669375</v>
      </c>
      <c r="L71" s="1632"/>
      <c r="M71" s="1710"/>
      <c r="N71" s="1710"/>
      <c r="O71" s="1710"/>
      <c r="P71" s="1710"/>
      <c r="Q71" s="1710"/>
    </row>
    <row r="72" spans="1:17" s="1765" customFormat="1" ht="24" customHeight="1">
      <c r="A72" s="1189"/>
      <c r="B72" s="1538" t="s">
        <v>2201</v>
      </c>
      <c r="C72" s="1275"/>
      <c r="D72" s="1767"/>
      <c r="E72" s="1771">
        <v>1</v>
      </c>
      <c r="F72" s="1385" t="s">
        <v>363</v>
      </c>
      <c r="G72" s="1778">
        <f>18200*25</f>
        <v>455000</v>
      </c>
      <c r="H72" s="1594">
        <f t="shared" si="10"/>
        <v>455000</v>
      </c>
      <c r="I72" s="1265">
        <f t="shared" ref="I72:I78" si="13">G72*0.05</f>
        <v>22750</v>
      </c>
      <c r="J72" s="1264">
        <f t="shared" si="11"/>
        <v>22750</v>
      </c>
      <c r="K72" s="1687">
        <f t="shared" si="12"/>
        <v>477750</v>
      </c>
      <c r="L72" s="1632"/>
      <c r="M72" s="1710"/>
      <c r="N72" s="1710"/>
      <c r="O72" s="1710"/>
      <c r="P72" s="1710"/>
      <c r="Q72" s="1710"/>
    </row>
    <row r="73" spans="1:17" s="1765" customFormat="1" ht="24" customHeight="1">
      <c r="A73" s="1189"/>
      <c r="B73" s="1538" t="s">
        <v>2202</v>
      </c>
      <c r="C73" s="1275"/>
      <c r="D73" s="1767"/>
      <c r="E73" s="1771">
        <v>1</v>
      </c>
      <c r="F73" s="1385" t="s">
        <v>363</v>
      </c>
      <c r="G73" s="1778">
        <f>18200*25</f>
        <v>455000</v>
      </c>
      <c r="H73" s="1594">
        <f t="shared" si="10"/>
        <v>455000</v>
      </c>
      <c r="I73" s="1265">
        <f t="shared" si="13"/>
        <v>22750</v>
      </c>
      <c r="J73" s="1264">
        <f t="shared" si="11"/>
        <v>22750</v>
      </c>
      <c r="K73" s="1687">
        <f t="shared" si="12"/>
        <v>477750</v>
      </c>
      <c r="L73" s="1632"/>
      <c r="M73" s="1710"/>
      <c r="N73" s="1710"/>
      <c r="O73" s="1710"/>
      <c r="P73" s="1710"/>
      <c r="Q73" s="1710"/>
    </row>
    <row r="74" spans="1:17" s="1765" customFormat="1" ht="24" customHeight="1">
      <c r="A74" s="1189"/>
      <c r="B74" s="1538" t="s">
        <v>2203</v>
      </c>
      <c r="C74" s="1275"/>
      <c r="D74" s="1767"/>
      <c r="E74" s="1771">
        <v>1</v>
      </c>
      <c r="F74" s="1385" t="s">
        <v>363</v>
      </c>
      <c r="G74" s="1778">
        <f>18200*25</f>
        <v>455000</v>
      </c>
      <c r="H74" s="1594">
        <f t="shared" si="10"/>
        <v>455000</v>
      </c>
      <c r="I74" s="1265">
        <f t="shared" si="13"/>
        <v>22750</v>
      </c>
      <c r="J74" s="1264">
        <f t="shared" si="11"/>
        <v>22750</v>
      </c>
      <c r="K74" s="1687">
        <f t="shared" si="12"/>
        <v>477750</v>
      </c>
      <c r="L74" s="1632"/>
      <c r="M74" s="1710"/>
      <c r="N74" s="1710"/>
      <c r="O74" s="1710"/>
      <c r="P74" s="1710"/>
      <c r="Q74" s="1710"/>
    </row>
    <row r="75" spans="1:17" s="1765" customFormat="1" ht="24" customHeight="1">
      <c r="A75" s="1189"/>
      <c r="B75" s="1538" t="s">
        <v>2204</v>
      </c>
      <c r="C75" s="1275"/>
      <c r="D75" s="1767"/>
      <c r="E75" s="1771">
        <v>1</v>
      </c>
      <c r="F75" s="1385" t="s">
        <v>363</v>
      </c>
      <c r="G75" s="1778">
        <f>25500*25</f>
        <v>637500</v>
      </c>
      <c r="H75" s="1594">
        <f t="shared" si="10"/>
        <v>637500</v>
      </c>
      <c r="I75" s="1265">
        <f t="shared" si="13"/>
        <v>31875</v>
      </c>
      <c r="J75" s="1264">
        <f t="shared" si="11"/>
        <v>31875</v>
      </c>
      <c r="K75" s="1687">
        <f t="shared" si="12"/>
        <v>669375</v>
      </c>
      <c r="L75" s="1632"/>
      <c r="M75" s="1710"/>
      <c r="N75" s="1710"/>
      <c r="O75" s="1710"/>
      <c r="P75" s="1710"/>
      <c r="Q75" s="1710"/>
    </row>
    <row r="76" spans="1:17" s="1765" customFormat="1" ht="24" customHeight="1">
      <c r="A76" s="1189"/>
      <c r="B76" s="1538" t="s">
        <v>2205</v>
      </c>
      <c r="C76" s="1275"/>
      <c r="D76" s="1767"/>
      <c r="E76" s="1771">
        <v>1</v>
      </c>
      <c r="F76" s="1385" t="s">
        <v>363</v>
      </c>
      <c r="G76" s="1778">
        <f>18200*25</f>
        <v>455000</v>
      </c>
      <c r="H76" s="1594">
        <f t="shared" si="10"/>
        <v>455000</v>
      </c>
      <c r="I76" s="1265">
        <f t="shared" si="13"/>
        <v>22750</v>
      </c>
      <c r="J76" s="1264">
        <f t="shared" si="11"/>
        <v>22750</v>
      </c>
      <c r="K76" s="1687">
        <f t="shared" si="12"/>
        <v>477750</v>
      </c>
      <c r="L76" s="1632"/>
      <c r="M76" s="1710"/>
      <c r="N76" s="1710"/>
      <c r="O76" s="1710"/>
      <c r="P76" s="1710"/>
      <c r="Q76" s="1710"/>
    </row>
    <row r="77" spans="1:17" s="1765" customFormat="1" ht="24" customHeight="1">
      <c r="A77" s="1189"/>
      <c r="B77" s="1538" t="s">
        <v>2206</v>
      </c>
      <c r="C77" s="1275"/>
      <c r="D77" s="1767"/>
      <c r="E77" s="1771">
        <v>1</v>
      </c>
      <c r="F77" s="1385" t="s">
        <v>363</v>
      </c>
      <c r="G77" s="1778">
        <f>18200*25</f>
        <v>455000</v>
      </c>
      <c r="H77" s="1594">
        <f t="shared" si="10"/>
        <v>455000</v>
      </c>
      <c r="I77" s="1265">
        <f t="shared" si="13"/>
        <v>22750</v>
      </c>
      <c r="J77" s="1264">
        <f t="shared" si="11"/>
        <v>22750</v>
      </c>
      <c r="K77" s="1687">
        <f t="shared" si="12"/>
        <v>477750</v>
      </c>
      <c r="L77" s="1632"/>
      <c r="M77" s="1710"/>
      <c r="N77" s="1710"/>
      <c r="O77" s="1710"/>
      <c r="P77" s="1710"/>
      <c r="Q77" s="1710"/>
    </row>
    <row r="78" spans="1:17" s="1765" customFormat="1" ht="24" customHeight="1">
      <c r="A78" s="1189"/>
      <c r="B78" s="1538" t="s">
        <v>2207</v>
      </c>
      <c r="C78" s="1275"/>
      <c r="D78" s="1767"/>
      <c r="E78" s="1771">
        <v>1</v>
      </c>
      <c r="F78" s="1385" t="s">
        <v>363</v>
      </c>
      <c r="G78" s="1778">
        <f>1200*25</f>
        <v>30000</v>
      </c>
      <c r="H78" s="1594">
        <f t="shared" si="10"/>
        <v>30000</v>
      </c>
      <c r="I78" s="1265">
        <f t="shared" si="13"/>
        <v>1500</v>
      </c>
      <c r="J78" s="1264">
        <f t="shared" si="11"/>
        <v>1500</v>
      </c>
      <c r="K78" s="1687">
        <f t="shared" si="12"/>
        <v>31500</v>
      </c>
      <c r="L78" s="1632"/>
      <c r="M78" s="1710"/>
      <c r="N78" s="1710"/>
      <c r="O78" s="1710"/>
      <c r="P78" s="1710"/>
      <c r="Q78" s="1710"/>
    </row>
    <row r="79" spans="1:17" s="1765" customFormat="1" ht="24" customHeight="1">
      <c r="A79" s="1189" t="s">
        <v>2047</v>
      </c>
      <c r="B79" s="1538" t="s">
        <v>2156</v>
      </c>
      <c r="C79" s="1275"/>
      <c r="D79" s="1767"/>
      <c r="E79" s="1771"/>
      <c r="F79" s="1385"/>
      <c r="G79" s="1778"/>
      <c r="H79" s="1594"/>
      <c r="I79" s="1595"/>
      <c r="J79" s="1594"/>
      <c r="K79" s="1632"/>
      <c r="L79" s="1632"/>
      <c r="M79" s="1710"/>
      <c r="N79" s="1710"/>
      <c r="O79" s="1710"/>
      <c r="P79" s="1710"/>
      <c r="Q79" s="1710"/>
    </row>
    <row r="80" spans="1:17" s="1765" customFormat="1" ht="24" customHeight="1">
      <c r="A80" s="1189"/>
      <c r="B80" s="1538" t="s">
        <v>2208</v>
      </c>
      <c r="C80" s="1275"/>
      <c r="D80" s="1767"/>
      <c r="E80" s="1771">
        <v>1</v>
      </c>
      <c r="F80" s="1385" t="s">
        <v>363</v>
      </c>
      <c r="G80" s="1778">
        <v>1700</v>
      </c>
      <c r="H80" s="1594">
        <f t="shared" ref="H80:H89" si="14">ROUND(E80*G80,)</f>
        <v>1700</v>
      </c>
      <c r="I80" s="1265">
        <f t="shared" ref="I80:I88" si="15">G80*0.05</f>
        <v>85</v>
      </c>
      <c r="J80" s="1264">
        <f t="shared" ref="J80:J89" si="16">ROUND(E80*I80,)</f>
        <v>85</v>
      </c>
      <c r="K80" s="1687">
        <f t="shared" ref="K80:K89" si="17">H80+J80</f>
        <v>1785</v>
      </c>
      <c r="L80" s="1632"/>
      <c r="M80" s="1710"/>
      <c r="N80" s="1710"/>
      <c r="O80" s="1710"/>
      <c r="P80" s="1710"/>
      <c r="Q80" s="1710"/>
    </row>
    <row r="81" spans="1:17" s="1765" customFormat="1" ht="24" customHeight="1">
      <c r="A81" s="1189"/>
      <c r="B81" s="1538" t="s">
        <v>2209</v>
      </c>
      <c r="C81" s="1275"/>
      <c r="D81" s="1767"/>
      <c r="E81" s="1771">
        <v>1</v>
      </c>
      <c r="F81" s="1385" t="s">
        <v>363</v>
      </c>
      <c r="G81" s="1778">
        <v>1700</v>
      </c>
      <c r="H81" s="1594">
        <f t="shared" si="14"/>
        <v>1700</v>
      </c>
      <c r="I81" s="1265">
        <f t="shared" si="15"/>
        <v>85</v>
      </c>
      <c r="J81" s="1264">
        <f t="shared" si="16"/>
        <v>85</v>
      </c>
      <c r="K81" s="1687">
        <f t="shared" si="17"/>
        <v>1785</v>
      </c>
      <c r="L81" s="1632"/>
      <c r="M81" s="1710"/>
      <c r="N81" s="1710"/>
      <c r="O81" s="1710"/>
      <c r="P81" s="1710"/>
      <c r="Q81" s="1710"/>
    </row>
    <row r="82" spans="1:17" s="1765" customFormat="1" ht="24" customHeight="1">
      <c r="A82" s="1189"/>
      <c r="B82" s="1538" t="s">
        <v>2210</v>
      </c>
      <c r="C82" s="1275"/>
      <c r="D82" s="1767"/>
      <c r="E82" s="1771">
        <v>1</v>
      </c>
      <c r="F82" s="1385" t="s">
        <v>363</v>
      </c>
      <c r="G82" s="1778">
        <v>1700</v>
      </c>
      <c r="H82" s="1594">
        <f t="shared" si="14"/>
        <v>1700</v>
      </c>
      <c r="I82" s="1265">
        <f t="shared" si="15"/>
        <v>85</v>
      </c>
      <c r="J82" s="1264">
        <f t="shared" si="16"/>
        <v>85</v>
      </c>
      <c r="K82" s="1687">
        <f t="shared" si="17"/>
        <v>1785</v>
      </c>
      <c r="L82" s="1632"/>
      <c r="M82" s="1710"/>
      <c r="N82" s="1710"/>
      <c r="O82" s="1710"/>
      <c r="P82" s="1710"/>
      <c r="Q82" s="1710"/>
    </row>
    <row r="83" spans="1:17" s="1765" customFormat="1" ht="24" customHeight="1">
      <c r="A83" s="1189"/>
      <c r="B83" s="1538" t="s">
        <v>2211</v>
      </c>
      <c r="C83" s="1275"/>
      <c r="D83" s="1767"/>
      <c r="E83" s="1771">
        <v>1</v>
      </c>
      <c r="F83" s="1385" t="s">
        <v>363</v>
      </c>
      <c r="G83" s="1778">
        <v>1700</v>
      </c>
      <c r="H83" s="1594">
        <f t="shared" si="14"/>
        <v>1700</v>
      </c>
      <c r="I83" s="1265">
        <f t="shared" si="15"/>
        <v>85</v>
      </c>
      <c r="J83" s="1264">
        <f t="shared" si="16"/>
        <v>85</v>
      </c>
      <c r="K83" s="1687">
        <f t="shared" si="17"/>
        <v>1785</v>
      </c>
      <c r="L83" s="1632"/>
      <c r="M83" s="1710"/>
      <c r="N83" s="1710"/>
      <c r="O83" s="1710"/>
      <c r="P83" s="1710"/>
      <c r="Q83" s="1710"/>
    </row>
    <row r="84" spans="1:17" s="1765" customFormat="1" ht="24" customHeight="1">
      <c r="A84" s="1189"/>
      <c r="B84" s="1538" t="s">
        <v>2212</v>
      </c>
      <c r="C84" s="1275"/>
      <c r="D84" s="1767"/>
      <c r="E84" s="1771">
        <v>1</v>
      </c>
      <c r="F84" s="1385" t="s">
        <v>363</v>
      </c>
      <c r="G84" s="1778">
        <v>1700</v>
      </c>
      <c r="H84" s="1594">
        <f t="shared" si="14"/>
        <v>1700</v>
      </c>
      <c r="I84" s="1265">
        <f t="shared" si="15"/>
        <v>85</v>
      </c>
      <c r="J84" s="1264">
        <f t="shared" si="16"/>
        <v>85</v>
      </c>
      <c r="K84" s="1687">
        <f t="shared" si="17"/>
        <v>1785</v>
      </c>
      <c r="L84" s="1632"/>
      <c r="M84" s="1710"/>
      <c r="N84" s="1710"/>
      <c r="O84" s="1710"/>
      <c r="P84" s="1710"/>
      <c r="Q84" s="1710"/>
    </row>
    <row r="85" spans="1:17" s="1765" customFormat="1" ht="24" customHeight="1">
      <c r="A85" s="1189"/>
      <c r="B85" s="1538" t="s">
        <v>2213</v>
      </c>
      <c r="C85" s="1275"/>
      <c r="D85" s="1767"/>
      <c r="E85" s="1771">
        <v>1</v>
      </c>
      <c r="F85" s="1385" t="s">
        <v>363</v>
      </c>
      <c r="G85" s="1778">
        <v>1700</v>
      </c>
      <c r="H85" s="1594">
        <f t="shared" si="14"/>
        <v>1700</v>
      </c>
      <c r="I85" s="1265">
        <f t="shared" si="15"/>
        <v>85</v>
      </c>
      <c r="J85" s="1264">
        <f t="shared" si="16"/>
        <v>85</v>
      </c>
      <c r="K85" s="1687">
        <f t="shared" si="17"/>
        <v>1785</v>
      </c>
      <c r="L85" s="1632"/>
      <c r="M85" s="1710"/>
      <c r="N85" s="1710"/>
      <c r="O85" s="1710"/>
      <c r="P85" s="1710"/>
      <c r="Q85" s="1710"/>
    </row>
    <row r="86" spans="1:17" s="1765" customFormat="1" ht="24" customHeight="1">
      <c r="A86" s="1189"/>
      <c r="B86" s="1538" t="s">
        <v>2214</v>
      </c>
      <c r="C86" s="1275"/>
      <c r="D86" s="1767"/>
      <c r="E86" s="1771">
        <v>1</v>
      </c>
      <c r="F86" s="1385" t="s">
        <v>363</v>
      </c>
      <c r="G86" s="1778">
        <v>1700</v>
      </c>
      <c r="H86" s="1594">
        <f t="shared" si="14"/>
        <v>1700</v>
      </c>
      <c r="I86" s="1265">
        <f t="shared" si="15"/>
        <v>85</v>
      </c>
      <c r="J86" s="1264">
        <f t="shared" si="16"/>
        <v>85</v>
      </c>
      <c r="K86" s="1687">
        <f t="shared" si="17"/>
        <v>1785</v>
      </c>
      <c r="L86" s="1632"/>
      <c r="M86" s="1710"/>
      <c r="N86" s="1710"/>
      <c r="O86" s="1710"/>
      <c r="P86" s="1710"/>
      <c r="Q86" s="1710"/>
    </row>
    <row r="87" spans="1:17" s="1765" customFormat="1" ht="24" customHeight="1">
      <c r="A87" s="1189"/>
      <c r="B87" s="1538" t="s">
        <v>2215</v>
      </c>
      <c r="C87" s="1275"/>
      <c r="D87" s="1767"/>
      <c r="E87" s="1771">
        <v>1</v>
      </c>
      <c r="F87" s="1385" t="s">
        <v>363</v>
      </c>
      <c r="G87" s="1778">
        <v>1700</v>
      </c>
      <c r="H87" s="1594">
        <f t="shared" si="14"/>
        <v>1700</v>
      </c>
      <c r="I87" s="1265">
        <f t="shared" si="15"/>
        <v>85</v>
      </c>
      <c r="J87" s="1264">
        <f t="shared" si="16"/>
        <v>85</v>
      </c>
      <c r="K87" s="1687">
        <f t="shared" si="17"/>
        <v>1785</v>
      </c>
      <c r="L87" s="1632"/>
      <c r="M87" s="1710"/>
      <c r="N87" s="1710"/>
      <c r="O87" s="1710"/>
      <c r="P87" s="1710"/>
      <c r="Q87" s="1710"/>
    </row>
    <row r="88" spans="1:17" s="1765" customFormat="1" ht="24" customHeight="1">
      <c r="A88" s="1189"/>
      <c r="B88" s="1538" t="s">
        <v>2216</v>
      </c>
      <c r="C88" s="1275"/>
      <c r="D88" s="1767"/>
      <c r="E88" s="1771">
        <v>1</v>
      </c>
      <c r="F88" s="1385" t="s">
        <v>363</v>
      </c>
      <c r="G88" s="1778">
        <v>1700</v>
      </c>
      <c r="H88" s="1594">
        <f t="shared" si="14"/>
        <v>1700</v>
      </c>
      <c r="I88" s="1265">
        <f t="shared" si="15"/>
        <v>85</v>
      </c>
      <c r="J88" s="1264">
        <f t="shared" si="16"/>
        <v>85</v>
      </c>
      <c r="K88" s="1687">
        <f t="shared" si="17"/>
        <v>1785</v>
      </c>
      <c r="L88" s="1632"/>
      <c r="M88" s="1710"/>
      <c r="N88" s="1710"/>
      <c r="O88" s="1710"/>
      <c r="P88" s="1710"/>
      <c r="Q88" s="1710"/>
    </row>
    <row r="89" spans="1:17" s="1765" customFormat="1" ht="24" customHeight="1">
      <c r="A89" s="1189"/>
      <c r="B89" s="1538" t="s">
        <v>2217</v>
      </c>
      <c r="C89" s="1275"/>
      <c r="D89" s="1767"/>
      <c r="E89" s="1771">
        <v>1</v>
      </c>
      <c r="F89" s="1385" t="s">
        <v>363</v>
      </c>
      <c r="G89" s="1778">
        <f>9230+3380</f>
        <v>12610</v>
      </c>
      <c r="H89" s="1594">
        <f t="shared" si="14"/>
        <v>12610</v>
      </c>
      <c r="I89" s="1265">
        <f>ROUND(G89*0.05,)</f>
        <v>631</v>
      </c>
      <c r="J89" s="1264">
        <f t="shared" si="16"/>
        <v>631</v>
      </c>
      <c r="K89" s="1687">
        <f t="shared" si="17"/>
        <v>13241</v>
      </c>
      <c r="L89" s="1632"/>
      <c r="M89" s="1710"/>
      <c r="N89" s="1710"/>
      <c r="O89" s="1710"/>
      <c r="P89" s="1710"/>
      <c r="Q89" s="1710"/>
    </row>
    <row r="90" spans="1:17" s="1765" customFormat="1" ht="24" customHeight="1">
      <c r="A90" s="1189" t="s">
        <v>2155</v>
      </c>
      <c r="B90" s="1538" t="s">
        <v>2152</v>
      </c>
      <c r="C90" s="1275"/>
      <c r="D90" s="1767"/>
      <c r="E90" s="1771"/>
      <c r="F90" s="1385"/>
      <c r="G90" s="1778"/>
      <c r="H90" s="1594"/>
      <c r="I90" s="1595"/>
      <c r="J90" s="1594"/>
      <c r="K90" s="1632"/>
      <c r="L90" s="1632"/>
      <c r="M90" s="1710"/>
      <c r="N90" s="1710"/>
      <c r="O90" s="1710"/>
      <c r="P90" s="1710"/>
      <c r="Q90" s="1710"/>
    </row>
    <row r="91" spans="1:17" s="1765" customFormat="1" ht="24" customHeight="1">
      <c r="A91" s="1189"/>
      <c r="B91" s="1538" t="s">
        <v>2218</v>
      </c>
      <c r="C91" s="1275"/>
      <c r="D91" s="1767"/>
      <c r="E91" s="1771">
        <v>5</v>
      </c>
      <c r="F91" s="1385" t="s">
        <v>363</v>
      </c>
      <c r="G91" s="1778">
        <v>39000</v>
      </c>
      <c r="H91" s="1594">
        <f t="shared" ref="H91:H92" si="18">ROUND(E91*G91,)</f>
        <v>195000</v>
      </c>
      <c r="I91" s="1595">
        <f t="shared" ref="I91:I92" si="19">G91*0.05</f>
        <v>1950</v>
      </c>
      <c r="J91" s="1594">
        <f t="shared" ref="J91:J92" si="20">ROUND(E91*I91,)</f>
        <v>9750</v>
      </c>
      <c r="K91" s="1632">
        <f t="shared" ref="K91:K92" si="21">H91+J91</f>
        <v>204750</v>
      </c>
      <c r="L91" s="1632"/>
      <c r="M91" s="1710"/>
      <c r="N91" s="1710"/>
      <c r="O91" s="1710"/>
      <c r="P91" s="1710"/>
      <c r="Q91" s="1710"/>
    </row>
    <row r="92" spans="1:17" s="1765" customFormat="1" ht="24" customHeight="1">
      <c r="A92" s="1189"/>
      <c r="B92" s="1538" t="s">
        <v>2219</v>
      </c>
      <c r="C92" s="1275"/>
      <c r="D92" s="1767"/>
      <c r="E92" s="1771">
        <v>14</v>
      </c>
      <c r="F92" s="1385" t="s">
        <v>363</v>
      </c>
      <c r="G92" s="1778">
        <v>39000</v>
      </c>
      <c r="H92" s="1594">
        <f t="shared" si="18"/>
        <v>546000</v>
      </c>
      <c r="I92" s="1595">
        <f t="shared" si="19"/>
        <v>1950</v>
      </c>
      <c r="J92" s="1594">
        <f t="shared" si="20"/>
        <v>27300</v>
      </c>
      <c r="K92" s="1632">
        <f t="shared" si="21"/>
        <v>573300</v>
      </c>
      <c r="L92" s="1632"/>
      <c r="M92" s="1710"/>
      <c r="N92" s="1710"/>
      <c r="O92" s="1710"/>
      <c r="P92" s="1710"/>
      <c r="Q92" s="1710"/>
    </row>
    <row r="93" spans="1:17" s="1765" customFormat="1" ht="24" customHeight="1">
      <c r="A93" s="1189" t="s">
        <v>2165</v>
      </c>
      <c r="B93" s="1538" t="s">
        <v>2220</v>
      </c>
      <c r="C93" s="1275"/>
      <c r="D93" s="1767"/>
      <c r="E93" s="1771"/>
      <c r="F93" s="1385"/>
      <c r="G93" s="1778"/>
      <c r="H93" s="1594"/>
      <c r="I93" s="1595"/>
      <c r="J93" s="1594"/>
      <c r="K93" s="1632"/>
      <c r="L93" s="1632"/>
      <c r="M93" s="1710"/>
      <c r="N93" s="1710"/>
      <c r="O93" s="1710"/>
      <c r="P93" s="1710"/>
      <c r="Q93" s="1710"/>
    </row>
    <row r="94" spans="1:17" s="1765" customFormat="1" ht="24" customHeight="1">
      <c r="A94" s="1189"/>
      <c r="B94" s="1538" t="s">
        <v>2221</v>
      </c>
      <c r="C94" s="1275"/>
      <c r="D94" s="1767"/>
      <c r="E94" s="1771">
        <v>1</v>
      </c>
      <c r="F94" s="1385" t="s">
        <v>363</v>
      </c>
      <c r="G94" s="1778">
        <v>3055</v>
      </c>
      <c r="H94" s="1594">
        <f t="shared" ref="H94:H96" si="22">ROUND(E94*G94,)</f>
        <v>3055</v>
      </c>
      <c r="I94" s="1265">
        <f>ROUND(G94*0.05,)</f>
        <v>153</v>
      </c>
      <c r="J94" s="1264">
        <f t="shared" ref="J94:J96" si="23">ROUND(E94*I94,)</f>
        <v>153</v>
      </c>
      <c r="K94" s="1687">
        <f t="shared" ref="K94:K96" si="24">H94+J94</f>
        <v>3208</v>
      </c>
      <c r="L94" s="1632"/>
      <c r="M94" s="1710"/>
      <c r="N94" s="1710"/>
      <c r="O94" s="1710"/>
      <c r="P94" s="1710"/>
      <c r="Q94" s="1710"/>
    </row>
    <row r="95" spans="1:17" s="1765" customFormat="1" ht="24" customHeight="1">
      <c r="A95" s="1189"/>
      <c r="B95" s="1538" t="s">
        <v>2222</v>
      </c>
      <c r="C95" s="1275"/>
      <c r="D95" s="1767"/>
      <c r="E95" s="1771">
        <v>2</v>
      </c>
      <c r="F95" s="1385" t="s">
        <v>363</v>
      </c>
      <c r="G95" s="1778">
        <v>3055</v>
      </c>
      <c r="H95" s="1594">
        <f t="shared" si="22"/>
        <v>6110</v>
      </c>
      <c r="I95" s="1265">
        <f>ROUND(G95*0.05,)</f>
        <v>153</v>
      </c>
      <c r="J95" s="1264">
        <f t="shared" si="23"/>
        <v>306</v>
      </c>
      <c r="K95" s="1687">
        <f t="shared" si="24"/>
        <v>6416</v>
      </c>
      <c r="L95" s="1632"/>
      <c r="M95" s="1710"/>
      <c r="N95" s="1710"/>
      <c r="O95" s="1710"/>
      <c r="P95" s="1710"/>
      <c r="Q95" s="1710"/>
    </row>
    <row r="96" spans="1:17" s="1765" customFormat="1" ht="24" customHeight="1">
      <c r="A96" s="1189" t="s">
        <v>2223</v>
      </c>
      <c r="B96" s="1538" t="s">
        <v>2041</v>
      </c>
      <c r="C96" s="1275"/>
      <c r="D96" s="1767"/>
      <c r="E96" s="1771">
        <f>SUM(E71:E78)+SUM(E91:E92)</f>
        <v>27</v>
      </c>
      <c r="F96" s="1385" t="s">
        <v>363</v>
      </c>
      <c r="G96" s="1778">
        <v>1200</v>
      </c>
      <c r="H96" s="1594">
        <f t="shared" si="22"/>
        <v>32400</v>
      </c>
      <c r="I96" s="1595">
        <v>360</v>
      </c>
      <c r="J96" s="1594">
        <f t="shared" si="23"/>
        <v>9720</v>
      </c>
      <c r="K96" s="1632">
        <f t="shared" si="24"/>
        <v>42120</v>
      </c>
      <c r="L96" s="1632"/>
      <c r="M96" s="1710"/>
      <c r="N96" s="1710"/>
      <c r="O96" s="1710"/>
      <c r="P96" s="1710"/>
      <c r="Q96" s="1710"/>
    </row>
    <row r="97" spans="1:19" s="1765" customFormat="1" ht="24" customHeight="1">
      <c r="A97" s="1189"/>
      <c r="B97" s="1538" t="s">
        <v>1117</v>
      </c>
      <c r="C97" s="1275"/>
      <c r="D97" s="1767"/>
      <c r="E97" s="1771"/>
      <c r="F97" s="1385"/>
      <c r="G97" s="1778"/>
      <c r="H97" s="1594"/>
      <c r="I97" s="1595"/>
      <c r="J97" s="1594"/>
      <c r="K97" s="1632"/>
      <c r="L97" s="1632"/>
      <c r="M97" s="1710"/>
      <c r="N97" s="1710"/>
      <c r="O97" s="1710"/>
      <c r="P97" s="1710"/>
      <c r="Q97" s="1710"/>
    </row>
    <row r="98" spans="1:19" s="1765" customFormat="1" ht="24" customHeight="1">
      <c r="A98" s="1485"/>
      <c r="B98" s="1792"/>
      <c r="C98" s="1486"/>
      <c r="D98" s="1822"/>
      <c r="E98" s="1823"/>
      <c r="F98" s="1500"/>
      <c r="G98" s="1824"/>
      <c r="H98" s="1825"/>
      <c r="I98" s="1826"/>
      <c r="J98" s="1825"/>
      <c r="K98" s="1833"/>
      <c r="L98" s="1833"/>
      <c r="M98" s="1710"/>
      <c r="N98" s="1710"/>
      <c r="O98" s="1710"/>
      <c r="P98" s="1710"/>
      <c r="Q98" s="1710"/>
    </row>
    <row r="99" spans="1:19" s="1199" customFormat="1" ht="24" customHeight="1">
      <c r="A99" s="1578"/>
      <c r="B99" s="2257" t="str">
        <f>"รวมราคารายการที่ "&amp;A69</f>
        <v>รวมราคารายการที่ 7.3</v>
      </c>
      <c r="C99" s="2258"/>
      <c r="D99" s="2259"/>
      <c r="E99" s="1579"/>
      <c r="F99" s="1579"/>
      <c r="G99" s="1580"/>
      <c r="H99" s="1581">
        <f>SUM(H70:H96)</f>
        <v>4390475</v>
      </c>
      <c r="I99" s="1582"/>
      <c r="J99" s="1581">
        <f>SUM(J70:J96)</f>
        <v>227625</v>
      </c>
      <c r="K99" s="1583">
        <f>SUM(K70:K96)</f>
        <v>4618100</v>
      </c>
      <c r="L99" s="1583"/>
      <c r="M99" s="2019"/>
      <c r="N99" s="2019"/>
      <c r="O99" s="2019"/>
      <c r="P99" s="2019"/>
      <c r="Q99" s="2019"/>
    </row>
    <row r="100" spans="1:19" s="1765" customFormat="1" ht="24" customHeight="1">
      <c r="A100" s="1291">
        <v>7.4</v>
      </c>
      <c r="B100" s="1783" t="s">
        <v>2042</v>
      </c>
      <c r="C100" s="1294"/>
      <c r="D100" s="1777"/>
      <c r="E100" s="1686"/>
      <c r="F100" s="1402"/>
      <c r="G100" s="1661"/>
      <c r="H100" s="1588"/>
      <c r="I100" s="1589"/>
      <c r="J100" s="1588"/>
      <c r="K100" s="1770"/>
      <c r="L100" s="1770"/>
      <c r="M100" s="1710"/>
      <c r="N100" s="1710"/>
      <c r="O100" s="1710"/>
      <c r="P100" s="1710"/>
      <c r="Q100" s="1710"/>
    </row>
    <row r="101" spans="1:19" s="1765" customFormat="1" ht="24" customHeight="1">
      <c r="A101" s="1766" t="s">
        <v>2054</v>
      </c>
      <c r="B101" s="1538" t="s">
        <v>2044</v>
      </c>
      <c r="C101" s="1275"/>
      <c r="D101" s="1767"/>
      <c r="E101" s="1686"/>
      <c r="F101" s="1402"/>
      <c r="G101" s="1661"/>
      <c r="H101" s="1588"/>
      <c r="I101" s="1589"/>
      <c r="J101" s="1588"/>
      <c r="K101" s="1770"/>
      <c r="L101" s="1770"/>
      <c r="M101" s="1710"/>
      <c r="N101" s="1710"/>
      <c r="O101" s="1710"/>
      <c r="P101" s="1710"/>
      <c r="Q101" s="1710"/>
    </row>
    <row r="102" spans="1:19" s="1765" customFormat="1" ht="24" customHeight="1">
      <c r="A102" s="1189" t="s">
        <v>2166</v>
      </c>
      <c r="B102" s="1538" t="s">
        <v>2224</v>
      </c>
      <c r="C102" s="1275"/>
      <c r="D102" s="1767"/>
      <c r="E102" s="1686"/>
      <c r="F102" s="1402"/>
      <c r="G102" s="1661"/>
      <c r="H102" s="1588"/>
      <c r="I102" s="1589"/>
      <c r="J102" s="1588"/>
      <c r="K102" s="1770"/>
      <c r="L102" s="1770"/>
      <c r="M102" s="1710"/>
      <c r="N102" s="1710"/>
      <c r="O102" s="1710"/>
      <c r="P102" s="1710"/>
      <c r="Q102" s="1710"/>
    </row>
    <row r="103" spans="1:19" s="1765" customFormat="1" ht="24" customHeight="1">
      <c r="A103" s="1258"/>
      <c r="B103" s="1538" t="s">
        <v>2168</v>
      </c>
      <c r="C103" s="1275"/>
      <c r="D103" s="1767"/>
      <c r="E103" s="1834">
        <v>28</v>
      </c>
      <c r="F103" s="1788" t="s">
        <v>226</v>
      </c>
      <c r="G103" s="2020">
        <v>69.5</v>
      </c>
      <c r="H103" s="1773">
        <f>ROUND(E103*G103,)</f>
        <v>1946</v>
      </c>
      <c r="I103" s="2011">
        <v>30</v>
      </c>
      <c r="J103" s="2008">
        <f>ROUND(E103*I103,)</f>
        <v>840</v>
      </c>
      <c r="K103" s="1774">
        <f t="shared" ref="K103:K112" si="25">H103+J103</f>
        <v>2786</v>
      </c>
      <c r="L103" s="1632"/>
      <c r="M103" s="1710"/>
      <c r="N103" s="1710"/>
      <c r="O103" s="1710"/>
      <c r="P103" s="1710"/>
      <c r="Q103" s="1710"/>
    </row>
    <row r="104" spans="1:19" s="1765" customFormat="1" ht="24" customHeight="1">
      <c r="A104" s="1258"/>
      <c r="B104" s="1538" t="s">
        <v>1901</v>
      </c>
      <c r="C104" s="1275"/>
      <c r="D104" s="1767"/>
      <c r="E104" s="1771">
        <v>54</v>
      </c>
      <c r="F104" s="1358" t="s">
        <v>226</v>
      </c>
      <c r="G104" s="1558">
        <v>103.5</v>
      </c>
      <c r="H104" s="1773">
        <f t="shared" ref="H104:H112" si="26">ROUND(E104*G104,)</f>
        <v>5589</v>
      </c>
      <c r="I104" s="1332">
        <v>45</v>
      </c>
      <c r="J104" s="2008">
        <f t="shared" ref="J104:J112" si="27">ROUND(E104*I104,)</f>
        <v>2430</v>
      </c>
      <c r="K104" s="1774">
        <f t="shared" si="25"/>
        <v>8019</v>
      </c>
      <c r="L104" s="1632"/>
      <c r="M104" s="1710"/>
      <c r="N104" s="1710"/>
      <c r="O104" s="1710"/>
      <c r="P104" s="1710"/>
      <c r="Q104" s="1710"/>
    </row>
    <row r="105" spans="1:19" s="1765" customFormat="1" ht="24" customHeight="1">
      <c r="A105" s="1258"/>
      <c r="B105" s="1538" t="s">
        <v>1338</v>
      </c>
      <c r="C105" s="1275"/>
      <c r="D105" s="1767"/>
      <c r="E105" s="1771">
        <v>53</v>
      </c>
      <c r="F105" s="1358" t="s">
        <v>226</v>
      </c>
      <c r="G105" s="1558">
        <v>140</v>
      </c>
      <c r="H105" s="1773">
        <f t="shared" si="26"/>
        <v>7420</v>
      </c>
      <c r="I105" s="1332">
        <v>60</v>
      </c>
      <c r="J105" s="2008">
        <f t="shared" si="27"/>
        <v>3180</v>
      </c>
      <c r="K105" s="1774">
        <f t="shared" si="25"/>
        <v>10600</v>
      </c>
      <c r="L105" s="1632"/>
      <c r="M105" s="1710"/>
      <c r="N105" s="1710"/>
      <c r="O105" s="1710"/>
      <c r="P105" s="1710"/>
      <c r="Q105" s="1710"/>
    </row>
    <row r="106" spans="1:19" s="1765" customFormat="1" ht="24" customHeight="1">
      <c r="A106" s="1258"/>
      <c r="B106" s="1538" t="s">
        <v>1339</v>
      </c>
      <c r="C106" s="1275"/>
      <c r="D106" s="1767"/>
      <c r="E106" s="1771">
        <v>82</v>
      </c>
      <c r="F106" s="1358" t="s">
        <v>226</v>
      </c>
      <c r="G106" s="1541">
        <v>167</v>
      </c>
      <c r="H106" s="1773">
        <f t="shared" si="26"/>
        <v>13694</v>
      </c>
      <c r="I106" s="2007">
        <v>70</v>
      </c>
      <c r="J106" s="2008">
        <f t="shared" si="27"/>
        <v>5740</v>
      </c>
      <c r="K106" s="1774">
        <f t="shared" si="25"/>
        <v>19434</v>
      </c>
      <c r="L106" s="1632"/>
      <c r="M106" s="1710"/>
      <c r="N106" s="1710"/>
      <c r="O106" s="1710"/>
      <c r="P106" s="1710"/>
      <c r="Q106" s="1710"/>
    </row>
    <row r="107" spans="1:19" s="1765" customFormat="1" ht="24" customHeight="1">
      <c r="A107" s="1584"/>
      <c r="B107" s="1538" t="s">
        <v>1754</v>
      </c>
      <c r="C107" s="1275"/>
      <c r="D107" s="1767"/>
      <c r="E107" s="1768">
        <v>220</v>
      </c>
      <c r="F107" s="1296" t="s">
        <v>226</v>
      </c>
      <c r="G107" s="2021">
        <v>1168</v>
      </c>
      <c r="H107" s="1773">
        <f t="shared" si="26"/>
        <v>256960</v>
      </c>
      <c r="I107" s="2021">
        <v>280</v>
      </c>
      <c r="J107" s="2008">
        <f t="shared" si="27"/>
        <v>61600</v>
      </c>
      <c r="K107" s="1774">
        <f t="shared" si="25"/>
        <v>318560</v>
      </c>
      <c r="L107" s="1770"/>
      <c r="M107" s="1710"/>
      <c r="N107" s="1710"/>
      <c r="O107" s="1710"/>
      <c r="P107" s="1710"/>
      <c r="Q107" s="1710"/>
    </row>
    <row r="108" spans="1:19" s="1765" customFormat="1" ht="24" customHeight="1">
      <c r="A108" s="1766"/>
      <c r="B108" s="1538" t="s">
        <v>1866</v>
      </c>
      <c r="C108" s="1275"/>
      <c r="D108" s="1767"/>
      <c r="E108" s="1686">
        <v>320</v>
      </c>
      <c r="F108" s="1296" t="s">
        <v>226</v>
      </c>
      <c r="G108" s="1772">
        <v>2654.5</v>
      </c>
      <c r="H108" s="1343">
        <f t="shared" si="26"/>
        <v>849440</v>
      </c>
      <c r="I108" s="1386">
        <v>750</v>
      </c>
      <c r="J108" s="1343">
        <f t="shared" si="27"/>
        <v>240000</v>
      </c>
      <c r="K108" s="1262">
        <f t="shared" si="25"/>
        <v>1089440</v>
      </c>
      <c r="L108" s="1770"/>
      <c r="M108" s="1710"/>
      <c r="N108" s="1710"/>
      <c r="O108" s="1710"/>
      <c r="P108" s="1710"/>
      <c r="Q108" s="1710"/>
      <c r="R108" s="1835"/>
      <c r="S108" s="1835"/>
    </row>
    <row r="109" spans="1:19" s="1765" customFormat="1" ht="24" customHeight="1">
      <c r="A109" s="1766"/>
      <c r="B109" s="1538" t="s">
        <v>2225</v>
      </c>
      <c r="C109" s="1275"/>
      <c r="D109" s="1767"/>
      <c r="E109" s="1686">
        <v>200</v>
      </c>
      <c r="F109" s="1296" t="s">
        <v>226</v>
      </c>
      <c r="G109" s="1769">
        <v>5425.5</v>
      </c>
      <c r="H109" s="1369">
        <f t="shared" si="26"/>
        <v>1085100</v>
      </c>
      <c r="I109" s="1455">
        <v>1200</v>
      </c>
      <c r="J109" s="1298">
        <f t="shared" si="27"/>
        <v>240000</v>
      </c>
      <c r="K109" s="1382">
        <f t="shared" si="25"/>
        <v>1325100</v>
      </c>
      <c r="L109" s="1770"/>
      <c r="M109" s="1710"/>
      <c r="N109" s="1710"/>
      <c r="O109" s="1710"/>
      <c r="P109" s="1710"/>
      <c r="Q109" s="1710"/>
      <c r="R109" s="1835"/>
      <c r="S109" s="1835"/>
    </row>
    <row r="110" spans="1:19" s="1765" customFormat="1" ht="24" customHeight="1">
      <c r="A110" s="1766"/>
      <c r="B110" s="1538" t="s">
        <v>1719</v>
      </c>
      <c r="C110" s="1275"/>
      <c r="D110" s="1767"/>
      <c r="E110" s="1686">
        <v>1</v>
      </c>
      <c r="F110" s="1402" t="s">
        <v>1104</v>
      </c>
      <c r="G110" s="1661">
        <f>ROUND(SUM(H103:H109)*50%,)</f>
        <v>1110075</v>
      </c>
      <c r="H110" s="1298">
        <f t="shared" si="26"/>
        <v>1110075</v>
      </c>
      <c r="I110" s="1595">
        <f>ROUND(G110*0.3,)</f>
        <v>333023</v>
      </c>
      <c r="J110" s="1298">
        <f t="shared" si="27"/>
        <v>333023</v>
      </c>
      <c r="K110" s="1382">
        <f t="shared" si="25"/>
        <v>1443098</v>
      </c>
      <c r="L110" s="1770"/>
      <c r="M110" s="1710"/>
      <c r="N110" s="1710"/>
      <c r="O110" s="1710"/>
      <c r="P110" s="1710"/>
      <c r="Q110" s="1710"/>
    </row>
    <row r="111" spans="1:19" s="1765" customFormat="1" ht="24" customHeight="1">
      <c r="A111" s="1766"/>
      <c r="B111" s="1538" t="s">
        <v>1720</v>
      </c>
      <c r="C111" s="1275"/>
      <c r="D111" s="1767"/>
      <c r="E111" s="1686">
        <v>1</v>
      </c>
      <c r="F111" s="1402" t="s">
        <v>1104</v>
      </c>
      <c r="G111" s="1661">
        <f>ROUND(SUM(H103:H109)*20%,)</f>
        <v>444030</v>
      </c>
      <c r="H111" s="1298">
        <f t="shared" si="26"/>
        <v>444030</v>
      </c>
      <c r="I111" s="1595">
        <f>ROUND(G111*0.3,)</f>
        <v>133209</v>
      </c>
      <c r="J111" s="1298">
        <f t="shared" si="27"/>
        <v>133209</v>
      </c>
      <c r="K111" s="1382">
        <f t="shared" si="25"/>
        <v>577239</v>
      </c>
      <c r="L111" s="1770"/>
      <c r="M111" s="1710"/>
      <c r="N111" s="1710"/>
      <c r="O111" s="1710"/>
      <c r="P111" s="1710"/>
      <c r="Q111" s="1710"/>
    </row>
    <row r="112" spans="1:19" s="1765" customFormat="1" ht="24" customHeight="1">
      <c r="A112" s="1258"/>
      <c r="B112" s="1538" t="s">
        <v>1721</v>
      </c>
      <c r="C112" s="1275"/>
      <c r="D112" s="1767"/>
      <c r="E112" s="1771">
        <v>1</v>
      </c>
      <c r="F112" s="1385" t="s">
        <v>1104</v>
      </c>
      <c r="G112" s="1778">
        <f>ROUND(SUM(H103:H109)*10%,)</f>
        <v>222015</v>
      </c>
      <c r="H112" s="1264">
        <f t="shared" si="26"/>
        <v>222015</v>
      </c>
      <c r="I112" s="1595">
        <f>ROUND(G112*0.3,)</f>
        <v>66605</v>
      </c>
      <c r="J112" s="1264">
        <f t="shared" si="27"/>
        <v>66605</v>
      </c>
      <c r="K112" s="1273">
        <f t="shared" si="25"/>
        <v>288620</v>
      </c>
      <c r="L112" s="1632"/>
      <c r="M112" s="1710"/>
      <c r="N112" s="1710"/>
      <c r="O112" s="1710"/>
      <c r="P112" s="1710"/>
      <c r="Q112" s="1710"/>
    </row>
    <row r="113" spans="1:17" s="1765" customFormat="1" ht="24" customHeight="1">
      <c r="A113" s="1258"/>
      <c r="B113" s="1538" t="s">
        <v>1117</v>
      </c>
      <c r="C113" s="1275"/>
      <c r="D113" s="1767"/>
      <c r="E113" s="1771"/>
      <c r="F113" s="1385"/>
      <c r="G113" s="1778"/>
      <c r="H113" s="1264"/>
      <c r="I113" s="1595"/>
      <c r="J113" s="1264"/>
      <c r="K113" s="1273"/>
      <c r="L113" s="1632"/>
      <c r="M113" s="1710"/>
      <c r="N113" s="1710"/>
      <c r="O113" s="1710"/>
      <c r="P113" s="1710"/>
      <c r="Q113" s="1710"/>
    </row>
    <row r="114" spans="1:17" s="1765" customFormat="1" ht="24" customHeight="1">
      <c r="A114" s="1258"/>
      <c r="B114" s="1538"/>
      <c r="C114" s="1275"/>
      <c r="D114" s="1767"/>
      <c r="E114" s="1771"/>
      <c r="F114" s="1385"/>
      <c r="G114" s="1778"/>
      <c r="H114" s="1264"/>
      <c r="I114" s="1595"/>
      <c r="J114" s="1264"/>
      <c r="K114" s="1273"/>
      <c r="L114" s="1632"/>
      <c r="M114" s="1710"/>
      <c r="N114" s="1710"/>
      <c r="O114" s="1710"/>
      <c r="P114" s="1710"/>
      <c r="Q114" s="1710"/>
    </row>
    <row r="115" spans="1:17" s="1765" customFormat="1" ht="24" customHeight="1">
      <c r="A115" s="1791"/>
      <c r="B115" s="1792"/>
      <c r="C115" s="1486"/>
      <c r="D115" s="1822"/>
      <c r="E115" s="1823"/>
      <c r="F115" s="1500"/>
      <c r="G115" s="1824"/>
      <c r="H115" s="1425"/>
      <c r="I115" s="1826"/>
      <c r="J115" s="1425"/>
      <c r="K115" s="1426"/>
      <c r="L115" s="1833"/>
      <c r="M115" s="1710"/>
      <c r="N115" s="1710"/>
      <c r="O115" s="1710"/>
      <c r="P115" s="1710"/>
      <c r="Q115" s="1710"/>
    </row>
    <row r="116" spans="1:17" s="1765" customFormat="1" ht="24" customHeight="1">
      <c r="A116" s="1578"/>
      <c r="B116" s="2257" t="str">
        <f>"รวมราคารายการที่ "&amp;A100</f>
        <v>รวมราคารายการที่ 7.4</v>
      </c>
      <c r="C116" s="2258"/>
      <c r="D116" s="2259"/>
      <c r="E116" s="1579"/>
      <c r="F116" s="1579"/>
      <c r="G116" s="1580"/>
      <c r="H116" s="1581">
        <f>SUM(H101:H115)</f>
        <v>3996269</v>
      </c>
      <c r="I116" s="1582"/>
      <c r="J116" s="1581">
        <f>SUM(J101:J115)</f>
        <v>1086627</v>
      </c>
      <c r="K116" s="1581">
        <f>SUM(K101:K115)</f>
        <v>5082896</v>
      </c>
      <c r="L116" s="1583"/>
      <c r="M116" s="2019"/>
      <c r="N116" s="2019"/>
      <c r="O116" s="2019"/>
      <c r="P116" s="2019"/>
      <c r="Q116" s="2019"/>
    </row>
    <row r="117" spans="1:17" s="1765" customFormat="1" ht="24" customHeight="1">
      <c r="A117" s="1785">
        <v>7.5</v>
      </c>
      <c r="B117" s="1776" t="s">
        <v>2053</v>
      </c>
      <c r="C117" s="1293"/>
      <c r="D117" s="1294"/>
      <c r="E117" s="1786"/>
      <c r="F117" s="1296"/>
      <c r="G117" s="1357"/>
      <c r="H117" s="1298"/>
      <c r="I117" s="1299"/>
      <c r="J117" s="1298"/>
      <c r="K117" s="1382"/>
      <c r="L117" s="1382"/>
      <c r="M117" s="1613"/>
      <c r="N117" s="1613"/>
      <c r="O117" s="1613"/>
      <c r="P117" s="1613"/>
      <c r="Q117" s="1613"/>
    </row>
    <row r="118" spans="1:17" s="1765" customFormat="1" ht="24" customHeight="1">
      <c r="A118" s="1258" t="s">
        <v>2062</v>
      </c>
      <c r="B118" s="1538" t="s">
        <v>2055</v>
      </c>
      <c r="C118" s="1437"/>
      <c r="D118" s="1275"/>
      <c r="E118" s="1768"/>
      <c r="F118" s="1358"/>
      <c r="G118" s="1516"/>
      <c r="H118" s="1264"/>
      <c r="I118" s="1265"/>
      <c r="J118" s="1264"/>
      <c r="K118" s="1273"/>
      <c r="L118" s="1273"/>
      <c r="M118" s="1613"/>
      <c r="N118" s="1613"/>
      <c r="O118" s="1613"/>
      <c r="P118" s="1613"/>
      <c r="Q118" s="1613"/>
    </row>
    <row r="119" spans="1:17" s="1765" customFormat="1" ht="24" customHeight="1">
      <c r="A119" s="1258"/>
      <c r="B119" s="1538" t="s">
        <v>2168</v>
      </c>
      <c r="C119" s="1437"/>
      <c r="D119" s="1275"/>
      <c r="E119" s="1834">
        <f>E103</f>
        <v>28</v>
      </c>
      <c r="F119" s="1788" t="s">
        <v>226</v>
      </c>
      <c r="G119" s="1790">
        <v>59</v>
      </c>
      <c r="H119" s="1773">
        <f t="shared" ref="H119:H122" si="28">ROUND(E119*G119,)</f>
        <v>1652</v>
      </c>
      <c r="I119" s="1789">
        <f>ROUND(20*0.75*1.3,)</f>
        <v>20</v>
      </c>
      <c r="J119" s="1773">
        <f t="shared" ref="J119:J122" si="29">ROUND(E119*I119,)</f>
        <v>560</v>
      </c>
      <c r="K119" s="1269">
        <f t="shared" ref="K119:K122" si="30">H119+J119</f>
        <v>2212</v>
      </c>
      <c r="L119" s="1273"/>
      <c r="M119" s="1613"/>
      <c r="N119" s="1613"/>
      <c r="O119" s="1613"/>
      <c r="P119" s="1613"/>
      <c r="Q119" s="1613"/>
    </row>
    <row r="120" spans="1:17" s="1765" customFormat="1" ht="24" customHeight="1">
      <c r="A120" s="1258"/>
      <c r="B120" s="1538" t="s">
        <v>1901</v>
      </c>
      <c r="C120" s="1437"/>
      <c r="D120" s="1275"/>
      <c r="E120" s="1834">
        <f>E104</f>
        <v>54</v>
      </c>
      <c r="F120" s="1358" t="s">
        <v>226</v>
      </c>
      <c r="G120" s="1516">
        <v>69</v>
      </c>
      <c r="H120" s="1264">
        <f t="shared" si="28"/>
        <v>3726</v>
      </c>
      <c r="I120" s="1265">
        <f>ROUND(20*1*1.3,)</f>
        <v>26</v>
      </c>
      <c r="J120" s="1264">
        <f t="shared" si="29"/>
        <v>1404</v>
      </c>
      <c r="K120" s="1273">
        <f t="shared" si="30"/>
        <v>5130</v>
      </c>
      <c r="L120" s="1273"/>
      <c r="M120" s="1613"/>
      <c r="N120" s="1613"/>
      <c r="O120" s="1613"/>
      <c r="P120" s="1613"/>
      <c r="Q120" s="1613"/>
    </row>
    <row r="121" spans="1:17" s="1765" customFormat="1" ht="24" customHeight="1">
      <c r="A121" s="1258"/>
      <c r="B121" s="1538" t="s">
        <v>1338</v>
      </c>
      <c r="C121" s="1437"/>
      <c r="D121" s="1275"/>
      <c r="E121" s="1834">
        <f>E105</f>
        <v>53</v>
      </c>
      <c r="F121" s="1358" t="s">
        <v>226</v>
      </c>
      <c r="G121" s="1516">
        <v>92</v>
      </c>
      <c r="H121" s="1264">
        <f t="shared" si="28"/>
        <v>4876</v>
      </c>
      <c r="I121" s="1265">
        <f>ROUND(20*1.25*1.3,)</f>
        <v>33</v>
      </c>
      <c r="J121" s="1264">
        <f t="shared" si="29"/>
        <v>1749</v>
      </c>
      <c r="K121" s="1273">
        <f t="shared" si="30"/>
        <v>6625</v>
      </c>
      <c r="L121" s="1273"/>
      <c r="M121" s="1613"/>
      <c r="N121" s="1613"/>
      <c r="O121" s="1613"/>
      <c r="P121" s="1613"/>
      <c r="Q121" s="1613"/>
    </row>
    <row r="122" spans="1:17" s="1765" customFormat="1" ht="24" customHeight="1">
      <c r="A122" s="1258"/>
      <c r="B122" s="1538" t="s">
        <v>1339</v>
      </c>
      <c r="C122" s="1437"/>
      <c r="D122" s="1275"/>
      <c r="E122" s="1834">
        <f>E106</f>
        <v>82</v>
      </c>
      <c r="F122" s="1358" t="s">
        <v>226</v>
      </c>
      <c r="G122" s="1516">
        <v>93</v>
      </c>
      <c r="H122" s="1264">
        <f t="shared" si="28"/>
        <v>7626</v>
      </c>
      <c r="I122" s="1265">
        <v>39</v>
      </c>
      <c r="J122" s="1264">
        <f t="shared" si="29"/>
        <v>3198</v>
      </c>
      <c r="K122" s="1273">
        <f t="shared" si="30"/>
        <v>10824</v>
      </c>
      <c r="L122" s="1273"/>
      <c r="M122" s="1613"/>
      <c r="N122" s="1613"/>
      <c r="O122" s="1613"/>
      <c r="P122" s="1613"/>
      <c r="Q122" s="1613"/>
    </row>
    <row r="123" spans="1:17" s="1765" customFormat="1" ht="24" customHeight="1">
      <c r="A123" s="1258" t="s">
        <v>2064</v>
      </c>
      <c r="B123" s="1538" t="s">
        <v>2057</v>
      </c>
      <c r="C123" s="1437"/>
      <c r="D123" s="1278"/>
      <c r="E123" s="1768"/>
      <c r="F123" s="1296"/>
      <c r="G123" s="1516"/>
      <c r="H123" s="1298"/>
      <c r="I123" s="1299"/>
      <c r="J123" s="1298"/>
      <c r="K123" s="1382"/>
      <c r="L123" s="1382"/>
      <c r="M123" s="1613"/>
      <c r="N123" s="1613"/>
      <c r="O123" s="1613"/>
      <c r="P123" s="1613"/>
      <c r="Q123" s="1613"/>
    </row>
    <row r="124" spans="1:17" s="1765" customFormat="1" ht="24" customHeight="1">
      <c r="A124" s="1258"/>
      <c r="B124" s="1538" t="s">
        <v>1754</v>
      </c>
      <c r="C124" s="1437"/>
      <c r="D124" s="1278"/>
      <c r="E124" s="1686">
        <f>E107</f>
        <v>220</v>
      </c>
      <c r="F124" s="1296" t="s">
        <v>226</v>
      </c>
      <c r="G124" s="1516">
        <v>557</v>
      </c>
      <c r="H124" s="1298">
        <f t="shared" ref="H124:H126" si="31">ROUND(E124*G124,)</f>
        <v>122540</v>
      </c>
      <c r="I124" s="1299">
        <f>ROUND(20*6*1.3,)</f>
        <v>156</v>
      </c>
      <c r="J124" s="1298">
        <f t="shared" ref="J124:J126" si="32">ROUND(E124*I124,)</f>
        <v>34320</v>
      </c>
      <c r="K124" s="1382">
        <f t="shared" ref="K124:K126" si="33">H124+J124</f>
        <v>156860</v>
      </c>
      <c r="L124" s="1382"/>
      <c r="M124" s="1613"/>
      <c r="N124" s="1613"/>
      <c r="O124" s="1613"/>
      <c r="P124" s="1613"/>
      <c r="Q124" s="1613"/>
    </row>
    <row r="125" spans="1:17" s="1765" customFormat="1" ht="24" customHeight="1">
      <c r="A125" s="1258"/>
      <c r="B125" s="1538" t="s">
        <v>1866</v>
      </c>
      <c r="C125" s="1437"/>
      <c r="D125" s="1278"/>
      <c r="E125" s="1686">
        <v>300</v>
      </c>
      <c r="F125" s="1296" t="s">
        <v>226</v>
      </c>
      <c r="G125" s="1516">
        <v>767</v>
      </c>
      <c r="H125" s="1298">
        <f t="shared" si="31"/>
        <v>230100</v>
      </c>
      <c r="I125" s="1299">
        <f>ROUND(20*10*1.3,)</f>
        <v>260</v>
      </c>
      <c r="J125" s="1298">
        <f t="shared" si="32"/>
        <v>78000</v>
      </c>
      <c r="K125" s="1382">
        <f t="shared" si="33"/>
        <v>308100</v>
      </c>
      <c r="L125" s="1382"/>
      <c r="M125" s="1613"/>
      <c r="N125" s="1613"/>
      <c r="O125" s="1613"/>
      <c r="P125" s="1613"/>
      <c r="Q125" s="1613"/>
    </row>
    <row r="126" spans="1:17" s="1765" customFormat="1" ht="24" customHeight="1">
      <c r="A126" s="1258"/>
      <c r="B126" s="1538" t="s">
        <v>2225</v>
      </c>
      <c r="C126" s="1437"/>
      <c r="D126" s="1278"/>
      <c r="E126" s="1686">
        <v>180</v>
      </c>
      <c r="F126" s="1296" t="s">
        <v>226</v>
      </c>
      <c r="G126" s="1516">
        <v>1156</v>
      </c>
      <c r="H126" s="1298">
        <f t="shared" si="31"/>
        <v>208080</v>
      </c>
      <c r="I126" s="1299">
        <v>416</v>
      </c>
      <c r="J126" s="1298">
        <f t="shared" si="32"/>
        <v>74880</v>
      </c>
      <c r="K126" s="1382">
        <f t="shared" si="33"/>
        <v>282960</v>
      </c>
      <c r="L126" s="1382"/>
      <c r="M126" s="1613"/>
      <c r="N126" s="1613"/>
      <c r="O126" s="1613"/>
      <c r="P126" s="1613"/>
      <c r="Q126" s="1613"/>
    </row>
    <row r="127" spans="1:17" s="1765" customFormat="1" ht="24" customHeight="1">
      <c r="A127" s="1258"/>
      <c r="B127" s="1538" t="s">
        <v>1117</v>
      </c>
      <c r="C127" s="1437"/>
      <c r="D127" s="1278"/>
      <c r="E127" s="1768"/>
      <c r="F127" s="1296"/>
      <c r="G127" s="1516"/>
      <c r="H127" s="1298"/>
      <c r="I127" s="1299"/>
      <c r="J127" s="1298"/>
      <c r="K127" s="1382"/>
      <c r="L127" s="1382"/>
      <c r="M127" s="1613"/>
      <c r="N127" s="1613"/>
      <c r="O127" s="1613"/>
      <c r="P127" s="1613"/>
      <c r="Q127" s="1613"/>
    </row>
    <row r="128" spans="1:17" s="1765" customFormat="1" ht="24" customHeight="1">
      <c r="A128" s="1258"/>
      <c r="B128" s="1538" t="s">
        <v>1118</v>
      </c>
      <c r="C128" s="1437"/>
      <c r="D128" s="1278"/>
      <c r="E128" s="1768"/>
      <c r="F128" s="1296"/>
      <c r="G128" s="1516"/>
      <c r="H128" s="1298"/>
      <c r="I128" s="1299"/>
      <c r="J128" s="1298"/>
      <c r="K128" s="1382"/>
      <c r="L128" s="1382"/>
      <c r="M128" s="1613"/>
      <c r="N128" s="1613"/>
      <c r="O128" s="1613"/>
      <c r="P128" s="1613"/>
      <c r="Q128" s="1613"/>
    </row>
    <row r="129" spans="1:17" s="1765" customFormat="1" ht="24" customHeight="1">
      <c r="A129" s="1578"/>
      <c r="B129" s="2257" t="str">
        <f>"รวมราคารายการที่ "&amp;A117</f>
        <v>รวมราคารายการที่ 7.5</v>
      </c>
      <c r="C129" s="2258"/>
      <c r="D129" s="2259"/>
      <c r="E129" s="1579"/>
      <c r="F129" s="1579"/>
      <c r="G129" s="1580"/>
      <c r="H129" s="1581">
        <f>SUM(H117:H128)</f>
        <v>578600</v>
      </c>
      <c r="I129" s="1582"/>
      <c r="J129" s="1581">
        <f>SUM(J117:J128)</f>
        <v>194111</v>
      </c>
      <c r="K129" s="1581">
        <f>SUM(K117:K128)</f>
        <v>772711</v>
      </c>
      <c r="L129" s="1583"/>
      <c r="M129" s="2019"/>
      <c r="N129" s="2019"/>
      <c r="O129" s="2019"/>
      <c r="P129" s="2019"/>
      <c r="Q129" s="2019"/>
    </row>
    <row r="130" spans="1:17" s="1765" customFormat="1" ht="24" customHeight="1">
      <c r="A130" s="1291">
        <v>7.6</v>
      </c>
      <c r="B130" s="1776" t="s">
        <v>2061</v>
      </c>
      <c r="C130" s="1293"/>
      <c r="D130" s="1294"/>
      <c r="E130" s="1786"/>
      <c r="F130" s="1296"/>
      <c r="G130" s="1357"/>
      <c r="H130" s="1298"/>
      <c r="I130" s="1299"/>
      <c r="J130" s="1298"/>
      <c r="K130" s="1382"/>
      <c r="L130" s="1382"/>
      <c r="M130" s="1613"/>
      <c r="N130" s="1613"/>
      <c r="O130" s="1613"/>
      <c r="P130" s="1613"/>
      <c r="Q130" s="1613"/>
    </row>
    <row r="131" spans="1:17" s="1765" customFormat="1" ht="24" customHeight="1">
      <c r="A131" s="1258" t="s">
        <v>2075</v>
      </c>
      <c r="B131" s="1538" t="s">
        <v>2063</v>
      </c>
      <c r="C131" s="1437"/>
      <c r="D131" s="1275"/>
      <c r="E131" s="1768"/>
      <c r="F131" s="1358"/>
      <c r="G131" s="1516"/>
      <c r="H131" s="1264"/>
      <c r="I131" s="1265"/>
      <c r="J131" s="1264"/>
      <c r="K131" s="1273"/>
      <c r="L131" s="1273"/>
      <c r="M131" s="1613"/>
      <c r="N131" s="1613"/>
      <c r="O131" s="1613"/>
      <c r="P131" s="1613"/>
      <c r="Q131" s="1613"/>
    </row>
    <row r="132" spans="1:17" s="1765" customFormat="1" ht="24" customHeight="1">
      <c r="A132" s="1258"/>
      <c r="B132" s="1538" t="s">
        <v>1448</v>
      </c>
      <c r="C132" s="1437"/>
      <c r="D132" s="1275"/>
      <c r="E132" s="1787">
        <f>E63*2</f>
        <v>0</v>
      </c>
      <c r="F132" s="1788" t="s">
        <v>363</v>
      </c>
      <c r="G132" s="2010">
        <v>880</v>
      </c>
      <c r="H132" s="1773">
        <f t="shared" ref="H132:H136" si="34">ROUND(E132*G132,)</f>
        <v>0</v>
      </c>
      <c r="I132" s="2011">
        <v>150</v>
      </c>
      <c r="J132" s="2008">
        <f t="shared" ref="J132:J136" si="35">ROUND(E132*I132,)</f>
        <v>0</v>
      </c>
      <c r="K132" s="1774">
        <f t="shared" ref="K132:K136" si="36">H132+J132</f>
        <v>0</v>
      </c>
      <c r="L132" s="2082" t="s">
        <v>2667</v>
      </c>
      <c r="M132" s="1613"/>
      <c r="N132" s="1613"/>
      <c r="O132" s="1613"/>
      <c r="P132" s="1613"/>
      <c r="Q132" s="1613"/>
    </row>
    <row r="133" spans="1:17" s="1765" customFormat="1" ht="24" customHeight="1">
      <c r="A133" s="1258"/>
      <c r="B133" s="1538" t="s">
        <v>1337</v>
      </c>
      <c r="C133" s="1437"/>
      <c r="D133" s="1275"/>
      <c r="E133" s="1768"/>
      <c r="F133" s="1358" t="s">
        <v>363</v>
      </c>
      <c r="G133" s="2012">
        <v>1316</v>
      </c>
      <c r="H133" s="1264">
        <f t="shared" si="34"/>
        <v>0</v>
      </c>
      <c r="I133" s="1332">
        <v>200</v>
      </c>
      <c r="J133" s="2013">
        <f t="shared" si="35"/>
        <v>0</v>
      </c>
      <c r="K133" s="1687">
        <f t="shared" si="36"/>
        <v>0</v>
      </c>
      <c r="L133" s="2082" t="s">
        <v>2667</v>
      </c>
      <c r="M133" s="1613"/>
      <c r="N133" s="1613"/>
      <c r="O133" s="1613"/>
      <c r="P133" s="1613"/>
      <c r="Q133" s="1613"/>
    </row>
    <row r="134" spans="1:17" s="1765" customFormat="1" ht="24" customHeight="1">
      <c r="A134" s="1258"/>
      <c r="B134" s="1538" t="s">
        <v>1338</v>
      </c>
      <c r="C134" s="1437"/>
      <c r="D134" s="1275"/>
      <c r="E134" s="1768"/>
      <c r="F134" s="1358" t="s">
        <v>363</v>
      </c>
      <c r="G134" s="2012">
        <v>1984</v>
      </c>
      <c r="H134" s="1264">
        <f t="shared" si="34"/>
        <v>0</v>
      </c>
      <c r="I134" s="1332">
        <v>250</v>
      </c>
      <c r="J134" s="2013">
        <f t="shared" si="35"/>
        <v>0</v>
      </c>
      <c r="K134" s="1687">
        <f t="shared" si="36"/>
        <v>0</v>
      </c>
      <c r="L134" s="2082" t="s">
        <v>2667</v>
      </c>
      <c r="M134" s="1710"/>
      <c r="N134" s="1710"/>
      <c r="O134" s="1710"/>
      <c r="P134" s="1710"/>
      <c r="Q134" s="1710"/>
    </row>
    <row r="135" spans="1:17" s="1765" customFormat="1" ht="24" customHeight="1">
      <c r="A135" s="1258"/>
      <c r="B135" s="1538" t="s">
        <v>1339</v>
      </c>
      <c r="C135" s="1437"/>
      <c r="D135" s="1275"/>
      <c r="E135" s="1768"/>
      <c r="F135" s="1358" t="s">
        <v>363</v>
      </c>
      <c r="G135" s="2012">
        <v>2610</v>
      </c>
      <c r="H135" s="1264">
        <f t="shared" si="34"/>
        <v>0</v>
      </c>
      <c r="I135" s="1332">
        <v>300</v>
      </c>
      <c r="J135" s="2013">
        <f t="shared" si="35"/>
        <v>0</v>
      </c>
      <c r="K135" s="1687">
        <f t="shared" si="36"/>
        <v>0</v>
      </c>
      <c r="L135" s="2082" t="s">
        <v>2667</v>
      </c>
      <c r="M135" s="1613"/>
      <c r="N135" s="1613"/>
      <c r="O135" s="1613"/>
      <c r="P135" s="1613"/>
      <c r="Q135" s="1613"/>
    </row>
    <row r="136" spans="1:17" s="1765" customFormat="1" ht="24" customHeight="1">
      <c r="A136" s="1258"/>
      <c r="B136" s="1538" t="s">
        <v>1340</v>
      </c>
      <c r="C136" s="1437"/>
      <c r="D136" s="1275"/>
      <c r="E136" s="1768"/>
      <c r="F136" s="1358" t="s">
        <v>363</v>
      </c>
      <c r="G136" s="2012">
        <v>4040</v>
      </c>
      <c r="H136" s="1264">
        <f t="shared" si="34"/>
        <v>0</v>
      </c>
      <c r="I136" s="1332">
        <v>400</v>
      </c>
      <c r="J136" s="2013">
        <f t="shared" si="35"/>
        <v>0</v>
      </c>
      <c r="K136" s="1687">
        <f t="shared" si="36"/>
        <v>0</v>
      </c>
      <c r="L136" s="2082" t="s">
        <v>2667</v>
      </c>
      <c r="M136" s="1613"/>
      <c r="N136" s="1613"/>
      <c r="O136" s="1613"/>
      <c r="P136" s="1613"/>
      <c r="Q136" s="1613"/>
    </row>
    <row r="137" spans="1:17" s="1765" customFormat="1" ht="24" customHeight="1">
      <c r="A137" s="1258" t="s">
        <v>2170</v>
      </c>
      <c r="B137" s="1538" t="s">
        <v>2065</v>
      </c>
      <c r="C137" s="1437"/>
      <c r="D137" s="1275"/>
      <c r="E137" s="1768"/>
      <c r="F137" s="1358"/>
      <c r="G137" s="1516"/>
      <c r="H137" s="1264"/>
      <c r="I137" s="1265"/>
      <c r="J137" s="1264"/>
      <c r="K137" s="1273"/>
      <c r="L137" s="1273"/>
      <c r="M137" s="1613"/>
      <c r="N137" s="1613"/>
      <c r="O137" s="1613"/>
      <c r="P137" s="1613"/>
      <c r="Q137" s="1613"/>
    </row>
    <row r="138" spans="1:17" s="1765" customFormat="1" ht="24" customHeight="1">
      <c r="A138" s="1258"/>
      <c r="B138" s="1538" t="s">
        <v>1866</v>
      </c>
      <c r="C138" s="1437"/>
      <c r="D138" s="1275"/>
      <c r="E138" s="1768">
        <v>4</v>
      </c>
      <c r="F138" s="1358" t="s">
        <v>363</v>
      </c>
      <c r="G138" s="1593">
        <v>14327</v>
      </c>
      <c r="H138" s="1264">
        <f t="shared" ref="H138:H139" si="37">ROUND(E138*G138,)</f>
        <v>57308</v>
      </c>
      <c r="I138" s="1265">
        <v>2000</v>
      </c>
      <c r="J138" s="1264">
        <f t="shared" ref="J138:J139" si="38">ROUND(E138*I138,)</f>
        <v>8000</v>
      </c>
      <c r="K138" s="1273">
        <f t="shared" ref="K138:K139" si="39">H138+J138</f>
        <v>65308</v>
      </c>
      <c r="L138" s="1273"/>
      <c r="M138" s="1613"/>
      <c r="N138" s="1613"/>
      <c r="O138" s="1613"/>
      <c r="P138" s="1613"/>
      <c r="Q138" s="1613"/>
    </row>
    <row r="139" spans="1:17" s="1765" customFormat="1" ht="24" customHeight="1">
      <c r="A139" s="1258"/>
      <c r="B139" s="1538" t="s">
        <v>2225</v>
      </c>
      <c r="C139" s="1437"/>
      <c r="D139" s="1275"/>
      <c r="E139" s="1768">
        <v>4</v>
      </c>
      <c r="F139" s="1358" t="s">
        <v>363</v>
      </c>
      <c r="G139" s="1836">
        <v>97650</v>
      </c>
      <c r="H139" s="1343">
        <f t="shared" si="37"/>
        <v>390600</v>
      </c>
      <c r="I139" s="1344">
        <v>3200</v>
      </c>
      <c r="J139" s="1264">
        <f t="shared" si="38"/>
        <v>12800</v>
      </c>
      <c r="K139" s="1273">
        <f t="shared" si="39"/>
        <v>403400</v>
      </c>
      <c r="L139" s="1273"/>
      <c r="M139" s="1613"/>
      <c r="N139" s="1613"/>
      <c r="O139" s="1613"/>
      <c r="P139" s="1613"/>
      <c r="Q139" s="1613"/>
    </row>
    <row r="140" spans="1:17" s="1765" customFormat="1" ht="24" customHeight="1">
      <c r="A140" s="1258" t="s">
        <v>2226</v>
      </c>
      <c r="B140" s="1538" t="s">
        <v>2067</v>
      </c>
      <c r="C140" s="1437"/>
      <c r="D140" s="1275"/>
      <c r="E140" s="1768"/>
      <c r="F140" s="1358"/>
      <c r="G140" s="1836"/>
      <c r="H140" s="1343"/>
      <c r="I140" s="1344"/>
      <c r="J140" s="1264"/>
      <c r="K140" s="1273"/>
      <c r="L140" s="1273"/>
      <c r="M140" s="1613"/>
      <c r="N140" s="1613"/>
      <c r="O140" s="1613"/>
      <c r="P140" s="1613"/>
      <c r="Q140" s="1613"/>
    </row>
    <row r="141" spans="1:17" s="1765" customFormat="1" ht="24" customHeight="1">
      <c r="A141" s="1258"/>
      <c r="B141" s="1538" t="s">
        <v>1866</v>
      </c>
      <c r="C141" s="1437"/>
      <c r="D141" s="1275"/>
      <c r="E141" s="1768">
        <v>4</v>
      </c>
      <c r="F141" s="1358" t="s">
        <v>363</v>
      </c>
      <c r="G141" s="1836">
        <v>34566</v>
      </c>
      <c r="H141" s="1343">
        <f t="shared" ref="H141:H142" si="40">ROUND(E141*G141,)</f>
        <v>138264</v>
      </c>
      <c r="I141" s="1344">
        <v>2000</v>
      </c>
      <c r="J141" s="1264">
        <f t="shared" ref="J141:J142" si="41">ROUND(E141*I141,)</f>
        <v>8000</v>
      </c>
      <c r="K141" s="1273">
        <f t="shared" ref="K141:K142" si="42">H141+J141</f>
        <v>146264</v>
      </c>
      <c r="L141" s="1273"/>
      <c r="M141" s="1613"/>
      <c r="N141" s="1613"/>
      <c r="O141" s="1613"/>
      <c r="P141" s="1613"/>
      <c r="Q141" s="1613"/>
    </row>
    <row r="142" spans="1:17" s="1765" customFormat="1" ht="24" customHeight="1">
      <c r="A142" s="1258"/>
      <c r="B142" s="1538" t="s">
        <v>2225</v>
      </c>
      <c r="C142" s="1437"/>
      <c r="D142" s="1275"/>
      <c r="E142" s="1768">
        <v>4</v>
      </c>
      <c r="F142" s="1358" t="s">
        <v>363</v>
      </c>
      <c r="G142" s="1836">
        <v>141792</v>
      </c>
      <c r="H142" s="1343">
        <f t="shared" si="40"/>
        <v>567168</v>
      </c>
      <c r="I142" s="1344">
        <v>3200</v>
      </c>
      <c r="J142" s="1264">
        <f t="shared" si="41"/>
        <v>12800</v>
      </c>
      <c r="K142" s="1273">
        <f t="shared" si="42"/>
        <v>579968</v>
      </c>
      <c r="L142" s="1273"/>
      <c r="M142" s="1613"/>
      <c r="N142" s="1613"/>
      <c r="O142" s="1613"/>
      <c r="P142" s="1613"/>
      <c r="Q142" s="1613"/>
    </row>
    <row r="143" spans="1:17" s="1765" customFormat="1" ht="24" customHeight="1">
      <c r="A143" s="1258" t="s">
        <v>2227</v>
      </c>
      <c r="B143" s="1538" t="s">
        <v>2069</v>
      </c>
      <c r="C143" s="1437"/>
      <c r="D143" s="1275"/>
      <c r="E143" s="1768"/>
      <c r="F143" s="1358"/>
      <c r="G143" s="1836"/>
      <c r="H143" s="1343"/>
      <c r="I143" s="1344"/>
      <c r="J143" s="1264"/>
      <c r="K143" s="1273"/>
      <c r="L143" s="1273"/>
      <c r="M143" s="1613"/>
      <c r="N143" s="1613"/>
      <c r="O143" s="1613"/>
      <c r="P143" s="1613"/>
      <c r="Q143" s="1613"/>
    </row>
    <row r="144" spans="1:17" s="1765" customFormat="1" ht="24" customHeight="1">
      <c r="A144" s="1258"/>
      <c r="B144" s="1538" t="s">
        <v>1866</v>
      </c>
      <c r="C144" s="1437"/>
      <c r="D144" s="1275"/>
      <c r="E144" s="1768">
        <v>2</v>
      </c>
      <c r="F144" s="1358" t="s">
        <v>363</v>
      </c>
      <c r="G144" s="1836">
        <v>18915</v>
      </c>
      <c r="H144" s="1343">
        <f t="shared" ref="H144:H145" si="43">ROUND(E144*G144,)</f>
        <v>37830</v>
      </c>
      <c r="I144" s="1344">
        <v>2000</v>
      </c>
      <c r="J144" s="1264">
        <f t="shared" ref="J144:J145" si="44">ROUND(E144*I144,)</f>
        <v>4000</v>
      </c>
      <c r="K144" s="1273">
        <f t="shared" ref="K144:K145" si="45">H144+J144</f>
        <v>41830</v>
      </c>
      <c r="L144" s="1273"/>
      <c r="M144" s="1613"/>
      <c r="N144" s="1613"/>
      <c r="O144" s="1613"/>
      <c r="P144" s="1613"/>
      <c r="Q144" s="1613"/>
    </row>
    <row r="145" spans="1:19" s="1765" customFormat="1" ht="24" customHeight="1">
      <c r="A145" s="1258"/>
      <c r="B145" s="1538" t="s">
        <v>2225</v>
      </c>
      <c r="C145" s="1437"/>
      <c r="D145" s="1275"/>
      <c r="E145" s="1768">
        <v>2</v>
      </c>
      <c r="F145" s="1358" t="s">
        <v>363</v>
      </c>
      <c r="G145" s="1836">
        <v>6586</v>
      </c>
      <c r="H145" s="1343">
        <f t="shared" si="43"/>
        <v>13172</v>
      </c>
      <c r="I145" s="1344">
        <v>3200</v>
      </c>
      <c r="J145" s="1264">
        <f t="shared" si="44"/>
        <v>6400</v>
      </c>
      <c r="K145" s="1273">
        <f t="shared" si="45"/>
        <v>19572</v>
      </c>
      <c r="L145" s="1273"/>
      <c r="M145" s="1613"/>
      <c r="N145" s="1613"/>
      <c r="O145" s="1613"/>
      <c r="P145" s="1613"/>
      <c r="Q145" s="1613"/>
    </row>
    <row r="146" spans="1:19" s="1765" customFormat="1" ht="24" customHeight="1">
      <c r="A146" s="1258"/>
      <c r="B146" s="1538" t="s">
        <v>1117</v>
      </c>
      <c r="C146" s="1437"/>
      <c r="D146" s="1275"/>
      <c r="E146" s="1768"/>
      <c r="F146" s="1358"/>
      <c r="G146" s="1593"/>
      <c r="H146" s="1264"/>
      <c r="I146" s="1265"/>
      <c r="J146" s="1264"/>
      <c r="K146" s="1273"/>
      <c r="L146" s="1273"/>
      <c r="M146" s="1613"/>
      <c r="N146" s="1613"/>
      <c r="O146" s="1613"/>
      <c r="P146" s="1613"/>
      <c r="Q146" s="1613"/>
    </row>
    <row r="147" spans="1:19" s="1765" customFormat="1" ht="24" customHeight="1">
      <c r="A147" s="1578"/>
      <c r="B147" s="2257" t="str">
        <f>"รวมราคารายการที่ "&amp;A130</f>
        <v>รวมราคารายการที่ 7.6</v>
      </c>
      <c r="C147" s="2258"/>
      <c r="D147" s="2259"/>
      <c r="E147" s="1579"/>
      <c r="F147" s="1579"/>
      <c r="G147" s="1580"/>
      <c r="H147" s="1581">
        <f>SUM(H131:H146)</f>
        <v>1204342</v>
      </c>
      <c r="I147" s="1582"/>
      <c r="J147" s="1581">
        <f>SUM(J131:J146)</f>
        <v>52000</v>
      </c>
      <c r="K147" s="1581">
        <f>SUM(K131:K146)</f>
        <v>1256342</v>
      </c>
      <c r="L147" s="1583"/>
      <c r="M147" s="2019"/>
      <c r="N147" s="2019"/>
      <c r="O147" s="2019"/>
      <c r="P147" s="2019"/>
      <c r="Q147" s="2019"/>
    </row>
    <row r="148" spans="1:19" s="1765" customFormat="1" ht="24" customHeight="1">
      <c r="A148" s="1291">
        <v>7.7</v>
      </c>
      <c r="B148" s="1776" t="s">
        <v>2074</v>
      </c>
      <c r="C148" s="1293"/>
      <c r="D148" s="1294"/>
      <c r="E148" s="1786"/>
      <c r="F148" s="1794"/>
      <c r="G148" s="1721"/>
      <c r="H148" s="1255"/>
      <c r="I148" s="1256"/>
      <c r="J148" s="1255"/>
      <c r="K148" s="1502"/>
      <c r="L148" s="1502"/>
      <c r="M148" s="1613"/>
      <c r="N148" s="1613"/>
      <c r="O148" s="1613"/>
      <c r="P148" s="1613"/>
      <c r="Q148" s="1613"/>
    </row>
    <row r="149" spans="1:19" s="1765" customFormat="1" ht="24" customHeight="1">
      <c r="A149" s="1258" t="s">
        <v>2084</v>
      </c>
      <c r="B149" s="1538" t="s">
        <v>2171</v>
      </c>
      <c r="C149" s="1437"/>
      <c r="D149" s="1275"/>
      <c r="E149" s="1768"/>
      <c r="F149" s="1768"/>
      <c r="G149" s="1516"/>
      <c r="H149" s="1264"/>
      <c r="I149" s="1265"/>
      <c r="J149" s="1264"/>
      <c r="K149" s="1273"/>
      <c r="L149" s="1273"/>
      <c r="M149" s="1613"/>
      <c r="N149" s="1613"/>
      <c r="O149" s="1613"/>
      <c r="P149" s="1613"/>
      <c r="Q149" s="1613"/>
    </row>
    <row r="150" spans="1:19" s="1765" customFormat="1" ht="24" customHeight="1">
      <c r="A150" s="1258"/>
      <c r="B150" s="1538" t="s">
        <v>2077</v>
      </c>
      <c r="C150" s="1437"/>
      <c r="D150" s="1275"/>
      <c r="E150" s="1261">
        <f>95.6666666666667*1</f>
        <v>95.6666666666667</v>
      </c>
      <c r="F150" s="1358" t="s">
        <v>2078</v>
      </c>
      <c r="G150" s="1516">
        <v>218</v>
      </c>
      <c r="H150" s="1264">
        <f t="shared" ref="H150:H156" si="46">ROUND(E150*G150,)</f>
        <v>20855</v>
      </c>
      <c r="I150" s="1516">
        <f>ROUND(18*10.76,)</f>
        <v>194</v>
      </c>
      <c r="J150" s="1264">
        <f t="shared" ref="J150:J156" si="47">ROUND(E150*I150,)</f>
        <v>18559</v>
      </c>
      <c r="K150" s="1273">
        <f t="shared" ref="K150:K156" si="48">H150+J150</f>
        <v>39414</v>
      </c>
      <c r="L150" s="1632"/>
      <c r="M150" s="1710"/>
      <c r="N150" s="1710"/>
      <c r="O150" s="1710"/>
      <c r="P150" s="1710"/>
      <c r="Q150" s="1710"/>
      <c r="R150" s="1835"/>
      <c r="S150" s="1835"/>
    </row>
    <row r="151" spans="1:19" s="1765" customFormat="1" ht="24" customHeight="1">
      <c r="A151" s="1258"/>
      <c r="B151" s="1538" t="s">
        <v>2079</v>
      </c>
      <c r="C151" s="1437"/>
      <c r="D151" s="1275"/>
      <c r="E151" s="1261">
        <f>75.3333333333333*1</f>
        <v>75.3333333333333</v>
      </c>
      <c r="F151" s="1358" t="s">
        <v>2078</v>
      </c>
      <c r="G151" s="1516">
        <v>263</v>
      </c>
      <c r="H151" s="1264">
        <f t="shared" si="46"/>
        <v>19813</v>
      </c>
      <c r="I151" s="1516">
        <f>ROUND(24*10.76,)</f>
        <v>258</v>
      </c>
      <c r="J151" s="1264">
        <f t="shared" si="47"/>
        <v>19436</v>
      </c>
      <c r="K151" s="1273">
        <f t="shared" si="48"/>
        <v>39249</v>
      </c>
      <c r="L151" s="1632"/>
      <c r="M151" s="1710"/>
      <c r="N151" s="1710"/>
      <c r="O151" s="1710"/>
      <c r="P151" s="1710"/>
      <c r="Q151" s="1710"/>
      <c r="R151" s="1835"/>
      <c r="S151" s="1835"/>
    </row>
    <row r="152" spans="1:19" s="1765" customFormat="1" ht="24" customHeight="1">
      <c r="A152" s="1258"/>
      <c r="B152" s="1538" t="s">
        <v>2080</v>
      </c>
      <c r="C152" s="1437"/>
      <c r="D152" s="1275"/>
      <c r="E152" s="1261">
        <f>489.666666666667*1</f>
        <v>489.66666666666703</v>
      </c>
      <c r="F152" s="1358" t="s">
        <v>2078</v>
      </c>
      <c r="G152" s="1516">
        <v>314</v>
      </c>
      <c r="H152" s="1264">
        <f t="shared" si="46"/>
        <v>153755</v>
      </c>
      <c r="I152" s="1516">
        <f>ROUND(25*10.76,)</f>
        <v>269</v>
      </c>
      <c r="J152" s="1264">
        <f t="shared" si="47"/>
        <v>131720</v>
      </c>
      <c r="K152" s="1273">
        <f t="shared" si="48"/>
        <v>285475</v>
      </c>
      <c r="L152" s="1632"/>
      <c r="M152" s="1710"/>
      <c r="N152" s="1710"/>
      <c r="O152" s="1710"/>
      <c r="P152" s="1710"/>
      <c r="Q152" s="1710"/>
      <c r="R152" s="1835"/>
      <c r="S152" s="1835"/>
    </row>
    <row r="153" spans="1:19" s="1765" customFormat="1" ht="24" customHeight="1">
      <c r="A153" s="1258"/>
      <c r="B153" s="1538" t="s">
        <v>2081</v>
      </c>
      <c r="C153" s="1437"/>
      <c r="D153" s="1275"/>
      <c r="E153" s="1261">
        <f>1523.33333333333*1</f>
        <v>1523.3333333333301</v>
      </c>
      <c r="F153" s="1358" t="s">
        <v>2078</v>
      </c>
      <c r="G153" s="1516">
        <v>381</v>
      </c>
      <c r="H153" s="1264">
        <f t="shared" si="46"/>
        <v>580390</v>
      </c>
      <c r="I153" s="1516">
        <f>ROUND(30*10.76,)</f>
        <v>323</v>
      </c>
      <c r="J153" s="1264">
        <f t="shared" si="47"/>
        <v>492037</v>
      </c>
      <c r="K153" s="1273">
        <f t="shared" si="48"/>
        <v>1072427</v>
      </c>
      <c r="L153" s="1632"/>
      <c r="M153" s="1710"/>
      <c r="N153" s="1710"/>
      <c r="O153" s="1710"/>
      <c r="P153" s="1710"/>
      <c r="Q153" s="1710"/>
      <c r="R153" s="1835"/>
      <c r="S153" s="1835"/>
    </row>
    <row r="154" spans="1:19" s="1765" customFormat="1" ht="24" customHeight="1">
      <c r="A154" s="1258"/>
      <c r="B154" s="1538" t="s">
        <v>2082</v>
      </c>
      <c r="C154" s="1437"/>
      <c r="D154" s="1275"/>
      <c r="E154" s="1261">
        <f>821.666666666667*1</f>
        <v>821.66666666666697</v>
      </c>
      <c r="F154" s="1358" t="s">
        <v>2078</v>
      </c>
      <c r="G154" s="1516">
        <v>443</v>
      </c>
      <c r="H154" s="1264">
        <f t="shared" si="46"/>
        <v>363998</v>
      </c>
      <c r="I154" s="1516">
        <f>ROUND(35*10.76,)</f>
        <v>377</v>
      </c>
      <c r="J154" s="1264">
        <f t="shared" si="47"/>
        <v>309768</v>
      </c>
      <c r="K154" s="1273">
        <f t="shared" si="48"/>
        <v>673766</v>
      </c>
      <c r="L154" s="1632"/>
      <c r="M154" s="1710"/>
      <c r="N154" s="1710"/>
      <c r="O154" s="1710"/>
      <c r="P154" s="1710"/>
      <c r="Q154" s="1710"/>
      <c r="R154" s="1835"/>
      <c r="S154" s="1835"/>
    </row>
    <row r="155" spans="1:19" s="1765" customFormat="1" ht="24" customHeight="1">
      <c r="A155" s="1258"/>
      <c r="B155" s="1538" t="s">
        <v>1719</v>
      </c>
      <c r="C155" s="1437"/>
      <c r="D155" s="1275"/>
      <c r="E155" s="1801">
        <v>1</v>
      </c>
      <c r="F155" s="1358" t="s">
        <v>1104</v>
      </c>
      <c r="G155" s="1516">
        <f>ROUND(SUM(H150:H154)*30%,)</f>
        <v>341643</v>
      </c>
      <c r="H155" s="1264">
        <f t="shared" si="46"/>
        <v>341643</v>
      </c>
      <c r="I155" s="1265">
        <f>ROUND(G155*0.3,)</f>
        <v>102493</v>
      </c>
      <c r="J155" s="1264">
        <f t="shared" si="47"/>
        <v>102493</v>
      </c>
      <c r="K155" s="1273">
        <f t="shared" si="48"/>
        <v>444136</v>
      </c>
      <c r="L155" s="1632"/>
      <c r="M155" s="1710"/>
      <c r="N155" s="1710"/>
      <c r="O155" s="1710"/>
      <c r="P155" s="1710"/>
      <c r="Q155" s="1710"/>
      <c r="R155" s="1835"/>
      <c r="S155" s="1835"/>
    </row>
    <row r="156" spans="1:19" s="1765" customFormat="1" ht="24" customHeight="1">
      <c r="A156" s="1258"/>
      <c r="B156" s="1538" t="s">
        <v>1720</v>
      </c>
      <c r="C156" s="1437"/>
      <c r="D156" s="1275"/>
      <c r="E156" s="1801">
        <v>1</v>
      </c>
      <c r="F156" s="1768" t="s">
        <v>1104</v>
      </c>
      <c r="G156" s="1516">
        <f>ROUND(SUM(H150:H154)*20%,)</f>
        <v>227762</v>
      </c>
      <c r="H156" s="1264">
        <f t="shared" si="46"/>
        <v>227762</v>
      </c>
      <c r="I156" s="1265">
        <f>ROUND(G156*0.3,)</f>
        <v>68329</v>
      </c>
      <c r="J156" s="1264">
        <f t="shared" si="47"/>
        <v>68329</v>
      </c>
      <c r="K156" s="1273">
        <f t="shared" si="48"/>
        <v>296091</v>
      </c>
      <c r="L156" s="1632"/>
      <c r="M156" s="1710"/>
      <c r="N156" s="1710"/>
      <c r="O156" s="1710"/>
      <c r="P156" s="1710"/>
      <c r="Q156" s="1710"/>
      <c r="R156" s="1835"/>
      <c r="S156" s="1835"/>
    </row>
    <row r="157" spans="1:19" s="1765" customFormat="1" ht="24" customHeight="1">
      <c r="A157" s="1449"/>
      <c r="B157" s="1538" t="s">
        <v>1117</v>
      </c>
      <c r="C157" s="1437"/>
      <c r="D157" s="1275"/>
      <c r="E157" s="1768"/>
      <c r="F157" s="1358"/>
      <c r="G157" s="1516"/>
      <c r="H157" s="1264"/>
      <c r="I157" s="1265"/>
      <c r="J157" s="1264"/>
      <c r="K157" s="1273"/>
      <c r="L157" s="1273"/>
      <c r="M157" s="1613"/>
      <c r="N157" s="1613"/>
      <c r="O157" s="1613"/>
      <c r="P157" s="1613"/>
      <c r="Q157" s="1613"/>
    </row>
    <row r="158" spans="1:19" s="1765" customFormat="1" ht="24" customHeight="1">
      <c r="A158" s="1449"/>
      <c r="B158" s="1538"/>
      <c r="C158" s="1437"/>
      <c r="D158" s="1275"/>
      <c r="E158" s="1768"/>
      <c r="F158" s="1358"/>
      <c r="G158" s="1516"/>
      <c r="H158" s="1264"/>
      <c r="I158" s="1265"/>
      <c r="J158" s="1264"/>
      <c r="K158" s="1273"/>
      <c r="L158" s="1273"/>
      <c r="M158" s="1613"/>
      <c r="N158" s="1613"/>
      <c r="O158" s="1613"/>
      <c r="P158" s="1613"/>
      <c r="Q158" s="1613"/>
    </row>
    <row r="159" spans="1:19" s="1765" customFormat="1" ht="24" customHeight="1">
      <c r="A159" s="1578"/>
      <c r="B159" s="2257" t="str">
        <f>"รวมราคารายการที่ "&amp;A148</f>
        <v>รวมราคารายการที่ 7.7</v>
      </c>
      <c r="C159" s="2258"/>
      <c r="D159" s="2259"/>
      <c r="E159" s="1579"/>
      <c r="F159" s="1579"/>
      <c r="G159" s="1580"/>
      <c r="H159" s="1581">
        <f>SUM(H149:H158)</f>
        <v>1708216</v>
      </c>
      <c r="I159" s="1582"/>
      <c r="J159" s="1581">
        <f>SUM(J149:J158)</f>
        <v>1142342</v>
      </c>
      <c r="K159" s="1583">
        <f>SUM(K149:K158)</f>
        <v>2850558</v>
      </c>
      <c r="L159" s="1583"/>
      <c r="M159" s="2019"/>
      <c r="N159" s="2019"/>
      <c r="O159" s="2019"/>
      <c r="P159" s="2019"/>
      <c r="Q159" s="2019"/>
    </row>
    <row r="160" spans="1:19" s="1765" customFormat="1" ht="24" customHeight="1">
      <c r="A160" s="1291">
        <v>7.8</v>
      </c>
      <c r="B160" s="1776" t="s">
        <v>2092</v>
      </c>
      <c r="C160" s="1293"/>
      <c r="D160" s="1294"/>
      <c r="E160" s="1786"/>
      <c r="F160" s="1296"/>
      <c r="G160" s="1357"/>
      <c r="H160" s="1298"/>
      <c r="I160" s="1299"/>
      <c r="J160" s="1298"/>
      <c r="K160" s="1382"/>
      <c r="L160" s="1382"/>
      <c r="M160" s="1613"/>
      <c r="N160" s="1613"/>
      <c r="O160" s="1613"/>
      <c r="P160" s="1613"/>
      <c r="Q160" s="1613"/>
    </row>
    <row r="161" spans="1:17" s="1765" customFormat="1" ht="24" customHeight="1">
      <c r="A161" s="1258" t="s">
        <v>2093</v>
      </c>
      <c r="B161" s="1538" t="s">
        <v>2172</v>
      </c>
      <c r="C161" s="1437"/>
      <c r="D161" s="1275"/>
      <c r="E161" s="1768"/>
      <c r="F161" s="1358"/>
      <c r="G161" s="1516"/>
      <c r="H161" s="1264"/>
      <c r="I161" s="1265"/>
      <c r="J161" s="1264"/>
      <c r="K161" s="1273"/>
      <c r="L161" s="1273"/>
      <c r="M161" s="1613"/>
      <c r="N161" s="1613"/>
      <c r="O161" s="1613"/>
      <c r="P161" s="1613"/>
      <c r="Q161" s="1613"/>
    </row>
    <row r="162" spans="1:17" s="1765" customFormat="1" ht="24" customHeight="1">
      <c r="A162" s="1258"/>
      <c r="B162" s="1538" t="s">
        <v>2228</v>
      </c>
      <c r="C162" s="1437"/>
      <c r="D162" s="1275"/>
      <c r="E162" s="1768">
        <v>1</v>
      </c>
      <c r="F162" s="1358" t="s">
        <v>363</v>
      </c>
      <c r="G162" s="1516">
        <v>1600</v>
      </c>
      <c r="H162" s="1264">
        <f t="shared" ref="H162:H169" si="49">ROUND(E162*G162,)</f>
        <v>1600</v>
      </c>
      <c r="I162" s="1265">
        <v>200</v>
      </c>
      <c r="J162" s="1264">
        <f t="shared" ref="J162:J169" si="50">ROUND(E162*I162,)</f>
        <v>200</v>
      </c>
      <c r="K162" s="1273">
        <f t="shared" ref="K162:K169" si="51">H162+J162</f>
        <v>1800</v>
      </c>
      <c r="L162" s="1837"/>
      <c r="M162" s="2022"/>
      <c r="N162" s="2022"/>
      <c r="O162" s="2022"/>
      <c r="P162" s="2022"/>
      <c r="Q162" s="2022"/>
    </row>
    <row r="163" spans="1:17" s="1765" customFormat="1" ht="24" customHeight="1">
      <c r="A163" s="1258"/>
      <c r="B163" s="1538" t="s">
        <v>2229</v>
      </c>
      <c r="C163" s="1437"/>
      <c r="D163" s="1275"/>
      <c r="E163" s="1768">
        <v>1</v>
      </c>
      <c r="F163" s="1358" t="s">
        <v>363</v>
      </c>
      <c r="G163" s="1516">
        <v>2400</v>
      </c>
      <c r="H163" s="1264">
        <f t="shared" si="49"/>
        <v>2400</v>
      </c>
      <c r="I163" s="1265">
        <v>200</v>
      </c>
      <c r="J163" s="1264">
        <f t="shared" si="50"/>
        <v>200</v>
      </c>
      <c r="K163" s="1273">
        <f t="shared" si="51"/>
        <v>2600</v>
      </c>
      <c r="L163" s="1273"/>
      <c r="M163" s="1613"/>
      <c r="N163" s="1613"/>
      <c r="O163" s="1613"/>
      <c r="P163" s="1613"/>
      <c r="Q163" s="1613"/>
    </row>
    <row r="164" spans="1:17" s="1765" customFormat="1" ht="24" customHeight="1">
      <c r="A164" s="1258"/>
      <c r="B164" s="1538" t="s">
        <v>2230</v>
      </c>
      <c r="C164" s="1437"/>
      <c r="D164" s="1275"/>
      <c r="E164" s="1768">
        <v>22</v>
      </c>
      <c r="F164" s="1358" t="s">
        <v>363</v>
      </c>
      <c r="G164" s="1516">
        <v>3200</v>
      </c>
      <c r="H164" s="1264">
        <f t="shared" si="49"/>
        <v>70400</v>
      </c>
      <c r="I164" s="1265">
        <v>200</v>
      </c>
      <c r="J164" s="1264">
        <f t="shared" si="50"/>
        <v>4400</v>
      </c>
      <c r="K164" s="1273">
        <f t="shared" si="51"/>
        <v>74800</v>
      </c>
      <c r="L164" s="1837"/>
      <c r="M164" s="2022"/>
      <c r="N164" s="2022"/>
      <c r="O164" s="2022"/>
      <c r="P164" s="2022"/>
      <c r="Q164" s="2022"/>
    </row>
    <row r="165" spans="1:17" s="1765" customFormat="1" ht="24" customHeight="1">
      <c r="A165" s="1258"/>
      <c r="B165" s="1538" t="s">
        <v>2231</v>
      </c>
      <c r="C165" s="1437"/>
      <c r="D165" s="1275"/>
      <c r="E165" s="1768">
        <v>3</v>
      </c>
      <c r="F165" s="1358" t="s">
        <v>363</v>
      </c>
      <c r="G165" s="1516">
        <v>5980</v>
      </c>
      <c r="H165" s="1264">
        <f t="shared" si="49"/>
        <v>17940</v>
      </c>
      <c r="I165" s="1265">
        <v>200</v>
      </c>
      <c r="J165" s="1264">
        <f t="shared" si="50"/>
        <v>600</v>
      </c>
      <c r="K165" s="1273">
        <f t="shared" si="51"/>
        <v>18540</v>
      </c>
      <c r="L165" s="1837"/>
      <c r="M165" s="2022"/>
      <c r="N165" s="2022"/>
      <c r="O165" s="2022"/>
      <c r="P165" s="2022"/>
      <c r="Q165" s="2022"/>
    </row>
    <row r="166" spans="1:17" s="1765" customFormat="1" ht="24" customHeight="1">
      <c r="A166" s="1258"/>
      <c r="B166" s="1538" t="s">
        <v>2173</v>
      </c>
      <c r="C166" s="1437"/>
      <c r="D166" s="1275"/>
      <c r="E166" s="1768">
        <v>16</v>
      </c>
      <c r="F166" s="1358" t="s">
        <v>363</v>
      </c>
      <c r="G166" s="1516">
        <v>3800</v>
      </c>
      <c r="H166" s="1264">
        <f t="shared" si="49"/>
        <v>60800</v>
      </c>
      <c r="I166" s="1265">
        <v>200</v>
      </c>
      <c r="J166" s="1264">
        <f t="shared" si="50"/>
        <v>3200</v>
      </c>
      <c r="K166" s="1273">
        <f t="shared" si="51"/>
        <v>64000</v>
      </c>
      <c r="L166" s="1273"/>
      <c r="M166" s="1613"/>
      <c r="N166" s="1613"/>
      <c r="O166" s="1613"/>
      <c r="P166" s="1613"/>
      <c r="Q166" s="1613"/>
    </row>
    <row r="167" spans="1:17" s="1765" customFormat="1" ht="24" customHeight="1">
      <c r="A167" s="1258" t="s">
        <v>2096</v>
      </c>
      <c r="B167" s="1538" t="s">
        <v>2094</v>
      </c>
      <c r="C167" s="1437"/>
      <c r="D167" s="1275"/>
      <c r="E167" s="1768"/>
      <c r="F167" s="1358"/>
      <c r="G167" s="1516"/>
      <c r="H167" s="1264">
        <f t="shared" si="49"/>
        <v>0</v>
      </c>
      <c r="I167" s="1265">
        <v>100</v>
      </c>
      <c r="J167" s="1264">
        <f t="shared" si="50"/>
        <v>0</v>
      </c>
      <c r="K167" s="1273">
        <f t="shared" si="51"/>
        <v>0</v>
      </c>
      <c r="L167" s="1837"/>
      <c r="M167" s="2022"/>
      <c r="N167" s="2022"/>
      <c r="O167" s="2022"/>
      <c r="P167" s="2022"/>
      <c r="Q167" s="2022"/>
    </row>
    <row r="168" spans="1:17" s="1765" customFormat="1" ht="24" customHeight="1">
      <c r="A168" s="1258"/>
      <c r="B168" s="1538" t="s">
        <v>2232</v>
      </c>
      <c r="C168" s="1437"/>
      <c r="D168" s="1275"/>
      <c r="E168" s="1768">
        <v>4</v>
      </c>
      <c r="F168" s="1358" t="s">
        <v>363</v>
      </c>
      <c r="G168" s="1516">
        <v>600</v>
      </c>
      <c r="H168" s="1264">
        <f t="shared" si="49"/>
        <v>2400</v>
      </c>
      <c r="I168" s="1265">
        <v>100</v>
      </c>
      <c r="J168" s="1264">
        <f t="shared" si="50"/>
        <v>400</v>
      </c>
      <c r="K168" s="1273">
        <f t="shared" si="51"/>
        <v>2800</v>
      </c>
      <c r="L168" s="1273"/>
      <c r="M168" s="1613"/>
      <c r="N168" s="1613"/>
      <c r="O168" s="1613"/>
      <c r="P168" s="1613"/>
      <c r="Q168" s="1613"/>
    </row>
    <row r="169" spans="1:17" s="1765" customFormat="1" ht="24" customHeight="1">
      <c r="A169" s="1258"/>
      <c r="B169" s="1538" t="s">
        <v>2233</v>
      </c>
      <c r="C169" s="1437"/>
      <c r="D169" s="1275"/>
      <c r="E169" s="1768">
        <v>1</v>
      </c>
      <c r="F169" s="1358" t="s">
        <v>363</v>
      </c>
      <c r="G169" s="1516">
        <v>1550</v>
      </c>
      <c r="H169" s="1264">
        <f t="shared" si="49"/>
        <v>1550</v>
      </c>
      <c r="I169" s="1265">
        <v>100</v>
      </c>
      <c r="J169" s="1264">
        <f t="shared" si="50"/>
        <v>100</v>
      </c>
      <c r="K169" s="1273">
        <f t="shared" si="51"/>
        <v>1650</v>
      </c>
      <c r="L169" s="1273"/>
      <c r="M169" s="1613"/>
      <c r="N169" s="1613"/>
      <c r="O169" s="1613"/>
      <c r="P169" s="1613"/>
      <c r="Q169" s="1613"/>
    </row>
    <row r="170" spans="1:17" s="1765" customFormat="1" ht="24" customHeight="1">
      <c r="A170" s="1258" t="s">
        <v>2099</v>
      </c>
      <c r="B170" s="1538" t="s">
        <v>2097</v>
      </c>
      <c r="C170" s="1437"/>
      <c r="D170" s="1275"/>
      <c r="E170" s="1768"/>
      <c r="F170" s="1358"/>
      <c r="G170" s="1516"/>
      <c r="H170" s="1264"/>
      <c r="I170" s="1265"/>
      <c r="J170" s="1264"/>
      <c r="K170" s="1273"/>
      <c r="L170" s="1837"/>
      <c r="M170" s="2022"/>
      <c r="N170" s="2022"/>
      <c r="O170" s="2022"/>
      <c r="P170" s="2022"/>
      <c r="Q170" s="2022"/>
    </row>
    <row r="171" spans="1:17" s="1765" customFormat="1" ht="24" customHeight="1">
      <c r="A171" s="1258"/>
      <c r="B171" s="1538" t="s">
        <v>2175</v>
      </c>
      <c r="C171" s="1437"/>
      <c r="D171" s="1275"/>
      <c r="E171" s="1768">
        <v>2</v>
      </c>
      <c r="F171" s="1358" t="s">
        <v>363</v>
      </c>
      <c r="G171" s="1516">
        <v>500</v>
      </c>
      <c r="H171" s="1264">
        <f t="shared" ref="H171:H174" si="52">ROUND(E171*G171,)</f>
        <v>1000</v>
      </c>
      <c r="I171" s="1265">
        <v>100</v>
      </c>
      <c r="J171" s="1264">
        <f t="shared" ref="J171:J174" si="53">ROUND(E171*I171,)</f>
        <v>200</v>
      </c>
      <c r="K171" s="1273">
        <f t="shared" ref="K171:K174" si="54">H171+J171</f>
        <v>1200</v>
      </c>
      <c r="L171" s="1273"/>
      <c r="M171" s="1613"/>
      <c r="N171" s="1613"/>
      <c r="O171" s="1613"/>
      <c r="P171" s="1613"/>
      <c r="Q171" s="1613"/>
    </row>
    <row r="172" spans="1:17" s="1765" customFormat="1" ht="24" customHeight="1">
      <c r="A172" s="1258"/>
      <c r="B172" s="1538" t="s">
        <v>2176</v>
      </c>
      <c r="C172" s="1437"/>
      <c r="D172" s="1275"/>
      <c r="E172" s="1768">
        <v>2</v>
      </c>
      <c r="F172" s="1358" t="s">
        <v>363</v>
      </c>
      <c r="G172" s="1516">
        <v>500</v>
      </c>
      <c r="H172" s="1264">
        <f t="shared" si="52"/>
        <v>1000</v>
      </c>
      <c r="I172" s="1265">
        <v>100</v>
      </c>
      <c r="J172" s="1264">
        <f t="shared" si="53"/>
        <v>200</v>
      </c>
      <c r="K172" s="1273">
        <f t="shared" si="54"/>
        <v>1200</v>
      </c>
      <c r="L172" s="1273"/>
      <c r="M172" s="1613"/>
      <c r="N172" s="1613"/>
      <c r="O172" s="1613"/>
      <c r="P172" s="1613"/>
      <c r="Q172" s="1613"/>
    </row>
    <row r="173" spans="1:17" s="1765" customFormat="1" ht="24" customHeight="1">
      <c r="A173" s="1258"/>
      <c r="B173" s="1538" t="s">
        <v>2098</v>
      </c>
      <c r="C173" s="1437"/>
      <c r="D173" s="1275"/>
      <c r="E173" s="1768">
        <v>4</v>
      </c>
      <c r="F173" s="1358" t="s">
        <v>363</v>
      </c>
      <c r="G173" s="1516">
        <v>600</v>
      </c>
      <c r="H173" s="1264">
        <f t="shared" si="52"/>
        <v>2400</v>
      </c>
      <c r="I173" s="1265">
        <v>100</v>
      </c>
      <c r="J173" s="1264">
        <f t="shared" si="53"/>
        <v>400</v>
      </c>
      <c r="K173" s="1273">
        <f t="shared" si="54"/>
        <v>2800</v>
      </c>
      <c r="L173" s="1273"/>
      <c r="M173" s="1613"/>
      <c r="N173" s="1613"/>
      <c r="O173" s="1613"/>
      <c r="P173" s="1613"/>
      <c r="Q173" s="1613"/>
    </row>
    <row r="174" spans="1:17" s="1765" customFormat="1" ht="24" customHeight="1">
      <c r="A174" s="1258"/>
      <c r="B174" s="1538" t="s">
        <v>2234</v>
      </c>
      <c r="C174" s="1437"/>
      <c r="D174" s="1275"/>
      <c r="E174" s="1768">
        <v>1</v>
      </c>
      <c r="F174" s="1358" t="s">
        <v>363</v>
      </c>
      <c r="G174" s="1516">
        <v>1400</v>
      </c>
      <c r="H174" s="1264">
        <f t="shared" si="52"/>
        <v>1400</v>
      </c>
      <c r="I174" s="1265">
        <v>100</v>
      </c>
      <c r="J174" s="1264">
        <f t="shared" si="53"/>
        <v>100</v>
      </c>
      <c r="K174" s="1273">
        <f t="shared" si="54"/>
        <v>1500</v>
      </c>
      <c r="L174" s="1273"/>
      <c r="M174" s="1613"/>
      <c r="N174" s="1613"/>
      <c r="O174" s="1613"/>
      <c r="P174" s="1613"/>
      <c r="Q174" s="1613"/>
    </row>
    <row r="175" spans="1:17" s="1765" customFormat="1" ht="24" customHeight="1">
      <c r="A175" s="1258"/>
      <c r="B175" s="1538" t="s">
        <v>1117</v>
      </c>
      <c r="C175" s="1437"/>
      <c r="D175" s="1275"/>
      <c r="E175" s="1768"/>
      <c r="F175" s="1358"/>
      <c r="G175" s="1516"/>
      <c r="H175" s="1264"/>
      <c r="I175" s="1265"/>
      <c r="J175" s="1264"/>
      <c r="K175" s="1273"/>
      <c r="L175" s="1273"/>
      <c r="M175" s="1613"/>
      <c r="N175" s="1613"/>
      <c r="O175" s="1613"/>
      <c r="P175" s="1613"/>
      <c r="Q175" s="1613"/>
    </row>
    <row r="176" spans="1:17" s="1765" customFormat="1" ht="24" customHeight="1">
      <c r="A176" s="1258"/>
      <c r="B176" s="1538" t="s">
        <v>1118</v>
      </c>
      <c r="C176" s="1437"/>
      <c r="D176" s="1275"/>
      <c r="E176" s="1768"/>
      <c r="F176" s="1358"/>
      <c r="G176" s="1516"/>
      <c r="H176" s="1264"/>
      <c r="I176" s="1265"/>
      <c r="J176" s="1264"/>
      <c r="K176" s="1273"/>
      <c r="L176" s="1273"/>
      <c r="M176" s="1613"/>
      <c r="N176" s="1613"/>
      <c r="O176" s="1613"/>
      <c r="P176" s="1613"/>
      <c r="Q176" s="1613"/>
    </row>
    <row r="177" spans="1:22" s="1765" customFormat="1" ht="24" customHeight="1">
      <c r="A177" s="1258"/>
      <c r="B177" s="1538" t="s">
        <v>1118</v>
      </c>
      <c r="C177" s="1437"/>
      <c r="D177" s="1275"/>
      <c r="E177" s="1768"/>
      <c r="F177" s="1358"/>
      <c r="G177" s="1516"/>
      <c r="H177" s="1264"/>
      <c r="I177" s="1265"/>
      <c r="J177" s="1264"/>
      <c r="K177" s="1273"/>
      <c r="L177" s="1273"/>
      <c r="M177" s="1613"/>
      <c r="N177" s="1613"/>
      <c r="O177" s="1613"/>
      <c r="P177" s="1613"/>
      <c r="Q177" s="1613"/>
    </row>
    <row r="178" spans="1:22" s="1765" customFormat="1" ht="24" customHeight="1">
      <c r="A178" s="1578"/>
      <c r="B178" s="2257" t="str">
        <f>"รวมราคารายการที่ "&amp;A160</f>
        <v>รวมราคารายการที่ 7.8</v>
      </c>
      <c r="C178" s="2258"/>
      <c r="D178" s="2259"/>
      <c r="E178" s="1579"/>
      <c r="F178" s="1579"/>
      <c r="G178" s="1580"/>
      <c r="H178" s="1581">
        <f>SUM(H161:H177)</f>
        <v>162890</v>
      </c>
      <c r="I178" s="1582"/>
      <c r="J178" s="1581">
        <f>SUM(J161:J177)</f>
        <v>10000</v>
      </c>
      <c r="K178" s="1583">
        <f>SUM(K161:K177)</f>
        <v>172890</v>
      </c>
      <c r="L178" s="1583"/>
      <c r="M178" s="2019"/>
      <c r="N178" s="2019"/>
      <c r="O178" s="2019"/>
      <c r="P178" s="2019"/>
      <c r="Q178" s="2019"/>
    </row>
    <row r="179" spans="1:22" s="1765" customFormat="1" ht="24" customHeight="1">
      <c r="A179" s="1291">
        <v>7.9</v>
      </c>
      <c r="B179" s="1776" t="s">
        <v>2177</v>
      </c>
      <c r="C179" s="1293"/>
      <c r="D179" s="1294"/>
      <c r="E179" s="1786"/>
      <c r="F179" s="1296"/>
      <c r="G179" s="1357"/>
      <c r="H179" s="1298"/>
      <c r="I179" s="1299"/>
      <c r="J179" s="1298"/>
      <c r="K179" s="1382"/>
      <c r="L179" s="1382"/>
      <c r="M179" s="1613"/>
      <c r="N179" s="1613"/>
      <c r="O179" s="1613"/>
      <c r="P179" s="1613"/>
      <c r="Q179" s="1613"/>
    </row>
    <row r="180" spans="1:22" s="1765" customFormat="1" ht="24" customHeight="1" thickBot="1">
      <c r="A180" s="1258" t="s">
        <v>2110</v>
      </c>
      <c r="B180" s="1538" t="s">
        <v>2178</v>
      </c>
      <c r="C180" s="1437"/>
      <c r="D180" s="1275"/>
      <c r="E180" s="1768"/>
      <c r="F180" s="1358"/>
      <c r="G180" s="1516"/>
      <c r="H180" s="1264"/>
      <c r="I180" s="1265"/>
      <c r="J180" s="1264"/>
      <c r="K180" s="1273"/>
      <c r="L180" s="1273"/>
      <c r="M180" s="1613"/>
      <c r="N180" s="1613"/>
      <c r="O180" s="1613"/>
      <c r="P180" s="1613"/>
      <c r="Q180" s="1613"/>
      <c r="S180" s="1838" t="s">
        <v>2235</v>
      </c>
      <c r="T180" s="1838" t="s">
        <v>2236</v>
      </c>
      <c r="U180" s="1838" t="s">
        <v>2237</v>
      </c>
      <c r="V180" s="1838" t="s">
        <v>2238</v>
      </c>
    </row>
    <row r="181" spans="1:22" s="1765" customFormat="1" ht="24" customHeight="1" thickTop="1">
      <c r="A181" s="1258"/>
      <c r="B181" s="1538" t="s">
        <v>2239</v>
      </c>
      <c r="C181" s="1437"/>
      <c r="D181" s="1275"/>
      <c r="E181" s="1768">
        <v>1</v>
      </c>
      <c r="F181" s="1358" t="s">
        <v>363</v>
      </c>
      <c r="G181" s="1515">
        <v>400000</v>
      </c>
      <c r="H181" s="820">
        <f t="shared" ref="H181:H184" si="55">ROUND(E181*G181,)</f>
        <v>400000</v>
      </c>
      <c r="I181" s="1515">
        <f>G181*0.1</f>
        <v>40000</v>
      </c>
      <c r="J181" s="820">
        <f t="shared" ref="J181:J184" si="56">ROUND(E181*I181,)</f>
        <v>40000</v>
      </c>
      <c r="K181" s="1457">
        <f t="shared" ref="K181:K184" si="57">H181+J181</f>
        <v>440000</v>
      </c>
      <c r="L181" s="1273"/>
      <c r="M181" s="1613"/>
      <c r="N181" s="1613"/>
      <c r="O181" s="1613"/>
      <c r="P181" s="1613"/>
      <c r="Q181" s="1613"/>
      <c r="S181" s="1819"/>
      <c r="T181" s="1819"/>
      <c r="U181" s="1819"/>
      <c r="V181" s="1819"/>
    </row>
    <row r="182" spans="1:22" s="1765" customFormat="1" ht="24" customHeight="1">
      <c r="A182" s="1258"/>
      <c r="B182" s="1538" t="s">
        <v>2240</v>
      </c>
      <c r="C182" s="1437"/>
      <c r="D182" s="1275"/>
      <c r="E182" s="1768">
        <v>1</v>
      </c>
      <c r="F182" s="1358" t="s">
        <v>363</v>
      </c>
      <c r="G182" s="1515">
        <v>317000</v>
      </c>
      <c r="H182" s="820">
        <f t="shared" si="55"/>
        <v>317000</v>
      </c>
      <c r="I182" s="1515">
        <f>G182*0.1</f>
        <v>31700</v>
      </c>
      <c r="J182" s="820">
        <f t="shared" si="56"/>
        <v>31700</v>
      </c>
      <c r="K182" s="1457">
        <f t="shared" si="57"/>
        <v>348700</v>
      </c>
      <c r="L182" s="1273"/>
      <c r="M182" s="1613"/>
      <c r="N182" s="1613"/>
      <c r="O182" s="1613"/>
      <c r="P182" s="1613"/>
      <c r="Q182" s="1613"/>
      <c r="S182" s="1819"/>
      <c r="T182" s="1819"/>
      <c r="U182" s="1819"/>
      <c r="V182" s="1819"/>
    </row>
    <row r="183" spans="1:22" s="1765" customFormat="1" ht="24" customHeight="1">
      <c r="A183" s="1258"/>
      <c r="B183" s="1538" t="s">
        <v>2241</v>
      </c>
      <c r="C183" s="1437"/>
      <c r="D183" s="1275"/>
      <c r="E183" s="1768">
        <v>1</v>
      </c>
      <c r="F183" s="1358" t="s">
        <v>363</v>
      </c>
      <c r="G183" s="1515">
        <v>162000</v>
      </c>
      <c r="H183" s="820">
        <f t="shared" si="55"/>
        <v>162000</v>
      </c>
      <c r="I183" s="1515">
        <f>G183*0.1</f>
        <v>16200</v>
      </c>
      <c r="J183" s="820">
        <f t="shared" si="56"/>
        <v>16200</v>
      </c>
      <c r="K183" s="1457">
        <f t="shared" si="57"/>
        <v>178200</v>
      </c>
      <c r="L183" s="1273"/>
      <c r="M183" s="1613"/>
      <c r="N183" s="1613"/>
      <c r="O183" s="1613"/>
      <c r="P183" s="1613"/>
      <c r="Q183" s="1613"/>
      <c r="S183" s="1819"/>
      <c r="T183" s="1819"/>
      <c r="U183" s="1819"/>
      <c r="V183" s="1819"/>
    </row>
    <row r="184" spans="1:22" s="1765" customFormat="1" ht="24" customHeight="1">
      <c r="A184" s="1258"/>
      <c r="B184" s="1538" t="s">
        <v>2242</v>
      </c>
      <c r="C184" s="1437"/>
      <c r="D184" s="1275"/>
      <c r="E184" s="1768">
        <v>1</v>
      </c>
      <c r="F184" s="1358" t="s">
        <v>363</v>
      </c>
      <c r="G184" s="1515">
        <v>83000</v>
      </c>
      <c r="H184" s="820">
        <f t="shared" si="55"/>
        <v>83000</v>
      </c>
      <c r="I184" s="1515">
        <f>G184*0.1</f>
        <v>8300</v>
      </c>
      <c r="J184" s="820">
        <f t="shared" si="56"/>
        <v>8300</v>
      </c>
      <c r="K184" s="1457">
        <f t="shared" si="57"/>
        <v>91300</v>
      </c>
      <c r="L184" s="1273"/>
      <c r="M184" s="1613"/>
      <c r="N184" s="1613"/>
      <c r="O184" s="1613"/>
      <c r="P184" s="1613"/>
      <c r="Q184" s="1613"/>
      <c r="S184" s="1819"/>
      <c r="T184" s="1819"/>
      <c r="U184" s="1819"/>
      <c r="V184" s="1819"/>
    </row>
    <row r="185" spans="1:22" s="1765" customFormat="1" ht="24" customHeight="1">
      <c r="A185" s="1258" t="s">
        <v>2112</v>
      </c>
      <c r="B185" s="1538" t="s">
        <v>1331</v>
      </c>
      <c r="C185" s="1437"/>
      <c r="D185" s="1275"/>
      <c r="E185" s="1768"/>
      <c r="F185" s="1358"/>
      <c r="G185" s="1516"/>
      <c r="H185" s="1264"/>
      <c r="I185" s="1265"/>
      <c r="J185" s="1264"/>
      <c r="K185" s="1273"/>
      <c r="L185" s="1273"/>
      <c r="M185" s="1613"/>
      <c r="N185" s="1613"/>
      <c r="O185" s="1613"/>
      <c r="P185" s="1613"/>
      <c r="Q185" s="1613"/>
      <c r="S185" s="1819"/>
      <c r="T185" s="1819"/>
      <c r="U185" s="1819"/>
      <c r="V185" s="1819"/>
    </row>
    <row r="186" spans="1:22" s="1765" customFormat="1" ht="24" customHeight="1">
      <c r="A186" s="1258"/>
      <c r="B186" s="1538" t="s">
        <v>1811</v>
      </c>
      <c r="C186" s="1437"/>
      <c r="D186" s="1275"/>
      <c r="E186" s="1768">
        <v>1440</v>
      </c>
      <c r="F186" s="1358" t="s">
        <v>226</v>
      </c>
      <c r="G186" s="1516">
        <v>41</v>
      </c>
      <c r="H186" s="1413">
        <f t="shared" ref="H186:H191" si="58">ROUND(E186*G186,)</f>
        <v>59040</v>
      </c>
      <c r="I186" s="1265">
        <v>12</v>
      </c>
      <c r="J186" s="1413">
        <f t="shared" ref="J186:J191" si="59">ROUND(E186*I186,)</f>
        <v>17280</v>
      </c>
      <c r="K186" s="1415">
        <f t="shared" ref="K186:K191" si="60">H186+J186</f>
        <v>76320</v>
      </c>
      <c r="L186" s="1273"/>
      <c r="M186" s="1613"/>
      <c r="N186" s="1613"/>
      <c r="O186" s="1613"/>
      <c r="P186" s="1613"/>
      <c r="Q186" s="1613"/>
      <c r="R186" s="1765">
        <f>SUM(S186:V186)</f>
        <v>1440</v>
      </c>
      <c r="S186" s="1819">
        <f>300</f>
        <v>300</v>
      </c>
      <c r="T186" s="1819">
        <f>180</f>
        <v>180</v>
      </c>
      <c r="U186" s="1819">
        <f>660</f>
        <v>660</v>
      </c>
      <c r="V186" s="1819">
        <f>300</f>
        <v>300</v>
      </c>
    </row>
    <row r="187" spans="1:22" s="1765" customFormat="1" ht="24" customHeight="1">
      <c r="A187" s="1258"/>
      <c r="B187" s="1538" t="s">
        <v>1316</v>
      </c>
      <c r="C187" s="1437"/>
      <c r="D187" s="1275"/>
      <c r="E187" s="1768"/>
      <c r="F187" s="1358" t="s">
        <v>226</v>
      </c>
      <c r="G187" s="1516">
        <v>50</v>
      </c>
      <c r="H187" s="1264">
        <f t="shared" si="58"/>
        <v>0</v>
      </c>
      <c r="I187" s="1265">
        <v>14</v>
      </c>
      <c r="J187" s="1264">
        <f t="shared" si="59"/>
        <v>0</v>
      </c>
      <c r="K187" s="1273">
        <f t="shared" si="60"/>
        <v>0</v>
      </c>
      <c r="L187" s="1273"/>
      <c r="M187" s="1613"/>
      <c r="N187" s="1613"/>
      <c r="O187" s="1613"/>
      <c r="P187" s="1613"/>
      <c r="Q187" s="1613"/>
      <c r="S187" s="1819"/>
      <c r="T187" s="1819"/>
      <c r="U187" s="1819"/>
      <c r="V187" s="1819"/>
    </row>
    <row r="188" spans="1:22" s="1765" customFormat="1" ht="24" customHeight="1">
      <c r="A188" s="1258"/>
      <c r="B188" s="1538" t="s">
        <v>1317</v>
      </c>
      <c r="C188" s="1437"/>
      <c r="D188" s="1275"/>
      <c r="E188" s="1768"/>
      <c r="F188" s="1358" t="s">
        <v>226</v>
      </c>
      <c r="G188" s="1516">
        <v>58</v>
      </c>
      <c r="H188" s="1264">
        <f t="shared" si="58"/>
        <v>0</v>
      </c>
      <c r="I188" s="1265">
        <v>16</v>
      </c>
      <c r="J188" s="1264">
        <f t="shared" si="59"/>
        <v>0</v>
      </c>
      <c r="K188" s="1273">
        <f t="shared" si="60"/>
        <v>0</v>
      </c>
      <c r="L188" s="1273"/>
      <c r="M188" s="1613"/>
      <c r="N188" s="1613"/>
      <c r="O188" s="1613"/>
      <c r="P188" s="1613"/>
      <c r="Q188" s="1613"/>
      <c r="S188" s="1819"/>
      <c r="T188" s="1819"/>
      <c r="U188" s="1819"/>
      <c r="V188" s="1819"/>
    </row>
    <row r="189" spans="1:22" s="1765" customFormat="1" ht="24" customHeight="1">
      <c r="A189" s="1258"/>
      <c r="B189" s="1538" t="s">
        <v>1318</v>
      </c>
      <c r="C189" s="1437"/>
      <c r="D189" s="1275"/>
      <c r="E189" s="1768">
        <v>30</v>
      </c>
      <c r="F189" s="1358" t="s">
        <v>226</v>
      </c>
      <c r="G189" s="1516">
        <v>85</v>
      </c>
      <c r="H189" s="1264">
        <f t="shared" si="58"/>
        <v>2550</v>
      </c>
      <c r="I189" s="1265">
        <v>25</v>
      </c>
      <c r="J189" s="1264">
        <f t="shared" si="59"/>
        <v>750</v>
      </c>
      <c r="K189" s="1273">
        <f t="shared" si="60"/>
        <v>3300</v>
      </c>
      <c r="L189" s="1273"/>
      <c r="M189" s="1613"/>
      <c r="N189" s="1613"/>
      <c r="O189" s="1613"/>
      <c r="P189" s="1613"/>
      <c r="Q189" s="1613"/>
      <c r="R189" s="1765">
        <f>SUM(S189:V189)</f>
        <v>30</v>
      </c>
      <c r="S189" s="1819"/>
      <c r="T189" s="1819">
        <f>30</f>
        <v>30</v>
      </c>
      <c r="U189" s="1819"/>
      <c r="V189" s="1819"/>
    </row>
    <row r="190" spans="1:22" s="1765" customFormat="1" ht="24" customHeight="1">
      <c r="A190" s="1258"/>
      <c r="B190" s="1538" t="s">
        <v>1319</v>
      </c>
      <c r="C190" s="1437"/>
      <c r="D190" s="1275"/>
      <c r="E190" s="1768">
        <v>255</v>
      </c>
      <c r="F190" s="1358" t="s">
        <v>226</v>
      </c>
      <c r="G190" s="1516">
        <v>112</v>
      </c>
      <c r="H190" s="1264">
        <f t="shared" si="58"/>
        <v>28560</v>
      </c>
      <c r="I190" s="1265">
        <v>30</v>
      </c>
      <c r="J190" s="1264">
        <f t="shared" si="59"/>
        <v>7650</v>
      </c>
      <c r="K190" s="1273">
        <f t="shared" si="60"/>
        <v>36210</v>
      </c>
      <c r="L190" s="1273"/>
      <c r="M190" s="1613"/>
      <c r="N190" s="1613"/>
      <c r="O190" s="1613"/>
      <c r="P190" s="1613"/>
      <c r="Q190" s="1613"/>
      <c r="R190" s="1765">
        <f>SUM(S190:V190)</f>
        <v>255</v>
      </c>
      <c r="S190" s="1819">
        <f>15+135</f>
        <v>150</v>
      </c>
      <c r="T190" s="1819">
        <f>15+90</f>
        <v>105</v>
      </c>
      <c r="U190" s="1819"/>
      <c r="V190" s="1819"/>
    </row>
    <row r="191" spans="1:22" s="1765" customFormat="1" ht="24" customHeight="1">
      <c r="A191" s="1258"/>
      <c r="B191" s="1538" t="s">
        <v>1320</v>
      </c>
      <c r="C191" s="1437"/>
      <c r="D191" s="1275"/>
      <c r="E191" s="1768">
        <v>90</v>
      </c>
      <c r="F191" s="1358" t="s">
        <v>226</v>
      </c>
      <c r="G191" s="1516">
        <v>165</v>
      </c>
      <c r="H191" s="1264">
        <f t="shared" si="58"/>
        <v>14850</v>
      </c>
      <c r="I191" s="1265">
        <v>35</v>
      </c>
      <c r="J191" s="1264">
        <f t="shared" si="59"/>
        <v>3150</v>
      </c>
      <c r="K191" s="1273">
        <f t="shared" si="60"/>
        <v>18000</v>
      </c>
      <c r="L191" s="1273"/>
      <c r="M191" s="1613"/>
      <c r="N191" s="1613"/>
      <c r="O191" s="1613"/>
      <c r="P191" s="1613"/>
      <c r="Q191" s="1613"/>
      <c r="R191" s="1765">
        <f>SUM(S191:V191)</f>
        <v>90</v>
      </c>
      <c r="S191" s="1819">
        <f>45</f>
        <v>45</v>
      </c>
      <c r="T191" s="1819">
        <f>45</f>
        <v>45</v>
      </c>
      <c r="U191" s="1819"/>
      <c r="V191" s="1819"/>
    </row>
    <row r="192" spans="1:22" s="1765" customFormat="1" ht="24" customHeight="1">
      <c r="A192" s="1258" t="s">
        <v>2114</v>
      </c>
      <c r="B192" s="1538" t="s">
        <v>1110</v>
      </c>
      <c r="C192" s="1437"/>
      <c r="D192" s="1275"/>
      <c r="E192" s="1768"/>
      <c r="F192" s="1358"/>
      <c r="G192" s="1516"/>
      <c r="H192" s="1264"/>
      <c r="I192" s="1265"/>
      <c r="J192" s="1264"/>
      <c r="K192" s="1273"/>
      <c r="L192" s="1273"/>
      <c r="M192" s="1613"/>
      <c r="N192" s="1613"/>
      <c r="O192" s="1613"/>
      <c r="P192" s="1613"/>
      <c r="Q192" s="1613"/>
      <c r="S192" s="1819"/>
      <c r="T192" s="1819"/>
      <c r="U192" s="1819"/>
      <c r="V192" s="1819"/>
    </row>
    <row r="193" spans="1:22" s="1765" customFormat="1" ht="24" customHeight="1">
      <c r="A193" s="1258"/>
      <c r="B193" s="1538" t="s">
        <v>1350</v>
      </c>
      <c r="C193" s="1437"/>
      <c r="D193" s="1275"/>
      <c r="E193" s="1768"/>
      <c r="F193" s="1358" t="s">
        <v>226</v>
      </c>
      <c r="G193" s="1515">
        <v>56</v>
      </c>
      <c r="H193" s="1264">
        <f t="shared" ref="H193:H199" si="61">ROUND(E193*G193,)</f>
        <v>0</v>
      </c>
      <c r="I193" s="1344">
        <v>26</v>
      </c>
      <c r="J193" s="1413">
        <f t="shared" ref="J193:J199" si="62">ROUND(E193*I193,)</f>
        <v>0</v>
      </c>
      <c r="K193" s="1415">
        <f t="shared" ref="K193:K199" si="63">H193+J193</f>
        <v>0</v>
      </c>
      <c r="L193" s="2082" t="s">
        <v>2667</v>
      </c>
      <c r="M193" s="2002"/>
      <c r="N193" s="1765">
        <v>169.2</v>
      </c>
      <c r="O193" s="1765">
        <f t="shared" ref="O193:O198" si="64">ROUND(N193/3,)</f>
        <v>56</v>
      </c>
      <c r="P193" s="1613"/>
      <c r="Q193" s="1613"/>
      <c r="S193" s="1819"/>
      <c r="T193" s="1819"/>
      <c r="U193" s="1819"/>
      <c r="V193" s="1819"/>
    </row>
    <row r="194" spans="1:22" s="1765" customFormat="1" ht="24" customHeight="1">
      <c r="A194" s="1258"/>
      <c r="B194" s="1538" t="s">
        <v>1448</v>
      </c>
      <c r="C194" s="1437"/>
      <c r="D194" s="1275"/>
      <c r="E194" s="1768">
        <v>360</v>
      </c>
      <c r="F194" s="1358" t="s">
        <v>226</v>
      </c>
      <c r="G194" s="1515">
        <v>75</v>
      </c>
      <c r="H194" s="1264">
        <f t="shared" si="61"/>
        <v>27000</v>
      </c>
      <c r="I194" s="1344">
        <v>28</v>
      </c>
      <c r="J194" s="1413">
        <f t="shared" si="62"/>
        <v>10080</v>
      </c>
      <c r="K194" s="1415">
        <f t="shared" si="63"/>
        <v>37080</v>
      </c>
      <c r="L194" s="2082" t="s">
        <v>2667</v>
      </c>
      <c r="M194" s="2002"/>
      <c r="N194" s="1765">
        <v>225</v>
      </c>
      <c r="O194" s="1765">
        <f t="shared" si="64"/>
        <v>75</v>
      </c>
      <c r="P194" s="1613"/>
      <c r="Q194" s="1613"/>
      <c r="R194" s="1765">
        <f>SUM(S194:V194)</f>
        <v>360</v>
      </c>
      <c r="S194" s="1819">
        <f>75</f>
        <v>75</v>
      </c>
      <c r="T194" s="1819">
        <f>45</f>
        <v>45</v>
      </c>
      <c r="U194" s="1819">
        <f>165</f>
        <v>165</v>
      </c>
      <c r="V194" s="1819">
        <f>75</f>
        <v>75</v>
      </c>
    </row>
    <row r="195" spans="1:22" s="1765" customFormat="1" ht="24" customHeight="1">
      <c r="A195" s="1258"/>
      <c r="B195" s="1538" t="s">
        <v>1337</v>
      </c>
      <c r="C195" s="1437"/>
      <c r="D195" s="1275"/>
      <c r="E195" s="1768"/>
      <c r="F195" s="1358" t="s">
        <v>226</v>
      </c>
      <c r="G195" s="1271">
        <v>101</v>
      </c>
      <c r="H195" s="1264">
        <f t="shared" si="61"/>
        <v>0</v>
      </c>
      <c r="I195" s="1272">
        <v>32</v>
      </c>
      <c r="J195" s="1264">
        <f t="shared" si="62"/>
        <v>0</v>
      </c>
      <c r="K195" s="1273">
        <f t="shared" si="63"/>
        <v>0</v>
      </c>
      <c r="L195" s="2082" t="s">
        <v>2667</v>
      </c>
      <c r="M195" s="2002"/>
      <c r="N195" s="1765">
        <v>303.60000000000002</v>
      </c>
      <c r="O195" s="1765">
        <f t="shared" si="64"/>
        <v>101</v>
      </c>
      <c r="P195" s="1613"/>
      <c r="Q195" s="1613"/>
      <c r="S195" s="1819"/>
      <c r="T195" s="1819"/>
      <c r="U195" s="1819"/>
      <c r="V195" s="1819"/>
    </row>
    <row r="196" spans="1:22" s="1765" customFormat="1" ht="24" customHeight="1">
      <c r="A196" s="1258"/>
      <c r="B196" s="1538" t="s">
        <v>1338</v>
      </c>
      <c r="C196" s="1437"/>
      <c r="D196" s="1275"/>
      <c r="E196" s="1768"/>
      <c r="F196" s="1358" t="s">
        <v>226</v>
      </c>
      <c r="G196" s="1271">
        <v>131</v>
      </c>
      <c r="H196" s="1264">
        <f t="shared" si="61"/>
        <v>0</v>
      </c>
      <c r="I196" s="1272">
        <v>38</v>
      </c>
      <c r="J196" s="1264">
        <f t="shared" si="62"/>
        <v>0</v>
      </c>
      <c r="K196" s="1273">
        <f t="shared" si="63"/>
        <v>0</v>
      </c>
      <c r="L196" s="2082" t="s">
        <v>2667</v>
      </c>
      <c r="M196" s="2002"/>
      <c r="N196" s="1765">
        <v>391.8</v>
      </c>
      <c r="O196" s="1765">
        <f t="shared" si="64"/>
        <v>131</v>
      </c>
      <c r="P196" s="1613"/>
      <c r="Q196" s="1613"/>
      <c r="S196" s="1819"/>
      <c r="T196" s="1819"/>
      <c r="U196" s="1819"/>
      <c r="V196" s="1819"/>
    </row>
    <row r="197" spans="1:22" s="1765" customFormat="1" ht="24" customHeight="1">
      <c r="A197" s="1258"/>
      <c r="B197" s="1538" t="s">
        <v>1339</v>
      </c>
      <c r="C197" s="1437"/>
      <c r="D197" s="1275"/>
      <c r="E197" s="1768">
        <v>105</v>
      </c>
      <c r="F197" s="1358" t="s">
        <v>226</v>
      </c>
      <c r="G197" s="1271">
        <v>160</v>
      </c>
      <c r="H197" s="1264">
        <f t="shared" si="61"/>
        <v>16800</v>
      </c>
      <c r="I197" s="1272">
        <v>42</v>
      </c>
      <c r="J197" s="1264">
        <f t="shared" si="62"/>
        <v>4410</v>
      </c>
      <c r="K197" s="1273">
        <f t="shared" si="63"/>
        <v>21210</v>
      </c>
      <c r="L197" s="2082" t="s">
        <v>2667</v>
      </c>
      <c r="M197" s="2002"/>
      <c r="N197" s="1765">
        <v>481.2</v>
      </c>
      <c r="O197" s="1765">
        <f t="shared" si="64"/>
        <v>160</v>
      </c>
      <c r="P197" s="1613"/>
      <c r="Q197" s="1613"/>
      <c r="R197" s="1765">
        <f>SUM(S197:V197)</f>
        <v>105</v>
      </c>
      <c r="S197" s="1819">
        <f>60</f>
        <v>60</v>
      </c>
      <c r="T197" s="1819">
        <f>45</f>
        <v>45</v>
      </c>
      <c r="U197" s="1819"/>
      <c r="V197" s="1819"/>
    </row>
    <row r="198" spans="1:22" s="1765" customFormat="1" ht="24" customHeight="1">
      <c r="A198" s="1258"/>
      <c r="B198" s="1538" t="s">
        <v>1340</v>
      </c>
      <c r="C198" s="1437"/>
      <c r="D198" s="1275"/>
      <c r="E198" s="1768"/>
      <c r="F198" s="1358" t="s">
        <v>226</v>
      </c>
      <c r="G198" s="1271">
        <v>219</v>
      </c>
      <c r="H198" s="1264">
        <f t="shared" si="61"/>
        <v>0</v>
      </c>
      <c r="I198" s="1272">
        <v>48</v>
      </c>
      <c r="J198" s="1264">
        <f t="shared" si="62"/>
        <v>0</v>
      </c>
      <c r="K198" s="1273">
        <f t="shared" si="63"/>
        <v>0</v>
      </c>
      <c r="L198" s="2082" t="s">
        <v>2667</v>
      </c>
      <c r="M198" s="2002"/>
      <c r="N198" s="1765">
        <v>657.6</v>
      </c>
      <c r="O198" s="1765">
        <f t="shared" si="64"/>
        <v>219</v>
      </c>
      <c r="P198" s="1613"/>
      <c r="Q198" s="1613"/>
      <c r="S198" s="1819"/>
      <c r="T198" s="1819"/>
      <c r="U198" s="1819"/>
      <c r="V198" s="1819"/>
    </row>
    <row r="199" spans="1:22" s="1765" customFormat="1" ht="24" customHeight="1">
      <c r="A199" s="1258"/>
      <c r="B199" s="1538" t="s">
        <v>1384</v>
      </c>
      <c r="C199" s="1437"/>
      <c r="D199" s="1275"/>
      <c r="E199" s="1768">
        <v>1</v>
      </c>
      <c r="F199" s="1358" t="s">
        <v>1104</v>
      </c>
      <c r="G199" s="1516">
        <f>SUM(H193:H198)*15%</f>
        <v>6570</v>
      </c>
      <c r="H199" s="1264">
        <f t="shared" si="61"/>
        <v>6570</v>
      </c>
      <c r="I199" s="1265">
        <f>G199*0.3</f>
        <v>1971</v>
      </c>
      <c r="J199" s="1264">
        <f t="shared" si="62"/>
        <v>1971</v>
      </c>
      <c r="K199" s="1273">
        <f t="shared" si="63"/>
        <v>8541</v>
      </c>
      <c r="L199" s="1273"/>
      <c r="M199" s="1613"/>
      <c r="N199" s="1613"/>
      <c r="O199" s="1613"/>
      <c r="P199" s="1613"/>
      <c r="Q199" s="1613"/>
      <c r="S199" s="1819"/>
      <c r="T199" s="1819"/>
      <c r="U199" s="1819"/>
      <c r="V199" s="1819"/>
    </row>
    <row r="200" spans="1:22" s="1765" customFormat="1" ht="24" customHeight="1">
      <c r="A200" s="1258"/>
      <c r="B200" s="1538" t="s">
        <v>1117</v>
      </c>
      <c r="C200" s="1437"/>
      <c r="D200" s="1275"/>
      <c r="E200" s="1768"/>
      <c r="F200" s="1358"/>
      <c r="G200" s="1516"/>
      <c r="H200" s="1264"/>
      <c r="I200" s="1265"/>
      <c r="J200" s="1264"/>
      <c r="K200" s="1273"/>
      <c r="L200" s="1273"/>
      <c r="M200" s="1613"/>
      <c r="N200" s="1613"/>
      <c r="O200" s="1613"/>
      <c r="P200" s="1613"/>
      <c r="Q200" s="1613"/>
      <c r="S200" s="1819"/>
      <c r="T200" s="1819"/>
      <c r="U200" s="1819"/>
      <c r="V200" s="1819"/>
    </row>
    <row r="201" spans="1:22" s="1765" customFormat="1" ht="24" customHeight="1">
      <c r="A201" s="1258"/>
      <c r="B201" s="1538" t="s">
        <v>1118</v>
      </c>
      <c r="C201" s="1437"/>
      <c r="D201" s="1275"/>
      <c r="E201" s="1768"/>
      <c r="F201" s="1358"/>
      <c r="G201" s="1516"/>
      <c r="H201" s="1264"/>
      <c r="I201" s="1265"/>
      <c r="J201" s="1264"/>
      <c r="K201" s="1273"/>
      <c r="L201" s="1273"/>
      <c r="M201" s="1613"/>
      <c r="N201" s="1613"/>
      <c r="O201" s="1613"/>
      <c r="P201" s="1613"/>
      <c r="Q201" s="1613"/>
      <c r="S201" s="1819"/>
      <c r="T201" s="1819"/>
      <c r="U201" s="1819"/>
      <c r="V201" s="1819"/>
    </row>
    <row r="202" spans="1:22" s="1765" customFormat="1" ht="24" customHeight="1">
      <c r="A202" s="1578"/>
      <c r="B202" s="2257" t="str">
        <f>"รวมราคารายการที่ "&amp;A179</f>
        <v>รวมราคารายการที่ 7.9</v>
      </c>
      <c r="C202" s="2258"/>
      <c r="D202" s="2259"/>
      <c r="E202" s="1579"/>
      <c r="F202" s="1579"/>
      <c r="G202" s="1580"/>
      <c r="H202" s="1581">
        <f>SUM(H180:H201)</f>
        <v>1117370</v>
      </c>
      <c r="I202" s="1582"/>
      <c r="J202" s="1581">
        <f>SUM(J180:J201)</f>
        <v>141491</v>
      </c>
      <c r="K202" s="1581">
        <f>SUM(K180:K201)</f>
        <v>1258861</v>
      </c>
      <c r="L202" s="1583"/>
      <c r="M202" s="2019"/>
      <c r="N202" s="2019"/>
      <c r="O202" s="2019"/>
      <c r="P202" s="2019"/>
      <c r="Q202" s="2019"/>
      <c r="S202" s="1839"/>
      <c r="T202" s="1839"/>
      <c r="U202" s="1839"/>
      <c r="V202" s="1839"/>
    </row>
    <row r="203" spans="1:22" s="1765" customFormat="1" ht="24" customHeight="1">
      <c r="A203" s="1291" t="s">
        <v>2130</v>
      </c>
      <c r="B203" s="1776" t="s">
        <v>2182</v>
      </c>
      <c r="C203" s="1293"/>
      <c r="D203" s="1294"/>
      <c r="E203" s="1786"/>
      <c r="F203" s="1296"/>
      <c r="G203" s="1357"/>
      <c r="H203" s="1298"/>
      <c r="I203" s="1299"/>
      <c r="J203" s="1264"/>
      <c r="K203" s="1382"/>
      <c r="L203" s="1382"/>
      <c r="M203" s="1613"/>
      <c r="N203" s="1613"/>
      <c r="O203" s="1613"/>
      <c r="P203" s="1613"/>
      <c r="Q203" s="1613"/>
    </row>
    <row r="204" spans="1:22" s="1765" customFormat="1" ht="24" customHeight="1">
      <c r="A204" s="1258"/>
      <c r="B204" s="1797" t="s">
        <v>2243</v>
      </c>
      <c r="C204" s="1437"/>
      <c r="D204" s="1278"/>
      <c r="E204" s="1768">
        <v>2</v>
      </c>
      <c r="F204" s="1296" t="s">
        <v>363</v>
      </c>
      <c r="G204" s="1821" t="s">
        <v>2244</v>
      </c>
      <c r="H204" s="1298"/>
      <c r="I204" s="1299"/>
      <c r="J204" s="1298"/>
      <c r="K204" s="1382"/>
      <c r="L204" s="1382"/>
      <c r="M204" s="1613"/>
      <c r="N204" s="1613"/>
      <c r="O204" s="1613"/>
      <c r="P204" s="1613"/>
      <c r="Q204" s="1613"/>
    </row>
    <row r="205" spans="1:22" s="1765" customFormat="1" ht="24" customHeight="1">
      <c r="A205" s="1258"/>
      <c r="B205" s="1797" t="s">
        <v>1118</v>
      </c>
      <c r="C205" s="1437"/>
      <c r="D205" s="1278"/>
      <c r="E205" s="1768"/>
      <c r="F205" s="1296" t="s">
        <v>363</v>
      </c>
      <c r="G205" s="1516"/>
      <c r="H205" s="1298"/>
      <c r="I205" s="1299"/>
      <c r="J205" s="1298"/>
      <c r="K205" s="1382"/>
      <c r="L205" s="1382"/>
      <c r="M205" s="1613"/>
      <c r="N205" s="1613"/>
      <c r="O205" s="1613"/>
      <c r="P205" s="1613"/>
      <c r="Q205" s="1613"/>
    </row>
    <row r="206" spans="1:22" s="1765" customFormat="1" ht="24" customHeight="1">
      <c r="A206" s="1258"/>
      <c r="B206" s="1797" t="s">
        <v>1118</v>
      </c>
      <c r="C206" s="1437"/>
      <c r="D206" s="1278"/>
      <c r="E206" s="1768"/>
      <c r="F206" s="1296" t="s">
        <v>363</v>
      </c>
      <c r="G206" s="1516"/>
      <c r="H206" s="1298"/>
      <c r="I206" s="1299"/>
      <c r="J206" s="1298"/>
      <c r="K206" s="1382"/>
      <c r="L206" s="1382"/>
      <c r="M206" s="1613"/>
      <c r="N206" s="1613"/>
      <c r="O206" s="1613"/>
      <c r="P206" s="1613"/>
      <c r="Q206" s="1613"/>
    </row>
    <row r="207" spans="1:22" s="1765" customFormat="1" ht="24" customHeight="1">
      <c r="A207" s="1258"/>
      <c r="B207" s="1797" t="s">
        <v>1118</v>
      </c>
      <c r="C207" s="1437"/>
      <c r="D207" s="1278"/>
      <c r="E207" s="1768"/>
      <c r="F207" s="1296" t="s">
        <v>363</v>
      </c>
      <c r="G207" s="1516"/>
      <c r="H207" s="1298"/>
      <c r="I207" s="1299"/>
      <c r="J207" s="1298"/>
      <c r="K207" s="1382"/>
      <c r="L207" s="1382"/>
      <c r="M207" s="1613"/>
      <c r="N207" s="1613"/>
      <c r="O207" s="1613"/>
      <c r="P207" s="1613"/>
      <c r="Q207" s="1613"/>
    </row>
    <row r="208" spans="1:22" s="1765" customFormat="1" ht="24" customHeight="1">
      <c r="A208" s="1258"/>
      <c r="B208" s="1797" t="s">
        <v>1117</v>
      </c>
      <c r="C208" s="1437"/>
      <c r="D208" s="1278"/>
      <c r="E208" s="1768"/>
      <c r="F208" s="1296"/>
      <c r="G208" s="1516"/>
      <c r="H208" s="1298"/>
      <c r="I208" s="1299"/>
      <c r="J208" s="1298"/>
      <c r="K208" s="1382"/>
      <c r="L208" s="1382"/>
      <c r="M208" s="1613"/>
      <c r="N208" s="1613"/>
      <c r="O208" s="1613"/>
      <c r="P208" s="1613"/>
      <c r="Q208" s="1613"/>
    </row>
    <row r="209" spans="1:17" s="1765" customFormat="1" ht="24" customHeight="1">
      <c r="A209" s="1578"/>
      <c r="B209" s="2257" t="str">
        <f>"รวมราคารายการที่ "&amp;A203</f>
        <v>รวมราคารายการที่ 7.10</v>
      </c>
      <c r="C209" s="2258"/>
      <c r="D209" s="2259"/>
      <c r="E209" s="1579"/>
      <c r="F209" s="1579"/>
      <c r="G209" s="1580"/>
      <c r="H209" s="1581">
        <f>SUM(H203:H208)</f>
        <v>0</v>
      </c>
      <c r="I209" s="1582"/>
      <c r="J209" s="1581">
        <f>SUM(J203:J208)</f>
        <v>0</v>
      </c>
      <c r="K209" s="1583">
        <f>SUM(K203:K208)</f>
        <v>0</v>
      </c>
      <c r="L209" s="1583"/>
      <c r="M209" s="2019"/>
      <c r="N209" s="2019"/>
      <c r="O209" s="2019"/>
      <c r="P209" s="2019"/>
      <c r="Q209" s="2019"/>
    </row>
    <row r="210" spans="1:17" s="1199" customFormat="1" ht="22.15" customHeight="1">
      <c r="A210" s="1427"/>
    </row>
    <row r="211" spans="1:17" s="1199" customFormat="1" ht="22.15" customHeight="1">
      <c r="A211" s="1427"/>
    </row>
    <row r="212" spans="1:17" s="1199" customFormat="1" ht="22.15" customHeight="1">
      <c r="A212" s="1427"/>
    </row>
    <row r="213" spans="1:17" s="1199" customFormat="1" ht="22.15" customHeight="1">
      <c r="A213" s="1427"/>
    </row>
    <row r="214" spans="1:17" s="1199" customFormat="1" ht="22.15" customHeight="1">
      <c r="A214" s="1427"/>
    </row>
    <row r="215" spans="1:17" s="1199" customFormat="1" ht="22.15" customHeight="1">
      <c r="A215" s="1427"/>
    </row>
    <row r="216" spans="1:17" s="1199" customFormat="1" ht="22.15" customHeight="1">
      <c r="A216" s="1427"/>
    </row>
    <row r="217" spans="1:17" s="1199" customFormat="1" ht="22.15" customHeight="1">
      <c r="A217" s="1427"/>
    </row>
    <row r="218" spans="1:17" s="1199" customFormat="1" ht="22.15" customHeight="1">
      <c r="A218" s="1427"/>
    </row>
    <row r="219" spans="1:17" s="1199" customFormat="1" ht="22.15" customHeight="1">
      <c r="A219" s="1427"/>
    </row>
    <row r="220" spans="1:17" s="1199" customFormat="1" ht="22.15" customHeight="1">
      <c r="A220" s="1427"/>
    </row>
    <row r="221" spans="1:17" s="1199" customFormat="1" ht="21.3">
      <c r="A221" s="1427"/>
    </row>
    <row r="222" spans="1:17" s="1199" customFormat="1" ht="21.3">
      <c r="A222" s="1427"/>
    </row>
    <row r="223" spans="1:17" s="1199" customFormat="1" ht="21.3">
      <c r="A223" s="1427"/>
    </row>
    <row r="224" spans="1:17" s="1199" customFormat="1" ht="21.3">
      <c r="A224" s="1427"/>
    </row>
    <row r="225" spans="1:17" s="1199" customFormat="1" ht="21.3">
      <c r="A225" s="1427"/>
    </row>
    <row r="226" spans="1:17" s="1199" customFormat="1" ht="21.3">
      <c r="A226" s="1427"/>
    </row>
    <row r="227" spans="1:17" s="1199" customFormat="1" ht="21.3">
      <c r="A227" s="1427"/>
    </row>
    <row r="228" spans="1:17" s="1199" customFormat="1" ht="21.3">
      <c r="A228" s="1427"/>
    </row>
    <row r="229" spans="1:17" s="1199" customFormat="1" ht="21.3">
      <c r="A229" s="1427"/>
    </row>
    <row r="230" spans="1:17" s="1199" customFormat="1" ht="21.3">
      <c r="A230" s="1427"/>
    </row>
    <row r="231" spans="1:17" s="1199" customFormat="1" ht="21.3">
      <c r="A231" s="1427"/>
    </row>
    <row r="232" spans="1:17" s="1199" customFormat="1" ht="21.3">
      <c r="A232" s="1427"/>
    </row>
    <row r="233" spans="1:17" s="1199" customFormat="1" ht="21.3">
      <c r="A233" s="1427"/>
    </row>
    <row r="234" spans="1:17" s="1199" customFormat="1" ht="21.3">
      <c r="A234" s="1427"/>
    </row>
    <row r="235" spans="1:17">
      <c r="A235" s="1427"/>
      <c r="B235" s="1199"/>
      <c r="C235" s="1199"/>
      <c r="D235" s="1199"/>
      <c r="E235" s="1199"/>
      <c r="F235" s="1199"/>
      <c r="G235" s="1199"/>
      <c r="H235" s="1199"/>
      <c r="I235" s="1199"/>
      <c r="J235" s="1199"/>
      <c r="K235" s="1199"/>
      <c r="L235" s="1199"/>
      <c r="M235" s="1199"/>
      <c r="N235" s="1199"/>
      <c r="O235" s="1199"/>
      <c r="P235" s="1199"/>
      <c r="Q235" s="1199"/>
    </row>
    <row r="236" spans="1:17">
      <c r="A236" s="1427"/>
      <c r="B236" s="1199"/>
      <c r="C236" s="1199"/>
      <c r="D236" s="1199"/>
      <c r="E236" s="1199"/>
      <c r="F236" s="1199"/>
      <c r="G236" s="1199"/>
      <c r="H236" s="1199"/>
      <c r="I236" s="1199"/>
      <c r="J236" s="1199"/>
      <c r="K236" s="1199"/>
      <c r="L236" s="1199"/>
      <c r="M236" s="1199"/>
      <c r="N236" s="1199"/>
      <c r="O236" s="1199"/>
      <c r="P236" s="1199"/>
      <c r="Q236" s="1199"/>
    </row>
    <row r="237" spans="1:17">
      <c r="A237" s="1427"/>
      <c r="B237" s="1199"/>
      <c r="C237" s="1199"/>
      <c r="D237" s="1199"/>
      <c r="E237" s="1199"/>
      <c r="F237" s="1199"/>
      <c r="G237" s="1199"/>
      <c r="H237" s="1199"/>
      <c r="I237" s="1199"/>
      <c r="J237" s="1199"/>
      <c r="K237" s="1199"/>
      <c r="L237" s="1199"/>
      <c r="M237" s="1199"/>
      <c r="N237" s="1199"/>
      <c r="O237" s="1199"/>
      <c r="P237" s="1199"/>
      <c r="Q237" s="1199"/>
    </row>
    <row r="244" spans="2:2">
      <c r="B244" s="1805"/>
    </row>
    <row r="245" spans="2:2">
      <c r="B245" s="1805"/>
    </row>
  </sheetData>
  <mergeCells count="19">
    <mergeCell ref="B129:D129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59:D59"/>
    <mergeCell ref="B68:D68"/>
    <mergeCell ref="B99:D99"/>
    <mergeCell ref="B116:D116"/>
    <mergeCell ref="B147:D147"/>
    <mergeCell ref="B159:D159"/>
    <mergeCell ref="B178:D178"/>
    <mergeCell ref="B202:D202"/>
    <mergeCell ref="B209:D209"/>
  </mergeCells>
  <conditionalFormatting sqref="K44">
    <cfRule type="expression" dxfId="265" priority="15">
      <formula>SUMPRODUCT(--(ROW()=$T$12:$T$23))&gt;0</formula>
    </cfRule>
  </conditionalFormatting>
  <conditionalFormatting sqref="H45">
    <cfRule type="expression" dxfId="264" priority="14">
      <formula>SUMPRODUCT(--(ROW()=$T$12:$T$23))&gt;0</formula>
    </cfRule>
  </conditionalFormatting>
  <conditionalFormatting sqref="J45">
    <cfRule type="expression" dxfId="263" priority="13">
      <formula>SUMPRODUCT(--(ROW()=$T$12:$T$23))&gt;0</formula>
    </cfRule>
  </conditionalFormatting>
  <conditionalFormatting sqref="K45">
    <cfRule type="expression" dxfId="262" priority="12">
      <formula>SUMPRODUCT(--(ROW()=$T$12:$T$23))&gt;0</formula>
    </cfRule>
  </conditionalFormatting>
  <conditionalFormatting sqref="H47">
    <cfRule type="expression" dxfId="261" priority="11">
      <formula>SUMPRODUCT(--(ROW()=$T$12:$T$23))&gt;0</formula>
    </cfRule>
  </conditionalFormatting>
  <conditionalFormatting sqref="J47">
    <cfRule type="expression" dxfId="260" priority="10">
      <formula>SUMPRODUCT(--(ROW()=$T$12:$T$23))&gt;0</formula>
    </cfRule>
  </conditionalFormatting>
  <conditionalFormatting sqref="K47">
    <cfRule type="expression" dxfId="259" priority="9">
      <formula>SUMPRODUCT(--(ROW()=$T$12:$T$23))&gt;0</formula>
    </cfRule>
  </conditionalFormatting>
  <conditionalFormatting sqref="G184">
    <cfRule type="expression" dxfId="258" priority="18">
      <formula>SUMPRODUCT(--(ROW()=$T$12:$T$23))&gt;0</formula>
    </cfRule>
  </conditionalFormatting>
  <conditionalFormatting sqref="H44">
    <cfRule type="expression" dxfId="257" priority="17">
      <formula>SUMPRODUCT(--(ROW()=$T$12:$T$23))&gt;0</formula>
    </cfRule>
  </conditionalFormatting>
  <conditionalFormatting sqref="J44">
    <cfRule type="expression" dxfId="256" priority="16">
      <formula>SUMPRODUCT(--(ROW()=$T$12:$T$23))&gt;0</formula>
    </cfRule>
  </conditionalFormatting>
  <conditionalFormatting sqref="H41">
    <cfRule type="expression" dxfId="255" priority="8">
      <formula>SUMPRODUCT(--(ROW()=$T$12:$T$23))&gt;0</formula>
    </cfRule>
  </conditionalFormatting>
  <conditionalFormatting sqref="J41">
    <cfRule type="expression" dxfId="254" priority="7">
      <formula>SUMPRODUCT(--(ROW()=$T$12:$T$23))&gt;0</formula>
    </cfRule>
  </conditionalFormatting>
  <conditionalFormatting sqref="K41">
    <cfRule type="expression" dxfId="253" priority="6">
      <formula>SUMPRODUCT(--(ROW()=$T$12:$T$23))&gt;0</formula>
    </cfRule>
  </conditionalFormatting>
  <conditionalFormatting sqref="H42">
    <cfRule type="expression" dxfId="252" priority="5">
      <formula>SUMPRODUCT(--(ROW()=$T$12:$T$23))&gt;0</formula>
    </cfRule>
  </conditionalFormatting>
  <conditionalFormatting sqref="J42">
    <cfRule type="expression" dxfId="251" priority="4">
      <formula>SUMPRODUCT(--(ROW()=$T$12:$T$23))&gt;0</formula>
    </cfRule>
  </conditionalFormatting>
  <conditionalFormatting sqref="K42">
    <cfRule type="expression" dxfId="250" priority="3">
      <formula>SUMPRODUCT(--(ROW()=$T$12:$T$23))&gt;0</formula>
    </cfRule>
  </conditionalFormatting>
  <conditionalFormatting sqref="G107">
    <cfRule type="expression" dxfId="249" priority="2">
      <formula>SUMPRODUCT(--(ROW()=$O$14:$O$24))&gt;0</formula>
    </cfRule>
  </conditionalFormatting>
  <conditionalFormatting sqref="I107">
    <cfRule type="expression" dxfId="248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B1-อาคารด้านทิศตะวันตก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6F77A-B66C-4BF1-B6A4-1FE4CD2F49F6}">
  <sheetPr>
    <tabColor rgb="FFFFFF00"/>
  </sheetPr>
  <dimension ref="A1:AI295"/>
  <sheetViews>
    <sheetView showGridLines="0" view="pageBreakPreview" topLeftCell="A13" zoomScale="85" zoomScaleNormal="60" zoomScaleSheetLayoutView="85" workbookViewId="0">
      <selection activeCell="D245" sqref="D24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6.29296875" style="1" customWidth="1"/>
    <col min="13" max="20" width="10.703125" style="1" customWidth="1"/>
    <col min="21" max="21" width="7.703125" style="1" customWidth="1"/>
    <col min="22" max="22" width="11" style="1" customWidth="1"/>
    <col min="23" max="23" width="11.29296875" style="1" customWidth="1"/>
    <col min="24" max="85" width="7.703125" style="1" customWidth="1"/>
    <col min="86" max="16384" width="9" style="1"/>
  </cols>
  <sheetData>
    <row r="1" spans="1:20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  <c r="M1" s="9"/>
      <c r="N1" s="9"/>
      <c r="O1" s="9"/>
      <c r="P1" s="9"/>
      <c r="Q1" s="9"/>
      <c r="R1" s="9"/>
      <c r="S1" s="9"/>
      <c r="T1" s="9"/>
    </row>
    <row r="2" spans="1:20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  <c r="M2" s="2014"/>
      <c r="N2" s="2014"/>
      <c r="O2" s="2014"/>
      <c r="P2" s="2014"/>
      <c r="Q2" s="2014"/>
      <c r="R2" s="2014"/>
      <c r="S2" s="2014"/>
      <c r="T2" s="2014"/>
    </row>
    <row r="3" spans="1:20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  <c r="M3" s="2015"/>
      <c r="N3" s="2015"/>
      <c r="O3" s="2015"/>
      <c r="P3" s="2015"/>
      <c r="Q3" s="2015"/>
      <c r="R3" s="2015"/>
      <c r="S3" s="2015"/>
      <c r="T3" s="2015"/>
    </row>
    <row r="4" spans="1:20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  <c r="M4" s="2015"/>
      <c r="N4" s="2015"/>
      <c r="O4" s="2015"/>
      <c r="P4" s="2015"/>
      <c r="Q4" s="2015"/>
      <c r="R4" s="2015"/>
      <c r="S4" s="2015"/>
      <c r="T4" s="2015"/>
    </row>
    <row r="5" spans="1:20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  <c r="M5" s="2015"/>
      <c r="N5" s="2015"/>
      <c r="O5" s="2015"/>
      <c r="P5" s="2015"/>
      <c r="Q5" s="2015"/>
      <c r="R5" s="2015"/>
      <c r="S5" s="2015"/>
      <c r="T5" s="2015"/>
    </row>
    <row r="6" spans="1:20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  <c r="M6" s="2014"/>
      <c r="N6" s="2014"/>
      <c r="O6" s="2014"/>
      <c r="P6" s="2014"/>
      <c r="Q6" s="2014"/>
      <c r="R6" s="2014"/>
      <c r="S6" s="2014"/>
      <c r="T6" s="2014"/>
    </row>
    <row r="7" spans="1:20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  <c r="M7" s="2057"/>
      <c r="N7" s="2057"/>
      <c r="O7" s="2057"/>
      <c r="P7" s="2057"/>
      <c r="Q7" s="2057"/>
      <c r="R7" s="2057"/>
      <c r="S7" s="2057"/>
      <c r="T7" s="2057"/>
    </row>
    <row r="8" spans="1:20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  <c r="M8" s="2057"/>
      <c r="N8" s="2057"/>
      <c r="O8" s="2057"/>
      <c r="P8" s="2057"/>
      <c r="Q8" s="2057"/>
      <c r="R8" s="2057"/>
      <c r="S8" s="2057"/>
      <c r="T8" s="2057"/>
    </row>
    <row r="9" spans="1:20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  <c r="M9" s="2016"/>
      <c r="N9" s="2016"/>
      <c r="O9" s="2016"/>
      <c r="P9" s="2016"/>
      <c r="Q9" s="2016"/>
      <c r="R9" s="2016"/>
      <c r="S9" s="2016"/>
      <c r="T9" s="2016"/>
    </row>
    <row r="10" spans="1:20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  <c r="M10" s="2016"/>
      <c r="N10" s="2016"/>
      <c r="O10" s="2016"/>
      <c r="P10" s="2016"/>
      <c r="Q10" s="2016"/>
      <c r="R10" s="2016"/>
      <c r="S10" s="2016"/>
      <c r="T10" s="2016"/>
    </row>
    <row r="11" spans="1:20" ht="24" customHeight="1">
      <c r="A11" s="1560" t="s">
        <v>24</v>
      </c>
      <c r="B11" s="1561" t="s">
        <v>2245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  <c r="M11" s="2017"/>
      <c r="N11" s="2017"/>
      <c r="O11" s="2017"/>
      <c r="P11" s="2017"/>
      <c r="Q11" s="2017"/>
      <c r="R11" s="2017"/>
      <c r="S11" s="2017"/>
      <c r="T11" s="2017"/>
    </row>
    <row r="12" spans="1:20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H51</f>
        <v>2739950</v>
      </c>
      <c r="I12" s="1197"/>
      <c r="J12" s="1196">
        <f>J51</f>
        <v>153966</v>
      </c>
      <c r="K12" s="1196">
        <f t="shared" ref="K12:K22" si="0">SUM(H12:J12)</f>
        <v>2893916</v>
      </c>
      <c r="L12" s="1531"/>
      <c r="M12" s="2018"/>
      <c r="N12" s="2018"/>
      <c r="O12" s="2018"/>
      <c r="P12" s="2018"/>
      <c r="Q12" s="2018"/>
      <c r="R12" s="2018"/>
      <c r="S12" s="2018"/>
      <c r="T12" s="2018"/>
    </row>
    <row r="13" spans="1:20" s="1199" customFormat="1" ht="24" customHeight="1">
      <c r="A13" s="1564">
        <f>A52</f>
        <v>7.2</v>
      </c>
      <c r="B13" s="1538" t="str">
        <f>B52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343200</v>
      </c>
      <c r="I13" s="1197"/>
      <c r="J13" s="1196">
        <f>J59</f>
        <v>3600</v>
      </c>
      <c r="K13" s="1196">
        <f t="shared" si="0"/>
        <v>346800</v>
      </c>
      <c r="L13" s="1531"/>
      <c r="M13" s="2018"/>
      <c r="N13" s="2018"/>
      <c r="O13" s="2018"/>
      <c r="P13" s="2018"/>
      <c r="Q13" s="2018"/>
      <c r="R13" s="2018"/>
      <c r="S13" s="2018"/>
      <c r="T13" s="2018"/>
    </row>
    <row r="14" spans="1:20" s="1199" customFormat="1" ht="24" customHeight="1">
      <c r="A14" s="1564">
        <f>A60</f>
        <v>7.3</v>
      </c>
      <c r="B14" s="1538" t="str">
        <f>B60</f>
        <v>พัดลมระบายอากาศ (Ventilating Fan)</v>
      </c>
      <c r="C14" s="1533"/>
      <c r="D14" s="1534"/>
      <c r="E14" s="1753">
        <v>1</v>
      </c>
      <c r="F14" s="1567" t="s">
        <v>19</v>
      </c>
      <c r="G14" s="1195"/>
      <c r="H14" s="1196">
        <f>H68</f>
        <v>8700</v>
      </c>
      <c r="I14" s="1197"/>
      <c r="J14" s="1196">
        <f>J68</f>
        <v>2430</v>
      </c>
      <c r="K14" s="1196">
        <f t="shared" si="0"/>
        <v>11130</v>
      </c>
      <c r="L14" s="1531"/>
      <c r="M14" s="2018"/>
      <c r="N14" s="2018"/>
      <c r="O14" s="2018"/>
      <c r="P14" s="2018"/>
      <c r="Q14" s="2018"/>
      <c r="R14" s="2018"/>
      <c r="S14" s="2018"/>
      <c r="T14" s="2018"/>
    </row>
    <row r="15" spans="1:20" s="1199" customFormat="1" ht="24" customHeight="1">
      <c r="A15" s="1564">
        <f>A69</f>
        <v>7.4</v>
      </c>
      <c r="B15" s="1538" t="str">
        <f>B69</f>
        <v>ระบบกรองอากาศ (Air Filtration System)</v>
      </c>
      <c r="C15" s="1533"/>
      <c r="D15" s="1534"/>
      <c r="E15" s="1753">
        <v>1</v>
      </c>
      <c r="F15" s="1567" t="s">
        <v>19</v>
      </c>
      <c r="G15" s="1195"/>
      <c r="H15" s="1196">
        <f>H76</f>
        <v>49400</v>
      </c>
      <c r="I15" s="1197"/>
      <c r="J15" s="1196">
        <f>J76</f>
        <v>6000</v>
      </c>
      <c r="K15" s="1196">
        <f t="shared" si="0"/>
        <v>55400</v>
      </c>
      <c r="L15" s="1531"/>
      <c r="M15" s="2018"/>
      <c r="N15" s="2018"/>
      <c r="O15" s="2018"/>
      <c r="P15" s="2018"/>
      <c r="Q15" s="2018"/>
      <c r="R15" s="2018"/>
      <c r="S15" s="2018"/>
      <c r="T15" s="2018"/>
    </row>
    <row r="16" spans="1:20" s="1199" customFormat="1" ht="24" customHeight="1">
      <c r="A16" s="1564">
        <f>A77</f>
        <v>7.5</v>
      </c>
      <c r="B16" s="1538" t="str">
        <f>B77</f>
        <v>งานท่อ (Piping Work)</v>
      </c>
      <c r="C16" s="1533"/>
      <c r="D16" s="1534"/>
      <c r="E16" s="1753">
        <v>1</v>
      </c>
      <c r="F16" s="1567" t="s">
        <v>19</v>
      </c>
      <c r="G16" s="1195"/>
      <c r="H16" s="1196">
        <f>H94</f>
        <v>489807</v>
      </c>
      <c r="I16" s="1197"/>
      <c r="J16" s="1196">
        <f>J94</f>
        <v>180735</v>
      </c>
      <c r="K16" s="1196">
        <f t="shared" si="0"/>
        <v>670542</v>
      </c>
      <c r="L16" s="1531"/>
      <c r="M16" s="2018"/>
      <c r="N16" s="2018"/>
      <c r="O16" s="2018"/>
      <c r="P16" s="2018"/>
      <c r="Q16" s="2018"/>
      <c r="R16" s="2018"/>
      <c r="S16" s="2018"/>
      <c r="T16" s="2018"/>
    </row>
    <row r="17" spans="1:20" s="1199" customFormat="1" ht="24" customHeight="1">
      <c r="A17" s="1755">
        <f>A95</f>
        <v>7.6</v>
      </c>
      <c r="B17" s="1538" t="str">
        <f>B95</f>
        <v>ฉนวนหุ้มท่อ (Pipe Insulation)</v>
      </c>
      <c r="C17" s="1533"/>
      <c r="D17" s="1534"/>
      <c r="E17" s="1753">
        <v>1</v>
      </c>
      <c r="F17" s="1567" t="s">
        <v>19</v>
      </c>
      <c r="G17" s="1195"/>
      <c r="H17" s="1196">
        <f>H109</f>
        <v>176197</v>
      </c>
      <c r="I17" s="1197"/>
      <c r="J17" s="1196">
        <f>J109</f>
        <v>46870</v>
      </c>
      <c r="K17" s="1196">
        <f t="shared" si="0"/>
        <v>223067</v>
      </c>
      <c r="L17" s="1531"/>
      <c r="M17" s="2018"/>
      <c r="N17" s="2018"/>
      <c r="O17" s="2018"/>
      <c r="P17" s="2018"/>
      <c r="Q17" s="2018"/>
      <c r="R17" s="2018"/>
      <c r="S17" s="2018"/>
      <c r="T17" s="2018"/>
    </row>
    <row r="18" spans="1:20" s="1199" customFormat="1" ht="24" customHeight="1">
      <c r="A18" s="1564">
        <f>A110</f>
        <v>7.7</v>
      </c>
      <c r="B18" s="1816" t="str">
        <f>B110</f>
        <v>วาล์วและอุปกรณ์ประกอบ  (Valve &amp; Pipe Accessories)</v>
      </c>
      <c r="C18" s="1533"/>
      <c r="D18" s="1534"/>
      <c r="E18" s="1753">
        <v>1</v>
      </c>
      <c r="F18" s="1567" t="s">
        <v>19</v>
      </c>
      <c r="G18" s="1195"/>
      <c r="H18" s="1196">
        <f>H144</f>
        <v>287224</v>
      </c>
      <c r="I18" s="1197"/>
      <c r="J18" s="1196">
        <f>J144</f>
        <v>41200</v>
      </c>
      <c r="K18" s="1196">
        <f t="shared" si="0"/>
        <v>328424</v>
      </c>
      <c r="L18" s="1531"/>
      <c r="M18" s="2018"/>
      <c r="N18" s="2018"/>
      <c r="O18" s="2018"/>
      <c r="P18" s="2018"/>
      <c r="Q18" s="2018"/>
      <c r="R18" s="2018"/>
      <c r="S18" s="2018"/>
      <c r="T18" s="2018"/>
    </row>
    <row r="19" spans="1:20" s="1199" customFormat="1" ht="24" customHeight="1">
      <c r="A19" s="1537" t="str">
        <f>A145</f>
        <v>7.8</v>
      </c>
      <c r="B19" s="1840" t="str">
        <f>B145</f>
        <v>ระบบท่อลม (Duct Work)</v>
      </c>
      <c r="C19" s="1533"/>
      <c r="D19" s="1534"/>
      <c r="E19" s="1753">
        <v>1</v>
      </c>
      <c r="F19" s="1567" t="s">
        <v>19</v>
      </c>
      <c r="G19" s="1195"/>
      <c r="H19" s="1196">
        <f>H159</f>
        <v>39759</v>
      </c>
      <c r="I19" s="1197"/>
      <c r="J19" s="1196">
        <f>J159</f>
        <v>27896</v>
      </c>
      <c r="K19" s="1196">
        <f t="shared" si="0"/>
        <v>67655</v>
      </c>
      <c r="L19" s="1531"/>
      <c r="M19" s="2018"/>
      <c r="N19" s="2018"/>
      <c r="O19" s="2018"/>
      <c r="P19" s="2018"/>
      <c r="Q19" s="2018"/>
      <c r="R19" s="2018"/>
      <c r="S19" s="2018"/>
      <c r="T19" s="2018"/>
    </row>
    <row r="20" spans="1:20" s="1199" customFormat="1" ht="24" customHeight="1">
      <c r="A20" s="1537" t="str">
        <f>A160</f>
        <v>7.9</v>
      </c>
      <c r="B20" s="1840" t="str">
        <f>B160</f>
        <v>ฉนวนหุ้มท่อลม (Duct Insulation)</v>
      </c>
      <c r="C20" s="1533"/>
      <c r="D20" s="1534"/>
      <c r="E20" s="1753">
        <v>1</v>
      </c>
      <c r="F20" s="1567" t="s">
        <v>19</v>
      </c>
      <c r="G20" s="1195"/>
      <c r="H20" s="1196">
        <f>H167</f>
        <v>21445</v>
      </c>
      <c r="I20" s="1197"/>
      <c r="J20" s="1196">
        <f>J167</f>
        <v>5107</v>
      </c>
      <c r="K20" s="1196">
        <f t="shared" si="0"/>
        <v>26552</v>
      </c>
      <c r="L20" s="1531"/>
      <c r="M20" s="2018"/>
      <c r="N20" s="2018"/>
      <c r="O20" s="2018"/>
      <c r="P20" s="2018"/>
      <c r="Q20" s="2018"/>
      <c r="R20" s="2018"/>
      <c r="S20" s="2018"/>
      <c r="T20" s="2018"/>
    </row>
    <row r="21" spans="1:20" s="1199" customFormat="1" ht="24" customHeight="1">
      <c r="A21" s="1537" t="str">
        <f>A168</f>
        <v>7.10</v>
      </c>
      <c r="B21" s="1816" t="str">
        <f>B168</f>
        <v>หน้ากากลม (Air Diffuser, Grille &amp; Register)</v>
      </c>
      <c r="C21" s="1533"/>
      <c r="D21" s="1534"/>
      <c r="E21" s="1753">
        <v>1</v>
      </c>
      <c r="F21" s="1567" t="s">
        <v>19</v>
      </c>
      <c r="G21" s="1195"/>
      <c r="H21" s="1196">
        <f>H190</f>
        <v>32900</v>
      </c>
      <c r="I21" s="1197"/>
      <c r="J21" s="1196">
        <f>J190</f>
        <v>3290</v>
      </c>
      <c r="K21" s="1196">
        <f t="shared" si="0"/>
        <v>36190</v>
      </c>
      <c r="L21" s="1531"/>
      <c r="M21" s="2018"/>
      <c r="N21" s="2018"/>
      <c r="O21" s="2018"/>
      <c r="P21" s="2018"/>
      <c r="Q21" s="2018"/>
      <c r="R21" s="2018"/>
      <c r="S21" s="2018"/>
      <c r="T21" s="2018"/>
    </row>
    <row r="22" spans="1:20" s="1199" customFormat="1" ht="24" customHeight="1">
      <c r="A22" s="1537" t="str">
        <f>A191</f>
        <v>7.11</v>
      </c>
      <c r="B22" s="1538" t="str">
        <f>B191</f>
        <v>ระบบไฟฟ้าและควบคุม (Electrical &amp; Control System)</v>
      </c>
      <c r="C22" s="1533"/>
      <c r="D22" s="1534"/>
      <c r="E22" s="1753">
        <v>1</v>
      </c>
      <c r="F22" s="1567" t="s">
        <v>19</v>
      </c>
      <c r="G22" s="1195"/>
      <c r="H22" s="1196">
        <f>H209</f>
        <v>625149</v>
      </c>
      <c r="I22" s="1197"/>
      <c r="J22" s="1196">
        <f>J209</f>
        <v>70779</v>
      </c>
      <c r="K22" s="1196">
        <f t="shared" si="0"/>
        <v>695928</v>
      </c>
      <c r="L22" s="1531"/>
      <c r="M22" s="2018"/>
      <c r="N22" s="2018"/>
      <c r="O22" s="2018"/>
      <c r="P22" s="2018"/>
      <c r="Q22" s="2018"/>
      <c r="R22" s="2018"/>
      <c r="S22" s="2018"/>
      <c r="T22" s="2018"/>
    </row>
    <row r="23" spans="1:20" s="1199" customFormat="1" ht="24" customHeight="1">
      <c r="A23" s="1537">
        <f>A210</f>
        <v>7.12</v>
      </c>
      <c r="B23" s="1538" t="str">
        <f>B210</f>
        <v>เครื่องส่งลมเย็นขนาดเล็ก (Fan Coil Unit)</v>
      </c>
      <c r="C23" s="1533"/>
      <c r="D23" s="1534"/>
      <c r="E23" s="1753">
        <v>1</v>
      </c>
      <c r="F23" s="1567" t="s">
        <v>19</v>
      </c>
      <c r="G23" s="1195"/>
      <c r="H23" s="1196">
        <f>H216</f>
        <v>29212</v>
      </c>
      <c r="I23" s="1197"/>
      <c r="J23" s="1196">
        <f>J216</f>
        <v>3242</v>
      </c>
      <c r="K23" s="1553">
        <f>K216</f>
        <v>32454</v>
      </c>
      <c r="L23" s="1531"/>
      <c r="M23" s="2018"/>
      <c r="N23" s="2018"/>
      <c r="O23" s="2018"/>
      <c r="P23" s="2018"/>
      <c r="Q23" s="2018"/>
      <c r="R23" s="2018"/>
      <c r="S23" s="2018"/>
      <c r="T23" s="2018"/>
    </row>
    <row r="24" spans="1:20" s="1199" customFormat="1" ht="24" customHeight="1">
      <c r="A24" s="1537" t="str">
        <f>A217</f>
        <v>7.13</v>
      </c>
      <c r="B24" s="1538" t="str">
        <f>B217</f>
        <v>หมวดงานเชื่อมต่อกับระบบ BAS</v>
      </c>
      <c r="C24" s="1533"/>
      <c r="D24" s="1534"/>
      <c r="E24" s="1753">
        <v>1</v>
      </c>
      <c r="F24" s="1567" t="s">
        <v>19</v>
      </c>
      <c r="G24" s="1195"/>
      <c r="H24" s="1196">
        <f>H259</f>
        <v>129245</v>
      </c>
      <c r="I24" s="1197"/>
      <c r="J24" s="1196">
        <f>J259</f>
        <v>106299</v>
      </c>
      <c r="K24" s="1196">
        <f>K259</f>
        <v>235544</v>
      </c>
      <c r="L24" s="1531"/>
      <c r="M24" s="2018"/>
      <c r="N24" s="2018"/>
      <c r="O24" s="2018"/>
      <c r="P24" s="2018"/>
      <c r="Q24" s="2018"/>
      <c r="R24" s="2018"/>
      <c r="S24" s="2018"/>
      <c r="T24" s="2018"/>
    </row>
    <row r="25" spans="1:20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  <c r="M25" s="2018"/>
      <c r="N25" s="2018"/>
      <c r="O25" s="2018"/>
      <c r="P25" s="2018"/>
      <c r="Q25" s="2018"/>
      <c r="R25" s="2018"/>
      <c r="S25" s="2018"/>
      <c r="T25" s="2018"/>
    </row>
    <row r="26" spans="1:20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  <c r="M26" s="2018"/>
      <c r="N26" s="2018"/>
      <c r="O26" s="2018"/>
      <c r="P26" s="2018"/>
      <c r="Q26" s="2018"/>
      <c r="R26" s="2018"/>
      <c r="S26" s="2018"/>
      <c r="T26" s="2018"/>
    </row>
    <row r="27" spans="1:20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  <c r="M27" s="2018"/>
      <c r="N27" s="2018"/>
      <c r="O27" s="2018"/>
      <c r="P27" s="2018"/>
      <c r="Q27" s="2018"/>
      <c r="R27" s="2018"/>
      <c r="S27" s="2018"/>
      <c r="T27" s="2018"/>
    </row>
    <row r="28" spans="1:20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  <c r="M28" s="2018"/>
      <c r="N28" s="2018"/>
      <c r="O28" s="2018"/>
      <c r="P28" s="2018"/>
      <c r="Q28" s="2018"/>
      <c r="R28" s="2018"/>
      <c r="S28" s="2018"/>
      <c r="T28" s="2018"/>
    </row>
    <row r="29" spans="1:20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  <c r="M29" s="2018"/>
      <c r="N29" s="2018"/>
      <c r="O29" s="2018"/>
      <c r="P29" s="2018"/>
      <c r="Q29" s="2018"/>
      <c r="R29" s="2018"/>
      <c r="S29" s="2018"/>
      <c r="T29" s="2018"/>
    </row>
    <row r="30" spans="1:20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  <c r="M30" s="2018"/>
      <c r="N30" s="2018"/>
      <c r="O30" s="2018"/>
      <c r="P30" s="2018"/>
      <c r="Q30" s="2018"/>
      <c r="R30" s="2018"/>
      <c r="S30" s="2018"/>
      <c r="T30" s="2018"/>
    </row>
    <row r="31" spans="1:20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  <c r="M31" s="2018"/>
      <c r="N31" s="2018"/>
      <c r="O31" s="2018"/>
      <c r="P31" s="2018"/>
      <c r="Q31" s="2018"/>
      <c r="R31" s="2018"/>
      <c r="S31" s="2018"/>
      <c r="T31" s="2018"/>
    </row>
    <row r="32" spans="1:20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  <c r="M32" s="2018"/>
      <c r="N32" s="2018"/>
      <c r="O32" s="2018"/>
      <c r="P32" s="2018"/>
      <c r="Q32" s="2018"/>
      <c r="R32" s="2018"/>
      <c r="S32" s="2018"/>
      <c r="T32" s="2018"/>
    </row>
    <row r="33" spans="1:20" s="1199" customFormat="1" ht="24" customHeight="1">
      <c r="A33" s="1841"/>
      <c r="B33" s="1792"/>
      <c r="C33" s="1731"/>
      <c r="D33" s="1732"/>
      <c r="E33" s="1734"/>
      <c r="F33" s="1734"/>
      <c r="G33" s="1842"/>
      <c r="H33" s="1843"/>
      <c r="I33" s="1844"/>
      <c r="J33" s="1843"/>
      <c r="K33" s="1845"/>
      <c r="L33" s="1846"/>
      <c r="M33" s="2018"/>
      <c r="N33" s="2018"/>
      <c r="O33" s="2018"/>
      <c r="P33" s="2018"/>
      <c r="Q33" s="2018"/>
      <c r="R33" s="2018"/>
      <c r="S33" s="2018"/>
      <c r="T33" s="2018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1</v>
      </c>
      <c r="C34" s="2258"/>
      <c r="D34" s="2259"/>
      <c r="E34" s="1579"/>
      <c r="F34" s="1579"/>
      <c r="G34" s="1580"/>
      <c r="H34" s="1581">
        <f>SUM(H11:H33)</f>
        <v>4972188</v>
      </c>
      <c r="I34" s="1582"/>
      <c r="J34" s="1581">
        <f>SUM(J11:J33)</f>
        <v>651414</v>
      </c>
      <c r="K34" s="1583">
        <f>SUM(K11:K33)</f>
        <v>5623602</v>
      </c>
      <c r="L34" s="1583"/>
      <c r="M34" s="2019"/>
      <c r="N34" s="2019"/>
      <c r="O34" s="2019"/>
      <c r="P34" s="2019"/>
      <c r="Q34" s="2019"/>
      <c r="R34" s="2019"/>
      <c r="S34" s="2019"/>
      <c r="T34" s="2019"/>
    </row>
    <row r="35" spans="1:20" s="1765" customFormat="1" ht="24" customHeight="1">
      <c r="A35" s="1291" t="s">
        <v>2246</v>
      </c>
      <c r="B35" s="1776" t="s">
        <v>2247</v>
      </c>
      <c r="C35" s="1294"/>
      <c r="D35" s="1777"/>
      <c r="E35" s="1686"/>
      <c r="F35" s="1402"/>
      <c r="G35" s="1661"/>
      <c r="H35" s="1588"/>
      <c r="I35" s="1589"/>
      <c r="J35" s="1588"/>
      <c r="K35" s="1770"/>
      <c r="L35" s="1770"/>
      <c r="M35" s="1710"/>
      <c r="N35" s="1710"/>
      <c r="O35" s="1710"/>
      <c r="P35" s="1710"/>
      <c r="Q35" s="1710"/>
      <c r="R35" s="1710"/>
      <c r="S35" s="1710"/>
      <c r="T35" s="1710"/>
    </row>
    <row r="36" spans="1:20" s="1765" customFormat="1" ht="24" customHeight="1">
      <c r="A36" s="1766" t="s">
        <v>1984</v>
      </c>
      <c r="B36" s="1783" t="s">
        <v>2852</v>
      </c>
      <c r="C36" s="1294"/>
      <c r="D36" s="1777"/>
      <c r="E36" s="1686"/>
      <c r="F36" s="1402"/>
      <c r="G36" s="1661"/>
      <c r="H36" s="1588"/>
      <c r="I36" s="1589"/>
      <c r="J36" s="1588"/>
      <c r="K36" s="1770"/>
      <c r="L36" s="1770"/>
      <c r="M36" s="1710"/>
      <c r="N36" s="1710"/>
      <c r="O36" s="1710"/>
      <c r="P36" s="1710"/>
      <c r="Q36" s="1710"/>
      <c r="R36" s="1710"/>
      <c r="S36" s="1710"/>
      <c r="T36" s="1710"/>
    </row>
    <row r="37" spans="1:20" s="1765" customFormat="1" ht="24" customHeight="1">
      <c r="A37" s="1766"/>
      <c r="B37" s="1783" t="s">
        <v>2248</v>
      </c>
      <c r="C37" s="1294"/>
      <c r="D37" s="1777"/>
      <c r="E37" s="1686">
        <v>1</v>
      </c>
      <c r="F37" s="1402" t="s">
        <v>363</v>
      </c>
      <c r="G37" s="1661">
        <v>41700</v>
      </c>
      <c r="H37" s="1413">
        <f t="shared" ref="H37:H50" si="1">ROUND(E37*G37,)</f>
        <v>41700</v>
      </c>
      <c r="I37" s="1589">
        <f t="shared" ref="I37:I40" si="2">G37*0.1</f>
        <v>4170</v>
      </c>
      <c r="J37" s="1413">
        <f t="shared" ref="J37:J46" si="3">ROUND(E37*I37,)</f>
        <v>4170</v>
      </c>
      <c r="K37" s="1415">
        <f t="shared" ref="K37:K50" si="4">H37+J37</f>
        <v>45870</v>
      </c>
      <c r="L37" s="1770"/>
      <c r="M37" s="1710"/>
      <c r="N37" s="1710"/>
      <c r="O37" s="1710"/>
      <c r="P37" s="1710"/>
      <c r="Q37" s="1710"/>
      <c r="R37" s="1710"/>
      <c r="S37" s="1710"/>
      <c r="T37" s="1710"/>
    </row>
    <row r="38" spans="1:20" s="1765" customFormat="1" ht="24" customHeight="1">
      <c r="A38" s="1766"/>
      <c r="B38" s="1783" t="s">
        <v>2249</v>
      </c>
      <c r="C38" s="1294"/>
      <c r="D38" s="1777"/>
      <c r="E38" s="1686">
        <v>1</v>
      </c>
      <c r="F38" s="1402" t="s">
        <v>363</v>
      </c>
      <c r="G38" s="1661">
        <v>41700</v>
      </c>
      <c r="H38" s="1413">
        <f t="shared" si="1"/>
        <v>41700</v>
      </c>
      <c r="I38" s="1589">
        <f t="shared" si="2"/>
        <v>4170</v>
      </c>
      <c r="J38" s="1413">
        <f t="shared" si="3"/>
        <v>4170</v>
      </c>
      <c r="K38" s="1415">
        <f t="shared" si="4"/>
        <v>45870</v>
      </c>
      <c r="L38" s="1770"/>
      <c r="M38" s="1710"/>
      <c r="N38" s="1710"/>
      <c r="O38" s="1710"/>
      <c r="P38" s="1710"/>
      <c r="Q38" s="1710"/>
      <c r="R38" s="1710"/>
      <c r="S38" s="1710"/>
      <c r="T38" s="1710"/>
    </row>
    <row r="39" spans="1:20" s="1765" customFormat="1" ht="24" customHeight="1">
      <c r="A39" s="1766"/>
      <c r="B39" s="1783" t="s">
        <v>2250</v>
      </c>
      <c r="C39" s="1294"/>
      <c r="D39" s="1777"/>
      <c r="E39" s="1686">
        <v>1</v>
      </c>
      <c r="F39" s="1402" t="s">
        <v>363</v>
      </c>
      <c r="G39" s="1661">
        <v>58000</v>
      </c>
      <c r="H39" s="1413">
        <f t="shared" si="1"/>
        <v>58000</v>
      </c>
      <c r="I39" s="1589">
        <f t="shared" si="2"/>
        <v>5800</v>
      </c>
      <c r="J39" s="1413">
        <f t="shared" si="3"/>
        <v>5800</v>
      </c>
      <c r="K39" s="1415">
        <f t="shared" si="4"/>
        <v>63800</v>
      </c>
      <c r="L39" s="1770"/>
      <c r="M39" s="1710"/>
      <c r="N39" s="1710"/>
      <c r="O39" s="1710"/>
      <c r="P39" s="1710"/>
      <c r="Q39" s="1710"/>
      <c r="R39" s="1710"/>
      <c r="S39" s="1710"/>
      <c r="T39" s="1710"/>
    </row>
    <row r="40" spans="1:20" s="1765" customFormat="1" ht="24" customHeight="1">
      <c r="A40" s="2112"/>
      <c r="B40" s="2164" t="s">
        <v>2251</v>
      </c>
      <c r="C40" s="2111"/>
      <c r="D40" s="2165"/>
      <c r="E40" s="825">
        <v>1</v>
      </c>
      <c r="F40" s="1457" t="s">
        <v>363</v>
      </c>
      <c r="G40" s="1769">
        <v>58000</v>
      </c>
      <c r="H40" s="1413">
        <f t="shared" si="1"/>
        <v>58000</v>
      </c>
      <c r="I40" s="1455">
        <f t="shared" si="2"/>
        <v>5800</v>
      </c>
      <c r="J40" s="1413">
        <f t="shared" si="3"/>
        <v>5800</v>
      </c>
      <c r="K40" s="1415">
        <f t="shared" si="4"/>
        <v>63800</v>
      </c>
      <c r="L40" s="1457"/>
      <c r="M40" s="1710"/>
      <c r="N40" s="1710"/>
      <c r="O40" s="1710"/>
      <c r="P40" s="1710"/>
      <c r="Q40" s="1710"/>
      <c r="R40" s="1710"/>
      <c r="S40" s="1710"/>
      <c r="T40" s="1710"/>
    </row>
    <row r="41" spans="1:20" s="2116" customFormat="1" ht="24" customHeight="1">
      <c r="A41" s="2112"/>
      <c r="B41" s="2164" t="s">
        <v>2858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1"/>
        <v>409425</v>
      </c>
      <c r="I41" s="1455">
        <f>G41*0.05</f>
        <v>20471.25</v>
      </c>
      <c r="J41" s="1413">
        <f t="shared" si="3"/>
        <v>20471</v>
      </c>
      <c r="K41" s="1415">
        <f t="shared" si="4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2116" customFormat="1" ht="24" customHeight="1">
      <c r="A42" s="2112"/>
      <c r="B42" s="2164" t="s">
        <v>2857</v>
      </c>
      <c r="C42" s="2111"/>
      <c r="D42" s="2165"/>
      <c r="E42" s="825">
        <v>1</v>
      </c>
      <c r="F42" s="1457" t="s">
        <v>363</v>
      </c>
      <c r="G42" s="1769">
        <v>409425</v>
      </c>
      <c r="H42" s="1413">
        <f t="shared" si="1"/>
        <v>409425</v>
      </c>
      <c r="I42" s="1455">
        <f t="shared" ref="I42:I43" si="5">G42*0.05</f>
        <v>20471.25</v>
      </c>
      <c r="J42" s="1413">
        <f t="shared" si="3"/>
        <v>20471</v>
      </c>
      <c r="K42" s="1415">
        <f t="shared" si="4"/>
        <v>429896</v>
      </c>
      <c r="L42" s="1457"/>
      <c r="M42" s="2120"/>
      <c r="N42" s="2120"/>
      <c r="O42" s="2120"/>
      <c r="P42" s="2120"/>
      <c r="Q42" s="2120"/>
      <c r="R42" s="2120"/>
      <c r="S42" s="2120"/>
      <c r="T42" s="2120"/>
    </row>
    <row r="43" spans="1:20" s="2116" customFormat="1" ht="24" customHeight="1">
      <c r="A43" s="2112"/>
      <c r="B43" s="2164" t="s">
        <v>2856</v>
      </c>
      <c r="C43" s="2111"/>
      <c r="D43" s="2165"/>
      <c r="E43" s="825">
        <v>1</v>
      </c>
      <c r="F43" s="1457" t="s">
        <v>363</v>
      </c>
      <c r="G43" s="1769">
        <v>409425</v>
      </c>
      <c r="H43" s="1413">
        <f t="shared" si="1"/>
        <v>409425</v>
      </c>
      <c r="I43" s="1455">
        <f t="shared" si="5"/>
        <v>20471.25</v>
      </c>
      <c r="J43" s="1413">
        <f t="shared" si="3"/>
        <v>20471</v>
      </c>
      <c r="K43" s="1415">
        <f t="shared" si="4"/>
        <v>429896</v>
      </c>
      <c r="L43" s="1457"/>
      <c r="M43" s="2120"/>
      <c r="N43" s="2120"/>
      <c r="O43" s="2120"/>
      <c r="P43" s="2120"/>
      <c r="Q43" s="2120"/>
      <c r="R43" s="2120"/>
      <c r="S43" s="2120"/>
      <c r="T43" s="2120"/>
    </row>
    <row r="44" spans="1:20" s="2116" customFormat="1" ht="24" customHeight="1">
      <c r="A44" s="2112"/>
      <c r="B44" s="2164" t="s">
        <v>2855</v>
      </c>
      <c r="C44" s="2111"/>
      <c r="D44" s="2165"/>
      <c r="E44" s="825">
        <v>1</v>
      </c>
      <c r="F44" s="1457" t="s">
        <v>363</v>
      </c>
      <c r="G44" s="1769">
        <v>409425</v>
      </c>
      <c r="H44" s="1413">
        <f t="shared" si="1"/>
        <v>409425</v>
      </c>
      <c r="I44" s="1455">
        <f>G44*0.05</f>
        <v>20471.25</v>
      </c>
      <c r="J44" s="1413">
        <f t="shared" si="3"/>
        <v>20471</v>
      </c>
      <c r="K44" s="1415">
        <f t="shared" si="4"/>
        <v>429896</v>
      </c>
      <c r="L44" s="1457"/>
      <c r="M44" s="2120"/>
      <c r="N44" s="2120"/>
      <c r="O44" s="2120"/>
      <c r="P44" s="2120"/>
      <c r="Q44" s="2120"/>
      <c r="R44" s="2120"/>
      <c r="S44" s="2120"/>
      <c r="T44" s="2120"/>
    </row>
    <row r="45" spans="1:20" s="2116" customFormat="1" ht="24" customHeight="1">
      <c r="A45" s="2112"/>
      <c r="B45" s="2164" t="s">
        <v>2853</v>
      </c>
      <c r="C45" s="2111"/>
      <c r="D45" s="2165"/>
      <c r="E45" s="825">
        <v>1</v>
      </c>
      <c r="F45" s="1457" t="s">
        <v>363</v>
      </c>
      <c r="G45" s="1769">
        <v>409425</v>
      </c>
      <c r="H45" s="1413">
        <f t="shared" si="1"/>
        <v>409425</v>
      </c>
      <c r="I45" s="1455">
        <f t="shared" ref="I45:I46" si="6">G45*0.05</f>
        <v>20471.25</v>
      </c>
      <c r="J45" s="1413">
        <f t="shared" si="3"/>
        <v>20471</v>
      </c>
      <c r="K45" s="1415">
        <f t="shared" si="4"/>
        <v>429896</v>
      </c>
      <c r="L45" s="1457"/>
      <c r="M45" s="2120"/>
      <c r="N45" s="2120"/>
      <c r="O45" s="2120"/>
      <c r="P45" s="2120"/>
      <c r="Q45" s="2120"/>
      <c r="R45" s="2120"/>
      <c r="S45" s="2120"/>
      <c r="T45" s="2120"/>
    </row>
    <row r="46" spans="1:20" s="2116" customFormat="1" ht="24" customHeight="1">
      <c r="A46" s="2112"/>
      <c r="B46" s="2164" t="s">
        <v>2854</v>
      </c>
      <c r="C46" s="2111"/>
      <c r="D46" s="2165"/>
      <c r="E46" s="825">
        <v>1</v>
      </c>
      <c r="F46" s="1457" t="s">
        <v>363</v>
      </c>
      <c r="G46" s="1769">
        <v>409425</v>
      </c>
      <c r="H46" s="1413">
        <f t="shared" si="1"/>
        <v>409425</v>
      </c>
      <c r="I46" s="1455">
        <f t="shared" si="6"/>
        <v>20471.25</v>
      </c>
      <c r="J46" s="1413">
        <f t="shared" si="3"/>
        <v>20471</v>
      </c>
      <c r="K46" s="1415">
        <f t="shared" si="4"/>
        <v>429896</v>
      </c>
      <c r="L46" s="1457"/>
      <c r="M46" s="2120"/>
      <c r="N46" s="2120"/>
      <c r="O46" s="2120"/>
      <c r="P46" s="2120"/>
      <c r="Q46" s="2120"/>
      <c r="R46" s="2120"/>
      <c r="S46" s="2120"/>
      <c r="T46" s="2120"/>
    </row>
    <row r="47" spans="1:20" s="1765" customFormat="1" ht="24" customHeight="1">
      <c r="A47" s="2112" t="s">
        <v>1986</v>
      </c>
      <c r="B47" s="2164" t="s">
        <v>2252</v>
      </c>
      <c r="C47" s="2111"/>
      <c r="D47" s="2165"/>
      <c r="E47" s="825"/>
      <c r="F47" s="1457"/>
      <c r="G47" s="1769"/>
      <c r="H47" s="820"/>
      <c r="I47" s="1455"/>
      <c r="J47" s="820"/>
      <c r="K47" s="1457"/>
      <c r="L47" s="1457"/>
      <c r="M47" s="1710"/>
      <c r="N47" s="1710"/>
      <c r="O47" s="1710"/>
      <c r="P47" s="1710"/>
      <c r="Q47" s="1710"/>
      <c r="R47" s="1710"/>
      <c r="S47" s="1710"/>
      <c r="T47" s="1710"/>
    </row>
    <row r="48" spans="1:20" s="1765" customFormat="1" ht="24" customHeight="1">
      <c r="A48" s="2112"/>
      <c r="B48" s="2164" t="s">
        <v>2253</v>
      </c>
      <c r="C48" s="2111"/>
      <c r="D48" s="2165"/>
      <c r="E48" s="825">
        <f>SUM(E37:E46)</f>
        <v>10</v>
      </c>
      <c r="F48" s="1457" t="s">
        <v>363</v>
      </c>
      <c r="G48" s="1769">
        <v>2000</v>
      </c>
      <c r="H48" s="1413">
        <f t="shared" si="1"/>
        <v>20000</v>
      </c>
      <c r="I48" s="1455" t="s">
        <v>1683</v>
      </c>
      <c r="J48" s="820"/>
      <c r="K48" s="1415">
        <f t="shared" si="4"/>
        <v>20000</v>
      </c>
      <c r="L48" s="1457"/>
      <c r="M48" s="1710"/>
      <c r="N48" s="1710"/>
      <c r="O48" s="1710"/>
      <c r="P48" s="1710"/>
      <c r="Q48" s="1710"/>
      <c r="R48" s="1710"/>
      <c r="S48" s="1710"/>
      <c r="T48" s="1710"/>
    </row>
    <row r="49" spans="1:20" s="1765" customFormat="1" ht="24" customHeight="1">
      <c r="A49" s="1766" t="s">
        <v>1988</v>
      </c>
      <c r="B49" s="1783" t="s">
        <v>2041</v>
      </c>
      <c r="C49" s="1294"/>
      <c r="D49" s="1777"/>
      <c r="E49" s="1686">
        <f>E48</f>
        <v>10</v>
      </c>
      <c r="F49" s="1402" t="s">
        <v>363</v>
      </c>
      <c r="G49" s="1661">
        <v>2400</v>
      </c>
      <c r="H49" s="1413">
        <f t="shared" si="1"/>
        <v>24000</v>
      </c>
      <c r="I49" s="1589">
        <v>720</v>
      </c>
      <c r="J49" s="1413">
        <f t="shared" ref="J49:J50" si="7">ROUND(E49*I49,)</f>
        <v>7200</v>
      </c>
      <c r="K49" s="1415">
        <f t="shared" si="4"/>
        <v>31200</v>
      </c>
      <c r="L49" s="1770"/>
      <c r="M49" s="1710"/>
      <c r="N49" s="1710"/>
      <c r="O49" s="1710"/>
      <c r="P49" s="1710"/>
      <c r="Q49" s="1710"/>
      <c r="R49" s="1710"/>
      <c r="S49" s="1710"/>
      <c r="T49" s="1710"/>
    </row>
    <row r="50" spans="1:20" s="1765" customFormat="1" ht="24" customHeight="1">
      <c r="A50" s="1766" t="s">
        <v>2198</v>
      </c>
      <c r="B50" s="1783" t="s">
        <v>2331</v>
      </c>
      <c r="C50" s="1294"/>
      <c r="D50" s="1777"/>
      <c r="E50" s="1686">
        <f>E48</f>
        <v>10</v>
      </c>
      <c r="F50" s="1402" t="s">
        <v>363</v>
      </c>
      <c r="G50" s="1661">
        <v>4000</v>
      </c>
      <c r="H50" s="1413">
        <f t="shared" si="1"/>
        <v>40000</v>
      </c>
      <c r="I50" s="1589">
        <f t="shared" ref="I50" si="8">G50*0.1</f>
        <v>400</v>
      </c>
      <c r="J50" s="1413">
        <f t="shared" si="7"/>
        <v>4000</v>
      </c>
      <c r="K50" s="1415">
        <f t="shared" si="4"/>
        <v>44000</v>
      </c>
      <c r="L50" s="1770"/>
      <c r="M50" s="1710"/>
      <c r="N50" s="1710"/>
      <c r="O50" s="1710"/>
      <c r="P50" s="1710"/>
      <c r="Q50" s="1710"/>
      <c r="R50" s="1710"/>
      <c r="S50" s="1710"/>
      <c r="T50" s="1710"/>
    </row>
    <row r="51" spans="1:20" s="1765" customFormat="1" ht="24" customHeight="1">
      <c r="A51" s="1578"/>
      <c r="B51" s="2257" t="str">
        <f>"รวมราคารายการที่ "&amp;A35</f>
        <v>รวมราคารายการที่ 7.1</v>
      </c>
      <c r="C51" s="2258"/>
      <c r="D51" s="2259"/>
      <c r="E51" s="1579"/>
      <c r="F51" s="1579"/>
      <c r="G51" s="1580"/>
      <c r="H51" s="1581">
        <f>SUM(H35:H50)</f>
        <v>2739950</v>
      </c>
      <c r="I51" s="1582"/>
      <c r="J51" s="1581">
        <f>SUM(J35:J50)</f>
        <v>153966</v>
      </c>
      <c r="K51" s="1581">
        <f>SUM(K35:K50)</f>
        <v>2893916</v>
      </c>
      <c r="L51" s="1583"/>
      <c r="M51" s="2019"/>
      <c r="N51" s="2019"/>
      <c r="O51" s="2019"/>
      <c r="P51" s="2019"/>
      <c r="Q51" s="2019"/>
      <c r="R51" s="2019"/>
      <c r="S51" s="2019"/>
      <c r="T51" s="2019"/>
    </row>
    <row r="52" spans="1:20" s="1765" customFormat="1" ht="24" customHeight="1">
      <c r="A52" s="1757">
        <v>7.2</v>
      </c>
      <c r="B52" s="1758" t="s">
        <v>1983</v>
      </c>
      <c r="C52" s="1251"/>
      <c r="D52" s="1759"/>
      <c r="E52" s="1760"/>
      <c r="F52" s="1498"/>
      <c r="G52" s="1761"/>
      <c r="H52" s="1762"/>
      <c r="I52" s="1763"/>
      <c r="J52" s="1762"/>
      <c r="K52" s="1764"/>
      <c r="L52" s="1764"/>
      <c r="M52" s="1710"/>
      <c r="N52" s="1710"/>
      <c r="O52" s="1710"/>
      <c r="P52" s="1710"/>
      <c r="Q52" s="1710"/>
      <c r="R52" s="1710"/>
      <c r="S52" s="1710"/>
      <c r="T52" s="1710"/>
    </row>
    <row r="53" spans="1:20" s="1765" customFormat="1" ht="24" customHeight="1">
      <c r="A53" s="1258" t="s">
        <v>1992</v>
      </c>
      <c r="B53" s="1538" t="s">
        <v>2138</v>
      </c>
      <c r="C53" s="1275"/>
      <c r="D53" s="1767"/>
      <c r="E53" s="1771"/>
      <c r="F53" s="1385"/>
      <c r="G53" s="1778"/>
      <c r="H53" s="1594"/>
      <c r="I53" s="1595"/>
      <c r="J53" s="1594"/>
      <c r="K53" s="1632"/>
      <c r="L53" s="1632"/>
      <c r="M53" s="1710"/>
      <c r="N53" s="1710"/>
      <c r="O53" s="1710"/>
      <c r="P53" s="1710"/>
      <c r="Q53" s="1710"/>
      <c r="R53" s="1710"/>
      <c r="S53" s="1710"/>
      <c r="T53" s="1710"/>
    </row>
    <row r="54" spans="1:20" s="1765" customFormat="1" ht="24" customHeight="1">
      <c r="A54" s="1258" t="s">
        <v>2139</v>
      </c>
      <c r="B54" s="1538" t="s">
        <v>2140</v>
      </c>
      <c r="C54" s="1275"/>
      <c r="D54" s="1767"/>
      <c r="E54" s="1771"/>
      <c r="F54" s="1385"/>
      <c r="G54" s="1778"/>
      <c r="H54" s="1594"/>
      <c r="I54" s="1595"/>
      <c r="J54" s="1594"/>
      <c r="K54" s="1632"/>
      <c r="L54" s="1632"/>
      <c r="M54" s="1710"/>
      <c r="N54" s="1710"/>
      <c r="O54" s="1710"/>
      <c r="P54" s="1710"/>
      <c r="Q54" s="1710"/>
      <c r="R54" s="1710"/>
      <c r="S54" s="1710"/>
      <c r="T54" s="1710"/>
    </row>
    <row r="55" spans="1:20" s="1765" customFormat="1" ht="24" customHeight="1">
      <c r="A55" s="2113"/>
      <c r="B55" s="2114" t="s">
        <v>1821</v>
      </c>
      <c r="C55" s="2108"/>
      <c r="D55" s="2109"/>
      <c r="E55" s="1834">
        <v>4</v>
      </c>
      <c r="F55" s="1466" t="s">
        <v>363</v>
      </c>
      <c r="G55" s="2161">
        <v>3300</v>
      </c>
      <c r="H55" s="2156">
        <f t="shared" ref="H55:H57" si="9">ROUND(E55*G55,)</f>
        <v>13200</v>
      </c>
      <c r="I55" s="2162">
        <v>150</v>
      </c>
      <c r="J55" s="2156">
        <f t="shared" ref="J55:J57" si="10">ROUND(E55*I55,)</f>
        <v>600</v>
      </c>
      <c r="K55" s="1853">
        <f t="shared" ref="K55:K57" si="11">H55+J55</f>
        <v>13800</v>
      </c>
      <c r="L55" s="1415"/>
      <c r="M55" s="1710"/>
      <c r="N55" s="1710"/>
      <c r="O55" s="1710"/>
      <c r="P55" s="1710"/>
      <c r="Q55" s="1710"/>
      <c r="R55" s="1710"/>
      <c r="S55" s="1710"/>
      <c r="T55" s="1710"/>
    </row>
    <row r="56" spans="1:20" s="2116" customFormat="1" ht="24" customHeight="1">
      <c r="A56" s="2113"/>
      <c r="B56" s="2114" t="s">
        <v>1715</v>
      </c>
      <c r="C56" s="2108"/>
      <c r="D56" s="2109"/>
      <c r="E56" s="1834">
        <v>6</v>
      </c>
      <c r="F56" s="1466" t="s">
        <v>363</v>
      </c>
      <c r="G56" s="2161">
        <v>55000</v>
      </c>
      <c r="H56" s="2156">
        <f t="shared" si="9"/>
        <v>330000</v>
      </c>
      <c r="I56" s="2162">
        <v>500</v>
      </c>
      <c r="J56" s="2156">
        <f t="shared" si="10"/>
        <v>3000</v>
      </c>
      <c r="K56" s="1853">
        <f t="shared" si="11"/>
        <v>333000</v>
      </c>
      <c r="L56" s="1415"/>
      <c r="M56" s="2120"/>
      <c r="N56" s="2120"/>
      <c r="O56" s="2120"/>
      <c r="P56" s="2120"/>
      <c r="Q56" s="2120"/>
      <c r="R56" s="2120"/>
      <c r="S56" s="2120"/>
      <c r="T56" s="2120"/>
    </row>
    <row r="57" spans="1:20" s="2116" customFormat="1" ht="24" customHeight="1">
      <c r="A57" s="2113" t="s">
        <v>2036</v>
      </c>
      <c r="B57" s="2114" t="s">
        <v>2727</v>
      </c>
      <c r="C57" s="2108"/>
      <c r="D57" s="2109"/>
      <c r="E57" s="715"/>
      <c r="F57" s="1466" t="s">
        <v>363</v>
      </c>
      <c r="G57" s="2161">
        <v>16150</v>
      </c>
      <c r="H57" s="2156">
        <f t="shared" si="9"/>
        <v>0</v>
      </c>
      <c r="I57" s="2162">
        <v>500</v>
      </c>
      <c r="J57" s="2156">
        <f t="shared" si="10"/>
        <v>0</v>
      </c>
      <c r="K57" s="1853">
        <f t="shared" si="11"/>
        <v>0</v>
      </c>
      <c r="L57" s="1415"/>
      <c r="M57" s="2120"/>
      <c r="N57" s="2120"/>
      <c r="O57" s="2120"/>
      <c r="P57" s="2120"/>
      <c r="Q57" s="2120"/>
      <c r="R57" s="2120"/>
      <c r="S57" s="2120"/>
      <c r="T57" s="2120"/>
    </row>
    <row r="58" spans="1:20" s="1765" customFormat="1" ht="24" customHeight="1">
      <c r="A58" s="2163"/>
      <c r="B58" s="2114" t="s">
        <v>1117</v>
      </c>
      <c r="C58" s="2108"/>
      <c r="D58" s="2109"/>
      <c r="E58" s="715"/>
      <c r="F58" s="1415"/>
      <c r="G58" s="1772"/>
      <c r="H58" s="1413"/>
      <c r="I58" s="1386"/>
      <c r="J58" s="1413"/>
      <c r="K58" s="1415"/>
      <c r="L58" s="1415"/>
      <c r="M58" s="1710"/>
      <c r="N58" s="1710"/>
      <c r="O58" s="1710"/>
      <c r="P58" s="1710"/>
      <c r="Q58" s="1710"/>
      <c r="R58" s="1710"/>
      <c r="S58" s="1710"/>
      <c r="T58" s="1710"/>
    </row>
    <row r="59" spans="1:20" s="1765" customFormat="1" ht="24" customHeight="1">
      <c r="A59" s="1578"/>
      <c r="B59" s="2257" t="str">
        <f>"รวมราคารายการที่ "&amp;A52</f>
        <v>รวมราคารายการที่ 7.2</v>
      </c>
      <c r="C59" s="2258"/>
      <c r="D59" s="2259"/>
      <c r="E59" s="1579"/>
      <c r="F59" s="1579"/>
      <c r="G59" s="1580"/>
      <c r="H59" s="1581">
        <f>SUM(H53:H58)</f>
        <v>343200</v>
      </c>
      <c r="I59" s="1582"/>
      <c r="J59" s="1581">
        <f>SUM(J53:J58)</f>
        <v>3600</v>
      </c>
      <c r="K59" s="1581">
        <f>SUM(K53:K58)</f>
        <v>346800</v>
      </c>
      <c r="L59" s="1583"/>
      <c r="M59" s="2019"/>
      <c r="N59" s="2019"/>
      <c r="O59" s="2019"/>
      <c r="P59" s="2019"/>
      <c r="Q59" s="2019"/>
      <c r="R59" s="2019"/>
      <c r="S59" s="2019"/>
      <c r="T59" s="2019"/>
    </row>
    <row r="60" spans="1:20" s="1765" customFormat="1" ht="24" customHeight="1">
      <c r="A60" s="1847">
        <v>7.3</v>
      </c>
      <c r="B60" s="1848" t="s">
        <v>1991</v>
      </c>
      <c r="C60" s="1849"/>
      <c r="D60" s="1850"/>
      <c r="E60" s="825"/>
      <c r="F60" s="1457"/>
      <c r="G60" s="1769"/>
      <c r="H60" s="820"/>
      <c r="I60" s="1455"/>
      <c r="J60" s="820"/>
      <c r="K60" s="1457"/>
      <c r="L60" s="1457"/>
      <c r="M60" s="2023"/>
      <c r="N60" s="2023"/>
      <c r="O60" s="2023"/>
      <c r="P60" s="2023"/>
      <c r="Q60" s="2023"/>
      <c r="R60" s="2023"/>
      <c r="S60" s="2023"/>
      <c r="T60" s="2023"/>
    </row>
    <row r="61" spans="1:20" s="1765" customFormat="1" ht="24" customHeight="1">
      <c r="A61" s="1782" t="s">
        <v>2043</v>
      </c>
      <c r="B61" s="1780" t="s">
        <v>1993</v>
      </c>
      <c r="C61" s="1260"/>
      <c r="D61" s="1781"/>
      <c r="E61" s="715"/>
      <c r="F61" s="1415"/>
      <c r="G61" s="1772"/>
      <c r="H61" s="1413"/>
      <c r="I61" s="1386"/>
      <c r="J61" s="1413"/>
      <c r="K61" s="1415"/>
      <c r="L61" s="1415"/>
      <c r="M61" s="2023"/>
      <c r="N61" s="2023"/>
      <c r="O61" s="2023"/>
      <c r="P61" s="2023"/>
      <c r="Q61" s="2023"/>
      <c r="R61" s="2023"/>
      <c r="S61" s="2023"/>
      <c r="T61" s="2023"/>
    </row>
    <row r="62" spans="1:20" s="1765" customFormat="1" ht="24" customHeight="1">
      <c r="A62" s="1782"/>
      <c r="B62" s="1780" t="s">
        <v>2254</v>
      </c>
      <c r="C62" s="1260"/>
      <c r="D62" s="1781"/>
      <c r="E62" s="715">
        <v>1</v>
      </c>
      <c r="F62" s="1415" t="s">
        <v>363</v>
      </c>
      <c r="G62" s="1772">
        <v>1700</v>
      </c>
      <c r="H62" s="1413">
        <f t="shared" ref="H62:H65" si="12">ROUND(E62*G62,)</f>
        <v>1700</v>
      </c>
      <c r="I62" s="1386">
        <v>450</v>
      </c>
      <c r="J62" s="1413">
        <f t="shared" ref="J62:J65" si="13">ROUND(E62*I62,)</f>
        <v>450</v>
      </c>
      <c r="K62" s="1415">
        <f t="shared" ref="K62:K65" si="14">H62+J62</f>
        <v>2150</v>
      </c>
      <c r="L62" s="1415"/>
      <c r="M62" s="2023"/>
      <c r="N62" s="2023"/>
      <c r="O62" s="2023"/>
      <c r="P62" s="2023"/>
      <c r="Q62" s="2023"/>
      <c r="R62" s="2023"/>
      <c r="S62" s="2023"/>
      <c r="T62" s="2023"/>
    </row>
    <row r="63" spans="1:20" s="1765" customFormat="1" ht="24" customHeight="1">
      <c r="A63" s="1782"/>
      <c r="B63" s="1780" t="s">
        <v>2627</v>
      </c>
      <c r="C63" s="1260"/>
      <c r="D63" s="1781"/>
      <c r="E63" s="715">
        <v>1</v>
      </c>
      <c r="F63" s="1415" t="s">
        <v>363</v>
      </c>
      <c r="G63" s="1772">
        <v>1700</v>
      </c>
      <c r="H63" s="1413">
        <f t="shared" si="12"/>
        <v>1700</v>
      </c>
      <c r="I63" s="1386">
        <v>450</v>
      </c>
      <c r="J63" s="1413">
        <f t="shared" si="13"/>
        <v>450</v>
      </c>
      <c r="K63" s="1415">
        <f t="shared" si="14"/>
        <v>2150</v>
      </c>
      <c r="L63" s="1415"/>
      <c r="M63" s="2023"/>
      <c r="N63" s="2023"/>
      <c r="O63" s="2023"/>
      <c r="P63" s="2023"/>
      <c r="Q63" s="2023"/>
      <c r="R63" s="2023"/>
      <c r="S63" s="2023"/>
      <c r="T63" s="2023"/>
    </row>
    <row r="64" spans="1:20" s="1765" customFormat="1" ht="24" customHeight="1">
      <c r="A64" s="1782"/>
      <c r="B64" s="1780" t="s">
        <v>2628</v>
      </c>
      <c r="C64" s="1260"/>
      <c r="D64" s="1781"/>
      <c r="E64" s="715">
        <v>1</v>
      </c>
      <c r="F64" s="1415" t="s">
        <v>363</v>
      </c>
      <c r="G64" s="1772">
        <v>1700</v>
      </c>
      <c r="H64" s="1413">
        <f t="shared" si="12"/>
        <v>1700</v>
      </c>
      <c r="I64" s="1386">
        <v>450</v>
      </c>
      <c r="J64" s="1413">
        <f t="shared" si="13"/>
        <v>450</v>
      </c>
      <c r="K64" s="1415">
        <f t="shared" si="14"/>
        <v>2150</v>
      </c>
      <c r="L64" s="1415"/>
      <c r="M64" s="2023"/>
      <c r="N64" s="2023"/>
      <c r="O64" s="2023"/>
      <c r="P64" s="2023"/>
      <c r="Q64" s="2023"/>
      <c r="R64" s="2023"/>
      <c r="S64" s="2023"/>
      <c r="T64" s="2023"/>
    </row>
    <row r="65" spans="1:20" s="1765" customFormat="1" ht="24" customHeight="1">
      <c r="A65" s="1782" t="s">
        <v>2047</v>
      </c>
      <c r="B65" s="1780" t="s">
        <v>2041</v>
      </c>
      <c r="C65" s="1260"/>
      <c r="D65" s="1781"/>
      <c r="E65" s="715">
        <f>SUM(E62:E64)</f>
        <v>3</v>
      </c>
      <c r="F65" s="1415" t="s">
        <v>363</v>
      </c>
      <c r="G65" s="1772">
        <v>1200</v>
      </c>
      <c r="H65" s="1413">
        <f t="shared" si="12"/>
        <v>3600</v>
      </c>
      <c r="I65" s="1386">
        <v>360</v>
      </c>
      <c r="J65" s="1413">
        <f t="shared" si="13"/>
        <v>1080</v>
      </c>
      <c r="K65" s="1415">
        <f t="shared" si="14"/>
        <v>4680</v>
      </c>
      <c r="L65" s="1415"/>
      <c r="M65" s="2023"/>
      <c r="N65" s="2023"/>
      <c r="O65" s="2023"/>
      <c r="P65" s="2023"/>
      <c r="Q65" s="2023"/>
      <c r="R65" s="2023"/>
      <c r="S65" s="2023"/>
      <c r="T65" s="2023"/>
    </row>
    <row r="66" spans="1:20" s="1765" customFormat="1" ht="24" customHeight="1">
      <c r="A66" s="1779"/>
      <c r="B66" s="1780" t="s">
        <v>1117</v>
      </c>
      <c r="C66" s="1260"/>
      <c r="D66" s="1781"/>
      <c r="E66" s="715"/>
      <c r="F66" s="1415"/>
      <c r="G66" s="1772"/>
      <c r="H66" s="1413"/>
      <c r="I66" s="1386"/>
      <c r="J66" s="1413"/>
      <c r="K66" s="1415"/>
      <c r="L66" s="1415"/>
      <c r="M66" s="2023"/>
      <c r="N66" s="2023"/>
      <c r="O66" s="2023"/>
      <c r="P66" s="2023"/>
      <c r="Q66" s="2023"/>
      <c r="R66" s="2023"/>
      <c r="S66" s="2023"/>
      <c r="T66" s="2023"/>
    </row>
    <row r="67" spans="1:20" s="1765" customFormat="1" ht="24" customHeight="1">
      <c r="A67" s="2097"/>
      <c r="B67" s="1799" t="s">
        <v>1118</v>
      </c>
      <c r="C67" s="1375"/>
      <c r="D67" s="1851"/>
      <c r="E67" s="2098"/>
      <c r="F67" s="2099"/>
      <c r="G67" s="2100"/>
      <c r="H67" s="2101"/>
      <c r="I67" s="2102"/>
      <c r="J67" s="2101"/>
      <c r="K67" s="2099"/>
      <c r="L67" s="2099"/>
      <c r="M67" s="2023"/>
      <c r="N67" s="2023"/>
      <c r="O67" s="2023"/>
      <c r="P67" s="2023"/>
      <c r="Q67" s="2023"/>
      <c r="R67" s="2023"/>
      <c r="S67" s="2023"/>
      <c r="T67" s="2023"/>
    </row>
    <row r="68" spans="1:20" s="1765" customFormat="1" ht="24" customHeight="1">
      <c r="A68" s="1578"/>
      <c r="B68" s="2257" t="str">
        <f>"รวมราคารายการที่ "&amp;A60</f>
        <v>รวมราคารายการที่ 7.3</v>
      </c>
      <c r="C68" s="2258"/>
      <c r="D68" s="2259"/>
      <c r="E68" s="1579"/>
      <c r="F68" s="1579"/>
      <c r="G68" s="1580"/>
      <c r="H68" s="1581">
        <f>SUM(H61:H67)</f>
        <v>8700</v>
      </c>
      <c r="I68" s="1582"/>
      <c r="J68" s="1581">
        <f>SUM(J61:J67)</f>
        <v>2430</v>
      </c>
      <c r="K68" s="1583">
        <f>SUM(K61:K67)</f>
        <v>11130</v>
      </c>
      <c r="L68" s="1583"/>
      <c r="M68" s="2019"/>
      <c r="N68" s="2019"/>
      <c r="O68" s="2019"/>
      <c r="P68" s="2019"/>
      <c r="Q68" s="2019"/>
      <c r="R68" s="2019"/>
      <c r="S68" s="2019"/>
      <c r="T68" s="2019"/>
    </row>
    <row r="69" spans="1:20" s="1765" customFormat="1" ht="24" customHeight="1">
      <c r="A69" s="1291">
        <v>7.4</v>
      </c>
      <c r="B69" s="1852" t="s">
        <v>2255</v>
      </c>
      <c r="C69" s="1293"/>
      <c r="D69" s="1777"/>
      <c r="E69" s="1686"/>
      <c r="F69" s="1402"/>
      <c r="G69" s="1661"/>
      <c r="H69" s="1588"/>
      <c r="I69" s="1589"/>
      <c r="J69" s="1588"/>
      <c r="K69" s="1770"/>
      <c r="L69" s="1770"/>
      <c r="M69" s="1710"/>
      <c r="N69" s="1710"/>
      <c r="O69" s="1710"/>
      <c r="P69" s="1710"/>
      <c r="Q69" s="1710"/>
      <c r="R69" s="1710"/>
      <c r="S69" s="1710"/>
      <c r="T69" s="1710"/>
    </row>
    <row r="70" spans="1:20" s="1765" customFormat="1" ht="24" customHeight="1">
      <c r="A70" s="1766" t="s">
        <v>2054</v>
      </c>
      <c r="B70" s="1538" t="s">
        <v>2256</v>
      </c>
      <c r="C70" s="1275"/>
      <c r="D70" s="1767"/>
      <c r="E70" s="1686"/>
      <c r="F70" s="1402"/>
      <c r="G70" s="1661"/>
      <c r="H70" s="1588"/>
      <c r="I70" s="1589"/>
      <c r="J70" s="1588"/>
      <c r="K70" s="1770"/>
      <c r="L70" s="1770"/>
      <c r="M70" s="1710"/>
      <c r="N70" s="1710"/>
      <c r="O70" s="1710"/>
      <c r="P70" s="1710"/>
      <c r="Q70" s="1710"/>
      <c r="R70" s="1710"/>
      <c r="S70" s="1710"/>
      <c r="T70" s="1710"/>
    </row>
    <row r="71" spans="1:20" s="1765" customFormat="1" ht="24" customHeight="1">
      <c r="A71" s="1766"/>
      <c r="B71" s="1538" t="s">
        <v>2257</v>
      </c>
      <c r="C71" s="1275"/>
      <c r="D71" s="1767"/>
      <c r="E71" s="1686">
        <v>4</v>
      </c>
      <c r="F71" s="1402" t="s">
        <v>363</v>
      </c>
      <c r="G71" s="1661">
        <v>650</v>
      </c>
      <c r="H71" s="1588">
        <f t="shared" ref="H71:H74" si="15">ROUND(E71*G71,)</f>
        <v>2600</v>
      </c>
      <c r="I71" s="1589">
        <v>150</v>
      </c>
      <c r="J71" s="1588">
        <f t="shared" ref="J71:J74" si="16">ROUND(E71*I71,)</f>
        <v>600</v>
      </c>
      <c r="K71" s="1770">
        <f t="shared" ref="K71:K74" si="17">H71+J71</f>
        <v>3200</v>
      </c>
      <c r="L71" s="1770"/>
      <c r="M71" s="1710"/>
      <c r="N71" s="1710"/>
      <c r="O71" s="1710"/>
      <c r="P71" s="1710"/>
      <c r="Q71" s="1710"/>
      <c r="R71" s="1710"/>
      <c r="S71" s="1710"/>
      <c r="T71" s="1710"/>
    </row>
    <row r="72" spans="1:20" s="1765" customFormat="1" ht="24" customHeight="1">
      <c r="A72" s="1766" t="s">
        <v>2056</v>
      </c>
      <c r="B72" s="1538" t="s">
        <v>2258</v>
      </c>
      <c r="C72" s="1275"/>
      <c r="D72" s="1767"/>
      <c r="E72" s="1686">
        <v>8</v>
      </c>
      <c r="F72" s="1402" t="s">
        <v>363</v>
      </c>
      <c r="G72" s="1661">
        <v>2400</v>
      </c>
      <c r="H72" s="1588">
        <f t="shared" si="15"/>
        <v>19200</v>
      </c>
      <c r="I72" s="1589">
        <v>150</v>
      </c>
      <c r="J72" s="1588">
        <f t="shared" si="16"/>
        <v>1200</v>
      </c>
      <c r="K72" s="1770">
        <f t="shared" si="17"/>
        <v>20400</v>
      </c>
      <c r="L72" s="1770"/>
      <c r="M72" s="1710"/>
      <c r="N72" s="1710"/>
      <c r="O72" s="1710"/>
      <c r="P72" s="1710"/>
      <c r="Q72" s="1710"/>
      <c r="R72" s="1710"/>
      <c r="S72" s="1710"/>
      <c r="T72" s="1710"/>
    </row>
    <row r="73" spans="1:20" s="1765" customFormat="1" ht="24" customHeight="1">
      <c r="A73" s="1766" t="s">
        <v>2059</v>
      </c>
      <c r="B73" s="1538" t="s">
        <v>2259</v>
      </c>
      <c r="C73" s="1275"/>
      <c r="D73" s="1767"/>
      <c r="E73" s="1686">
        <v>8</v>
      </c>
      <c r="F73" s="1402" t="s">
        <v>363</v>
      </c>
      <c r="G73" s="1661">
        <v>2200</v>
      </c>
      <c r="H73" s="1588">
        <f t="shared" si="15"/>
        <v>17600</v>
      </c>
      <c r="I73" s="1589">
        <v>150</v>
      </c>
      <c r="J73" s="1588">
        <f t="shared" si="16"/>
        <v>1200</v>
      </c>
      <c r="K73" s="1770">
        <f t="shared" si="17"/>
        <v>18800</v>
      </c>
      <c r="L73" s="1770"/>
      <c r="M73" s="1710"/>
      <c r="N73" s="1710"/>
      <c r="O73" s="1710"/>
      <c r="P73" s="1710"/>
      <c r="Q73" s="1710"/>
      <c r="R73" s="1710"/>
      <c r="S73" s="1710"/>
      <c r="T73" s="1710"/>
    </row>
    <row r="74" spans="1:20" s="1765" customFormat="1" ht="24" customHeight="1">
      <c r="A74" s="1766" t="s">
        <v>2260</v>
      </c>
      <c r="B74" s="1538" t="s">
        <v>2261</v>
      </c>
      <c r="C74" s="1275"/>
      <c r="D74" s="1767"/>
      <c r="E74" s="1686">
        <v>1</v>
      </c>
      <c r="F74" s="1402" t="s">
        <v>1104</v>
      </c>
      <c r="G74" s="1661">
        <f>4*2500</f>
        <v>10000</v>
      </c>
      <c r="H74" s="1588">
        <f t="shared" si="15"/>
        <v>10000</v>
      </c>
      <c r="I74" s="1589">
        <f>G74*0.3</f>
        <v>3000</v>
      </c>
      <c r="J74" s="1588">
        <f t="shared" si="16"/>
        <v>3000</v>
      </c>
      <c r="K74" s="1770">
        <f t="shared" si="17"/>
        <v>13000</v>
      </c>
      <c r="L74" s="1770"/>
      <c r="M74" s="1710"/>
      <c r="N74" s="1710"/>
      <c r="O74" s="1710"/>
      <c r="P74" s="1710"/>
      <c r="Q74" s="1710"/>
      <c r="R74" s="1710"/>
      <c r="S74" s="1710"/>
      <c r="T74" s="1710"/>
    </row>
    <row r="75" spans="1:20" s="1765" customFormat="1" ht="24" customHeight="1">
      <c r="A75" s="1766"/>
      <c r="B75" s="1538" t="s">
        <v>1117</v>
      </c>
      <c r="C75" s="1275"/>
      <c r="D75" s="1767"/>
      <c r="E75" s="1686"/>
      <c r="F75" s="1402"/>
      <c r="G75" s="1661"/>
      <c r="H75" s="1588"/>
      <c r="I75" s="1589"/>
      <c r="J75" s="1588"/>
      <c r="K75" s="1770"/>
      <c r="L75" s="1770"/>
      <c r="M75" s="1710"/>
      <c r="N75" s="1710"/>
      <c r="O75" s="1710"/>
      <c r="P75" s="1710"/>
      <c r="Q75" s="1710"/>
      <c r="R75" s="1710"/>
      <c r="S75" s="1710"/>
      <c r="T75" s="1710"/>
    </row>
    <row r="76" spans="1:20" s="1765" customFormat="1" ht="24" customHeight="1">
      <c r="A76" s="1578"/>
      <c r="B76" s="2257" t="str">
        <f>"รวมราคารายการที่ "&amp;A69</f>
        <v>รวมราคารายการที่ 7.4</v>
      </c>
      <c r="C76" s="2258"/>
      <c r="D76" s="2259"/>
      <c r="E76" s="1579"/>
      <c r="F76" s="1579"/>
      <c r="G76" s="1580"/>
      <c r="H76" s="1581">
        <f>SUM(H70:H75)</f>
        <v>49400</v>
      </c>
      <c r="I76" s="1582"/>
      <c r="J76" s="1581">
        <f>SUM(J70:J75)</f>
        <v>6000</v>
      </c>
      <c r="K76" s="1583">
        <f>SUM(K70:K75)</f>
        <v>55400</v>
      </c>
      <c r="L76" s="1583"/>
      <c r="M76" s="2019"/>
      <c r="N76" s="2019"/>
      <c r="O76" s="2019"/>
      <c r="P76" s="2019"/>
      <c r="Q76" s="2019"/>
      <c r="R76" s="2019"/>
      <c r="S76" s="2019"/>
      <c r="T76" s="2019"/>
    </row>
    <row r="77" spans="1:20" s="1765" customFormat="1" ht="24" customHeight="1">
      <c r="A77" s="1291">
        <v>7.5</v>
      </c>
      <c r="B77" s="1776" t="s">
        <v>2042</v>
      </c>
      <c r="C77" s="1294"/>
      <c r="D77" s="1777"/>
      <c r="E77" s="1686"/>
      <c r="F77" s="1402"/>
      <c r="G77" s="1661"/>
      <c r="H77" s="1588"/>
      <c r="I77" s="1589"/>
      <c r="J77" s="1588"/>
      <c r="K77" s="1770"/>
      <c r="L77" s="1770"/>
      <c r="M77" s="1710"/>
      <c r="N77" s="1710"/>
      <c r="O77" s="1710"/>
      <c r="P77" s="1710"/>
      <c r="Q77" s="1710"/>
      <c r="R77" s="1710"/>
      <c r="S77" s="1710"/>
      <c r="T77" s="1710"/>
    </row>
    <row r="78" spans="1:20" s="1765" customFormat="1" ht="24" customHeight="1">
      <c r="A78" s="1258" t="s">
        <v>2062</v>
      </c>
      <c r="B78" s="1538" t="s">
        <v>2044</v>
      </c>
      <c r="C78" s="1275"/>
      <c r="D78" s="1767"/>
      <c r="E78" s="1771"/>
      <c r="F78" s="1385"/>
      <c r="G78" s="1778"/>
      <c r="H78" s="1594"/>
      <c r="I78" s="1595"/>
      <c r="J78" s="1594"/>
      <c r="K78" s="1632"/>
      <c r="L78" s="1632"/>
      <c r="M78" s="1710"/>
      <c r="N78" s="1710"/>
      <c r="O78" s="1710"/>
      <c r="P78" s="1710"/>
      <c r="Q78" s="1710"/>
      <c r="R78" s="1710"/>
      <c r="S78" s="1710"/>
      <c r="T78" s="1710"/>
    </row>
    <row r="79" spans="1:20" s="1765" customFormat="1" ht="24" customHeight="1">
      <c r="A79" s="1189" t="s">
        <v>2262</v>
      </c>
      <c r="B79" s="1538" t="s">
        <v>2167</v>
      </c>
      <c r="C79" s="1275"/>
      <c r="D79" s="1767"/>
      <c r="E79" s="1771"/>
      <c r="F79" s="1385"/>
      <c r="G79" s="1778"/>
      <c r="H79" s="1594"/>
      <c r="I79" s="1595"/>
      <c r="J79" s="1594"/>
      <c r="K79" s="1632"/>
      <c r="L79" s="1632"/>
      <c r="M79" s="1710"/>
      <c r="N79" s="1710"/>
      <c r="O79" s="1710"/>
      <c r="P79" s="1710"/>
      <c r="Q79" s="1710"/>
      <c r="R79" s="1710"/>
      <c r="S79" s="1710"/>
      <c r="T79" s="1710"/>
    </row>
    <row r="80" spans="1:20" s="1765" customFormat="1" ht="24" customHeight="1">
      <c r="A80" s="1258"/>
      <c r="B80" s="1538" t="s">
        <v>1339</v>
      </c>
      <c r="C80" s="1275"/>
      <c r="D80" s="1767"/>
      <c r="E80" s="1771">
        <v>29</v>
      </c>
      <c r="F80" s="1358" t="s">
        <v>226</v>
      </c>
      <c r="G80" s="1541">
        <v>167</v>
      </c>
      <c r="H80" s="1773">
        <f t="shared" ref="H80:H87" si="18">ROUND(E80*G80,)</f>
        <v>4843</v>
      </c>
      <c r="I80" s="2007">
        <v>70</v>
      </c>
      <c r="J80" s="2008">
        <f t="shared" ref="J80:J87" si="19">ROUND(E80*I80,)</f>
        <v>2030</v>
      </c>
      <c r="K80" s="1774">
        <f t="shared" ref="K80:K87" si="20">H80+J80</f>
        <v>6873</v>
      </c>
      <c r="L80" s="1632"/>
      <c r="M80" s="1710"/>
      <c r="N80" s="1710"/>
      <c r="O80" s="1710"/>
      <c r="P80" s="1710"/>
      <c r="Q80" s="1710"/>
      <c r="R80" s="1710"/>
      <c r="S80" s="1710"/>
      <c r="T80" s="1710"/>
    </row>
    <row r="81" spans="1:20" s="1765" customFormat="1" ht="24" customHeight="1">
      <c r="A81" s="1258"/>
      <c r="B81" s="1538" t="s">
        <v>1340</v>
      </c>
      <c r="C81" s="1275"/>
      <c r="D81" s="2109"/>
      <c r="E81" s="715">
        <v>20</v>
      </c>
      <c r="F81" s="1262" t="s">
        <v>226</v>
      </c>
      <c r="G81" s="1541">
        <v>225</v>
      </c>
      <c r="H81" s="1773">
        <f t="shared" si="18"/>
        <v>4500</v>
      </c>
      <c r="I81" s="2007">
        <v>95</v>
      </c>
      <c r="J81" s="2008">
        <f t="shared" si="19"/>
        <v>1900</v>
      </c>
      <c r="K81" s="1774">
        <f t="shared" si="20"/>
        <v>6400</v>
      </c>
      <c r="L81" s="1632"/>
      <c r="M81" s="1710"/>
      <c r="N81" s="1710"/>
      <c r="O81" s="1710"/>
      <c r="P81" s="1710"/>
      <c r="Q81" s="1710"/>
      <c r="R81" s="1710"/>
      <c r="S81" s="1710"/>
      <c r="T81" s="1710"/>
    </row>
    <row r="82" spans="1:20" s="1765" customFormat="1" ht="24" customHeight="1">
      <c r="A82" s="1784"/>
      <c r="B82" s="1780" t="s">
        <v>1341</v>
      </c>
      <c r="C82" s="1260"/>
      <c r="D82" s="2109"/>
      <c r="E82" s="825">
        <f>89+(78*2)</f>
        <v>245</v>
      </c>
      <c r="F82" s="1356" t="s">
        <v>226</v>
      </c>
      <c r="G82" s="2021">
        <v>357</v>
      </c>
      <c r="H82" s="1773">
        <f t="shared" si="18"/>
        <v>87465</v>
      </c>
      <c r="I82" s="819">
        <v>150</v>
      </c>
      <c r="J82" s="2008">
        <f t="shared" si="19"/>
        <v>36750</v>
      </c>
      <c r="K82" s="1774">
        <f t="shared" si="20"/>
        <v>124215</v>
      </c>
      <c r="L82" s="1457"/>
      <c r="M82" s="2023"/>
      <c r="N82" s="2023"/>
      <c r="O82" s="2023"/>
      <c r="P82" s="2023"/>
      <c r="Q82" s="2023"/>
      <c r="R82" s="2023"/>
      <c r="S82" s="2023"/>
      <c r="T82" s="2023"/>
    </row>
    <row r="83" spans="1:20" s="1765" customFormat="1" ht="24" customHeight="1">
      <c r="A83" s="1784"/>
      <c r="B83" s="1780" t="s">
        <v>1342</v>
      </c>
      <c r="C83" s="1260"/>
      <c r="D83" s="2109"/>
      <c r="E83" s="825">
        <f>42+(78*2*1.1)</f>
        <v>213.60000000000002</v>
      </c>
      <c r="F83" s="1356" t="s">
        <v>226</v>
      </c>
      <c r="G83" s="2021">
        <v>467</v>
      </c>
      <c r="H83" s="1773">
        <f t="shared" si="18"/>
        <v>99751</v>
      </c>
      <c r="I83" s="819">
        <v>200</v>
      </c>
      <c r="J83" s="2008">
        <f t="shared" si="19"/>
        <v>42720</v>
      </c>
      <c r="K83" s="1774">
        <f t="shared" si="20"/>
        <v>142471</v>
      </c>
      <c r="L83" s="1457"/>
      <c r="M83" s="2023"/>
      <c r="N83" s="2023"/>
      <c r="O83" s="2023"/>
      <c r="P83" s="2023"/>
      <c r="Q83" s="2023"/>
      <c r="R83" s="2023"/>
      <c r="S83" s="2023"/>
      <c r="T83" s="2023"/>
    </row>
    <row r="84" spans="1:20" s="1765" customFormat="1" ht="24" customHeight="1">
      <c r="A84" s="1784"/>
      <c r="B84" s="1780" t="s">
        <v>1111</v>
      </c>
      <c r="C84" s="1260"/>
      <c r="D84" s="2109"/>
      <c r="E84" s="825">
        <f>51.5*2*1.1</f>
        <v>113.30000000000001</v>
      </c>
      <c r="F84" s="1356" t="s">
        <v>226</v>
      </c>
      <c r="G84" s="2021">
        <v>665</v>
      </c>
      <c r="H84" s="1773">
        <f t="shared" si="18"/>
        <v>75345</v>
      </c>
      <c r="I84" s="819">
        <v>280</v>
      </c>
      <c r="J84" s="2008">
        <f t="shared" si="19"/>
        <v>31724</v>
      </c>
      <c r="K84" s="1774">
        <f t="shared" si="20"/>
        <v>107069</v>
      </c>
      <c r="L84" s="1457"/>
      <c r="M84" s="2023"/>
      <c r="N84" s="2023"/>
      <c r="O84" s="2023"/>
      <c r="P84" s="2023"/>
      <c r="Q84" s="2023"/>
      <c r="R84" s="2023"/>
      <c r="S84" s="2023"/>
      <c r="T84" s="2023"/>
    </row>
    <row r="85" spans="1:20" s="1765" customFormat="1" ht="24" customHeight="1">
      <c r="A85" s="1258"/>
      <c r="B85" s="1538" t="s">
        <v>1719</v>
      </c>
      <c r="C85" s="1275"/>
      <c r="D85" s="2109"/>
      <c r="E85" s="715">
        <v>1</v>
      </c>
      <c r="F85" s="1415" t="s">
        <v>1104</v>
      </c>
      <c r="G85" s="1778">
        <f>SUM(H80:H84)*50%</f>
        <v>135952</v>
      </c>
      <c r="H85" s="1264">
        <f t="shared" si="18"/>
        <v>135952</v>
      </c>
      <c r="I85" s="1265">
        <f>ROUND(G85*0.3,)</f>
        <v>40786</v>
      </c>
      <c r="J85" s="1264">
        <f t="shared" si="19"/>
        <v>40786</v>
      </c>
      <c r="K85" s="1273">
        <f t="shared" si="20"/>
        <v>176738</v>
      </c>
      <c r="L85" s="1632"/>
      <c r="M85" s="1710"/>
      <c r="N85" s="1710"/>
      <c r="O85" s="1710"/>
      <c r="P85" s="1710"/>
      <c r="Q85" s="1710"/>
      <c r="R85" s="1710"/>
      <c r="S85" s="1710"/>
      <c r="T85" s="1710"/>
    </row>
    <row r="86" spans="1:20" s="1765" customFormat="1" ht="24" customHeight="1">
      <c r="A86" s="1258"/>
      <c r="B86" s="1538" t="s">
        <v>1720</v>
      </c>
      <c r="C86" s="1275"/>
      <c r="D86" s="1767"/>
      <c r="E86" s="1771">
        <v>1</v>
      </c>
      <c r="F86" s="1385" t="s">
        <v>1104</v>
      </c>
      <c r="G86" s="1778">
        <f>ROUND(SUM(H79:H84)*20%,)</f>
        <v>54381</v>
      </c>
      <c r="H86" s="1264">
        <f t="shared" si="18"/>
        <v>54381</v>
      </c>
      <c r="I86" s="1265">
        <f>ROUND(G86*0.3,)</f>
        <v>16314</v>
      </c>
      <c r="J86" s="1264">
        <f t="shared" si="19"/>
        <v>16314</v>
      </c>
      <c r="K86" s="1273">
        <f t="shared" si="20"/>
        <v>70695</v>
      </c>
      <c r="L86" s="1632"/>
      <c r="M86" s="1710"/>
      <c r="N86" s="1710"/>
      <c r="O86" s="1710"/>
      <c r="P86" s="1710"/>
      <c r="Q86" s="1710"/>
      <c r="R86" s="1710"/>
      <c r="S86" s="1710"/>
      <c r="T86" s="1710"/>
    </row>
    <row r="87" spans="1:20" s="1765" customFormat="1" ht="24" customHeight="1">
      <c r="A87" s="1258"/>
      <c r="B87" s="1538" t="s">
        <v>1721</v>
      </c>
      <c r="C87" s="1275"/>
      <c r="D87" s="1767"/>
      <c r="E87" s="1771">
        <v>1</v>
      </c>
      <c r="F87" s="1385" t="s">
        <v>1104</v>
      </c>
      <c r="G87" s="1778">
        <f>ROUND(SUM(H79:H84)*10%,)</f>
        <v>27190</v>
      </c>
      <c r="H87" s="1264">
        <f t="shared" si="18"/>
        <v>27190</v>
      </c>
      <c r="I87" s="1265">
        <f>ROUND(G87*0.3,)</f>
        <v>8157</v>
      </c>
      <c r="J87" s="1264">
        <f t="shared" si="19"/>
        <v>8157</v>
      </c>
      <c r="K87" s="1273">
        <f t="shared" si="20"/>
        <v>35347</v>
      </c>
      <c r="L87" s="1632"/>
      <c r="M87" s="1710"/>
      <c r="N87" s="1710"/>
      <c r="O87" s="1710"/>
      <c r="P87" s="1710"/>
      <c r="Q87" s="1710"/>
      <c r="R87" s="1710"/>
      <c r="S87" s="1710"/>
      <c r="T87" s="1710"/>
    </row>
    <row r="88" spans="1:20" s="1765" customFormat="1" ht="24" customHeight="1">
      <c r="A88" s="1258" t="s">
        <v>2064</v>
      </c>
      <c r="B88" s="1538" t="s">
        <v>2050</v>
      </c>
      <c r="C88" s="1275"/>
      <c r="D88" s="1767"/>
      <c r="E88" s="1771"/>
      <c r="F88" s="1385"/>
      <c r="G88" s="1778"/>
      <c r="H88" s="1594"/>
      <c r="I88" s="1595"/>
      <c r="J88" s="1594"/>
      <c r="K88" s="1632"/>
      <c r="L88" s="1632"/>
      <c r="M88" s="1710"/>
      <c r="N88" s="1710"/>
      <c r="O88" s="1710"/>
      <c r="P88" s="1710"/>
      <c r="Q88" s="1710"/>
      <c r="R88" s="1710"/>
      <c r="S88" s="1710"/>
      <c r="T88" s="1710"/>
    </row>
    <row r="89" spans="1:20" s="1765" customFormat="1" ht="24" customHeight="1">
      <c r="A89" s="1258"/>
      <c r="B89" s="1538" t="s">
        <v>2263</v>
      </c>
      <c r="C89" s="1275"/>
      <c r="D89" s="1767"/>
      <c r="E89" s="1771">
        <v>10</v>
      </c>
      <c r="F89" s="1358" t="s">
        <v>226</v>
      </c>
      <c r="G89" s="1541">
        <v>20</v>
      </c>
      <c r="H89" s="1369">
        <f t="shared" ref="H89:H92" si="21">ROUND(E89*G89,)</f>
        <v>200</v>
      </c>
      <c r="I89" s="2007">
        <v>30</v>
      </c>
      <c r="J89" s="2008">
        <f t="shared" ref="J89:J92" si="22">ROUND(E89*I89,)</f>
        <v>300</v>
      </c>
      <c r="K89" s="1774">
        <f t="shared" ref="K89:K92" si="23">H89+J89</f>
        <v>500</v>
      </c>
      <c r="L89" s="2082" t="s">
        <v>2667</v>
      </c>
      <c r="M89" s="2002"/>
      <c r="N89" s="2024">
        <v>79.17</v>
      </c>
      <c r="O89" s="1199">
        <f>ROUND(N89/4,)</f>
        <v>20</v>
      </c>
      <c r="P89" s="1710"/>
      <c r="Q89" s="1710"/>
      <c r="R89" s="1710"/>
      <c r="S89" s="1710"/>
      <c r="T89" s="1710"/>
    </row>
    <row r="90" spans="1:20" s="1765" customFormat="1" ht="24" customHeight="1">
      <c r="A90" s="1258"/>
      <c r="B90" s="1538" t="s">
        <v>1719</v>
      </c>
      <c r="C90" s="1275"/>
      <c r="D90" s="1767"/>
      <c r="E90" s="1771">
        <v>1</v>
      </c>
      <c r="F90" s="1385" t="s">
        <v>1104</v>
      </c>
      <c r="G90" s="1778">
        <f>SUM(H89:H89)*50%</f>
        <v>100</v>
      </c>
      <c r="H90" s="1264">
        <f t="shared" si="21"/>
        <v>100</v>
      </c>
      <c r="I90" s="1265">
        <f>ROUND(G90*0.3,)</f>
        <v>30</v>
      </c>
      <c r="J90" s="1264">
        <f t="shared" si="22"/>
        <v>30</v>
      </c>
      <c r="K90" s="1273">
        <f t="shared" si="23"/>
        <v>130</v>
      </c>
      <c r="L90" s="1632"/>
      <c r="M90" s="1710"/>
      <c r="N90" s="1710"/>
      <c r="O90" s="1710"/>
      <c r="P90" s="1710"/>
      <c r="Q90" s="1710"/>
      <c r="R90" s="1710"/>
      <c r="S90" s="1710"/>
      <c r="T90" s="1710"/>
    </row>
    <row r="91" spans="1:20" s="1765" customFormat="1" ht="24" customHeight="1">
      <c r="A91" s="1258"/>
      <c r="B91" s="1538" t="s">
        <v>1720</v>
      </c>
      <c r="C91" s="1275"/>
      <c r="D91" s="1767"/>
      <c r="E91" s="1771">
        <v>1</v>
      </c>
      <c r="F91" s="1385" t="s">
        <v>1104</v>
      </c>
      <c r="G91" s="1778">
        <f>SUM(H89:H89)*30%</f>
        <v>60</v>
      </c>
      <c r="H91" s="1264">
        <f t="shared" si="21"/>
        <v>60</v>
      </c>
      <c r="I91" s="1265">
        <f>ROUND(G91*0.3,)</f>
        <v>18</v>
      </c>
      <c r="J91" s="1264">
        <f t="shared" si="22"/>
        <v>18</v>
      </c>
      <c r="K91" s="1273">
        <f t="shared" si="23"/>
        <v>78</v>
      </c>
      <c r="L91" s="1632"/>
      <c r="M91" s="1710"/>
      <c r="N91" s="1710"/>
      <c r="O91" s="1710"/>
      <c r="P91" s="1710"/>
      <c r="Q91" s="1710"/>
      <c r="R91" s="1710"/>
      <c r="S91" s="1710"/>
      <c r="T91" s="1710"/>
    </row>
    <row r="92" spans="1:20" s="1765" customFormat="1" ht="24" customHeight="1">
      <c r="A92" s="1258"/>
      <c r="B92" s="1538" t="s">
        <v>1721</v>
      </c>
      <c r="C92" s="1275"/>
      <c r="D92" s="1767"/>
      <c r="E92" s="1771">
        <v>1</v>
      </c>
      <c r="F92" s="1385" t="s">
        <v>1104</v>
      </c>
      <c r="G92" s="1778">
        <f>ROUND(SUM(H89)*10%,)</f>
        <v>20</v>
      </c>
      <c r="H92" s="1264">
        <f t="shared" si="21"/>
        <v>20</v>
      </c>
      <c r="I92" s="1265">
        <f>ROUND(G92*0.3,)</f>
        <v>6</v>
      </c>
      <c r="J92" s="1264">
        <f t="shared" si="22"/>
        <v>6</v>
      </c>
      <c r="K92" s="1273">
        <f t="shared" si="23"/>
        <v>26</v>
      </c>
      <c r="L92" s="1632"/>
      <c r="M92" s="1710"/>
      <c r="N92" s="1710"/>
      <c r="O92" s="1710"/>
      <c r="P92" s="1710"/>
      <c r="Q92" s="1710"/>
      <c r="R92" s="1710"/>
      <c r="S92" s="1710"/>
      <c r="T92" s="1710"/>
    </row>
    <row r="93" spans="1:20" s="1765" customFormat="1" ht="24" customHeight="1">
      <c r="A93" s="1258"/>
      <c r="B93" s="1538" t="s">
        <v>1117</v>
      </c>
      <c r="C93" s="1275"/>
      <c r="D93" s="1767"/>
      <c r="E93" s="1771"/>
      <c r="F93" s="1385"/>
      <c r="G93" s="1778"/>
      <c r="H93" s="1594"/>
      <c r="I93" s="1595"/>
      <c r="J93" s="1594"/>
      <c r="K93" s="1632"/>
      <c r="L93" s="1632"/>
      <c r="M93" s="1710"/>
      <c r="N93" s="1710"/>
      <c r="O93" s="1710"/>
      <c r="P93" s="1710"/>
      <c r="Q93" s="1710"/>
      <c r="R93" s="1710"/>
      <c r="S93" s="1710"/>
      <c r="T93" s="1710"/>
    </row>
    <row r="94" spans="1:20" s="1765" customFormat="1" ht="24" customHeight="1">
      <c r="A94" s="1578"/>
      <c r="B94" s="2257" t="str">
        <f>"รวมราคารายการที่ "&amp;A77</f>
        <v>รวมราคารายการที่ 7.5</v>
      </c>
      <c r="C94" s="2258"/>
      <c r="D94" s="2259"/>
      <c r="E94" s="1579"/>
      <c r="F94" s="1579"/>
      <c r="G94" s="1580"/>
      <c r="H94" s="1581">
        <f>SUM(H78:H93)</f>
        <v>489807</v>
      </c>
      <c r="I94" s="1582"/>
      <c r="J94" s="1581">
        <f>SUM(J78:J93)</f>
        <v>180735</v>
      </c>
      <c r="K94" s="1581">
        <f>SUM(K78:K93)</f>
        <v>670542</v>
      </c>
      <c r="L94" s="1583"/>
      <c r="M94" s="2019"/>
      <c r="N94" s="2019"/>
      <c r="O94" s="2019"/>
      <c r="P94" s="2019"/>
      <c r="Q94" s="2019"/>
      <c r="R94" s="2019"/>
      <c r="S94" s="2019"/>
      <c r="T94" s="2019"/>
    </row>
    <row r="95" spans="1:20" s="1765" customFormat="1" ht="24" customHeight="1">
      <c r="A95" s="1785">
        <f>7.6</f>
        <v>7.6</v>
      </c>
      <c r="B95" s="1776" t="s">
        <v>2053</v>
      </c>
      <c r="C95" s="1293"/>
      <c r="D95" s="1294"/>
      <c r="E95" s="1786"/>
      <c r="F95" s="1296"/>
      <c r="G95" s="1357"/>
      <c r="H95" s="1298"/>
      <c r="I95" s="1299"/>
      <c r="J95" s="1298"/>
      <c r="K95" s="1382"/>
      <c r="L95" s="1382"/>
      <c r="M95" s="1613"/>
      <c r="N95" s="1613"/>
      <c r="O95" s="1613"/>
      <c r="P95" s="1613"/>
      <c r="Q95" s="1613"/>
      <c r="R95" s="1613"/>
      <c r="S95" s="1613"/>
      <c r="T95" s="1613"/>
    </row>
    <row r="96" spans="1:20" s="1765" customFormat="1" ht="24" customHeight="1">
      <c r="A96" s="1258" t="s">
        <v>2075</v>
      </c>
      <c r="B96" s="1538" t="s">
        <v>2055</v>
      </c>
      <c r="C96" s="1437"/>
      <c r="D96" s="1275"/>
      <c r="E96" s="1768"/>
      <c r="F96" s="1358"/>
      <c r="G96" s="1516"/>
      <c r="H96" s="1264"/>
      <c r="I96" s="1265"/>
      <c r="J96" s="1264"/>
      <c r="K96" s="1273"/>
      <c r="L96" s="1273"/>
      <c r="M96" s="1613"/>
      <c r="N96" s="1613"/>
      <c r="O96" s="1613"/>
      <c r="P96" s="1613"/>
      <c r="Q96" s="1613"/>
      <c r="R96" s="1613"/>
      <c r="S96" s="1613"/>
      <c r="T96" s="1613"/>
    </row>
    <row r="97" spans="1:20" s="1765" customFormat="1" ht="24" customHeight="1">
      <c r="A97" s="1258"/>
      <c r="B97" s="1538" t="s">
        <v>1338</v>
      </c>
      <c r="C97" s="1437"/>
      <c r="D97" s="1275"/>
      <c r="E97" s="1834">
        <f>E89</f>
        <v>10</v>
      </c>
      <c r="F97" s="1358" t="s">
        <v>226</v>
      </c>
      <c r="G97" s="1516">
        <v>92</v>
      </c>
      <c r="H97" s="1264">
        <f t="shared" ref="H97" si="24">ROUND(E97*G97,)</f>
        <v>920</v>
      </c>
      <c r="I97" s="1265">
        <f>ROUND(20*1.25*1.3,)</f>
        <v>33</v>
      </c>
      <c r="J97" s="1264">
        <f t="shared" ref="J97" si="25">ROUND(E97*I97,)</f>
        <v>330</v>
      </c>
      <c r="K97" s="1273">
        <f t="shared" ref="K97" si="26">H97+J97</f>
        <v>1250</v>
      </c>
      <c r="L97" s="1273"/>
      <c r="M97" s="1613"/>
      <c r="N97" s="1613"/>
      <c r="O97" s="1613"/>
      <c r="P97" s="1613"/>
      <c r="Q97" s="1613"/>
      <c r="R97" s="1613"/>
      <c r="S97" s="1613"/>
      <c r="T97" s="1613"/>
    </row>
    <row r="98" spans="1:20" s="1765" customFormat="1" ht="24" customHeight="1">
      <c r="A98" s="1258" t="s">
        <v>2170</v>
      </c>
      <c r="B98" s="1538" t="s">
        <v>2264</v>
      </c>
      <c r="C98" s="1437"/>
      <c r="D98" s="1275"/>
      <c r="E98" s="1768"/>
      <c r="F98" s="1358"/>
      <c r="G98" s="1516"/>
      <c r="H98" s="1264"/>
      <c r="I98" s="1265"/>
      <c r="J98" s="1264"/>
      <c r="K98" s="1273"/>
      <c r="L98" s="1273"/>
      <c r="M98" s="1613"/>
      <c r="N98" s="1613"/>
      <c r="O98" s="1613"/>
      <c r="P98" s="1613"/>
      <c r="Q98" s="1613"/>
      <c r="R98" s="1613"/>
      <c r="S98" s="1613"/>
      <c r="T98" s="1613"/>
    </row>
    <row r="99" spans="1:20" s="1765" customFormat="1" ht="24" customHeight="1">
      <c r="A99" s="1258"/>
      <c r="B99" s="1538" t="s">
        <v>1339</v>
      </c>
      <c r="C99" s="1437"/>
      <c r="D99" s="1275"/>
      <c r="E99" s="1771">
        <f>E80</f>
        <v>29</v>
      </c>
      <c r="F99" s="1358" t="s">
        <v>226</v>
      </c>
      <c r="G99" s="1516">
        <v>121</v>
      </c>
      <c r="H99" s="1264">
        <f t="shared" ref="H99:H104" si="27">ROUND(E99*G99,)</f>
        <v>3509</v>
      </c>
      <c r="I99" s="1265">
        <f>ROUND(20*1.5*1.3,)</f>
        <v>39</v>
      </c>
      <c r="J99" s="1264">
        <f t="shared" ref="J99:J100" si="28">ROUND(E99*I99,)</f>
        <v>1131</v>
      </c>
      <c r="K99" s="1273">
        <f t="shared" ref="K99:K100" si="29">H99+J99</f>
        <v>4640</v>
      </c>
      <c r="L99" s="1273"/>
      <c r="M99" s="1613"/>
      <c r="N99" s="1613"/>
      <c r="O99" s="1613"/>
      <c r="P99" s="1613"/>
      <c r="Q99" s="1613"/>
      <c r="R99" s="1613"/>
      <c r="S99" s="1613"/>
      <c r="T99" s="1613"/>
    </row>
    <row r="100" spans="1:20" s="1765" customFormat="1" ht="24" customHeight="1">
      <c r="A100" s="1258"/>
      <c r="B100" s="1538" t="s">
        <v>1340</v>
      </c>
      <c r="C100" s="1437"/>
      <c r="D100" s="1275"/>
      <c r="E100" s="1771">
        <f>E81</f>
        <v>20</v>
      </c>
      <c r="F100" s="1358" t="s">
        <v>226</v>
      </c>
      <c r="G100" s="1516">
        <v>148</v>
      </c>
      <c r="H100" s="1264">
        <f t="shared" si="27"/>
        <v>2960</v>
      </c>
      <c r="I100" s="1265">
        <f>ROUND(20*2*1.3,)</f>
        <v>52</v>
      </c>
      <c r="J100" s="1264">
        <f t="shared" si="28"/>
        <v>1040</v>
      </c>
      <c r="K100" s="1273">
        <f t="shared" si="29"/>
        <v>4000</v>
      </c>
      <c r="L100" s="1273"/>
      <c r="M100" s="1613"/>
      <c r="N100" s="1613"/>
      <c r="O100" s="1613"/>
      <c r="P100" s="1613"/>
      <c r="Q100" s="1613"/>
      <c r="R100" s="1613"/>
      <c r="S100" s="1613"/>
      <c r="T100" s="1613"/>
    </row>
    <row r="101" spans="1:20" s="1765" customFormat="1" ht="24" customHeight="1">
      <c r="A101" s="1258" t="s">
        <v>2226</v>
      </c>
      <c r="B101" s="1538" t="s">
        <v>2265</v>
      </c>
      <c r="C101" s="1437"/>
      <c r="D101" s="2108"/>
      <c r="E101" s="1801"/>
      <c r="F101" s="1262"/>
      <c r="G101" s="1516"/>
      <c r="H101" s="1264"/>
      <c r="I101" s="1265"/>
      <c r="J101" s="1264"/>
      <c r="K101" s="1273"/>
      <c r="L101" s="1273"/>
      <c r="M101" s="1613"/>
      <c r="N101" s="1613"/>
      <c r="O101" s="1613"/>
      <c r="P101" s="1613"/>
      <c r="Q101" s="1613"/>
      <c r="R101" s="1613"/>
      <c r="S101" s="1613"/>
      <c r="T101" s="1613"/>
    </row>
    <row r="102" spans="1:20" s="1765" customFormat="1" ht="24" customHeight="1">
      <c r="A102" s="1258"/>
      <c r="B102" s="1538" t="s">
        <v>1341</v>
      </c>
      <c r="C102" s="1437"/>
      <c r="D102" s="2108"/>
      <c r="E102" s="715">
        <f>E82</f>
        <v>245</v>
      </c>
      <c r="F102" s="1262" t="s">
        <v>226</v>
      </c>
      <c r="G102" s="1516">
        <v>256</v>
      </c>
      <c r="H102" s="1264">
        <f t="shared" si="27"/>
        <v>62720</v>
      </c>
      <c r="I102" s="1265">
        <f>ROUND(20*2.5*1.3,)</f>
        <v>65</v>
      </c>
      <c r="J102" s="1264">
        <f t="shared" ref="J102:J104" si="30">ROUND(E102*I102,)</f>
        <v>15925</v>
      </c>
      <c r="K102" s="1273">
        <f t="shared" ref="K102:K104" si="31">H102+J102</f>
        <v>78645</v>
      </c>
      <c r="L102" s="1273"/>
      <c r="M102" s="1613"/>
      <c r="N102" s="1613"/>
      <c r="O102" s="1613"/>
      <c r="P102" s="1613"/>
      <c r="Q102" s="1613"/>
      <c r="R102" s="1613"/>
      <c r="S102" s="1613"/>
      <c r="T102" s="1613"/>
    </row>
    <row r="103" spans="1:20" s="1765" customFormat="1" ht="24" customHeight="1">
      <c r="A103" s="1258"/>
      <c r="B103" s="1538" t="s">
        <v>1342</v>
      </c>
      <c r="C103" s="1437"/>
      <c r="D103" s="2108"/>
      <c r="E103" s="715">
        <f>E83</f>
        <v>213.60000000000002</v>
      </c>
      <c r="F103" s="1262" t="s">
        <v>226</v>
      </c>
      <c r="G103" s="1516">
        <v>302</v>
      </c>
      <c r="H103" s="1264">
        <f t="shared" si="27"/>
        <v>64507</v>
      </c>
      <c r="I103" s="1265">
        <f>ROUND(20*3*1.3,)</f>
        <v>78</v>
      </c>
      <c r="J103" s="1264">
        <f t="shared" si="30"/>
        <v>16661</v>
      </c>
      <c r="K103" s="1273">
        <f t="shared" si="31"/>
        <v>81168</v>
      </c>
      <c r="L103" s="1273"/>
      <c r="M103" s="1613"/>
      <c r="N103" s="1613"/>
      <c r="O103" s="1613"/>
      <c r="P103" s="1613"/>
      <c r="Q103" s="1613"/>
      <c r="R103" s="1613"/>
      <c r="S103" s="1613"/>
      <c r="T103" s="1613"/>
    </row>
    <row r="104" spans="1:20" s="1765" customFormat="1" ht="24" customHeight="1">
      <c r="A104" s="1258"/>
      <c r="B104" s="1538" t="s">
        <v>1759</v>
      </c>
      <c r="C104" s="1437"/>
      <c r="D104" s="2108"/>
      <c r="E104" s="715">
        <f>E84</f>
        <v>113.30000000000001</v>
      </c>
      <c r="F104" s="1262" t="s">
        <v>226</v>
      </c>
      <c r="G104" s="1516">
        <v>367</v>
      </c>
      <c r="H104" s="1264">
        <f t="shared" si="27"/>
        <v>41581</v>
      </c>
      <c r="I104" s="1265">
        <f>ROUND(20*4*1.3,)</f>
        <v>104</v>
      </c>
      <c r="J104" s="1264">
        <f t="shared" si="30"/>
        <v>11783</v>
      </c>
      <c r="K104" s="1273">
        <f t="shared" si="31"/>
        <v>53364</v>
      </c>
      <c r="L104" s="1273"/>
      <c r="M104" s="1613"/>
      <c r="N104" s="1613"/>
      <c r="O104" s="1613"/>
      <c r="P104" s="1613"/>
      <c r="Q104" s="1613"/>
      <c r="R104" s="1613"/>
      <c r="S104" s="1613"/>
      <c r="T104" s="1613"/>
    </row>
    <row r="105" spans="1:20" s="1765" customFormat="1" ht="24" customHeight="1">
      <c r="A105" s="1258"/>
      <c r="B105" s="1538" t="s">
        <v>1117</v>
      </c>
      <c r="C105" s="1437"/>
      <c r="D105" s="1275"/>
      <c r="E105" s="1768"/>
      <c r="F105" s="1358"/>
      <c r="G105" s="1516"/>
      <c r="H105" s="1264"/>
      <c r="I105" s="1265"/>
      <c r="J105" s="1264"/>
      <c r="K105" s="1273"/>
      <c r="L105" s="1273"/>
      <c r="M105" s="1613"/>
      <c r="N105" s="1613"/>
      <c r="O105" s="1613"/>
      <c r="P105" s="1613"/>
      <c r="Q105" s="1613"/>
      <c r="R105" s="1613"/>
      <c r="S105" s="1613"/>
      <c r="T105" s="1613"/>
    </row>
    <row r="106" spans="1:20" s="1765" customFormat="1" ht="24" customHeight="1">
      <c r="A106" s="1258"/>
      <c r="B106" s="1538"/>
      <c r="C106" s="1437"/>
      <c r="D106" s="1275"/>
      <c r="E106" s="1768"/>
      <c r="F106" s="1358"/>
      <c r="G106" s="1516"/>
      <c r="H106" s="1264"/>
      <c r="I106" s="1265"/>
      <c r="J106" s="1264"/>
      <c r="K106" s="1273"/>
      <c r="L106" s="1273"/>
      <c r="M106" s="1613"/>
      <c r="N106" s="1613"/>
      <c r="O106" s="1613"/>
      <c r="P106" s="1613"/>
      <c r="Q106" s="1613"/>
      <c r="R106" s="1613"/>
      <c r="S106" s="1613"/>
      <c r="T106" s="1613"/>
    </row>
    <row r="107" spans="1:20" s="1765" customFormat="1" ht="24" customHeight="1">
      <c r="A107" s="1258"/>
      <c r="B107" s="1538"/>
      <c r="C107" s="1437"/>
      <c r="D107" s="1275"/>
      <c r="E107" s="1768"/>
      <c r="F107" s="1358"/>
      <c r="G107" s="1516"/>
      <c r="H107" s="1264"/>
      <c r="I107" s="1265"/>
      <c r="J107" s="1264"/>
      <c r="K107" s="1273"/>
      <c r="L107" s="1273"/>
      <c r="M107" s="1613"/>
      <c r="N107" s="1613"/>
      <c r="O107" s="1613"/>
      <c r="P107" s="1613"/>
      <c r="Q107" s="1613"/>
      <c r="R107" s="1613"/>
      <c r="S107" s="1613"/>
      <c r="T107" s="1613"/>
    </row>
    <row r="108" spans="1:20" s="1765" customFormat="1" ht="24" customHeight="1">
      <c r="A108" s="1258"/>
      <c r="B108" s="1538"/>
      <c r="C108" s="1437"/>
      <c r="D108" s="1275"/>
      <c r="E108" s="1768"/>
      <c r="F108" s="1358"/>
      <c r="G108" s="1516"/>
      <c r="H108" s="1264"/>
      <c r="I108" s="1265"/>
      <c r="J108" s="1264"/>
      <c r="K108" s="1273"/>
      <c r="L108" s="1273"/>
      <c r="M108" s="1613"/>
      <c r="N108" s="1613"/>
      <c r="O108" s="1613"/>
      <c r="P108" s="1613"/>
      <c r="Q108" s="1613"/>
      <c r="R108" s="1613"/>
      <c r="S108" s="1613"/>
      <c r="T108" s="1613"/>
    </row>
    <row r="109" spans="1:20" s="1765" customFormat="1" ht="24" customHeight="1">
      <c r="A109" s="1578"/>
      <c r="B109" s="2257" t="str">
        <f>"รวมราคารายการที่ "&amp;A95</f>
        <v>รวมราคารายการที่ 7.6</v>
      </c>
      <c r="C109" s="2258"/>
      <c r="D109" s="2259"/>
      <c r="E109" s="1579"/>
      <c r="F109" s="1579"/>
      <c r="G109" s="1580"/>
      <c r="H109" s="1581">
        <f>SUM(H96:H108)</f>
        <v>176197</v>
      </c>
      <c r="I109" s="1582"/>
      <c r="J109" s="1581">
        <f>SUM(J96:J108)</f>
        <v>46870</v>
      </c>
      <c r="K109" s="1581">
        <f>SUM(K96:K108)</f>
        <v>223067</v>
      </c>
      <c r="L109" s="1583"/>
      <c r="M109" s="2019"/>
      <c r="N109" s="2019"/>
      <c r="O109" s="2019"/>
      <c r="P109" s="2019"/>
      <c r="Q109" s="2019"/>
      <c r="R109" s="2019"/>
      <c r="S109" s="2019"/>
      <c r="T109" s="2019"/>
    </row>
    <row r="110" spans="1:20" s="1765" customFormat="1" ht="24" customHeight="1">
      <c r="A110" s="1291">
        <v>7.7</v>
      </c>
      <c r="B110" s="1776" t="s">
        <v>2061</v>
      </c>
      <c r="C110" s="1293"/>
      <c r="D110" s="1294"/>
      <c r="E110" s="1786"/>
      <c r="F110" s="1296"/>
      <c r="G110" s="1357"/>
      <c r="H110" s="1298"/>
      <c r="I110" s="1299"/>
      <c r="J110" s="1298"/>
      <c r="K110" s="1382"/>
      <c r="L110" s="1382"/>
      <c r="M110" s="1613"/>
      <c r="N110" s="1613"/>
      <c r="O110" s="1613"/>
      <c r="P110" s="1613"/>
      <c r="Q110" s="1613"/>
      <c r="R110" s="1613"/>
      <c r="S110" s="1613"/>
      <c r="T110" s="1613"/>
    </row>
    <row r="111" spans="1:20" s="1765" customFormat="1" ht="24" customHeight="1">
      <c r="A111" s="1258" t="s">
        <v>2084</v>
      </c>
      <c r="B111" s="1538" t="s">
        <v>2063</v>
      </c>
      <c r="C111" s="1437"/>
      <c r="D111" s="1275"/>
      <c r="E111" s="1768"/>
      <c r="F111" s="1358"/>
      <c r="G111" s="1516"/>
      <c r="H111" s="1264"/>
      <c r="I111" s="1265"/>
      <c r="J111" s="1264"/>
      <c r="K111" s="1273"/>
      <c r="L111" s="1273"/>
      <c r="M111" s="1613"/>
      <c r="N111" s="1613"/>
      <c r="O111" s="1613"/>
      <c r="P111" s="1613"/>
      <c r="Q111" s="1613"/>
      <c r="R111" s="1613"/>
      <c r="S111" s="1613"/>
      <c r="T111" s="1613"/>
    </row>
    <row r="112" spans="1:20" s="1765" customFormat="1" ht="24" customHeight="1">
      <c r="A112" s="2113"/>
      <c r="B112" s="2114" t="s">
        <v>1448</v>
      </c>
      <c r="C112" s="2115"/>
      <c r="D112" s="2108"/>
      <c r="E112" s="1853"/>
      <c r="F112" s="2154" t="s">
        <v>363</v>
      </c>
      <c r="G112" s="2155">
        <v>880</v>
      </c>
      <c r="H112" s="2156">
        <f t="shared" ref="H112:H116" si="32">ROUND(E112*G112,)</f>
        <v>0</v>
      </c>
      <c r="I112" s="2157">
        <v>150</v>
      </c>
      <c r="J112" s="2158">
        <f t="shared" ref="J112:J116" si="33">ROUND(E112*I112,)</f>
        <v>0</v>
      </c>
      <c r="K112" s="1853">
        <f t="shared" ref="K112:K116" si="34">H112+J112</f>
        <v>0</v>
      </c>
      <c r="L112" s="2152" t="s">
        <v>2667</v>
      </c>
      <c r="M112" s="1613"/>
      <c r="N112" s="1613"/>
      <c r="O112" s="1613"/>
      <c r="P112" s="1613"/>
      <c r="Q112" s="1613"/>
      <c r="R112" s="1613"/>
      <c r="S112" s="1613"/>
      <c r="T112" s="1613"/>
    </row>
    <row r="113" spans="1:20" s="1765" customFormat="1" ht="24" customHeight="1">
      <c r="A113" s="2113"/>
      <c r="B113" s="2114" t="s">
        <v>1337</v>
      </c>
      <c r="C113" s="2115"/>
      <c r="D113" s="2108"/>
      <c r="E113" s="1801"/>
      <c r="F113" s="1262" t="s">
        <v>363</v>
      </c>
      <c r="G113" s="2003">
        <v>1316</v>
      </c>
      <c r="H113" s="1343">
        <f t="shared" si="32"/>
        <v>0</v>
      </c>
      <c r="I113" s="2004">
        <v>200</v>
      </c>
      <c r="J113" s="2005">
        <f t="shared" si="33"/>
        <v>0</v>
      </c>
      <c r="K113" s="1801">
        <f t="shared" si="34"/>
        <v>0</v>
      </c>
      <c r="L113" s="2152" t="s">
        <v>2667</v>
      </c>
      <c r="M113" s="1613"/>
      <c r="N113" s="1613"/>
      <c r="O113" s="1613"/>
      <c r="P113" s="1613"/>
      <c r="Q113" s="1613"/>
      <c r="R113" s="1613"/>
      <c r="S113" s="1613"/>
      <c r="T113" s="1613"/>
    </row>
    <row r="114" spans="1:20" s="1765" customFormat="1" ht="24" customHeight="1">
      <c r="A114" s="2113"/>
      <c r="B114" s="2114" t="s">
        <v>1338</v>
      </c>
      <c r="C114" s="2115"/>
      <c r="D114" s="2108"/>
      <c r="E114" s="1853"/>
      <c r="F114" s="1262" t="s">
        <v>363</v>
      </c>
      <c r="G114" s="2003">
        <v>1984</v>
      </c>
      <c r="H114" s="1343">
        <f t="shared" si="32"/>
        <v>0</v>
      </c>
      <c r="I114" s="2004">
        <v>250</v>
      </c>
      <c r="J114" s="2005">
        <f t="shared" si="33"/>
        <v>0</v>
      </c>
      <c r="K114" s="1801">
        <f t="shared" si="34"/>
        <v>0</v>
      </c>
      <c r="L114" s="2152" t="s">
        <v>2667</v>
      </c>
      <c r="M114" s="1710"/>
      <c r="N114" s="1710"/>
      <c r="O114" s="1710"/>
      <c r="P114" s="1710"/>
      <c r="Q114" s="1710"/>
      <c r="R114" s="1710"/>
      <c r="S114" s="1710"/>
      <c r="T114" s="1710"/>
    </row>
    <row r="115" spans="1:20" s="2116" customFormat="1" ht="24" customHeight="1">
      <c r="A115" s="2113"/>
      <c r="B115" s="2114" t="s">
        <v>1339</v>
      </c>
      <c r="C115" s="2115"/>
      <c r="D115" s="2108"/>
      <c r="E115" s="1801"/>
      <c r="F115" s="1262" t="s">
        <v>363</v>
      </c>
      <c r="G115" s="2003">
        <v>2610</v>
      </c>
      <c r="H115" s="1343">
        <f t="shared" si="32"/>
        <v>0</v>
      </c>
      <c r="I115" s="2004">
        <v>300</v>
      </c>
      <c r="J115" s="2005">
        <f t="shared" si="33"/>
        <v>0</v>
      </c>
      <c r="K115" s="1801">
        <f t="shared" si="34"/>
        <v>0</v>
      </c>
      <c r="L115" s="2152" t="s">
        <v>2667</v>
      </c>
      <c r="M115" s="2144"/>
      <c r="N115" s="2144"/>
      <c r="O115" s="2144"/>
      <c r="P115" s="2144"/>
      <c r="Q115" s="2144"/>
      <c r="R115" s="2144"/>
      <c r="S115" s="2144"/>
      <c r="T115" s="2144"/>
    </row>
    <row r="116" spans="1:20" s="2116" customFormat="1" ht="24" customHeight="1">
      <c r="A116" s="2113"/>
      <c r="B116" s="2114" t="s">
        <v>1340</v>
      </c>
      <c r="C116" s="2115"/>
      <c r="D116" s="2108"/>
      <c r="E116" s="1801"/>
      <c r="F116" s="1262" t="s">
        <v>363</v>
      </c>
      <c r="G116" s="2003">
        <v>4040</v>
      </c>
      <c r="H116" s="1343">
        <f t="shared" si="32"/>
        <v>0</v>
      </c>
      <c r="I116" s="2004">
        <v>400</v>
      </c>
      <c r="J116" s="2005">
        <f t="shared" si="33"/>
        <v>0</v>
      </c>
      <c r="K116" s="1801">
        <f t="shared" si="34"/>
        <v>0</v>
      </c>
      <c r="L116" s="2152" t="s">
        <v>2667</v>
      </c>
      <c r="M116" s="2144"/>
      <c r="N116" s="2144"/>
      <c r="O116" s="2144"/>
      <c r="P116" s="2144"/>
      <c r="Q116" s="2144"/>
      <c r="R116" s="2144"/>
      <c r="S116" s="2144"/>
      <c r="T116" s="2144"/>
    </row>
    <row r="117" spans="1:20" s="2116" customFormat="1" ht="24" customHeight="1">
      <c r="A117" s="2113" t="s">
        <v>2089</v>
      </c>
      <c r="B117" s="2114" t="s">
        <v>2065</v>
      </c>
      <c r="C117" s="2115"/>
      <c r="D117" s="2108"/>
      <c r="E117" s="1801"/>
      <c r="F117" s="1262"/>
      <c r="G117" s="1515"/>
      <c r="H117" s="1343"/>
      <c r="I117" s="1344"/>
      <c r="J117" s="1343"/>
      <c r="K117" s="1262"/>
      <c r="L117" s="1262"/>
    </row>
    <row r="118" spans="1:20" s="2116" customFormat="1" ht="24" customHeight="1">
      <c r="A118" s="2113"/>
      <c r="B118" s="2107" t="s">
        <v>1341</v>
      </c>
      <c r="C118" s="2115"/>
      <c r="D118" s="2108"/>
      <c r="E118" s="1801">
        <v>8</v>
      </c>
      <c r="F118" s="1262" t="s">
        <v>363</v>
      </c>
      <c r="G118" s="1836">
        <v>1862</v>
      </c>
      <c r="H118" s="1343">
        <f>ROUND(E118*G118,)</f>
        <v>14896</v>
      </c>
      <c r="I118" s="1344">
        <v>500</v>
      </c>
      <c r="J118" s="1343">
        <f t="shared" ref="J118:J121" si="35">ROUND(E118*I118,)</f>
        <v>4000</v>
      </c>
      <c r="K118" s="1262">
        <f t="shared" ref="K118:K121" si="36">H118+J118</f>
        <v>18896</v>
      </c>
      <c r="L118" s="1262"/>
    </row>
    <row r="119" spans="1:20" s="2116" customFormat="1" ht="24" customHeight="1">
      <c r="A119" s="2113"/>
      <c r="B119" s="2107" t="s">
        <v>1342</v>
      </c>
      <c r="C119" s="2115"/>
      <c r="D119" s="2108"/>
      <c r="E119" s="2091">
        <v>10</v>
      </c>
      <c r="F119" s="1262" t="s">
        <v>363</v>
      </c>
      <c r="G119" s="1836">
        <v>2159</v>
      </c>
      <c r="H119" s="1343">
        <f>ROUND(E119*G119,)</f>
        <v>21590</v>
      </c>
      <c r="I119" s="1344">
        <v>600</v>
      </c>
      <c r="J119" s="1343">
        <f t="shared" si="35"/>
        <v>6000</v>
      </c>
      <c r="K119" s="1262">
        <f t="shared" si="36"/>
        <v>27590</v>
      </c>
      <c r="L119" s="1262"/>
    </row>
    <row r="120" spans="1:20" s="2116" customFormat="1" ht="24" customHeight="1">
      <c r="A120" s="2113"/>
      <c r="B120" s="2114" t="s">
        <v>1759</v>
      </c>
      <c r="C120" s="2115"/>
      <c r="D120" s="2108"/>
      <c r="E120" s="1801">
        <v>4</v>
      </c>
      <c r="F120" s="1262" t="s">
        <v>363</v>
      </c>
      <c r="G120" s="1836">
        <v>2811</v>
      </c>
      <c r="H120" s="1343">
        <f>ROUND(E120*G120,)</f>
        <v>11244</v>
      </c>
      <c r="I120" s="1344">
        <v>800</v>
      </c>
      <c r="J120" s="1343">
        <f t="shared" si="35"/>
        <v>3200</v>
      </c>
      <c r="K120" s="1262">
        <f t="shared" si="36"/>
        <v>14444</v>
      </c>
      <c r="L120" s="1415"/>
    </row>
    <row r="121" spans="1:20" s="2116" customFormat="1" ht="24" customHeight="1">
      <c r="A121" s="2113"/>
      <c r="B121" s="2114" t="s">
        <v>1866</v>
      </c>
      <c r="C121" s="2115"/>
      <c r="D121" s="2108"/>
      <c r="E121" s="1801"/>
      <c r="F121" s="1262" t="s">
        <v>363</v>
      </c>
      <c r="G121" s="1836">
        <v>14327</v>
      </c>
      <c r="H121" s="1343">
        <f>ROUND(E121*G121,)</f>
        <v>0</v>
      </c>
      <c r="I121" s="1344">
        <v>2000</v>
      </c>
      <c r="J121" s="1343">
        <f t="shared" si="35"/>
        <v>0</v>
      </c>
      <c r="K121" s="1262">
        <f t="shared" si="36"/>
        <v>0</v>
      </c>
      <c r="L121" s="1262"/>
    </row>
    <row r="122" spans="1:20" s="1765" customFormat="1" ht="24" customHeight="1">
      <c r="A122" s="2113" t="s">
        <v>2266</v>
      </c>
      <c r="B122" s="2114" t="s">
        <v>2067</v>
      </c>
      <c r="C122" s="2115"/>
      <c r="D122" s="2108"/>
      <c r="E122" s="1801"/>
      <c r="F122" s="1262"/>
      <c r="G122" s="1515"/>
      <c r="H122" s="1343"/>
      <c r="I122" s="1344"/>
      <c r="J122" s="1343"/>
      <c r="K122" s="1262"/>
      <c r="L122" s="1262"/>
      <c r="M122" s="1613"/>
      <c r="N122" s="1613"/>
      <c r="O122" s="1613"/>
      <c r="P122" s="1613"/>
      <c r="Q122" s="1613"/>
      <c r="R122" s="1613"/>
      <c r="S122" s="1613"/>
      <c r="T122" s="1613"/>
    </row>
    <row r="123" spans="1:20" s="1765" customFormat="1" ht="24" customHeight="1">
      <c r="A123" s="2113"/>
      <c r="B123" s="2114" t="s">
        <v>1448</v>
      </c>
      <c r="C123" s="2115"/>
      <c r="D123" s="2108"/>
      <c r="E123" s="1853"/>
      <c r="F123" s="2154" t="s">
        <v>363</v>
      </c>
      <c r="G123" s="2159">
        <v>350</v>
      </c>
      <c r="H123" s="2156">
        <f t="shared" ref="H123:H127" si="37">ROUND(E123*G123,)</f>
        <v>0</v>
      </c>
      <c r="I123" s="2160">
        <v>150</v>
      </c>
      <c r="J123" s="2156">
        <f t="shared" ref="J123:J127" si="38">ROUND(E123*I123,)</f>
        <v>0</v>
      </c>
      <c r="K123" s="2154">
        <f t="shared" ref="K123:K127" si="39">H123+J123</f>
        <v>0</v>
      </c>
      <c r="L123" s="1262"/>
      <c r="M123" s="1613"/>
      <c r="N123" s="1613"/>
      <c r="O123" s="1613"/>
      <c r="P123" s="1613"/>
      <c r="Q123" s="1613"/>
      <c r="R123" s="1613"/>
      <c r="S123" s="1613"/>
      <c r="T123" s="1613"/>
    </row>
    <row r="124" spans="1:20" s="1765" customFormat="1" ht="24" customHeight="1">
      <c r="A124" s="2113"/>
      <c r="B124" s="2114" t="s">
        <v>1338</v>
      </c>
      <c r="C124" s="2115"/>
      <c r="D124" s="2108"/>
      <c r="E124" s="1801"/>
      <c r="F124" s="1262" t="s">
        <v>363</v>
      </c>
      <c r="G124" s="1515">
        <v>1084</v>
      </c>
      <c r="H124" s="1343">
        <f t="shared" si="37"/>
        <v>0</v>
      </c>
      <c r="I124" s="1344">
        <v>250</v>
      </c>
      <c r="J124" s="1343">
        <f t="shared" si="38"/>
        <v>0</v>
      </c>
      <c r="K124" s="1262">
        <f t="shared" si="39"/>
        <v>0</v>
      </c>
      <c r="L124" s="1262"/>
      <c r="M124" s="1613"/>
      <c r="N124" s="1613"/>
      <c r="O124" s="1613"/>
      <c r="P124" s="1613"/>
      <c r="Q124" s="1613"/>
      <c r="R124" s="1613"/>
      <c r="S124" s="1613"/>
      <c r="T124" s="1613"/>
    </row>
    <row r="125" spans="1:20" s="1765" customFormat="1" ht="24" customHeight="1">
      <c r="A125" s="1258"/>
      <c r="B125" s="1538" t="s">
        <v>1339</v>
      </c>
      <c r="C125" s="1437"/>
      <c r="D125" s="1275"/>
      <c r="E125" s="1768"/>
      <c r="F125" s="1358" t="s">
        <v>363</v>
      </c>
      <c r="G125" s="1516">
        <v>1710</v>
      </c>
      <c r="H125" s="1264">
        <f t="shared" si="37"/>
        <v>0</v>
      </c>
      <c r="I125" s="1265">
        <v>300</v>
      </c>
      <c r="J125" s="1264">
        <f t="shared" si="38"/>
        <v>0</v>
      </c>
      <c r="K125" s="1273">
        <f t="shared" si="39"/>
        <v>0</v>
      </c>
      <c r="L125" s="1273"/>
      <c r="M125" s="1613"/>
      <c r="N125" s="1613"/>
      <c r="O125" s="1613"/>
      <c r="P125" s="1613"/>
      <c r="Q125" s="1613"/>
      <c r="R125" s="1613"/>
      <c r="S125" s="1613"/>
      <c r="T125" s="1613"/>
    </row>
    <row r="126" spans="1:20" s="1765" customFormat="1" ht="24" customHeight="1">
      <c r="A126" s="2113"/>
      <c r="B126" s="2114" t="s">
        <v>1340</v>
      </c>
      <c r="C126" s="2115"/>
      <c r="D126" s="2108"/>
      <c r="E126" s="1801"/>
      <c r="F126" s="1262" t="s">
        <v>363</v>
      </c>
      <c r="G126" s="1836">
        <v>2839</v>
      </c>
      <c r="H126" s="1343">
        <f t="shared" si="37"/>
        <v>0</v>
      </c>
      <c r="I126" s="1344">
        <v>400</v>
      </c>
      <c r="J126" s="1343">
        <f t="shared" si="38"/>
        <v>0</v>
      </c>
      <c r="K126" s="1262">
        <f t="shared" si="39"/>
        <v>0</v>
      </c>
      <c r="L126" s="1262"/>
      <c r="M126" s="1613"/>
      <c r="N126" s="1613"/>
      <c r="O126" s="1613"/>
      <c r="P126" s="1613"/>
      <c r="Q126" s="1613"/>
      <c r="R126" s="1613"/>
      <c r="S126" s="1613"/>
      <c r="T126" s="1613"/>
    </row>
    <row r="127" spans="1:20" s="1765" customFormat="1" ht="24" customHeight="1">
      <c r="A127" s="2113"/>
      <c r="B127" s="2114" t="s">
        <v>1341</v>
      </c>
      <c r="C127" s="2115"/>
      <c r="D127" s="2108"/>
      <c r="E127" s="1801">
        <v>4</v>
      </c>
      <c r="F127" s="1262" t="s">
        <v>363</v>
      </c>
      <c r="G127" s="1836">
        <v>4375</v>
      </c>
      <c r="H127" s="1343">
        <f t="shared" si="37"/>
        <v>17500</v>
      </c>
      <c r="I127" s="1344">
        <v>500</v>
      </c>
      <c r="J127" s="1343">
        <f t="shared" si="38"/>
        <v>2000</v>
      </c>
      <c r="K127" s="1262">
        <f t="shared" si="39"/>
        <v>19500</v>
      </c>
      <c r="L127" s="1262"/>
      <c r="M127" s="1613"/>
      <c r="N127" s="1613"/>
      <c r="O127" s="1613"/>
      <c r="P127" s="1613"/>
      <c r="Q127" s="1613"/>
      <c r="R127" s="1613"/>
      <c r="S127" s="1613"/>
      <c r="T127" s="1613"/>
    </row>
    <row r="128" spans="1:20" s="2116" customFormat="1" ht="24" customHeight="1">
      <c r="A128" s="2113"/>
      <c r="B128" s="2153" t="s">
        <v>1834</v>
      </c>
      <c r="C128" s="2115"/>
      <c r="D128" s="2108"/>
      <c r="E128" s="2091">
        <v>6</v>
      </c>
      <c r="F128" s="1262" t="s">
        <v>363</v>
      </c>
      <c r="G128" s="1836">
        <v>4489</v>
      </c>
      <c r="H128" s="1343">
        <f>ROUND(E128*G128,)</f>
        <v>26934</v>
      </c>
      <c r="I128" s="1344">
        <v>600</v>
      </c>
      <c r="J128" s="1343">
        <f>ROUND(E128*I128,)</f>
        <v>3600</v>
      </c>
      <c r="K128" s="1262">
        <f>H128+J128</f>
        <v>30534</v>
      </c>
      <c r="L128" s="1262"/>
    </row>
    <row r="129" spans="1:20" s="2116" customFormat="1" ht="24" customHeight="1">
      <c r="A129" s="2113"/>
      <c r="B129" s="2114" t="s">
        <v>1759</v>
      </c>
      <c r="C129" s="2115"/>
      <c r="D129" s="2108"/>
      <c r="E129" s="1801">
        <v>4</v>
      </c>
      <c r="F129" s="1262" t="s">
        <v>363</v>
      </c>
      <c r="G129" s="1836">
        <v>6528</v>
      </c>
      <c r="H129" s="1343">
        <f>ROUND(E129*G129,)</f>
        <v>26112</v>
      </c>
      <c r="I129" s="1344">
        <v>800</v>
      </c>
      <c r="J129" s="1343">
        <f>ROUND(E129*I129,)</f>
        <v>3200</v>
      </c>
      <c r="K129" s="1262">
        <f>H129+J129</f>
        <v>29312</v>
      </c>
      <c r="L129" s="1262"/>
    </row>
    <row r="130" spans="1:20" s="1765" customFormat="1" ht="24" customHeight="1">
      <c r="A130" s="2113" t="s">
        <v>2368</v>
      </c>
      <c r="B130" s="2114" t="s">
        <v>2069</v>
      </c>
      <c r="C130" s="2115"/>
      <c r="D130" s="2108"/>
      <c r="E130" s="1801"/>
      <c r="F130" s="1262"/>
      <c r="G130" s="1836"/>
      <c r="H130" s="1343"/>
      <c r="I130" s="1344"/>
      <c r="J130" s="1343"/>
      <c r="K130" s="1262"/>
      <c r="L130" s="1262"/>
      <c r="M130" s="1613"/>
      <c r="N130" s="1613"/>
      <c r="O130" s="1613"/>
      <c r="P130" s="1613"/>
      <c r="Q130" s="1613"/>
      <c r="R130" s="1613"/>
      <c r="S130" s="1613"/>
      <c r="T130" s="1613"/>
    </row>
    <row r="131" spans="1:20" s="1765" customFormat="1" ht="24" customHeight="1">
      <c r="A131" s="2113"/>
      <c r="B131" s="2114" t="s">
        <v>1338</v>
      </c>
      <c r="C131" s="2115"/>
      <c r="D131" s="2108"/>
      <c r="E131" s="1801"/>
      <c r="F131" s="1262" t="s">
        <v>363</v>
      </c>
      <c r="G131" s="1515">
        <v>1863</v>
      </c>
      <c r="H131" s="1343">
        <f t="shared" ref="H131" si="40">ROUND(E131*G131,)</f>
        <v>0</v>
      </c>
      <c r="I131" s="1344">
        <v>250</v>
      </c>
      <c r="J131" s="1343">
        <f t="shared" ref="J131" si="41">ROUND(E131*I131,)</f>
        <v>0</v>
      </c>
      <c r="K131" s="1262">
        <f t="shared" ref="K131" si="42">H131+J131</f>
        <v>0</v>
      </c>
      <c r="L131" s="1262"/>
      <c r="M131" s="1613"/>
      <c r="N131" s="1613"/>
      <c r="O131" s="1613"/>
      <c r="P131" s="1613"/>
      <c r="Q131" s="1613"/>
      <c r="R131" s="1613"/>
      <c r="S131" s="1613"/>
      <c r="T131" s="1613"/>
    </row>
    <row r="132" spans="1:20" s="2116" customFormat="1" ht="24" customHeight="1">
      <c r="A132" s="2113"/>
      <c r="B132" s="2153" t="s">
        <v>1856</v>
      </c>
      <c r="C132" s="2115"/>
      <c r="D132" s="2108"/>
      <c r="E132" s="2091">
        <v>8</v>
      </c>
      <c r="F132" s="1262" t="s">
        <v>363</v>
      </c>
      <c r="G132" s="1515">
        <v>3876</v>
      </c>
      <c r="H132" s="1343">
        <f>ROUND(E132*G132,)</f>
        <v>31008</v>
      </c>
      <c r="I132" s="1344">
        <v>500</v>
      </c>
      <c r="J132" s="1343">
        <f>ROUND(E132*I132,)</f>
        <v>4000</v>
      </c>
      <c r="K132" s="1262">
        <f>H132+J132</f>
        <v>35008</v>
      </c>
      <c r="L132" s="1262"/>
    </row>
    <row r="133" spans="1:20" s="2116" customFormat="1" ht="24" customHeight="1">
      <c r="A133" s="2113"/>
      <c r="B133" s="2153" t="s">
        <v>1834</v>
      </c>
      <c r="C133" s="2115"/>
      <c r="D133" s="2108"/>
      <c r="E133" s="2091">
        <v>12</v>
      </c>
      <c r="F133" s="1262" t="s">
        <v>363</v>
      </c>
      <c r="G133" s="1515">
        <v>4175</v>
      </c>
      <c r="H133" s="1343">
        <f>ROUND(E133*G133,)</f>
        <v>50100</v>
      </c>
      <c r="I133" s="1344">
        <v>600</v>
      </c>
      <c r="J133" s="1343">
        <f>ROUND(E133*I133,)</f>
        <v>7200</v>
      </c>
      <c r="K133" s="1262">
        <f>H133+J133</f>
        <v>57300</v>
      </c>
      <c r="L133" s="1262"/>
    </row>
    <row r="134" spans="1:20" s="2116" customFormat="1" ht="24" customHeight="1">
      <c r="A134" s="2113"/>
      <c r="B134" s="2114" t="s">
        <v>1759</v>
      </c>
      <c r="C134" s="2115"/>
      <c r="D134" s="2108"/>
      <c r="E134" s="1801"/>
      <c r="F134" s="1262" t="s">
        <v>363</v>
      </c>
      <c r="G134" s="1836">
        <v>5541</v>
      </c>
      <c r="H134" s="1343">
        <f>ROUND(E134*G134,)</f>
        <v>0</v>
      </c>
      <c r="I134" s="1344">
        <v>800</v>
      </c>
      <c r="J134" s="1343">
        <f t="shared" ref="J134:J135" si="43">ROUND(E134*I134,)</f>
        <v>0</v>
      </c>
      <c r="K134" s="1262">
        <f t="shared" ref="K134:K135" si="44">H134+J134</f>
        <v>0</v>
      </c>
      <c r="L134" s="1262"/>
    </row>
    <row r="135" spans="1:20" s="2116" customFormat="1" ht="24" customHeight="1">
      <c r="A135" s="2113"/>
      <c r="B135" s="2114" t="s">
        <v>1866</v>
      </c>
      <c r="C135" s="2115"/>
      <c r="D135" s="2108"/>
      <c r="E135" s="1801"/>
      <c r="F135" s="1262"/>
      <c r="G135" s="1836">
        <v>18915</v>
      </c>
      <c r="H135" s="1343">
        <f>ROUND(E135*G135,)</f>
        <v>0</v>
      </c>
      <c r="I135" s="1344">
        <v>2000</v>
      </c>
      <c r="J135" s="1343">
        <f t="shared" si="43"/>
        <v>0</v>
      </c>
      <c r="K135" s="1262">
        <f t="shared" si="44"/>
        <v>0</v>
      </c>
      <c r="L135" s="1262"/>
    </row>
    <row r="136" spans="1:20" s="2116" customFormat="1" ht="24" customHeight="1">
      <c r="A136" s="2113" t="s">
        <v>2369</v>
      </c>
      <c r="B136" s="2114" t="s">
        <v>2728</v>
      </c>
      <c r="C136" s="2115"/>
      <c r="D136" s="2108"/>
      <c r="E136" s="1801"/>
      <c r="F136" s="1262"/>
      <c r="G136" s="1515"/>
      <c r="H136" s="1343"/>
      <c r="I136" s="1344"/>
      <c r="J136" s="1343"/>
      <c r="K136" s="1262"/>
      <c r="L136" s="1262"/>
    </row>
    <row r="137" spans="1:20" s="2116" customFormat="1" ht="24" customHeight="1">
      <c r="A137" s="2113"/>
      <c r="B137" s="2153" t="s">
        <v>1865</v>
      </c>
      <c r="C137" s="2115"/>
      <c r="D137" s="2108"/>
      <c r="E137" s="2091">
        <v>10</v>
      </c>
      <c r="F137" s="1262" t="s">
        <v>363</v>
      </c>
      <c r="G137" s="1515">
        <v>300</v>
      </c>
      <c r="H137" s="1343">
        <f>ROUND(E137*G137,)</f>
        <v>3000</v>
      </c>
      <c r="I137" s="1344">
        <v>200</v>
      </c>
      <c r="J137" s="1343">
        <f>ROUND(E137*I137,)</f>
        <v>2000</v>
      </c>
      <c r="K137" s="1262">
        <f>H137+J137</f>
        <v>5000</v>
      </c>
      <c r="L137" s="1262"/>
    </row>
    <row r="138" spans="1:20" s="1765" customFormat="1" ht="24" customHeight="1">
      <c r="A138" s="2113" t="s">
        <v>2370</v>
      </c>
      <c r="B138" s="2114" t="s">
        <v>1730</v>
      </c>
      <c r="C138" s="2115"/>
      <c r="D138" s="2108"/>
      <c r="E138" s="1801"/>
      <c r="F138" s="1262"/>
      <c r="G138" s="1515"/>
      <c r="H138" s="1343"/>
      <c r="I138" s="1344"/>
      <c r="J138" s="1343"/>
      <c r="K138" s="1262"/>
      <c r="L138" s="1262"/>
    </row>
    <row r="139" spans="1:20" s="2116" customFormat="1" ht="24" customHeight="1">
      <c r="A139" s="2113"/>
      <c r="B139" s="2114" t="s">
        <v>1337</v>
      </c>
      <c r="C139" s="2115"/>
      <c r="D139" s="2108"/>
      <c r="E139" s="1801">
        <v>10</v>
      </c>
      <c r="F139" s="1262" t="s">
        <v>363</v>
      </c>
      <c r="G139" s="1515">
        <v>2400</v>
      </c>
      <c r="H139" s="1343">
        <f t="shared" ref="H139:H141" si="45">ROUND(E139*G139,)</f>
        <v>24000</v>
      </c>
      <c r="I139" s="1344">
        <v>200</v>
      </c>
      <c r="J139" s="1343">
        <f t="shared" ref="J139:J141" si="46">ROUND(E139*I139,)</f>
        <v>2000</v>
      </c>
      <c r="K139" s="1262">
        <f t="shared" ref="K139:K141" si="47">H139+J139</f>
        <v>26000</v>
      </c>
      <c r="L139" s="1415"/>
    </row>
    <row r="140" spans="1:20" s="2116" customFormat="1" ht="24" customHeight="1">
      <c r="A140" s="2113" t="s">
        <v>2371</v>
      </c>
      <c r="B140" s="2114" t="s">
        <v>1741</v>
      </c>
      <c r="C140" s="2115"/>
      <c r="D140" s="2108"/>
      <c r="E140" s="1801">
        <v>20</v>
      </c>
      <c r="F140" s="1262" t="s">
        <v>363</v>
      </c>
      <c r="G140" s="1515">
        <v>1452</v>
      </c>
      <c r="H140" s="1343">
        <f t="shared" si="45"/>
        <v>29040</v>
      </c>
      <c r="I140" s="1344">
        <v>100</v>
      </c>
      <c r="J140" s="1343">
        <f t="shared" si="46"/>
        <v>2000</v>
      </c>
      <c r="K140" s="1262">
        <f t="shared" si="47"/>
        <v>31040</v>
      </c>
      <c r="L140" s="1262"/>
    </row>
    <row r="141" spans="1:20" s="2116" customFormat="1" ht="24" customHeight="1">
      <c r="A141" s="2113" t="s">
        <v>2373</v>
      </c>
      <c r="B141" s="2114" t="s">
        <v>1987</v>
      </c>
      <c r="C141" s="2115"/>
      <c r="D141" s="2108"/>
      <c r="E141" s="1801">
        <v>20</v>
      </c>
      <c r="F141" s="1262" t="s">
        <v>363</v>
      </c>
      <c r="G141" s="1515">
        <v>1590</v>
      </c>
      <c r="H141" s="1343">
        <f t="shared" si="45"/>
        <v>31800</v>
      </c>
      <c r="I141" s="1344">
        <v>100</v>
      </c>
      <c r="J141" s="1343">
        <f t="shared" si="46"/>
        <v>2000</v>
      </c>
      <c r="K141" s="1262">
        <f t="shared" si="47"/>
        <v>33800</v>
      </c>
      <c r="L141" s="1262"/>
    </row>
    <row r="142" spans="1:20" s="1765" customFormat="1" ht="24" customHeight="1">
      <c r="A142" s="2113"/>
      <c r="B142" s="2114" t="s">
        <v>1117</v>
      </c>
      <c r="C142" s="2115"/>
      <c r="D142" s="2108"/>
      <c r="E142" s="1801"/>
      <c r="F142" s="1262"/>
      <c r="G142" s="1515"/>
      <c r="H142" s="1343"/>
      <c r="I142" s="1344"/>
      <c r="J142" s="1343"/>
      <c r="K142" s="1262"/>
      <c r="L142" s="1262"/>
      <c r="M142" s="1613"/>
      <c r="N142" s="1613"/>
      <c r="O142" s="1613"/>
      <c r="P142" s="1613"/>
      <c r="Q142" s="1613"/>
      <c r="R142" s="1613"/>
      <c r="S142" s="1613"/>
      <c r="T142" s="1613"/>
    </row>
    <row r="143" spans="1:20" s="1765" customFormat="1" ht="24" customHeight="1">
      <c r="A143" s="2113"/>
      <c r="B143" s="2114" t="s">
        <v>1118</v>
      </c>
      <c r="C143" s="2115"/>
      <c r="D143" s="2108"/>
      <c r="E143" s="1801"/>
      <c r="F143" s="1262"/>
      <c r="G143" s="1515"/>
      <c r="H143" s="1343"/>
      <c r="I143" s="1344"/>
      <c r="J143" s="1343"/>
      <c r="K143" s="1262"/>
      <c r="L143" s="1262"/>
      <c r="M143" s="1613"/>
      <c r="N143" s="1613"/>
      <c r="O143" s="1613"/>
      <c r="P143" s="1613"/>
      <c r="Q143" s="1613"/>
      <c r="R143" s="1613"/>
      <c r="S143" s="1613"/>
      <c r="T143" s="1613"/>
    </row>
    <row r="144" spans="1:20" s="1765" customFormat="1" ht="24" customHeight="1">
      <c r="A144" s="1578"/>
      <c r="B144" s="2257" t="str">
        <f>"รวมราคารายการที่ "&amp;A110</f>
        <v>รวมราคารายการที่ 7.7</v>
      </c>
      <c r="C144" s="2258"/>
      <c r="D144" s="2259"/>
      <c r="E144" s="1579"/>
      <c r="F144" s="1579"/>
      <c r="G144" s="1580"/>
      <c r="H144" s="1581">
        <f>SUM(H111:H143)</f>
        <v>287224</v>
      </c>
      <c r="I144" s="1582"/>
      <c r="J144" s="1581">
        <f>SUM(J111:J143)</f>
        <v>41200</v>
      </c>
      <c r="K144" s="1583">
        <f>SUM(K111:K143)</f>
        <v>328424</v>
      </c>
      <c r="L144" s="1583"/>
      <c r="M144" s="2019"/>
      <c r="N144" s="2019"/>
      <c r="O144" s="2019"/>
      <c r="P144" s="2019"/>
      <c r="Q144" s="2019"/>
      <c r="R144" s="2019"/>
      <c r="S144" s="2019"/>
      <c r="T144" s="2019"/>
    </row>
    <row r="145" spans="1:21" s="1765" customFormat="1" ht="24" customHeight="1">
      <c r="A145" s="1291" t="s">
        <v>2091</v>
      </c>
      <c r="B145" s="1776" t="s">
        <v>2074</v>
      </c>
      <c r="C145" s="1293"/>
      <c r="D145" s="1294"/>
      <c r="E145" s="1786"/>
      <c r="F145" s="1794"/>
      <c r="G145" s="1721"/>
      <c r="H145" s="1255"/>
      <c r="I145" s="1256"/>
      <c r="J145" s="1255"/>
      <c r="K145" s="1502"/>
      <c r="L145" s="1502"/>
      <c r="M145" s="1613"/>
      <c r="N145" s="1613"/>
      <c r="O145" s="1613"/>
      <c r="P145" s="1613"/>
      <c r="Q145" s="1613"/>
      <c r="R145" s="1613"/>
      <c r="S145" s="1613"/>
      <c r="T145" s="1613"/>
    </row>
    <row r="146" spans="1:21" s="1765" customFormat="1" ht="24" customHeight="1">
      <c r="A146" s="1258" t="s">
        <v>2093</v>
      </c>
      <c r="B146" s="1538" t="s">
        <v>2267</v>
      </c>
      <c r="C146" s="1437"/>
      <c r="D146" s="1275"/>
      <c r="E146" s="1768"/>
      <c r="F146" s="1768"/>
      <c r="G146" s="1516"/>
      <c r="H146" s="1264"/>
      <c r="I146" s="1265"/>
      <c r="J146" s="1264"/>
      <c r="K146" s="1273"/>
      <c r="L146" s="1273"/>
      <c r="M146" s="1613"/>
      <c r="N146" s="1613"/>
      <c r="O146" s="1613"/>
      <c r="P146" s="1613"/>
      <c r="Q146" s="1613"/>
      <c r="R146" s="1613"/>
      <c r="S146" s="1613"/>
      <c r="T146" s="1613"/>
    </row>
    <row r="147" spans="1:21" s="1765" customFormat="1" ht="24" customHeight="1">
      <c r="A147" s="1258"/>
      <c r="B147" s="1538" t="s">
        <v>2077</v>
      </c>
      <c r="C147" s="1437"/>
      <c r="D147" s="1275"/>
      <c r="E147" s="1801">
        <v>7</v>
      </c>
      <c r="F147" s="1768" t="s">
        <v>2078</v>
      </c>
      <c r="G147" s="1516">
        <v>218</v>
      </c>
      <c r="H147" s="1264">
        <f t="shared" ref="H147:H153" si="48">ROUND(E147*G147,)</f>
        <v>1526</v>
      </c>
      <c r="I147" s="1516">
        <f>ROUND(18*10.76,)</f>
        <v>194</v>
      </c>
      <c r="J147" s="1264">
        <f t="shared" ref="J147:J153" si="49">ROUND(E147*I147,)</f>
        <v>1358</v>
      </c>
      <c r="K147" s="1273">
        <f t="shared" ref="K147:K153" si="50">H147+J147</f>
        <v>2884</v>
      </c>
      <c r="L147" s="1273"/>
      <c r="M147" s="1613"/>
      <c r="N147" s="1613"/>
      <c r="O147" s="1613"/>
      <c r="P147" s="1613"/>
      <c r="Q147" s="1613"/>
      <c r="R147" s="1613"/>
      <c r="S147" s="1613"/>
      <c r="T147" s="1613"/>
      <c r="U147" s="1835"/>
    </row>
    <row r="148" spans="1:21" s="1765" customFormat="1" ht="24" customHeight="1">
      <c r="A148" s="1258"/>
      <c r="B148" s="1538" t="s">
        <v>2079</v>
      </c>
      <c r="C148" s="1437"/>
      <c r="D148" s="1275"/>
      <c r="E148" s="1261">
        <f>31*1.15</f>
        <v>35.65</v>
      </c>
      <c r="F148" s="1768" t="s">
        <v>2078</v>
      </c>
      <c r="G148" s="1516">
        <v>263</v>
      </c>
      <c r="H148" s="1264">
        <f t="shared" si="48"/>
        <v>9376</v>
      </c>
      <c r="I148" s="1516">
        <f>ROUND(24*10.76,)</f>
        <v>258</v>
      </c>
      <c r="J148" s="1264">
        <f t="shared" si="49"/>
        <v>9198</v>
      </c>
      <c r="K148" s="1273">
        <f t="shared" si="50"/>
        <v>18574</v>
      </c>
      <c r="L148" s="1273"/>
      <c r="M148" s="1613"/>
      <c r="N148" s="1613"/>
      <c r="O148" s="1613"/>
      <c r="P148" s="1613"/>
      <c r="Q148" s="1613"/>
      <c r="R148" s="1613"/>
      <c r="S148" s="1613"/>
      <c r="T148" s="1613"/>
      <c r="U148" s="1835"/>
    </row>
    <row r="149" spans="1:21" s="1765" customFormat="1" ht="24" customHeight="1">
      <c r="A149" s="1258"/>
      <c r="B149" s="1538" t="s">
        <v>2080</v>
      </c>
      <c r="C149" s="1437"/>
      <c r="D149" s="1275"/>
      <c r="E149" s="1276">
        <f>42*1.15</f>
        <v>48.3</v>
      </c>
      <c r="F149" s="1358" t="s">
        <v>2078</v>
      </c>
      <c r="G149" s="1516">
        <v>314</v>
      </c>
      <c r="H149" s="1264">
        <f t="shared" si="48"/>
        <v>15166</v>
      </c>
      <c r="I149" s="1516">
        <f>ROUND(25*10.76,)</f>
        <v>269</v>
      </c>
      <c r="J149" s="1264">
        <f t="shared" si="49"/>
        <v>12993</v>
      </c>
      <c r="K149" s="1273">
        <f t="shared" si="50"/>
        <v>28159</v>
      </c>
      <c r="L149" s="1273"/>
      <c r="M149" s="1613"/>
      <c r="N149" s="1613"/>
      <c r="O149" s="1613"/>
      <c r="P149" s="1613"/>
      <c r="Q149" s="1613"/>
      <c r="R149" s="1613"/>
      <c r="S149" s="1613"/>
      <c r="T149" s="1613"/>
    </row>
    <row r="150" spans="1:21" s="1765" customFormat="1" ht="24" customHeight="1">
      <c r="A150" s="1258"/>
      <c r="B150" s="1538" t="s">
        <v>2081</v>
      </c>
      <c r="C150" s="1437"/>
      <c r="D150" s="1275"/>
      <c r="E150" s="1276">
        <f>1*1.15</f>
        <v>1.1499999999999999</v>
      </c>
      <c r="F150" s="1358" t="s">
        <v>2078</v>
      </c>
      <c r="G150" s="1516">
        <v>381</v>
      </c>
      <c r="H150" s="1264">
        <f t="shared" si="48"/>
        <v>438</v>
      </c>
      <c r="I150" s="1516">
        <f>ROUND(30*10.76,)</f>
        <v>323</v>
      </c>
      <c r="J150" s="1264">
        <f t="shared" si="49"/>
        <v>371</v>
      </c>
      <c r="K150" s="1273">
        <f t="shared" si="50"/>
        <v>809</v>
      </c>
      <c r="L150" s="1273"/>
      <c r="M150" s="1613"/>
      <c r="N150" s="1613"/>
      <c r="O150" s="1613"/>
      <c r="P150" s="1613"/>
      <c r="Q150" s="1613"/>
      <c r="R150" s="1613"/>
      <c r="S150" s="1613"/>
      <c r="T150" s="1613"/>
    </row>
    <row r="151" spans="1:21" s="1765" customFormat="1" ht="24" customHeight="1">
      <c r="A151" s="1258"/>
      <c r="B151" s="1538" t="s">
        <v>2082</v>
      </c>
      <c r="C151" s="1437"/>
      <c r="D151" s="1275"/>
      <c r="E151" s="1768"/>
      <c r="F151" s="1358" t="s">
        <v>2078</v>
      </c>
      <c r="G151" s="1516">
        <v>443</v>
      </c>
      <c r="H151" s="1264">
        <f t="shared" si="48"/>
        <v>0</v>
      </c>
      <c r="I151" s="1516">
        <f>ROUND(35*10.76,)</f>
        <v>377</v>
      </c>
      <c r="J151" s="1264">
        <f t="shared" si="49"/>
        <v>0</v>
      </c>
      <c r="K151" s="1273">
        <f t="shared" si="50"/>
        <v>0</v>
      </c>
      <c r="L151" s="1273"/>
      <c r="M151" s="1613"/>
      <c r="N151" s="1613"/>
      <c r="O151" s="1613"/>
      <c r="P151" s="1613"/>
      <c r="Q151" s="1613"/>
      <c r="R151" s="1613"/>
      <c r="S151" s="1613"/>
      <c r="T151" s="1613"/>
    </row>
    <row r="152" spans="1:21" s="1765" customFormat="1" ht="24" customHeight="1">
      <c r="A152" s="1258"/>
      <c r="B152" s="1538" t="s">
        <v>1719</v>
      </c>
      <c r="C152" s="1437"/>
      <c r="D152" s="1275"/>
      <c r="E152" s="1768">
        <v>1</v>
      </c>
      <c r="F152" s="1358" t="s">
        <v>1104</v>
      </c>
      <c r="G152" s="1516">
        <f>SUM(H147:H151)*30%</f>
        <v>7951.7999999999993</v>
      </c>
      <c r="H152" s="1264">
        <f t="shared" si="48"/>
        <v>7952</v>
      </c>
      <c r="I152" s="1265">
        <f>ROUND(G152*0.3,)</f>
        <v>2386</v>
      </c>
      <c r="J152" s="1264">
        <f t="shared" si="49"/>
        <v>2386</v>
      </c>
      <c r="K152" s="1273">
        <f t="shared" si="50"/>
        <v>10338</v>
      </c>
      <c r="L152" s="1273"/>
      <c r="M152" s="1613"/>
      <c r="N152" s="1613"/>
      <c r="O152" s="1613"/>
      <c r="P152" s="1613"/>
      <c r="Q152" s="1613"/>
      <c r="R152" s="1613"/>
      <c r="S152" s="1613"/>
      <c r="T152" s="1613"/>
    </row>
    <row r="153" spans="1:21" s="1765" customFormat="1" ht="24" customHeight="1">
      <c r="A153" s="1258"/>
      <c r="B153" s="1538" t="s">
        <v>1720</v>
      </c>
      <c r="C153" s="1437"/>
      <c r="D153" s="1275"/>
      <c r="E153" s="1768">
        <v>1</v>
      </c>
      <c r="F153" s="1358" t="s">
        <v>1104</v>
      </c>
      <c r="G153" s="1516">
        <f>SUM(H147:H151)*20%</f>
        <v>5301.2000000000007</v>
      </c>
      <c r="H153" s="1264">
        <f t="shared" si="48"/>
        <v>5301</v>
      </c>
      <c r="I153" s="1265">
        <f>ROUND(G153*0.3,)</f>
        <v>1590</v>
      </c>
      <c r="J153" s="1264">
        <f t="shared" si="49"/>
        <v>1590</v>
      </c>
      <c r="K153" s="1273">
        <f t="shared" si="50"/>
        <v>6891</v>
      </c>
      <c r="L153" s="1273"/>
      <c r="M153" s="1613"/>
      <c r="N153" s="1613"/>
      <c r="O153" s="1613"/>
      <c r="P153" s="1613"/>
      <c r="Q153" s="1613"/>
      <c r="R153" s="1613"/>
      <c r="S153" s="1613"/>
      <c r="T153" s="1613"/>
    </row>
    <row r="154" spans="1:21" s="1765" customFormat="1" ht="24" customHeight="1">
      <c r="A154" s="1449"/>
      <c r="B154" s="1538" t="s">
        <v>1117</v>
      </c>
      <c r="C154" s="1437"/>
      <c r="D154" s="1275"/>
      <c r="E154" s="1768"/>
      <c r="F154" s="1358"/>
      <c r="G154" s="1516"/>
      <c r="H154" s="1264"/>
      <c r="I154" s="1265"/>
      <c r="J154" s="1264"/>
      <c r="K154" s="1273"/>
      <c r="L154" s="1273"/>
      <c r="M154" s="1613"/>
      <c r="N154" s="1613"/>
      <c r="O154" s="1613"/>
      <c r="P154" s="1613"/>
      <c r="Q154" s="1613"/>
      <c r="R154" s="1613"/>
      <c r="S154" s="1613"/>
      <c r="T154" s="1613"/>
    </row>
    <row r="155" spans="1:21" s="1765" customFormat="1" ht="24" customHeight="1">
      <c r="A155" s="1449"/>
      <c r="B155" s="1538"/>
      <c r="C155" s="1437"/>
      <c r="D155" s="1275"/>
      <c r="E155" s="1768"/>
      <c r="F155" s="1358"/>
      <c r="G155" s="1516"/>
      <c r="H155" s="1264"/>
      <c r="I155" s="1265"/>
      <c r="J155" s="1264"/>
      <c r="K155" s="1273"/>
      <c r="L155" s="1273"/>
      <c r="M155" s="1613"/>
      <c r="N155" s="1613"/>
      <c r="O155" s="1613"/>
      <c r="P155" s="1613"/>
      <c r="Q155" s="1613"/>
      <c r="R155" s="1613"/>
      <c r="S155" s="1613"/>
      <c r="T155" s="1613"/>
    </row>
    <row r="156" spans="1:21" s="1765" customFormat="1" ht="24" customHeight="1">
      <c r="A156" s="1449"/>
      <c r="B156" s="1538"/>
      <c r="C156" s="1437"/>
      <c r="D156" s="1275"/>
      <c r="E156" s="1768"/>
      <c r="F156" s="1358"/>
      <c r="G156" s="1516"/>
      <c r="H156" s="1264"/>
      <c r="I156" s="1265"/>
      <c r="J156" s="1264"/>
      <c r="K156" s="1273"/>
      <c r="L156" s="1273"/>
      <c r="M156" s="1613"/>
      <c r="N156" s="1613"/>
      <c r="O156" s="1613"/>
      <c r="P156" s="1613"/>
      <c r="Q156" s="1613"/>
      <c r="R156" s="1613"/>
      <c r="S156" s="1613"/>
      <c r="T156" s="1613"/>
    </row>
    <row r="157" spans="1:21" s="1765" customFormat="1" ht="24" customHeight="1">
      <c r="A157" s="1449"/>
      <c r="B157" s="1538"/>
      <c r="C157" s="1437"/>
      <c r="D157" s="1275"/>
      <c r="E157" s="1768"/>
      <c r="F157" s="1358"/>
      <c r="G157" s="1516"/>
      <c r="H157" s="1264"/>
      <c r="I157" s="1265"/>
      <c r="J157" s="1264"/>
      <c r="K157" s="1273"/>
      <c r="L157" s="1273"/>
      <c r="M157" s="1613"/>
      <c r="N157" s="1613"/>
      <c r="O157" s="1613"/>
      <c r="P157" s="1613"/>
      <c r="Q157" s="1613"/>
      <c r="R157" s="1613"/>
      <c r="S157" s="1613"/>
      <c r="T157" s="1613"/>
    </row>
    <row r="158" spans="1:21" s="1765" customFormat="1" ht="24" customHeight="1">
      <c r="A158" s="1449"/>
      <c r="B158" s="1538" t="s">
        <v>1118</v>
      </c>
      <c r="C158" s="1437"/>
      <c r="D158" s="1275"/>
      <c r="E158" s="1768"/>
      <c r="F158" s="1358"/>
      <c r="G158" s="1516"/>
      <c r="H158" s="1264"/>
      <c r="I158" s="1265"/>
      <c r="J158" s="1264"/>
      <c r="K158" s="1273"/>
      <c r="L158" s="1273"/>
      <c r="M158" s="1613"/>
      <c r="N158" s="1613"/>
      <c r="O158" s="1613"/>
      <c r="P158" s="1613"/>
      <c r="Q158" s="1613"/>
      <c r="R158" s="1613"/>
      <c r="S158" s="1613"/>
      <c r="T158" s="1613"/>
    </row>
    <row r="159" spans="1:21" s="1765" customFormat="1" ht="24" customHeight="1">
      <c r="A159" s="1578"/>
      <c r="B159" s="2257" t="str">
        <f>"รวมราคารายการที่ "&amp;A145</f>
        <v>รวมราคารายการที่ 7.8</v>
      </c>
      <c r="C159" s="2258"/>
      <c r="D159" s="2259"/>
      <c r="E159" s="1579"/>
      <c r="F159" s="1579"/>
      <c r="G159" s="1580"/>
      <c r="H159" s="1581">
        <f>SUM(H146:H158)</f>
        <v>39759</v>
      </c>
      <c r="I159" s="1582"/>
      <c r="J159" s="1581">
        <f>SUM(J146:J158)</f>
        <v>27896</v>
      </c>
      <c r="K159" s="1583">
        <f>SUM(K146:K158)</f>
        <v>67655</v>
      </c>
      <c r="L159" s="1583"/>
      <c r="M159" s="2019"/>
      <c r="N159" s="2019"/>
      <c r="O159" s="2019"/>
      <c r="P159" s="2019"/>
      <c r="Q159" s="2019"/>
      <c r="R159" s="2019"/>
      <c r="S159" s="2019"/>
      <c r="T159" s="2019"/>
    </row>
    <row r="160" spans="1:21" s="1765" customFormat="1" ht="24" customHeight="1">
      <c r="A160" s="1291" t="s">
        <v>2108</v>
      </c>
      <c r="B160" s="1776" t="s">
        <v>2083</v>
      </c>
      <c r="C160" s="1293"/>
      <c r="D160" s="1294"/>
      <c r="E160" s="1786"/>
      <c r="F160" s="1296"/>
      <c r="G160" s="1357"/>
      <c r="H160" s="1298"/>
      <c r="I160" s="1299"/>
      <c r="J160" s="1298"/>
      <c r="K160" s="1382"/>
      <c r="L160" s="1382"/>
      <c r="M160" s="1613"/>
      <c r="N160" s="1613"/>
      <c r="O160" s="1613"/>
      <c r="P160" s="1613"/>
      <c r="Q160" s="1613"/>
      <c r="R160" s="1613"/>
      <c r="S160" s="1613"/>
      <c r="T160" s="1613"/>
    </row>
    <row r="161" spans="1:20" s="1765" customFormat="1" ht="24" customHeight="1">
      <c r="A161" s="1258" t="s">
        <v>2110</v>
      </c>
      <c r="B161" s="1538" t="s">
        <v>2085</v>
      </c>
      <c r="C161" s="1437"/>
      <c r="D161" s="1278"/>
      <c r="E161" s="1768"/>
      <c r="F161" s="1296"/>
      <c r="G161" s="1516"/>
      <c r="H161" s="1298"/>
      <c r="I161" s="1299"/>
      <c r="J161" s="1298"/>
      <c r="K161" s="1382"/>
      <c r="L161" s="1382"/>
      <c r="M161" s="1613"/>
      <c r="N161" s="1613"/>
      <c r="O161" s="1613"/>
      <c r="P161" s="1613"/>
      <c r="Q161" s="1613"/>
      <c r="R161" s="1613"/>
      <c r="S161" s="1613"/>
      <c r="T161" s="1613"/>
    </row>
    <row r="162" spans="1:20" s="1765" customFormat="1" ht="24" customHeight="1">
      <c r="A162" s="1449"/>
      <c r="B162" s="1538" t="s">
        <v>2086</v>
      </c>
      <c r="C162" s="1437"/>
      <c r="D162" s="1278"/>
      <c r="E162" s="1768"/>
      <c r="F162" s="1296" t="s">
        <v>2078</v>
      </c>
      <c r="G162" s="1516">
        <v>148</v>
      </c>
      <c r="H162" s="1264">
        <f t="shared" ref="H162:H165" si="51">ROUND(E162*G162,)</f>
        <v>0</v>
      </c>
      <c r="I162" s="1299">
        <v>45</v>
      </c>
      <c r="J162" s="1264">
        <f t="shared" ref="J162:J165" si="52">ROUND(E162*I162,)</f>
        <v>0</v>
      </c>
      <c r="K162" s="1273">
        <f t="shared" ref="K162:K165" si="53">H162+J162</f>
        <v>0</v>
      </c>
      <c r="L162" s="1382"/>
      <c r="M162" s="1613"/>
      <c r="N162" s="1613"/>
      <c r="O162" s="1613"/>
      <c r="P162" s="1613"/>
      <c r="Q162" s="1613"/>
      <c r="R162" s="1613"/>
      <c r="S162" s="1613"/>
      <c r="T162" s="1613"/>
    </row>
    <row r="163" spans="1:20" s="1765" customFormat="1" ht="24" customHeight="1">
      <c r="A163" s="1449"/>
      <c r="B163" s="1538" t="s">
        <v>2087</v>
      </c>
      <c r="C163" s="1437"/>
      <c r="D163" s="1278"/>
      <c r="E163" s="1768">
        <f>SUM(E148:E150)</f>
        <v>85.1</v>
      </c>
      <c r="F163" s="1296" t="s">
        <v>2078</v>
      </c>
      <c r="G163" s="1516">
        <v>212</v>
      </c>
      <c r="H163" s="1298">
        <f t="shared" si="51"/>
        <v>18041</v>
      </c>
      <c r="I163" s="1299">
        <v>45</v>
      </c>
      <c r="J163" s="1264">
        <f t="shared" si="52"/>
        <v>3830</v>
      </c>
      <c r="K163" s="1273">
        <f t="shared" si="53"/>
        <v>21871</v>
      </c>
      <c r="L163" s="1382"/>
      <c r="M163" s="1613"/>
      <c r="N163" s="1613"/>
      <c r="O163" s="1613"/>
      <c r="P163" s="1613"/>
      <c r="Q163" s="1613"/>
      <c r="R163" s="1613"/>
      <c r="S163" s="1613"/>
      <c r="T163" s="1613"/>
    </row>
    <row r="164" spans="1:20" s="1765" customFormat="1" ht="24" customHeight="1">
      <c r="A164" s="1449"/>
      <c r="B164" s="1538" t="s">
        <v>2088</v>
      </c>
      <c r="C164" s="1437"/>
      <c r="D164" s="1275"/>
      <c r="E164" s="1768"/>
      <c r="F164" s="1358" t="s">
        <v>2078</v>
      </c>
      <c r="G164" s="1516">
        <v>454</v>
      </c>
      <c r="H164" s="1264">
        <f t="shared" si="51"/>
        <v>0</v>
      </c>
      <c r="I164" s="1265">
        <f>G164*0.3</f>
        <v>136.19999999999999</v>
      </c>
      <c r="J164" s="1264">
        <f t="shared" si="52"/>
        <v>0</v>
      </c>
      <c r="K164" s="1273">
        <f t="shared" si="53"/>
        <v>0</v>
      </c>
      <c r="L164" s="1273"/>
      <c r="M164" s="1613"/>
      <c r="N164" s="1613"/>
      <c r="O164" s="1613"/>
      <c r="P164" s="1613"/>
      <c r="Q164" s="1613"/>
      <c r="R164" s="1613"/>
      <c r="S164" s="1613"/>
      <c r="T164" s="1613"/>
    </row>
    <row r="165" spans="1:20" s="1765" customFormat="1" ht="24" customHeight="1">
      <c r="A165" s="1258" t="s">
        <v>2112</v>
      </c>
      <c r="B165" s="1538" t="s">
        <v>2090</v>
      </c>
      <c r="C165" s="1437"/>
      <c r="D165" s="1275"/>
      <c r="E165" s="1768">
        <v>1</v>
      </c>
      <c r="F165" s="1358" t="s">
        <v>1104</v>
      </c>
      <c r="G165" s="1516">
        <f>E163*40</f>
        <v>3404</v>
      </c>
      <c r="H165" s="1264">
        <f t="shared" si="51"/>
        <v>3404</v>
      </c>
      <c r="I165" s="1265">
        <f>E163*15</f>
        <v>1276.5</v>
      </c>
      <c r="J165" s="1264">
        <f t="shared" si="52"/>
        <v>1277</v>
      </c>
      <c r="K165" s="1273">
        <f t="shared" si="53"/>
        <v>4681</v>
      </c>
      <c r="L165" s="1273"/>
      <c r="M165" s="1613"/>
      <c r="N165" s="1613"/>
      <c r="O165" s="1613"/>
      <c r="P165" s="1613"/>
      <c r="Q165" s="1613"/>
      <c r="R165" s="1613"/>
      <c r="S165" s="1613"/>
      <c r="T165" s="1613"/>
    </row>
    <row r="166" spans="1:20" s="1765" customFormat="1" ht="24" customHeight="1">
      <c r="A166" s="1449"/>
      <c r="B166" s="1538" t="s">
        <v>1117</v>
      </c>
      <c r="C166" s="1437"/>
      <c r="D166" s="1275"/>
      <c r="E166" s="1768"/>
      <c r="F166" s="1358"/>
      <c r="G166" s="1516"/>
      <c r="H166" s="1264"/>
      <c r="I166" s="1265"/>
      <c r="J166" s="1264"/>
      <c r="K166" s="1273"/>
      <c r="L166" s="1273"/>
      <c r="M166" s="1613"/>
      <c r="N166" s="1613"/>
      <c r="O166" s="1613"/>
      <c r="P166" s="1613"/>
      <c r="Q166" s="1613"/>
      <c r="R166" s="1613"/>
      <c r="S166" s="1613"/>
      <c r="T166" s="1613"/>
    </row>
    <row r="167" spans="1:20" s="1765" customFormat="1" ht="24" customHeight="1">
      <c r="A167" s="1578"/>
      <c r="B167" s="2257" t="str">
        <f>"รวมราคารายการที่ "&amp;A160</f>
        <v>รวมราคารายการที่ 7.9</v>
      </c>
      <c r="C167" s="2258"/>
      <c r="D167" s="2259"/>
      <c r="E167" s="1579"/>
      <c r="F167" s="1579"/>
      <c r="G167" s="1580"/>
      <c r="H167" s="1581">
        <f>SUM(H161:H166)</f>
        <v>21445</v>
      </c>
      <c r="I167" s="1582"/>
      <c r="J167" s="1581">
        <f>SUM(J161:J166)</f>
        <v>5107</v>
      </c>
      <c r="K167" s="1583">
        <f>SUM(K161:K166)</f>
        <v>26552</v>
      </c>
      <c r="L167" s="1583"/>
      <c r="M167" s="2019"/>
      <c r="N167" s="2019"/>
      <c r="O167" s="2019"/>
      <c r="P167" s="2019"/>
      <c r="Q167" s="2019"/>
      <c r="R167" s="2019"/>
      <c r="S167" s="2019"/>
      <c r="T167" s="2019"/>
    </row>
    <row r="168" spans="1:20" s="1765" customFormat="1" ht="24" customHeight="1">
      <c r="A168" s="1291" t="s">
        <v>2130</v>
      </c>
      <c r="B168" s="1776" t="s">
        <v>2092</v>
      </c>
      <c r="C168" s="1293"/>
      <c r="D168" s="1294"/>
      <c r="E168" s="1786"/>
      <c r="F168" s="1296"/>
      <c r="G168" s="1516"/>
      <c r="H168" s="1264"/>
      <c r="I168" s="1265"/>
      <c r="J168" s="1264"/>
      <c r="K168" s="1273"/>
      <c r="L168" s="1382"/>
      <c r="M168" s="1613"/>
      <c r="N168" s="1613"/>
      <c r="O168" s="1613"/>
      <c r="P168" s="1613"/>
      <c r="Q168" s="1613"/>
      <c r="R168" s="1613"/>
      <c r="S168" s="1613"/>
      <c r="T168" s="1613"/>
    </row>
    <row r="169" spans="1:20" s="1765" customFormat="1" ht="24" customHeight="1">
      <c r="A169" s="1258" t="s">
        <v>2268</v>
      </c>
      <c r="B169" s="1538" t="s">
        <v>2269</v>
      </c>
      <c r="C169" s="1437"/>
      <c r="D169" s="1275"/>
      <c r="E169" s="1768"/>
      <c r="F169" s="1358"/>
      <c r="G169" s="1516"/>
      <c r="H169" s="1264">
        <f t="shared" ref="H169:H180" si="54">ROUND(E169*G169,)</f>
        <v>0</v>
      </c>
      <c r="I169" s="1265">
        <f>G169*0.3</f>
        <v>0</v>
      </c>
      <c r="J169" s="1264">
        <f t="shared" ref="J169:J180" si="55">ROUND(E169*I169,)</f>
        <v>0</v>
      </c>
      <c r="K169" s="1273">
        <f t="shared" ref="K169:K180" si="56">H169+J169</f>
        <v>0</v>
      </c>
      <c r="L169" s="1273"/>
      <c r="M169" s="1613"/>
      <c r="N169" s="1613"/>
      <c r="O169" s="1613"/>
      <c r="P169" s="1613"/>
      <c r="Q169" s="1613"/>
      <c r="R169" s="1613"/>
      <c r="S169" s="1613"/>
      <c r="T169" s="1613"/>
    </row>
    <row r="170" spans="1:20" s="1765" customFormat="1" ht="24" customHeight="1">
      <c r="A170" s="1258"/>
      <c r="B170" s="1799" t="s">
        <v>2580</v>
      </c>
      <c r="C170" s="1800"/>
      <c r="D170" s="1375"/>
      <c r="E170" s="1801">
        <v>1</v>
      </c>
      <c r="F170" s="1356" t="s">
        <v>363</v>
      </c>
      <c r="G170" s="1515">
        <v>600</v>
      </c>
      <c r="H170" s="1298">
        <f t="shared" si="54"/>
        <v>600</v>
      </c>
      <c r="I170" s="1370">
        <f>G170*0.1</f>
        <v>60</v>
      </c>
      <c r="J170" s="1343">
        <f t="shared" si="55"/>
        <v>60</v>
      </c>
      <c r="K170" s="1262">
        <f t="shared" si="56"/>
        <v>660</v>
      </c>
      <c r="L170" s="1356"/>
    </row>
    <row r="171" spans="1:20" s="1765" customFormat="1" ht="24" customHeight="1">
      <c r="A171" s="1258"/>
      <c r="B171" s="1538" t="s">
        <v>2270</v>
      </c>
      <c r="C171" s="1437"/>
      <c r="D171" s="1275"/>
      <c r="E171" s="1768">
        <v>2</v>
      </c>
      <c r="F171" s="1358" t="s">
        <v>363</v>
      </c>
      <c r="G171" s="1516">
        <v>3000</v>
      </c>
      <c r="H171" s="1264">
        <f t="shared" si="54"/>
        <v>6000</v>
      </c>
      <c r="I171" s="1265">
        <f t="shared" ref="I171:I180" si="57">G171*0.1</f>
        <v>300</v>
      </c>
      <c r="J171" s="1264">
        <f t="shared" si="55"/>
        <v>600</v>
      </c>
      <c r="K171" s="1273">
        <f t="shared" si="56"/>
        <v>6600</v>
      </c>
      <c r="L171" s="1273"/>
      <c r="M171" s="1613"/>
      <c r="N171" s="1613"/>
      <c r="O171" s="1613"/>
      <c r="P171" s="1613"/>
      <c r="Q171" s="1613"/>
      <c r="R171" s="1613"/>
      <c r="S171" s="1613"/>
      <c r="T171" s="1613"/>
    </row>
    <row r="172" spans="1:20" s="1765" customFormat="1" ht="24" customHeight="1">
      <c r="A172" s="1258"/>
      <c r="B172" s="1538" t="s">
        <v>2271</v>
      </c>
      <c r="C172" s="1437"/>
      <c r="D172" s="1275"/>
      <c r="E172" s="1768">
        <v>2</v>
      </c>
      <c r="F172" s="1358" t="s">
        <v>363</v>
      </c>
      <c r="G172" s="1516">
        <v>5700</v>
      </c>
      <c r="H172" s="1264">
        <f t="shared" si="54"/>
        <v>11400</v>
      </c>
      <c r="I172" s="1265">
        <f t="shared" si="57"/>
        <v>570</v>
      </c>
      <c r="J172" s="1264">
        <f t="shared" si="55"/>
        <v>1140</v>
      </c>
      <c r="K172" s="1273">
        <f t="shared" si="56"/>
        <v>12540</v>
      </c>
      <c r="L172" s="1273"/>
      <c r="M172" s="1613"/>
      <c r="N172" s="1613"/>
      <c r="O172" s="1613"/>
      <c r="P172" s="1613"/>
      <c r="Q172" s="1613"/>
      <c r="R172" s="1613"/>
      <c r="S172" s="1613"/>
      <c r="T172" s="1613"/>
    </row>
    <row r="173" spans="1:20" s="1765" customFormat="1" ht="24" customHeight="1">
      <c r="A173" s="1258" t="s">
        <v>2272</v>
      </c>
      <c r="B173" s="1538" t="s">
        <v>2094</v>
      </c>
      <c r="C173" s="1437"/>
      <c r="D173" s="1275"/>
      <c r="E173" s="1768"/>
      <c r="F173" s="1358"/>
      <c r="G173" s="1516"/>
      <c r="H173" s="1264">
        <f t="shared" si="54"/>
        <v>0</v>
      </c>
      <c r="I173" s="1265">
        <f t="shared" si="57"/>
        <v>0</v>
      </c>
      <c r="J173" s="1264">
        <f t="shared" si="55"/>
        <v>0</v>
      </c>
      <c r="K173" s="1273">
        <f t="shared" si="56"/>
        <v>0</v>
      </c>
      <c r="L173" s="1273"/>
      <c r="M173" s="1613"/>
      <c r="N173" s="1613"/>
      <c r="O173" s="1613"/>
      <c r="P173" s="1613"/>
      <c r="Q173" s="1613"/>
      <c r="R173" s="1613"/>
      <c r="S173" s="1613"/>
      <c r="T173" s="1613"/>
    </row>
    <row r="174" spans="1:20" s="1765" customFormat="1" ht="24" customHeight="1">
      <c r="A174" s="1258"/>
      <c r="B174" s="1538" t="s">
        <v>2273</v>
      </c>
      <c r="C174" s="1437"/>
      <c r="D174" s="1275"/>
      <c r="E174" s="1768">
        <v>1</v>
      </c>
      <c r="F174" s="1358" t="s">
        <v>363</v>
      </c>
      <c r="G174" s="1516">
        <v>1700</v>
      </c>
      <c r="H174" s="1264">
        <f t="shared" si="54"/>
        <v>1700</v>
      </c>
      <c r="I174" s="1265">
        <f t="shared" si="57"/>
        <v>170</v>
      </c>
      <c r="J174" s="1264">
        <f t="shared" si="55"/>
        <v>170</v>
      </c>
      <c r="K174" s="1273">
        <f t="shared" si="56"/>
        <v>1870</v>
      </c>
      <c r="L174" s="1273"/>
      <c r="M174" s="1613"/>
      <c r="N174" s="1613"/>
      <c r="O174" s="1613"/>
      <c r="P174" s="1613"/>
      <c r="Q174" s="1613"/>
      <c r="R174" s="1613"/>
      <c r="S174" s="1613"/>
      <c r="T174" s="1613"/>
    </row>
    <row r="175" spans="1:20" s="1765" customFormat="1" ht="24" customHeight="1">
      <c r="A175" s="1258" t="s">
        <v>2274</v>
      </c>
      <c r="B175" s="1538" t="s">
        <v>2275</v>
      </c>
      <c r="C175" s="1437"/>
      <c r="D175" s="1275"/>
      <c r="E175" s="1768"/>
      <c r="F175" s="1358"/>
      <c r="G175" s="1516"/>
      <c r="H175" s="1264">
        <f t="shared" si="54"/>
        <v>0</v>
      </c>
      <c r="I175" s="1265">
        <f t="shared" si="57"/>
        <v>0</v>
      </c>
      <c r="J175" s="1264">
        <f t="shared" si="55"/>
        <v>0</v>
      </c>
      <c r="K175" s="1273">
        <f t="shared" si="56"/>
        <v>0</v>
      </c>
      <c r="L175" s="1273"/>
      <c r="M175" s="1613"/>
      <c r="N175" s="1613"/>
      <c r="O175" s="1613"/>
      <c r="P175" s="1613"/>
      <c r="Q175" s="1613"/>
      <c r="R175" s="1613"/>
      <c r="S175" s="1613"/>
      <c r="T175" s="1613"/>
    </row>
    <row r="176" spans="1:20" s="1765" customFormat="1" ht="24" customHeight="1">
      <c r="A176" s="1258"/>
      <c r="B176" s="1799" t="s">
        <v>2578</v>
      </c>
      <c r="C176" s="1800"/>
      <c r="D176" s="1375"/>
      <c r="E176" s="1801">
        <v>2</v>
      </c>
      <c r="F176" s="1356" t="s">
        <v>363</v>
      </c>
      <c r="G176" s="1515">
        <v>500</v>
      </c>
      <c r="H176" s="1298">
        <f t="shared" si="54"/>
        <v>1000</v>
      </c>
      <c r="I176" s="1370">
        <f>G176*0.1</f>
        <v>50</v>
      </c>
      <c r="J176" s="1343">
        <f t="shared" si="55"/>
        <v>100</v>
      </c>
      <c r="K176" s="1262">
        <f t="shared" si="56"/>
        <v>1100</v>
      </c>
      <c r="L176" s="1356"/>
    </row>
    <row r="177" spans="1:35" s="1765" customFormat="1" ht="24" customHeight="1">
      <c r="A177" s="1258"/>
      <c r="B177" s="1538" t="s">
        <v>2276</v>
      </c>
      <c r="C177" s="1437"/>
      <c r="D177" s="1275"/>
      <c r="E177" s="1768">
        <v>2</v>
      </c>
      <c r="F177" s="1358" t="s">
        <v>363</v>
      </c>
      <c r="G177" s="1516">
        <v>1700</v>
      </c>
      <c r="H177" s="1264">
        <f t="shared" si="54"/>
        <v>3400</v>
      </c>
      <c r="I177" s="1265">
        <f t="shared" si="57"/>
        <v>170</v>
      </c>
      <c r="J177" s="1264">
        <f t="shared" si="55"/>
        <v>340</v>
      </c>
      <c r="K177" s="1273">
        <f t="shared" si="56"/>
        <v>3740</v>
      </c>
      <c r="L177" s="1273"/>
      <c r="M177" s="1613"/>
      <c r="N177" s="1613"/>
      <c r="O177" s="1613"/>
      <c r="P177" s="1613"/>
      <c r="Q177" s="1613"/>
      <c r="R177" s="1613"/>
      <c r="S177" s="1613"/>
      <c r="T177" s="1613"/>
    </row>
    <row r="178" spans="1:35" s="1765" customFormat="1" ht="24" customHeight="1">
      <c r="A178" s="1258"/>
      <c r="B178" s="1538" t="s">
        <v>2277</v>
      </c>
      <c r="C178" s="1437"/>
      <c r="D178" s="1275"/>
      <c r="E178" s="1768">
        <v>2</v>
      </c>
      <c r="F178" s="1358" t="s">
        <v>363</v>
      </c>
      <c r="G178" s="1516">
        <v>2400</v>
      </c>
      <c r="H178" s="1264">
        <f t="shared" si="54"/>
        <v>4800</v>
      </c>
      <c r="I178" s="1265">
        <f t="shared" si="57"/>
        <v>240</v>
      </c>
      <c r="J178" s="1264">
        <f t="shared" si="55"/>
        <v>480</v>
      </c>
      <c r="K178" s="1273">
        <f t="shared" si="56"/>
        <v>5280</v>
      </c>
      <c r="L178" s="1273"/>
      <c r="M178" s="1613"/>
      <c r="N178" s="1613"/>
      <c r="O178" s="1613"/>
      <c r="P178" s="1613"/>
      <c r="Q178" s="1613"/>
      <c r="R178" s="1613"/>
      <c r="S178" s="1613"/>
      <c r="T178" s="1613"/>
    </row>
    <row r="179" spans="1:35" s="1765" customFormat="1" ht="24" customHeight="1">
      <c r="A179" s="1258" t="s">
        <v>2278</v>
      </c>
      <c r="B179" s="1538" t="s">
        <v>2097</v>
      </c>
      <c r="C179" s="1437"/>
      <c r="D179" s="1275"/>
      <c r="E179" s="1768"/>
      <c r="F179" s="1358"/>
      <c r="G179" s="1516"/>
      <c r="H179" s="1264">
        <f t="shared" si="54"/>
        <v>0</v>
      </c>
      <c r="I179" s="1265">
        <f t="shared" si="57"/>
        <v>0</v>
      </c>
      <c r="J179" s="1264">
        <f t="shared" si="55"/>
        <v>0</v>
      </c>
      <c r="K179" s="1273">
        <f t="shared" si="56"/>
        <v>0</v>
      </c>
      <c r="L179" s="1273"/>
      <c r="M179" s="1613"/>
      <c r="N179" s="1613"/>
      <c r="O179" s="1613"/>
      <c r="P179" s="1613"/>
      <c r="Q179" s="1613"/>
      <c r="R179" s="1613"/>
      <c r="S179" s="1613"/>
      <c r="T179" s="1613"/>
    </row>
    <row r="180" spans="1:35" s="1765" customFormat="1" ht="24" customHeight="1">
      <c r="A180" s="1258"/>
      <c r="B180" s="1538" t="s">
        <v>2279</v>
      </c>
      <c r="C180" s="1437"/>
      <c r="D180" s="1275"/>
      <c r="E180" s="1768">
        <v>1</v>
      </c>
      <c r="F180" s="1358" t="s">
        <v>363</v>
      </c>
      <c r="G180" s="1516">
        <v>1100</v>
      </c>
      <c r="H180" s="1264">
        <f t="shared" si="54"/>
        <v>1100</v>
      </c>
      <c r="I180" s="1265">
        <f t="shared" si="57"/>
        <v>110</v>
      </c>
      <c r="J180" s="1264">
        <f t="shared" si="55"/>
        <v>110</v>
      </c>
      <c r="K180" s="1273">
        <f t="shared" si="56"/>
        <v>1210</v>
      </c>
      <c r="L180" s="1273"/>
      <c r="M180" s="1613"/>
      <c r="N180" s="1613"/>
      <c r="O180" s="1613"/>
      <c r="P180" s="1613"/>
      <c r="Q180" s="1613"/>
      <c r="R180" s="1613"/>
      <c r="S180" s="1613"/>
      <c r="T180" s="1613"/>
    </row>
    <row r="181" spans="1:35" s="1765" customFormat="1" ht="24" customHeight="1">
      <c r="A181" s="1804" t="s">
        <v>2280</v>
      </c>
      <c r="B181" s="1799" t="s">
        <v>2281</v>
      </c>
      <c r="C181" s="1800"/>
      <c r="D181" s="1375"/>
      <c r="E181" s="1801"/>
      <c r="F181" s="1356"/>
      <c r="G181" s="1516"/>
      <c r="H181" s="1369"/>
      <c r="I181" s="1370"/>
      <c r="J181" s="1369"/>
      <c r="K181" s="1356"/>
      <c r="L181" s="1356"/>
      <c r="M181" s="2025"/>
      <c r="N181" s="2025"/>
      <c r="O181" s="2025"/>
      <c r="P181" s="2025"/>
      <c r="Q181" s="2025"/>
      <c r="R181" s="2025"/>
      <c r="S181" s="2025"/>
      <c r="T181" s="2025"/>
      <c r="V181" s="1854"/>
      <c r="AA181" s="1854"/>
      <c r="AC181" s="1854"/>
      <c r="AD181" s="1854"/>
      <c r="AE181" s="1855"/>
      <c r="AF181" s="1855"/>
      <c r="AH181" s="1855"/>
      <c r="AI181" s="1855"/>
    </row>
    <row r="182" spans="1:35" s="1765" customFormat="1" ht="24" customHeight="1">
      <c r="A182" s="1804"/>
      <c r="B182" s="1799" t="s">
        <v>2232</v>
      </c>
      <c r="C182" s="1800"/>
      <c r="D182" s="1375"/>
      <c r="E182" s="1801">
        <v>1</v>
      </c>
      <c r="F182" s="1356" t="s">
        <v>363</v>
      </c>
      <c r="G182" s="1516">
        <v>1300</v>
      </c>
      <c r="H182" s="1298">
        <f t="shared" ref="H182:H183" si="58">ROUND(E182*G182,)</f>
        <v>1300</v>
      </c>
      <c r="I182" s="1370">
        <f>G182*0.1</f>
        <v>130</v>
      </c>
      <c r="J182" s="1343">
        <f t="shared" ref="J182:J183" si="59">ROUND(E182*I182,)</f>
        <v>130</v>
      </c>
      <c r="K182" s="1262">
        <f t="shared" ref="K182:K183" si="60">H182+J182</f>
        <v>1430</v>
      </c>
      <c r="L182" s="1356"/>
      <c r="M182" s="2025"/>
      <c r="N182" s="2025"/>
      <c r="O182" s="2025"/>
      <c r="P182" s="2025"/>
      <c r="Q182" s="2025"/>
      <c r="R182" s="2025"/>
      <c r="S182" s="2025"/>
      <c r="T182" s="2025"/>
      <c r="V182" s="1854"/>
      <c r="W182" s="1854"/>
      <c r="AA182" s="1854"/>
      <c r="AC182" s="1854"/>
      <c r="AD182" s="1854"/>
      <c r="AE182" s="1854"/>
      <c r="AF182" s="1854"/>
      <c r="AH182" s="1854"/>
      <c r="AI182" s="1854"/>
    </row>
    <row r="183" spans="1:35" s="1765" customFormat="1" ht="24" customHeight="1">
      <c r="A183" s="1804"/>
      <c r="B183" s="1799" t="s">
        <v>2106</v>
      </c>
      <c r="C183" s="1800"/>
      <c r="D183" s="1375"/>
      <c r="E183" s="1801">
        <v>1</v>
      </c>
      <c r="F183" s="1356" t="s">
        <v>363</v>
      </c>
      <c r="G183" s="1516">
        <v>1600</v>
      </c>
      <c r="H183" s="1298">
        <f t="shared" si="58"/>
        <v>1600</v>
      </c>
      <c r="I183" s="1370">
        <f>G183*0.1</f>
        <v>160</v>
      </c>
      <c r="J183" s="1343">
        <f t="shared" si="59"/>
        <v>160</v>
      </c>
      <c r="K183" s="1262">
        <f t="shared" si="60"/>
        <v>1760</v>
      </c>
      <c r="L183" s="1356"/>
      <c r="M183" s="2025"/>
      <c r="N183" s="2025"/>
      <c r="O183" s="2025"/>
      <c r="P183" s="2025"/>
      <c r="Q183" s="2025"/>
      <c r="R183" s="2025"/>
      <c r="S183" s="2025"/>
      <c r="T183" s="2025"/>
      <c r="V183" s="1854"/>
      <c r="W183" s="1854"/>
      <c r="AA183" s="1854"/>
      <c r="AC183" s="1854"/>
      <c r="AD183" s="1854"/>
      <c r="AE183" s="1854"/>
      <c r="AF183" s="1854"/>
      <c r="AH183" s="1854"/>
      <c r="AI183" s="1854"/>
    </row>
    <row r="184" spans="1:35" s="1765" customFormat="1" ht="24" customHeight="1">
      <c r="A184" s="1804"/>
      <c r="B184" s="1799"/>
      <c r="C184" s="1800"/>
      <c r="D184" s="1375"/>
      <c r="E184" s="1801"/>
      <c r="F184" s="1370"/>
      <c r="G184" s="1516"/>
      <c r="H184" s="1298"/>
      <c r="I184" s="1370"/>
      <c r="J184" s="2005"/>
      <c r="K184" s="1262"/>
      <c r="L184" s="1356"/>
      <c r="M184" s="2025"/>
      <c r="N184" s="2025"/>
      <c r="O184" s="2025"/>
      <c r="P184" s="2025"/>
      <c r="Q184" s="2025"/>
      <c r="R184" s="2025"/>
      <c r="S184" s="2025"/>
      <c r="T184" s="2025"/>
      <c r="V184" s="1854"/>
      <c r="W184" s="1854"/>
      <c r="AA184" s="1854"/>
      <c r="AC184" s="1854"/>
      <c r="AD184" s="1854"/>
      <c r="AE184" s="1854"/>
      <c r="AF184" s="1854"/>
      <c r="AH184" s="1854"/>
      <c r="AI184" s="1854"/>
    </row>
    <row r="185" spans="1:35" s="1765" customFormat="1" ht="24" customHeight="1">
      <c r="A185" s="1804" t="s">
        <v>2629</v>
      </c>
      <c r="B185" s="1780" t="s">
        <v>2392</v>
      </c>
      <c r="C185" s="1800"/>
      <c r="D185" s="1260"/>
      <c r="E185" s="1801"/>
      <c r="F185" s="1515"/>
      <c r="G185" s="2004"/>
      <c r="H185" s="1343"/>
      <c r="I185" s="2004"/>
      <c r="J185" s="2005"/>
      <c r="K185" s="1801"/>
      <c r="L185" s="1801"/>
      <c r="M185" s="2002"/>
      <c r="N185" s="1854"/>
      <c r="O185" s="1854"/>
      <c r="P185" s="1854"/>
    </row>
    <row r="186" spans="1:35" s="1765" customFormat="1" ht="24" customHeight="1">
      <c r="A186" s="1804"/>
      <c r="B186" s="1780" t="s">
        <v>2630</v>
      </c>
      <c r="C186" s="1800"/>
      <c r="D186" s="1260"/>
      <c r="E186" s="1801">
        <v>2</v>
      </c>
      <c r="F186" s="1515" t="s">
        <v>363</v>
      </c>
      <c r="G186" s="1558">
        <v>30000</v>
      </c>
      <c r="H186" s="1298">
        <f t="shared" ref="H186:H189" si="61">ROUND(E186*G186,)</f>
        <v>60000</v>
      </c>
      <c r="I186" s="1557">
        <v>1000</v>
      </c>
      <c r="J186" s="2013">
        <f t="shared" ref="J186:J189" si="62">ROUND(E186*I186,)</f>
        <v>2000</v>
      </c>
      <c r="K186" s="1687">
        <f t="shared" ref="K186:K189" si="63">H186+J186</f>
        <v>62000</v>
      </c>
      <c r="L186" s="1801"/>
      <c r="M186" s="2002"/>
      <c r="N186" s="1854"/>
      <c r="O186" s="1854"/>
      <c r="P186" s="1854"/>
      <c r="S186" s="1854"/>
      <c r="U186" s="1854"/>
      <c r="V186" s="1854"/>
      <c r="W186" s="1854"/>
      <c r="X186" s="1854"/>
      <c r="Z186" s="1854"/>
      <c r="AA186" s="1854"/>
    </row>
    <row r="187" spans="1:35" s="1765" customFormat="1" ht="24" customHeight="1">
      <c r="A187" s="1804"/>
      <c r="B187" s="1780" t="s">
        <v>2631</v>
      </c>
      <c r="C187" s="1800"/>
      <c r="D187" s="1260"/>
      <c r="E187" s="1801">
        <v>2</v>
      </c>
      <c r="F187" s="1515" t="s">
        <v>363</v>
      </c>
      <c r="G187" s="1558">
        <v>30600</v>
      </c>
      <c r="H187" s="1298">
        <f t="shared" si="61"/>
        <v>61200</v>
      </c>
      <c r="I187" s="1557">
        <v>1000</v>
      </c>
      <c r="J187" s="2013">
        <f t="shared" si="62"/>
        <v>2000</v>
      </c>
      <c r="K187" s="1687">
        <f t="shared" si="63"/>
        <v>63200</v>
      </c>
      <c r="L187" s="1801"/>
      <c r="M187" s="2002"/>
      <c r="N187" s="1854"/>
      <c r="O187" s="1854"/>
      <c r="P187" s="1854"/>
      <c r="S187" s="1854"/>
      <c r="U187" s="1854"/>
      <c r="V187" s="1854"/>
      <c r="W187" s="1854"/>
      <c r="X187" s="1854"/>
      <c r="Z187" s="1854"/>
      <c r="AA187" s="1854"/>
    </row>
    <row r="188" spans="1:35" s="1765" customFormat="1" ht="24" customHeight="1">
      <c r="A188" s="1804"/>
      <c r="B188" s="1780" t="s">
        <v>2632</v>
      </c>
      <c r="C188" s="1800"/>
      <c r="D188" s="1260"/>
      <c r="E188" s="1801">
        <v>1</v>
      </c>
      <c r="F188" s="1515" t="s">
        <v>363</v>
      </c>
      <c r="G188" s="1558">
        <v>30000</v>
      </c>
      <c r="H188" s="1298">
        <f t="shared" si="61"/>
        <v>30000</v>
      </c>
      <c r="I188" s="1557">
        <v>1000</v>
      </c>
      <c r="J188" s="2013">
        <f t="shared" si="62"/>
        <v>1000</v>
      </c>
      <c r="K188" s="1687">
        <f t="shared" si="63"/>
        <v>31000</v>
      </c>
      <c r="L188" s="1801"/>
      <c r="M188" s="2002"/>
      <c r="N188" s="1854"/>
      <c r="O188" s="1854"/>
      <c r="P188" s="1854"/>
      <c r="S188" s="1854"/>
      <c r="U188" s="1854"/>
      <c r="V188" s="1854"/>
      <c r="W188" s="1854"/>
      <c r="X188" s="1854"/>
      <c r="Z188" s="1854"/>
      <c r="AA188" s="1854"/>
    </row>
    <row r="189" spans="1:35" s="1765" customFormat="1" ht="24" customHeight="1">
      <c r="A189" s="1804"/>
      <c r="B189" s="1780" t="s">
        <v>2633</v>
      </c>
      <c r="C189" s="1800"/>
      <c r="D189" s="1260"/>
      <c r="E189" s="1801">
        <v>1</v>
      </c>
      <c r="F189" s="1515" t="s">
        <v>363</v>
      </c>
      <c r="G189" s="1558">
        <v>30000</v>
      </c>
      <c r="H189" s="1298">
        <f t="shared" si="61"/>
        <v>30000</v>
      </c>
      <c r="I189" s="1557">
        <v>1000</v>
      </c>
      <c r="J189" s="2013">
        <f t="shared" si="62"/>
        <v>1000</v>
      </c>
      <c r="K189" s="1687">
        <f t="shared" si="63"/>
        <v>31000</v>
      </c>
      <c r="L189" s="1801"/>
      <c r="M189" s="2002"/>
      <c r="N189" s="1854"/>
      <c r="O189" s="1854"/>
      <c r="P189" s="1854"/>
      <c r="S189" s="1854"/>
      <c r="U189" s="1854"/>
      <c r="V189" s="1854"/>
      <c r="W189" s="1854"/>
      <c r="X189" s="1854"/>
      <c r="Z189" s="1854"/>
      <c r="AA189" s="1854"/>
    </row>
    <row r="190" spans="1:35" s="1765" customFormat="1" ht="24" customHeight="1">
      <c r="A190" s="1578"/>
      <c r="B190" s="2257" t="str">
        <f>"รวมราคารายการที่ "&amp;A168</f>
        <v>รวมราคารายการที่ 7.10</v>
      </c>
      <c r="C190" s="2258"/>
      <c r="D190" s="2259"/>
      <c r="E190" s="1579"/>
      <c r="F190" s="1579"/>
      <c r="G190" s="1580"/>
      <c r="H190" s="1581">
        <f>SUM(H168:H183)</f>
        <v>32900</v>
      </c>
      <c r="I190" s="1582"/>
      <c r="J190" s="1581">
        <f>SUM(J168:J183)</f>
        <v>3290</v>
      </c>
      <c r="K190" s="1583">
        <f>SUM(K168:K183)</f>
        <v>36190</v>
      </c>
      <c r="L190" s="1583"/>
      <c r="M190" s="2019"/>
      <c r="N190" s="2019"/>
      <c r="O190" s="2019"/>
      <c r="P190" s="2019"/>
      <c r="Q190" s="2019"/>
      <c r="R190" s="2019"/>
      <c r="S190" s="2019"/>
      <c r="T190" s="2019"/>
    </row>
    <row r="191" spans="1:35" s="1765" customFormat="1" ht="24" customHeight="1">
      <c r="A191" s="2105" t="s">
        <v>2282</v>
      </c>
      <c r="B191" s="2148" t="s">
        <v>2177</v>
      </c>
      <c r="C191" s="2106"/>
      <c r="D191" s="2111"/>
      <c r="E191" s="1802"/>
      <c r="F191" s="1356"/>
      <c r="G191" s="1803"/>
      <c r="H191" s="1369"/>
      <c r="I191" s="1370"/>
      <c r="J191" s="1369"/>
      <c r="K191" s="1356"/>
      <c r="L191" s="1356"/>
      <c r="M191" s="2025"/>
      <c r="N191" s="2025"/>
      <c r="O191" s="2025"/>
      <c r="P191" s="2025"/>
      <c r="Q191" s="2025"/>
      <c r="R191" s="2025"/>
      <c r="S191" s="2025"/>
      <c r="T191" s="2025"/>
    </row>
    <row r="192" spans="1:35" s="1765" customFormat="1" ht="24" customHeight="1">
      <c r="A192" s="2113" t="s">
        <v>2283</v>
      </c>
      <c r="B192" s="2149" t="s">
        <v>2178</v>
      </c>
      <c r="C192" s="2115"/>
      <c r="D192" s="2150"/>
      <c r="E192" s="1802"/>
      <c r="F192" s="1356"/>
      <c r="G192" s="1803"/>
      <c r="H192" s="1369"/>
      <c r="I192" s="1370"/>
      <c r="J192" s="1369"/>
      <c r="K192" s="1356"/>
      <c r="L192" s="1356"/>
      <c r="M192" s="2025"/>
      <c r="N192" s="2025"/>
      <c r="O192" s="2025"/>
      <c r="P192" s="2025"/>
      <c r="Q192" s="2025"/>
      <c r="R192" s="2025"/>
      <c r="S192" s="2025"/>
      <c r="T192" s="2025"/>
      <c r="V192" s="1818" t="s">
        <v>2284</v>
      </c>
      <c r="W192" s="1818" t="s">
        <v>2285</v>
      </c>
    </row>
    <row r="193" spans="1:23" s="1765" customFormat="1" ht="24" customHeight="1">
      <c r="A193" s="2113"/>
      <c r="B193" s="2149" t="s">
        <v>2286</v>
      </c>
      <c r="C193" s="2115"/>
      <c r="D193" s="2150"/>
      <c r="E193" s="1801">
        <v>1</v>
      </c>
      <c r="F193" s="1356" t="s">
        <v>363</v>
      </c>
      <c r="G193" s="1803">
        <v>33000</v>
      </c>
      <c r="H193" s="820">
        <f t="shared" ref="H193:H200" si="64">ROUND(E193*G193,)</f>
        <v>33000</v>
      </c>
      <c r="I193" s="1515">
        <f>G193*0.1</f>
        <v>3300</v>
      </c>
      <c r="J193" s="820">
        <f t="shared" ref="J193:J200" si="65">ROUND(E193*I193,)</f>
        <v>3300</v>
      </c>
      <c r="K193" s="1457">
        <f t="shared" ref="K193:K200" si="66">H193+J193</f>
        <v>36300</v>
      </c>
      <c r="L193" s="1356"/>
      <c r="M193" s="2025"/>
      <c r="N193" s="2025"/>
      <c r="O193" s="2025"/>
      <c r="P193" s="2025"/>
      <c r="Q193" s="2025"/>
      <c r="R193" s="2025"/>
      <c r="S193" s="2025"/>
      <c r="T193" s="2025"/>
      <c r="V193" s="1819"/>
      <c r="W193" s="1819"/>
    </row>
    <row r="194" spans="1:23" s="1765" customFormat="1" ht="24" customHeight="1">
      <c r="A194" s="2113"/>
      <c r="B194" s="2107" t="s">
        <v>2287</v>
      </c>
      <c r="C194" s="2115"/>
      <c r="D194" s="2108"/>
      <c r="E194" s="1801">
        <v>1</v>
      </c>
      <c r="F194" s="1262" t="s">
        <v>363</v>
      </c>
      <c r="G194" s="1803">
        <v>33000</v>
      </c>
      <c r="H194" s="1413">
        <f t="shared" si="64"/>
        <v>33000</v>
      </c>
      <c r="I194" s="1515">
        <f>G194*0.1</f>
        <v>3300</v>
      </c>
      <c r="J194" s="1413">
        <f t="shared" si="65"/>
        <v>3300</v>
      </c>
      <c r="K194" s="1415">
        <f t="shared" si="66"/>
        <v>36300</v>
      </c>
      <c r="L194" s="1262"/>
      <c r="M194" s="2025"/>
      <c r="N194" s="2025"/>
      <c r="O194" s="2025"/>
      <c r="P194" s="2025"/>
      <c r="Q194" s="2025"/>
      <c r="R194" s="2025"/>
      <c r="S194" s="2025"/>
      <c r="T194" s="2025"/>
      <c r="V194" s="1819"/>
      <c r="W194" s="1819"/>
    </row>
    <row r="195" spans="1:23" s="1765" customFormat="1" ht="24" customHeight="1">
      <c r="A195" s="2113"/>
      <c r="B195" s="2107" t="s">
        <v>2864</v>
      </c>
      <c r="C195" s="2115"/>
      <c r="D195" s="2108"/>
      <c r="E195" s="1801">
        <v>1</v>
      </c>
      <c r="F195" s="1262" t="s">
        <v>363</v>
      </c>
      <c r="G195" s="1515">
        <v>89000</v>
      </c>
      <c r="H195" s="1413">
        <f t="shared" si="64"/>
        <v>89000</v>
      </c>
      <c r="I195" s="1515">
        <f>G195*0.1</f>
        <v>8900</v>
      </c>
      <c r="J195" s="1413">
        <f t="shared" si="65"/>
        <v>8900</v>
      </c>
      <c r="K195" s="1415">
        <f t="shared" si="66"/>
        <v>97900</v>
      </c>
      <c r="L195" s="1262"/>
    </row>
    <row r="196" spans="1:23" s="1765" customFormat="1" ht="24" customHeight="1">
      <c r="A196" s="2113"/>
      <c r="B196" s="2107" t="s">
        <v>2865</v>
      </c>
      <c r="C196" s="2115"/>
      <c r="D196" s="2108" t="s">
        <v>1519</v>
      </c>
      <c r="E196" s="1801">
        <v>1</v>
      </c>
      <c r="F196" s="1262" t="s">
        <v>363</v>
      </c>
      <c r="G196" s="1515">
        <v>89000</v>
      </c>
      <c r="H196" s="1413">
        <f t="shared" si="64"/>
        <v>89000</v>
      </c>
      <c r="I196" s="1515">
        <f t="shared" ref="I196:I200" si="67">G196*0.1</f>
        <v>8900</v>
      </c>
      <c r="J196" s="1413">
        <f t="shared" si="65"/>
        <v>8900</v>
      </c>
      <c r="K196" s="1415">
        <f t="shared" si="66"/>
        <v>97900</v>
      </c>
      <c r="L196" s="1262"/>
    </row>
    <row r="197" spans="1:23" s="1765" customFormat="1" ht="24" customHeight="1">
      <c r="A197" s="2113"/>
      <c r="B197" s="2107" t="s">
        <v>2866</v>
      </c>
      <c r="C197" s="2115"/>
      <c r="D197" s="2108"/>
      <c r="E197" s="1801">
        <v>1</v>
      </c>
      <c r="F197" s="1262" t="s">
        <v>363</v>
      </c>
      <c r="G197" s="1515">
        <v>89000</v>
      </c>
      <c r="H197" s="1413">
        <f t="shared" si="64"/>
        <v>89000</v>
      </c>
      <c r="I197" s="1515">
        <f t="shared" si="67"/>
        <v>8900</v>
      </c>
      <c r="J197" s="1413">
        <f t="shared" si="65"/>
        <v>8900</v>
      </c>
      <c r="K197" s="1415">
        <f t="shared" si="66"/>
        <v>97900</v>
      </c>
      <c r="L197" s="1262"/>
    </row>
    <row r="198" spans="1:23" s="1765" customFormat="1" ht="24" customHeight="1">
      <c r="A198" s="2113"/>
      <c r="B198" s="2107" t="s">
        <v>2867</v>
      </c>
      <c r="C198" s="2115"/>
      <c r="D198" s="2108"/>
      <c r="E198" s="1801">
        <v>1</v>
      </c>
      <c r="F198" s="1262" t="s">
        <v>363</v>
      </c>
      <c r="G198" s="1515">
        <v>89000</v>
      </c>
      <c r="H198" s="1413">
        <f t="shared" si="64"/>
        <v>89000</v>
      </c>
      <c r="I198" s="1515">
        <f t="shared" si="67"/>
        <v>8900</v>
      </c>
      <c r="J198" s="1413">
        <f t="shared" si="65"/>
        <v>8900</v>
      </c>
      <c r="K198" s="1415">
        <f t="shared" si="66"/>
        <v>97900</v>
      </c>
      <c r="L198" s="1262"/>
    </row>
    <row r="199" spans="1:23" s="1765" customFormat="1" ht="24" customHeight="1">
      <c r="A199" s="2113"/>
      <c r="B199" s="2107" t="s">
        <v>2868</v>
      </c>
      <c r="C199" s="2115"/>
      <c r="D199" s="2108"/>
      <c r="E199" s="1801">
        <v>1</v>
      </c>
      <c r="F199" s="1262" t="s">
        <v>363</v>
      </c>
      <c r="G199" s="1515">
        <v>89000</v>
      </c>
      <c r="H199" s="1413">
        <f t="shared" si="64"/>
        <v>89000</v>
      </c>
      <c r="I199" s="1515">
        <f t="shared" si="67"/>
        <v>8900</v>
      </c>
      <c r="J199" s="1413">
        <f t="shared" si="65"/>
        <v>8900</v>
      </c>
      <c r="K199" s="1415">
        <f t="shared" si="66"/>
        <v>97900</v>
      </c>
      <c r="L199" s="1262"/>
    </row>
    <row r="200" spans="1:23" s="1765" customFormat="1" ht="24" customHeight="1">
      <c r="A200" s="2113"/>
      <c r="B200" s="2107" t="s">
        <v>2869</v>
      </c>
      <c r="C200" s="2115"/>
      <c r="D200" s="2108"/>
      <c r="E200" s="1801">
        <v>1</v>
      </c>
      <c r="F200" s="1262" t="s">
        <v>363</v>
      </c>
      <c r="G200" s="1515">
        <v>89000</v>
      </c>
      <c r="H200" s="1413">
        <f t="shared" si="64"/>
        <v>89000</v>
      </c>
      <c r="I200" s="1515">
        <f t="shared" si="67"/>
        <v>8900</v>
      </c>
      <c r="J200" s="1413">
        <f t="shared" si="65"/>
        <v>8900</v>
      </c>
      <c r="K200" s="1415">
        <f t="shared" si="66"/>
        <v>97900</v>
      </c>
      <c r="L200" s="1262"/>
    </row>
    <row r="201" spans="1:23" s="1765" customFormat="1" ht="24" customHeight="1">
      <c r="A201" s="2113" t="s">
        <v>2288</v>
      </c>
      <c r="B201" s="2107" t="s">
        <v>1355</v>
      </c>
      <c r="C201" s="2115"/>
      <c r="D201" s="2108"/>
      <c r="E201" s="1801"/>
      <c r="F201" s="1262"/>
      <c r="G201" s="1515"/>
      <c r="H201" s="1343"/>
      <c r="I201" s="1344"/>
      <c r="J201" s="1343"/>
      <c r="K201" s="1262"/>
      <c r="L201" s="1262"/>
      <c r="M201" s="2025"/>
      <c r="N201" s="2025"/>
      <c r="O201" s="2025"/>
      <c r="P201" s="2025"/>
      <c r="Q201" s="2025"/>
      <c r="R201" s="2025"/>
      <c r="S201" s="2025"/>
      <c r="T201" s="2025"/>
      <c r="V201" s="1819"/>
      <c r="W201" s="1819"/>
    </row>
    <row r="202" spans="1:23" s="1765" customFormat="1" ht="24" customHeight="1">
      <c r="A202" s="2113"/>
      <c r="B202" s="2107" t="s">
        <v>1811</v>
      </c>
      <c r="C202" s="2115"/>
      <c r="D202" s="2108"/>
      <c r="E202" s="1801">
        <v>180</v>
      </c>
      <c r="F202" s="1262" t="s">
        <v>226</v>
      </c>
      <c r="G202" s="1386">
        <v>9</v>
      </c>
      <c r="H202" s="1343">
        <f t="shared" ref="H202:H203" si="68">ROUND(E202*G202,)</f>
        <v>1620</v>
      </c>
      <c r="I202" s="1344">
        <v>7</v>
      </c>
      <c r="J202" s="1413">
        <f t="shared" ref="J202:J203" si="69">ROUND(E202*I202,)</f>
        <v>1260</v>
      </c>
      <c r="K202" s="1415">
        <f t="shared" ref="K202:K203" si="70">H202+J202</f>
        <v>2880</v>
      </c>
      <c r="L202" s="2151" t="s">
        <v>2667</v>
      </c>
      <c r="N202" s="1854">
        <v>912.1</v>
      </c>
      <c r="O202" s="1854">
        <f t="shared" ref="O202:O203" si="71">ROUND(N202/100,)</f>
        <v>9</v>
      </c>
      <c r="P202" s="2025"/>
      <c r="Q202" s="2025"/>
      <c r="R202" s="2025"/>
      <c r="S202" s="2025"/>
      <c r="T202" s="2025"/>
      <c r="U202" s="1765">
        <f>SUM(V202:W202)</f>
        <v>180</v>
      </c>
      <c r="V202" s="1819">
        <f>90</f>
        <v>90</v>
      </c>
      <c r="W202" s="1819">
        <f>90</f>
        <v>90</v>
      </c>
    </row>
    <row r="203" spans="1:23" s="2116" customFormat="1" ht="24" customHeight="1">
      <c r="A203" s="2113"/>
      <c r="B203" s="2107" t="s">
        <v>1317</v>
      </c>
      <c r="C203" s="2115"/>
      <c r="D203" s="2108"/>
      <c r="E203" s="1801">
        <f>4*5*1.5*6</f>
        <v>180</v>
      </c>
      <c r="F203" s="1262" t="s">
        <v>226</v>
      </c>
      <c r="G203" s="1386">
        <v>23</v>
      </c>
      <c r="H203" s="1343">
        <f t="shared" si="68"/>
        <v>4140</v>
      </c>
      <c r="I203" s="1344">
        <v>12</v>
      </c>
      <c r="J203" s="1343">
        <f t="shared" si="69"/>
        <v>2160</v>
      </c>
      <c r="K203" s="1262">
        <f t="shared" si="70"/>
        <v>6300</v>
      </c>
      <c r="L203" s="2151" t="s">
        <v>2667</v>
      </c>
      <c r="N203" s="2117">
        <v>2264.1999999999998</v>
      </c>
      <c r="O203" s="2117">
        <f t="shared" si="71"/>
        <v>23</v>
      </c>
      <c r="P203" s="2117"/>
    </row>
    <row r="204" spans="1:23" s="1765" customFormat="1" ht="24" customHeight="1">
      <c r="A204" s="2113" t="s">
        <v>2289</v>
      </c>
      <c r="B204" s="2149" t="s">
        <v>1110</v>
      </c>
      <c r="C204" s="2115"/>
      <c r="D204" s="2150"/>
      <c r="E204" s="1801"/>
      <c r="F204" s="1356"/>
      <c r="G204" s="1515"/>
      <c r="H204" s="1369"/>
      <c r="I204" s="1370"/>
      <c r="J204" s="1369"/>
      <c r="K204" s="1356"/>
      <c r="L204" s="1356"/>
      <c r="M204" s="2025"/>
      <c r="N204" s="2025"/>
      <c r="O204" s="2025"/>
      <c r="P204" s="2025"/>
      <c r="Q204" s="2025"/>
      <c r="R204" s="2025"/>
      <c r="S204" s="2025"/>
      <c r="T204" s="2025"/>
      <c r="V204" s="1819"/>
      <c r="W204" s="1819"/>
    </row>
    <row r="205" spans="1:23" s="1765" customFormat="1" ht="24" customHeight="1">
      <c r="A205" s="2113"/>
      <c r="B205" s="2149" t="s">
        <v>1350</v>
      </c>
      <c r="C205" s="2115"/>
      <c r="D205" s="2150"/>
      <c r="E205" s="1801">
        <v>60</v>
      </c>
      <c r="F205" s="1356" t="s">
        <v>226</v>
      </c>
      <c r="G205" s="1515">
        <v>56</v>
      </c>
      <c r="H205" s="1343">
        <f t="shared" ref="H205:H207" si="72">ROUND(E205*G205,)</f>
        <v>3360</v>
      </c>
      <c r="I205" s="1344">
        <v>26</v>
      </c>
      <c r="J205" s="1413">
        <f t="shared" ref="J205:J207" si="73">ROUND(E205*I205,)</f>
        <v>1560</v>
      </c>
      <c r="K205" s="1415">
        <f t="shared" ref="K205:K207" si="74">H205+J205</f>
        <v>4920</v>
      </c>
      <c r="L205" s="2152" t="s">
        <v>2667</v>
      </c>
      <c r="M205" s="2002"/>
      <c r="N205" s="1765">
        <v>169.2</v>
      </c>
      <c r="O205" s="1765">
        <f t="shared" ref="O205:O206" si="75">ROUND(N205/3,)</f>
        <v>56</v>
      </c>
      <c r="P205" s="2025"/>
      <c r="Q205" s="2025"/>
      <c r="R205" s="2025"/>
      <c r="S205" s="2025"/>
      <c r="T205" s="2025"/>
      <c r="U205" s="1765">
        <f>SUM(V205:W205)</f>
        <v>60</v>
      </c>
      <c r="V205" s="1819">
        <f>30</f>
        <v>30</v>
      </c>
      <c r="W205" s="1819">
        <f>30</f>
        <v>30</v>
      </c>
    </row>
    <row r="206" spans="1:23" s="2116" customFormat="1" ht="24" customHeight="1">
      <c r="A206" s="2113"/>
      <c r="B206" s="2107" t="s">
        <v>1448</v>
      </c>
      <c r="C206" s="2115"/>
      <c r="D206" s="2108"/>
      <c r="E206" s="1801">
        <f>E203</f>
        <v>180</v>
      </c>
      <c r="F206" s="1262" t="s">
        <v>226</v>
      </c>
      <c r="G206" s="1515">
        <v>75</v>
      </c>
      <c r="H206" s="1343">
        <f t="shared" si="72"/>
        <v>13500</v>
      </c>
      <c r="I206" s="1344">
        <v>28</v>
      </c>
      <c r="J206" s="1413">
        <f t="shared" si="73"/>
        <v>5040</v>
      </c>
      <c r="K206" s="1415">
        <f t="shared" si="74"/>
        <v>18540</v>
      </c>
      <c r="L206" s="2152" t="s">
        <v>2667</v>
      </c>
      <c r="M206" s="2118"/>
      <c r="N206" s="2116">
        <v>225</v>
      </c>
      <c r="O206" s="2116">
        <f t="shared" si="75"/>
        <v>75</v>
      </c>
      <c r="P206" s="2117"/>
    </row>
    <row r="207" spans="1:23" s="1765" customFormat="1" ht="24" customHeight="1">
      <c r="A207" s="2113"/>
      <c r="B207" s="2149" t="s">
        <v>1384</v>
      </c>
      <c r="C207" s="2115"/>
      <c r="D207" s="2150"/>
      <c r="E207" s="1801">
        <v>1</v>
      </c>
      <c r="F207" s="1356" t="s">
        <v>1104</v>
      </c>
      <c r="G207" s="1515">
        <f>SUM(H205:H206)*15%</f>
        <v>2529</v>
      </c>
      <c r="H207" s="820">
        <f t="shared" si="72"/>
        <v>2529</v>
      </c>
      <c r="I207" s="1414">
        <f>G207*0.3</f>
        <v>758.69999999999993</v>
      </c>
      <c r="J207" s="820">
        <f t="shared" si="73"/>
        <v>759</v>
      </c>
      <c r="K207" s="1457">
        <f t="shared" si="74"/>
        <v>3288</v>
      </c>
      <c r="L207" s="1356"/>
      <c r="M207" s="2025"/>
      <c r="N207" s="2025"/>
      <c r="O207" s="2025"/>
      <c r="P207" s="2025"/>
      <c r="Q207" s="2025"/>
      <c r="R207" s="2025"/>
      <c r="S207" s="2025"/>
      <c r="T207" s="2025"/>
      <c r="V207" s="1819"/>
      <c r="W207" s="1819"/>
    </row>
    <row r="208" spans="1:23" s="1765" customFormat="1" ht="24" customHeight="1">
      <c r="A208" s="2113"/>
      <c r="B208" s="2107" t="s">
        <v>1117</v>
      </c>
      <c r="C208" s="2115"/>
      <c r="D208" s="2108"/>
      <c r="E208" s="1801"/>
      <c r="F208" s="1262"/>
      <c r="G208" s="1515"/>
      <c r="H208" s="1343"/>
      <c r="I208" s="1344"/>
      <c r="J208" s="1343"/>
      <c r="K208" s="1262"/>
      <c r="L208" s="1262"/>
    </row>
    <row r="209" spans="1:23" s="1765" customFormat="1" ht="24" customHeight="1" thickBot="1">
      <c r="A209" s="1578"/>
      <c r="B209" s="2257" t="str">
        <f>"รวมราคารายการที่ "&amp;A191</f>
        <v>รวมราคารายการที่ 7.11</v>
      </c>
      <c r="C209" s="2258"/>
      <c r="D209" s="2259"/>
      <c r="E209" s="1579"/>
      <c r="F209" s="1579"/>
      <c r="G209" s="1580"/>
      <c r="H209" s="1581">
        <f>SUM(H191:H207)</f>
        <v>625149</v>
      </c>
      <c r="I209" s="1582"/>
      <c r="J209" s="1581">
        <f>SUM(J191:J207)</f>
        <v>70779</v>
      </c>
      <c r="K209" s="1581">
        <f>SUM(K191:K207)</f>
        <v>695928</v>
      </c>
      <c r="L209" s="1583"/>
      <c r="M209" s="2019"/>
      <c r="N209" s="2019"/>
      <c r="O209" s="2019"/>
      <c r="P209" s="2019"/>
      <c r="Q209" s="2019"/>
      <c r="R209" s="2019"/>
      <c r="S209" s="2019"/>
      <c r="T209" s="2019"/>
      <c r="V209" s="1820"/>
      <c r="W209" s="1820"/>
    </row>
    <row r="210" spans="1:23" s="1199" customFormat="1" ht="24" customHeight="1" thickTop="1">
      <c r="A210" s="2105">
        <v>7.12</v>
      </c>
      <c r="B210" s="2110" t="s">
        <v>2132</v>
      </c>
      <c r="C210" s="2106"/>
      <c r="D210" s="2111"/>
      <c r="E210" s="1802"/>
      <c r="F210" s="1356"/>
      <c r="G210" s="1803"/>
      <c r="H210" s="1369"/>
      <c r="I210" s="1370"/>
      <c r="J210" s="1343"/>
      <c r="K210" s="1356"/>
      <c r="L210" s="1356"/>
    </row>
    <row r="211" spans="1:23" s="1199" customFormat="1" ht="24" customHeight="1">
      <c r="A211" s="2113" t="s">
        <v>2283</v>
      </c>
      <c r="B211" s="2107" t="s">
        <v>2134</v>
      </c>
      <c r="C211" s="2108"/>
      <c r="D211" s="2109"/>
      <c r="E211" s="715"/>
      <c r="F211" s="1415"/>
      <c r="G211" s="1772"/>
      <c r="H211" s="1343"/>
      <c r="I211" s="1386"/>
      <c r="J211" s="1343"/>
      <c r="K211" s="1801"/>
      <c r="L211" s="1262"/>
    </row>
    <row r="212" spans="1:23" s="1199" customFormat="1" ht="24" customHeight="1">
      <c r="A212" s="2112"/>
      <c r="B212" s="2114" t="s">
        <v>2634</v>
      </c>
      <c r="C212" s="2108"/>
      <c r="D212" s="2109"/>
      <c r="E212" s="715">
        <v>1</v>
      </c>
      <c r="F212" s="1415" t="s">
        <v>363</v>
      </c>
      <c r="G212" s="1772">
        <v>13806</v>
      </c>
      <c r="H212" s="1343">
        <f t="shared" ref="H212:H214" si="76">ROUND(E212*G212,)</f>
        <v>13806</v>
      </c>
      <c r="I212" s="1386">
        <v>1380.6000000000001</v>
      </c>
      <c r="J212" s="1343">
        <f t="shared" ref="J212:J214" si="77">ROUND(E212*I212,)</f>
        <v>1381</v>
      </c>
      <c r="K212" s="1801">
        <f t="shared" ref="K212:K214" si="78">H212+J212</f>
        <v>15187</v>
      </c>
      <c r="L212" s="1262"/>
    </row>
    <row r="213" spans="1:23" s="1199" customFormat="1" ht="24" customHeight="1">
      <c r="A213" s="2113"/>
      <c r="B213" s="2107" t="s">
        <v>2635</v>
      </c>
      <c r="C213" s="2108"/>
      <c r="D213" s="2109"/>
      <c r="E213" s="715">
        <v>1</v>
      </c>
      <c r="F213" s="1415" t="s">
        <v>363</v>
      </c>
      <c r="G213" s="1772">
        <v>13806</v>
      </c>
      <c r="H213" s="1343">
        <f t="shared" si="76"/>
        <v>13806</v>
      </c>
      <c r="I213" s="1386">
        <v>1380.6000000000001</v>
      </c>
      <c r="J213" s="1343">
        <f t="shared" si="77"/>
        <v>1381</v>
      </c>
      <c r="K213" s="1801">
        <f t="shared" si="78"/>
        <v>15187</v>
      </c>
      <c r="L213" s="1262"/>
    </row>
    <row r="214" spans="1:23" s="1199" customFormat="1" ht="24" customHeight="1">
      <c r="A214" s="2112" t="s">
        <v>2288</v>
      </c>
      <c r="B214" s="2114" t="s">
        <v>2041</v>
      </c>
      <c r="C214" s="2108"/>
      <c r="D214" s="2109"/>
      <c r="E214" s="715">
        <f>SUM(E212:E213)</f>
        <v>2</v>
      </c>
      <c r="F214" s="1415" t="s">
        <v>363</v>
      </c>
      <c r="G214" s="1772">
        <v>800</v>
      </c>
      <c r="H214" s="1343">
        <f t="shared" si="76"/>
        <v>1600</v>
      </c>
      <c r="I214" s="1386">
        <f>G214*0.3</f>
        <v>240</v>
      </c>
      <c r="J214" s="1343">
        <f t="shared" si="77"/>
        <v>480</v>
      </c>
      <c r="K214" s="1801">
        <f t="shared" si="78"/>
        <v>2080</v>
      </c>
      <c r="L214" s="1262"/>
    </row>
    <row r="215" spans="1:23" s="1199" customFormat="1" ht="24" customHeight="1">
      <c r="A215" s="2112"/>
      <c r="B215" s="2114" t="s">
        <v>1117</v>
      </c>
      <c r="C215" s="2115"/>
      <c r="D215" s="2108"/>
      <c r="E215" s="1801"/>
      <c r="F215" s="1262"/>
      <c r="G215" s="1515"/>
      <c r="H215" s="1343"/>
      <c r="I215" s="1370"/>
      <c r="J215" s="1343"/>
      <c r="K215" s="1262"/>
      <c r="L215" s="1262"/>
    </row>
    <row r="216" spans="1:23">
      <c r="A216" s="1578"/>
      <c r="B216" s="2257" t="str">
        <f>"รวมราคารายการที่ "&amp;A210</f>
        <v>รวมราคารายการที่ 7.12</v>
      </c>
      <c r="C216" s="2258"/>
      <c r="D216" s="2259"/>
      <c r="E216" s="1579"/>
      <c r="F216" s="1579"/>
      <c r="G216" s="1580"/>
      <c r="H216" s="1581">
        <f>SUM(H210:H215)</f>
        <v>29212</v>
      </c>
      <c r="I216" s="1582"/>
      <c r="J216" s="1581">
        <f>SUM(J210:J215)</f>
        <v>3242</v>
      </c>
      <c r="K216" s="1583">
        <f>SUM(K210:K215)</f>
        <v>32454</v>
      </c>
      <c r="L216" s="1583"/>
    </row>
    <row r="217" spans="1:23" s="1765" customFormat="1" ht="24" customHeight="1">
      <c r="A217" s="1291" t="s">
        <v>2780</v>
      </c>
      <c r="B217" s="1776" t="s">
        <v>2109</v>
      </c>
      <c r="C217" s="1293"/>
      <c r="D217" s="1294"/>
      <c r="E217" s="1786"/>
      <c r="F217" s="1296"/>
      <c r="G217" s="1357"/>
      <c r="H217" s="1298"/>
      <c r="I217" s="1299"/>
      <c r="J217" s="1298"/>
      <c r="K217" s="1382"/>
      <c r="L217" s="1382"/>
    </row>
    <row r="218" spans="1:23" s="1765" customFormat="1" ht="24" customHeight="1">
      <c r="A218" s="1766" t="s">
        <v>2781</v>
      </c>
      <c r="B218" s="1799" t="s">
        <v>2111</v>
      </c>
      <c r="C218" s="1800"/>
      <c r="D218" s="1375"/>
      <c r="E218" s="1802"/>
      <c r="F218" s="1356" t="s">
        <v>363</v>
      </c>
      <c r="G218" s="1803">
        <v>690000</v>
      </c>
      <c r="H218" s="1343">
        <f t="shared" ref="H218" si="79">ROUND(E218*G218,)</f>
        <v>0</v>
      </c>
      <c r="I218" s="1370">
        <v>17250</v>
      </c>
      <c r="J218" s="1343">
        <f t="shared" ref="J218:J225" si="80">ROUND(E218*I218,)</f>
        <v>0</v>
      </c>
      <c r="K218" s="1262">
        <f t="shared" ref="K218:K225" si="81">H218+J218</f>
        <v>0</v>
      </c>
      <c r="L218" s="1356"/>
    </row>
    <row r="219" spans="1:23" s="1765" customFormat="1" ht="24" customHeight="1">
      <c r="A219" s="1766" t="s">
        <v>2830</v>
      </c>
      <c r="B219" s="1799" t="s">
        <v>2113</v>
      </c>
      <c r="C219" s="1800"/>
      <c r="D219" s="1375"/>
      <c r="E219" s="1802"/>
      <c r="F219" s="1356" t="s">
        <v>363</v>
      </c>
      <c r="G219" s="1803">
        <v>80000</v>
      </c>
      <c r="H219" s="1343">
        <f>ROUND(E219*G219,)</f>
        <v>0</v>
      </c>
      <c r="I219" s="1370">
        <v>2000</v>
      </c>
      <c r="J219" s="1343">
        <f t="shared" si="80"/>
        <v>0</v>
      </c>
      <c r="K219" s="1262">
        <f t="shared" si="81"/>
        <v>0</v>
      </c>
      <c r="L219" s="1356"/>
    </row>
    <row r="220" spans="1:23" s="1765" customFormat="1" ht="24" customHeight="1">
      <c r="A220" s="1766" t="s">
        <v>2831</v>
      </c>
      <c r="B220" s="1538" t="s">
        <v>1816</v>
      </c>
      <c r="C220" s="1437"/>
      <c r="D220" s="1275"/>
      <c r="E220" s="1768"/>
      <c r="F220" s="1358"/>
      <c r="G220" s="1516">
        <v>950000</v>
      </c>
      <c r="H220" s="1264">
        <f t="shared" ref="H220:H225" si="82">ROUND(E220*G220,)</f>
        <v>0</v>
      </c>
      <c r="I220" s="1265">
        <f>G220*0.015</f>
        <v>14250</v>
      </c>
      <c r="J220" s="1264">
        <f t="shared" si="80"/>
        <v>0</v>
      </c>
      <c r="K220" s="1273">
        <f t="shared" si="81"/>
        <v>0</v>
      </c>
      <c r="L220" s="1273"/>
    </row>
    <row r="221" spans="1:23" s="1765" customFormat="1" ht="24" customHeight="1">
      <c r="A221" s="1766"/>
      <c r="B221" s="1538" t="s">
        <v>2115</v>
      </c>
      <c r="C221" s="1437"/>
      <c r="D221" s="1275"/>
      <c r="E221" s="1768">
        <v>6</v>
      </c>
      <c r="F221" s="1358" t="s">
        <v>363</v>
      </c>
      <c r="G221" s="1515">
        <v>2650</v>
      </c>
      <c r="H221" s="1343">
        <f t="shared" si="82"/>
        <v>15900</v>
      </c>
      <c r="I221" s="1370">
        <v>500</v>
      </c>
      <c r="J221" s="1343">
        <f t="shared" si="80"/>
        <v>3000</v>
      </c>
      <c r="K221" s="1262">
        <f t="shared" si="81"/>
        <v>18900</v>
      </c>
      <c r="L221" s="1273"/>
    </row>
    <row r="222" spans="1:23" s="1765" customFormat="1" ht="24" customHeight="1">
      <c r="A222" s="1766"/>
      <c r="B222" s="1538" t="s">
        <v>2116</v>
      </c>
      <c r="C222" s="1437"/>
      <c r="D222" s="1275"/>
      <c r="E222" s="1768">
        <v>6</v>
      </c>
      <c r="F222" s="1358" t="s">
        <v>363</v>
      </c>
      <c r="G222" s="1515">
        <v>560</v>
      </c>
      <c r="H222" s="1343">
        <f t="shared" si="82"/>
        <v>3360</v>
      </c>
      <c r="I222" s="1370">
        <v>500</v>
      </c>
      <c r="J222" s="1343">
        <f t="shared" si="80"/>
        <v>3000</v>
      </c>
      <c r="K222" s="1262">
        <f t="shared" si="81"/>
        <v>6360</v>
      </c>
      <c r="L222" s="1273"/>
    </row>
    <row r="223" spans="1:23" s="1765" customFormat="1" ht="24" customHeight="1">
      <c r="A223" s="1258"/>
      <c r="B223" s="1538" t="s">
        <v>2117</v>
      </c>
      <c r="C223" s="1437"/>
      <c r="D223" s="1275"/>
      <c r="E223" s="1768"/>
      <c r="F223" s="1358" t="s">
        <v>363</v>
      </c>
      <c r="G223" s="1515">
        <v>1340</v>
      </c>
      <c r="H223" s="1343">
        <f t="shared" si="82"/>
        <v>0</v>
      </c>
      <c r="I223" s="1370">
        <v>500</v>
      </c>
      <c r="J223" s="1343">
        <f t="shared" si="80"/>
        <v>0</v>
      </c>
      <c r="K223" s="1262">
        <f t="shared" si="81"/>
        <v>0</v>
      </c>
      <c r="L223" s="1273"/>
    </row>
    <row r="224" spans="1:23" s="1765" customFormat="1" ht="24" customHeight="1">
      <c r="A224" s="1258"/>
      <c r="B224" s="1538" t="s">
        <v>2118</v>
      </c>
      <c r="C224" s="1437"/>
      <c r="D224" s="1275"/>
      <c r="E224" s="1768"/>
      <c r="F224" s="1358" t="s">
        <v>363</v>
      </c>
      <c r="G224" s="1515">
        <v>760</v>
      </c>
      <c r="H224" s="1343">
        <f t="shared" si="82"/>
        <v>0</v>
      </c>
      <c r="I224" s="1370">
        <v>500</v>
      </c>
      <c r="J224" s="1343">
        <f t="shared" si="80"/>
        <v>0</v>
      </c>
      <c r="K224" s="1262">
        <f t="shared" si="81"/>
        <v>0</v>
      </c>
      <c r="L224" s="1273"/>
    </row>
    <row r="225" spans="1:15" s="1765" customFormat="1" ht="24" customHeight="1">
      <c r="A225" s="1258"/>
      <c r="B225" s="1538" t="s">
        <v>2119</v>
      </c>
      <c r="C225" s="1437"/>
      <c r="D225" s="1275"/>
      <c r="E225" s="1768">
        <v>6</v>
      </c>
      <c r="F225" s="1358" t="s">
        <v>363</v>
      </c>
      <c r="G225" s="1515">
        <v>1340</v>
      </c>
      <c r="H225" s="1343">
        <f t="shared" si="82"/>
        <v>8040</v>
      </c>
      <c r="I225" s="1370">
        <v>500</v>
      </c>
      <c r="J225" s="1343">
        <f t="shared" si="80"/>
        <v>3000</v>
      </c>
      <c r="K225" s="1262">
        <f t="shared" si="81"/>
        <v>11040</v>
      </c>
      <c r="L225" s="1273"/>
    </row>
    <row r="226" spans="1:15" s="1765" customFormat="1" ht="24" customHeight="1">
      <c r="A226" s="1258"/>
      <c r="B226" s="1538" t="s">
        <v>2120</v>
      </c>
      <c r="C226" s="1437"/>
      <c r="D226" s="1275"/>
      <c r="E226" s="1768"/>
      <c r="F226" s="1358" t="s">
        <v>363</v>
      </c>
      <c r="G226" s="1515"/>
      <c r="H226" s="1369"/>
      <c r="I226" s="1370"/>
      <c r="J226" s="1369"/>
      <c r="K226" s="1356"/>
      <c r="L226" s="1273"/>
    </row>
    <row r="227" spans="1:15" s="1765" customFormat="1" ht="24" customHeight="1">
      <c r="A227" s="1258"/>
      <c r="B227" s="1538" t="s">
        <v>2121</v>
      </c>
      <c r="C227" s="1437"/>
      <c r="D227" s="1275"/>
      <c r="E227" s="1768">
        <v>6</v>
      </c>
      <c r="F227" s="1358" t="s">
        <v>363</v>
      </c>
      <c r="G227" s="1515">
        <v>4550</v>
      </c>
      <c r="H227" s="1343">
        <f t="shared" ref="H227" si="83">ROUND(E227*G227,)</f>
        <v>27300</v>
      </c>
      <c r="I227" s="1370">
        <v>1365</v>
      </c>
      <c r="J227" s="1343">
        <f t="shared" ref="J227" si="84">ROUND(E227*I227,)</f>
        <v>8190</v>
      </c>
      <c r="K227" s="1262">
        <f t="shared" ref="K227" si="85">H227+J227</f>
        <v>35490</v>
      </c>
      <c r="L227" s="1273"/>
    </row>
    <row r="228" spans="1:15" s="1765" customFormat="1" ht="24" customHeight="1">
      <c r="A228" s="1766" t="s">
        <v>2832</v>
      </c>
      <c r="B228" s="1538" t="s">
        <v>2122</v>
      </c>
      <c r="C228" s="1437"/>
      <c r="D228" s="1275"/>
      <c r="E228" s="1768"/>
      <c r="F228" s="1358"/>
      <c r="G228" s="1516"/>
      <c r="H228" s="1264"/>
      <c r="I228" s="1265"/>
      <c r="J228" s="1264"/>
      <c r="K228" s="1273"/>
      <c r="L228" s="1273"/>
    </row>
    <row r="229" spans="1:15" s="1765" customFormat="1" ht="24" customHeight="1">
      <c r="A229" s="1258"/>
      <c r="B229" s="1538" t="s">
        <v>2123</v>
      </c>
      <c r="C229" s="1437"/>
      <c r="D229" s="1275"/>
      <c r="E229" s="1801">
        <f>(7*5*5*1*2)*1</f>
        <v>350</v>
      </c>
      <c r="F229" s="1356" t="s">
        <v>226</v>
      </c>
      <c r="G229" s="1515">
        <v>139</v>
      </c>
      <c r="H229" s="1343">
        <f t="shared" ref="H229:H230" si="86">ROUND(E229*G229,)</f>
        <v>48650</v>
      </c>
      <c r="I229" s="1370">
        <v>21</v>
      </c>
      <c r="J229" s="1343">
        <f t="shared" ref="J229:J230" si="87">ROUND(E229*I229,)</f>
        <v>7350</v>
      </c>
      <c r="K229" s="1262">
        <f t="shared" ref="K229:K230" si="88">H229+J229</f>
        <v>56000</v>
      </c>
      <c r="L229" s="1273"/>
    </row>
    <row r="230" spans="1:15" s="1765" customFormat="1" ht="24" customHeight="1">
      <c r="A230" s="1258"/>
      <c r="B230" s="1538" t="s">
        <v>2124</v>
      </c>
      <c r="C230" s="1437"/>
      <c r="D230" s="1275"/>
      <c r="E230" s="1801">
        <f>(4*5*5*2*1)*1</f>
        <v>200</v>
      </c>
      <c r="F230" s="1356" t="s">
        <v>226</v>
      </c>
      <c r="G230" s="1515">
        <v>103</v>
      </c>
      <c r="H230" s="1343">
        <f t="shared" si="86"/>
        <v>20600</v>
      </c>
      <c r="I230" s="1370">
        <v>15</v>
      </c>
      <c r="J230" s="1343">
        <f t="shared" si="87"/>
        <v>3000</v>
      </c>
      <c r="K230" s="1262">
        <f t="shared" si="88"/>
        <v>23600</v>
      </c>
      <c r="L230" s="1273"/>
    </row>
    <row r="231" spans="1:15" s="1765" customFormat="1" ht="24" customHeight="1">
      <c r="A231" s="1258"/>
      <c r="B231" s="1538" t="s">
        <v>1548</v>
      </c>
      <c r="C231" s="1437"/>
      <c r="D231" s="1275"/>
      <c r="E231" s="1768"/>
      <c r="F231" s="1358" t="s">
        <v>226</v>
      </c>
      <c r="G231" s="1516"/>
      <c r="H231" s="1264"/>
      <c r="I231" s="1265"/>
      <c r="J231" s="1264"/>
      <c r="K231" s="1273"/>
      <c r="L231" s="1273"/>
    </row>
    <row r="232" spans="1:15" s="1765" customFormat="1" ht="24" customHeight="1">
      <c r="A232" s="1804"/>
      <c r="B232" s="1799" t="s">
        <v>2125</v>
      </c>
      <c r="C232" s="1800"/>
      <c r="D232" s="1375"/>
      <c r="E232" s="1801"/>
      <c r="F232" s="1356" t="s">
        <v>226</v>
      </c>
      <c r="G232" s="1515">
        <v>24</v>
      </c>
      <c r="H232" s="1343">
        <f t="shared" ref="H232:H234" si="89">ROUND(E232*G232,)</f>
        <v>0</v>
      </c>
      <c r="I232" s="1370">
        <v>8</v>
      </c>
      <c r="J232" s="1343">
        <f t="shared" ref="J232:J234" si="90">ROUND(E232*I232,)</f>
        <v>0</v>
      </c>
      <c r="K232" s="1262">
        <f t="shared" ref="K232:K234" si="91">H232+J232</f>
        <v>0</v>
      </c>
      <c r="L232" s="1356"/>
    </row>
    <row r="233" spans="1:15" s="1765" customFormat="1" ht="24" customHeight="1">
      <c r="A233" s="1804"/>
      <c r="B233" s="1799" t="s">
        <v>2126</v>
      </c>
      <c r="C233" s="1800"/>
      <c r="D233" s="1375"/>
      <c r="E233" s="1801"/>
      <c r="F233" s="1356" t="s">
        <v>226</v>
      </c>
      <c r="G233" s="1515">
        <v>15</v>
      </c>
      <c r="H233" s="1343">
        <f t="shared" si="89"/>
        <v>0</v>
      </c>
      <c r="I233" s="1370">
        <v>5</v>
      </c>
      <c r="J233" s="1343">
        <f t="shared" si="90"/>
        <v>0</v>
      </c>
      <c r="K233" s="1262">
        <f t="shared" si="91"/>
        <v>0</v>
      </c>
      <c r="L233" s="1356"/>
    </row>
    <row r="234" spans="1:15" s="1765" customFormat="1" ht="24" customHeight="1">
      <c r="A234" s="1804"/>
      <c r="B234" s="1799" t="s">
        <v>2127</v>
      </c>
      <c r="C234" s="1800"/>
      <c r="D234" s="1375"/>
      <c r="E234" s="1801">
        <v>1</v>
      </c>
      <c r="F234" s="1356" t="s">
        <v>1104</v>
      </c>
      <c r="G234" s="1515">
        <f>SUM(H229:H233)*5%</f>
        <v>3462.5</v>
      </c>
      <c r="H234" s="1343">
        <f t="shared" si="89"/>
        <v>3463</v>
      </c>
      <c r="I234" s="1370">
        <v>19745</v>
      </c>
      <c r="J234" s="1343">
        <f t="shared" si="90"/>
        <v>19745</v>
      </c>
      <c r="K234" s="1262">
        <f t="shared" si="91"/>
        <v>23208</v>
      </c>
      <c r="L234" s="1356"/>
    </row>
    <row r="235" spans="1:15" s="1765" customFormat="1" ht="24" customHeight="1">
      <c r="A235" s="1766" t="s">
        <v>2879</v>
      </c>
      <c r="B235" s="1538" t="s">
        <v>1110</v>
      </c>
      <c r="C235" s="1437"/>
      <c r="D235" s="1275"/>
      <c r="E235" s="1768"/>
      <c r="F235" s="1358"/>
      <c r="G235" s="1515"/>
      <c r="H235" s="1264"/>
      <c r="I235" s="1265"/>
      <c r="J235" s="1264"/>
      <c r="K235" s="1273"/>
      <c r="L235" s="1273"/>
    </row>
    <row r="236" spans="1:15" s="1765" customFormat="1" ht="24" customHeight="1">
      <c r="A236" s="1766"/>
      <c r="B236" s="1538" t="s">
        <v>1350</v>
      </c>
      <c r="C236" s="1437"/>
      <c r="D236" s="1275"/>
      <c r="E236" s="1768">
        <f>(3*5*2*1)*1</f>
        <v>30</v>
      </c>
      <c r="F236" s="1358" t="s">
        <v>226</v>
      </c>
      <c r="G236" s="2004">
        <v>56</v>
      </c>
      <c r="H236" s="1413">
        <f t="shared" ref="H236:H237" si="92">ROUND(E236*G236,)</f>
        <v>1680</v>
      </c>
      <c r="I236" s="1541">
        <v>28</v>
      </c>
      <c r="J236" s="2006">
        <f t="shared" ref="J236:J237" si="93">ROUND(E236*I236,)</f>
        <v>840</v>
      </c>
      <c r="K236" s="715">
        <f t="shared" ref="K236:K237" si="94">H236+J236</f>
        <v>2520</v>
      </c>
      <c r="L236" s="2082" t="s">
        <v>2667</v>
      </c>
      <c r="M236" s="2002"/>
      <c r="N236" s="1199">
        <v>169.2</v>
      </c>
      <c r="O236" s="1199">
        <f>ROUND(N236/3,)</f>
        <v>56</v>
      </c>
    </row>
    <row r="237" spans="1:15" s="1765" customFormat="1" ht="24" customHeight="1">
      <c r="A237" s="1804"/>
      <c r="B237" s="1799" t="s">
        <v>2128</v>
      </c>
      <c r="C237" s="1800"/>
      <c r="D237" s="1375"/>
      <c r="E237" s="1801">
        <v>1</v>
      </c>
      <c r="F237" s="1356" t="s">
        <v>1104</v>
      </c>
      <c r="G237" s="1515">
        <f>H236*15%</f>
        <v>252</v>
      </c>
      <c r="H237" s="1343">
        <f t="shared" si="92"/>
        <v>252</v>
      </c>
      <c r="I237" s="1370">
        <v>58174</v>
      </c>
      <c r="J237" s="1343">
        <f t="shared" si="93"/>
        <v>58174</v>
      </c>
      <c r="K237" s="1262">
        <f t="shared" si="94"/>
        <v>58426</v>
      </c>
      <c r="L237" s="1356"/>
    </row>
    <row r="238" spans="1:15" s="1765" customFormat="1" ht="24" customHeight="1">
      <c r="A238" s="1766" t="s">
        <v>2880</v>
      </c>
      <c r="B238" s="1538" t="s">
        <v>1343</v>
      </c>
      <c r="C238" s="1437"/>
      <c r="D238" s="1275"/>
      <c r="E238" s="1768"/>
      <c r="F238" s="1358"/>
      <c r="G238" s="1515"/>
      <c r="H238" s="1264"/>
      <c r="I238" s="1265"/>
      <c r="J238" s="1264"/>
      <c r="K238" s="1273"/>
      <c r="L238" s="1273"/>
    </row>
    <row r="239" spans="1:15" s="1765" customFormat="1" ht="24" customHeight="1">
      <c r="A239" s="1258"/>
      <c r="B239" s="1538" t="s">
        <v>2129</v>
      </c>
      <c r="C239" s="1437"/>
      <c r="D239" s="1275"/>
      <c r="E239" s="1801"/>
      <c r="F239" s="1356" t="s">
        <v>226</v>
      </c>
      <c r="G239" s="1386">
        <v>316</v>
      </c>
      <c r="H239" s="1343">
        <f t="shared" ref="H239:H240" si="95">ROUND(E239*G239,)</f>
        <v>0</v>
      </c>
      <c r="I239" s="1414">
        <v>50</v>
      </c>
      <c r="J239" s="1343">
        <f t="shared" ref="J239:J240" si="96">ROUND(E239*I239,)</f>
        <v>0</v>
      </c>
      <c r="K239" s="1262">
        <f t="shared" ref="K239:K240" si="97">H239+J239</f>
        <v>0</v>
      </c>
      <c r="L239" s="1273"/>
    </row>
    <row r="240" spans="1:15" s="1765" customFormat="1" ht="24" customHeight="1">
      <c r="A240" s="1258"/>
      <c r="B240" s="1538" t="s">
        <v>2128</v>
      </c>
      <c r="C240" s="1437"/>
      <c r="D240" s="1275"/>
      <c r="E240" s="1801"/>
      <c r="F240" s="1356" t="s">
        <v>1104</v>
      </c>
      <c r="G240" s="1515">
        <f>H239*15%</f>
        <v>0</v>
      </c>
      <c r="H240" s="1343">
        <f t="shared" si="95"/>
        <v>0</v>
      </c>
      <c r="I240" s="1370">
        <v>16637</v>
      </c>
      <c r="J240" s="1343">
        <f t="shared" si="96"/>
        <v>0</v>
      </c>
      <c r="K240" s="1262">
        <f t="shared" si="97"/>
        <v>0</v>
      </c>
      <c r="L240" s="1273"/>
    </row>
    <row r="241" spans="1:12" s="1765" customFormat="1" ht="24" customHeight="1">
      <c r="A241" s="1766"/>
      <c r="B241" s="1538"/>
      <c r="C241" s="1437"/>
      <c r="D241" s="1275"/>
      <c r="E241" s="1768"/>
      <c r="F241" s="1358"/>
      <c r="G241" s="2004"/>
      <c r="H241" s="1413"/>
      <c r="I241" s="1541"/>
      <c r="J241" s="2006"/>
      <c r="K241" s="715"/>
      <c r="L241" s="2082"/>
    </row>
    <row r="242" spans="1:12" s="1765" customFormat="1" ht="24" customHeight="1">
      <c r="A242" s="1804"/>
      <c r="B242" s="1799"/>
      <c r="C242" s="1800"/>
      <c r="D242" s="1375"/>
      <c r="E242" s="1801"/>
      <c r="F242" s="1356"/>
      <c r="G242" s="1515"/>
      <c r="H242" s="1343"/>
      <c r="I242" s="1370"/>
      <c r="J242" s="1343"/>
      <c r="K242" s="1262"/>
      <c r="L242" s="1356"/>
    </row>
    <row r="243" spans="1:12" s="1765" customFormat="1" ht="24" customHeight="1">
      <c r="A243" s="1766"/>
      <c r="B243" s="1538"/>
      <c r="C243" s="1437"/>
      <c r="D243" s="1275"/>
      <c r="E243" s="1768"/>
      <c r="F243" s="1358"/>
      <c r="G243" s="1515"/>
      <c r="H243" s="1264"/>
      <c r="I243" s="1265"/>
      <c r="J243" s="1264"/>
      <c r="K243" s="1273"/>
      <c r="L243" s="1273"/>
    </row>
    <row r="244" spans="1:12" s="1765" customFormat="1" ht="24" customHeight="1">
      <c r="A244" s="1258"/>
      <c r="B244" s="1538"/>
      <c r="C244" s="1437"/>
      <c r="D244" s="1275"/>
      <c r="E244" s="1801"/>
      <c r="F244" s="1356"/>
      <c r="G244" s="1386"/>
      <c r="H244" s="1343"/>
      <c r="I244" s="1414"/>
      <c r="J244" s="1343"/>
      <c r="K244" s="1262"/>
      <c r="L244" s="1273"/>
    </row>
    <row r="245" spans="1:12" s="1765" customFormat="1" ht="24" customHeight="1">
      <c r="A245" s="1766"/>
      <c r="B245" s="1538"/>
      <c r="C245" s="1437"/>
      <c r="D245" s="1275"/>
      <c r="E245" s="1768"/>
      <c r="F245" s="1358"/>
      <c r="G245" s="2004"/>
      <c r="H245" s="1413"/>
      <c r="I245" s="1541"/>
      <c r="J245" s="2006"/>
      <c r="K245" s="715"/>
      <c r="L245" s="2082"/>
    </row>
    <row r="246" spans="1:12" s="1765" customFormat="1" ht="24" customHeight="1">
      <c r="A246" s="1804"/>
      <c r="B246" s="1799"/>
      <c r="C246" s="1800"/>
      <c r="D246" s="1375"/>
      <c r="E246" s="1801"/>
      <c r="F246" s="1356"/>
      <c r="G246" s="1515"/>
      <c r="H246" s="1343"/>
      <c r="I246" s="1370"/>
      <c r="J246" s="1343"/>
      <c r="K246" s="1262"/>
      <c r="L246" s="1356"/>
    </row>
    <row r="247" spans="1:12" s="1765" customFormat="1" ht="24" customHeight="1">
      <c r="A247" s="1766"/>
      <c r="B247" s="1538"/>
      <c r="C247" s="1437"/>
      <c r="D247" s="1275"/>
      <c r="E247" s="1768"/>
      <c r="F247" s="1358"/>
      <c r="G247" s="1515"/>
      <c r="H247" s="1264"/>
      <c r="I247" s="1265"/>
      <c r="J247" s="1264"/>
      <c r="K247" s="1273"/>
      <c r="L247" s="1273"/>
    </row>
    <row r="248" spans="1:12" s="1765" customFormat="1" ht="24" customHeight="1">
      <c r="A248" s="1258"/>
      <c r="B248" s="1538"/>
      <c r="C248" s="1437"/>
      <c r="D248" s="1275"/>
      <c r="E248" s="1801"/>
      <c r="F248" s="1356"/>
      <c r="G248" s="1386"/>
      <c r="H248" s="1343"/>
      <c r="I248" s="1414"/>
      <c r="J248" s="1343"/>
      <c r="K248" s="1262"/>
      <c r="L248" s="1273"/>
    </row>
    <row r="249" spans="1:12" s="1765" customFormat="1" ht="24" customHeight="1">
      <c r="A249" s="1766"/>
      <c r="B249" s="1538"/>
      <c r="C249" s="1437"/>
      <c r="D249" s="1275"/>
      <c r="E249" s="1768"/>
      <c r="F249" s="1358"/>
      <c r="G249" s="2004"/>
      <c r="H249" s="1413"/>
      <c r="I249" s="1541"/>
      <c r="J249" s="2006"/>
      <c r="K249" s="715"/>
      <c r="L249" s="2082"/>
    </row>
    <row r="250" spans="1:12" s="1765" customFormat="1" ht="24" customHeight="1">
      <c r="A250" s="1804"/>
      <c r="B250" s="1799"/>
      <c r="C250" s="1800"/>
      <c r="D250" s="1375"/>
      <c r="E250" s="1801"/>
      <c r="F250" s="1356"/>
      <c r="G250" s="1515"/>
      <c r="H250" s="1343"/>
      <c r="I250" s="1370"/>
      <c r="J250" s="1343"/>
      <c r="K250" s="1262"/>
      <c r="L250" s="1356"/>
    </row>
    <row r="251" spans="1:12" s="1765" customFormat="1" ht="24" customHeight="1">
      <c r="A251" s="1766"/>
      <c r="B251" s="1538"/>
      <c r="C251" s="1437"/>
      <c r="D251" s="1275"/>
      <c r="E251" s="1768"/>
      <c r="F251" s="1358"/>
      <c r="G251" s="1515"/>
      <c r="H251" s="1264"/>
      <c r="I251" s="1265"/>
      <c r="J251" s="1264"/>
      <c r="K251" s="1273"/>
      <c r="L251" s="1273"/>
    </row>
    <row r="252" spans="1:12" s="1765" customFormat="1" ht="24" customHeight="1">
      <c r="A252" s="1258"/>
      <c r="B252" s="1538"/>
      <c r="C252" s="1437"/>
      <c r="D252" s="1275"/>
      <c r="E252" s="1801"/>
      <c r="F252" s="1356"/>
      <c r="G252" s="1386"/>
      <c r="H252" s="1343"/>
      <c r="I252" s="1414"/>
      <c r="J252" s="1343"/>
      <c r="K252" s="1262"/>
      <c r="L252" s="1273"/>
    </row>
    <row r="253" spans="1:12" s="1765" customFormat="1" ht="24" customHeight="1">
      <c r="A253" s="1766"/>
      <c r="B253" s="1538"/>
      <c r="C253" s="1437"/>
      <c r="D253" s="1275"/>
      <c r="E253" s="1768"/>
      <c r="F253" s="1358"/>
      <c r="G253" s="2004"/>
      <c r="H253" s="1413"/>
      <c r="I253" s="1541"/>
      <c r="J253" s="2006"/>
      <c r="K253" s="715"/>
      <c r="L253" s="2082"/>
    </row>
    <row r="254" spans="1:12" s="1765" customFormat="1" ht="24" customHeight="1">
      <c r="A254" s="1804"/>
      <c r="B254" s="1799"/>
      <c r="C254" s="1800"/>
      <c r="D254" s="1375"/>
      <c r="E254" s="1801"/>
      <c r="F254" s="1356"/>
      <c r="G254" s="1515"/>
      <c r="H254" s="1343"/>
      <c r="I254" s="1370"/>
      <c r="J254" s="1343"/>
      <c r="K254" s="1262"/>
      <c r="L254" s="1356"/>
    </row>
    <row r="255" spans="1:12" s="1765" customFormat="1" ht="24" customHeight="1">
      <c r="A255" s="1766"/>
      <c r="B255" s="1538"/>
      <c r="C255" s="1437"/>
      <c r="D255" s="1275"/>
      <c r="E255" s="1768"/>
      <c r="F255" s="1358"/>
      <c r="G255" s="1515"/>
      <c r="H255" s="1264"/>
      <c r="I255" s="1265"/>
      <c r="J255" s="1264"/>
      <c r="K255" s="1273"/>
      <c r="L255" s="1273"/>
    </row>
    <row r="256" spans="1:12" s="1765" customFormat="1" ht="24" customHeight="1">
      <c r="A256" s="1258"/>
      <c r="B256" s="1538"/>
      <c r="C256" s="1437"/>
      <c r="D256" s="1275"/>
      <c r="E256" s="1801"/>
      <c r="F256" s="1356"/>
      <c r="G256" s="1386"/>
      <c r="H256" s="1343"/>
      <c r="I256" s="1414"/>
      <c r="J256" s="1343"/>
      <c r="K256" s="1262"/>
      <c r="L256" s="1273"/>
    </row>
    <row r="257" spans="1:12" s="1765" customFormat="1" ht="24" customHeight="1">
      <c r="A257" s="1766"/>
      <c r="B257" s="1538"/>
      <c r="C257" s="1437"/>
      <c r="D257" s="1275"/>
      <c r="E257" s="1768"/>
      <c r="F257" s="1358"/>
      <c r="G257" s="2004"/>
      <c r="H257" s="1413"/>
      <c r="I257" s="1541"/>
      <c r="J257" s="2006"/>
      <c r="K257" s="715"/>
      <c r="L257" s="2082"/>
    </row>
    <row r="258" spans="1:12" s="1765" customFormat="1" ht="24" customHeight="1">
      <c r="A258" s="1804"/>
      <c r="B258" s="1799"/>
      <c r="C258" s="1800"/>
      <c r="D258" s="1375"/>
      <c r="E258" s="1801"/>
      <c r="F258" s="1356"/>
      <c r="G258" s="1515"/>
      <c r="H258" s="1343"/>
      <c r="I258" s="1370"/>
      <c r="J258" s="1343"/>
      <c r="K258" s="1262"/>
      <c r="L258" s="1356"/>
    </row>
    <row r="259" spans="1:12" s="1199" customFormat="1" ht="22.15" customHeight="1">
      <c r="A259" s="1578"/>
      <c r="B259" s="2257" t="str">
        <f>"รวมราคารายการที่ "&amp;A217</f>
        <v>รวมราคารายการที่ 7.13</v>
      </c>
      <c r="C259" s="2258"/>
      <c r="D259" s="2259"/>
      <c r="E259" s="1579"/>
      <c r="F259" s="1579"/>
      <c r="G259" s="1580"/>
      <c r="H259" s="1581">
        <f>SUM(H217:H240)</f>
        <v>129245</v>
      </c>
      <c r="I259" s="1582"/>
      <c r="J259" s="1581">
        <f>SUM(J217:J240)</f>
        <v>106299</v>
      </c>
      <c r="K259" s="1581">
        <f>SUM(K217:K240)</f>
        <v>235544</v>
      </c>
      <c r="L259" s="1583"/>
    </row>
    <row r="260" spans="1:12" s="1199" customFormat="1" ht="22.15" customHeight="1">
      <c r="A260" s="1427"/>
    </row>
    <row r="261" spans="1:12" s="1199" customFormat="1" ht="22.15" customHeight="1">
      <c r="A261" s="1427"/>
    </row>
    <row r="262" spans="1:12" s="1199" customFormat="1" ht="22.15" customHeight="1">
      <c r="A262" s="1427"/>
    </row>
    <row r="263" spans="1:12" s="1199" customFormat="1" ht="22.15" customHeight="1">
      <c r="A263" s="1427"/>
    </row>
    <row r="264" spans="1:12" s="1199" customFormat="1" ht="22.15" customHeight="1">
      <c r="A264" s="1427"/>
    </row>
    <row r="265" spans="1:12" s="1199" customFormat="1" ht="22.15" customHeight="1">
      <c r="A265" s="1427"/>
    </row>
    <row r="266" spans="1:12" s="1199" customFormat="1" ht="22.15" customHeight="1">
      <c r="A266" s="1427"/>
    </row>
    <row r="267" spans="1:12" s="1199" customFormat="1" ht="22.15" customHeight="1">
      <c r="A267" s="1427"/>
    </row>
    <row r="268" spans="1:12" s="1199" customFormat="1" ht="22.15" customHeight="1">
      <c r="A268" s="1427"/>
    </row>
    <row r="269" spans="1:12" s="1199" customFormat="1" ht="22.15" customHeight="1">
      <c r="A269" s="1427"/>
    </row>
    <row r="270" spans="1:12" s="1199" customFormat="1" ht="22.15" customHeight="1">
      <c r="A270" s="1427"/>
    </row>
    <row r="271" spans="1:12" s="1199" customFormat="1" ht="21.3">
      <c r="A271" s="1427"/>
    </row>
    <row r="272" spans="1:12" s="1199" customFormat="1" ht="21.3">
      <c r="A272" s="1427"/>
    </row>
    <row r="273" spans="1:20" s="1199" customFormat="1" ht="21.3">
      <c r="A273" s="1427"/>
    </row>
    <row r="274" spans="1:20" s="1199" customFormat="1" ht="21.3">
      <c r="A274" s="1427"/>
    </row>
    <row r="275" spans="1:20" s="1199" customFormat="1" ht="21.3">
      <c r="A275" s="1427"/>
    </row>
    <row r="276" spans="1:20" s="1199" customFormat="1" ht="21.3">
      <c r="A276" s="1427"/>
    </row>
    <row r="277" spans="1:20" s="1199" customFormat="1" ht="21.3">
      <c r="A277" s="1427"/>
    </row>
    <row r="278" spans="1:20" s="1199" customFormat="1" ht="21.3">
      <c r="A278" s="1427"/>
    </row>
    <row r="279" spans="1:20" s="1199" customFormat="1" ht="21.3">
      <c r="A279" s="1427"/>
    </row>
    <row r="280" spans="1:20" s="1199" customFormat="1" ht="21.3">
      <c r="A280" s="1427"/>
    </row>
    <row r="281" spans="1:20" s="1199" customFormat="1" ht="21.3">
      <c r="A281" s="1427"/>
    </row>
    <row r="282" spans="1:20" s="1199" customFormat="1" ht="21.3">
      <c r="A282" s="1427"/>
    </row>
    <row r="283" spans="1:20" s="1199" customFormat="1" ht="21.3">
      <c r="A283" s="1427"/>
    </row>
    <row r="284" spans="1:20" s="1199" customFormat="1" ht="21.3">
      <c r="A284" s="1427"/>
    </row>
    <row r="285" spans="1:20">
      <c r="A285" s="1427"/>
      <c r="B285" s="1199"/>
      <c r="C285" s="1199"/>
      <c r="D285" s="1199"/>
      <c r="E285" s="1199"/>
      <c r="F285" s="1199"/>
      <c r="G285" s="1199"/>
      <c r="H285" s="1199"/>
      <c r="I285" s="1199"/>
      <c r="J285" s="1199"/>
      <c r="K285" s="1199"/>
      <c r="L285" s="1199"/>
      <c r="M285" s="1199"/>
      <c r="N285" s="1199"/>
      <c r="O285" s="1199"/>
      <c r="P285" s="1199"/>
      <c r="Q285" s="1199"/>
      <c r="R285" s="1199"/>
      <c r="S285" s="1199"/>
      <c r="T285" s="1199"/>
    </row>
    <row r="286" spans="1:20">
      <c r="A286" s="1427"/>
      <c r="B286" s="1199"/>
      <c r="C286" s="1199"/>
      <c r="D286" s="1199"/>
      <c r="E286" s="1199"/>
      <c r="F286" s="1199"/>
      <c r="G286" s="1199"/>
      <c r="H286" s="1199"/>
      <c r="I286" s="1199"/>
      <c r="J286" s="1199"/>
      <c r="K286" s="1199"/>
      <c r="L286" s="1199"/>
      <c r="M286" s="1199"/>
      <c r="N286" s="1199"/>
      <c r="O286" s="1199"/>
      <c r="P286" s="1199"/>
      <c r="Q286" s="1199"/>
      <c r="R286" s="1199"/>
      <c r="S286" s="1199"/>
      <c r="T286" s="1199"/>
    </row>
    <row r="287" spans="1:20">
      <c r="A287" s="1427"/>
      <c r="B287" s="1199"/>
      <c r="C287" s="1199"/>
      <c r="D287" s="1199"/>
      <c r="E287" s="1199"/>
      <c r="F287" s="1199"/>
      <c r="G287" s="1199"/>
      <c r="H287" s="1199"/>
      <c r="I287" s="1199"/>
      <c r="J287" s="1199"/>
      <c r="K287" s="1199"/>
      <c r="L287" s="1199"/>
      <c r="M287" s="1199"/>
      <c r="N287" s="1199"/>
      <c r="O287" s="1199"/>
      <c r="P287" s="1199"/>
      <c r="Q287" s="1199"/>
      <c r="R287" s="1199"/>
      <c r="S287" s="1199"/>
      <c r="T287" s="1199"/>
    </row>
    <row r="294" spans="2:2">
      <c r="B294" s="1805"/>
    </row>
    <row r="295" spans="2:2">
      <c r="B295" s="1805"/>
    </row>
  </sheetData>
  <mergeCells count="22">
    <mergeCell ref="B94:D94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51:D51"/>
    <mergeCell ref="B59:D59"/>
    <mergeCell ref="B68:D68"/>
    <mergeCell ref="B76:D76"/>
    <mergeCell ref="B259:D259"/>
    <mergeCell ref="B216:D216"/>
    <mergeCell ref="B109:D109"/>
    <mergeCell ref="B144:D144"/>
    <mergeCell ref="B159:D159"/>
    <mergeCell ref="B167:D167"/>
    <mergeCell ref="B190:D190"/>
    <mergeCell ref="B209:D209"/>
  </mergeCells>
  <conditionalFormatting sqref="A65 A204:T204 A202:F202 P202:T202 A207:F207 A205:F205 P205:T205 A191:T194 A201:T201 H207:T207">
    <cfRule type="expression" dxfId="247" priority="38">
      <formula>SUMPRODUCT(--(ROW()=$W$12:$W$21))&gt;0</formula>
    </cfRule>
  </conditionalFormatting>
  <conditionalFormatting sqref="A82:F83 L82:T83">
    <cfRule type="expression" dxfId="246" priority="37">
      <formula>SUMPRODUCT(--(ROW()=$W$12:$W$21))&gt;0</formula>
    </cfRule>
  </conditionalFormatting>
  <conditionalFormatting sqref="H181:T181 L182:T184 A181:F181 B182:F182">
    <cfRule type="expression" dxfId="245" priority="36">
      <formula>SUMPRODUCT(--(ROW()=$W$12:$W$22))&gt;0</formula>
    </cfRule>
  </conditionalFormatting>
  <conditionalFormatting sqref="V182">
    <cfRule type="containsText" dxfId="244" priority="30" operator="containsText" text="Diffus">
      <formula>NOT(ISERROR(SEARCH("Diffus",V182)))</formula>
    </cfRule>
    <cfRule type="containsText" dxfId="243" priority="31" operator="containsText" text="Counter">
      <formula>NOT(ISERROR(SEARCH("Counter",V182)))</formula>
    </cfRule>
    <cfRule type="containsText" dxfId="242" priority="32" operator="containsText" text="Damper">
      <formula>NOT(ISERROR(SEARCH("Damper",V182)))</formula>
    </cfRule>
    <cfRule type="containsText" dxfId="241" priority="33" operator="containsText" text="Register">
      <formula>NOT(ISERROR(SEARCH("Register",V182)))</formula>
    </cfRule>
    <cfRule type="containsText" dxfId="240" priority="34" operator="containsText" text="Grille">
      <formula>NOT(ISERROR(SEARCH("Grille",V182)))</formula>
    </cfRule>
    <cfRule type="containsText" dxfId="239" priority="35" operator="containsText" text="FFL">
      <formula>NOT(ISERROR(SEARCH("FFL",V182)))</formula>
    </cfRule>
  </conditionalFormatting>
  <conditionalFormatting sqref="I182:K182">
    <cfRule type="expression" dxfId="238" priority="29">
      <formula>SUMPRODUCT(--(ROW()=$W$12:$W$22))&gt;0</formula>
    </cfRule>
  </conditionalFormatting>
  <conditionalFormatting sqref="A183:F184">
    <cfRule type="expression" dxfId="237" priority="28">
      <formula>SUMPRODUCT(--(ROW()=$W$12:$W$22))&gt;0</formula>
    </cfRule>
  </conditionalFormatting>
  <conditionalFormatting sqref="V183:V184">
    <cfRule type="containsText" dxfId="236" priority="22" operator="containsText" text="Diffus">
      <formula>NOT(ISERROR(SEARCH("Diffus",V183)))</formula>
    </cfRule>
    <cfRule type="containsText" dxfId="235" priority="23" operator="containsText" text="Counter">
      <formula>NOT(ISERROR(SEARCH("Counter",V183)))</formula>
    </cfRule>
    <cfRule type="containsText" dxfId="234" priority="24" operator="containsText" text="Damper">
      <formula>NOT(ISERROR(SEARCH("Damper",V183)))</formula>
    </cfRule>
    <cfRule type="containsText" dxfId="233" priority="25" operator="containsText" text="Register">
      <formula>NOT(ISERROR(SEARCH("Register",V183)))</formula>
    </cfRule>
    <cfRule type="containsText" dxfId="232" priority="26" operator="containsText" text="Grille">
      <formula>NOT(ISERROR(SEARCH("Grille",V183)))</formula>
    </cfRule>
    <cfRule type="containsText" dxfId="231" priority="27" operator="containsText" text="FFL">
      <formula>NOT(ISERROR(SEARCH("FFL",V183)))</formula>
    </cfRule>
  </conditionalFormatting>
  <conditionalFormatting sqref="I183:K184">
    <cfRule type="expression" dxfId="230" priority="21">
      <formula>SUMPRODUCT(--(ROW()=$W$12:$W$22))&gt;0</formula>
    </cfRule>
  </conditionalFormatting>
  <conditionalFormatting sqref="A61">
    <cfRule type="expression" dxfId="229" priority="20">
      <formula>SUMPRODUCT(--(ROW()=$W$12:$W$21))&gt;0</formula>
    </cfRule>
  </conditionalFormatting>
  <conditionalFormatting sqref="I82:I83">
    <cfRule type="expression" dxfId="228" priority="19">
      <formula>SUMPRODUCT(--(ROW()=$O$12:$O$22))&gt;0</formula>
    </cfRule>
  </conditionalFormatting>
  <conditionalFormatting sqref="G82:G83">
    <cfRule type="expression" dxfId="227" priority="18">
      <formula>SUMPRODUCT(--(ROW()=$O$14:$O$24))&gt;0</formula>
    </cfRule>
  </conditionalFormatting>
  <conditionalFormatting sqref="H89">
    <cfRule type="expression" dxfId="226" priority="17">
      <formula>SUMPRODUCT(--(ROW()=$O$14:$O$24))&gt;0</formula>
    </cfRule>
  </conditionalFormatting>
  <conditionalFormatting sqref="B170:F170 L170">
    <cfRule type="expression" dxfId="225" priority="16">
      <formula>SUMPRODUCT(--(ROW()=$O$12:$O$20))&gt;0</formula>
    </cfRule>
  </conditionalFormatting>
  <conditionalFormatting sqref="I170:K170">
    <cfRule type="expression" dxfId="224" priority="15">
      <formula>SUMPRODUCT(--(ROW()=$O$12:$O$20))&gt;0</formula>
    </cfRule>
  </conditionalFormatting>
  <conditionalFormatting sqref="G170">
    <cfRule type="expression" dxfId="223" priority="14">
      <formula>SUMPRODUCT(--(ROW()=$O$12:$O$20))&gt;0</formula>
    </cfRule>
  </conditionalFormatting>
  <conditionalFormatting sqref="B176:F176 L176">
    <cfRule type="expression" dxfId="222" priority="13">
      <formula>SUMPRODUCT(--(ROW()=$O$12:$O$20))&gt;0</formula>
    </cfRule>
  </conditionalFormatting>
  <conditionalFormatting sqref="I176:K176">
    <cfRule type="expression" dxfId="221" priority="12">
      <formula>SUMPRODUCT(--(ROW()=$O$12:$O$20))&gt;0</formula>
    </cfRule>
  </conditionalFormatting>
  <conditionalFormatting sqref="G176">
    <cfRule type="expression" dxfId="220" priority="11">
      <formula>SUMPRODUCT(--(ROW()=$O$12:$O$20))&gt;0</formula>
    </cfRule>
  </conditionalFormatting>
  <conditionalFormatting sqref="B185:L185 A186:F187 L186:L187">
    <cfRule type="expression" dxfId="219" priority="10">
      <formula>SUMPRODUCT(--(ROW()=$O$12:$O$16))&gt;0</formula>
    </cfRule>
  </conditionalFormatting>
  <conditionalFormatting sqref="A185">
    <cfRule type="expression" dxfId="218" priority="9">
      <formula>SUMPRODUCT(--(ROW()=$W$12:$W$22))&gt;0</formula>
    </cfRule>
  </conditionalFormatting>
  <conditionalFormatting sqref="A182">
    <cfRule type="expression" dxfId="217" priority="8">
      <formula>SUMPRODUCT(--(ROW()=$W$12:$W$22))&gt;0</formula>
    </cfRule>
  </conditionalFormatting>
  <conditionalFormatting sqref="A188:F189 L188:L189">
    <cfRule type="expression" dxfId="216" priority="7">
      <formula>SUMPRODUCT(--(ROW()=$O$12:$O$16))&gt;0</formula>
    </cfRule>
  </conditionalFormatting>
  <conditionalFormatting sqref="A84:D84 L84:T84 F84">
    <cfRule type="expression" dxfId="215" priority="6">
      <formula>SUMPRODUCT(--(ROW()=$W$12:$W$21))&gt;0</formula>
    </cfRule>
  </conditionalFormatting>
  <conditionalFormatting sqref="I84">
    <cfRule type="expression" dxfId="214" priority="5">
      <formula>SUMPRODUCT(--(ROW()=$O$12:$O$22))&gt;0</formula>
    </cfRule>
  </conditionalFormatting>
  <conditionalFormatting sqref="G84">
    <cfRule type="expression" dxfId="213" priority="4">
      <formula>SUMPRODUCT(--(ROW()=$O$14:$O$24))&gt;0</formula>
    </cfRule>
  </conditionalFormatting>
  <conditionalFormatting sqref="A203:K203">
    <cfRule type="expression" dxfId="212" priority="3">
      <formula>SUMPRODUCT(--(ROW()=$O$12:$O$24))&gt;0</formula>
    </cfRule>
  </conditionalFormatting>
  <conditionalFormatting sqref="A206:F206">
    <cfRule type="expression" dxfId="211" priority="2">
      <formula>SUMPRODUCT(--(ROW()=$O$12:$O$24))&gt;0</formula>
    </cfRule>
  </conditionalFormatting>
  <conditionalFormatting sqref="A208:L208">
    <cfRule type="expression" dxfId="210" priority="1">
      <formula>SUMPRODUCT(--(ROW()=$O$12:$O$18))&gt;0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1-อาคารด้านทิศตะวันตก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7A226-F8F4-4642-A37A-B2F3E08E5DB5}">
  <sheetPr>
    <tabColor rgb="FF92D050"/>
  </sheetPr>
  <dimension ref="A1:T245"/>
  <sheetViews>
    <sheetView showGridLines="0" view="pageBreakPreview" topLeftCell="A10" zoomScale="85" zoomScaleNormal="60" zoomScaleSheetLayoutView="85" workbookViewId="0">
      <selection activeCell="D181" sqref="D181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7.703125" style="1" customWidth="1"/>
    <col min="14" max="14" width="11" style="1" customWidth="1"/>
    <col min="15" max="15" width="10.29296875" style="1" customWidth="1"/>
    <col min="16" max="16" width="11.703125" style="1" customWidth="1"/>
    <col min="17" max="17" width="10.29296875" style="1" customWidth="1"/>
    <col min="18" max="18" width="10.703125" style="1" customWidth="1"/>
    <col min="19" max="19" width="10.5859375" style="1" customWidth="1"/>
    <col min="20" max="20" width="10.29296875" style="1" customWidth="1"/>
    <col min="21" max="21" width="10.5859375" style="1" customWidth="1"/>
    <col min="22" max="78" width="7.703125" style="1" customWidth="1"/>
    <col min="7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24</v>
      </c>
      <c r="B11" s="1561" t="s">
        <v>2840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H48</f>
        <v>2506950</v>
      </c>
      <c r="I12" s="1197"/>
      <c r="J12" s="1196">
        <f>J48</f>
        <v>129546</v>
      </c>
      <c r="K12" s="1196">
        <f t="shared" ref="K12:K15" si="0">SUM(H12:J12)</f>
        <v>2636496</v>
      </c>
      <c r="L12" s="1531"/>
    </row>
    <row r="13" spans="1:12" s="1199" customFormat="1" ht="24" customHeight="1">
      <c r="A13" s="1564">
        <f>A49</f>
        <v>7.2</v>
      </c>
      <c r="B13" s="1538" t="str">
        <f>B49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330000</v>
      </c>
      <c r="I13" s="1197"/>
      <c r="J13" s="1196">
        <f>J59</f>
        <v>3000</v>
      </c>
      <c r="K13" s="1196">
        <f t="shared" si="0"/>
        <v>333000</v>
      </c>
      <c r="L13" s="1531"/>
    </row>
    <row r="14" spans="1:12" s="1199" customFormat="1" ht="24" customHeight="1">
      <c r="A14" s="1564" t="str">
        <f>A60</f>
        <v>7.3</v>
      </c>
      <c r="B14" s="1538" t="str">
        <f>B60</f>
        <v>ระบบกรองอากาศ (Air Filtration System)</v>
      </c>
      <c r="C14" s="1533"/>
      <c r="D14" s="1534"/>
      <c r="E14" s="1753">
        <v>1</v>
      </c>
      <c r="F14" s="1567" t="s">
        <v>19</v>
      </c>
      <c r="G14" s="1195"/>
      <c r="H14" s="1196">
        <f>H70</f>
        <v>27600</v>
      </c>
      <c r="I14" s="1197"/>
      <c r="J14" s="1196">
        <f>J70</f>
        <v>1800</v>
      </c>
      <c r="K14" s="1196">
        <f t="shared" si="0"/>
        <v>29400</v>
      </c>
      <c r="L14" s="1531"/>
    </row>
    <row r="15" spans="1:12" s="1199" customFormat="1" ht="24" customHeight="1">
      <c r="A15" s="1564">
        <f>A71</f>
        <v>7.4</v>
      </c>
      <c r="B15" s="1538" t="str">
        <f>B71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H98</f>
        <v>211767</v>
      </c>
      <c r="I15" s="1197"/>
      <c r="J15" s="1196">
        <f>J98</f>
        <v>89888</v>
      </c>
      <c r="K15" s="1196">
        <f t="shared" si="0"/>
        <v>301655</v>
      </c>
      <c r="L15" s="1531"/>
    </row>
    <row r="16" spans="1:12" s="1199" customFormat="1" ht="24" customHeight="1">
      <c r="A16" s="1755" t="str">
        <f>A99</f>
        <v>7.5</v>
      </c>
      <c r="B16" s="1816" t="str">
        <f>B99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H122</f>
        <v>134456</v>
      </c>
      <c r="I16" s="1197"/>
      <c r="J16" s="1196">
        <f>J122</f>
        <v>35776</v>
      </c>
      <c r="K16" s="1196">
        <f t="shared" ref="K16:K18" si="1">SUM(H16:J16)</f>
        <v>170232</v>
      </c>
      <c r="L16" s="1531"/>
    </row>
    <row r="17" spans="1:12" s="1199" customFormat="1" ht="24" customHeight="1">
      <c r="A17" s="1756">
        <f>A123</f>
        <v>7.6</v>
      </c>
      <c r="B17" s="1840" t="str">
        <f>B123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H159</f>
        <v>155646</v>
      </c>
      <c r="I17" s="1197"/>
      <c r="J17" s="1196">
        <f>J159</f>
        <v>22800</v>
      </c>
      <c r="K17" s="1196">
        <f t="shared" si="1"/>
        <v>178446</v>
      </c>
      <c r="L17" s="1531"/>
    </row>
    <row r="18" spans="1:12" s="1199" customFormat="1" ht="24" customHeight="1">
      <c r="A18" s="1537" t="str">
        <f>A160</f>
        <v>7.7</v>
      </c>
      <c r="B18" s="1840" t="str">
        <f>B160</f>
        <v>ระบบไฟฟ้าและควบคุม (Electrical &amp; Control System)</v>
      </c>
      <c r="C18" s="1533"/>
      <c r="D18" s="1534"/>
      <c r="E18" s="1753">
        <v>1</v>
      </c>
      <c r="F18" s="1567" t="s">
        <v>19</v>
      </c>
      <c r="G18" s="1195"/>
      <c r="H18" s="1196">
        <f>H184</f>
        <v>576816</v>
      </c>
      <c r="I18" s="1197"/>
      <c r="J18" s="1196">
        <f>J184</f>
        <v>74037</v>
      </c>
      <c r="K18" s="1196">
        <f t="shared" si="1"/>
        <v>650853</v>
      </c>
      <c r="L18" s="1531"/>
    </row>
    <row r="19" spans="1:12" s="1199" customFormat="1" ht="24" customHeight="1">
      <c r="A19" s="1537" t="str">
        <f>A185</f>
        <v>7.8</v>
      </c>
      <c r="B19" s="1840" t="str">
        <f>B185</f>
        <v>หมวดงานเชื่อมต่อกับระบบ BAS</v>
      </c>
      <c r="C19" s="1533"/>
      <c r="D19" s="1534"/>
      <c r="E19" s="1753">
        <v>1</v>
      </c>
      <c r="F19" s="1567" t="s">
        <v>19</v>
      </c>
      <c r="G19" s="1195"/>
      <c r="H19" s="1196">
        <f>H209</f>
        <v>129245</v>
      </c>
      <c r="I19" s="1197"/>
      <c r="J19" s="1196">
        <f>J209</f>
        <v>106299</v>
      </c>
      <c r="K19" s="1196">
        <f>K209</f>
        <v>235544</v>
      </c>
      <c r="L19" s="1531"/>
    </row>
    <row r="20" spans="1:12" s="1199" customFormat="1" ht="24" customHeight="1">
      <c r="A20" s="1537"/>
      <c r="B20" s="1538"/>
      <c r="C20" s="1533"/>
      <c r="D20" s="1534"/>
      <c r="E20" s="1567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2</v>
      </c>
      <c r="C34" s="2258"/>
      <c r="D34" s="2259"/>
      <c r="E34" s="1579"/>
      <c r="F34" s="1579"/>
      <c r="G34" s="1580"/>
      <c r="H34" s="1581">
        <f>SUM(H11:H33)</f>
        <v>4072480</v>
      </c>
      <c r="I34" s="1582"/>
      <c r="J34" s="1581">
        <f>SUM(J11:J33)</f>
        <v>463146</v>
      </c>
      <c r="K34" s="1581">
        <f>SUM(K11:K33)</f>
        <v>4535626</v>
      </c>
      <c r="L34" s="1583"/>
    </row>
    <row r="35" spans="1:20" s="1765" customFormat="1" ht="24" customHeight="1">
      <c r="A35" s="1847" t="s">
        <v>2246</v>
      </c>
      <c r="B35" s="1848" t="s">
        <v>2247</v>
      </c>
      <c r="C35" s="1849"/>
      <c r="D35" s="1354"/>
      <c r="E35" s="1802"/>
      <c r="F35" s="1356"/>
      <c r="G35" s="1803"/>
      <c r="H35" s="1369"/>
      <c r="I35" s="1370"/>
      <c r="J35" s="1369"/>
      <c r="K35" s="1356"/>
      <c r="L35" s="1356"/>
    </row>
    <row r="36" spans="1:20" s="1765" customFormat="1" ht="24" customHeight="1">
      <c r="A36" s="2113" t="s">
        <v>1984</v>
      </c>
      <c r="B36" s="2164" t="s">
        <v>2782</v>
      </c>
      <c r="C36" s="2115"/>
      <c r="D36" s="2150"/>
      <c r="E36" s="1802"/>
      <c r="F36" s="1356"/>
      <c r="G36" s="1803"/>
      <c r="H36" s="1369"/>
      <c r="I36" s="1370"/>
      <c r="J36" s="1369"/>
      <c r="K36" s="1356"/>
      <c r="L36" s="1356"/>
    </row>
    <row r="37" spans="1:20" s="2116" customFormat="1" ht="24" customHeight="1">
      <c r="A37" s="2112"/>
      <c r="B37" s="2164" t="s">
        <v>2783</v>
      </c>
      <c r="C37" s="2111"/>
      <c r="D37" s="2165"/>
      <c r="E37" s="825">
        <v>1</v>
      </c>
      <c r="F37" s="1457" t="s">
        <v>363</v>
      </c>
      <c r="G37" s="1769">
        <v>409425</v>
      </c>
      <c r="H37" s="1413">
        <f t="shared" ref="H37:H42" si="2">ROUND(E37*G37,)</f>
        <v>409425</v>
      </c>
      <c r="I37" s="1455">
        <f>G37*0.05</f>
        <v>20471.25</v>
      </c>
      <c r="J37" s="1413">
        <f t="shared" ref="J37:J42" si="3">ROUND(E37*I37,)</f>
        <v>20471</v>
      </c>
      <c r="K37" s="1415">
        <f t="shared" ref="K37:K42" si="4">H37+J37</f>
        <v>429896</v>
      </c>
      <c r="L37" s="1457"/>
      <c r="M37" s="2120"/>
      <c r="N37" s="2120"/>
      <c r="O37" s="2120"/>
      <c r="P37" s="2120"/>
      <c r="Q37" s="2120"/>
      <c r="R37" s="2120"/>
      <c r="S37" s="2120"/>
      <c r="T37" s="2120"/>
    </row>
    <row r="38" spans="1:20" s="2116" customFormat="1" ht="24" customHeight="1">
      <c r="A38" s="2112"/>
      <c r="B38" s="2164" t="s">
        <v>2784</v>
      </c>
      <c r="C38" s="2111"/>
      <c r="D38" s="2165"/>
      <c r="E38" s="825">
        <v>1</v>
      </c>
      <c r="F38" s="1457" t="s">
        <v>363</v>
      </c>
      <c r="G38" s="1769">
        <v>409425</v>
      </c>
      <c r="H38" s="1413">
        <f t="shared" si="2"/>
        <v>409425</v>
      </c>
      <c r="I38" s="1455">
        <f t="shared" ref="I38:I39" si="5">G38*0.05</f>
        <v>20471.25</v>
      </c>
      <c r="J38" s="1413">
        <f t="shared" si="3"/>
        <v>20471</v>
      </c>
      <c r="K38" s="1415">
        <f t="shared" si="4"/>
        <v>429896</v>
      </c>
      <c r="L38" s="1457"/>
      <c r="M38" s="2120"/>
      <c r="N38" s="2120"/>
      <c r="O38" s="2120"/>
      <c r="P38" s="2120"/>
      <c r="Q38" s="2120"/>
      <c r="R38" s="2120"/>
      <c r="S38" s="2120"/>
      <c r="T38" s="2120"/>
    </row>
    <row r="39" spans="1:20" s="2116" customFormat="1" ht="24" customHeight="1">
      <c r="A39" s="2112"/>
      <c r="B39" s="2164" t="s">
        <v>2785</v>
      </c>
      <c r="C39" s="2111"/>
      <c r="D39" s="2165"/>
      <c r="E39" s="825">
        <v>1</v>
      </c>
      <c r="F39" s="1457" t="s">
        <v>363</v>
      </c>
      <c r="G39" s="1769">
        <v>409425</v>
      </c>
      <c r="H39" s="1413">
        <f t="shared" si="2"/>
        <v>409425</v>
      </c>
      <c r="I39" s="1455">
        <f t="shared" si="5"/>
        <v>20471.25</v>
      </c>
      <c r="J39" s="1413">
        <f t="shared" si="3"/>
        <v>20471</v>
      </c>
      <c r="K39" s="1415">
        <f t="shared" si="4"/>
        <v>429896</v>
      </c>
      <c r="L39" s="1457"/>
      <c r="M39" s="2120"/>
      <c r="N39" s="2120"/>
      <c r="O39" s="2120"/>
      <c r="P39" s="2120"/>
      <c r="Q39" s="2120"/>
      <c r="R39" s="2120"/>
      <c r="S39" s="2120"/>
      <c r="T39" s="2120"/>
    </row>
    <row r="40" spans="1:20" s="2116" customFormat="1" ht="24" customHeight="1">
      <c r="A40" s="2112"/>
      <c r="B40" s="2164" t="s">
        <v>2807</v>
      </c>
      <c r="C40" s="2111"/>
      <c r="D40" s="2165"/>
      <c r="E40" s="825">
        <v>1</v>
      </c>
      <c r="F40" s="1457" t="s">
        <v>363</v>
      </c>
      <c r="G40" s="1769">
        <v>409425</v>
      </c>
      <c r="H40" s="1413">
        <f t="shared" si="2"/>
        <v>409425</v>
      </c>
      <c r="I40" s="1455">
        <f>G40*0.05</f>
        <v>20471.25</v>
      </c>
      <c r="J40" s="1413">
        <f t="shared" si="3"/>
        <v>20471</v>
      </c>
      <c r="K40" s="1415">
        <f t="shared" si="4"/>
        <v>429896</v>
      </c>
      <c r="L40" s="1457"/>
      <c r="M40" s="2120"/>
      <c r="N40" s="2120"/>
      <c r="O40" s="2120"/>
      <c r="P40" s="2120"/>
      <c r="Q40" s="2120"/>
      <c r="R40" s="2120"/>
      <c r="S40" s="2120"/>
      <c r="T40" s="2120"/>
    </row>
    <row r="41" spans="1:20" s="2116" customFormat="1" ht="24" customHeight="1">
      <c r="A41" s="2112"/>
      <c r="B41" s="2164" t="s">
        <v>2808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2"/>
        <v>409425</v>
      </c>
      <c r="I41" s="1455">
        <f t="shared" ref="I41:I42" si="6">G41*0.05</f>
        <v>20471.25</v>
      </c>
      <c r="J41" s="1413">
        <f t="shared" si="3"/>
        <v>20471</v>
      </c>
      <c r="K41" s="1415">
        <f t="shared" si="4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2116" customFormat="1" ht="24" customHeight="1">
      <c r="A42" s="2112"/>
      <c r="B42" s="2164" t="s">
        <v>2809</v>
      </c>
      <c r="C42" s="2111"/>
      <c r="D42" s="2165"/>
      <c r="E42" s="825">
        <v>1</v>
      </c>
      <c r="F42" s="1457" t="s">
        <v>363</v>
      </c>
      <c r="G42" s="1769">
        <v>409425</v>
      </c>
      <c r="H42" s="1413">
        <f t="shared" si="2"/>
        <v>409425</v>
      </c>
      <c r="I42" s="1455">
        <f t="shared" si="6"/>
        <v>20471.25</v>
      </c>
      <c r="J42" s="1413">
        <f t="shared" si="3"/>
        <v>20471</v>
      </c>
      <c r="K42" s="1415">
        <f t="shared" si="4"/>
        <v>429896</v>
      </c>
      <c r="L42" s="1457"/>
      <c r="M42" s="2120"/>
      <c r="N42" s="2120"/>
      <c r="O42" s="2120"/>
      <c r="P42" s="2120"/>
      <c r="Q42" s="2120"/>
      <c r="R42" s="2120"/>
      <c r="S42" s="2120"/>
      <c r="T42" s="2120"/>
    </row>
    <row r="43" spans="1:20" s="1765" customFormat="1" ht="24" customHeight="1">
      <c r="A43" s="2112"/>
      <c r="B43" s="2107" t="s">
        <v>2253</v>
      </c>
      <c r="C43" s="2106"/>
      <c r="D43" s="2165"/>
      <c r="E43" s="825">
        <f>SUM(E37:E42)</f>
        <v>6</v>
      </c>
      <c r="F43" s="1457" t="s">
        <v>363</v>
      </c>
      <c r="G43" s="1769">
        <v>2000</v>
      </c>
      <c r="H43" s="1343">
        <f t="shared" ref="H43:H45" si="7">ROUND(E43*G43,)</f>
        <v>12000</v>
      </c>
      <c r="I43" s="1856" t="s">
        <v>1683</v>
      </c>
      <c r="J43" s="1343"/>
      <c r="K43" s="1801">
        <f t="shared" ref="K43:K45" si="8">H43+J43</f>
        <v>12000</v>
      </c>
      <c r="L43" s="715"/>
    </row>
    <row r="44" spans="1:20" s="1765" customFormat="1" ht="24" customHeight="1">
      <c r="A44" s="2113" t="s">
        <v>1986</v>
      </c>
      <c r="B44" s="2114" t="s">
        <v>2041</v>
      </c>
      <c r="C44" s="2115"/>
      <c r="D44" s="2150"/>
      <c r="E44" s="825">
        <f>E43</f>
        <v>6</v>
      </c>
      <c r="F44" s="1457" t="s">
        <v>363</v>
      </c>
      <c r="G44" s="1769">
        <v>2400</v>
      </c>
      <c r="H44" s="1343">
        <f t="shared" si="7"/>
        <v>14400</v>
      </c>
      <c r="I44" s="1455">
        <v>720</v>
      </c>
      <c r="J44" s="1343">
        <f t="shared" ref="J44:J45" si="9">ROUND(E44*I44,)</f>
        <v>4320</v>
      </c>
      <c r="K44" s="1801">
        <f t="shared" si="8"/>
        <v>18720</v>
      </c>
      <c r="L44" s="1356"/>
    </row>
    <row r="45" spans="1:20" s="1765" customFormat="1" ht="24" customHeight="1">
      <c r="A45" s="1766" t="s">
        <v>1988</v>
      </c>
      <c r="B45" s="1783" t="s">
        <v>2331</v>
      </c>
      <c r="C45" s="1294"/>
      <c r="D45" s="1777"/>
      <c r="E45" s="1686">
        <f>E43</f>
        <v>6</v>
      </c>
      <c r="F45" s="1402" t="s">
        <v>363</v>
      </c>
      <c r="G45" s="1661">
        <v>4000</v>
      </c>
      <c r="H45" s="1413">
        <f t="shared" si="7"/>
        <v>24000</v>
      </c>
      <c r="I45" s="1589">
        <f t="shared" ref="I45" si="10">G45*0.1</f>
        <v>400</v>
      </c>
      <c r="J45" s="1413">
        <f t="shared" si="9"/>
        <v>2400</v>
      </c>
      <c r="K45" s="1415">
        <f t="shared" si="8"/>
        <v>26400</v>
      </c>
      <c r="L45" s="1770"/>
      <c r="M45" s="1710"/>
      <c r="N45" s="1710"/>
      <c r="O45" s="1710"/>
      <c r="P45" s="1710"/>
      <c r="Q45" s="1710"/>
      <c r="R45" s="1710"/>
      <c r="S45" s="1710"/>
      <c r="T45" s="1710"/>
    </row>
    <row r="46" spans="1:20" s="1765" customFormat="1" ht="24" customHeight="1">
      <c r="A46" s="1804"/>
      <c r="B46" s="1538" t="s">
        <v>1117</v>
      </c>
      <c r="C46" s="1800"/>
      <c r="D46" s="1375"/>
      <c r="E46" s="1801"/>
      <c r="F46" s="1356"/>
      <c r="G46" s="1515"/>
      <c r="H46" s="820"/>
      <c r="I46" s="1370"/>
      <c r="J46" s="820"/>
      <c r="K46" s="1457"/>
      <c r="L46" s="1356"/>
    </row>
    <row r="47" spans="1:20" s="1765" customFormat="1" ht="24" customHeight="1">
      <c r="A47" s="1804"/>
      <c r="B47" s="1538" t="s">
        <v>1369</v>
      </c>
      <c r="C47" s="1800"/>
      <c r="D47" s="1375"/>
      <c r="E47" s="1801"/>
      <c r="F47" s="1356"/>
      <c r="G47" s="1386"/>
      <c r="H47" s="820"/>
      <c r="I47" s="1414"/>
      <c r="J47" s="820"/>
      <c r="K47" s="1457"/>
      <c r="L47" s="1356"/>
    </row>
    <row r="48" spans="1:20" s="1765" customFormat="1" ht="24" customHeight="1">
      <c r="A48" s="1857"/>
      <c r="B48" s="2257" t="str">
        <f>"รวมราคารายการที่ "&amp;A35</f>
        <v>รวมราคารายการที่ 7.1</v>
      </c>
      <c r="C48" s="2258"/>
      <c r="D48" s="2259"/>
      <c r="E48" s="1858"/>
      <c r="F48" s="1858"/>
      <c r="G48" s="1859"/>
      <c r="H48" s="1860">
        <f>SUM(H36:H47)</f>
        <v>2506950</v>
      </c>
      <c r="I48" s="1861"/>
      <c r="J48" s="1860">
        <f>SUM(J36:J47)</f>
        <v>129546</v>
      </c>
      <c r="K48" s="1862">
        <f>SUM(K36:K47)</f>
        <v>2636496</v>
      </c>
      <c r="L48" s="1862"/>
    </row>
    <row r="49" spans="1:20" s="1765" customFormat="1" ht="24" customHeight="1">
      <c r="A49" s="1757">
        <v>7.2</v>
      </c>
      <c r="B49" s="1758" t="s">
        <v>1983</v>
      </c>
      <c r="C49" s="1294"/>
      <c r="D49" s="1777"/>
      <c r="E49" s="1686"/>
      <c r="F49" s="1402"/>
      <c r="G49" s="1661"/>
      <c r="H49" s="1588"/>
      <c r="I49" s="1589"/>
      <c r="J49" s="1588"/>
      <c r="K49" s="1770"/>
      <c r="L49" s="1770"/>
    </row>
    <row r="50" spans="1:20" s="1765" customFormat="1" ht="24" customHeight="1">
      <c r="A50" s="2113" t="s">
        <v>1992</v>
      </c>
      <c r="B50" s="2114" t="s">
        <v>2138</v>
      </c>
      <c r="C50" s="2108"/>
      <c r="D50" s="2109"/>
      <c r="E50" s="715"/>
      <c r="F50" s="1415"/>
      <c r="G50" s="1772"/>
      <c r="H50" s="1413"/>
      <c r="I50" s="1386"/>
      <c r="J50" s="1413"/>
      <c r="K50" s="1415"/>
      <c r="L50" s="1415"/>
    </row>
    <row r="51" spans="1:20" s="1765" customFormat="1" ht="24" customHeight="1">
      <c r="A51" s="2112" t="s">
        <v>2139</v>
      </c>
      <c r="B51" s="2114" t="s">
        <v>2140</v>
      </c>
      <c r="C51" s="2108"/>
      <c r="D51" s="2109"/>
      <c r="E51" s="825"/>
      <c r="F51" s="1457"/>
      <c r="G51" s="1769"/>
      <c r="H51" s="820"/>
      <c r="I51" s="1455"/>
      <c r="J51" s="820"/>
      <c r="K51" s="1457"/>
      <c r="L51" s="1457"/>
    </row>
    <row r="52" spans="1:20" s="1765" customFormat="1" ht="24" customHeight="1">
      <c r="A52" s="2112"/>
      <c r="B52" s="2114" t="s">
        <v>1821</v>
      </c>
      <c r="C52" s="2108"/>
      <c r="D52" s="2109"/>
      <c r="E52" s="1834"/>
      <c r="F52" s="1466" t="s">
        <v>363</v>
      </c>
      <c r="G52" s="2161">
        <v>3300</v>
      </c>
      <c r="H52" s="2156">
        <f t="shared" ref="H52:H55" si="11">ROUND(E52*G52,)</f>
        <v>0</v>
      </c>
      <c r="I52" s="2162">
        <v>150</v>
      </c>
      <c r="J52" s="2156">
        <f t="shared" ref="J52:J55" si="12">ROUND(E52*I52,)</f>
        <v>0</v>
      </c>
      <c r="K52" s="1853">
        <f t="shared" ref="K52:K55" si="13">H52+J52</f>
        <v>0</v>
      </c>
      <c r="L52" s="1457"/>
    </row>
    <row r="53" spans="1:20" s="1765" customFormat="1" ht="24" customHeight="1">
      <c r="A53" s="2166"/>
      <c r="B53" s="2114" t="s">
        <v>1836</v>
      </c>
      <c r="C53" s="2108"/>
      <c r="D53" s="2109"/>
      <c r="E53" s="715"/>
      <c r="F53" s="1415" t="s">
        <v>363</v>
      </c>
      <c r="G53" s="1772">
        <v>4596</v>
      </c>
      <c r="H53" s="1343">
        <f t="shared" si="11"/>
        <v>0</v>
      </c>
      <c r="I53" s="1386">
        <v>200</v>
      </c>
      <c r="J53" s="1343">
        <f t="shared" si="12"/>
        <v>0</v>
      </c>
      <c r="K53" s="1801">
        <f t="shared" si="13"/>
        <v>0</v>
      </c>
      <c r="L53" s="1457"/>
    </row>
    <row r="54" spans="1:20" s="2116" customFormat="1" ht="24" customHeight="1">
      <c r="A54" s="2113"/>
      <c r="B54" s="2114" t="s">
        <v>1715</v>
      </c>
      <c r="C54" s="2108"/>
      <c r="D54" s="2109"/>
      <c r="E54" s="1834">
        <v>6</v>
      </c>
      <c r="F54" s="1466" t="s">
        <v>363</v>
      </c>
      <c r="G54" s="2161">
        <v>55000</v>
      </c>
      <c r="H54" s="2156">
        <f t="shared" si="11"/>
        <v>330000</v>
      </c>
      <c r="I54" s="2162">
        <v>500</v>
      </c>
      <c r="J54" s="2156">
        <f t="shared" si="12"/>
        <v>3000</v>
      </c>
      <c r="K54" s="1853">
        <f t="shared" si="13"/>
        <v>333000</v>
      </c>
      <c r="L54" s="1415"/>
      <c r="M54" s="2120"/>
      <c r="N54" s="2120"/>
      <c r="O54" s="2120"/>
      <c r="P54" s="2120"/>
      <c r="Q54" s="2120"/>
      <c r="R54" s="2120"/>
      <c r="S54" s="2120"/>
      <c r="T54" s="2120"/>
    </row>
    <row r="55" spans="1:20" s="2116" customFormat="1" ht="24" customHeight="1">
      <c r="A55" s="2113" t="s">
        <v>2036</v>
      </c>
      <c r="B55" s="2114" t="s">
        <v>2727</v>
      </c>
      <c r="C55" s="2108"/>
      <c r="D55" s="2109"/>
      <c r="E55" s="715"/>
      <c r="F55" s="1466" t="s">
        <v>363</v>
      </c>
      <c r="G55" s="2161">
        <v>16150</v>
      </c>
      <c r="H55" s="2156">
        <f t="shared" si="11"/>
        <v>0</v>
      </c>
      <c r="I55" s="2162">
        <v>500</v>
      </c>
      <c r="J55" s="2156">
        <f t="shared" si="12"/>
        <v>0</v>
      </c>
      <c r="K55" s="1853">
        <f t="shared" si="13"/>
        <v>0</v>
      </c>
      <c r="L55" s="1415"/>
      <c r="M55" s="2120"/>
      <c r="N55" s="2120"/>
      <c r="O55" s="2120"/>
      <c r="P55" s="2120"/>
      <c r="Q55" s="2120"/>
      <c r="R55" s="2120"/>
      <c r="S55" s="2120"/>
      <c r="T55" s="2120"/>
    </row>
    <row r="56" spans="1:20" s="1765" customFormat="1" ht="24" customHeight="1">
      <c r="A56" s="2166"/>
      <c r="B56" s="2114" t="s">
        <v>1117</v>
      </c>
      <c r="C56" s="2108"/>
      <c r="D56" s="2109"/>
      <c r="E56" s="825"/>
      <c r="F56" s="1457"/>
      <c r="G56" s="1769"/>
      <c r="H56" s="820"/>
      <c r="I56" s="1455"/>
      <c r="J56" s="820"/>
      <c r="K56" s="1457"/>
      <c r="L56" s="1457"/>
    </row>
    <row r="57" spans="1:20" s="1765" customFormat="1" ht="24" customHeight="1">
      <c r="A57" s="1584"/>
      <c r="B57" s="1538" t="s">
        <v>1118</v>
      </c>
      <c r="C57" s="1275"/>
      <c r="D57" s="1767"/>
      <c r="E57" s="1686"/>
      <c r="F57" s="1402"/>
      <c r="G57" s="1661"/>
      <c r="H57" s="1588"/>
      <c r="I57" s="1589"/>
      <c r="J57" s="1588"/>
      <c r="K57" s="1770"/>
      <c r="L57" s="1770"/>
    </row>
    <row r="58" spans="1:20" s="1765" customFormat="1" ht="24" customHeight="1">
      <c r="A58" s="1584"/>
      <c r="B58" s="1538" t="s">
        <v>1118</v>
      </c>
      <c r="C58" s="1275"/>
      <c r="D58" s="1767"/>
      <c r="E58" s="1686"/>
      <c r="F58" s="1402"/>
      <c r="G58" s="1661"/>
      <c r="H58" s="1588"/>
      <c r="I58" s="1589"/>
      <c r="J58" s="1588"/>
      <c r="K58" s="1770"/>
      <c r="L58" s="1770"/>
    </row>
    <row r="59" spans="1:20" s="1199" customFormat="1" ht="24" customHeight="1">
      <c r="A59" s="1578"/>
      <c r="B59" s="2257" t="str">
        <f>"รวมราคารายการที่ "&amp;A49</f>
        <v>รวมราคารายการที่ 7.2</v>
      </c>
      <c r="C59" s="2258"/>
      <c r="D59" s="2259"/>
      <c r="E59" s="1579"/>
      <c r="F59" s="1579"/>
      <c r="G59" s="1580"/>
      <c r="H59" s="1581">
        <f>SUM(H49:H58)</f>
        <v>330000</v>
      </c>
      <c r="I59" s="1582"/>
      <c r="J59" s="1581">
        <f>SUM(J49:J58)</f>
        <v>3000</v>
      </c>
      <c r="K59" s="1581">
        <f>SUM(K49:K58)</f>
        <v>333000</v>
      </c>
      <c r="L59" s="1583"/>
    </row>
    <row r="60" spans="1:20" s="1765" customFormat="1" ht="24" customHeight="1">
      <c r="A60" s="1291" t="s">
        <v>2306</v>
      </c>
      <c r="B60" s="1852" t="s">
        <v>2255</v>
      </c>
      <c r="C60" s="1293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766" t="s">
        <v>2043</v>
      </c>
      <c r="B61" s="1538" t="s">
        <v>2256</v>
      </c>
      <c r="C61" s="1275"/>
      <c r="D61" s="1767"/>
      <c r="E61" s="1686"/>
      <c r="F61" s="1402"/>
      <c r="G61" s="1661"/>
      <c r="H61" s="1588"/>
      <c r="I61" s="1589"/>
      <c r="J61" s="1588"/>
      <c r="K61" s="1770"/>
      <c r="L61" s="1770"/>
    </row>
    <row r="62" spans="1:20" s="1765" customFormat="1" ht="24" customHeight="1">
      <c r="A62" s="1766"/>
      <c r="B62" s="1538" t="s">
        <v>2257</v>
      </c>
      <c r="C62" s="1275"/>
      <c r="D62" s="2109"/>
      <c r="E62" s="825"/>
      <c r="F62" s="1457" t="s">
        <v>363</v>
      </c>
      <c r="G62" s="1769">
        <v>650</v>
      </c>
      <c r="H62" s="1588">
        <f t="shared" ref="H62:H65" si="14">ROUND(E62*G62,)</f>
        <v>0</v>
      </c>
      <c r="I62" s="1589">
        <v>150</v>
      </c>
      <c r="J62" s="1588">
        <f t="shared" ref="J62:J65" si="15">ROUND(E62*I62,)</f>
        <v>0</v>
      </c>
      <c r="K62" s="1770">
        <f t="shared" ref="K62:K65" si="16">H62+J62</f>
        <v>0</v>
      </c>
      <c r="L62" s="1770"/>
    </row>
    <row r="63" spans="1:20" s="1765" customFormat="1" ht="24" customHeight="1">
      <c r="A63" s="1766" t="s">
        <v>2047</v>
      </c>
      <c r="B63" s="1538" t="s">
        <v>2258</v>
      </c>
      <c r="C63" s="1275"/>
      <c r="D63" s="2109"/>
      <c r="E63" s="825">
        <v>6</v>
      </c>
      <c r="F63" s="1457" t="s">
        <v>363</v>
      </c>
      <c r="G63" s="1769">
        <v>2400</v>
      </c>
      <c r="H63" s="1588">
        <f t="shared" si="14"/>
        <v>14400</v>
      </c>
      <c r="I63" s="1589">
        <v>150</v>
      </c>
      <c r="J63" s="1588">
        <f t="shared" si="15"/>
        <v>900</v>
      </c>
      <c r="K63" s="1770">
        <f t="shared" si="16"/>
        <v>15300</v>
      </c>
      <c r="L63" s="1770"/>
    </row>
    <row r="64" spans="1:20" s="1765" customFormat="1" ht="24" customHeight="1">
      <c r="A64" s="1766" t="s">
        <v>2155</v>
      </c>
      <c r="B64" s="1538" t="s">
        <v>2259</v>
      </c>
      <c r="C64" s="1275"/>
      <c r="D64" s="2109"/>
      <c r="E64" s="825">
        <v>6</v>
      </c>
      <c r="F64" s="1457" t="s">
        <v>363</v>
      </c>
      <c r="G64" s="1769">
        <v>2200</v>
      </c>
      <c r="H64" s="1588">
        <f t="shared" si="14"/>
        <v>13200</v>
      </c>
      <c r="I64" s="1589">
        <v>150</v>
      </c>
      <c r="J64" s="1588">
        <f t="shared" si="15"/>
        <v>900</v>
      </c>
      <c r="K64" s="1770">
        <f t="shared" si="16"/>
        <v>14100</v>
      </c>
      <c r="L64" s="1770"/>
    </row>
    <row r="65" spans="1:12" s="1765" customFormat="1" ht="24" customHeight="1">
      <c r="A65" s="1766" t="s">
        <v>2165</v>
      </c>
      <c r="B65" s="1538" t="s">
        <v>2261</v>
      </c>
      <c r="C65" s="1275"/>
      <c r="D65" s="2109"/>
      <c r="E65" s="825"/>
      <c r="F65" s="1457" t="s">
        <v>1104</v>
      </c>
      <c r="G65" s="1769">
        <f>15*2500</f>
        <v>37500</v>
      </c>
      <c r="H65" s="1588">
        <f t="shared" si="14"/>
        <v>0</v>
      </c>
      <c r="I65" s="1589">
        <f>G65*0.3</f>
        <v>11250</v>
      </c>
      <c r="J65" s="1588">
        <f t="shared" si="15"/>
        <v>0</v>
      </c>
      <c r="K65" s="1770">
        <f t="shared" si="16"/>
        <v>0</v>
      </c>
      <c r="L65" s="1770"/>
    </row>
    <row r="66" spans="1:12" s="1765" customFormat="1" ht="24" customHeight="1">
      <c r="A66" s="1766"/>
      <c r="B66" s="1538" t="s">
        <v>1117</v>
      </c>
      <c r="C66" s="1275"/>
      <c r="D66" s="2109"/>
      <c r="E66" s="825"/>
      <c r="F66" s="1457"/>
      <c r="G66" s="1769"/>
      <c r="H66" s="1588"/>
      <c r="I66" s="1589"/>
      <c r="J66" s="1588"/>
      <c r="K66" s="1770"/>
      <c r="L66" s="1770"/>
    </row>
    <row r="67" spans="1:12" s="1765" customFormat="1" ht="24" customHeight="1">
      <c r="A67" s="1584"/>
      <c r="B67" s="1538" t="s">
        <v>1896</v>
      </c>
      <c r="C67" s="1275"/>
      <c r="D67" s="2109"/>
      <c r="E67" s="825"/>
      <c r="F67" s="1457"/>
      <c r="G67" s="1769"/>
      <c r="H67" s="1588"/>
      <c r="I67" s="1589"/>
      <c r="J67" s="1588"/>
      <c r="K67" s="1770"/>
      <c r="L67" s="1770"/>
    </row>
    <row r="68" spans="1:12" s="1765" customFormat="1" ht="24" customHeight="1">
      <c r="A68" s="1584"/>
      <c r="B68" s="1538" t="s">
        <v>1896</v>
      </c>
      <c r="C68" s="1275"/>
      <c r="D68" s="1767"/>
      <c r="E68" s="1686"/>
      <c r="F68" s="1402"/>
      <c r="G68" s="1661"/>
      <c r="H68" s="1588"/>
      <c r="I68" s="1589"/>
      <c r="J68" s="1588"/>
      <c r="K68" s="1770"/>
      <c r="L68" s="1770"/>
    </row>
    <row r="69" spans="1:12" s="1765" customFormat="1" ht="24" customHeight="1">
      <c r="A69" s="1766"/>
      <c r="B69" s="1538"/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12" s="1765" customFormat="1" ht="24" customHeight="1">
      <c r="A70" s="1578"/>
      <c r="B70" s="2257" t="str">
        <f>"รวมราคารายการที่ "&amp;A60</f>
        <v>รวมราคารายการที่ 7.3</v>
      </c>
      <c r="C70" s="2258"/>
      <c r="D70" s="2259"/>
      <c r="E70" s="1579"/>
      <c r="F70" s="1579"/>
      <c r="G70" s="1580"/>
      <c r="H70" s="1581">
        <f>SUM(H61:H69)</f>
        <v>27600</v>
      </c>
      <c r="I70" s="1582"/>
      <c r="J70" s="1581">
        <f>SUM(J61:J69)</f>
        <v>1800</v>
      </c>
      <c r="K70" s="1581">
        <f>SUM(K61:K69)</f>
        <v>29400</v>
      </c>
      <c r="L70" s="1583"/>
    </row>
    <row r="71" spans="1:12" s="1765" customFormat="1" ht="24" customHeight="1">
      <c r="A71" s="1291">
        <v>7.4</v>
      </c>
      <c r="B71" s="1783" t="s">
        <v>2042</v>
      </c>
      <c r="C71" s="1294"/>
      <c r="D71" s="1777"/>
      <c r="E71" s="1686"/>
      <c r="F71" s="1402"/>
      <c r="G71" s="1661"/>
      <c r="H71" s="1588"/>
      <c r="I71" s="1589"/>
      <c r="J71" s="1588"/>
      <c r="K71" s="1770"/>
      <c r="L71" s="1770"/>
    </row>
    <row r="72" spans="1:12" s="1765" customFormat="1" ht="24" customHeight="1">
      <c r="A72" s="1258" t="s">
        <v>2054</v>
      </c>
      <c r="B72" s="1538" t="s">
        <v>2044</v>
      </c>
      <c r="C72" s="1275"/>
      <c r="D72" s="1767"/>
      <c r="E72" s="1771"/>
      <c r="F72" s="1385"/>
      <c r="G72" s="1778"/>
      <c r="H72" s="1594"/>
      <c r="I72" s="1595"/>
      <c r="J72" s="1594"/>
      <c r="K72" s="1632"/>
      <c r="L72" s="1632"/>
    </row>
    <row r="73" spans="1:12" s="1765" customFormat="1" ht="24" customHeight="1">
      <c r="A73" s="1189" t="s">
        <v>2166</v>
      </c>
      <c r="B73" s="1538" t="s">
        <v>2167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12" s="1765" customFormat="1" ht="24" customHeight="1">
      <c r="A74" s="1258"/>
      <c r="B74" s="1538" t="s">
        <v>2168</v>
      </c>
      <c r="C74" s="1275"/>
      <c r="D74" s="1767"/>
      <c r="E74" s="1834"/>
      <c r="F74" s="1788" t="s">
        <v>226</v>
      </c>
      <c r="G74" s="2020">
        <v>69.5</v>
      </c>
      <c r="H74" s="1773">
        <f>ROUND(E74*G74,)</f>
        <v>0</v>
      </c>
      <c r="I74" s="2011">
        <v>30</v>
      </c>
      <c r="J74" s="2008">
        <f>ROUND(E74*I74,)</f>
        <v>0</v>
      </c>
      <c r="K74" s="1774">
        <f t="shared" ref="K74:K84" si="17">H74+J74</f>
        <v>0</v>
      </c>
      <c r="L74" s="1632"/>
    </row>
    <row r="75" spans="1:12" s="1765" customFormat="1" ht="24" customHeight="1">
      <c r="A75" s="1258"/>
      <c r="B75" s="1538" t="s">
        <v>1901</v>
      </c>
      <c r="C75" s="1275"/>
      <c r="D75" s="1767"/>
      <c r="E75" s="1771"/>
      <c r="F75" s="1358" t="s">
        <v>226</v>
      </c>
      <c r="G75" s="1558">
        <v>103.5</v>
      </c>
      <c r="H75" s="1773">
        <f t="shared" ref="H75:H84" si="18">ROUND(E75*G75,)</f>
        <v>0</v>
      </c>
      <c r="I75" s="1332">
        <v>45</v>
      </c>
      <c r="J75" s="2008">
        <f t="shared" ref="J75:J84" si="19">ROUND(E75*I75,)</f>
        <v>0</v>
      </c>
      <c r="K75" s="1774">
        <f t="shared" si="17"/>
        <v>0</v>
      </c>
      <c r="L75" s="1632"/>
    </row>
    <row r="76" spans="1:12" s="1765" customFormat="1" ht="24" customHeight="1">
      <c r="A76" s="1258"/>
      <c r="B76" s="1538" t="s">
        <v>1338</v>
      </c>
      <c r="C76" s="1275"/>
      <c r="D76" s="1767"/>
      <c r="E76" s="1771"/>
      <c r="F76" s="1358" t="s">
        <v>226</v>
      </c>
      <c r="G76" s="1558">
        <v>140</v>
      </c>
      <c r="H76" s="1773">
        <f t="shared" si="18"/>
        <v>0</v>
      </c>
      <c r="I76" s="1332">
        <v>60</v>
      </c>
      <c r="J76" s="2008">
        <f t="shared" si="19"/>
        <v>0</v>
      </c>
      <c r="K76" s="1774">
        <f t="shared" si="17"/>
        <v>0</v>
      </c>
      <c r="L76" s="1632"/>
    </row>
    <row r="77" spans="1:12" s="1765" customFormat="1" ht="24" customHeight="1">
      <c r="A77" s="1258"/>
      <c r="B77" s="1538" t="s">
        <v>1339</v>
      </c>
      <c r="C77" s="1275"/>
      <c r="D77" s="1767"/>
      <c r="E77" s="1771"/>
      <c r="F77" s="1358" t="s">
        <v>226</v>
      </c>
      <c r="G77" s="1541">
        <v>167</v>
      </c>
      <c r="H77" s="1773">
        <f t="shared" si="18"/>
        <v>0</v>
      </c>
      <c r="I77" s="2007">
        <v>70</v>
      </c>
      <c r="J77" s="2008">
        <f t="shared" si="19"/>
        <v>0</v>
      </c>
      <c r="K77" s="1774">
        <f t="shared" si="17"/>
        <v>0</v>
      </c>
      <c r="L77" s="1632"/>
    </row>
    <row r="78" spans="1:12" s="1765" customFormat="1" ht="24" customHeight="1">
      <c r="A78" s="1258"/>
      <c r="B78" s="1538" t="s">
        <v>1340</v>
      </c>
      <c r="C78" s="1275"/>
      <c r="D78" s="2109"/>
      <c r="E78" s="715"/>
      <c r="F78" s="1262" t="s">
        <v>226</v>
      </c>
      <c r="G78" s="819">
        <v>225</v>
      </c>
      <c r="H78" s="2156">
        <f t="shared" si="18"/>
        <v>0</v>
      </c>
      <c r="I78" s="2007">
        <v>95</v>
      </c>
      <c r="J78" s="2008">
        <f t="shared" si="19"/>
        <v>0</v>
      </c>
      <c r="K78" s="1774">
        <f t="shared" si="17"/>
        <v>0</v>
      </c>
      <c r="L78" s="1632"/>
    </row>
    <row r="79" spans="1:12" s="1765" customFormat="1" ht="24" customHeight="1">
      <c r="A79" s="1804"/>
      <c r="B79" s="1780" t="s">
        <v>1341</v>
      </c>
      <c r="C79" s="1260"/>
      <c r="D79" s="2109"/>
      <c r="E79" s="825">
        <f>(78*2)</f>
        <v>156</v>
      </c>
      <c r="F79" s="1262" t="s">
        <v>226</v>
      </c>
      <c r="G79" s="2021">
        <v>357</v>
      </c>
      <c r="H79" s="2156">
        <f t="shared" si="18"/>
        <v>55692</v>
      </c>
      <c r="I79" s="819">
        <v>150</v>
      </c>
      <c r="J79" s="2008">
        <f t="shared" si="19"/>
        <v>23400</v>
      </c>
      <c r="K79" s="1774">
        <f t="shared" si="17"/>
        <v>79092</v>
      </c>
      <c r="L79" s="1415"/>
    </row>
    <row r="80" spans="1:12" s="1765" customFormat="1" ht="24" customHeight="1">
      <c r="A80" s="1804"/>
      <c r="B80" s="1780" t="s">
        <v>1342</v>
      </c>
      <c r="C80" s="1260"/>
      <c r="D80" s="2109"/>
      <c r="E80" s="825">
        <f>(78*2*1.1)</f>
        <v>171.60000000000002</v>
      </c>
      <c r="F80" s="1262" t="s">
        <v>226</v>
      </c>
      <c r="G80" s="2021">
        <v>467</v>
      </c>
      <c r="H80" s="2156">
        <f t="shared" si="18"/>
        <v>80137</v>
      </c>
      <c r="I80" s="819">
        <v>200</v>
      </c>
      <c r="J80" s="2008">
        <f t="shared" si="19"/>
        <v>34320</v>
      </c>
      <c r="K80" s="1774">
        <f t="shared" si="17"/>
        <v>114457</v>
      </c>
      <c r="L80" s="1415"/>
    </row>
    <row r="81" spans="1:15" s="1765" customFormat="1" ht="24" customHeight="1">
      <c r="A81" s="1804"/>
      <c r="B81" s="1780" t="s">
        <v>1111</v>
      </c>
      <c r="C81" s="1260"/>
      <c r="D81" s="2109"/>
      <c r="E81" s="825">
        <f>51.5*2*1.1</f>
        <v>113.30000000000001</v>
      </c>
      <c r="F81" s="1262" t="s">
        <v>226</v>
      </c>
      <c r="G81" s="2021">
        <v>665</v>
      </c>
      <c r="H81" s="2156">
        <f t="shared" si="18"/>
        <v>75345</v>
      </c>
      <c r="I81" s="819">
        <v>280</v>
      </c>
      <c r="J81" s="2008">
        <f t="shared" si="19"/>
        <v>31724</v>
      </c>
      <c r="K81" s="1774">
        <f t="shared" si="17"/>
        <v>107069</v>
      </c>
      <c r="L81" s="1415"/>
    </row>
    <row r="82" spans="1:15" s="1765" customFormat="1" ht="24" customHeight="1">
      <c r="A82" s="1258"/>
      <c r="B82" s="1538" t="s">
        <v>1719</v>
      </c>
      <c r="C82" s="1275"/>
      <c r="D82" s="2109"/>
      <c r="E82" s="715"/>
      <c r="F82" s="1415" t="s">
        <v>1104</v>
      </c>
      <c r="G82" s="1772">
        <f>ROUND(SUM(H74:H81)*50%,)</f>
        <v>105587</v>
      </c>
      <c r="H82" s="1343">
        <f t="shared" si="18"/>
        <v>0</v>
      </c>
      <c r="I82" s="1595">
        <f>ROUND(G82*0.3,)</f>
        <v>31676</v>
      </c>
      <c r="J82" s="1264">
        <f t="shared" si="19"/>
        <v>0</v>
      </c>
      <c r="K82" s="1273">
        <f t="shared" si="17"/>
        <v>0</v>
      </c>
      <c r="L82" s="1632"/>
    </row>
    <row r="83" spans="1:15" s="1765" customFormat="1" ht="24" customHeight="1">
      <c r="A83" s="1258"/>
      <c r="B83" s="1538" t="s">
        <v>1720</v>
      </c>
      <c r="C83" s="1275"/>
      <c r="D83" s="2109"/>
      <c r="E83" s="715"/>
      <c r="F83" s="1415" t="s">
        <v>1104</v>
      </c>
      <c r="G83" s="1772">
        <f>ROUND(SUM(H73:H81)*20%,)</f>
        <v>42235</v>
      </c>
      <c r="H83" s="1343">
        <f t="shared" si="18"/>
        <v>0</v>
      </c>
      <c r="I83" s="1595">
        <f>ROUND(G83*0.3,)</f>
        <v>12671</v>
      </c>
      <c r="J83" s="1264">
        <f t="shared" si="19"/>
        <v>0</v>
      </c>
      <c r="K83" s="1273">
        <f t="shared" si="17"/>
        <v>0</v>
      </c>
      <c r="L83" s="1632"/>
    </row>
    <row r="84" spans="1:15" s="1765" customFormat="1" ht="24" customHeight="1">
      <c r="A84" s="1258"/>
      <c r="B84" s="1538" t="s">
        <v>1721</v>
      </c>
      <c r="C84" s="1275"/>
      <c r="D84" s="2109"/>
      <c r="E84" s="715"/>
      <c r="F84" s="1415" t="s">
        <v>1104</v>
      </c>
      <c r="G84" s="1772">
        <f>ROUND(SUM(H73:H81)*10%,)</f>
        <v>21117</v>
      </c>
      <c r="H84" s="1343">
        <f t="shared" si="18"/>
        <v>0</v>
      </c>
      <c r="I84" s="1595">
        <f>ROUND(G84*0.3,)</f>
        <v>6335</v>
      </c>
      <c r="J84" s="1264">
        <f t="shared" si="19"/>
        <v>0</v>
      </c>
      <c r="K84" s="1273">
        <f t="shared" si="17"/>
        <v>0</v>
      </c>
      <c r="L84" s="1632"/>
    </row>
    <row r="85" spans="1:15" s="1765" customFormat="1" ht="24" customHeight="1">
      <c r="A85" s="1258" t="s">
        <v>2056</v>
      </c>
      <c r="B85" s="1538" t="s">
        <v>2050</v>
      </c>
      <c r="C85" s="1275"/>
      <c r="D85" s="2109"/>
      <c r="E85" s="715"/>
      <c r="F85" s="1415"/>
      <c r="G85" s="1772"/>
      <c r="H85" s="1413"/>
      <c r="I85" s="1595"/>
      <c r="J85" s="1594"/>
      <c r="K85" s="1632"/>
      <c r="L85" s="1632"/>
    </row>
    <row r="86" spans="1:15" s="1765" customFormat="1" ht="24" customHeight="1">
      <c r="A86" s="1258"/>
      <c r="B86" s="1538" t="s">
        <v>2168</v>
      </c>
      <c r="C86" s="1275"/>
      <c r="D86" s="2109"/>
      <c r="E86" s="1834"/>
      <c r="F86" s="2154" t="s">
        <v>226</v>
      </c>
      <c r="G86" s="819">
        <v>12</v>
      </c>
      <c r="H86" s="1343">
        <f t="shared" ref="H86:H93" si="20">ROUND(E86*G86,)</f>
        <v>0</v>
      </c>
      <c r="I86" s="819">
        <v>30</v>
      </c>
      <c r="J86" s="2005">
        <f t="shared" ref="J86:J93" si="21">ROUND(E86*I86,)</f>
        <v>0</v>
      </c>
      <c r="K86" s="1801">
        <f t="shared" ref="K86:K93" si="22">H86+J86</f>
        <v>0</v>
      </c>
      <c r="L86" s="2082" t="s">
        <v>2667</v>
      </c>
      <c r="M86" s="2002"/>
      <c r="N86" s="2009">
        <v>48.23</v>
      </c>
      <c r="O86" s="1199">
        <f>ROUND(N86/4,)</f>
        <v>12</v>
      </c>
    </row>
    <row r="87" spans="1:15" s="1765" customFormat="1" ht="24" customHeight="1">
      <c r="A87" s="1258"/>
      <c r="B87" s="1538" t="s">
        <v>1901</v>
      </c>
      <c r="C87" s="1275"/>
      <c r="D87" s="2109"/>
      <c r="E87" s="715"/>
      <c r="F87" s="1262" t="s">
        <v>226</v>
      </c>
      <c r="G87" s="819">
        <v>16</v>
      </c>
      <c r="H87" s="1369">
        <f t="shared" si="20"/>
        <v>0</v>
      </c>
      <c r="I87" s="2007">
        <v>30</v>
      </c>
      <c r="J87" s="2008">
        <f t="shared" si="21"/>
        <v>0</v>
      </c>
      <c r="K87" s="1774">
        <f t="shared" si="22"/>
        <v>0</v>
      </c>
      <c r="L87" s="2082" t="s">
        <v>2667</v>
      </c>
      <c r="M87" s="2002"/>
      <c r="N87" s="1765">
        <v>63.7</v>
      </c>
      <c r="O87" s="1199">
        <f>ROUND(N87/4,)</f>
        <v>16</v>
      </c>
    </row>
    <row r="88" spans="1:15" s="1765" customFormat="1" ht="24" customHeight="1">
      <c r="A88" s="1258"/>
      <c r="B88" s="1538" t="s">
        <v>2263</v>
      </c>
      <c r="C88" s="1275"/>
      <c r="D88" s="2109"/>
      <c r="E88" s="715"/>
      <c r="F88" s="1262" t="s">
        <v>226</v>
      </c>
      <c r="G88" s="819">
        <v>20</v>
      </c>
      <c r="H88" s="1369">
        <f t="shared" si="20"/>
        <v>0</v>
      </c>
      <c r="I88" s="2007">
        <v>30</v>
      </c>
      <c r="J88" s="2008">
        <f t="shared" si="21"/>
        <v>0</v>
      </c>
      <c r="K88" s="1774">
        <f t="shared" si="22"/>
        <v>0</v>
      </c>
      <c r="L88" s="2082" t="s">
        <v>2667</v>
      </c>
      <c r="M88" s="2002"/>
      <c r="N88" s="2024">
        <v>79.17</v>
      </c>
      <c r="O88" s="1199">
        <f>ROUND(N88/4,)</f>
        <v>20</v>
      </c>
    </row>
    <row r="89" spans="1:15" s="1765" customFormat="1" ht="24" customHeight="1">
      <c r="A89" s="1258"/>
      <c r="B89" s="1538" t="s">
        <v>1339</v>
      </c>
      <c r="C89" s="1275"/>
      <c r="D89" s="2109"/>
      <c r="E89" s="715">
        <f>2*6</f>
        <v>12</v>
      </c>
      <c r="F89" s="1262" t="s">
        <v>226</v>
      </c>
      <c r="G89" s="819">
        <v>26</v>
      </c>
      <c r="H89" s="1369">
        <f t="shared" si="20"/>
        <v>312</v>
      </c>
      <c r="I89" s="2007">
        <v>30</v>
      </c>
      <c r="J89" s="2008">
        <f t="shared" si="21"/>
        <v>360</v>
      </c>
      <c r="K89" s="1774">
        <f t="shared" si="22"/>
        <v>672</v>
      </c>
      <c r="L89" s="2082" t="s">
        <v>2667</v>
      </c>
      <c r="M89" s="2002"/>
      <c r="N89" s="2024">
        <v>103.74</v>
      </c>
      <c r="O89" s="1199">
        <f>ROUND(N89/4,)</f>
        <v>26</v>
      </c>
    </row>
    <row r="90" spans="1:15" s="1765" customFormat="1" ht="24" customHeight="1">
      <c r="A90" s="1258"/>
      <c r="B90" s="1538" t="s">
        <v>1340</v>
      </c>
      <c r="C90" s="1275"/>
      <c r="D90" s="2109"/>
      <c r="E90" s="715"/>
      <c r="F90" s="1262" t="s">
        <v>226</v>
      </c>
      <c r="G90" s="819">
        <v>41</v>
      </c>
      <c r="H90" s="1369">
        <f t="shared" si="20"/>
        <v>0</v>
      </c>
      <c r="I90" s="2007">
        <v>40</v>
      </c>
      <c r="J90" s="2008">
        <f t="shared" si="21"/>
        <v>0</v>
      </c>
      <c r="K90" s="1774">
        <f t="shared" si="22"/>
        <v>0</v>
      </c>
      <c r="L90" s="2082" t="s">
        <v>2667</v>
      </c>
      <c r="M90" s="2002"/>
      <c r="N90" s="2024">
        <v>163.80000000000001</v>
      </c>
      <c r="O90" s="1199">
        <f>ROUND(N90/4,)</f>
        <v>41</v>
      </c>
    </row>
    <row r="91" spans="1:15" s="1765" customFormat="1" ht="24" customHeight="1">
      <c r="A91" s="1258"/>
      <c r="B91" s="1538" t="s">
        <v>1719</v>
      </c>
      <c r="C91" s="1275"/>
      <c r="D91" s="2109"/>
      <c r="E91" s="715">
        <v>1</v>
      </c>
      <c r="F91" s="1415" t="s">
        <v>1104</v>
      </c>
      <c r="G91" s="1772">
        <f>SUM(H86:H90)*50%</f>
        <v>156</v>
      </c>
      <c r="H91" s="1343">
        <f t="shared" si="20"/>
        <v>156</v>
      </c>
      <c r="I91" s="1595">
        <f>ROUND(G91*0.3,)</f>
        <v>47</v>
      </c>
      <c r="J91" s="1264">
        <f t="shared" si="21"/>
        <v>47</v>
      </c>
      <c r="K91" s="1273">
        <f t="shared" si="22"/>
        <v>203</v>
      </c>
      <c r="L91" s="1632"/>
    </row>
    <row r="92" spans="1:15" s="1765" customFormat="1" ht="24" customHeight="1">
      <c r="A92" s="1258"/>
      <c r="B92" s="1538" t="s">
        <v>1720</v>
      </c>
      <c r="C92" s="1275"/>
      <c r="D92" s="2109"/>
      <c r="E92" s="715">
        <v>1</v>
      </c>
      <c r="F92" s="1415" t="s">
        <v>1104</v>
      </c>
      <c r="G92" s="1772">
        <f>ROUND(SUM(H86:H90)*30%,)</f>
        <v>94</v>
      </c>
      <c r="H92" s="1343">
        <f t="shared" si="20"/>
        <v>94</v>
      </c>
      <c r="I92" s="1595">
        <f>ROUND(G92*0.3,)</f>
        <v>28</v>
      </c>
      <c r="J92" s="1264">
        <f t="shared" si="21"/>
        <v>28</v>
      </c>
      <c r="K92" s="1273">
        <f t="shared" si="22"/>
        <v>122</v>
      </c>
      <c r="L92" s="1632"/>
    </row>
    <row r="93" spans="1:15" s="1765" customFormat="1" ht="24" customHeight="1">
      <c r="A93" s="1258"/>
      <c r="B93" s="1538" t="s">
        <v>1721</v>
      </c>
      <c r="C93" s="1275"/>
      <c r="D93" s="2109"/>
      <c r="E93" s="715">
        <v>1</v>
      </c>
      <c r="F93" s="1415" t="s">
        <v>1104</v>
      </c>
      <c r="G93" s="1772">
        <f>ROUND(SUM(H86:H90)*10%,)</f>
        <v>31</v>
      </c>
      <c r="H93" s="1343">
        <f t="shared" si="20"/>
        <v>31</v>
      </c>
      <c r="I93" s="1595">
        <f>ROUND(G93*0.3,)</f>
        <v>9</v>
      </c>
      <c r="J93" s="1264">
        <f t="shared" si="21"/>
        <v>9</v>
      </c>
      <c r="K93" s="1273">
        <f t="shared" si="22"/>
        <v>40</v>
      </c>
      <c r="L93" s="1632"/>
    </row>
    <row r="94" spans="1:15" s="1765" customFormat="1" ht="24" customHeight="1">
      <c r="A94" s="1258"/>
      <c r="B94" s="1538" t="s">
        <v>1117</v>
      </c>
      <c r="C94" s="1275"/>
      <c r="D94" s="2109"/>
      <c r="E94" s="715"/>
      <c r="F94" s="1415"/>
      <c r="G94" s="1772"/>
      <c r="H94" s="1413"/>
      <c r="I94" s="1595"/>
      <c r="J94" s="1594"/>
      <c r="K94" s="1632"/>
      <c r="L94" s="1632"/>
    </row>
    <row r="95" spans="1:15" s="1765" customFormat="1" ht="24" customHeight="1">
      <c r="A95" s="1258"/>
      <c r="B95" s="1538"/>
      <c r="C95" s="1275"/>
      <c r="D95" s="2109"/>
      <c r="E95" s="715"/>
      <c r="F95" s="1415"/>
      <c r="G95" s="1772"/>
      <c r="H95" s="1413"/>
      <c r="I95" s="1595"/>
      <c r="J95" s="1594"/>
      <c r="K95" s="1632"/>
      <c r="L95" s="1632"/>
    </row>
    <row r="96" spans="1:15" s="1765" customFormat="1" ht="24" customHeight="1">
      <c r="A96" s="1258"/>
      <c r="B96" s="1538"/>
      <c r="C96" s="1275"/>
      <c r="D96" s="2109"/>
      <c r="E96" s="715"/>
      <c r="F96" s="1415"/>
      <c r="G96" s="1772"/>
      <c r="H96" s="1413"/>
      <c r="I96" s="1595"/>
      <c r="J96" s="1594"/>
      <c r="K96" s="1632"/>
      <c r="L96" s="1632"/>
    </row>
    <row r="97" spans="1:12" s="1765" customFormat="1" ht="24" customHeight="1">
      <c r="A97" s="1791"/>
      <c r="B97" s="1792"/>
      <c r="C97" s="1486"/>
      <c r="D97" s="1822"/>
      <c r="E97" s="1823"/>
      <c r="F97" s="1500"/>
      <c r="G97" s="1824"/>
      <c r="H97" s="1825"/>
      <c r="I97" s="1826"/>
      <c r="J97" s="1825"/>
      <c r="K97" s="1833"/>
      <c r="L97" s="1833"/>
    </row>
    <row r="98" spans="1:12" s="1765" customFormat="1" ht="24" customHeight="1">
      <c r="A98" s="1578"/>
      <c r="B98" s="2257" t="str">
        <f>"รวมราคารายการที่ "&amp;A71</f>
        <v>รวมราคารายการที่ 7.4</v>
      </c>
      <c r="C98" s="2258"/>
      <c r="D98" s="2259"/>
      <c r="E98" s="1579"/>
      <c r="F98" s="1579"/>
      <c r="G98" s="1580"/>
      <c r="H98" s="1581">
        <f>SUM(H72:H97)</f>
        <v>211767</v>
      </c>
      <c r="I98" s="1582"/>
      <c r="J98" s="1581">
        <f>SUM(J72:J97)</f>
        <v>89888</v>
      </c>
      <c r="K98" s="1581">
        <f>SUM(K72:K97)</f>
        <v>301655</v>
      </c>
      <c r="L98" s="1583"/>
    </row>
    <row r="99" spans="1:12" s="1765" customFormat="1" ht="24" customHeight="1">
      <c r="A99" s="1863" t="s">
        <v>2307</v>
      </c>
      <c r="B99" s="1758" t="s">
        <v>2053</v>
      </c>
      <c r="C99" s="1250"/>
      <c r="D99" s="1251"/>
      <c r="E99" s="1794"/>
      <c r="F99" s="1253"/>
      <c r="G99" s="1721"/>
      <c r="H99" s="1255"/>
      <c r="I99" s="1256"/>
      <c r="J99" s="1255"/>
      <c r="K99" s="1502"/>
      <c r="L99" s="1502"/>
    </row>
    <row r="100" spans="1:12" s="1765" customFormat="1" ht="24" customHeight="1">
      <c r="A100" s="1258" t="s">
        <v>2062</v>
      </c>
      <c r="B100" s="1538" t="s">
        <v>2055</v>
      </c>
      <c r="C100" s="1437"/>
      <c r="D100" s="1275"/>
      <c r="E100" s="1768"/>
      <c r="F100" s="1358"/>
      <c r="G100" s="1516"/>
      <c r="H100" s="1264"/>
      <c r="I100" s="1265"/>
      <c r="J100" s="1264"/>
      <c r="K100" s="1273"/>
      <c r="L100" s="1273"/>
    </row>
    <row r="101" spans="1:12" s="1765" customFormat="1" ht="24" customHeight="1">
      <c r="A101" s="1258"/>
      <c r="B101" s="1538" t="s">
        <v>2168</v>
      </c>
      <c r="C101" s="1437"/>
      <c r="D101" s="1275"/>
      <c r="E101" s="1813">
        <f>E86</f>
        <v>0</v>
      </c>
      <c r="F101" s="1788" t="s">
        <v>226</v>
      </c>
      <c r="G101" s="1790">
        <v>59</v>
      </c>
      <c r="H101" s="1773">
        <f t="shared" ref="H101:H104" si="23">ROUND(E101*G101,)</f>
        <v>0</v>
      </c>
      <c r="I101" s="1789">
        <f>ROUND(20*0.75*1.3,)</f>
        <v>20</v>
      </c>
      <c r="J101" s="1773">
        <f t="shared" ref="J101:J104" si="24">ROUND(E101*I101,)</f>
        <v>0</v>
      </c>
      <c r="K101" s="1269">
        <f t="shared" ref="K101:K104" si="25">H101+J101</f>
        <v>0</v>
      </c>
      <c r="L101" s="1273"/>
    </row>
    <row r="102" spans="1:12" s="1765" customFormat="1" ht="24" customHeight="1">
      <c r="A102" s="1258"/>
      <c r="B102" s="1538" t="s">
        <v>1901</v>
      </c>
      <c r="C102" s="1437"/>
      <c r="D102" s="1275"/>
      <c r="E102" s="1813">
        <f>E87</f>
        <v>0</v>
      </c>
      <c r="F102" s="1358" t="s">
        <v>226</v>
      </c>
      <c r="G102" s="1516">
        <v>69</v>
      </c>
      <c r="H102" s="1264">
        <f t="shared" si="23"/>
        <v>0</v>
      </c>
      <c r="I102" s="1265">
        <f>ROUND(20*1*1.3,)</f>
        <v>26</v>
      </c>
      <c r="J102" s="1264">
        <f t="shared" si="24"/>
        <v>0</v>
      </c>
      <c r="K102" s="1273">
        <f t="shared" si="25"/>
        <v>0</v>
      </c>
      <c r="L102" s="1273"/>
    </row>
    <row r="103" spans="1:12" s="1765" customFormat="1" ht="24" customHeight="1">
      <c r="A103" s="1258"/>
      <c r="B103" s="1538" t="s">
        <v>1338</v>
      </c>
      <c r="C103" s="1437"/>
      <c r="D103" s="1275"/>
      <c r="E103" s="1813">
        <f>E88</f>
        <v>0</v>
      </c>
      <c r="F103" s="1358" t="s">
        <v>226</v>
      </c>
      <c r="G103" s="1516">
        <v>92</v>
      </c>
      <c r="H103" s="1264">
        <f t="shared" si="23"/>
        <v>0</v>
      </c>
      <c r="I103" s="1265">
        <f>ROUND(20*1.25*1.3,)</f>
        <v>33</v>
      </c>
      <c r="J103" s="1264">
        <f t="shared" si="24"/>
        <v>0</v>
      </c>
      <c r="K103" s="1273">
        <f t="shared" si="25"/>
        <v>0</v>
      </c>
      <c r="L103" s="1273"/>
    </row>
    <row r="104" spans="1:12" s="1765" customFormat="1" ht="24" customHeight="1">
      <c r="A104" s="1258"/>
      <c r="B104" s="1538" t="s">
        <v>1339</v>
      </c>
      <c r="C104" s="1437"/>
      <c r="D104" s="1275"/>
      <c r="E104" s="1813">
        <f>E89</f>
        <v>12</v>
      </c>
      <c r="F104" s="1358" t="s">
        <v>226</v>
      </c>
      <c r="G104" s="1516">
        <v>93</v>
      </c>
      <c r="H104" s="1264">
        <f t="shared" si="23"/>
        <v>1116</v>
      </c>
      <c r="I104" s="1265">
        <v>39</v>
      </c>
      <c r="J104" s="1264">
        <f t="shared" si="24"/>
        <v>468</v>
      </c>
      <c r="K104" s="1273">
        <f t="shared" si="25"/>
        <v>1584</v>
      </c>
      <c r="L104" s="1273"/>
    </row>
    <row r="105" spans="1:12" s="1765" customFormat="1" ht="24" customHeight="1">
      <c r="A105" s="1258" t="s">
        <v>2062</v>
      </c>
      <c r="B105" s="1538" t="s">
        <v>2169</v>
      </c>
      <c r="C105" s="1437"/>
      <c r="D105" s="1275"/>
      <c r="E105" s="1768"/>
      <c r="F105" s="1358"/>
      <c r="G105" s="1516"/>
      <c r="H105" s="1264"/>
      <c r="I105" s="1265"/>
      <c r="J105" s="1264"/>
      <c r="K105" s="1273"/>
      <c r="L105" s="1273"/>
    </row>
    <row r="106" spans="1:12" s="1765" customFormat="1" ht="24" customHeight="1">
      <c r="A106" s="1258"/>
      <c r="B106" s="1538" t="s">
        <v>2168</v>
      </c>
      <c r="C106" s="1437"/>
      <c r="D106" s="1275"/>
      <c r="E106" s="1813">
        <f>E74</f>
        <v>0</v>
      </c>
      <c r="F106" s="1788" t="s">
        <v>226</v>
      </c>
      <c r="G106" s="1790">
        <v>69</v>
      </c>
      <c r="H106" s="1773">
        <f t="shared" ref="H106:H109" si="26">ROUND(E106*G106,)</f>
        <v>0</v>
      </c>
      <c r="I106" s="1789">
        <f>ROUND(20*0.75*1.3,)</f>
        <v>20</v>
      </c>
      <c r="J106" s="1773">
        <f t="shared" ref="J106:J109" si="27">ROUND(E106*I106,)</f>
        <v>0</v>
      </c>
      <c r="K106" s="1269">
        <f t="shared" ref="K106:K109" si="28">H106+J106</f>
        <v>0</v>
      </c>
      <c r="L106" s="1269"/>
    </row>
    <row r="107" spans="1:12" s="1765" customFormat="1" ht="24" customHeight="1">
      <c r="A107" s="1258"/>
      <c r="B107" s="1538" t="s">
        <v>1901</v>
      </c>
      <c r="C107" s="1437"/>
      <c r="D107" s="1275"/>
      <c r="E107" s="1771">
        <f>E75</f>
        <v>0</v>
      </c>
      <c r="F107" s="1358" t="s">
        <v>226</v>
      </c>
      <c r="G107" s="1516">
        <v>85</v>
      </c>
      <c r="H107" s="1264">
        <f t="shared" si="26"/>
        <v>0</v>
      </c>
      <c r="I107" s="1265">
        <f>ROUND(20*1*1.3,)</f>
        <v>26</v>
      </c>
      <c r="J107" s="1264">
        <f t="shared" si="27"/>
        <v>0</v>
      </c>
      <c r="K107" s="1273">
        <f t="shared" si="28"/>
        <v>0</v>
      </c>
      <c r="L107" s="1273"/>
    </row>
    <row r="108" spans="1:12" s="1765" customFormat="1" ht="24" customHeight="1">
      <c r="A108" s="1258"/>
      <c r="B108" s="1538" t="s">
        <v>1338</v>
      </c>
      <c r="C108" s="1437"/>
      <c r="D108" s="1275"/>
      <c r="E108" s="1813">
        <f>E76</f>
        <v>0</v>
      </c>
      <c r="F108" s="1788" t="s">
        <v>226</v>
      </c>
      <c r="G108" s="1515">
        <v>96</v>
      </c>
      <c r="H108" s="1369">
        <f t="shared" si="26"/>
        <v>0</v>
      </c>
      <c r="I108" s="1370">
        <v>33</v>
      </c>
      <c r="J108" s="1369">
        <f t="shared" si="27"/>
        <v>0</v>
      </c>
      <c r="K108" s="1356">
        <f t="shared" si="28"/>
        <v>0</v>
      </c>
      <c r="L108" s="1269"/>
    </row>
    <row r="109" spans="1:12" s="1765" customFormat="1" ht="24" customHeight="1">
      <c r="A109" s="1258"/>
      <c r="B109" s="1538" t="s">
        <v>1339</v>
      </c>
      <c r="C109" s="1437"/>
      <c r="D109" s="1275"/>
      <c r="E109" s="1771">
        <f>E77</f>
        <v>0</v>
      </c>
      <c r="F109" s="1358" t="s">
        <v>226</v>
      </c>
      <c r="G109" s="1515">
        <v>108</v>
      </c>
      <c r="H109" s="1369">
        <f t="shared" si="26"/>
        <v>0</v>
      </c>
      <c r="I109" s="1370">
        <v>39</v>
      </c>
      <c r="J109" s="1369">
        <f t="shared" si="27"/>
        <v>0</v>
      </c>
      <c r="K109" s="1356">
        <f t="shared" si="28"/>
        <v>0</v>
      </c>
      <c r="L109" s="1273"/>
    </row>
    <row r="110" spans="1:12" s="1765" customFormat="1" ht="24" customHeight="1">
      <c r="A110" s="1804" t="s">
        <v>2064</v>
      </c>
      <c r="B110" s="1780" t="s">
        <v>2265</v>
      </c>
      <c r="C110" s="1800"/>
      <c r="D110" s="1260"/>
      <c r="E110" s="1801"/>
      <c r="F110" s="1262"/>
      <c r="G110" s="1515"/>
      <c r="H110" s="1343"/>
      <c r="I110" s="1344"/>
      <c r="J110" s="1343"/>
      <c r="K110" s="1262"/>
      <c r="L110" s="1262"/>
    </row>
    <row r="111" spans="1:12" s="1765" customFormat="1" ht="24" customHeight="1">
      <c r="A111" s="1804"/>
      <c r="B111" s="1780" t="s">
        <v>1338</v>
      </c>
      <c r="C111" s="1800"/>
      <c r="D111" s="1260"/>
      <c r="E111" s="715"/>
      <c r="F111" s="1262" t="s">
        <v>226</v>
      </c>
      <c r="G111" s="1515">
        <v>108</v>
      </c>
      <c r="H111" s="1343">
        <f t="shared" ref="H111:H116" si="29">ROUND(E111*G111,)</f>
        <v>0</v>
      </c>
      <c r="I111" s="1344">
        <v>33</v>
      </c>
      <c r="J111" s="1343">
        <f t="shared" ref="J111:J116" si="30">ROUND(E111*I111,)</f>
        <v>0</v>
      </c>
      <c r="K111" s="1262">
        <f t="shared" ref="K111:K116" si="31">H111+J111</f>
        <v>0</v>
      </c>
      <c r="L111" s="1262"/>
    </row>
    <row r="112" spans="1:12" s="1765" customFormat="1" ht="24" customHeight="1">
      <c r="A112" s="1804"/>
      <c r="B112" s="1780" t="s">
        <v>1339</v>
      </c>
      <c r="C112" s="1260"/>
      <c r="D112" s="2109"/>
      <c r="E112" s="715"/>
      <c r="F112" s="1262" t="s">
        <v>226</v>
      </c>
      <c r="G112" s="1515">
        <v>164</v>
      </c>
      <c r="H112" s="1343">
        <f t="shared" si="29"/>
        <v>0</v>
      </c>
      <c r="I112" s="1344">
        <v>39</v>
      </c>
      <c r="J112" s="1343">
        <f t="shared" si="30"/>
        <v>0</v>
      </c>
      <c r="K112" s="1262">
        <f t="shared" si="31"/>
        <v>0</v>
      </c>
      <c r="L112" s="1415"/>
    </row>
    <row r="113" spans="1:12" s="1765" customFormat="1" ht="24" customHeight="1">
      <c r="A113" s="1784"/>
      <c r="B113" s="1780" t="s">
        <v>1340</v>
      </c>
      <c r="C113" s="1260"/>
      <c r="D113" s="2109"/>
      <c r="E113" s="825">
        <f>E78</f>
        <v>0</v>
      </c>
      <c r="F113" s="1356" t="s">
        <v>226</v>
      </c>
      <c r="G113" s="1515">
        <v>200</v>
      </c>
      <c r="H113" s="1369">
        <f t="shared" si="29"/>
        <v>0</v>
      </c>
      <c r="I113" s="1370">
        <v>52</v>
      </c>
      <c r="J113" s="1369">
        <f t="shared" si="30"/>
        <v>0</v>
      </c>
      <c r="K113" s="1356">
        <f t="shared" si="31"/>
        <v>0</v>
      </c>
      <c r="L113" s="1457"/>
    </row>
    <row r="114" spans="1:12" s="1765" customFormat="1" ht="24" customHeight="1">
      <c r="A114" s="1784"/>
      <c r="B114" s="1780" t="s">
        <v>1341</v>
      </c>
      <c r="C114" s="1260"/>
      <c r="D114" s="2109"/>
      <c r="E114" s="825">
        <f>E79</f>
        <v>156</v>
      </c>
      <c r="F114" s="1356" t="s">
        <v>226</v>
      </c>
      <c r="G114" s="1515">
        <v>256</v>
      </c>
      <c r="H114" s="1369">
        <f t="shared" si="29"/>
        <v>39936</v>
      </c>
      <c r="I114" s="1370">
        <v>65</v>
      </c>
      <c r="J114" s="1369">
        <f t="shared" si="30"/>
        <v>10140</v>
      </c>
      <c r="K114" s="1356">
        <f t="shared" si="31"/>
        <v>50076</v>
      </c>
      <c r="L114" s="1457"/>
    </row>
    <row r="115" spans="1:12" s="1765" customFormat="1" ht="24" customHeight="1">
      <c r="A115" s="1784"/>
      <c r="B115" s="1780" t="s">
        <v>1342</v>
      </c>
      <c r="C115" s="1260"/>
      <c r="D115" s="2109"/>
      <c r="E115" s="825">
        <f>E80</f>
        <v>171.60000000000002</v>
      </c>
      <c r="F115" s="1356" t="s">
        <v>226</v>
      </c>
      <c r="G115" s="1515">
        <v>302</v>
      </c>
      <c r="H115" s="1369">
        <f t="shared" si="29"/>
        <v>51823</v>
      </c>
      <c r="I115" s="1370">
        <v>78</v>
      </c>
      <c r="J115" s="1369">
        <f t="shared" si="30"/>
        <v>13385</v>
      </c>
      <c r="K115" s="1356">
        <f t="shared" si="31"/>
        <v>65208</v>
      </c>
      <c r="L115" s="1457"/>
    </row>
    <row r="116" spans="1:12" s="1765" customFormat="1" ht="24" customHeight="1">
      <c r="A116" s="1784"/>
      <c r="B116" s="1780" t="s">
        <v>1111</v>
      </c>
      <c r="C116" s="1260"/>
      <c r="D116" s="2109"/>
      <c r="E116" s="825">
        <f>E81</f>
        <v>113.30000000000001</v>
      </c>
      <c r="F116" s="1356" t="s">
        <v>226</v>
      </c>
      <c r="G116" s="1515">
        <v>367</v>
      </c>
      <c r="H116" s="1369">
        <f t="shared" si="29"/>
        <v>41581</v>
      </c>
      <c r="I116" s="1370">
        <v>104</v>
      </c>
      <c r="J116" s="1369">
        <f t="shared" si="30"/>
        <v>11783</v>
      </c>
      <c r="K116" s="1356">
        <f t="shared" si="31"/>
        <v>53364</v>
      </c>
      <c r="L116" s="1457"/>
    </row>
    <row r="117" spans="1:12" s="1765" customFormat="1" ht="24" customHeight="1">
      <c r="A117" s="1258"/>
      <c r="B117" s="1538" t="s">
        <v>1117</v>
      </c>
      <c r="C117" s="1437"/>
      <c r="D117" s="1275"/>
      <c r="E117" s="1768"/>
      <c r="F117" s="1358"/>
      <c r="G117" s="1516"/>
      <c r="H117" s="1264"/>
      <c r="I117" s="1265"/>
      <c r="J117" s="1264"/>
      <c r="K117" s="1273"/>
      <c r="L117" s="1273"/>
    </row>
    <row r="118" spans="1:12" s="1765" customFormat="1" ht="24" customHeight="1">
      <c r="A118" s="1258"/>
      <c r="B118" s="1538" t="s">
        <v>1118</v>
      </c>
      <c r="C118" s="1437"/>
      <c r="D118" s="1275"/>
      <c r="E118" s="1768"/>
      <c r="F118" s="1358"/>
      <c r="G118" s="1516"/>
      <c r="H118" s="1264"/>
      <c r="I118" s="1265"/>
      <c r="J118" s="1264"/>
      <c r="K118" s="1273"/>
      <c r="L118" s="1273"/>
    </row>
    <row r="119" spans="1:12" s="1765" customFormat="1" ht="24" customHeight="1">
      <c r="A119" s="1258"/>
      <c r="B119" s="1538"/>
      <c r="C119" s="1437"/>
      <c r="D119" s="1275"/>
      <c r="E119" s="1768"/>
      <c r="F119" s="1358"/>
      <c r="G119" s="1516"/>
      <c r="H119" s="1264"/>
      <c r="I119" s="1265"/>
      <c r="J119" s="1264"/>
      <c r="K119" s="1273"/>
      <c r="L119" s="1273"/>
    </row>
    <row r="120" spans="1:12" s="1765" customFormat="1" ht="24" customHeight="1">
      <c r="A120" s="1258"/>
      <c r="B120" s="1538"/>
      <c r="C120" s="1437"/>
      <c r="D120" s="1275"/>
      <c r="E120" s="1768"/>
      <c r="F120" s="1358"/>
      <c r="G120" s="1516"/>
      <c r="H120" s="1264"/>
      <c r="I120" s="1265"/>
      <c r="J120" s="1264"/>
      <c r="K120" s="1273"/>
      <c r="L120" s="1273"/>
    </row>
    <row r="121" spans="1:12" s="1765" customFormat="1" ht="24" customHeight="1">
      <c r="A121" s="1791"/>
      <c r="B121" s="1792"/>
      <c r="C121" s="1702"/>
      <c r="D121" s="1486"/>
      <c r="E121" s="1793"/>
      <c r="F121" s="1487"/>
      <c r="G121" s="1735"/>
      <c r="H121" s="1425"/>
      <c r="I121" s="1488"/>
      <c r="J121" s="1425"/>
      <c r="K121" s="1426"/>
      <c r="L121" s="1426"/>
    </row>
    <row r="122" spans="1:12" s="1765" customFormat="1" ht="24" customHeight="1">
      <c r="A122" s="1578"/>
      <c r="B122" s="2257" t="str">
        <f>"รวมราคารายการที่ "&amp;A99</f>
        <v>รวมราคารายการที่ 7.5</v>
      </c>
      <c r="C122" s="2258"/>
      <c r="D122" s="2259"/>
      <c r="E122" s="1579"/>
      <c r="F122" s="1579"/>
      <c r="G122" s="1580"/>
      <c r="H122" s="1581">
        <f>SUM(H100:H121)</f>
        <v>134456</v>
      </c>
      <c r="I122" s="1582"/>
      <c r="J122" s="1581">
        <f>SUM(J100:J121)</f>
        <v>35776</v>
      </c>
      <c r="K122" s="1581">
        <f>SUM(K100:K121)</f>
        <v>170232</v>
      </c>
      <c r="L122" s="1583"/>
    </row>
    <row r="123" spans="1:12" s="1765" customFormat="1" ht="24" customHeight="1">
      <c r="A123" s="1291">
        <v>7.6</v>
      </c>
      <c r="B123" s="1776" t="s">
        <v>2061</v>
      </c>
      <c r="C123" s="1293"/>
      <c r="D123" s="1294"/>
      <c r="E123" s="1786"/>
      <c r="F123" s="1296"/>
      <c r="G123" s="1357"/>
      <c r="H123" s="1298"/>
      <c r="I123" s="1299"/>
      <c r="J123" s="1298"/>
      <c r="K123" s="1382"/>
      <c r="L123" s="1382"/>
    </row>
    <row r="124" spans="1:12" s="1765" customFormat="1" ht="24" customHeight="1">
      <c r="A124" s="1258" t="s">
        <v>2075</v>
      </c>
      <c r="B124" s="1538" t="s">
        <v>2063</v>
      </c>
      <c r="C124" s="1437"/>
      <c r="D124" s="1275"/>
      <c r="E124" s="1768"/>
      <c r="F124" s="1358"/>
      <c r="G124" s="1516"/>
      <c r="H124" s="1264"/>
      <c r="I124" s="1265"/>
      <c r="J124" s="1264"/>
      <c r="K124" s="1273"/>
      <c r="L124" s="1273"/>
    </row>
    <row r="125" spans="1:12" s="1765" customFormat="1" ht="24" customHeight="1">
      <c r="A125" s="1258"/>
      <c r="B125" s="1538" t="s">
        <v>1448</v>
      </c>
      <c r="C125" s="1437"/>
      <c r="D125" s="1275"/>
      <c r="E125" s="1787"/>
      <c r="F125" s="1788" t="s">
        <v>363</v>
      </c>
      <c r="G125" s="2010">
        <v>880</v>
      </c>
      <c r="H125" s="1773">
        <f t="shared" ref="H125:H129" si="32">ROUND(E125*G125,)</f>
        <v>0</v>
      </c>
      <c r="I125" s="2011">
        <v>150</v>
      </c>
      <c r="J125" s="2008">
        <f t="shared" ref="J125:J129" si="33">ROUND(E125*I125,)</f>
        <v>0</v>
      </c>
      <c r="K125" s="1774">
        <f t="shared" ref="K125:K129" si="34">H125+J125</f>
        <v>0</v>
      </c>
      <c r="L125" s="2082" t="s">
        <v>2667</v>
      </c>
    </row>
    <row r="126" spans="1:12" s="1765" customFormat="1" ht="24" customHeight="1">
      <c r="A126" s="1258"/>
      <c r="B126" s="1538" t="s">
        <v>1337</v>
      </c>
      <c r="C126" s="1437"/>
      <c r="D126" s="1275"/>
      <c r="E126" s="1768"/>
      <c r="F126" s="1358" t="s">
        <v>363</v>
      </c>
      <c r="G126" s="2012">
        <v>1316</v>
      </c>
      <c r="H126" s="1264">
        <f t="shared" si="32"/>
        <v>0</v>
      </c>
      <c r="I126" s="1332">
        <v>200</v>
      </c>
      <c r="J126" s="2013">
        <f t="shared" si="33"/>
        <v>0</v>
      </c>
      <c r="K126" s="1687">
        <f t="shared" si="34"/>
        <v>0</v>
      </c>
      <c r="L126" s="2082" t="s">
        <v>2667</v>
      </c>
    </row>
    <row r="127" spans="1:12" s="1765" customFormat="1" ht="24" customHeight="1">
      <c r="A127" s="1258"/>
      <c r="B127" s="1538" t="s">
        <v>1338</v>
      </c>
      <c r="C127" s="1437"/>
      <c r="D127" s="1275"/>
      <c r="E127" s="1787">
        <f>E52*2</f>
        <v>0</v>
      </c>
      <c r="F127" s="1358" t="s">
        <v>363</v>
      </c>
      <c r="G127" s="2012">
        <v>1984</v>
      </c>
      <c r="H127" s="1264">
        <f t="shared" si="32"/>
        <v>0</v>
      </c>
      <c r="I127" s="1332">
        <v>250</v>
      </c>
      <c r="J127" s="2013">
        <f t="shared" si="33"/>
        <v>0</v>
      </c>
      <c r="K127" s="1687">
        <f t="shared" si="34"/>
        <v>0</v>
      </c>
      <c r="L127" s="2082" t="s">
        <v>2667</v>
      </c>
    </row>
    <row r="128" spans="1:12" s="1765" customFormat="1" ht="24" customHeight="1">
      <c r="A128" s="1258"/>
      <c r="B128" s="1538" t="s">
        <v>1339</v>
      </c>
      <c r="C128" s="1437"/>
      <c r="D128" s="1275"/>
      <c r="E128" s="1787">
        <f>E53*2</f>
        <v>0</v>
      </c>
      <c r="F128" s="1358" t="s">
        <v>363</v>
      </c>
      <c r="G128" s="2012">
        <v>2610</v>
      </c>
      <c r="H128" s="1264">
        <f t="shared" si="32"/>
        <v>0</v>
      </c>
      <c r="I128" s="1332">
        <v>300</v>
      </c>
      <c r="J128" s="2013">
        <f t="shared" si="33"/>
        <v>0</v>
      </c>
      <c r="K128" s="1687">
        <f t="shared" si="34"/>
        <v>0</v>
      </c>
      <c r="L128" s="2082" t="s">
        <v>2667</v>
      </c>
    </row>
    <row r="129" spans="1:20" s="1765" customFormat="1" ht="24" customHeight="1">
      <c r="A129" s="2113"/>
      <c r="B129" s="2114" t="s">
        <v>1340</v>
      </c>
      <c r="C129" s="2115"/>
      <c r="D129" s="2108"/>
      <c r="E129" s="1801"/>
      <c r="F129" s="1262" t="s">
        <v>363</v>
      </c>
      <c r="G129" s="2003">
        <v>4040</v>
      </c>
      <c r="H129" s="1343">
        <f t="shared" si="32"/>
        <v>0</v>
      </c>
      <c r="I129" s="2004">
        <v>400</v>
      </c>
      <c r="J129" s="2005">
        <f t="shared" si="33"/>
        <v>0</v>
      </c>
      <c r="K129" s="1801">
        <f t="shared" si="34"/>
        <v>0</v>
      </c>
      <c r="L129" s="2152" t="s">
        <v>2667</v>
      </c>
    </row>
    <row r="130" spans="1:20" s="2116" customFormat="1" ht="24" customHeight="1">
      <c r="A130" s="2113" t="s">
        <v>2170</v>
      </c>
      <c r="B130" s="2114" t="s">
        <v>2065</v>
      </c>
      <c r="C130" s="2115"/>
      <c r="D130" s="2108"/>
      <c r="E130" s="1801"/>
      <c r="F130" s="1262"/>
      <c r="G130" s="1515"/>
      <c r="H130" s="1343"/>
      <c r="I130" s="1344"/>
      <c r="J130" s="1343"/>
      <c r="K130" s="1262"/>
      <c r="L130" s="1262"/>
    </row>
    <row r="131" spans="1:20" s="2116" customFormat="1" ht="24" customHeight="1">
      <c r="A131" s="2113"/>
      <c r="B131" s="2107" t="s">
        <v>1341</v>
      </c>
      <c r="C131" s="2115"/>
      <c r="D131" s="2108"/>
      <c r="E131" s="1801"/>
      <c r="F131" s="1262" t="s">
        <v>363</v>
      </c>
      <c r="G131" s="1836">
        <v>1862</v>
      </c>
      <c r="H131" s="1343">
        <f>ROUND(E131*G131,)</f>
        <v>0</v>
      </c>
      <c r="I131" s="1344">
        <v>500</v>
      </c>
      <c r="J131" s="1343">
        <f t="shared" ref="J131:J134" si="35">ROUND(E131*I131,)</f>
        <v>0</v>
      </c>
      <c r="K131" s="1262">
        <f t="shared" ref="K131:K134" si="36">H131+J131</f>
        <v>0</v>
      </c>
      <c r="L131" s="1262"/>
    </row>
    <row r="132" spans="1:20" s="2116" customFormat="1" ht="24" customHeight="1">
      <c r="A132" s="2113"/>
      <c r="B132" s="2107" t="s">
        <v>1342</v>
      </c>
      <c r="C132" s="2115"/>
      <c r="D132" s="2108"/>
      <c r="E132" s="2091">
        <v>12</v>
      </c>
      <c r="F132" s="1262" t="s">
        <v>363</v>
      </c>
      <c r="G132" s="1836">
        <v>2159</v>
      </c>
      <c r="H132" s="1343">
        <f>ROUND(E132*G132,)</f>
        <v>25908</v>
      </c>
      <c r="I132" s="1344">
        <v>600</v>
      </c>
      <c r="J132" s="1343">
        <f t="shared" si="35"/>
        <v>7200</v>
      </c>
      <c r="K132" s="1262">
        <f t="shared" si="36"/>
        <v>33108</v>
      </c>
      <c r="L132" s="1262"/>
    </row>
    <row r="133" spans="1:20" s="2116" customFormat="1" ht="24" customHeight="1">
      <c r="A133" s="2113"/>
      <c r="B133" s="2114" t="s">
        <v>1759</v>
      </c>
      <c r="C133" s="2115"/>
      <c r="D133" s="2108"/>
      <c r="E133" s="1801"/>
      <c r="F133" s="1262" t="s">
        <v>363</v>
      </c>
      <c r="G133" s="1836">
        <v>2811</v>
      </c>
      <c r="H133" s="1343">
        <f>ROUND(E133*G133,)</f>
        <v>0</v>
      </c>
      <c r="I133" s="1344">
        <v>800</v>
      </c>
      <c r="J133" s="1343">
        <f t="shared" si="35"/>
        <v>0</v>
      </c>
      <c r="K133" s="1262">
        <f t="shared" si="36"/>
        <v>0</v>
      </c>
      <c r="L133" s="1415"/>
    </row>
    <row r="134" spans="1:20" s="2116" customFormat="1" ht="24" customHeight="1">
      <c r="A134" s="2113"/>
      <c r="B134" s="2114" t="s">
        <v>1866</v>
      </c>
      <c r="C134" s="2115"/>
      <c r="D134" s="2108"/>
      <c r="E134" s="1801"/>
      <c r="F134" s="1262" t="s">
        <v>363</v>
      </c>
      <c r="G134" s="1836">
        <v>14327</v>
      </c>
      <c r="H134" s="1343">
        <f>ROUND(E134*G134,)</f>
        <v>0</v>
      </c>
      <c r="I134" s="1344">
        <v>2000</v>
      </c>
      <c r="J134" s="1343">
        <f t="shared" si="35"/>
        <v>0</v>
      </c>
      <c r="K134" s="1262">
        <f t="shared" si="36"/>
        <v>0</v>
      </c>
      <c r="L134" s="1262"/>
    </row>
    <row r="135" spans="1:20" s="1765" customFormat="1" ht="24" customHeight="1">
      <c r="A135" s="2113" t="s">
        <v>2226</v>
      </c>
      <c r="B135" s="2114" t="s">
        <v>2067</v>
      </c>
      <c r="C135" s="2115"/>
      <c r="D135" s="2108"/>
      <c r="E135" s="1801"/>
      <c r="F135" s="1262"/>
      <c r="G135" s="1515"/>
      <c r="H135" s="1343"/>
      <c r="I135" s="1344"/>
      <c r="J135" s="1343"/>
      <c r="K135" s="1262"/>
      <c r="L135" s="1262"/>
    </row>
    <row r="136" spans="1:20" s="1765" customFormat="1" ht="24" customHeight="1">
      <c r="A136" s="2113"/>
      <c r="B136" s="2114" t="s">
        <v>1448</v>
      </c>
      <c r="C136" s="2115"/>
      <c r="D136" s="2108"/>
      <c r="E136" s="1853">
        <f>E125/2</f>
        <v>0</v>
      </c>
      <c r="F136" s="2154" t="s">
        <v>363</v>
      </c>
      <c r="G136" s="2159">
        <v>350</v>
      </c>
      <c r="H136" s="2156">
        <f t="shared" ref="H136:H140" si="37">ROUND(E136*G136,)</f>
        <v>0</v>
      </c>
      <c r="I136" s="2160">
        <v>150</v>
      </c>
      <c r="J136" s="2156">
        <f t="shared" ref="J136:J140" si="38">ROUND(E136*I136,)</f>
        <v>0</v>
      </c>
      <c r="K136" s="2154">
        <f t="shared" ref="K136:K140" si="39">H136+J136</f>
        <v>0</v>
      </c>
      <c r="L136" s="1262"/>
    </row>
    <row r="137" spans="1:20" s="1765" customFormat="1" ht="24" customHeight="1">
      <c r="A137" s="2113"/>
      <c r="B137" s="2114" t="s">
        <v>1338</v>
      </c>
      <c r="C137" s="2115"/>
      <c r="D137" s="2108"/>
      <c r="E137" s="1801">
        <f>E127/2</f>
        <v>0</v>
      </c>
      <c r="F137" s="1262" t="s">
        <v>363</v>
      </c>
      <c r="G137" s="1515">
        <v>1084</v>
      </c>
      <c r="H137" s="1343">
        <f t="shared" si="37"/>
        <v>0</v>
      </c>
      <c r="I137" s="1344">
        <v>250</v>
      </c>
      <c r="J137" s="1343">
        <f t="shared" si="38"/>
        <v>0</v>
      </c>
      <c r="K137" s="1262">
        <f t="shared" si="39"/>
        <v>0</v>
      </c>
      <c r="L137" s="1262"/>
    </row>
    <row r="138" spans="1:20" s="1765" customFormat="1" ht="24" customHeight="1">
      <c r="A138" s="1258"/>
      <c r="B138" s="1538" t="s">
        <v>1339</v>
      </c>
      <c r="C138" s="1437"/>
      <c r="D138" s="1275"/>
      <c r="E138" s="1768">
        <f>E128/2</f>
        <v>0</v>
      </c>
      <c r="F138" s="1358" t="s">
        <v>363</v>
      </c>
      <c r="G138" s="1516">
        <v>1710</v>
      </c>
      <c r="H138" s="1264">
        <f t="shared" si="37"/>
        <v>0</v>
      </c>
      <c r="I138" s="1265">
        <v>300</v>
      </c>
      <c r="J138" s="1264">
        <f t="shared" si="38"/>
        <v>0</v>
      </c>
      <c r="K138" s="1273">
        <f t="shared" si="39"/>
        <v>0</v>
      </c>
      <c r="L138" s="1273"/>
    </row>
    <row r="139" spans="1:20" s="1765" customFormat="1" ht="24" customHeight="1">
      <c r="A139" s="2113"/>
      <c r="B139" s="2114" t="s">
        <v>1340</v>
      </c>
      <c r="C139" s="2115"/>
      <c r="D139" s="2108"/>
      <c r="E139" s="1801"/>
      <c r="F139" s="1262" t="s">
        <v>363</v>
      </c>
      <c r="G139" s="1836">
        <v>2839</v>
      </c>
      <c r="H139" s="1343">
        <f t="shared" si="37"/>
        <v>0</v>
      </c>
      <c r="I139" s="1344">
        <v>400</v>
      </c>
      <c r="J139" s="1343">
        <f t="shared" si="38"/>
        <v>0</v>
      </c>
      <c r="K139" s="1262">
        <f t="shared" si="39"/>
        <v>0</v>
      </c>
      <c r="L139" s="1262"/>
    </row>
    <row r="140" spans="1:20" s="2116" customFormat="1" ht="24" customHeight="1">
      <c r="A140" s="2113"/>
      <c r="B140" s="2114" t="s">
        <v>1341</v>
      </c>
      <c r="C140" s="2115"/>
      <c r="D140" s="2108"/>
      <c r="E140" s="1801"/>
      <c r="F140" s="1262" t="s">
        <v>363</v>
      </c>
      <c r="G140" s="1836">
        <v>4375</v>
      </c>
      <c r="H140" s="1343">
        <f t="shared" si="37"/>
        <v>0</v>
      </c>
      <c r="I140" s="1344">
        <v>500</v>
      </c>
      <c r="J140" s="1343">
        <f t="shared" si="38"/>
        <v>0</v>
      </c>
      <c r="K140" s="1262">
        <f t="shared" si="39"/>
        <v>0</v>
      </c>
      <c r="L140" s="1262"/>
      <c r="M140" s="2144"/>
      <c r="N140" s="2144"/>
      <c r="O140" s="2144"/>
      <c r="P140" s="2144"/>
      <c r="Q140" s="2144"/>
      <c r="R140" s="2144"/>
      <c r="S140" s="2144"/>
      <c r="T140" s="2144"/>
    </row>
    <row r="141" spans="1:20" s="2116" customFormat="1" ht="24" customHeight="1">
      <c r="A141" s="2113"/>
      <c r="B141" s="2153" t="s">
        <v>1834</v>
      </c>
      <c r="C141" s="2115"/>
      <c r="D141" s="2108"/>
      <c r="E141" s="2091">
        <v>6</v>
      </c>
      <c r="F141" s="1262" t="s">
        <v>363</v>
      </c>
      <c r="G141" s="1836">
        <v>4489</v>
      </c>
      <c r="H141" s="1343">
        <f>ROUND(E141*G141,)</f>
        <v>26934</v>
      </c>
      <c r="I141" s="1344">
        <v>600</v>
      </c>
      <c r="J141" s="1343">
        <f>ROUND(E141*I141,)</f>
        <v>3600</v>
      </c>
      <c r="K141" s="1262">
        <f>H141+J141</f>
        <v>30534</v>
      </c>
      <c r="L141" s="1262"/>
    </row>
    <row r="142" spans="1:20" s="2116" customFormat="1" ht="24" customHeight="1">
      <c r="A142" s="2113"/>
      <c r="B142" s="2114" t="s">
        <v>1759</v>
      </c>
      <c r="C142" s="2115"/>
      <c r="D142" s="2108"/>
      <c r="E142" s="1801"/>
      <c r="F142" s="1262" t="s">
        <v>363</v>
      </c>
      <c r="G142" s="1836">
        <v>6528</v>
      </c>
      <c r="H142" s="1343">
        <f>ROUND(E142*G142,)</f>
        <v>0</v>
      </c>
      <c r="I142" s="1344">
        <v>800</v>
      </c>
      <c r="J142" s="1343">
        <f>ROUND(E142*I142,)</f>
        <v>0</v>
      </c>
      <c r="K142" s="1262">
        <f>H142+J142</f>
        <v>0</v>
      </c>
      <c r="L142" s="1262"/>
    </row>
    <row r="143" spans="1:20" s="1765" customFormat="1" ht="24" customHeight="1">
      <c r="A143" s="2113" t="s">
        <v>2227</v>
      </c>
      <c r="B143" s="2114" t="s">
        <v>2069</v>
      </c>
      <c r="C143" s="2115"/>
      <c r="D143" s="2108"/>
      <c r="E143" s="1801"/>
      <c r="F143" s="1262"/>
      <c r="G143" s="1836"/>
      <c r="H143" s="1343"/>
      <c r="I143" s="1344"/>
      <c r="J143" s="1343"/>
      <c r="K143" s="1262"/>
      <c r="L143" s="1262"/>
    </row>
    <row r="144" spans="1:20" s="1765" customFormat="1" ht="24" customHeight="1">
      <c r="A144" s="2113"/>
      <c r="B144" s="2114" t="s">
        <v>1338</v>
      </c>
      <c r="C144" s="2115"/>
      <c r="D144" s="2108"/>
      <c r="E144" s="1801"/>
      <c r="F144" s="1262" t="s">
        <v>363</v>
      </c>
      <c r="G144" s="1515">
        <v>1863</v>
      </c>
      <c r="H144" s="1343">
        <f t="shared" ref="H144:H145" si="40">ROUND(E144*G144,)</f>
        <v>0</v>
      </c>
      <c r="I144" s="1344">
        <v>250</v>
      </c>
      <c r="J144" s="1343">
        <f t="shared" ref="J144:J145" si="41">ROUND(E144*I144,)</f>
        <v>0</v>
      </c>
      <c r="K144" s="1262">
        <f t="shared" ref="K144:K145" si="42">H144+J144</f>
        <v>0</v>
      </c>
      <c r="L144" s="1262"/>
    </row>
    <row r="145" spans="1:12" s="1765" customFormat="1" ht="24" customHeight="1">
      <c r="A145" s="2113"/>
      <c r="B145" s="2114" t="s">
        <v>1339</v>
      </c>
      <c r="C145" s="2115"/>
      <c r="D145" s="2108"/>
      <c r="E145" s="1801"/>
      <c r="F145" s="1262" t="s">
        <v>363</v>
      </c>
      <c r="G145" s="1515">
        <v>2130</v>
      </c>
      <c r="H145" s="1343">
        <f t="shared" si="40"/>
        <v>0</v>
      </c>
      <c r="I145" s="1344">
        <v>300</v>
      </c>
      <c r="J145" s="1343">
        <f t="shared" si="41"/>
        <v>0</v>
      </c>
      <c r="K145" s="1262">
        <f t="shared" si="42"/>
        <v>0</v>
      </c>
      <c r="L145" s="1262"/>
    </row>
    <row r="146" spans="1:12" s="2116" customFormat="1" ht="24" customHeight="1">
      <c r="A146" s="2113"/>
      <c r="B146" s="2153" t="s">
        <v>1856</v>
      </c>
      <c r="C146" s="2115"/>
      <c r="D146" s="2108"/>
      <c r="E146" s="2091"/>
      <c r="F146" s="1262" t="s">
        <v>363</v>
      </c>
      <c r="G146" s="1515">
        <v>3876</v>
      </c>
      <c r="H146" s="1343">
        <f>ROUND(E146*G146,)</f>
        <v>0</v>
      </c>
      <c r="I146" s="1344">
        <v>500</v>
      </c>
      <c r="J146" s="1343">
        <f>ROUND(E146*I146,)</f>
        <v>0</v>
      </c>
      <c r="K146" s="1262">
        <f>H146+J146</f>
        <v>0</v>
      </c>
      <c r="L146" s="1262"/>
    </row>
    <row r="147" spans="1:12" s="2116" customFormat="1" ht="24" customHeight="1">
      <c r="A147" s="2113"/>
      <c r="B147" s="2153" t="s">
        <v>1834</v>
      </c>
      <c r="C147" s="2115"/>
      <c r="D147" s="2108"/>
      <c r="E147" s="2091">
        <v>12</v>
      </c>
      <c r="F147" s="1262" t="s">
        <v>363</v>
      </c>
      <c r="G147" s="1515">
        <v>4175</v>
      </c>
      <c r="H147" s="1343">
        <f>ROUND(E147*G147,)</f>
        <v>50100</v>
      </c>
      <c r="I147" s="1344">
        <v>600</v>
      </c>
      <c r="J147" s="1343">
        <f>ROUND(E147*I147,)</f>
        <v>7200</v>
      </c>
      <c r="K147" s="1262">
        <f>H147+J147</f>
        <v>57300</v>
      </c>
      <c r="L147" s="1262"/>
    </row>
    <row r="148" spans="1:12" s="2116" customFormat="1" ht="24" customHeight="1">
      <c r="A148" s="2113"/>
      <c r="B148" s="2114" t="s">
        <v>1759</v>
      </c>
      <c r="C148" s="2115"/>
      <c r="D148" s="2108"/>
      <c r="E148" s="1801"/>
      <c r="F148" s="1262" t="s">
        <v>363</v>
      </c>
      <c r="G148" s="1836">
        <v>5541</v>
      </c>
      <c r="H148" s="1343">
        <f>ROUND(E148*G148,)</f>
        <v>0</v>
      </c>
      <c r="I148" s="1344">
        <v>800</v>
      </c>
      <c r="J148" s="1343">
        <f t="shared" ref="J148:J149" si="43">ROUND(E148*I148,)</f>
        <v>0</v>
      </c>
      <c r="K148" s="1262">
        <f t="shared" ref="K148:K149" si="44">H148+J148</f>
        <v>0</v>
      </c>
      <c r="L148" s="1262"/>
    </row>
    <row r="149" spans="1:12" s="2116" customFormat="1" ht="24" customHeight="1">
      <c r="A149" s="2113"/>
      <c r="B149" s="2114" t="s">
        <v>1866</v>
      </c>
      <c r="C149" s="2115"/>
      <c r="D149" s="2108"/>
      <c r="E149" s="1801"/>
      <c r="F149" s="1262"/>
      <c r="G149" s="1836">
        <v>18915</v>
      </c>
      <c r="H149" s="1343">
        <f>ROUND(E149*G149,)</f>
        <v>0</v>
      </c>
      <c r="I149" s="1344">
        <v>2000</v>
      </c>
      <c r="J149" s="1343">
        <f t="shared" si="43"/>
        <v>0</v>
      </c>
      <c r="K149" s="1262">
        <f t="shared" si="44"/>
        <v>0</v>
      </c>
      <c r="L149" s="1262"/>
    </row>
    <row r="150" spans="1:12" s="2116" customFormat="1" ht="24" customHeight="1">
      <c r="A150" s="2113" t="s">
        <v>2883</v>
      </c>
      <c r="B150" s="2114" t="s">
        <v>2728</v>
      </c>
      <c r="C150" s="2115"/>
      <c r="D150" s="2108"/>
      <c r="E150" s="1801"/>
      <c r="F150" s="1262"/>
      <c r="G150" s="1515"/>
      <c r="H150" s="1343"/>
      <c r="I150" s="1344"/>
      <c r="J150" s="1343"/>
      <c r="K150" s="1262"/>
      <c r="L150" s="1262"/>
    </row>
    <row r="151" spans="1:12" s="2116" customFormat="1" ht="24" customHeight="1">
      <c r="A151" s="2113"/>
      <c r="B151" s="2153" t="s">
        <v>1865</v>
      </c>
      <c r="C151" s="2115"/>
      <c r="D151" s="2108"/>
      <c r="E151" s="2091">
        <v>6</v>
      </c>
      <c r="F151" s="1262" t="s">
        <v>363</v>
      </c>
      <c r="G151" s="1515">
        <v>300</v>
      </c>
      <c r="H151" s="1343">
        <f>ROUND(E151*G151,)</f>
        <v>1800</v>
      </c>
      <c r="I151" s="1344">
        <v>200</v>
      </c>
      <c r="J151" s="1343">
        <f>ROUND(E151*I151,)</f>
        <v>1200</v>
      </c>
      <c r="K151" s="1262">
        <f>H151+J151</f>
        <v>3000</v>
      </c>
      <c r="L151" s="1262"/>
    </row>
    <row r="152" spans="1:12" s="1765" customFormat="1" ht="24" customHeight="1">
      <c r="A152" s="2113" t="s">
        <v>2884</v>
      </c>
      <c r="B152" s="2114" t="s">
        <v>1730</v>
      </c>
      <c r="C152" s="2115"/>
      <c r="D152" s="2108"/>
      <c r="E152" s="1801"/>
      <c r="F152" s="1262"/>
      <c r="G152" s="1515"/>
      <c r="H152" s="1343"/>
      <c r="I152" s="1344"/>
      <c r="J152" s="1343"/>
      <c r="K152" s="1262"/>
      <c r="L152" s="1262"/>
    </row>
    <row r="153" spans="1:12" s="2116" customFormat="1" ht="24" customHeight="1">
      <c r="A153" s="2113"/>
      <c r="B153" s="2114" t="s">
        <v>1337</v>
      </c>
      <c r="C153" s="2115"/>
      <c r="D153" s="2108"/>
      <c r="E153" s="1801">
        <v>6</v>
      </c>
      <c r="F153" s="1262" t="s">
        <v>363</v>
      </c>
      <c r="G153" s="1515">
        <v>2400</v>
      </c>
      <c r="H153" s="1343">
        <f t="shared" ref="H153:H155" si="45">ROUND(E153*G153,)</f>
        <v>14400</v>
      </c>
      <c r="I153" s="1344">
        <v>200</v>
      </c>
      <c r="J153" s="1343">
        <f t="shared" ref="J153:J155" si="46">ROUND(E153*I153,)</f>
        <v>1200</v>
      </c>
      <c r="K153" s="1262">
        <f t="shared" ref="K153:K155" si="47">H153+J153</f>
        <v>15600</v>
      </c>
      <c r="L153" s="1415"/>
    </row>
    <row r="154" spans="1:12" s="2116" customFormat="1" ht="24" customHeight="1">
      <c r="A154" s="2113" t="s">
        <v>2885</v>
      </c>
      <c r="B154" s="2114" t="s">
        <v>1741</v>
      </c>
      <c r="C154" s="2115"/>
      <c r="D154" s="2108"/>
      <c r="E154" s="1801">
        <v>12</v>
      </c>
      <c r="F154" s="1262" t="s">
        <v>363</v>
      </c>
      <c r="G154" s="1515">
        <v>1452</v>
      </c>
      <c r="H154" s="1343">
        <f t="shared" si="45"/>
        <v>17424</v>
      </c>
      <c r="I154" s="1344">
        <v>100</v>
      </c>
      <c r="J154" s="1343">
        <f t="shared" si="46"/>
        <v>1200</v>
      </c>
      <c r="K154" s="1262">
        <f t="shared" si="47"/>
        <v>18624</v>
      </c>
      <c r="L154" s="1262"/>
    </row>
    <row r="155" spans="1:12" s="2116" customFormat="1" ht="24" customHeight="1">
      <c r="A155" s="2113" t="s">
        <v>2886</v>
      </c>
      <c r="B155" s="2114" t="s">
        <v>1987</v>
      </c>
      <c r="C155" s="2115"/>
      <c r="D155" s="2108"/>
      <c r="E155" s="1801">
        <v>12</v>
      </c>
      <c r="F155" s="1262" t="s">
        <v>363</v>
      </c>
      <c r="G155" s="1515">
        <v>1590</v>
      </c>
      <c r="H155" s="1343">
        <f t="shared" si="45"/>
        <v>19080</v>
      </c>
      <c r="I155" s="1344">
        <v>100</v>
      </c>
      <c r="J155" s="1343">
        <f t="shared" si="46"/>
        <v>1200</v>
      </c>
      <c r="K155" s="1262">
        <f t="shared" si="47"/>
        <v>20280</v>
      </c>
      <c r="L155" s="1262"/>
    </row>
    <row r="156" spans="1:12" s="1765" customFormat="1" ht="24" customHeight="1">
      <c r="A156" s="2113"/>
      <c r="B156" s="2114" t="s">
        <v>1117</v>
      </c>
      <c r="C156" s="2115"/>
      <c r="D156" s="2108"/>
      <c r="E156" s="1801"/>
      <c r="F156" s="1262"/>
      <c r="G156" s="1515"/>
      <c r="H156" s="1343"/>
      <c r="I156" s="1344"/>
      <c r="J156" s="1343"/>
      <c r="K156" s="1262"/>
      <c r="L156" s="1262"/>
    </row>
    <row r="157" spans="1:12" s="1765" customFormat="1" ht="24" customHeight="1">
      <c r="A157" s="2113"/>
      <c r="B157" s="2114" t="s">
        <v>1118</v>
      </c>
      <c r="C157" s="2115"/>
      <c r="D157" s="2108"/>
      <c r="E157" s="1801"/>
      <c r="F157" s="1262"/>
      <c r="G157" s="1515"/>
      <c r="H157" s="1343"/>
      <c r="I157" s="1344"/>
      <c r="J157" s="1343"/>
      <c r="K157" s="1262"/>
      <c r="L157" s="1262"/>
    </row>
    <row r="158" spans="1:12" s="1765" customFormat="1" ht="24" customHeight="1">
      <c r="A158" s="1791"/>
      <c r="B158" s="1792"/>
      <c r="C158" s="1702"/>
      <c r="D158" s="1486"/>
      <c r="E158" s="1793"/>
      <c r="F158" s="1487"/>
      <c r="G158" s="1864"/>
      <c r="H158" s="1425"/>
      <c r="I158" s="1488"/>
      <c r="J158" s="1425"/>
      <c r="K158" s="1426"/>
      <c r="L158" s="1426"/>
    </row>
    <row r="159" spans="1:12" s="1765" customFormat="1" ht="24" customHeight="1">
      <c r="A159" s="1578"/>
      <c r="B159" s="2257" t="str">
        <f>"รวมราคารายการที่ "&amp;A123</f>
        <v>รวมราคารายการที่ 7.6</v>
      </c>
      <c r="C159" s="2258"/>
      <c r="D159" s="2259"/>
      <c r="E159" s="1579"/>
      <c r="F159" s="1579"/>
      <c r="G159" s="1580"/>
      <c r="H159" s="1581">
        <f>SUM(H124:H158)</f>
        <v>155646</v>
      </c>
      <c r="I159" s="1582"/>
      <c r="J159" s="1581">
        <f>SUM(J124:J158)</f>
        <v>22800</v>
      </c>
      <c r="K159" s="1581">
        <f>SUM(K124:K158)</f>
        <v>178446</v>
      </c>
      <c r="L159" s="1583"/>
    </row>
    <row r="160" spans="1:12" s="1765" customFormat="1" ht="24" customHeight="1">
      <c r="A160" s="1847" t="s">
        <v>2308</v>
      </c>
      <c r="B160" s="1848" t="s">
        <v>2177</v>
      </c>
      <c r="C160" s="1849"/>
      <c r="D160" s="1354"/>
      <c r="E160" s="1802"/>
      <c r="F160" s="1356"/>
      <c r="G160" s="1803"/>
      <c r="H160" s="1369"/>
      <c r="I160" s="1370"/>
      <c r="J160" s="1369"/>
      <c r="K160" s="1356"/>
      <c r="L160" s="1356"/>
    </row>
    <row r="161" spans="1:16" s="1765" customFormat="1" ht="24" customHeight="1">
      <c r="A161" s="2113" t="s">
        <v>2084</v>
      </c>
      <c r="B161" s="2149" t="s">
        <v>2729</v>
      </c>
      <c r="C161" s="2115"/>
      <c r="D161" s="2150"/>
      <c r="E161" s="1802"/>
      <c r="F161" s="1356"/>
      <c r="G161" s="1803"/>
      <c r="H161" s="1369"/>
      <c r="I161" s="1370"/>
      <c r="J161" s="1369"/>
      <c r="K161" s="1356"/>
      <c r="L161" s="1356"/>
    </row>
    <row r="162" spans="1:16" s="1765" customFormat="1" ht="24" customHeight="1">
      <c r="A162" s="2113"/>
      <c r="B162" s="2107" t="s">
        <v>2730</v>
      </c>
      <c r="C162" s="2115"/>
      <c r="D162" s="2108"/>
      <c r="E162" s="1801">
        <v>1</v>
      </c>
      <c r="F162" s="1262" t="s">
        <v>363</v>
      </c>
      <c r="G162" s="1515">
        <v>89000</v>
      </c>
      <c r="H162" s="1413">
        <f t="shared" ref="H162:H167" si="48">ROUND(E162*G162,)</f>
        <v>89000</v>
      </c>
      <c r="I162" s="1515">
        <f>G162*0.1</f>
        <v>8900</v>
      </c>
      <c r="J162" s="1413">
        <f t="shared" ref="J162:J167" si="49">ROUND(E162*I162,)</f>
        <v>8900</v>
      </c>
      <c r="K162" s="1415">
        <f t="shared" ref="K162:K167" si="50">H162+J162</f>
        <v>97900</v>
      </c>
      <c r="L162" s="1262"/>
    </row>
    <row r="163" spans="1:16" s="1765" customFormat="1" ht="24" customHeight="1">
      <c r="A163" s="2113"/>
      <c r="B163" s="2107" t="s">
        <v>2731</v>
      </c>
      <c r="C163" s="2115"/>
      <c r="D163" s="2108"/>
      <c r="E163" s="1801">
        <v>1</v>
      </c>
      <c r="F163" s="1262" t="s">
        <v>363</v>
      </c>
      <c r="G163" s="1515">
        <v>89000</v>
      </c>
      <c r="H163" s="1413">
        <f t="shared" si="48"/>
        <v>89000</v>
      </c>
      <c r="I163" s="1515">
        <f t="shared" ref="I163:I167" si="51">G163*0.1</f>
        <v>8900</v>
      </c>
      <c r="J163" s="1413">
        <f t="shared" si="49"/>
        <v>8900</v>
      </c>
      <c r="K163" s="1415">
        <f t="shared" si="50"/>
        <v>97900</v>
      </c>
      <c r="L163" s="1262"/>
    </row>
    <row r="164" spans="1:16" s="1765" customFormat="1" ht="24" customHeight="1">
      <c r="A164" s="2113"/>
      <c r="B164" s="2107" t="s">
        <v>2732</v>
      </c>
      <c r="C164" s="2115"/>
      <c r="D164" s="2108"/>
      <c r="E164" s="1801">
        <v>1</v>
      </c>
      <c r="F164" s="1262" t="s">
        <v>363</v>
      </c>
      <c r="G164" s="1515">
        <v>89000</v>
      </c>
      <c r="H164" s="1413">
        <f t="shared" si="48"/>
        <v>89000</v>
      </c>
      <c r="I164" s="1515">
        <f t="shared" si="51"/>
        <v>8900</v>
      </c>
      <c r="J164" s="1413">
        <f t="shared" si="49"/>
        <v>8900</v>
      </c>
      <c r="K164" s="1415">
        <f t="shared" si="50"/>
        <v>97900</v>
      </c>
      <c r="L164" s="1262"/>
    </row>
    <row r="165" spans="1:16" s="2116" customFormat="1" ht="24" customHeight="1">
      <c r="A165" s="2113"/>
      <c r="B165" s="2107" t="s">
        <v>2754</v>
      </c>
      <c r="C165" s="2115"/>
      <c r="D165" s="2108"/>
      <c r="E165" s="1801">
        <v>1</v>
      </c>
      <c r="F165" s="1262" t="s">
        <v>363</v>
      </c>
      <c r="G165" s="1515">
        <v>89000</v>
      </c>
      <c r="H165" s="1413">
        <f t="shared" si="48"/>
        <v>89000</v>
      </c>
      <c r="I165" s="1515">
        <f t="shared" si="51"/>
        <v>8900</v>
      </c>
      <c r="J165" s="1413">
        <f t="shared" si="49"/>
        <v>8900</v>
      </c>
      <c r="K165" s="1415">
        <f t="shared" si="50"/>
        <v>97900</v>
      </c>
      <c r="L165" s="1262"/>
    </row>
    <row r="166" spans="1:16" s="2116" customFormat="1" ht="24" customHeight="1">
      <c r="A166" s="2113"/>
      <c r="B166" s="2107" t="s">
        <v>2755</v>
      </c>
      <c r="C166" s="2115"/>
      <c r="D166" s="2108"/>
      <c r="E166" s="1801">
        <v>1</v>
      </c>
      <c r="F166" s="1262" t="s">
        <v>363</v>
      </c>
      <c r="G166" s="1515">
        <v>89000</v>
      </c>
      <c r="H166" s="1413">
        <f t="shared" si="48"/>
        <v>89000</v>
      </c>
      <c r="I166" s="1515">
        <f t="shared" si="51"/>
        <v>8900</v>
      </c>
      <c r="J166" s="1413">
        <f t="shared" si="49"/>
        <v>8900</v>
      </c>
      <c r="K166" s="1415">
        <f t="shared" si="50"/>
        <v>97900</v>
      </c>
      <c r="L166" s="1262"/>
    </row>
    <row r="167" spans="1:16" s="2116" customFormat="1" ht="24" customHeight="1">
      <c r="A167" s="2113"/>
      <c r="B167" s="2107" t="s">
        <v>2756</v>
      </c>
      <c r="C167" s="2115"/>
      <c r="D167" s="2108"/>
      <c r="E167" s="1801">
        <v>1</v>
      </c>
      <c r="F167" s="1262" t="s">
        <v>363</v>
      </c>
      <c r="G167" s="1515">
        <v>89000</v>
      </c>
      <c r="H167" s="1413">
        <f t="shared" si="48"/>
        <v>89000</v>
      </c>
      <c r="I167" s="1515">
        <f t="shared" si="51"/>
        <v>8900</v>
      </c>
      <c r="J167" s="1413">
        <f t="shared" si="49"/>
        <v>8900</v>
      </c>
      <c r="K167" s="1415">
        <f t="shared" si="50"/>
        <v>97900</v>
      </c>
      <c r="L167" s="1262"/>
    </row>
    <row r="168" spans="1:16" s="1765" customFormat="1" ht="24" customHeight="1">
      <c r="A168" s="2113" t="s">
        <v>2089</v>
      </c>
      <c r="B168" s="2149" t="s">
        <v>1355</v>
      </c>
      <c r="C168" s="2115"/>
      <c r="D168" s="2150"/>
      <c r="E168" s="1801"/>
      <c r="F168" s="1356"/>
      <c r="G168" s="1515"/>
      <c r="H168" s="1369"/>
      <c r="I168" s="1370"/>
      <c r="J168" s="1369"/>
      <c r="K168" s="1356"/>
      <c r="L168" s="1356"/>
    </row>
    <row r="169" spans="1:16" s="1765" customFormat="1" ht="24" customHeight="1">
      <c r="A169" s="2113"/>
      <c r="B169" s="2149" t="s">
        <v>1811</v>
      </c>
      <c r="C169" s="2115"/>
      <c r="D169" s="2150"/>
      <c r="E169" s="1801">
        <v>855</v>
      </c>
      <c r="F169" s="1356" t="s">
        <v>226</v>
      </c>
      <c r="G169" s="1386">
        <v>9</v>
      </c>
      <c r="H169" s="1343">
        <f t="shared" ref="H169:H170" si="52">ROUND(E169*G169,)</f>
        <v>7695</v>
      </c>
      <c r="I169" s="1344">
        <v>7</v>
      </c>
      <c r="J169" s="1413">
        <f t="shared" ref="J169:J170" si="53">ROUND(E169*I169,)</f>
        <v>5985</v>
      </c>
      <c r="K169" s="1415">
        <f t="shared" ref="K169:K170" si="54">H169+J169</f>
        <v>13680</v>
      </c>
      <c r="L169" s="2151" t="s">
        <v>2667</v>
      </c>
      <c r="N169" s="1854">
        <v>912.1</v>
      </c>
      <c r="O169" s="1854">
        <f t="shared" ref="O169:O170" si="55">ROUND(N169/100,)</f>
        <v>9</v>
      </c>
    </row>
    <row r="170" spans="1:16" s="2116" customFormat="1" ht="24" customHeight="1">
      <c r="A170" s="2113"/>
      <c r="B170" s="2107" t="s">
        <v>1317</v>
      </c>
      <c r="C170" s="2115"/>
      <c r="D170" s="2108"/>
      <c r="E170" s="1801">
        <f>4*5*1.5*6</f>
        <v>180</v>
      </c>
      <c r="F170" s="1262" t="s">
        <v>226</v>
      </c>
      <c r="G170" s="1386">
        <v>23</v>
      </c>
      <c r="H170" s="1343">
        <f t="shared" si="52"/>
        <v>4140</v>
      </c>
      <c r="I170" s="1344">
        <v>12</v>
      </c>
      <c r="J170" s="1343">
        <f t="shared" si="53"/>
        <v>2160</v>
      </c>
      <c r="K170" s="1262">
        <f t="shared" si="54"/>
        <v>6300</v>
      </c>
      <c r="L170" s="2151" t="s">
        <v>2667</v>
      </c>
      <c r="N170" s="2117">
        <v>2264.1999999999998</v>
      </c>
      <c r="O170" s="2117">
        <f t="shared" si="55"/>
        <v>23</v>
      </c>
      <c r="P170" s="2117"/>
    </row>
    <row r="171" spans="1:16" s="1765" customFormat="1" ht="24" customHeight="1">
      <c r="A171" s="2113" t="s">
        <v>2266</v>
      </c>
      <c r="B171" s="2149" t="s">
        <v>1110</v>
      </c>
      <c r="C171" s="2115"/>
      <c r="D171" s="2150"/>
      <c r="E171" s="1801"/>
      <c r="F171" s="1356"/>
      <c r="G171" s="1515"/>
      <c r="H171" s="1369"/>
      <c r="I171" s="1370"/>
      <c r="J171" s="1369"/>
      <c r="K171" s="1356"/>
      <c r="L171" s="1356"/>
    </row>
    <row r="172" spans="1:16" s="1765" customFormat="1" ht="24" customHeight="1">
      <c r="A172" s="2113"/>
      <c r="B172" s="2149" t="s">
        <v>1350</v>
      </c>
      <c r="C172" s="2115"/>
      <c r="D172" s="2150"/>
      <c r="E172" s="1801">
        <v>240</v>
      </c>
      <c r="F172" s="1356" t="s">
        <v>226</v>
      </c>
      <c r="G172" s="1515">
        <v>56</v>
      </c>
      <c r="H172" s="1343">
        <f t="shared" ref="H172:H174" si="56">ROUND(E172*G172,)</f>
        <v>13440</v>
      </c>
      <c r="I172" s="1344">
        <v>26</v>
      </c>
      <c r="J172" s="1413">
        <f t="shared" ref="J172:J174" si="57">ROUND(E172*I172,)</f>
        <v>6240</v>
      </c>
      <c r="K172" s="1415">
        <f t="shared" ref="K172:K174" si="58">H172+J172</f>
        <v>19680</v>
      </c>
      <c r="L172" s="2152" t="s">
        <v>2667</v>
      </c>
      <c r="M172" s="2002"/>
      <c r="N172" s="1765">
        <v>169.2</v>
      </c>
      <c r="O172" s="1765">
        <f t="shared" ref="O172:O173" si="59">ROUND(N172/3,)</f>
        <v>56</v>
      </c>
    </row>
    <row r="173" spans="1:16" s="2116" customFormat="1" ht="24" customHeight="1">
      <c r="A173" s="2113"/>
      <c r="B173" s="2107" t="s">
        <v>1448</v>
      </c>
      <c r="C173" s="2115"/>
      <c r="D173" s="2108"/>
      <c r="E173" s="1801">
        <f>E170</f>
        <v>180</v>
      </c>
      <c r="F173" s="1262" t="s">
        <v>226</v>
      </c>
      <c r="G173" s="1515">
        <v>75</v>
      </c>
      <c r="H173" s="1343">
        <f t="shared" si="56"/>
        <v>13500</v>
      </c>
      <c r="I173" s="1344">
        <v>28</v>
      </c>
      <c r="J173" s="1413">
        <f t="shared" si="57"/>
        <v>5040</v>
      </c>
      <c r="K173" s="1415">
        <f t="shared" si="58"/>
        <v>18540</v>
      </c>
      <c r="L173" s="2152" t="s">
        <v>2667</v>
      </c>
      <c r="M173" s="2118"/>
      <c r="N173" s="2116">
        <v>225</v>
      </c>
      <c r="O173" s="2116">
        <f t="shared" si="59"/>
        <v>75</v>
      </c>
      <c r="P173" s="2117"/>
    </row>
    <row r="174" spans="1:16" s="1765" customFormat="1" ht="24" customHeight="1">
      <c r="A174" s="2113"/>
      <c r="B174" s="2149" t="s">
        <v>1384</v>
      </c>
      <c r="C174" s="2115"/>
      <c r="D174" s="2150"/>
      <c r="E174" s="1801">
        <v>1</v>
      </c>
      <c r="F174" s="1356" t="s">
        <v>1104</v>
      </c>
      <c r="G174" s="1515">
        <f>SUM(H172:H173)*15%</f>
        <v>4041</v>
      </c>
      <c r="H174" s="820">
        <f t="shared" si="56"/>
        <v>4041</v>
      </c>
      <c r="I174" s="1414">
        <f>G174*0.3</f>
        <v>1212.3</v>
      </c>
      <c r="J174" s="820">
        <f t="shared" si="57"/>
        <v>1212</v>
      </c>
      <c r="K174" s="1457">
        <f t="shared" si="58"/>
        <v>5253</v>
      </c>
      <c r="L174" s="1356"/>
    </row>
    <row r="175" spans="1:16" s="1765" customFormat="1" ht="24" customHeight="1">
      <c r="A175" s="2113"/>
      <c r="B175" s="2107" t="s">
        <v>1117</v>
      </c>
      <c r="C175" s="2115"/>
      <c r="D175" s="2108"/>
      <c r="E175" s="1801"/>
      <c r="F175" s="1262"/>
      <c r="G175" s="1515"/>
      <c r="H175" s="1343"/>
      <c r="I175" s="1344"/>
      <c r="J175" s="1343"/>
      <c r="K175" s="1262"/>
      <c r="L175" s="1262"/>
    </row>
    <row r="176" spans="1:16" s="1765" customFormat="1" ht="24" customHeight="1">
      <c r="A176" s="1804"/>
      <c r="B176" s="1780"/>
      <c r="C176" s="1800"/>
      <c r="D176" s="1260"/>
      <c r="E176" s="1801"/>
      <c r="F176" s="1262"/>
      <c r="G176" s="1515"/>
      <c r="H176" s="1343"/>
      <c r="I176" s="1344"/>
      <c r="J176" s="1343"/>
      <c r="K176" s="1262"/>
      <c r="L176" s="1262"/>
    </row>
    <row r="177" spans="1:12" s="1765" customFormat="1" ht="24" customHeight="1">
      <c r="A177" s="1804"/>
      <c r="B177" s="1780"/>
      <c r="C177" s="1800"/>
      <c r="D177" s="1260"/>
      <c r="E177" s="1801"/>
      <c r="F177" s="1262"/>
      <c r="G177" s="1515"/>
      <c r="H177" s="1343"/>
      <c r="I177" s="1344"/>
      <c r="J177" s="1343"/>
      <c r="K177" s="1262"/>
      <c r="L177" s="1262"/>
    </row>
    <row r="178" spans="1:12" s="1765" customFormat="1" ht="24" customHeight="1">
      <c r="A178" s="1865"/>
      <c r="B178" s="1799"/>
      <c r="C178" s="1866"/>
      <c r="D178" s="1375"/>
      <c r="E178" s="1867"/>
      <c r="F178" s="1377"/>
      <c r="G178" s="1868"/>
      <c r="H178" s="1379"/>
      <c r="I178" s="1380"/>
      <c r="J178" s="1379"/>
      <c r="K178" s="1377"/>
      <c r="L178" s="1377"/>
    </row>
    <row r="179" spans="1:12" s="1765" customFormat="1" ht="24" customHeight="1">
      <c r="A179" s="1865"/>
      <c r="B179" s="1799"/>
      <c r="C179" s="1866"/>
      <c r="D179" s="1375"/>
      <c r="E179" s="1867"/>
      <c r="F179" s="1377"/>
      <c r="G179" s="1868"/>
      <c r="H179" s="1379"/>
      <c r="I179" s="1380"/>
      <c r="J179" s="1379"/>
      <c r="K179" s="1377"/>
      <c r="L179" s="1377"/>
    </row>
    <row r="180" spans="1:12" s="1765" customFormat="1" ht="24" customHeight="1">
      <c r="A180" s="1865"/>
      <c r="B180" s="1799"/>
      <c r="C180" s="1866"/>
      <c r="D180" s="1375"/>
      <c r="E180" s="1867"/>
      <c r="F180" s="1377"/>
      <c r="G180" s="1868"/>
      <c r="H180" s="1379"/>
      <c r="I180" s="1380"/>
      <c r="J180" s="1379"/>
      <c r="K180" s="1377"/>
      <c r="L180" s="1377"/>
    </row>
    <row r="181" spans="1:12" s="1765" customFormat="1" ht="24" customHeight="1">
      <c r="A181" s="1865"/>
      <c r="B181" s="1799"/>
      <c r="C181" s="1866"/>
      <c r="D181" s="1375"/>
      <c r="E181" s="1867"/>
      <c r="F181" s="1377"/>
      <c r="G181" s="1868"/>
      <c r="H181" s="1379"/>
      <c r="I181" s="1380"/>
      <c r="J181" s="1379"/>
      <c r="K181" s="1377"/>
      <c r="L181" s="1377"/>
    </row>
    <row r="182" spans="1:12" s="1765" customFormat="1" ht="24" customHeight="1">
      <c r="A182" s="1865"/>
      <c r="B182" s="1799"/>
      <c r="C182" s="1866"/>
      <c r="D182" s="1375"/>
      <c r="E182" s="1867"/>
      <c r="F182" s="1377"/>
      <c r="G182" s="1868"/>
      <c r="H182" s="1379"/>
      <c r="I182" s="1380"/>
      <c r="J182" s="1379"/>
      <c r="K182" s="1377"/>
      <c r="L182" s="1377"/>
    </row>
    <row r="183" spans="1:12" s="1765" customFormat="1" ht="24" customHeight="1">
      <c r="A183" s="1865"/>
      <c r="B183" s="1799"/>
      <c r="C183" s="1866"/>
      <c r="D183" s="1375"/>
      <c r="E183" s="1867"/>
      <c r="F183" s="1377"/>
      <c r="G183" s="1868"/>
      <c r="H183" s="1379"/>
      <c r="I183" s="1380"/>
      <c r="J183" s="1379"/>
      <c r="K183" s="1377"/>
      <c r="L183" s="1377"/>
    </row>
    <row r="184" spans="1:12" s="1765" customFormat="1" ht="24" customHeight="1">
      <c r="A184" s="1578"/>
      <c r="B184" s="2257" t="str">
        <f>"รวมราคารายการที่ "&amp;A160</f>
        <v>รวมราคารายการที่ 7.7</v>
      </c>
      <c r="C184" s="2258"/>
      <c r="D184" s="2259"/>
      <c r="E184" s="1579"/>
      <c r="F184" s="1579"/>
      <c r="G184" s="1580"/>
      <c r="H184" s="1581">
        <f>SUM(H160:H183)</f>
        <v>576816</v>
      </c>
      <c r="I184" s="1582"/>
      <c r="J184" s="1581">
        <f>SUM(J160:J183)</f>
        <v>74037</v>
      </c>
      <c r="K184" s="1581">
        <f>SUM(K160:K183)</f>
        <v>650853</v>
      </c>
      <c r="L184" s="1583"/>
    </row>
    <row r="185" spans="1:12" s="1765" customFormat="1" ht="24" customHeight="1">
      <c r="A185" s="1291" t="s">
        <v>2091</v>
      </c>
      <c r="B185" s="1776" t="s">
        <v>2109</v>
      </c>
      <c r="C185" s="1293"/>
      <c r="D185" s="1294"/>
      <c r="E185" s="1786"/>
      <c r="F185" s="1296"/>
      <c r="G185" s="1357"/>
      <c r="H185" s="1298"/>
      <c r="I185" s="1299"/>
      <c r="J185" s="1298"/>
      <c r="K185" s="1382"/>
      <c r="L185" s="1382"/>
    </row>
    <row r="186" spans="1:12" s="1765" customFormat="1" ht="24" customHeight="1">
      <c r="A186" s="1766" t="s">
        <v>2093</v>
      </c>
      <c r="B186" s="1799" t="s">
        <v>2111</v>
      </c>
      <c r="C186" s="1800"/>
      <c r="D186" s="1375"/>
      <c r="E186" s="1802"/>
      <c r="F186" s="1356" t="s">
        <v>363</v>
      </c>
      <c r="G186" s="1803">
        <v>690000</v>
      </c>
      <c r="H186" s="1343">
        <f t="shared" ref="H186" si="60">ROUND(E186*G186,)</f>
        <v>0</v>
      </c>
      <c r="I186" s="1370">
        <v>17250</v>
      </c>
      <c r="J186" s="1343">
        <f t="shared" ref="J186:J193" si="61">ROUND(E186*I186,)</f>
        <v>0</v>
      </c>
      <c r="K186" s="1262">
        <f t="shared" ref="K186:K193" si="62">H186+J186</f>
        <v>0</v>
      </c>
      <c r="L186" s="1356"/>
    </row>
    <row r="187" spans="1:12" s="1765" customFormat="1" ht="24" customHeight="1">
      <c r="A187" s="1766" t="s">
        <v>2096</v>
      </c>
      <c r="B187" s="1799" t="s">
        <v>2113</v>
      </c>
      <c r="C187" s="1800"/>
      <c r="D187" s="1375"/>
      <c r="E187" s="1802"/>
      <c r="F187" s="1356" t="s">
        <v>363</v>
      </c>
      <c r="G187" s="1803">
        <v>80000</v>
      </c>
      <c r="H187" s="1343">
        <f>ROUND(E187*G187,)</f>
        <v>0</v>
      </c>
      <c r="I187" s="1370">
        <v>2000</v>
      </c>
      <c r="J187" s="1343">
        <f t="shared" si="61"/>
        <v>0</v>
      </c>
      <c r="K187" s="1262">
        <f t="shared" si="62"/>
        <v>0</v>
      </c>
      <c r="L187" s="1356"/>
    </row>
    <row r="188" spans="1:12" s="1765" customFormat="1" ht="24" customHeight="1">
      <c r="A188" s="1766" t="s">
        <v>2099</v>
      </c>
      <c r="B188" s="1538" t="s">
        <v>1816</v>
      </c>
      <c r="C188" s="1437"/>
      <c r="D188" s="1275"/>
      <c r="E188" s="1768"/>
      <c r="F188" s="1358"/>
      <c r="G188" s="1516">
        <v>950000</v>
      </c>
      <c r="H188" s="1264">
        <f t="shared" ref="H188:H193" si="63">ROUND(E188*G188,)</f>
        <v>0</v>
      </c>
      <c r="I188" s="1265">
        <f>G188*0.015</f>
        <v>14250</v>
      </c>
      <c r="J188" s="1264">
        <f t="shared" si="61"/>
        <v>0</v>
      </c>
      <c r="K188" s="1273">
        <f t="shared" si="62"/>
        <v>0</v>
      </c>
      <c r="L188" s="1273"/>
    </row>
    <row r="189" spans="1:12" s="1765" customFormat="1" ht="24" customHeight="1">
      <c r="A189" s="1766"/>
      <c r="B189" s="1538" t="s">
        <v>2115</v>
      </c>
      <c r="C189" s="1437"/>
      <c r="D189" s="1275"/>
      <c r="E189" s="1768">
        <v>6</v>
      </c>
      <c r="F189" s="1358" t="s">
        <v>363</v>
      </c>
      <c r="G189" s="1515">
        <v>2650</v>
      </c>
      <c r="H189" s="1343">
        <f t="shared" si="63"/>
        <v>15900</v>
      </c>
      <c r="I189" s="1370">
        <v>500</v>
      </c>
      <c r="J189" s="1343">
        <f t="shared" si="61"/>
        <v>3000</v>
      </c>
      <c r="K189" s="1262">
        <f t="shared" si="62"/>
        <v>18900</v>
      </c>
      <c r="L189" s="1273"/>
    </row>
    <row r="190" spans="1:12" s="1765" customFormat="1" ht="24" customHeight="1">
      <c r="A190" s="1766"/>
      <c r="B190" s="1538" t="s">
        <v>2116</v>
      </c>
      <c r="C190" s="1437"/>
      <c r="D190" s="1275"/>
      <c r="E190" s="1768">
        <v>6</v>
      </c>
      <c r="F190" s="1358" t="s">
        <v>363</v>
      </c>
      <c r="G190" s="1515">
        <v>560</v>
      </c>
      <c r="H190" s="1343">
        <f t="shared" si="63"/>
        <v>3360</v>
      </c>
      <c r="I190" s="1370">
        <v>500</v>
      </c>
      <c r="J190" s="1343">
        <f t="shared" si="61"/>
        <v>3000</v>
      </c>
      <c r="K190" s="1262">
        <f t="shared" si="62"/>
        <v>6360</v>
      </c>
      <c r="L190" s="1273"/>
    </row>
    <row r="191" spans="1:12" s="1765" customFormat="1" ht="24" customHeight="1">
      <c r="A191" s="1258"/>
      <c r="B191" s="1538" t="s">
        <v>2117</v>
      </c>
      <c r="C191" s="1437"/>
      <c r="D191" s="1275"/>
      <c r="E191" s="1768"/>
      <c r="F191" s="1358" t="s">
        <v>363</v>
      </c>
      <c r="G191" s="1515">
        <v>1340</v>
      </c>
      <c r="H191" s="1343">
        <f t="shared" si="63"/>
        <v>0</v>
      </c>
      <c r="I191" s="1370">
        <v>500</v>
      </c>
      <c r="J191" s="1343">
        <f t="shared" si="61"/>
        <v>0</v>
      </c>
      <c r="K191" s="1262">
        <f t="shared" si="62"/>
        <v>0</v>
      </c>
      <c r="L191" s="1273"/>
    </row>
    <row r="192" spans="1:12" s="1765" customFormat="1" ht="24" customHeight="1">
      <c r="A192" s="1258"/>
      <c r="B192" s="1538" t="s">
        <v>2118</v>
      </c>
      <c r="C192" s="1437"/>
      <c r="D192" s="1275"/>
      <c r="E192" s="1768"/>
      <c r="F192" s="1358" t="s">
        <v>363</v>
      </c>
      <c r="G192" s="1515">
        <v>760</v>
      </c>
      <c r="H192" s="1343">
        <f t="shared" si="63"/>
        <v>0</v>
      </c>
      <c r="I192" s="1370">
        <v>500</v>
      </c>
      <c r="J192" s="1343">
        <f t="shared" si="61"/>
        <v>0</v>
      </c>
      <c r="K192" s="1262">
        <f t="shared" si="62"/>
        <v>0</v>
      </c>
      <c r="L192" s="1273"/>
    </row>
    <row r="193" spans="1:15" s="1765" customFormat="1" ht="24" customHeight="1">
      <c r="A193" s="1258"/>
      <c r="B193" s="1538" t="s">
        <v>2119</v>
      </c>
      <c r="C193" s="1437"/>
      <c r="D193" s="1275"/>
      <c r="E193" s="1768">
        <v>6</v>
      </c>
      <c r="F193" s="1358" t="s">
        <v>363</v>
      </c>
      <c r="G193" s="1515">
        <v>1340</v>
      </c>
      <c r="H193" s="1343">
        <f t="shared" si="63"/>
        <v>8040</v>
      </c>
      <c r="I193" s="1370">
        <v>500</v>
      </c>
      <c r="J193" s="1343">
        <f t="shared" si="61"/>
        <v>3000</v>
      </c>
      <c r="K193" s="1262">
        <f t="shared" si="62"/>
        <v>11040</v>
      </c>
      <c r="L193" s="1273"/>
    </row>
    <row r="194" spans="1:15" s="1765" customFormat="1" ht="24" customHeight="1">
      <c r="A194" s="1258"/>
      <c r="B194" s="1538" t="s">
        <v>2120</v>
      </c>
      <c r="C194" s="1437"/>
      <c r="D194" s="1275"/>
      <c r="E194" s="1768"/>
      <c r="F194" s="1358" t="s">
        <v>363</v>
      </c>
      <c r="G194" s="1515"/>
      <c r="H194" s="1369"/>
      <c r="I194" s="1370"/>
      <c r="J194" s="1369"/>
      <c r="K194" s="1356"/>
      <c r="L194" s="1273"/>
    </row>
    <row r="195" spans="1:15" s="1765" customFormat="1" ht="24" customHeight="1">
      <c r="A195" s="1258"/>
      <c r="B195" s="1538" t="s">
        <v>2121</v>
      </c>
      <c r="C195" s="1437"/>
      <c r="D195" s="1275"/>
      <c r="E195" s="1768">
        <v>6</v>
      </c>
      <c r="F195" s="1358" t="s">
        <v>363</v>
      </c>
      <c r="G195" s="1515">
        <v>4550</v>
      </c>
      <c r="H195" s="1343">
        <f t="shared" ref="H195" si="64">ROUND(E195*G195,)</f>
        <v>27300</v>
      </c>
      <c r="I195" s="1370">
        <v>1365</v>
      </c>
      <c r="J195" s="1343">
        <f t="shared" ref="J195" si="65">ROUND(E195*I195,)</f>
        <v>8190</v>
      </c>
      <c r="K195" s="1262">
        <f t="shared" ref="K195" si="66">H195+J195</f>
        <v>35490</v>
      </c>
      <c r="L195" s="1273"/>
    </row>
    <row r="196" spans="1:15" s="1765" customFormat="1" ht="24" customHeight="1">
      <c r="A196" s="1766" t="s">
        <v>2104</v>
      </c>
      <c r="B196" s="1538" t="s">
        <v>2122</v>
      </c>
      <c r="C196" s="1437"/>
      <c r="D196" s="1275"/>
      <c r="E196" s="1768"/>
      <c r="F196" s="1358"/>
      <c r="G196" s="1516"/>
      <c r="H196" s="1264"/>
      <c r="I196" s="1265"/>
      <c r="J196" s="1264"/>
      <c r="K196" s="1273"/>
      <c r="L196" s="1273"/>
    </row>
    <row r="197" spans="1:15" s="1765" customFormat="1" ht="24" customHeight="1">
      <c r="A197" s="1258"/>
      <c r="B197" s="1538" t="s">
        <v>2123</v>
      </c>
      <c r="C197" s="1437"/>
      <c r="D197" s="1275"/>
      <c r="E197" s="1801">
        <f>(7*5*5*1*2)*1</f>
        <v>350</v>
      </c>
      <c r="F197" s="1356" t="s">
        <v>226</v>
      </c>
      <c r="G197" s="1515">
        <v>139</v>
      </c>
      <c r="H197" s="1343">
        <f t="shared" ref="H197:H198" si="67">ROUND(E197*G197,)</f>
        <v>48650</v>
      </c>
      <c r="I197" s="1370">
        <v>21</v>
      </c>
      <c r="J197" s="1343">
        <f t="shared" ref="J197:J198" si="68">ROUND(E197*I197,)</f>
        <v>7350</v>
      </c>
      <c r="K197" s="1262">
        <f t="shared" ref="K197:K198" si="69">H197+J197</f>
        <v>56000</v>
      </c>
      <c r="L197" s="1273"/>
    </row>
    <row r="198" spans="1:15" s="1765" customFormat="1" ht="24" customHeight="1">
      <c r="A198" s="1258"/>
      <c r="B198" s="1538" t="s">
        <v>2124</v>
      </c>
      <c r="C198" s="1437"/>
      <c r="D198" s="1275"/>
      <c r="E198" s="1801">
        <f>(4*5*5*2*1)*1</f>
        <v>200</v>
      </c>
      <c r="F198" s="1356" t="s">
        <v>226</v>
      </c>
      <c r="G198" s="1515">
        <v>103</v>
      </c>
      <c r="H198" s="1343">
        <f t="shared" si="67"/>
        <v>20600</v>
      </c>
      <c r="I198" s="1370">
        <v>15</v>
      </c>
      <c r="J198" s="1343">
        <f t="shared" si="68"/>
        <v>3000</v>
      </c>
      <c r="K198" s="1262">
        <f t="shared" si="69"/>
        <v>23600</v>
      </c>
      <c r="L198" s="1273"/>
    </row>
    <row r="199" spans="1:15" s="1765" customFormat="1" ht="24" customHeight="1">
      <c r="A199" s="1258"/>
      <c r="B199" s="1538" t="s">
        <v>1548</v>
      </c>
      <c r="C199" s="1437"/>
      <c r="D199" s="1275"/>
      <c r="E199" s="1768"/>
      <c r="F199" s="1358" t="s">
        <v>226</v>
      </c>
      <c r="G199" s="1516"/>
      <c r="H199" s="1264"/>
      <c r="I199" s="1265"/>
      <c r="J199" s="1264"/>
      <c r="K199" s="1273"/>
      <c r="L199" s="1273"/>
    </row>
    <row r="200" spans="1:15" s="1765" customFormat="1" ht="24" customHeight="1">
      <c r="A200" s="1804"/>
      <c r="B200" s="1799" t="s">
        <v>2125</v>
      </c>
      <c r="C200" s="1800"/>
      <c r="D200" s="1375"/>
      <c r="E200" s="1801"/>
      <c r="F200" s="1356" t="s">
        <v>226</v>
      </c>
      <c r="G200" s="1515">
        <v>24</v>
      </c>
      <c r="H200" s="1343">
        <f t="shared" ref="H200:H202" si="70">ROUND(E200*G200,)</f>
        <v>0</v>
      </c>
      <c r="I200" s="1370">
        <v>8</v>
      </c>
      <c r="J200" s="1343">
        <f t="shared" ref="J200:J202" si="71">ROUND(E200*I200,)</f>
        <v>0</v>
      </c>
      <c r="K200" s="1262">
        <f t="shared" ref="K200:K202" si="72">H200+J200</f>
        <v>0</v>
      </c>
      <c r="L200" s="1356"/>
    </row>
    <row r="201" spans="1:15" s="1765" customFormat="1" ht="24" customHeight="1">
      <c r="A201" s="1804"/>
      <c r="B201" s="1799" t="s">
        <v>2126</v>
      </c>
      <c r="C201" s="1800"/>
      <c r="D201" s="1375"/>
      <c r="E201" s="1801"/>
      <c r="F201" s="1356" t="s">
        <v>226</v>
      </c>
      <c r="G201" s="1515">
        <v>15</v>
      </c>
      <c r="H201" s="1343">
        <f t="shared" si="70"/>
        <v>0</v>
      </c>
      <c r="I201" s="1370">
        <v>5</v>
      </c>
      <c r="J201" s="1343">
        <f t="shared" si="71"/>
        <v>0</v>
      </c>
      <c r="K201" s="1262">
        <f t="shared" si="72"/>
        <v>0</v>
      </c>
      <c r="L201" s="1356"/>
    </row>
    <row r="202" spans="1:15" s="1765" customFormat="1" ht="24" customHeight="1">
      <c r="A202" s="1804"/>
      <c r="B202" s="1799" t="s">
        <v>2127</v>
      </c>
      <c r="C202" s="1800"/>
      <c r="D202" s="1375"/>
      <c r="E202" s="1801">
        <v>1</v>
      </c>
      <c r="F202" s="1356" t="s">
        <v>1104</v>
      </c>
      <c r="G202" s="1515">
        <f>SUM(H197:H201)*5%</f>
        <v>3462.5</v>
      </c>
      <c r="H202" s="1343">
        <f t="shared" si="70"/>
        <v>3463</v>
      </c>
      <c r="I202" s="1370">
        <v>19745</v>
      </c>
      <c r="J202" s="1343">
        <f t="shared" si="71"/>
        <v>19745</v>
      </c>
      <c r="K202" s="1262">
        <f t="shared" si="72"/>
        <v>23208</v>
      </c>
      <c r="L202" s="1356"/>
    </row>
    <row r="203" spans="1:15" s="1765" customFormat="1" ht="24" customHeight="1">
      <c r="A203" s="1766" t="s">
        <v>2581</v>
      </c>
      <c r="B203" s="1538" t="s">
        <v>1110</v>
      </c>
      <c r="C203" s="1437"/>
      <c r="D203" s="1275"/>
      <c r="E203" s="1768"/>
      <c r="F203" s="1358"/>
      <c r="G203" s="1515"/>
      <c r="H203" s="1264"/>
      <c r="I203" s="1265"/>
      <c r="J203" s="1264"/>
      <c r="K203" s="1273"/>
      <c r="L203" s="1273"/>
    </row>
    <row r="204" spans="1:15" s="1765" customFormat="1" ht="24" customHeight="1">
      <c r="A204" s="1766"/>
      <c r="B204" s="1538" t="s">
        <v>1350</v>
      </c>
      <c r="C204" s="1437"/>
      <c r="D204" s="1275"/>
      <c r="E204" s="1768">
        <f>(3*5*2*1)*1</f>
        <v>30</v>
      </c>
      <c r="F204" s="1358" t="s">
        <v>226</v>
      </c>
      <c r="G204" s="2004">
        <v>56</v>
      </c>
      <c r="H204" s="1413">
        <f t="shared" ref="H204:H205" si="73">ROUND(E204*G204,)</f>
        <v>1680</v>
      </c>
      <c r="I204" s="1541">
        <v>28</v>
      </c>
      <c r="J204" s="2006">
        <f t="shared" ref="J204:J205" si="74">ROUND(E204*I204,)</f>
        <v>840</v>
      </c>
      <c r="K204" s="715">
        <f t="shared" ref="K204:K205" si="75">H204+J204</f>
        <v>2520</v>
      </c>
      <c r="L204" s="2082" t="s">
        <v>2667</v>
      </c>
      <c r="M204" s="2002"/>
      <c r="N204" s="1199">
        <v>169.2</v>
      </c>
      <c r="O204" s="1199">
        <f>ROUND(N204/3,)</f>
        <v>56</v>
      </c>
    </row>
    <row r="205" spans="1:15" s="1765" customFormat="1" ht="24" customHeight="1">
      <c r="A205" s="1804"/>
      <c r="B205" s="1799" t="s">
        <v>2128</v>
      </c>
      <c r="C205" s="1800"/>
      <c r="D205" s="1375"/>
      <c r="E205" s="1801">
        <v>1</v>
      </c>
      <c r="F205" s="1356" t="s">
        <v>1104</v>
      </c>
      <c r="G205" s="1515">
        <f>H204*15%</f>
        <v>252</v>
      </c>
      <c r="H205" s="1343">
        <f t="shared" si="73"/>
        <v>252</v>
      </c>
      <c r="I205" s="1370">
        <v>58174</v>
      </c>
      <c r="J205" s="1343">
        <f t="shared" si="74"/>
        <v>58174</v>
      </c>
      <c r="K205" s="1262">
        <f t="shared" si="75"/>
        <v>58426</v>
      </c>
      <c r="L205" s="1356"/>
    </row>
    <row r="206" spans="1:15" s="1765" customFormat="1" ht="24" customHeight="1">
      <c r="A206" s="1766" t="s">
        <v>2582</v>
      </c>
      <c r="B206" s="1538" t="s">
        <v>1343</v>
      </c>
      <c r="C206" s="1437"/>
      <c r="D206" s="1275"/>
      <c r="E206" s="1768"/>
      <c r="F206" s="1358"/>
      <c r="G206" s="1515"/>
      <c r="H206" s="1264"/>
      <c r="I206" s="1265"/>
      <c r="J206" s="1264"/>
      <c r="K206" s="1273"/>
      <c r="L206" s="1273"/>
    </row>
    <row r="207" spans="1:15" s="1765" customFormat="1" ht="24" customHeight="1">
      <c r="A207" s="1258"/>
      <c r="B207" s="1538" t="s">
        <v>2129</v>
      </c>
      <c r="C207" s="1437"/>
      <c r="D207" s="1275"/>
      <c r="E207" s="1801"/>
      <c r="F207" s="1356" t="s">
        <v>226</v>
      </c>
      <c r="G207" s="1386">
        <v>316</v>
      </c>
      <c r="H207" s="1343">
        <f t="shared" ref="H207:H208" si="76">ROUND(E207*G207,)</f>
        <v>0</v>
      </c>
      <c r="I207" s="1414">
        <v>50</v>
      </c>
      <c r="J207" s="1343">
        <f t="shared" ref="J207:J208" si="77">ROUND(E207*I207,)</f>
        <v>0</v>
      </c>
      <c r="K207" s="1262">
        <f t="shared" ref="K207:K208" si="78">H207+J207</f>
        <v>0</v>
      </c>
      <c r="L207" s="1273"/>
    </row>
    <row r="208" spans="1:15" s="1765" customFormat="1" ht="24" customHeight="1">
      <c r="A208" s="1258"/>
      <c r="B208" s="1538" t="s">
        <v>2128</v>
      </c>
      <c r="C208" s="1437"/>
      <c r="D208" s="1275"/>
      <c r="E208" s="1801"/>
      <c r="F208" s="1356" t="s">
        <v>1104</v>
      </c>
      <c r="G208" s="1515">
        <f>H207*15%</f>
        <v>0</v>
      </c>
      <c r="H208" s="1343">
        <f t="shared" si="76"/>
        <v>0</v>
      </c>
      <c r="I208" s="1370">
        <v>16637</v>
      </c>
      <c r="J208" s="1343">
        <f t="shared" si="77"/>
        <v>0</v>
      </c>
      <c r="K208" s="1262">
        <f t="shared" si="78"/>
        <v>0</v>
      </c>
      <c r="L208" s="1273"/>
    </row>
    <row r="209" spans="1:12" s="1199" customFormat="1" ht="22.15" customHeight="1">
      <c r="A209" s="1578"/>
      <c r="B209" s="2257" t="str">
        <f>"รวมราคารายการที่ "&amp;A185</f>
        <v>รวมราคารายการที่ 7.8</v>
      </c>
      <c r="C209" s="2258"/>
      <c r="D209" s="2259"/>
      <c r="E209" s="1579"/>
      <c r="F209" s="1579"/>
      <c r="G209" s="1580"/>
      <c r="H209" s="1581">
        <f>SUM(H185:H208)</f>
        <v>129245</v>
      </c>
      <c r="I209" s="1582"/>
      <c r="J209" s="1581">
        <f>SUM(J185:J208)</f>
        <v>106299</v>
      </c>
      <c r="K209" s="1581">
        <f>SUM(K185:K208)</f>
        <v>235544</v>
      </c>
      <c r="L209" s="1583"/>
    </row>
    <row r="210" spans="1:12" s="1199" customFormat="1" ht="22.15" customHeight="1">
      <c r="A210" s="1427"/>
    </row>
    <row r="211" spans="1:12" s="1199" customFormat="1" ht="22.15" customHeight="1">
      <c r="A211" s="1427"/>
    </row>
    <row r="212" spans="1:12" s="1199" customFormat="1" ht="22.15" customHeight="1">
      <c r="A212" s="1427"/>
    </row>
    <row r="213" spans="1:12" s="1199" customFormat="1" ht="22.15" customHeight="1">
      <c r="A213" s="1427"/>
    </row>
    <row r="214" spans="1:12" s="1199" customFormat="1" ht="22.15" customHeight="1">
      <c r="A214" s="1427"/>
    </row>
    <row r="215" spans="1:12" s="1199" customFormat="1" ht="22.15" customHeight="1">
      <c r="A215" s="1427"/>
    </row>
    <row r="216" spans="1:12" s="1199" customFormat="1" ht="22.15" customHeight="1">
      <c r="A216" s="1427"/>
    </row>
    <row r="217" spans="1:12" s="1199" customFormat="1" ht="22.15" customHeight="1">
      <c r="A217" s="1427"/>
    </row>
    <row r="218" spans="1:12" s="1199" customFormat="1" ht="22.15" customHeight="1">
      <c r="A218" s="1427"/>
    </row>
    <row r="219" spans="1:12" s="1199" customFormat="1" ht="22.15" customHeight="1">
      <c r="A219" s="1427"/>
    </row>
    <row r="220" spans="1:12" s="1199" customFormat="1" ht="22.15" customHeight="1">
      <c r="A220" s="1427"/>
    </row>
    <row r="221" spans="1:12" s="1199" customFormat="1" ht="21.3">
      <c r="A221" s="1427"/>
    </row>
    <row r="222" spans="1:12" s="1199" customFormat="1" ht="21.3">
      <c r="A222" s="1427"/>
    </row>
    <row r="223" spans="1:12" s="1199" customFormat="1" ht="21.3">
      <c r="A223" s="1427"/>
    </row>
    <row r="224" spans="1:12" s="1199" customFormat="1" ht="21.3">
      <c r="A224" s="1427"/>
    </row>
    <row r="225" spans="1:12" s="1199" customFormat="1" ht="21.3">
      <c r="A225" s="1427"/>
    </row>
    <row r="226" spans="1:12" s="1199" customFormat="1" ht="21.3">
      <c r="A226" s="1427"/>
    </row>
    <row r="227" spans="1:12" s="1199" customFormat="1" ht="21.3">
      <c r="A227" s="1427"/>
    </row>
    <row r="228" spans="1:12" s="1199" customFormat="1" ht="21.3">
      <c r="A228" s="1427"/>
    </row>
    <row r="229" spans="1:12" s="1199" customFormat="1" ht="21.3">
      <c r="A229" s="1427"/>
    </row>
    <row r="230" spans="1:12" s="1199" customFormat="1" ht="21.3">
      <c r="A230" s="1427"/>
    </row>
    <row r="231" spans="1:12" s="1199" customFormat="1" ht="21.3">
      <c r="A231" s="1427"/>
    </row>
    <row r="232" spans="1:12" s="1199" customFormat="1" ht="21.3">
      <c r="A232" s="1427"/>
    </row>
    <row r="233" spans="1:12" s="1199" customFormat="1" ht="21.3">
      <c r="A233" s="1427"/>
    </row>
    <row r="234" spans="1:12" s="1199" customFormat="1" ht="21.3">
      <c r="A234" s="1427"/>
    </row>
    <row r="235" spans="1:12">
      <c r="A235" s="1427"/>
      <c r="B235" s="1199"/>
      <c r="C235" s="1199"/>
      <c r="D235" s="1199"/>
      <c r="E235" s="1199"/>
      <c r="F235" s="1199"/>
      <c r="G235" s="1199"/>
      <c r="H235" s="1199"/>
      <c r="I235" s="1199"/>
      <c r="J235" s="1199"/>
      <c r="K235" s="1199"/>
      <c r="L235" s="1199"/>
    </row>
    <row r="236" spans="1:12">
      <c r="A236" s="1427"/>
      <c r="B236" s="1199"/>
      <c r="C236" s="1199"/>
      <c r="D236" s="1199"/>
      <c r="E236" s="1199"/>
      <c r="F236" s="1199"/>
      <c r="G236" s="1199"/>
      <c r="H236" s="1199"/>
      <c r="I236" s="1199"/>
      <c r="J236" s="1199"/>
      <c r="K236" s="1199"/>
      <c r="L236" s="1199"/>
    </row>
    <row r="237" spans="1:12">
      <c r="A237" s="1427"/>
      <c r="B237" s="1199"/>
      <c r="C237" s="1199"/>
      <c r="D237" s="1199"/>
      <c r="E237" s="1199"/>
      <c r="F237" s="1199"/>
      <c r="G237" s="1199"/>
      <c r="H237" s="1199"/>
      <c r="I237" s="1199"/>
      <c r="J237" s="1199"/>
      <c r="K237" s="1199"/>
      <c r="L237" s="1199"/>
    </row>
    <row r="244" spans="2:2">
      <c r="B244" s="1805"/>
    </row>
    <row r="245" spans="2:2">
      <c r="B245" s="1805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209:D209"/>
    <mergeCell ref="B159:D159"/>
    <mergeCell ref="B184:D184"/>
    <mergeCell ref="B34:D34"/>
    <mergeCell ref="B48:D48"/>
    <mergeCell ref="B59:D59"/>
    <mergeCell ref="B70:D70"/>
    <mergeCell ref="B98:D98"/>
    <mergeCell ref="B122:D122"/>
  </mergeCells>
  <conditionalFormatting sqref="A160:L161 A168:L168 A171:L171 A169:F169 A175:L183 A172:F172 A174:F174 H174:L174">
    <cfRule type="expression" dxfId="209" priority="23">
      <formula>SUMPRODUCT(--(ROW()=$O$12:$O$18))&gt;0</formula>
    </cfRule>
  </conditionalFormatting>
  <conditionalFormatting sqref="A79:D81 L79:L81 F79:F81">
    <cfRule type="expression" dxfId="208" priority="22">
      <formula>SUMPRODUCT(--(ROW()=$O$12:$O$18))&gt;0</formula>
    </cfRule>
  </conditionalFormatting>
  <conditionalFormatting sqref="A110:L116">
    <cfRule type="expression" dxfId="207" priority="21">
      <formula>SUMPRODUCT(--(ROW()=$O$12:$O$18))&gt;0</formula>
    </cfRule>
  </conditionalFormatting>
  <conditionalFormatting sqref="C36:L36 C44:D44 L44 E48:L48 A35:L35 A36 F43:L43 A43:A44 C46:L47 A46:A48">
    <cfRule type="expression" dxfId="206" priority="12">
      <formula>SUMPRODUCT(--(ROW()=$O$12:$O$18))&gt;0</formula>
    </cfRule>
  </conditionalFormatting>
  <conditionalFormatting sqref="G108:K109">
    <cfRule type="expression" dxfId="205" priority="11">
      <formula>SUMPRODUCT(--(ROW()=$R$12:$R$22))&gt;0</formula>
    </cfRule>
  </conditionalFormatting>
  <conditionalFormatting sqref="I79:I81">
    <cfRule type="expression" dxfId="204" priority="10">
      <formula>SUMPRODUCT(--(ROW()=$O$12:$O$22))&gt;0</formula>
    </cfRule>
  </conditionalFormatting>
  <conditionalFormatting sqref="G79:G80">
    <cfRule type="expression" dxfId="203" priority="9">
      <formula>SUMPRODUCT(--(ROW()=$O$14:$O$24))&gt;0</formula>
    </cfRule>
  </conditionalFormatting>
  <conditionalFormatting sqref="H87:H90">
    <cfRule type="expression" dxfId="202" priority="8">
      <formula>SUMPRODUCT(--(ROW()=$O$14:$O$24))&gt;0</formula>
    </cfRule>
  </conditionalFormatting>
  <conditionalFormatting sqref="G81">
    <cfRule type="expression" dxfId="201" priority="7">
      <formula>SUMPRODUCT(--(ROW()=$O$14:$O$24))&gt;0</formula>
    </cfRule>
  </conditionalFormatting>
  <conditionalFormatting sqref="A170:K170">
    <cfRule type="expression" dxfId="200" priority="3">
      <formula>SUMPRODUCT(--(ROW()=$O$12:$O$24))&gt;0</formula>
    </cfRule>
  </conditionalFormatting>
  <conditionalFormatting sqref="A173:F173">
    <cfRule type="expression" dxfId="199" priority="2">
      <formula>SUMPRODUCT(--(ROW()=$O$12:$O$24))&gt;0</formula>
    </cfRule>
  </conditionalFormatting>
  <conditionalFormatting sqref="E79:E80">
    <cfRule type="expression" dxfId="198" priority="1">
      <formula>SUMPRODUCT(--(ROW()=$W$12:$W$21))&gt;0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4-อาคารด้านทิศตะวันตก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EA9B-1B69-4889-A62C-F8CC67C16B75}">
  <sheetPr>
    <tabColor rgb="FF92D050"/>
  </sheetPr>
  <dimension ref="A1:T239"/>
  <sheetViews>
    <sheetView showGridLines="0" view="pageBreakPreview" zoomScale="70" zoomScaleNormal="60" zoomScaleSheetLayoutView="70" workbookViewId="0">
      <selection activeCell="I25" sqref="I25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7.703125" style="1" customWidth="1"/>
    <col min="14" max="14" width="11" style="1" customWidth="1"/>
    <col min="15" max="15" width="10.29296875" style="1" customWidth="1"/>
    <col min="16" max="16" width="11.703125" style="1" customWidth="1"/>
    <col min="17" max="17" width="10.29296875" style="1" customWidth="1"/>
    <col min="18" max="18" width="10.703125" style="1" customWidth="1"/>
    <col min="19" max="19" width="10.5859375" style="1" customWidth="1"/>
    <col min="20" max="20" width="10.29296875" style="1" customWidth="1"/>
    <col min="21" max="21" width="10.5859375" style="1" customWidth="1"/>
    <col min="22" max="78" width="7.703125" style="1" customWidth="1"/>
    <col min="7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03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04" t="s">
        <v>18</v>
      </c>
      <c r="L10" s="2225"/>
    </row>
    <row r="11" spans="1:12" ht="24" customHeight="1">
      <c r="A11" s="1560" t="s">
        <v>24</v>
      </c>
      <c r="B11" s="1561" t="s">
        <v>2841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H48</f>
        <v>2089125</v>
      </c>
      <c r="I12" s="1197"/>
      <c r="J12" s="1196">
        <f>J48</f>
        <v>107955</v>
      </c>
      <c r="K12" s="1196">
        <f t="shared" ref="K12:K15" si="0">SUM(H12:J12)</f>
        <v>2197080</v>
      </c>
      <c r="L12" s="1531"/>
    </row>
    <row r="13" spans="1:12" s="1199" customFormat="1" ht="24" customHeight="1">
      <c r="A13" s="1564">
        <f>A49</f>
        <v>7.2</v>
      </c>
      <c r="B13" s="1538" t="str">
        <f>B49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275000</v>
      </c>
      <c r="I13" s="1197"/>
      <c r="J13" s="1196">
        <f>J59</f>
        <v>2500</v>
      </c>
      <c r="K13" s="1196">
        <f t="shared" si="0"/>
        <v>277500</v>
      </c>
      <c r="L13" s="1531"/>
    </row>
    <row r="14" spans="1:12" s="1199" customFormat="1" ht="24" customHeight="1">
      <c r="A14" s="1564" t="str">
        <f>A60</f>
        <v>7.3</v>
      </c>
      <c r="B14" s="1538" t="str">
        <f>B60</f>
        <v>ระบบกรองอากาศ (Air Filtration System)</v>
      </c>
      <c r="C14" s="1533"/>
      <c r="D14" s="1534"/>
      <c r="E14" s="1753">
        <v>1</v>
      </c>
      <c r="F14" s="1567" t="s">
        <v>19</v>
      </c>
      <c r="G14" s="1195"/>
      <c r="H14" s="1196">
        <f>H70</f>
        <v>27600</v>
      </c>
      <c r="I14" s="1197"/>
      <c r="J14" s="1196">
        <f>J70</f>
        <v>1800</v>
      </c>
      <c r="K14" s="1196">
        <f t="shared" si="0"/>
        <v>29400</v>
      </c>
      <c r="L14" s="1531"/>
    </row>
    <row r="15" spans="1:12" s="1199" customFormat="1" ht="24" customHeight="1">
      <c r="A15" s="1564">
        <f>A71</f>
        <v>7.4</v>
      </c>
      <c r="B15" s="1538" t="str">
        <f>B71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H98</f>
        <v>380607</v>
      </c>
      <c r="I15" s="1197"/>
      <c r="J15" s="1196">
        <f>J98</f>
        <v>140496</v>
      </c>
      <c r="K15" s="1196">
        <f t="shared" si="0"/>
        <v>521103</v>
      </c>
      <c r="L15" s="1531"/>
    </row>
    <row r="16" spans="1:12" s="1199" customFormat="1" ht="24" customHeight="1">
      <c r="A16" s="1755" t="str">
        <f>A99</f>
        <v>7.5</v>
      </c>
      <c r="B16" s="1816" t="str">
        <f>B99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H122</f>
        <v>134270</v>
      </c>
      <c r="I16" s="1197"/>
      <c r="J16" s="1196">
        <f>J122</f>
        <v>35698</v>
      </c>
      <c r="K16" s="1196">
        <f t="shared" ref="K16:K18" si="1">SUM(H16:J16)</f>
        <v>169968</v>
      </c>
      <c r="L16" s="1531"/>
    </row>
    <row r="17" spans="1:12" s="1199" customFormat="1" ht="24" customHeight="1">
      <c r="A17" s="1756">
        <f>A123</f>
        <v>7.6</v>
      </c>
      <c r="B17" s="1840" t="str">
        <f>B123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H159</f>
        <v>164355</v>
      </c>
      <c r="I17" s="1197"/>
      <c r="J17" s="1196">
        <f>J159</f>
        <v>23500</v>
      </c>
      <c r="K17" s="1196">
        <f t="shared" si="1"/>
        <v>187855</v>
      </c>
      <c r="L17" s="1531"/>
    </row>
    <row r="18" spans="1:12" s="1199" customFormat="1" ht="24" customHeight="1">
      <c r="A18" s="1537" t="str">
        <f>A160</f>
        <v>7.7</v>
      </c>
      <c r="B18" s="1840" t="str">
        <f>B160</f>
        <v>ระบบไฟฟ้าและควบคุม (Electrical &amp; Control System)</v>
      </c>
      <c r="C18" s="1533"/>
      <c r="D18" s="1534"/>
      <c r="E18" s="1753">
        <v>1</v>
      </c>
      <c r="F18" s="1567" t="s">
        <v>19</v>
      </c>
      <c r="G18" s="1195"/>
      <c r="H18" s="1196">
        <f>H178</f>
        <v>461388</v>
      </c>
      <c r="I18" s="1197"/>
      <c r="J18" s="1196">
        <f>J178</f>
        <v>51006</v>
      </c>
      <c r="K18" s="1196">
        <f t="shared" si="1"/>
        <v>512394</v>
      </c>
      <c r="L18" s="1531"/>
    </row>
    <row r="19" spans="1:12" s="1199" customFormat="1" ht="24" customHeight="1">
      <c r="A19" s="1537" t="str">
        <f>A179</f>
        <v>7.8</v>
      </c>
      <c r="B19" s="1840" t="str">
        <f>B179</f>
        <v>หมวดงานเชื่อมต่อกับระบบ BAS</v>
      </c>
      <c r="C19" s="1533"/>
      <c r="D19" s="1534"/>
      <c r="E19" s="1753">
        <v>1</v>
      </c>
      <c r="F19" s="1567" t="s">
        <v>19</v>
      </c>
      <c r="G19" s="1195"/>
      <c r="H19" s="1196">
        <f>H203</f>
        <v>120145</v>
      </c>
      <c r="I19" s="1197"/>
      <c r="J19" s="1196">
        <f>J203</f>
        <v>103434</v>
      </c>
      <c r="K19" s="1196">
        <f>K203</f>
        <v>223579</v>
      </c>
      <c r="L19" s="1531"/>
    </row>
    <row r="20" spans="1:12" s="1199" customFormat="1" ht="24" customHeight="1">
      <c r="A20" s="1537"/>
      <c r="B20" s="2139"/>
      <c r="C20" s="1533"/>
      <c r="D20" s="1534"/>
      <c r="E20" s="1753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3</v>
      </c>
      <c r="C34" s="2258"/>
      <c r="D34" s="2259"/>
      <c r="E34" s="1579"/>
      <c r="F34" s="1579"/>
      <c r="G34" s="1580"/>
      <c r="H34" s="1581">
        <f>SUM(H11:H33)</f>
        <v>3652490</v>
      </c>
      <c r="I34" s="1582"/>
      <c r="J34" s="1581">
        <f>SUM(J11:J33)</f>
        <v>466389</v>
      </c>
      <c r="K34" s="1581">
        <f>SUM(K11:K33)</f>
        <v>4118879</v>
      </c>
      <c r="L34" s="1583"/>
    </row>
    <row r="35" spans="1:20" s="1765" customFormat="1" ht="24" customHeight="1">
      <c r="A35" s="1847" t="s">
        <v>2246</v>
      </c>
      <c r="B35" s="1848" t="s">
        <v>2247</v>
      </c>
      <c r="C35" s="1849"/>
      <c r="D35" s="1354"/>
      <c r="E35" s="1802"/>
      <c r="F35" s="1356"/>
      <c r="G35" s="1803"/>
      <c r="H35" s="1369"/>
      <c r="I35" s="1370"/>
      <c r="J35" s="1369"/>
      <c r="K35" s="1356"/>
      <c r="L35" s="1356"/>
    </row>
    <row r="36" spans="1:20" s="1765" customFormat="1" ht="24" customHeight="1">
      <c r="A36" s="2113" t="s">
        <v>1984</v>
      </c>
      <c r="B36" s="2164" t="s">
        <v>2782</v>
      </c>
      <c r="C36" s="2115"/>
      <c r="D36" s="2115"/>
      <c r="E36" s="1802"/>
      <c r="F36" s="1356"/>
      <c r="G36" s="1803"/>
      <c r="H36" s="1369"/>
      <c r="I36" s="1370"/>
      <c r="J36" s="1369"/>
      <c r="K36" s="1356"/>
      <c r="L36" s="1356"/>
    </row>
    <row r="37" spans="1:20" s="2116" customFormat="1" ht="24" customHeight="1">
      <c r="A37" s="2112"/>
      <c r="B37" s="2164" t="s">
        <v>2786</v>
      </c>
      <c r="C37" s="2111"/>
      <c r="D37" s="2165"/>
      <c r="E37" s="825">
        <v>1</v>
      </c>
      <c r="F37" s="1457" t="s">
        <v>363</v>
      </c>
      <c r="G37" s="1769">
        <v>409425</v>
      </c>
      <c r="H37" s="1413">
        <f t="shared" ref="H37:H41" si="2">ROUND(E37*G37,)</f>
        <v>409425</v>
      </c>
      <c r="I37" s="1455">
        <f>G37*0.05</f>
        <v>20471.25</v>
      </c>
      <c r="J37" s="1413">
        <f t="shared" ref="J37:J41" si="3">ROUND(E37*I37,)</f>
        <v>20471</v>
      </c>
      <c r="K37" s="1415">
        <f t="shared" ref="K37:K41" si="4">H37+J37</f>
        <v>429896</v>
      </c>
      <c r="L37" s="1457"/>
      <c r="M37" s="2120"/>
      <c r="N37" s="2120"/>
      <c r="O37" s="2120"/>
      <c r="P37" s="2120"/>
      <c r="Q37" s="2120"/>
      <c r="R37" s="2120"/>
      <c r="S37" s="2120"/>
      <c r="T37" s="2120"/>
    </row>
    <row r="38" spans="1:20" s="2116" customFormat="1" ht="24" customHeight="1">
      <c r="A38" s="2112"/>
      <c r="B38" s="2164" t="s">
        <v>2787</v>
      </c>
      <c r="C38" s="2111"/>
      <c r="D38" s="2165"/>
      <c r="E38" s="825">
        <v>1</v>
      </c>
      <c r="F38" s="1457" t="s">
        <v>363</v>
      </c>
      <c r="G38" s="1769">
        <v>409425</v>
      </c>
      <c r="H38" s="1413">
        <f t="shared" si="2"/>
        <v>409425</v>
      </c>
      <c r="I38" s="1455">
        <f t="shared" ref="I38:I39" si="5">G38*0.05</f>
        <v>20471.25</v>
      </c>
      <c r="J38" s="1413">
        <f t="shared" si="3"/>
        <v>20471</v>
      </c>
      <c r="K38" s="1415">
        <f t="shared" si="4"/>
        <v>429896</v>
      </c>
      <c r="L38" s="1457"/>
      <c r="M38" s="2120"/>
      <c r="N38" s="2120"/>
      <c r="O38" s="2120"/>
      <c r="P38" s="2120"/>
      <c r="Q38" s="2120"/>
      <c r="R38" s="2120"/>
      <c r="S38" s="2120"/>
      <c r="T38" s="2120"/>
    </row>
    <row r="39" spans="1:20" s="2116" customFormat="1" ht="24" customHeight="1">
      <c r="A39" s="2112"/>
      <c r="B39" s="2164" t="s">
        <v>2788</v>
      </c>
      <c r="C39" s="2111"/>
      <c r="D39" s="2165"/>
      <c r="E39" s="825">
        <v>1</v>
      </c>
      <c r="F39" s="1457" t="s">
        <v>363</v>
      </c>
      <c r="G39" s="1769">
        <v>409425</v>
      </c>
      <c r="H39" s="1413">
        <f t="shared" si="2"/>
        <v>409425</v>
      </c>
      <c r="I39" s="1455">
        <f t="shared" si="5"/>
        <v>20471.25</v>
      </c>
      <c r="J39" s="1413">
        <f t="shared" si="3"/>
        <v>20471</v>
      </c>
      <c r="K39" s="1415">
        <f t="shared" si="4"/>
        <v>429896</v>
      </c>
      <c r="L39" s="1457"/>
      <c r="M39" s="2120"/>
      <c r="N39" s="2120"/>
      <c r="O39" s="2120"/>
      <c r="P39" s="2120"/>
      <c r="Q39" s="2120"/>
      <c r="R39" s="2120"/>
      <c r="S39" s="2120"/>
      <c r="T39" s="2120"/>
    </row>
    <row r="40" spans="1:20" s="2116" customFormat="1" ht="24" customHeight="1">
      <c r="A40" s="2112"/>
      <c r="B40" s="2164" t="s">
        <v>2810</v>
      </c>
      <c r="C40" s="2111"/>
      <c r="D40" s="2165"/>
      <c r="E40" s="825">
        <v>1</v>
      </c>
      <c r="F40" s="1457" t="s">
        <v>363</v>
      </c>
      <c r="G40" s="1769">
        <v>409425</v>
      </c>
      <c r="H40" s="1413">
        <f t="shared" si="2"/>
        <v>409425</v>
      </c>
      <c r="I40" s="1455">
        <f>G40*0.05</f>
        <v>20471.25</v>
      </c>
      <c r="J40" s="1413">
        <f t="shared" si="3"/>
        <v>20471</v>
      </c>
      <c r="K40" s="1415">
        <f t="shared" si="4"/>
        <v>429896</v>
      </c>
      <c r="L40" s="1457"/>
      <c r="M40" s="2120"/>
      <c r="N40" s="2120"/>
      <c r="O40" s="2120"/>
      <c r="P40" s="2120"/>
      <c r="Q40" s="2120"/>
      <c r="R40" s="2120"/>
      <c r="S40" s="2120"/>
      <c r="T40" s="2120"/>
    </row>
    <row r="41" spans="1:20" s="2116" customFormat="1" ht="24" customHeight="1">
      <c r="A41" s="2112"/>
      <c r="B41" s="2164" t="s">
        <v>2811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2"/>
        <v>409425</v>
      </c>
      <c r="I41" s="1455">
        <f t="shared" ref="I41" si="6">G41*0.05</f>
        <v>20471.25</v>
      </c>
      <c r="J41" s="1413">
        <f t="shared" si="3"/>
        <v>20471</v>
      </c>
      <c r="K41" s="1415">
        <f t="shared" si="4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1765" customFormat="1" ht="24" customHeight="1">
      <c r="A42" s="2112"/>
      <c r="B42" s="2114"/>
      <c r="C42" s="2106"/>
      <c r="D42" s="2106"/>
      <c r="E42" s="1802"/>
      <c r="F42" s="1356"/>
      <c r="G42" s="1803"/>
      <c r="H42" s="1369"/>
      <c r="I42" s="1370"/>
      <c r="J42" s="1369"/>
      <c r="K42" s="1356"/>
      <c r="L42" s="1356"/>
    </row>
    <row r="43" spans="1:20" s="1765" customFormat="1" ht="24" customHeight="1">
      <c r="A43" s="2112"/>
      <c r="B43" s="2107" t="s">
        <v>2253</v>
      </c>
      <c r="C43" s="2106"/>
      <c r="D43" s="2165"/>
      <c r="E43" s="825">
        <f>SUM(E37:E41)</f>
        <v>5</v>
      </c>
      <c r="F43" s="1457" t="s">
        <v>363</v>
      </c>
      <c r="G43" s="1769">
        <v>2000</v>
      </c>
      <c r="H43" s="1343">
        <f t="shared" ref="H43:H45" si="7">ROUND(E43*G43,)</f>
        <v>10000</v>
      </c>
      <c r="I43" s="1856" t="s">
        <v>1683</v>
      </c>
      <c r="J43" s="1343"/>
      <c r="K43" s="1801">
        <f t="shared" ref="K43:K45" si="8">H43+J43</f>
        <v>10000</v>
      </c>
      <c r="L43" s="715"/>
    </row>
    <row r="44" spans="1:20" s="1765" customFormat="1" ht="24" customHeight="1">
      <c r="A44" s="2113" t="s">
        <v>1986</v>
      </c>
      <c r="B44" s="2114" t="s">
        <v>2041</v>
      </c>
      <c r="C44" s="2115"/>
      <c r="D44" s="2150"/>
      <c r="E44" s="825">
        <f>E43</f>
        <v>5</v>
      </c>
      <c r="F44" s="1457" t="s">
        <v>363</v>
      </c>
      <c r="G44" s="1769">
        <v>2400</v>
      </c>
      <c r="H44" s="1343">
        <f t="shared" si="7"/>
        <v>12000</v>
      </c>
      <c r="I44" s="1455">
        <v>720</v>
      </c>
      <c r="J44" s="1343">
        <f t="shared" ref="J44:J45" si="9">ROUND(E44*I44,)</f>
        <v>3600</v>
      </c>
      <c r="K44" s="1801">
        <f t="shared" si="8"/>
        <v>15600</v>
      </c>
      <c r="L44" s="1356"/>
    </row>
    <row r="45" spans="1:20" s="1765" customFormat="1" ht="24" customHeight="1">
      <c r="A45" s="1766" t="s">
        <v>1988</v>
      </c>
      <c r="B45" s="1783" t="s">
        <v>2331</v>
      </c>
      <c r="C45" s="1294"/>
      <c r="D45" s="1777"/>
      <c r="E45" s="1686">
        <f>E43</f>
        <v>5</v>
      </c>
      <c r="F45" s="1402" t="s">
        <v>363</v>
      </c>
      <c r="G45" s="1661">
        <v>4000</v>
      </c>
      <c r="H45" s="1413">
        <f t="shared" si="7"/>
        <v>20000</v>
      </c>
      <c r="I45" s="1589">
        <f t="shared" ref="I45" si="10">G45*0.1</f>
        <v>400</v>
      </c>
      <c r="J45" s="1413">
        <f t="shared" si="9"/>
        <v>2000</v>
      </c>
      <c r="K45" s="1415">
        <f t="shared" si="8"/>
        <v>22000</v>
      </c>
      <c r="L45" s="1770"/>
      <c r="M45" s="1710"/>
      <c r="N45" s="1710"/>
      <c r="O45" s="1710"/>
      <c r="P45" s="1710"/>
      <c r="Q45" s="1710"/>
      <c r="R45" s="1710"/>
      <c r="S45" s="1710"/>
      <c r="T45" s="1710"/>
    </row>
    <row r="46" spans="1:20" s="1765" customFormat="1" ht="24" customHeight="1">
      <c r="A46" s="1804"/>
      <c r="B46" s="1538" t="s">
        <v>1117</v>
      </c>
      <c r="C46" s="1800"/>
      <c r="D46" s="1375"/>
      <c r="E46" s="1801"/>
      <c r="F46" s="1356"/>
      <c r="G46" s="1515"/>
      <c r="H46" s="820"/>
      <c r="I46" s="1370"/>
      <c r="J46" s="820"/>
      <c r="K46" s="1457"/>
      <c r="L46" s="1356"/>
    </row>
    <row r="47" spans="1:20" s="1765" customFormat="1" ht="24" customHeight="1">
      <c r="A47" s="1804"/>
      <c r="B47" s="1538" t="s">
        <v>1369</v>
      </c>
      <c r="C47" s="1800"/>
      <c r="D47" s="1375"/>
      <c r="E47" s="1801"/>
      <c r="F47" s="1356"/>
      <c r="G47" s="1386"/>
      <c r="H47" s="820"/>
      <c r="I47" s="1414"/>
      <c r="J47" s="820"/>
      <c r="K47" s="1457"/>
      <c r="L47" s="1356"/>
    </row>
    <row r="48" spans="1:20" s="1765" customFormat="1" ht="24" customHeight="1">
      <c r="A48" s="1857"/>
      <c r="B48" s="2257" t="str">
        <f>"รวมราคารายการที่ "&amp;A35</f>
        <v>รวมราคารายการที่ 7.1</v>
      </c>
      <c r="C48" s="2258"/>
      <c r="D48" s="2259"/>
      <c r="E48" s="1858"/>
      <c r="F48" s="1858"/>
      <c r="G48" s="1859"/>
      <c r="H48" s="1860">
        <f>SUM(H36:H47)</f>
        <v>2089125</v>
      </c>
      <c r="I48" s="1861"/>
      <c r="J48" s="1860">
        <f>SUM(J36:J47)</f>
        <v>107955</v>
      </c>
      <c r="K48" s="1862">
        <f>SUM(K36:K47)</f>
        <v>2197080</v>
      </c>
      <c r="L48" s="1862"/>
    </row>
    <row r="49" spans="1:20" s="1765" customFormat="1" ht="24" customHeight="1">
      <c r="A49" s="1757">
        <v>7.2</v>
      </c>
      <c r="B49" s="1758" t="s">
        <v>1983</v>
      </c>
      <c r="C49" s="1294"/>
      <c r="D49" s="1777"/>
      <c r="E49" s="1686"/>
      <c r="F49" s="1402"/>
      <c r="G49" s="1661"/>
      <c r="H49" s="1588"/>
      <c r="I49" s="1589"/>
      <c r="J49" s="1588"/>
      <c r="K49" s="1770"/>
      <c r="L49" s="1770"/>
    </row>
    <row r="50" spans="1:20" s="1765" customFormat="1" ht="24" customHeight="1">
      <c r="A50" s="1258" t="s">
        <v>1992</v>
      </c>
      <c r="B50" s="1538" t="s">
        <v>2138</v>
      </c>
      <c r="C50" s="1275"/>
      <c r="D50" s="1767"/>
      <c r="E50" s="1771"/>
      <c r="F50" s="1385"/>
      <c r="G50" s="1778"/>
      <c r="H50" s="1594"/>
      <c r="I50" s="1595"/>
      <c r="J50" s="1594"/>
      <c r="K50" s="1632"/>
      <c r="L50" s="1632"/>
    </row>
    <row r="51" spans="1:20" s="1765" customFormat="1" ht="24" customHeight="1">
      <c r="A51" s="1766" t="s">
        <v>2139</v>
      </c>
      <c r="B51" s="1538" t="s">
        <v>2140</v>
      </c>
      <c r="C51" s="1275"/>
      <c r="D51" s="1767"/>
      <c r="E51" s="1686"/>
      <c r="F51" s="1402"/>
      <c r="G51" s="1661"/>
      <c r="H51" s="1588"/>
      <c r="I51" s="1589"/>
      <c r="J51" s="1588"/>
      <c r="K51" s="1770"/>
      <c r="L51" s="1770"/>
    </row>
    <row r="52" spans="1:20" s="1765" customFormat="1" ht="24" customHeight="1">
      <c r="A52" s="2112"/>
      <c r="B52" s="2114" t="s">
        <v>1821</v>
      </c>
      <c r="C52" s="2108"/>
      <c r="D52" s="2109"/>
      <c r="E52" s="1834"/>
      <c r="F52" s="1466" t="s">
        <v>363</v>
      </c>
      <c r="G52" s="2161">
        <v>3300</v>
      </c>
      <c r="H52" s="2156">
        <f t="shared" ref="H52:H55" si="11">ROUND(E52*G52,)</f>
        <v>0</v>
      </c>
      <c r="I52" s="2162">
        <v>150</v>
      </c>
      <c r="J52" s="2156">
        <f t="shared" ref="J52:J55" si="12">ROUND(E52*I52,)</f>
        <v>0</v>
      </c>
      <c r="K52" s="1853">
        <f t="shared" ref="K52:K55" si="13">H52+J52</f>
        <v>0</v>
      </c>
      <c r="L52" s="1457"/>
    </row>
    <row r="53" spans="1:20" s="1765" customFormat="1" ht="24" customHeight="1">
      <c r="A53" s="2166"/>
      <c r="B53" s="2114" t="s">
        <v>1836</v>
      </c>
      <c r="C53" s="2108"/>
      <c r="D53" s="2109"/>
      <c r="E53" s="715"/>
      <c r="F53" s="1415" t="s">
        <v>363</v>
      </c>
      <c r="G53" s="1772">
        <v>4596</v>
      </c>
      <c r="H53" s="1343">
        <f t="shared" si="11"/>
        <v>0</v>
      </c>
      <c r="I53" s="1386">
        <v>200</v>
      </c>
      <c r="J53" s="1343">
        <f t="shared" si="12"/>
        <v>0</v>
      </c>
      <c r="K53" s="1801">
        <f t="shared" si="13"/>
        <v>0</v>
      </c>
      <c r="L53" s="1457"/>
    </row>
    <row r="54" spans="1:20" s="2116" customFormat="1" ht="24" customHeight="1">
      <c r="A54" s="2113"/>
      <c r="B54" s="2114" t="s">
        <v>1715</v>
      </c>
      <c r="C54" s="2108"/>
      <c r="D54" s="2109"/>
      <c r="E54" s="1834">
        <v>5</v>
      </c>
      <c r="F54" s="1466" t="s">
        <v>363</v>
      </c>
      <c r="G54" s="2161">
        <v>55000</v>
      </c>
      <c r="H54" s="2156">
        <f t="shared" si="11"/>
        <v>275000</v>
      </c>
      <c r="I54" s="2162">
        <v>500</v>
      </c>
      <c r="J54" s="2156">
        <f t="shared" si="12"/>
        <v>2500</v>
      </c>
      <c r="K54" s="1853">
        <f t="shared" si="13"/>
        <v>277500</v>
      </c>
      <c r="L54" s="1415"/>
      <c r="M54" s="2120"/>
      <c r="N54" s="2120"/>
      <c r="O54" s="2120"/>
      <c r="P54" s="2120"/>
      <c r="Q54" s="2120"/>
      <c r="R54" s="2120"/>
      <c r="S54" s="2120"/>
      <c r="T54" s="2120"/>
    </row>
    <row r="55" spans="1:20" s="2116" customFormat="1" ht="24" customHeight="1">
      <c r="A55" s="2113" t="s">
        <v>2036</v>
      </c>
      <c r="B55" s="2114" t="s">
        <v>2727</v>
      </c>
      <c r="C55" s="2108"/>
      <c r="D55" s="2109"/>
      <c r="E55" s="715"/>
      <c r="F55" s="1466" t="s">
        <v>363</v>
      </c>
      <c r="G55" s="2161">
        <v>16150</v>
      </c>
      <c r="H55" s="2156">
        <f t="shared" si="11"/>
        <v>0</v>
      </c>
      <c r="I55" s="2162">
        <v>500</v>
      </c>
      <c r="J55" s="2156">
        <f t="shared" si="12"/>
        <v>0</v>
      </c>
      <c r="K55" s="1853">
        <f t="shared" si="13"/>
        <v>0</v>
      </c>
      <c r="L55" s="1415"/>
      <c r="M55" s="2120"/>
      <c r="N55" s="2120"/>
      <c r="O55" s="2120"/>
      <c r="P55" s="2120"/>
      <c r="Q55" s="2120"/>
      <c r="R55" s="2120"/>
      <c r="S55" s="2120"/>
      <c r="T55" s="2120"/>
    </row>
    <row r="56" spans="1:20" s="1765" customFormat="1" ht="24" customHeight="1">
      <c r="A56" s="2166"/>
      <c r="B56" s="2114" t="s">
        <v>1117</v>
      </c>
      <c r="C56" s="2108"/>
      <c r="D56" s="2109"/>
      <c r="E56" s="825"/>
      <c r="F56" s="1457"/>
      <c r="G56" s="1769"/>
      <c r="H56" s="820"/>
      <c r="I56" s="1455"/>
      <c r="J56" s="820"/>
      <c r="K56" s="1457"/>
      <c r="L56" s="1457"/>
    </row>
    <row r="57" spans="1:20" s="1765" customFormat="1" ht="24" customHeight="1">
      <c r="A57" s="1584"/>
      <c r="B57" s="1538" t="s">
        <v>1118</v>
      </c>
      <c r="C57" s="1275"/>
      <c r="D57" s="1767"/>
      <c r="E57" s="1686"/>
      <c r="F57" s="1402"/>
      <c r="G57" s="1661"/>
      <c r="H57" s="1588"/>
      <c r="I57" s="1589"/>
      <c r="J57" s="1588"/>
      <c r="K57" s="1770"/>
      <c r="L57" s="1770"/>
    </row>
    <row r="58" spans="1:20" s="1765" customFormat="1" ht="24" customHeight="1">
      <c r="A58" s="1584"/>
      <c r="B58" s="1538" t="s">
        <v>1118</v>
      </c>
      <c r="C58" s="1275"/>
      <c r="D58" s="1767"/>
      <c r="E58" s="1686"/>
      <c r="F58" s="1402"/>
      <c r="G58" s="1661"/>
      <c r="H58" s="1588"/>
      <c r="I58" s="1589"/>
      <c r="J58" s="1588"/>
      <c r="K58" s="1770"/>
      <c r="L58" s="1770"/>
    </row>
    <row r="59" spans="1:20" s="1199" customFormat="1" ht="24" customHeight="1">
      <c r="A59" s="1578"/>
      <c r="B59" s="2257" t="str">
        <f>"รวมราคารายการที่ "&amp;A49</f>
        <v>รวมราคารายการที่ 7.2</v>
      </c>
      <c r="C59" s="2258"/>
      <c r="D59" s="2259"/>
      <c r="E59" s="1579"/>
      <c r="F59" s="1579"/>
      <c r="G59" s="1580"/>
      <c r="H59" s="1581">
        <f>SUM(H49:H58)</f>
        <v>275000</v>
      </c>
      <c r="I59" s="1582"/>
      <c r="J59" s="1581">
        <f>SUM(J49:J58)</f>
        <v>2500</v>
      </c>
      <c r="K59" s="1581">
        <f>SUM(K49:K58)</f>
        <v>277500</v>
      </c>
      <c r="L59" s="1583"/>
    </row>
    <row r="60" spans="1:20" s="1765" customFormat="1" ht="24" customHeight="1">
      <c r="A60" s="1291" t="s">
        <v>2306</v>
      </c>
      <c r="B60" s="1852" t="s">
        <v>2255</v>
      </c>
      <c r="C60" s="1293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766" t="s">
        <v>2043</v>
      </c>
      <c r="B61" s="1538" t="s">
        <v>2256</v>
      </c>
      <c r="C61" s="1275"/>
      <c r="D61" s="1767"/>
      <c r="E61" s="1686"/>
      <c r="F61" s="1402"/>
      <c r="G61" s="1661"/>
      <c r="H61" s="1588"/>
      <c r="I61" s="1589"/>
      <c r="J61" s="1588"/>
      <c r="K61" s="1770"/>
      <c r="L61" s="1770"/>
    </row>
    <row r="62" spans="1:20" s="1765" customFormat="1" ht="24" customHeight="1">
      <c r="A62" s="1766"/>
      <c r="B62" s="1538" t="s">
        <v>2257</v>
      </c>
      <c r="C62" s="1275"/>
      <c r="D62" s="1767"/>
      <c r="E62" s="1686"/>
      <c r="F62" s="1402" t="s">
        <v>363</v>
      </c>
      <c r="G62" s="1661">
        <v>650</v>
      </c>
      <c r="H62" s="1588">
        <f t="shared" ref="H62:H65" si="14">ROUND(E62*G62,)</f>
        <v>0</v>
      </c>
      <c r="I62" s="1589">
        <v>150</v>
      </c>
      <c r="J62" s="1588">
        <f t="shared" ref="J62:J65" si="15">ROUND(E62*I62,)</f>
        <v>0</v>
      </c>
      <c r="K62" s="1770">
        <f t="shared" ref="K62:K65" si="16">H62+J62</f>
        <v>0</v>
      </c>
      <c r="L62" s="1770"/>
    </row>
    <row r="63" spans="1:20" s="1765" customFormat="1" ht="24" customHeight="1">
      <c r="A63" s="1766" t="s">
        <v>2047</v>
      </c>
      <c r="B63" s="1538" t="s">
        <v>2258</v>
      </c>
      <c r="C63" s="1275"/>
      <c r="D63" s="1767"/>
      <c r="E63" s="1686">
        <v>6</v>
      </c>
      <c r="F63" s="1402" t="s">
        <v>363</v>
      </c>
      <c r="G63" s="1661">
        <v>2400</v>
      </c>
      <c r="H63" s="1588">
        <f t="shared" si="14"/>
        <v>14400</v>
      </c>
      <c r="I63" s="1589">
        <v>150</v>
      </c>
      <c r="J63" s="1588">
        <f t="shared" si="15"/>
        <v>900</v>
      </c>
      <c r="K63" s="1770">
        <f t="shared" si="16"/>
        <v>15300</v>
      </c>
      <c r="L63" s="1770"/>
    </row>
    <row r="64" spans="1:20" s="1765" customFormat="1" ht="24" customHeight="1">
      <c r="A64" s="1766" t="s">
        <v>2155</v>
      </c>
      <c r="B64" s="1538" t="s">
        <v>2259</v>
      </c>
      <c r="C64" s="1275"/>
      <c r="D64" s="1767"/>
      <c r="E64" s="1686">
        <v>6</v>
      </c>
      <c r="F64" s="1402" t="s">
        <v>363</v>
      </c>
      <c r="G64" s="1661">
        <v>2200</v>
      </c>
      <c r="H64" s="1588">
        <f t="shared" si="14"/>
        <v>13200</v>
      </c>
      <c r="I64" s="1589">
        <v>150</v>
      </c>
      <c r="J64" s="1588">
        <f t="shared" si="15"/>
        <v>900</v>
      </c>
      <c r="K64" s="1770">
        <f t="shared" si="16"/>
        <v>14100</v>
      </c>
      <c r="L64" s="1770"/>
    </row>
    <row r="65" spans="1:12" s="1765" customFormat="1" ht="24" customHeight="1">
      <c r="A65" s="1766" t="s">
        <v>2165</v>
      </c>
      <c r="B65" s="1538" t="s">
        <v>2261</v>
      </c>
      <c r="C65" s="1275"/>
      <c r="D65" s="1767"/>
      <c r="E65" s="1686"/>
      <c r="F65" s="1402" t="s">
        <v>1104</v>
      </c>
      <c r="G65" s="1661">
        <f>15*2500</f>
        <v>37500</v>
      </c>
      <c r="H65" s="1588">
        <f t="shared" si="14"/>
        <v>0</v>
      </c>
      <c r="I65" s="1589">
        <f>G65*0.3</f>
        <v>11250</v>
      </c>
      <c r="J65" s="1588">
        <f t="shared" si="15"/>
        <v>0</v>
      </c>
      <c r="K65" s="1770">
        <f t="shared" si="16"/>
        <v>0</v>
      </c>
      <c r="L65" s="1770"/>
    </row>
    <row r="66" spans="1:12" s="1765" customFormat="1" ht="24" customHeight="1">
      <c r="A66" s="1766"/>
      <c r="B66" s="1538" t="s">
        <v>1117</v>
      </c>
      <c r="C66" s="1275"/>
      <c r="D66" s="1767"/>
      <c r="E66" s="1686"/>
      <c r="F66" s="1402"/>
      <c r="G66" s="1661"/>
      <c r="H66" s="1588"/>
      <c r="I66" s="1589"/>
      <c r="J66" s="1588"/>
      <c r="K66" s="1770"/>
      <c r="L66" s="1770"/>
    </row>
    <row r="67" spans="1:12" s="1765" customFormat="1" ht="24" customHeight="1">
      <c r="A67" s="1584"/>
      <c r="B67" s="1538" t="s">
        <v>1896</v>
      </c>
      <c r="C67" s="1275"/>
      <c r="D67" s="1767"/>
      <c r="E67" s="1686"/>
      <c r="F67" s="1402"/>
      <c r="G67" s="1661"/>
      <c r="H67" s="1588"/>
      <c r="I67" s="1589"/>
      <c r="J67" s="1588"/>
      <c r="K67" s="1770"/>
      <c r="L67" s="1770"/>
    </row>
    <row r="68" spans="1:12" s="1765" customFormat="1" ht="24" customHeight="1">
      <c r="A68" s="1584"/>
      <c r="B68" s="1538" t="s">
        <v>1896</v>
      </c>
      <c r="C68" s="1275"/>
      <c r="D68" s="1767"/>
      <c r="E68" s="1686"/>
      <c r="F68" s="1402"/>
      <c r="G68" s="1661"/>
      <c r="H68" s="1588"/>
      <c r="I68" s="1589"/>
      <c r="J68" s="1588"/>
      <c r="K68" s="1770"/>
      <c r="L68" s="1770"/>
    </row>
    <row r="69" spans="1:12" s="1765" customFormat="1" ht="24" customHeight="1">
      <c r="A69" s="1766"/>
      <c r="B69" s="1538"/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12" s="1765" customFormat="1" ht="24" customHeight="1">
      <c r="A70" s="1578"/>
      <c r="B70" s="2257" t="str">
        <f>"รวมราคารายการที่ "&amp;A60</f>
        <v>รวมราคารายการที่ 7.3</v>
      </c>
      <c r="C70" s="2258"/>
      <c r="D70" s="2259"/>
      <c r="E70" s="1579"/>
      <c r="F70" s="1579"/>
      <c r="G70" s="1580"/>
      <c r="H70" s="1581">
        <f>SUM(H61:H69)</f>
        <v>27600</v>
      </c>
      <c r="I70" s="1582"/>
      <c r="J70" s="1581">
        <f>SUM(J61:J69)</f>
        <v>1800</v>
      </c>
      <c r="K70" s="1581">
        <f>SUM(K61:K69)</f>
        <v>29400</v>
      </c>
      <c r="L70" s="1583"/>
    </row>
    <row r="71" spans="1:12" s="1765" customFormat="1" ht="24" customHeight="1">
      <c r="A71" s="1291">
        <v>7.4</v>
      </c>
      <c r="B71" s="1783" t="s">
        <v>2042</v>
      </c>
      <c r="C71" s="1294"/>
      <c r="D71" s="1777"/>
      <c r="E71" s="1686"/>
      <c r="F71" s="1402"/>
      <c r="G71" s="1661"/>
      <c r="H71" s="1588"/>
      <c r="I71" s="1589"/>
      <c r="J71" s="1588"/>
      <c r="K71" s="1770"/>
      <c r="L71" s="1770"/>
    </row>
    <row r="72" spans="1:12" s="1765" customFormat="1" ht="24" customHeight="1">
      <c r="A72" s="1258" t="s">
        <v>2054</v>
      </c>
      <c r="B72" s="1538" t="s">
        <v>2044</v>
      </c>
      <c r="C72" s="1275"/>
      <c r="D72" s="1767"/>
      <c r="E72" s="1771"/>
      <c r="F72" s="1385"/>
      <c r="G72" s="1778"/>
      <c r="H72" s="1594"/>
      <c r="I72" s="1595"/>
      <c r="J72" s="1594"/>
      <c r="K72" s="1632"/>
      <c r="L72" s="1632"/>
    </row>
    <row r="73" spans="1:12" s="1765" customFormat="1" ht="24" customHeight="1">
      <c r="A73" s="1189" t="s">
        <v>2166</v>
      </c>
      <c r="B73" s="1538" t="s">
        <v>2167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12" s="1765" customFormat="1" ht="24" customHeight="1">
      <c r="A74" s="1258"/>
      <c r="B74" s="1538" t="s">
        <v>2168</v>
      </c>
      <c r="C74" s="1275"/>
      <c r="D74" s="1767"/>
      <c r="E74" s="1834"/>
      <c r="F74" s="1788" t="s">
        <v>226</v>
      </c>
      <c r="G74" s="2020">
        <v>69.5</v>
      </c>
      <c r="H74" s="1773">
        <f>ROUND(E74*G74,)</f>
        <v>0</v>
      </c>
      <c r="I74" s="2011">
        <v>30</v>
      </c>
      <c r="J74" s="2008">
        <f>ROUND(E74*I74,)</f>
        <v>0</v>
      </c>
      <c r="K74" s="1774">
        <f t="shared" ref="K74:K84" si="17">H74+J74</f>
        <v>0</v>
      </c>
      <c r="L74" s="1632"/>
    </row>
    <row r="75" spans="1:12" s="1765" customFormat="1" ht="24" customHeight="1">
      <c r="A75" s="1258"/>
      <c r="B75" s="1538" t="s">
        <v>1901</v>
      </c>
      <c r="C75" s="1275"/>
      <c r="D75" s="1767"/>
      <c r="E75" s="1771"/>
      <c r="F75" s="1358" t="s">
        <v>226</v>
      </c>
      <c r="G75" s="1558">
        <v>103.5</v>
      </c>
      <c r="H75" s="1773">
        <f t="shared" ref="H75:H84" si="18">ROUND(E75*G75,)</f>
        <v>0</v>
      </c>
      <c r="I75" s="1332">
        <v>45</v>
      </c>
      <c r="J75" s="2008">
        <f t="shared" ref="J75:J84" si="19">ROUND(E75*I75,)</f>
        <v>0</v>
      </c>
      <c r="K75" s="1774">
        <f t="shared" si="17"/>
        <v>0</v>
      </c>
      <c r="L75" s="1632"/>
    </row>
    <row r="76" spans="1:12" s="1765" customFormat="1" ht="24" customHeight="1">
      <c r="A76" s="1258"/>
      <c r="B76" s="1538" t="s">
        <v>1338</v>
      </c>
      <c r="C76" s="1275"/>
      <c r="D76" s="1767"/>
      <c r="E76" s="1771"/>
      <c r="F76" s="1358" t="s">
        <v>226</v>
      </c>
      <c r="G76" s="1558">
        <v>140</v>
      </c>
      <c r="H76" s="1773">
        <f t="shared" si="18"/>
        <v>0</v>
      </c>
      <c r="I76" s="1332">
        <v>60</v>
      </c>
      <c r="J76" s="2008">
        <f t="shared" si="19"/>
        <v>0</v>
      </c>
      <c r="K76" s="1774">
        <f t="shared" si="17"/>
        <v>0</v>
      </c>
      <c r="L76" s="1632"/>
    </row>
    <row r="77" spans="1:12" s="1765" customFormat="1" ht="24" customHeight="1">
      <c r="A77" s="1258"/>
      <c r="B77" s="1538" t="s">
        <v>1339</v>
      </c>
      <c r="C77" s="1275"/>
      <c r="D77" s="2109"/>
      <c r="E77" s="715"/>
      <c r="F77" s="1262" t="s">
        <v>226</v>
      </c>
      <c r="G77" s="819">
        <v>167</v>
      </c>
      <c r="H77" s="1773">
        <f t="shared" si="18"/>
        <v>0</v>
      </c>
      <c r="I77" s="2007">
        <v>70</v>
      </c>
      <c r="J77" s="2008">
        <f t="shared" si="19"/>
        <v>0</v>
      </c>
      <c r="K77" s="1774">
        <f t="shared" si="17"/>
        <v>0</v>
      </c>
      <c r="L77" s="1632"/>
    </row>
    <row r="78" spans="1:12" s="1765" customFormat="1" ht="24" customHeight="1">
      <c r="A78" s="1258"/>
      <c r="B78" s="1538" t="s">
        <v>1340</v>
      </c>
      <c r="C78" s="1275"/>
      <c r="D78" s="2109"/>
      <c r="E78" s="715"/>
      <c r="F78" s="1262" t="s">
        <v>226</v>
      </c>
      <c r="G78" s="819">
        <v>225</v>
      </c>
      <c r="H78" s="1773">
        <f t="shared" si="18"/>
        <v>0</v>
      </c>
      <c r="I78" s="2007">
        <v>95</v>
      </c>
      <c r="J78" s="2008">
        <f t="shared" si="19"/>
        <v>0</v>
      </c>
      <c r="K78" s="1774">
        <f t="shared" si="17"/>
        <v>0</v>
      </c>
      <c r="L78" s="1632"/>
    </row>
    <row r="79" spans="1:12" s="1765" customFormat="1" ht="24" customHeight="1">
      <c r="A79" s="1804"/>
      <c r="B79" s="1780" t="s">
        <v>1341</v>
      </c>
      <c r="C79" s="1260"/>
      <c r="D79" s="2109"/>
      <c r="E79" s="825">
        <f>(78*2)</f>
        <v>156</v>
      </c>
      <c r="F79" s="1262" t="s">
        <v>226</v>
      </c>
      <c r="G79" s="2021">
        <v>357</v>
      </c>
      <c r="H79" s="1773">
        <f t="shared" si="18"/>
        <v>55692</v>
      </c>
      <c r="I79" s="819">
        <v>150</v>
      </c>
      <c r="J79" s="2008">
        <f t="shared" si="19"/>
        <v>23400</v>
      </c>
      <c r="K79" s="1774">
        <f t="shared" si="17"/>
        <v>79092</v>
      </c>
      <c r="L79" s="1415"/>
    </row>
    <row r="80" spans="1:12" s="1765" customFormat="1" ht="24" customHeight="1">
      <c r="A80" s="1804"/>
      <c r="B80" s="1780" t="s">
        <v>1342</v>
      </c>
      <c r="C80" s="1260"/>
      <c r="D80" s="2109"/>
      <c r="E80" s="825">
        <f>(78*2*1.1)</f>
        <v>171.60000000000002</v>
      </c>
      <c r="F80" s="1262" t="s">
        <v>226</v>
      </c>
      <c r="G80" s="2021">
        <v>467</v>
      </c>
      <c r="H80" s="1773">
        <f t="shared" si="18"/>
        <v>80137</v>
      </c>
      <c r="I80" s="819">
        <v>200</v>
      </c>
      <c r="J80" s="2008">
        <f t="shared" si="19"/>
        <v>34320</v>
      </c>
      <c r="K80" s="1774">
        <f t="shared" si="17"/>
        <v>114457</v>
      </c>
      <c r="L80" s="1415"/>
    </row>
    <row r="81" spans="1:15" s="1765" customFormat="1" ht="24" customHeight="1">
      <c r="A81" s="1804"/>
      <c r="B81" s="1780" t="s">
        <v>1111</v>
      </c>
      <c r="C81" s="1260"/>
      <c r="D81" s="2109"/>
      <c r="E81" s="825">
        <f>51.5*2*1.1</f>
        <v>113.30000000000001</v>
      </c>
      <c r="F81" s="1262" t="s">
        <v>226</v>
      </c>
      <c r="G81" s="2021">
        <v>665</v>
      </c>
      <c r="H81" s="1773">
        <f t="shared" si="18"/>
        <v>75345</v>
      </c>
      <c r="I81" s="819">
        <v>280</v>
      </c>
      <c r="J81" s="2008">
        <f t="shared" si="19"/>
        <v>31724</v>
      </c>
      <c r="K81" s="1774">
        <f t="shared" si="17"/>
        <v>107069</v>
      </c>
      <c r="L81" s="1415"/>
    </row>
    <row r="82" spans="1:15" s="1765" customFormat="1" ht="24" customHeight="1">
      <c r="A82" s="1258"/>
      <c r="B82" s="1538" t="s">
        <v>1719</v>
      </c>
      <c r="C82" s="1275"/>
      <c r="D82" s="2109"/>
      <c r="E82" s="715">
        <v>1</v>
      </c>
      <c r="F82" s="1415" t="s">
        <v>1104</v>
      </c>
      <c r="G82" s="1772">
        <f>ROUND(SUM(H74:H81)*50%,)</f>
        <v>105587</v>
      </c>
      <c r="H82" s="1264">
        <f t="shared" si="18"/>
        <v>105587</v>
      </c>
      <c r="I82" s="1595">
        <f>ROUND(G82*0.3,)</f>
        <v>31676</v>
      </c>
      <c r="J82" s="1264">
        <f t="shared" si="19"/>
        <v>31676</v>
      </c>
      <c r="K82" s="1273">
        <f t="shared" si="17"/>
        <v>137263</v>
      </c>
      <c r="L82" s="1632"/>
    </row>
    <row r="83" spans="1:15" s="1765" customFormat="1" ht="24" customHeight="1">
      <c r="A83" s="1258"/>
      <c r="B83" s="1538" t="s">
        <v>1720</v>
      </c>
      <c r="C83" s="1275"/>
      <c r="D83" s="2109"/>
      <c r="E83" s="715">
        <v>1</v>
      </c>
      <c r="F83" s="1415" t="s">
        <v>1104</v>
      </c>
      <c r="G83" s="1772">
        <f>ROUND(SUM(H73:H81)*20%,)</f>
        <v>42235</v>
      </c>
      <c r="H83" s="1264">
        <f t="shared" si="18"/>
        <v>42235</v>
      </c>
      <c r="I83" s="1595">
        <f>ROUND(G83*0.3,)</f>
        <v>12671</v>
      </c>
      <c r="J83" s="1264">
        <f t="shared" si="19"/>
        <v>12671</v>
      </c>
      <c r="K83" s="1273">
        <f t="shared" si="17"/>
        <v>54906</v>
      </c>
      <c r="L83" s="1632"/>
    </row>
    <row r="84" spans="1:15" s="1765" customFormat="1" ht="24" customHeight="1">
      <c r="A84" s="1258"/>
      <c r="B84" s="1538" t="s">
        <v>1721</v>
      </c>
      <c r="C84" s="1275"/>
      <c r="D84" s="2109"/>
      <c r="E84" s="715">
        <v>1</v>
      </c>
      <c r="F84" s="1415" t="s">
        <v>1104</v>
      </c>
      <c r="G84" s="1772">
        <f>ROUND(SUM(H73:H81)*10%,)</f>
        <v>21117</v>
      </c>
      <c r="H84" s="1264">
        <f t="shared" si="18"/>
        <v>21117</v>
      </c>
      <c r="I84" s="1595">
        <f>ROUND(G84*0.3,)</f>
        <v>6335</v>
      </c>
      <c r="J84" s="1264">
        <f t="shared" si="19"/>
        <v>6335</v>
      </c>
      <c r="K84" s="1273">
        <f t="shared" si="17"/>
        <v>27452</v>
      </c>
      <c r="L84" s="1632"/>
    </row>
    <row r="85" spans="1:15" s="1765" customFormat="1" ht="24" customHeight="1">
      <c r="A85" s="1258" t="s">
        <v>2056</v>
      </c>
      <c r="B85" s="1538" t="s">
        <v>2050</v>
      </c>
      <c r="C85" s="1275"/>
      <c r="D85" s="2109"/>
      <c r="E85" s="715"/>
      <c r="F85" s="1415"/>
      <c r="G85" s="1772"/>
      <c r="H85" s="1594"/>
      <c r="I85" s="1595"/>
      <c r="J85" s="1594"/>
      <c r="K85" s="1632"/>
      <c r="L85" s="1632"/>
    </row>
    <row r="86" spans="1:15" s="1765" customFormat="1" ht="24" customHeight="1">
      <c r="A86" s="1258"/>
      <c r="B86" s="1538" t="s">
        <v>2168</v>
      </c>
      <c r="C86" s="1275"/>
      <c r="D86" s="2109"/>
      <c r="E86" s="1834"/>
      <c r="F86" s="2154" t="s">
        <v>226</v>
      </c>
      <c r="G86" s="819">
        <v>12</v>
      </c>
      <c r="H86" s="1343">
        <f t="shared" ref="H86:H93" si="20">ROUND(E86*G86,)</f>
        <v>0</v>
      </c>
      <c r="I86" s="819">
        <v>30</v>
      </c>
      <c r="J86" s="2005">
        <f t="shared" ref="J86:J93" si="21">ROUND(E86*I86,)</f>
        <v>0</v>
      </c>
      <c r="K86" s="1801">
        <f t="shared" ref="K86:K93" si="22">H86+J86</f>
        <v>0</v>
      </c>
      <c r="L86" s="2082" t="s">
        <v>2667</v>
      </c>
      <c r="M86" s="2002"/>
      <c r="N86" s="2009">
        <v>48.23</v>
      </c>
      <c r="O86" s="1199">
        <f>ROUND(N86/4,)</f>
        <v>12</v>
      </c>
    </row>
    <row r="87" spans="1:15" s="1765" customFormat="1" ht="24" customHeight="1">
      <c r="A87" s="1258"/>
      <c r="B87" s="1538" t="s">
        <v>1901</v>
      </c>
      <c r="C87" s="1275"/>
      <c r="D87" s="2109"/>
      <c r="E87" s="715"/>
      <c r="F87" s="1262" t="s">
        <v>226</v>
      </c>
      <c r="G87" s="819">
        <v>16</v>
      </c>
      <c r="H87" s="1369">
        <f t="shared" si="20"/>
        <v>0</v>
      </c>
      <c r="I87" s="2007">
        <v>30</v>
      </c>
      <c r="J87" s="2008">
        <f t="shared" si="21"/>
        <v>0</v>
      </c>
      <c r="K87" s="1774">
        <f t="shared" si="22"/>
        <v>0</v>
      </c>
      <c r="L87" s="2082" t="s">
        <v>2667</v>
      </c>
      <c r="M87" s="2002"/>
      <c r="N87" s="1765">
        <v>63.7</v>
      </c>
      <c r="O87" s="1199">
        <f>ROUND(N87/4,)</f>
        <v>16</v>
      </c>
    </row>
    <row r="88" spans="1:15" s="1765" customFormat="1" ht="24" customHeight="1">
      <c r="A88" s="1258"/>
      <c r="B88" s="1538" t="s">
        <v>2263</v>
      </c>
      <c r="C88" s="1275"/>
      <c r="D88" s="2109"/>
      <c r="E88" s="715"/>
      <c r="F88" s="1262" t="s">
        <v>226</v>
      </c>
      <c r="G88" s="819">
        <v>20</v>
      </c>
      <c r="H88" s="1369">
        <f t="shared" si="20"/>
        <v>0</v>
      </c>
      <c r="I88" s="2007">
        <v>30</v>
      </c>
      <c r="J88" s="2008">
        <f t="shared" si="21"/>
        <v>0</v>
      </c>
      <c r="K88" s="1774">
        <f t="shared" si="22"/>
        <v>0</v>
      </c>
      <c r="L88" s="2082" t="s">
        <v>2667</v>
      </c>
      <c r="M88" s="2002"/>
      <c r="N88" s="2024">
        <v>79.17</v>
      </c>
      <c r="O88" s="1199">
        <f>ROUND(N88/4,)</f>
        <v>20</v>
      </c>
    </row>
    <row r="89" spans="1:15" s="1765" customFormat="1" ht="24" customHeight="1">
      <c r="A89" s="1258"/>
      <c r="B89" s="1538" t="s">
        <v>1339</v>
      </c>
      <c r="C89" s="1275"/>
      <c r="D89" s="2109"/>
      <c r="E89" s="715">
        <f>2*5</f>
        <v>10</v>
      </c>
      <c r="F89" s="1262" t="s">
        <v>226</v>
      </c>
      <c r="G89" s="819">
        <v>26</v>
      </c>
      <c r="H89" s="1369">
        <f t="shared" si="20"/>
        <v>260</v>
      </c>
      <c r="I89" s="2007">
        <v>30</v>
      </c>
      <c r="J89" s="2008">
        <f t="shared" si="21"/>
        <v>300</v>
      </c>
      <c r="K89" s="1774">
        <f t="shared" si="22"/>
        <v>560</v>
      </c>
      <c r="L89" s="2082" t="s">
        <v>2667</v>
      </c>
      <c r="M89" s="2002"/>
      <c r="N89" s="2024">
        <v>103.74</v>
      </c>
      <c r="O89" s="1199">
        <f>ROUND(N89/4,)</f>
        <v>26</v>
      </c>
    </row>
    <row r="90" spans="1:15" s="1765" customFormat="1" ht="24" customHeight="1">
      <c r="A90" s="1258"/>
      <c r="B90" s="1538" t="s">
        <v>1340</v>
      </c>
      <c r="C90" s="1275"/>
      <c r="D90" s="2109"/>
      <c r="E90" s="715"/>
      <c r="F90" s="1262" t="s">
        <v>226</v>
      </c>
      <c r="G90" s="819">
        <v>41</v>
      </c>
      <c r="H90" s="1369">
        <f t="shared" si="20"/>
        <v>0</v>
      </c>
      <c r="I90" s="2007">
        <v>40</v>
      </c>
      <c r="J90" s="2008">
        <f t="shared" si="21"/>
        <v>0</v>
      </c>
      <c r="K90" s="1774">
        <f t="shared" si="22"/>
        <v>0</v>
      </c>
      <c r="L90" s="2082" t="s">
        <v>2667</v>
      </c>
      <c r="M90" s="2002"/>
      <c r="N90" s="2024">
        <v>163.80000000000001</v>
      </c>
      <c r="O90" s="1199">
        <f>ROUND(N90/4,)</f>
        <v>41</v>
      </c>
    </row>
    <row r="91" spans="1:15" s="1765" customFormat="1" ht="24" customHeight="1">
      <c r="A91" s="1258"/>
      <c r="B91" s="1538" t="s">
        <v>1719</v>
      </c>
      <c r="C91" s="1275"/>
      <c r="D91" s="1767"/>
      <c r="E91" s="1771">
        <v>1</v>
      </c>
      <c r="F91" s="1385" t="s">
        <v>1104</v>
      </c>
      <c r="G91" s="1778">
        <f>SUM(H86:H90)*50%</f>
        <v>130</v>
      </c>
      <c r="H91" s="1264">
        <f t="shared" si="20"/>
        <v>130</v>
      </c>
      <c r="I91" s="1595">
        <f>ROUND(G91*0.3,)</f>
        <v>39</v>
      </c>
      <c r="J91" s="1264">
        <f t="shared" si="21"/>
        <v>39</v>
      </c>
      <c r="K91" s="1273">
        <f t="shared" si="22"/>
        <v>169</v>
      </c>
      <c r="L91" s="1632"/>
    </row>
    <row r="92" spans="1:15" s="1765" customFormat="1" ht="24" customHeight="1">
      <c r="A92" s="1258"/>
      <c r="B92" s="1538" t="s">
        <v>1720</v>
      </c>
      <c r="C92" s="1275"/>
      <c r="D92" s="1767"/>
      <c r="E92" s="1771">
        <v>1</v>
      </c>
      <c r="F92" s="1385" t="s">
        <v>1104</v>
      </c>
      <c r="G92" s="1778">
        <f>ROUND(SUM(H86:H90)*30%,)</f>
        <v>78</v>
      </c>
      <c r="H92" s="1264">
        <f t="shared" si="20"/>
        <v>78</v>
      </c>
      <c r="I92" s="1595">
        <f>ROUND(G92*0.3,)</f>
        <v>23</v>
      </c>
      <c r="J92" s="1264">
        <f t="shared" si="21"/>
        <v>23</v>
      </c>
      <c r="K92" s="1273">
        <f t="shared" si="22"/>
        <v>101</v>
      </c>
      <c r="L92" s="1632"/>
    </row>
    <row r="93" spans="1:15" s="1765" customFormat="1" ht="24" customHeight="1">
      <c r="A93" s="1258"/>
      <c r="B93" s="1538" t="s">
        <v>1721</v>
      </c>
      <c r="C93" s="1275"/>
      <c r="D93" s="1767"/>
      <c r="E93" s="1771">
        <v>1</v>
      </c>
      <c r="F93" s="1385" t="s">
        <v>1104</v>
      </c>
      <c r="G93" s="1778">
        <f>ROUND(SUM(H86:H90)*10%,)</f>
        <v>26</v>
      </c>
      <c r="H93" s="1264">
        <f t="shared" si="20"/>
        <v>26</v>
      </c>
      <c r="I93" s="1595">
        <f>ROUND(G93*0.3,)</f>
        <v>8</v>
      </c>
      <c r="J93" s="1264">
        <f t="shared" si="21"/>
        <v>8</v>
      </c>
      <c r="K93" s="1273">
        <f t="shared" si="22"/>
        <v>34</v>
      </c>
      <c r="L93" s="1632"/>
    </row>
    <row r="94" spans="1:15" s="1765" customFormat="1" ht="24" customHeight="1">
      <c r="A94" s="1258"/>
      <c r="B94" s="1538" t="s">
        <v>1117</v>
      </c>
      <c r="C94" s="1275"/>
      <c r="D94" s="1767"/>
      <c r="E94" s="1771"/>
      <c r="F94" s="1385"/>
      <c r="G94" s="1778"/>
      <c r="H94" s="1594"/>
      <c r="I94" s="1595"/>
      <c r="J94" s="1594"/>
      <c r="K94" s="1632"/>
      <c r="L94" s="1632"/>
    </row>
    <row r="95" spans="1:15" s="1765" customFormat="1" ht="24" customHeight="1">
      <c r="A95" s="1258"/>
      <c r="B95" s="1538"/>
      <c r="C95" s="1275"/>
      <c r="D95" s="1767"/>
      <c r="E95" s="1771"/>
      <c r="F95" s="1385"/>
      <c r="G95" s="1778"/>
      <c r="H95" s="1594"/>
      <c r="I95" s="1595"/>
      <c r="J95" s="1594"/>
      <c r="K95" s="1632"/>
      <c r="L95" s="1632"/>
    </row>
    <row r="96" spans="1:15" s="1765" customFormat="1" ht="24" customHeight="1">
      <c r="A96" s="1258"/>
      <c r="B96" s="1538"/>
      <c r="C96" s="1275"/>
      <c r="D96" s="1767"/>
      <c r="E96" s="1771"/>
      <c r="F96" s="1385"/>
      <c r="G96" s="1778"/>
      <c r="H96" s="1594"/>
      <c r="I96" s="1595"/>
      <c r="J96" s="1594"/>
      <c r="K96" s="1632"/>
      <c r="L96" s="1632"/>
    </row>
    <row r="97" spans="1:12" s="1765" customFormat="1" ht="24" customHeight="1">
      <c r="A97" s="1791"/>
      <c r="B97" s="1792"/>
      <c r="C97" s="1486"/>
      <c r="D97" s="1822"/>
      <c r="E97" s="1823"/>
      <c r="F97" s="1500"/>
      <c r="G97" s="1824"/>
      <c r="H97" s="1825"/>
      <c r="I97" s="1826"/>
      <c r="J97" s="1825"/>
      <c r="K97" s="1833"/>
      <c r="L97" s="1833"/>
    </row>
    <row r="98" spans="1:12" s="1765" customFormat="1" ht="24" customHeight="1">
      <c r="A98" s="1578"/>
      <c r="B98" s="2257" t="str">
        <f>"รวมราคารายการที่ "&amp;A71</f>
        <v>รวมราคารายการที่ 7.4</v>
      </c>
      <c r="C98" s="2258"/>
      <c r="D98" s="2259"/>
      <c r="E98" s="1579"/>
      <c r="F98" s="1579"/>
      <c r="G98" s="1580"/>
      <c r="H98" s="1581">
        <f>SUM(H72:H97)</f>
        <v>380607</v>
      </c>
      <c r="I98" s="1582"/>
      <c r="J98" s="1581">
        <f>SUM(J72:J97)</f>
        <v>140496</v>
      </c>
      <c r="K98" s="1581">
        <f>SUM(K72:K97)</f>
        <v>521103</v>
      </c>
      <c r="L98" s="1583"/>
    </row>
    <row r="99" spans="1:12" s="1765" customFormat="1" ht="24" customHeight="1">
      <c r="A99" s="1863" t="s">
        <v>2307</v>
      </c>
      <c r="B99" s="1758" t="s">
        <v>2053</v>
      </c>
      <c r="C99" s="1250"/>
      <c r="D99" s="1251"/>
      <c r="E99" s="1794"/>
      <c r="F99" s="1253"/>
      <c r="G99" s="1721"/>
      <c r="H99" s="1255"/>
      <c r="I99" s="1256"/>
      <c r="J99" s="1255"/>
      <c r="K99" s="1502"/>
      <c r="L99" s="1502"/>
    </row>
    <row r="100" spans="1:12" s="1765" customFormat="1" ht="24" customHeight="1">
      <c r="A100" s="1258" t="s">
        <v>2062</v>
      </c>
      <c r="B100" s="1538" t="s">
        <v>2055</v>
      </c>
      <c r="C100" s="1437"/>
      <c r="D100" s="1275"/>
      <c r="E100" s="1768"/>
      <c r="F100" s="1358"/>
      <c r="G100" s="1516"/>
      <c r="H100" s="1264"/>
      <c r="I100" s="1265"/>
      <c r="J100" s="1264"/>
      <c r="K100" s="1273"/>
      <c r="L100" s="1273"/>
    </row>
    <row r="101" spans="1:12" s="1765" customFormat="1" ht="24" customHeight="1">
      <c r="A101" s="1258"/>
      <c r="B101" s="1538" t="s">
        <v>2168</v>
      </c>
      <c r="C101" s="1437"/>
      <c r="D101" s="1275"/>
      <c r="E101" s="1813">
        <f>E86</f>
        <v>0</v>
      </c>
      <c r="F101" s="1788" t="s">
        <v>226</v>
      </c>
      <c r="G101" s="1790">
        <v>59</v>
      </c>
      <c r="H101" s="1773">
        <f t="shared" ref="H101:H104" si="23">ROUND(E101*G101,)</f>
        <v>0</v>
      </c>
      <c r="I101" s="1789">
        <f>ROUND(20*0.75*1.3,)</f>
        <v>20</v>
      </c>
      <c r="J101" s="1773">
        <f t="shared" ref="J101:J104" si="24">ROUND(E101*I101,)</f>
        <v>0</v>
      </c>
      <c r="K101" s="1269">
        <f t="shared" ref="K101:K104" si="25">H101+J101</f>
        <v>0</v>
      </c>
      <c r="L101" s="1273"/>
    </row>
    <row r="102" spans="1:12" s="1765" customFormat="1" ht="24" customHeight="1">
      <c r="A102" s="1258"/>
      <c r="B102" s="1538" t="s">
        <v>1901</v>
      </c>
      <c r="C102" s="1437"/>
      <c r="D102" s="1275"/>
      <c r="E102" s="1813">
        <f>E87</f>
        <v>0</v>
      </c>
      <c r="F102" s="1358" t="s">
        <v>226</v>
      </c>
      <c r="G102" s="1516">
        <v>69</v>
      </c>
      <c r="H102" s="1264">
        <f t="shared" si="23"/>
        <v>0</v>
      </c>
      <c r="I102" s="1265">
        <f>ROUND(20*1*1.3,)</f>
        <v>26</v>
      </c>
      <c r="J102" s="1264">
        <f t="shared" si="24"/>
        <v>0</v>
      </c>
      <c r="K102" s="1273">
        <f t="shared" si="25"/>
        <v>0</v>
      </c>
      <c r="L102" s="1273"/>
    </row>
    <row r="103" spans="1:12" s="1765" customFormat="1" ht="24" customHeight="1">
      <c r="A103" s="1258"/>
      <c r="B103" s="1538" t="s">
        <v>1338</v>
      </c>
      <c r="C103" s="1437"/>
      <c r="D103" s="1275"/>
      <c r="E103" s="1813">
        <f>E88</f>
        <v>0</v>
      </c>
      <c r="F103" s="1358" t="s">
        <v>226</v>
      </c>
      <c r="G103" s="1516">
        <v>92</v>
      </c>
      <c r="H103" s="1264">
        <f t="shared" si="23"/>
        <v>0</v>
      </c>
      <c r="I103" s="1265">
        <f>ROUND(20*1.25*1.3,)</f>
        <v>33</v>
      </c>
      <c r="J103" s="1264">
        <f t="shared" si="24"/>
        <v>0</v>
      </c>
      <c r="K103" s="1273">
        <f t="shared" si="25"/>
        <v>0</v>
      </c>
      <c r="L103" s="1273"/>
    </row>
    <row r="104" spans="1:12" s="1765" customFormat="1" ht="24" customHeight="1">
      <c r="A104" s="1258"/>
      <c r="B104" s="1538" t="s">
        <v>1339</v>
      </c>
      <c r="C104" s="1437"/>
      <c r="D104" s="1275"/>
      <c r="E104" s="1813">
        <f>E89</f>
        <v>10</v>
      </c>
      <c r="F104" s="1358" t="s">
        <v>226</v>
      </c>
      <c r="G104" s="1516">
        <v>93</v>
      </c>
      <c r="H104" s="1264">
        <f t="shared" si="23"/>
        <v>930</v>
      </c>
      <c r="I104" s="1265">
        <v>39</v>
      </c>
      <c r="J104" s="1264">
        <f t="shared" si="24"/>
        <v>390</v>
      </c>
      <c r="K104" s="1273">
        <f t="shared" si="25"/>
        <v>1320</v>
      </c>
      <c r="L104" s="1273"/>
    </row>
    <row r="105" spans="1:12" s="1765" customFormat="1" ht="24" customHeight="1">
      <c r="A105" s="1258" t="s">
        <v>2062</v>
      </c>
      <c r="B105" s="1538" t="s">
        <v>2169</v>
      </c>
      <c r="C105" s="1437"/>
      <c r="D105" s="1275"/>
      <c r="E105" s="1768"/>
      <c r="F105" s="1358"/>
      <c r="G105" s="1516"/>
      <c r="H105" s="1264"/>
      <c r="I105" s="1265"/>
      <c r="J105" s="1264"/>
      <c r="K105" s="1273"/>
      <c r="L105" s="1273"/>
    </row>
    <row r="106" spans="1:12" s="1765" customFormat="1" ht="24" customHeight="1">
      <c r="A106" s="1258"/>
      <c r="B106" s="1538" t="s">
        <v>2168</v>
      </c>
      <c r="C106" s="1437"/>
      <c r="D106" s="1275"/>
      <c r="E106" s="1813">
        <f>E74</f>
        <v>0</v>
      </c>
      <c r="F106" s="1788" t="s">
        <v>226</v>
      </c>
      <c r="G106" s="1790">
        <v>69</v>
      </c>
      <c r="H106" s="1773">
        <f t="shared" ref="H106:H109" si="26">ROUND(E106*G106,)</f>
        <v>0</v>
      </c>
      <c r="I106" s="1789">
        <f>ROUND(20*0.75*1.3,)</f>
        <v>20</v>
      </c>
      <c r="J106" s="1773">
        <f t="shared" ref="J106:J109" si="27">ROUND(E106*I106,)</f>
        <v>0</v>
      </c>
      <c r="K106" s="1269">
        <f t="shared" ref="K106:K109" si="28">H106+J106</f>
        <v>0</v>
      </c>
      <c r="L106" s="1269"/>
    </row>
    <row r="107" spans="1:12" s="1765" customFormat="1" ht="24" customHeight="1">
      <c r="A107" s="1258"/>
      <c r="B107" s="1538" t="s">
        <v>1901</v>
      </c>
      <c r="C107" s="1437"/>
      <c r="D107" s="1275"/>
      <c r="E107" s="1771">
        <f>E75</f>
        <v>0</v>
      </c>
      <c r="F107" s="1358" t="s">
        <v>226</v>
      </c>
      <c r="G107" s="1516">
        <v>85</v>
      </c>
      <c r="H107" s="1264">
        <f t="shared" si="26"/>
        <v>0</v>
      </c>
      <c r="I107" s="1265">
        <f>ROUND(20*1*1.3,)</f>
        <v>26</v>
      </c>
      <c r="J107" s="1264">
        <f t="shared" si="27"/>
        <v>0</v>
      </c>
      <c r="K107" s="1273">
        <f t="shared" si="28"/>
        <v>0</v>
      </c>
      <c r="L107" s="1273"/>
    </row>
    <row r="108" spans="1:12" s="1765" customFormat="1" ht="24" customHeight="1">
      <c r="A108" s="1258"/>
      <c r="B108" s="1538" t="s">
        <v>1338</v>
      </c>
      <c r="C108" s="1437"/>
      <c r="D108" s="1275"/>
      <c r="E108" s="1813">
        <f>E76</f>
        <v>0</v>
      </c>
      <c r="F108" s="1788" t="s">
        <v>226</v>
      </c>
      <c r="G108" s="1515">
        <v>96</v>
      </c>
      <c r="H108" s="1369">
        <f t="shared" si="26"/>
        <v>0</v>
      </c>
      <c r="I108" s="1370">
        <v>33</v>
      </c>
      <c r="J108" s="1369">
        <f t="shared" si="27"/>
        <v>0</v>
      </c>
      <c r="K108" s="1356">
        <f t="shared" si="28"/>
        <v>0</v>
      </c>
      <c r="L108" s="1269"/>
    </row>
    <row r="109" spans="1:12" s="1765" customFormat="1" ht="24" customHeight="1">
      <c r="A109" s="1258"/>
      <c r="B109" s="1538" t="s">
        <v>1339</v>
      </c>
      <c r="C109" s="1437"/>
      <c r="D109" s="1275"/>
      <c r="E109" s="1771">
        <f>E77</f>
        <v>0</v>
      </c>
      <c r="F109" s="1358" t="s">
        <v>226</v>
      </c>
      <c r="G109" s="1515">
        <v>108</v>
      </c>
      <c r="H109" s="1369">
        <f t="shared" si="26"/>
        <v>0</v>
      </c>
      <c r="I109" s="1370">
        <v>39</v>
      </c>
      <c r="J109" s="1369">
        <f t="shared" si="27"/>
        <v>0</v>
      </c>
      <c r="K109" s="1356">
        <f t="shared" si="28"/>
        <v>0</v>
      </c>
      <c r="L109" s="1273"/>
    </row>
    <row r="110" spans="1:12" s="1765" customFormat="1" ht="24" customHeight="1">
      <c r="A110" s="1804" t="s">
        <v>2064</v>
      </c>
      <c r="B110" s="1780" t="s">
        <v>2265</v>
      </c>
      <c r="C110" s="1800"/>
      <c r="D110" s="1260"/>
      <c r="E110" s="1801"/>
      <c r="F110" s="1262"/>
      <c r="G110" s="1515"/>
      <c r="H110" s="1343"/>
      <c r="I110" s="1344"/>
      <c r="J110" s="1343"/>
      <c r="K110" s="1262"/>
      <c r="L110" s="1262"/>
    </row>
    <row r="111" spans="1:12" s="1765" customFormat="1" ht="24" customHeight="1">
      <c r="A111" s="1804"/>
      <c r="B111" s="1780" t="s">
        <v>1338</v>
      </c>
      <c r="C111" s="1800"/>
      <c r="D111" s="1260"/>
      <c r="E111" s="715"/>
      <c r="F111" s="1262" t="s">
        <v>226</v>
      </c>
      <c r="G111" s="1515">
        <v>108</v>
      </c>
      <c r="H111" s="1343">
        <f t="shared" ref="H111:H116" si="29">ROUND(E111*G111,)</f>
        <v>0</v>
      </c>
      <c r="I111" s="1344">
        <v>33</v>
      </c>
      <c r="J111" s="1343">
        <f t="shared" ref="J111:J116" si="30">ROUND(E111*I111,)</f>
        <v>0</v>
      </c>
      <c r="K111" s="1262">
        <f t="shared" ref="K111:K116" si="31">H111+J111</f>
        <v>0</v>
      </c>
      <c r="L111" s="1262"/>
    </row>
    <row r="112" spans="1:12" s="1765" customFormat="1" ht="24" customHeight="1">
      <c r="A112" s="1804"/>
      <c r="B112" s="1780" t="s">
        <v>1339</v>
      </c>
      <c r="C112" s="1260"/>
      <c r="D112" s="1781"/>
      <c r="E112" s="715"/>
      <c r="F112" s="1262" t="s">
        <v>226</v>
      </c>
      <c r="G112" s="1515">
        <v>164</v>
      </c>
      <c r="H112" s="1343">
        <f t="shared" si="29"/>
        <v>0</v>
      </c>
      <c r="I112" s="1344">
        <v>39</v>
      </c>
      <c r="J112" s="1343">
        <f t="shared" si="30"/>
        <v>0</v>
      </c>
      <c r="K112" s="1262">
        <f t="shared" si="31"/>
        <v>0</v>
      </c>
      <c r="L112" s="1415"/>
    </row>
    <row r="113" spans="1:12" s="1765" customFormat="1" ht="24" customHeight="1">
      <c r="A113" s="1784"/>
      <c r="B113" s="1780" t="s">
        <v>1340</v>
      </c>
      <c r="C113" s="1260"/>
      <c r="D113" s="1781"/>
      <c r="E113" s="825">
        <f>E78</f>
        <v>0</v>
      </c>
      <c r="F113" s="1356" t="s">
        <v>226</v>
      </c>
      <c r="G113" s="1515">
        <v>200</v>
      </c>
      <c r="H113" s="1369">
        <f t="shared" si="29"/>
        <v>0</v>
      </c>
      <c r="I113" s="1370">
        <v>52</v>
      </c>
      <c r="J113" s="1369">
        <f t="shared" si="30"/>
        <v>0</v>
      </c>
      <c r="K113" s="1356">
        <f t="shared" si="31"/>
        <v>0</v>
      </c>
      <c r="L113" s="1457"/>
    </row>
    <row r="114" spans="1:12" s="1765" customFormat="1" ht="24" customHeight="1">
      <c r="A114" s="1784"/>
      <c r="B114" s="1780" t="s">
        <v>1341</v>
      </c>
      <c r="C114" s="1260"/>
      <c r="D114" s="1781"/>
      <c r="E114" s="825">
        <f>E79</f>
        <v>156</v>
      </c>
      <c r="F114" s="1356" t="s">
        <v>226</v>
      </c>
      <c r="G114" s="1515">
        <v>256</v>
      </c>
      <c r="H114" s="1369">
        <f t="shared" si="29"/>
        <v>39936</v>
      </c>
      <c r="I114" s="1370">
        <v>65</v>
      </c>
      <c r="J114" s="1369">
        <f t="shared" si="30"/>
        <v>10140</v>
      </c>
      <c r="K114" s="1356">
        <f t="shared" si="31"/>
        <v>50076</v>
      </c>
      <c r="L114" s="1457"/>
    </row>
    <row r="115" spans="1:12" s="1765" customFormat="1" ht="24" customHeight="1">
      <c r="A115" s="1784"/>
      <c r="B115" s="1780" t="s">
        <v>1342</v>
      </c>
      <c r="C115" s="1260"/>
      <c r="D115" s="1781"/>
      <c r="E115" s="825">
        <f>E80</f>
        <v>171.60000000000002</v>
      </c>
      <c r="F115" s="1356" t="s">
        <v>226</v>
      </c>
      <c r="G115" s="1515">
        <v>302</v>
      </c>
      <c r="H115" s="1369">
        <f t="shared" si="29"/>
        <v>51823</v>
      </c>
      <c r="I115" s="1370">
        <v>78</v>
      </c>
      <c r="J115" s="1369">
        <f t="shared" si="30"/>
        <v>13385</v>
      </c>
      <c r="K115" s="1356">
        <f t="shared" si="31"/>
        <v>65208</v>
      </c>
      <c r="L115" s="1457"/>
    </row>
    <row r="116" spans="1:12" s="1765" customFormat="1" ht="24" customHeight="1">
      <c r="A116" s="1784"/>
      <c r="B116" s="1780" t="s">
        <v>1111</v>
      </c>
      <c r="C116" s="1260"/>
      <c r="D116" s="1781"/>
      <c r="E116" s="825">
        <f>E81</f>
        <v>113.30000000000001</v>
      </c>
      <c r="F116" s="1356" t="s">
        <v>226</v>
      </c>
      <c r="G116" s="1515">
        <v>367</v>
      </c>
      <c r="H116" s="1369">
        <f t="shared" si="29"/>
        <v>41581</v>
      </c>
      <c r="I116" s="1370">
        <v>104</v>
      </c>
      <c r="J116" s="1369">
        <f t="shared" si="30"/>
        <v>11783</v>
      </c>
      <c r="K116" s="1356">
        <f t="shared" si="31"/>
        <v>53364</v>
      </c>
      <c r="L116" s="1457"/>
    </row>
    <row r="117" spans="1:12" s="1765" customFormat="1" ht="24" customHeight="1">
      <c r="A117" s="1258"/>
      <c r="B117" s="1538" t="s">
        <v>1117</v>
      </c>
      <c r="C117" s="1437"/>
      <c r="D117" s="1275"/>
      <c r="E117" s="1768"/>
      <c r="F117" s="1358"/>
      <c r="G117" s="1516"/>
      <c r="H117" s="1264"/>
      <c r="I117" s="1265"/>
      <c r="J117" s="1264"/>
      <c r="K117" s="1273"/>
      <c r="L117" s="1273"/>
    </row>
    <row r="118" spans="1:12" s="1765" customFormat="1" ht="24" customHeight="1">
      <c r="A118" s="1258"/>
      <c r="B118" s="1538" t="s">
        <v>1118</v>
      </c>
      <c r="C118" s="1437"/>
      <c r="D118" s="1275"/>
      <c r="E118" s="1768"/>
      <c r="F118" s="1358"/>
      <c r="G118" s="1516"/>
      <c r="H118" s="1264"/>
      <c r="I118" s="1265"/>
      <c r="J118" s="1264"/>
      <c r="K118" s="1273"/>
      <c r="L118" s="1273"/>
    </row>
    <row r="119" spans="1:12" s="1765" customFormat="1" ht="24" customHeight="1">
      <c r="A119" s="1258"/>
      <c r="B119" s="1538"/>
      <c r="C119" s="1437"/>
      <c r="D119" s="1275"/>
      <c r="E119" s="1768"/>
      <c r="F119" s="1358"/>
      <c r="G119" s="1516"/>
      <c r="H119" s="1264"/>
      <c r="I119" s="1265"/>
      <c r="J119" s="1264"/>
      <c r="K119" s="1273"/>
      <c r="L119" s="1273"/>
    </row>
    <row r="120" spans="1:12" s="1765" customFormat="1" ht="24" customHeight="1">
      <c r="A120" s="1258"/>
      <c r="B120" s="1538"/>
      <c r="C120" s="1437"/>
      <c r="D120" s="1275"/>
      <c r="E120" s="1768"/>
      <c r="F120" s="1358"/>
      <c r="G120" s="1516"/>
      <c r="H120" s="1264"/>
      <c r="I120" s="1265"/>
      <c r="J120" s="1264"/>
      <c r="K120" s="1273"/>
      <c r="L120" s="1273"/>
    </row>
    <row r="121" spans="1:12" s="1765" customFormat="1" ht="24" customHeight="1">
      <c r="A121" s="1791"/>
      <c r="B121" s="1792"/>
      <c r="C121" s="1702"/>
      <c r="D121" s="1486"/>
      <c r="E121" s="1793"/>
      <c r="F121" s="1487"/>
      <c r="G121" s="1735"/>
      <c r="H121" s="1425"/>
      <c r="I121" s="1488"/>
      <c r="J121" s="1425"/>
      <c r="K121" s="1426"/>
      <c r="L121" s="1426"/>
    </row>
    <row r="122" spans="1:12" s="1765" customFormat="1" ht="24" customHeight="1">
      <c r="A122" s="1578"/>
      <c r="B122" s="2257" t="str">
        <f>"รวมราคารายการที่ "&amp;A99</f>
        <v>รวมราคารายการที่ 7.5</v>
      </c>
      <c r="C122" s="2258"/>
      <c r="D122" s="2259"/>
      <c r="E122" s="1579"/>
      <c r="F122" s="1579"/>
      <c r="G122" s="1580"/>
      <c r="H122" s="1581">
        <f>SUM(H100:H121)</f>
        <v>134270</v>
      </c>
      <c r="I122" s="1582"/>
      <c r="J122" s="1581">
        <f>SUM(J100:J121)</f>
        <v>35698</v>
      </c>
      <c r="K122" s="1581">
        <f>SUM(K100:K121)</f>
        <v>169968</v>
      </c>
      <c r="L122" s="1583"/>
    </row>
    <row r="123" spans="1:12" s="1765" customFormat="1" ht="24" customHeight="1">
      <c r="A123" s="1291">
        <v>7.6</v>
      </c>
      <c r="B123" s="1776" t="s">
        <v>2061</v>
      </c>
      <c r="C123" s="1293"/>
      <c r="D123" s="1294"/>
      <c r="E123" s="1786"/>
      <c r="F123" s="1296"/>
      <c r="G123" s="1357"/>
      <c r="H123" s="1298"/>
      <c r="I123" s="1299"/>
      <c r="J123" s="1298"/>
      <c r="K123" s="1382"/>
      <c r="L123" s="1382"/>
    </row>
    <row r="124" spans="1:12" s="1765" customFormat="1" ht="24" customHeight="1">
      <c r="A124" s="1258" t="s">
        <v>2075</v>
      </c>
      <c r="B124" s="1538" t="s">
        <v>2063</v>
      </c>
      <c r="C124" s="1437"/>
      <c r="D124" s="1275"/>
      <c r="E124" s="1768"/>
      <c r="F124" s="1358"/>
      <c r="G124" s="1516"/>
      <c r="H124" s="1264"/>
      <c r="I124" s="1265"/>
      <c r="J124" s="1264"/>
      <c r="K124" s="1273"/>
      <c r="L124" s="1273"/>
    </row>
    <row r="125" spans="1:12" s="1765" customFormat="1" ht="24" customHeight="1">
      <c r="A125" s="1258"/>
      <c r="B125" s="1538" t="s">
        <v>1448</v>
      </c>
      <c r="C125" s="1437"/>
      <c r="D125" s="1275"/>
      <c r="E125" s="1787"/>
      <c r="F125" s="1788" t="s">
        <v>363</v>
      </c>
      <c r="G125" s="2010">
        <v>880</v>
      </c>
      <c r="H125" s="1773">
        <f t="shared" ref="H125:H129" si="32">ROUND(E125*G125,)</f>
        <v>0</v>
      </c>
      <c r="I125" s="2011">
        <v>150</v>
      </c>
      <c r="J125" s="2008">
        <f t="shared" ref="J125:J129" si="33">ROUND(E125*I125,)</f>
        <v>0</v>
      </c>
      <c r="K125" s="1774">
        <f t="shared" ref="K125:K129" si="34">H125+J125</f>
        <v>0</v>
      </c>
      <c r="L125" s="2082" t="s">
        <v>2667</v>
      </c>
    </row>
    <row r="126" spans="1:12" s="1765" customFormat="1" ht="24" customHeight="1">
      <c r="A126" s="1258"/>
      <c r="B126" s="1538" t="s">
        <v>1337</v>
      </c>
      <c r="C126" s="1437"/>
      <c r="D126" s="1275"/>
      <c r="E126" s="1768"/>
      <c r="F126" s="1358" t="s">
        <v>363</v>
      </c>
      <c r="G126" s="2012">
        <v>1316</v>
      </c>
      <c r="H126" s="1264">
        <f t="shared" si="32"/>
        <v>0</v>
      </c>
      <c r="I126" s="1332">
        <v>200</v>
      </c>
      <c r="J126" s="2013">
        <f t="shared" si="33"/>
        <v>0</v>
      </c>
      <c r="K126" s="1687">
        <f t="shared" si="34"/>
        <v>0</v>
      </c>
      <c r="L126" s="2082" t="s">
        <v>2667</v>
      </c>
    </row>
    <row r="127" spans="1:12" s="1765" customFormat="1" ht="24" customHeight="1">
      <c r="A127" s="1258"/>
      <c r="B127" s="1538" t="s">
        <v>1338</v>
      </c>
      <c r="C127" s="1437"/>
      <c r="D127" s="1275"/>
      <c r="E127" s="1787">
        <f>E53*2</f>
        <v>0</v>
      </c>
      <c r="F127" s="1358" t="s">
        <v>363</v>
      </c>
      <c r="G127" s="2012">
        <v>1984</v>
      </c>
      <c r="H127" s="1264">
        <f t="shared" si="32"/>
        <v>0</v>
      </c>
      <c r="I127" s="1332">
        <v>250</v>
      </c>
      <c r="J127" s="2013">
        <f t="shared" si="33"/>
        <v>0</v>
      </c>
      <c r="K127" s="1687">
        <f t="shared" si="34"/>
        <v>0</v>
      </c>
      <c r="L127" s="2082" t="s">
        <v>2667</v>
      </c>
    </row>
    <row r="128" spans="1:12" s="1765" customFormat="1" ht="24" customHeight="1">
      <c r="A128" s="1258"/>
      <c r="B128" s="1538" t="s">
        <v>1339</v>
      </c>
      <c r="C128" s="1437"/>
      <c r="D128" s="1275"/>
      <c r="E128" s="1787">
        <f>E54*2</f>
        <v>10</v>
      </c>
      <c r="F128" s="1358" t="s">
        <v>363</v>
      </c>
      <c r="G128" s="2012">
        <v>2610</v>
      </c>
      <c r="H128" s="1264">
        <f t="shared" si="32"/>
        <v>26100</v>
      </c>
      <c r="I128" s="1332">
        <v>300</v>
      </c>
      <c r="J128" s="2013">
        <f t="shared" si="33"/>
        <v>3000</v>
      </c>
      <c r="K128" s="1687">
        <f t="shared" si="34"/>
        <v>29100</v>
      </c>
      <c r="L128" s="2082" t="s">
        <v>2667</v>
      </c>
    </row>
    <row r="129" spans="1:20" s="1765" customFormat="1" ht="24" customHeight="1">
      <c r="A129" s="2113"/>
      <c r="B129" s="2114" t="s">
        <v>1340</v>
      </c>
      <c r="C129" s="2115"/>
      <c r="D129" s="2108"/>
      <c r="E129" s="1801"/>
      <c r="F129" s="1262" t="s">
        <v>363</v>
      </c>
      <c r="G129" s="2003">
        <v>4040</v>
      </c>
      <c r="H129" s="1343">
        <f t="shared" si="32"/>
        <v>0</v>
      </c>
      <c r="I129" s="2004">
        <v>400</v>
      </c>
      <c r="J129" s="2005">
        <f t="shared" si="33"/>
        <v>0</v>
      </c>
      <c r="K129" s="1801">
        <f t="shared" si="34"/>
        <v>0</v>
      </c>
      <c r="L129" s="2152" t="s">
        <v>2667</v>
      </c>
    </row>
    <row r="130" spans="1:20" s="2116" customFormat="1" ht="24" customHeight="1">
      <c r="A130" s="2113" t="s">
        <v>2170</v>
      </c>
      <c r="B130" s="2114" t="s">
        <v>2065</v>
      </c>
      <c r="C130" s="2115"/>
      <c r="D130" s="2108"/>
      <c r="E130" s="1801"/>
      <c r="F130" s="1262"/>
      <c r="G130" s="1515"/>
      <c r="H130" s="1343"/>
      <c r="I130" s="1344"/>
      <c r="J130" s="1343"/>
      <c r="K130" s="1262"/>
      <c r="L130" s="1262"/>
    </row>
    <row r="131" spans="1:20" s="2116" customFormat="1" ht="24" customHeight="1">
      <c r="A131" s="2113"/>
      <c r="B131" s="2107" t="s">
        <v>1341</v>
      </c>
      <c r="C131" s="2115"/>
      <c r="D131" s="2108"/>
      <c r="E131" s="1801"/>
      <c r="F131" s="1262" t="s">
        <v>363</v>
      </c>
      <c r="G131" s="1836">
        <v>1862</v>
      </c>
      <c r="H131" s="1343">
        <f>ROUND(E131*G131,)</f>
        <v>0</v>
      </c>
      <c r="I131" s="1344">
        <v>500</v>
      </c>
      <c r="J131" s="1343">
        <f t="shared" ref="J131:J134" si="35">ROUND(E131*I131,)</f>
        <v>0</v>
      </c>
      <c r="K131" s="1262">
        <f t="shared" ref="K131:K134" si="36">H131+J131</f>
        <v>0</v>
      </c>
      <c r="L131" s="1262"/>
    </row>
    <row r="132" spans="1:20" s="2116" customFormat="1" ht="24" customHeight="1">
      <c r="A132" s="2113"/>
      <c r="B132" s="2107" t="s">
        <v>1342</v>
      </c>
      <c r="C132" s="2115"/>
      <c r="D132" s="2108"/>
      <c r="E132" s="2091">
        <v>10</v>
      </c>
      <c r="F132" s="1262" t="s">
        <v>363</v>
      </c>
      <c r="G132" s="1836">
        <v>2159</v>
      </c>
      <c r="H132" s="1343">
        <f>ROUND(E132*G132,)</f>
        <v>21590</v>
      </c>
      <c r="I132" s="1344">
        <v>600</v>
      </c>
      <c r="J132" s="1343">
        <f t="shared" si="35"/>
        <v>6000</v>
      </c>
      <c r="K132" s="1262">
        <f t="shared" si="36"/>
        <v>27590</v>
      </c>
      <c r="L132" s="1262"/>
    </row>
    <row r="133" spans="1:20" s="2116" customFormat="1" ht="24" customHeight="1">
      <c r="A133" s="2113"/>
      <c r="B133" s="2114" t="s">
        <v>1759</v>
      </c>
      <c r="C133" s="2115"/>
      <c r="D133" s="2108"/>
      <c r="E133" s="1801"/>
      <c r="F133" s="1262" t="s">
        <v>363</v>
      </c>
      <c r="G133" s="1836">
        <v>2811</v>
      </c>
      <c r="H133" s="1343">
        <f>ROUND(E133*G133,)</f>
        <v>0</v>
      </c>
      <c r="I133" s="1344">
        <v>800</v>
      </c>
      <c r="J133" s="1343">
        <f t="shared" si="35"/>
        <v>0</v>
      </c>
      <c r="K133" s="1262">
        <f t="shared" si="36"/>
        <v>0</v>
      </c>
      <c r="L133" s="1415"/>
    </row>
    <row r="134" spans="1:20" s="2116" customFormat="1" ht="24" customHeight="1">
      <c r="A134" s="2113"/>
      <c r="B134" s="2114" t="s">
        <v>1866</v>
      </c>
      <c r="C134" s="2115"/>
      <c r="D134" s="2108"/>
      <c r="E134" s="1801"/>
      <c r="F134" s="1262" t="s">
        <v>363</v>
      </c>
      <c r="G134" s="1836">
        <v>14327</v>
      </c>
      <c r="H134" s="1343">
        <f>ROUND(E134*G134,)</f>
        <v>0</v>
      </c>
      <c r="I134" s="1344">
        <v>2000</v>
      </c>
      <c r="J134" s="1343">
        <f t="shared" si="35"/>
        <v>0</v>
      </c>
      <c r="K134" s="1262">
        <f t="shared" si="36"/>
        <v>0</v>
      </c>
      <c r="L134" s="1262"/>
    </row>
    <row r="135" spans="1:20" s="1765" customFormat="1" ht="24" customHeight="1">
      <c r="A135" s="2113" t="s">
        <v>2226</v>
      </c>
      <c r="B135" s="2114" t="s">
        <v>2067</v>
      </c>
      <c r="C135" s="2115"/>
      <c r="D135" s="2108"/>
      <c r="E135" s="1801"/>
      <c r="F135" s="1262"/>
      <c r="G135" s="1515"/>
      <c r="H135" s="1343"/>
      <c r="I135" s="1344"/>
      <c r="J135" s="1343"/>
      <c r="K135" s="1262"/>
      <c r="L135" s="1262"/>
    </row>
    <row r="136" spans="1:20" s="1765" customFormat="1" ht="24" customHeight="1">
      <c r="A136" s="2113"/>
      <c r="B136" s="2114" t="s">
        <v>1448</v>
      </c>
      <c r="C136" s="2115"/>
      <c r="D136" s="2108"/>
      <c r="E136" s="1853">
        <f>E125/2</f>
        <v>0</v>
      </c>
      <c r="F136" s="2154" t="s">
        <v>363</v>
      </c>
      <c r="G136" s="2159">
        <v>350</v>
      </c>
      <c r="H136" s="2156">
        <f t="shared" ref="H136:H140" si="37">ROUND(E136*G136,)</f>
        <v>0</v>
      </c>
      <c r="I136" s="2160">
        <v>150</v>
      </c>
      <c r="J136" s="2156">
        <f t="shared" ref="J136:J140" si="38">ROUND(E136*I136,)</f>
        <v>0</v>
      </c>
      <c r="K136" s="2154">
        <f t="shared" ref="K136:K140" si="39">H136+J136</f>
        <v>0</v>
      </c>
      <c r="L136" s="1262"/>
    </row>
    <row r="137" spans="1:20" s="1765" customFormat="1" ht="24" customHeight="1">
      <c r="A137" s="2113"/>
      <c r="B137" s="2114" t="s">
        <v>1338</v>
      </c>
      <c r="C137" s="2115"/>
      <c r="D137" s="2108"/>
      <c r="E137" s="1801">
        <f>E127/2</f>
        <v>0</v>
      </c>
      <c r="F137" s="1262" t="s">
        <v>363</v>
      </c>
      <c r="G137" s="1515">
        <v>1084</v>
      </c>
      <c r="H137" s="1343">
        <f t="shared" si="37"/>
        <v>0</v>
      </c>
      <c r="I137" s="1344">
        <v>250</v>
      </c>
      <c r="J137" s="1343">
        <f t="shared" si="38"/>
        <v>0</v>
      </c>
      <c r="K137" s="1262">
        <f t="shared" si="39"/>
        <v>0</v>
      </c>
      <c r="L137" s="1262"/>
    </row>
    <row r="138" spans="1:20" s="1765" customFormat="1" ht="24" customHeight="1">
      <c r="A138" s="2113"/>
      <c r="B138" s="2114" t="s">
        <v>1339</v>
      </c>
      <c r="C138" s="2115"/>
      <c r="D138" s="2108"/>
      <c r="E138" s="1801">
        <f>E128/2</f>
        <v>5</v>
      </c>
      <c r="F138" s="1262" t="s">
        <v>363</v>
      </c>
      <c r="G138" s="1515">
        <v>1710</v>
      </c>
      <c r="H138" s="1343">
        <f t="shared" si="37"/>
        <v>8550</v>
      </c>
      <c r="I138" s="1344">
        <v>300</v>
      </c>
      <c r="J138" s="1343">
        <f t="shared" si="38"/>
        <v>1500</v>
      </c>
      <c r="K138" s="1262">
        <f t="shared" si="39"/>
        <v>10050</v>
      </c>
      <c r="L138" s="1262"/>
    </row>
    <row r="139" spans="1:20" s="1765" customFormat="1" ht="24" customHeight="1">
      <c r="A139" s="2113"/>
      <c r="B139" s="2114" t="s">
        <v>1340</v>
      </c>
      <c r="C139" s="2115"/>
      <c r="D139" s="2108"/>
      <c r="E139" s="1801"/>
      <c r="F139" s="1262" t="s">
        <v>363</v>
      </c>
      <c r="G139" s="1836">
        <v>2839</v>
      </c>
      <c r="H139" s="1343">
        <f t="shared" si="37"/>
        <v>0</v>
      </c>
      <c r="I139" s="1344">
        <v>400</v>
      </c>
      <c r="J139" s="1343">
        <f t="shared" si="38"/>
        <v>0</v>
      </c>
      <c r="K139" s="1262">
        <f t="shared" si="39"/>
        <v>0</v>
      </c>
      <c r="L139" s="1262"/>
    </row>
    <row r="140" spans="1:20" s="2116" customFormat="1" ht="24" customHeight="1">
      <c r="A140" s="2113"/>
      <c r="B140" s="2114" t="s">
        <v>1341</v>
      </c>
      <c r="C140" s="2115"/>
      <c r="D140" s="2108"/>
      <c r="E140" s="1801"/>
      <c r="F140" s="1262" t="s">
        <v>363</v>
      </c>
      <c r="G140" s="1836">
        <v>4375</v>
      </c>
      <c r="H140" s="1343">
        <f t="shared" si="37"/>
        <v>0</v>
      </c>
      <c r="I140" s="1344">
        <v>500</v>
      </c>
      <c r="J140" s="1343">
        <f t="shared" si="38"/>
        <v>0</v>
      </c>
      <c r="K140" s="1262">
        <f t="shared" si="39"/>
        <v>0</v>
      </c>
      <c r="L140" s="1262"/>
      <c r="M140" s="2144"/>
      <c r="N140" s="2144"/>
      <c r="O140" s="2144"/>
      <c r="P140" s="2144"/>
      <c r="Q140" s="2144"/>
      <c r="R140" s="2144"/>
      <c r="S140" s="2144"/>
      <c r="T140" s="2144"/>
    </row>
    <row r="141" spans="1:20" s="2116" customFormat="1" ht="24" customHeight="1">
      <c r="A141" s="2113"/>
      <c r="B141" s="2153" t="s">
        <v>1834</v>
      </c>
      <c r="C141" s="2115"/>
      <c r="D141" s="2108"/>
      <c r="E141" s="2091">
        <v>5</v>
      </c>
      <c r="F141" s="1262" t="s">
        <v>363</v>
      </c>
      <c r="G141" s="1836">
        <v>4489</v>
      </c>
      <c r="H141" s="1343">
        <f>ROUND(E141*G141,)</f>
        <v>22445</v>
      </c>
      <c r="I141" s="1344">
        <v>600</v>
      </c>
      <c r="J141" s="1343">
        <f>ROUND(E141*I141,)</f>
        <v>3000</v>
      </c>
      <c r="K141" s="1262">
        <f>H141+J141</f>
        <v>25445</v>
      </c>
      <c r="L141" s="1262"/>
    </row>
    <row r="142" spans="1:20" s="2116" customFormat="1" ht="24" customHeight="1">
      <c r="A142" s="2113"/>
      <c r="B142" s="2114" t="s">
        <v>1759</v>
      </c>
      <c r="C142" s="2115"/>
      <c r="D142" s="2108"/>
      <c r="E142" s="1801"/>
      <c r="F142" s="1262" t="s">
        <v>363</v>
      </c>
      <c r="G142" s="1836">
        <v>6528</v>
      </c>
      <c r="H142" s="1343">
        <f>ROUND(E142*G142,)</f>
        <v>0</v>
      </c>
      <c r="I142" s="1344">
        <v>800</v>
      </c>
      <c r="J142" s="1343">
        <f>ROUND(E142*I142,)</f>
        <v>0</v>
      </c>
      <c r="K142" s="1262">
        <f>H142+J142</f>
        <v>0</v>
      </c>
      <c r="L142" s="1262"/>
    </row>
    <row r="143" spans="1:20" s="1765" customFormat="1" ht="24" customHeight="1">
      <c r="A143" s="2113" t="s">
        <v>2227</v>
      </c>
      <c r="B143" s="2114" t="s">
        <v>2069</v>
      </c>
      <c r="C143" s="2115"/>
      <c r="D143" s="2108"/>
      <c r="E143" s="1801"/>
      <c r="F143" s="1262"/>
      <c r="G143" s="1836"/>
      <c r="H143" s="1343"/>
      <c r="I143" s="1344"/>
      <c r="J143" s="1343"/>
      <c r="K143" s="1262"/>
      <c r="L143" s="1262"/>
    </row>
    <row r="144" spans="1:20" s="1765" customFormat="1" ht="24" customHeight="1">
      <c r="A144" s="2113"/>
      <c r="B144" s="2114" t="s">
        <v>1338</v>
      </c>
      <c r="C144" s="2115"/>
      <c r="D144" s="2108"/>
      <c r="E144" s="1801"/>
      <c r="F144" s="1262" t="s">
        <v>363</v>
      </c>
      <c r="G144" s="1515">
        <v>1863</v>
      </c>
      <c r="H144" s="1343">
        <f t="shared" ref="H144:H145" si="40">ROUND(E144*G144,)</f>
        <v>0</v>
      </c>
      <c r="I144" s="1344">
        <v>250</v>
      </c>
      <c r="J144" s="1343">
        <f t="shared" ref="J144:J145" si="41">ROUND(E144*I144,)</f>
        <v>0</v>
      </c>
      <c r="K144" s="1262">
        <f t="shared" ref="K144:K145" si="42">H144+J144</f>
        <v>0</v>
      </c>
      <c r="L144" s="1262"/>
    </row>
    <row r="145" spans="1:12" s="1765" customFormat="1" ht="24" customHeight="1">
      <c r="A145" s="2113"/>
      <c r="B145" s="2114" t="s">
        <v>1339</v>
      </c>
      <c r="C145" s="2115"/>
      <c r="D145" s="2108"/>
      <c r="E145" s="1801"/>
      <c r="F145" s="1262" t="s">
        <v>363</v>
      </c>
      <c r="G145" s="1515">
        <v>2130</v>
      </c>
      <c r="H145" s="1343">
        <f t="shared" si="40"/>
        <v>0</v>
      </c>
      <c r="I145" s="1344">
        <v>300</v>
      </c>
      <c r="J145" s="1343">
        <f t="shared" si="41"/>
        <v>0</v>
      </c>
      <c r="K145" s="1262">
        <f t="shared" si="42"/>
        <v>0</v>
      </c>
      <c r="L145" s="1262"/>
    </row>
    <row r="146" spans="1:12" s="2116" customFormat="1" ht="24" customHeight="1">
      <c r="A146" s="2113"/>
      <c r="B146" s="2153" t="s">
        <v>1856</v>
      </c>
      <c r="C146" s="2115"/>
      <c r="D146" s="2108"/>
      <c r="E146" s="2091"/>
      <c r="F146" s="1262" t="s">
        <v>363</v>
      </c>
      <c r="G146" s="1515">
        <v>3876</v>
      </c>
      <c r="H146" s="1343">
        <f>ROUND(E146*G146,)</f>
        <v>0</v>
      </c>
      <c r="I146" s="1344">
        <v>500</v>
      </c>
      <c r="J146" s="1343">
        <f>ROUND(E146*I146,)</f>
        <v>0</v>
      </c>
      <c r="K146" s="1262">
        <f>H146+J146</f>
        <v>0</v>
      </c>
      <c r="L146" s="1262"/>
    </row>
    <row r="147" spans="1:12" s="2116" customFormat="1" ht="24" customHeight="1">
      <c r="A147" s="2113"/>
      <c r="B147" s="2153" t="s">
        <v>1834</v>
      </c>
      <c r="C147" s="2115"/>
      <c r="D147" s="2108"/>
      <c r="E147" s="2091">
        <v>10</v>
      </c>
      <c r="F147" s="1262" t="s">
        <v>363</v>
      </c>
      <c r="G147" s="1515">
        <v>4175</v>
      </c>
      <c r="H147" s="1343">
        <f>ROUND(E147*G147,)</f>
        <v>41750</v>
      </c>
      <c r="I147" s="1344">
        <v>600</v>
      </c>
      <c r="J147" s="1343">
        <f>ROUND(E147*I147,)</f>
        <v>6000</v>
      </c>
      <c r="K147" s="1262">
        <f>H147+J147</f>
        <v>47750</v>
      </c>
      <c r="L147" s="1262"/>
    </row>
    <row r="148" spans="1:12" s="2116" customFormat="1" ht="24" customHeight="1">
      <c r="A148" s="2113"/>
      <c r="B148" s="2114" t="s">
        <v>1759</v>
      </c>
      <c r="C148" s="2115"/>
      <c r="D148" s="2108"/>
      <c r="E148" s="1801"/>
      <c r="F148" s="1262" t="s">
        <v>363</v>
      </c>
      <c r="G148" s="1836">
        <v>5541</v>
      </c>
      <c r="H148" s="1343">
        <f>ROUND(E148*G148,)</f>
        <v>0</v>
      </c>
      <c r="I148" s="1344">
        <v>800</v>
      </c>
      <c r="J148" s="1343">
        <f t="shared" ref="J148:J149" si="43">ROUND(E148*I148,)</f>
        <v>0</v>
      </c>
      <c r="K148" s="1262">
        <f t="shared" ref="K148:K149" si="44">H148+J148</f>
        <v>0</v>
      </c>
      <c r="L148" s="1262"/>
    </row>
    <row r="149" spans="1:12" s="2116" customFormat="1" ht="24" customHeight="1">
      <c r="A149" s="2113"/>
      <c r="B149" s="2114" t="s">
        <v>1866</v>
      </c>
      <c r="C149" s="2115"/>
      <c r="D149" s="2108"/>
      <c r="E149" s="1801"/>
      <c r="F149" s="1262"/>
      <c r="G149" s="1836">
        <v>18915</v>
      </c>
      <c r="H149" s="1343">
        <f>ROUND(E149*G149,)</f>
        <v>0</v>
      </c>
      <c r="I149" s="1344">
        <v>2000</v>
      </c>
      <c r="J149" s="1343">
        <f t="shared" si="43"/>
        <v>0</v>
      </c>
      <c r="K149" s="1262">
        <f t="shared" si="44"/>
        <v>0</v>
      </c>
      <c r="L149" s="1262"/>
    </row>
    <row r="150" spans="1:12" s="2116" customFormat="1" ht="24" customHeight="1">
      <c r="A150" s="2113" t="s">
        <v>2883</v>
      </c>
      <c r="B150" s="2114" t="s">
        <v>2728</v>
      </c>
      <c r="C150" s="2115"/>
      <c r="D150" s="2108"/>
      <c r="E150" s="1801"/>
      <c r="F150" s="1262"/>
      <c r="G150" s="1515"/>
      <c r="H150" s="1343"/>
      <c r="I150" s="1344"/>
      <c r="J150" s="1343"/>
      <c r="K150" s="1262"/>
      <c r="L150" s="1262"/>
    </row>
    <row r="151" spans="1:12" s="2116" customFormat="1" ht="24" customHeight="1">
      <c r="A151" s="2113"/>
      <c r="B151" s="2153" t="s">
        <v>1865</v>
      </c>
      <c r="C151" s="2115"/>
      <c r="D151" s="2108"/>
      <c r="E151" s="2091">
        <v>5</v>
      </c>
      <c r="F151" s="1262" t="s">
        <v>363</v>
      </c>
      <c r="G151" s="1515">
        <v>300</v>
      </c>
      <c r="H151" s="1343">
        <f>ROUND(E151*G151,)</f>
        <v>1500</v>
      </c>
      <c r="I151" s="1344">
        <v>200</v>
      </c>
      <c r="J151" s="1343">
        <f>ROUND(E151*I151,)</f>
        <v>1000</v>
      </c>
      <c r="K151" s="1262">
        <f>H151+J151</f>
        <v>2500</v>
      </c>
      <c r="L151" s="1262"/>
    </row>
    <row r="152" spans="1:12" s="1765" customFormat="1" ht="24" customHeight="1">
      <c r="A152" s="2113" t="s">
        <v>2884</v>
      </c>
      <c r="B152" s="2114" t="s">
        <v>1730</v>
      </c>
      <c r="C152" s="2115"/>
      <c r="D152" s="2108"/>
      <c r="E152" s="1801"/>
      <c r="F152" s="1262"/>
      <c r="G152" s="1515"/>
      <c r="H152" s="1343"/>
      <c r="I152" s="1344"/>
      <c r="J152" s="1343"/>
      <c r="K152" s="1262"/>
      <c r="L152" s="1262"/>
    </row>
    <row r="153" spans="1:12" s="2116" customFormat="1" ht="24" customHeight="1">
      <c r="A153" s="2113"/>
      <c r="B153" s="2114" t="s">
        <v>1337</v>
      </c>
      <c r="C153" s="2115"/>
      <c r="D153" s="2108"/>
      <c r="E153" s="1801">
        <v>5</v>
      </c>
      <c r="F153" s="1262" t="s">
        <v>363</v>
      </c>
      <c r="G153" s="1515">
        <v>2400</v>
      </c>
      <c r="H153" s="1343">
        <f t="shared" ref="H153:H155" si="45">ROUND(E153*G153,)</f>
        <v>12000</v>
      </c>
      <c r="I153" s="1344">
        <v>200</v>
      </c>
      <c r="J153" s="1343">
        <f t="shared" ref="J153:J155" si="46">ROUND(E153*I153,)</f>
        <v>1000</v>
      </c>
      <c r="K153" s="1262">
        <f t="shared" ref="K153:K155" si="47">H153+J153</f>
        <v>13000</v>
      </c>
      <c r="L153" s="1415"/>
    </row>
    <row r="154" spans="1:12" s="2116" customFormat="1" ht="24" customHeight="1">
      <c r="A154" s="2113" t="s">
        <v>2885</v>
      </c>
      <c r="B154" s="2114" t="s">
        <v>1741</v>
      </c>
      <c r="C154" s="2115"/>
      <c r="D154" s="2108"/>
      <c r="E154" s="1801">
        <v>10</v>
      </c>
      <c r="F154" s="1262" t="s">
        <v>363</v>
      </c>
      <c r="G154" s="1515">
        <v>1452</v>
      </c>
      <c r="H154" s="1343">
        <f t="shared" si="45"/>
        <v>14520</v>
      </c>
      <c r="I154" s="1344">
        <v>100</v>
      </c>
      <c r="J154" s="1343">
        <f t="shared" si="46"/>
        <v>1000</v>
      </c>
      <c r="K154" s="1262">
        <f t="shared" si="47"/>
        <v>15520</v>
      </c>
      <c r="L154" s="1262"/>
    </row>
    <row r="155" spans="1:12" s="2116" customFormat="1" ht="24" customHeight="1">
      <c r="A155" s="2113" t="s">
        <v>2886</v>
      </c>
      <c r="B155" s="2114" t="s">
        <v>1987</v>
      </c>
      <c r="C155" s="2115"/>
      <c r="D155" s="2108"/>
      <c r="E155" s="1801">
        <v>10</v>
      </c>
      <c r="F155" s="1262" t="s">
        <v>363</v>
      </c>
      <c r="G155" s="1515">
        <v>1590</v>
      </c>
      <c r="H155" s="1343">
        <f t="shared" si="45"/>
        <v>15900</v>
      </c>
      <c r="I155" s="1344">
        <v>100</v>
      </c>
      <c r="J155" s="1343">
        <f t="shared" si="46"/>
        <v>1000</v>
      </c>
      <c r="K155" s="1262">
        <f t="shared" si="47"/>
        <v>16900</v>
      </c>
      <c r="L155" s="1262"/>
    </row>
    <row r="156" spans="1:12" s="1765" customFormat="1" ht="24" customHeight="1">
      <c r="A156" s="2113"/>
      <c r="B156" s="2114" t="s">
        <v>1117</v>
      </c>
      <c r="C156" s="2115"/>
      <c r="D156" s="2108"/>
      <c r="E156" s="1801"/>
      <c r="F156" s="1262"/>
      <c r="G156" s="1515"/>
      <c r="H156" s="1343"/>
      <c r="I156" s="1344"/>
      <c r="J156" s="1343"/>
      <c r="K156" s="1262"/>
      <c r="L156" s="1262"/>
    </row>
    <row r="157" spans="1:12" s="1765" customFormat="1" ht="24" customHeight="1">
      <c r="A157" s="2113"/>
      <c r="B157" s="2114" t="s">
        <v>1118</v>
      </c>
      <c r="C157" s="2115"/>
      <c r="D157" s="2108"/>
      <c r="E157" s="1801"/>
      <c r="F157" s="1262"/>
      <c r="G157" s="1515"/>
      <c r="H157" s="1343"/>
      <c r="I157" s="1344"/>
      <c r="J157" s="1343"/>
      <c r="K157" s="1262"/>
      <c r="L157" s="1262"/>
    </row>
    <row r="158" spans="1:12" s="1765" customFormat="1" ht="24" customHeight="1">
      <c r="A158" s="1791"/>
      <c r="B158" s="1792"/>
      <c r="C158" s="1702"/>
      <c r="D158" s="1486"/>
      <c r="E158" s="1793"/>
      <c r="F158" s="1487"/>
      <c r="G158" s="1864"/>
      <c r="H158" s="1425"/>
      <c r="I158" s="1488"/>
      <c r="J158" s="1425"/>
      <c r="K158" s="1426"/>
      <c r="L158" s="1426"/>
    </row>
    <row r="159" spans="1:12" s="1765" customFormat="1" ht="24" customHeight="1">
      <c r="A159" s="1578"/>
      <c r="B159" s="2257" t="str">
        <f>"รวมราคารายการที่ "&amp;A123</f>
        <v>รวมราคารายการที่ 7.6</v>
      </c>
      <c r="C159" s="2258"/>
      <c r="D159" s="2259"/>
      <c r="E159" s="1579"/>
      <c r="F159" s="1579"/>
      <c r="G159" s="1580"/>
      <c r="H159" s="1581">
        <f>SUM(H123:H158)</f>
        <v>164355</v>
      </c>
      <c r="I159" s="1582"/>
      <c r="J159" s="1581">
        <f>SUM(J123:J158)</f>
        <v>23500</v>
      </c>
      <c r="K159" s="1581">
        <f>SUM(K123:K158)</f>
        <v>187855</v>
      </c>
      <c r="L159" s="1583"/>
    </row>
    <row r="160" spans="1:12" s="1765" customFormat="1" ht="24" customHeight="1">
      <c r="A160" s="1847" t="s">
        <v>2308</v>
      </c>
      <c r="B160" s="1848" t="s">
        <v>2177</v>
      </c>
      <c r="C160" s="1849"/>
      <c r="D160" s="1354"/>
      <c r="E160" s="1802"/>
      <c r="F160" s="1356"/>
      <c r="G160" s="1803"/>
      <c r="H160" s="1369"/>
      <c r="I160" s="1370"/>
      <c r="J160" s="1369"/>
      <c r="K160" s="1356"/>
      <c r="L160" s="1356"/>
    </row>
    <row r="161" spans="1:16" s="1765" customFormat="1" ht="24" customHeight="1">
      <c r="A161" s="2113" t="s">
        <v>2084</v>
      </c>
      <c r="B161" s="2149" t="s">
        <v>2729</v>
      </c>
      <c r="C161" s="2115"/>
      <c r="D161" s="2150"/>
      <c r="E161" s="1802"/>
      <c r="F161" s="1356"/>
      <c r="G161" s="1803"/>
      <c r="H161" s="1369"/>
      <c r="I161" s="1370"/>
      <c r="J161" s="1369"/>
      <c r="K161" s="1356"/>
      <c r="L161" s="1356"/>
    </row>
    <row r="162" spans="1:16" s="2116" customFormat="1" ht="24" customHeight="1">
      <c r="A162" s="2113"/>
      <c r="B162" s="2107" t="s">
        <v>2733</v>
      </c>
      <c r="C162" s="2115"/>
      <c r="D162" s="2108"/>
      <c r="E162" s="1801">
        <v>1</v>
      </c>
      <c r="F162" s="1262" t="s">
        <v>363</v>
      </c>
      <c r="G162" s="1515">
        <v>89000</v>
      </c>
      <c r="H162" s="1413">
        <f t="shared" ref="H162:H167" si="48">ROUND(E162*G162,)</f>
        <v>89000</v>
      </c>
      <c r="I162" s="1515">
        <f>G162*0.1</f>
        <v>8900</v>
      </c>
      <c r="J162" s="1413">
        <f t="shared" ref="J162:J167" si="49">ROUND(E162*I162,)</f>
        <v>8900</v>
      </c>
      <c r="K162" s="1415">
        <f t="shared" ref="K162:K167" si="50">H162+J162</f>
        <v>97900</v>
      </c>
      <c r="L162" s="1262"/>
    </row>
    <row r="163" spans="1:16" s="2116" customFormat="1" ht="24" customHeight="1">
      <c r="A163" s="2113"/>
      <c r="B163" s="2107" t="s">
        <v>2734</v>
      </c>
      <c r="C163" s="2115"/>
      <c r="D163" s="2108"/>
      <c r="E163" s="1801">
        <v>1</v>
      </c>
      <c r="F163" s="1262" t="s">
        <v>363</v>
      </c>
      <c r="G163" s="1515">
        <v>89000</v>
      </c>
      <c r="H163" s="1413">
        <f t="shared" si="48"/>
        <v>89000</v>
      </c>
      <c r="I163" s="1515">
        <f t="shared" ref="I163:I166" si="51">G163*0.1</f>
        <v>8900</v>
      </c>
      <c r="J163" s="1413">
        <f t="shared" si="49"/>
        <v>8900</v>
      </c>
      <c r="K163" s="1415">
        <f t="shared" si="50"/>
        <v>97900</v>
      </c>
      <c r="L163" s="1262"/>
    </row>
    <row r="164" spans="1:16" s="2116" customFormat="1" ht="24" customHeight="1">
      <c r="A164" s="2113"/>
      <c r="B164" s="2107" t="s">
        <v>2735</v>
      </c>
      <c r="C164" s="2115"/>
      <c r="D164" s="2108"/>
      <c r="E164" s="1801">
        <v>1</v>
      </c>
      <c r="F164" s="1262" t="s">
        <v>363</v>
      </c>
      <c r="G164" s="1515">
        <v>89000</v>
      </c>
      <c r="H164" s="1413">
        <f t="shared" si="48"/>
        <v>89000</v>
      </c>
      <c r="I164" s="1515">
        <f t="shared" si="51"/>
        <v>8900</v>
      </c>
      <c r="J164" s="1413">
        <f t="shared" si="49"/>
        <v>8900</v>
      </c>
      <c r="K164" s="1415">
        <f t="shared" si="50"/>
        <v>97900</v>
      </c>
      <c r="L164" s="1262"/>
    </row>
    <row r="165" spans="1:16" s="2116" customFormat="1" ht="24" customHeight="1">
      <c r="A165" s="2113"/>
      <c r="B165" s="2107" t="s">
        <v>2757</v>
      </c>
      <c r="C165" s="2115"/>
      <c r="D165" s="2108"/>
      <c r="E165" s="1801">
        <v>1</v>
      </c>
      <c r="F165" s="1262" t="s">
        <v>363</v>
      </c>
      <c r="G165" s="1515">
        <v>89000</v>
      </c>
      <c r="H165" s="1413">
        <f t="shared" si="48"/>
        <v>89000</v>
      </c>
      <c r="I165" s="1515">
        <f t="shared" si="51"/>
        <v>8900</v>
      </c>
      <c r="J165" s="1413">
        <f t="shared" si="49"/>
        <v>8900</v>
      </c>
      <c r="K165" s="1415">
        <f t="shared" si="50"/>
        <v>97900</v>
      </c>
      <c r="L165" s="1262"/>
    </row>
    <row r="166" spans="1:16" s="2116" customFormat="1" ht="24" customHeight="1">
      <c r="A166" s="2113"/>
      <c r="B166" s="2107" t="s">
        <v>2758</v>
      </c>
      <c r="C166" s="2115"/>
      <c r="D166" s="2108"/>
      <c r="E166" s="1801">
        <v>1</v>
      </c>
      <c r="F166" s="1262" t="s">
        <v>363</v>
      </c>
      <c r="G166" s="1515">
        <v>89000</v>
      </c>
      <c r="H166" s="1413">
        <f t="shared" si="48"/>
        <v>89000</v>
      </c>
      <c r="I166" s="1515">
        <f t="shared" si="51"/>
        <v>8900</v>
      </c>
      <c r="J166" s="1413">
        <f t="shared" si="49"/>
        <v>8900</v>
      </c>
      <c r="K166" s="1415">
        <f t="shared" si="50"/>
        <v>97900</v>
      </c>
      <c r="L166" s="1262"/>
    </row>
    <row r="167" spans="1:16" s="1765" customFormat="1" ht="24" customHeight="1">
      <c r="A167" s="2113"/>
      <c r="B167" s="2149"/>
      <c r="C167" s="2115"/>
      <c r="D167" s="2150"/>
      <c r="E167" s="1801"/>
      <c r="F167" s="1356" t="s">
        <v>363</v>
      </c>
      <c r="G167" s="1515">
        <v>33000</v>
      </c>
      <c r="H167" s="820">
        <f t="shared" si="48"/>
        <v>0</v>
      </c>
      <c r="I167" s="1515">
        <v>1500</v>
      </c>
      <c r="J167" s="820">
        <f t="shared" si="49"/>
        <v>0</v>
      </c>
      <c r="K167" s="1457">
        <f t="shared" si="50"/>
        <v>0</v>
      </c>
      <c r="L167" s="1356"/>
    </row>
    <row r="168" spans="1:16" s="1765" customFormat="1" ht="24" customHeight="1">
      <c r="A168" s="2113" t="s">
        <v>2089</v>
      </c>
      <c r="B168" s="2149" t="s">
        <v>1355</v>
      </c>
      <c r="C168" s="2115"/>
      <c r="D168" s="2150"/>
      <c r="E168" s="1801"/>
      <c r="F168" s="1356"/>
      <c r="G168" s="1515"/>
      <c r="H168" s="1369"/>
      <c r="I168" s="1370"/>
      <c r="J168" s="1369"/>
      <c r="K168" s="1356"/>
      <c r="L168" s="1356"/>
    </row>
    <row r="169" spans="1:16" s="1765" customFormat="1" ht="24" customHeight="1">
      <c r="A169" s="2113"/>
      <c r="B169" s="2149" t="s">
        <v>1811</v>
      </c>
      <c r="C169" s="2115"/>
      <c r="D169" s="2150"/>
      <c r="E169" s="1801"/>
      <c r="F169" s="1356" t="s">
        <v>226</v>
      </c>
      <c r="G169" s="1386">
        <v>9</v>
      </c>
      <c r="H169" s="1343">
        <f t="shared" ref="H169:H170" si="52">ROUND(E169*G169,)</f>
        <v>0</v>
      </c>
      <c r="I169" s="1344">
        <v>7</v>
      </c>
      <c r="J169" s="1413">
        <f t="shared" ref="J169:J170" si="53">ROUND(E169*I169,)</f>
        <v>0</v>
      </c>
      <c r="K169" s="1415">
        <f t="shared" ref="K169:K170" si="54">H169+J169</f>
        <v>0</v>
      </c>
      <c r="L169" s="2151" t="s">
        <v>2667</v>
      </c>
      <c r="N169" s="1854">
        <v>912.1</v>
      </c>
      <c r="O169" s="1854">
        <f t="shared" ref="O169:O170" si="55">ROUND(N169/100,)</f>
        <v>9</v>
      </c>
    </row>
    <row r="170" spans="1:16" s="2116" customFormat="1" ht="24" customHeight="1">
      <c r="A170" s="2113"/>
      <c r="B170" s="2107" t="s">
        <v>1317</v>
      </c>
      <c r="C170" s="2115"/>
      <c r="D170" s="2108"/>
      <c r="E170" s="1801">
        <f>4*5*1.5*5</f>
        <v>150</v>
      </c>
      <c r="F170" s="1262" t="s">
        <v>226</v>
      </c>
      <c r="G170" s="1386">
        <v>23</v>
      </c>
      <c r="H170" s="1343">
        <f t="shared" si="52"/>
        <v>3450</v>
      </c>
      <c r="I170" s="1344">
        <v>12</v>
      </c>
      <c r="J170" s="1343">
        <f t="shared" si="53"/>
        <v>1800</v>
      </c>
      <c r="K170" s="1262">
        <f t="shared" si="54"/>
        <v>5250</v>
      </c>
      <c r="L170" s="2151" t="s">
        <v>2667</v>
      </c>
      <c r="N170" s="2117">
        <v>2264.1999999999998</v>
      </c>
      <c r="O170" s="2117">
        <f t="shared" si="55"/>
        <v>23</v>
      </c>
      <c r="P170" s="2117"/>
    </row>
    <row r="171" spans="1:16" s="1765" customFormat="1" ht="24" customHeight="1">
      <c r="A171" s="2113" t="s">
        <v>2266</v>
      </c>
      <c r="B171" s="2149" t="s">
        <v>1110</v>
      </c>
      <c r="C171" s="2115"/>
      <c r="D171" s="2150"/>
      <c r="E171" s="1801"/>
      <c r="F171" s="1356"/>
      <c r="G171" s="1515"/>
      <c r="H171" s="1369"/>
      <c r="I171" s="1370"/>
      <c r="J171" s="1369"/>
      <c r="K171" s="1356"/>
      <c r="L171" s="1356"/>
    </row>
    <row r="172" spans="1:16" s="1765" customFormat="1" ht="24" customHeight="1">
      <c r="A172" s="2113"/>
      <c r="B172" s="2149" t="s">
        <v>1350</v>
      </c>
      <c r="C172" s="2115"/>
      <c r="D172" s="2150"/>
      <c r="E172" s="1801"/>
      <c r="F172" s="1356" t="s">
        <v>226</v>
      </c>
      <c r="G172" s="1515">
        <v>56</v>
      </c>
      <c r="H172" s="1343">
        <f t="shared" ref="H172:H174" si="56">ROUND(E172*G172,)</f>
        <v>0</v>
      </c>
      <c r="I172" s="1344">
        <v>26</v>
      </c>
      <c r="J172" s="1413">
        <f t="shared" ref="J172:J174" si="57">ROUND(E172*I172,)</f>
        <v>0</v>
      </c>
      <c r="K172" s="1415">
        <f t="shared" ref="K172:K174" si="58">H172+J172</f>
        <v>0</v>
      </c>
      <c r="L172" s="2152" t="s">
        <v>2667</v>
      </c>
      <c r="M172" s="2002"/>
      <c r="N172" s="1765">
        <v>169.2</v>
      </c>
      <c r="O172" s="1765">
        <f t="shared" ref="O172:O173" si="59">ROUND(N172/3,)</f>
        <v>56</v>
      </c>
    </row>
    <row r="173" spans="1:16" s="2116" customFormat="1" ht="24" customHeight="1">
      <c r="A173" s="2113"/>
      <c r="B173" s="2107" t="s">
        <v>1448</v>
      </c>
      <c r="C173" s="2115"/>
      <c r="D173" s="2108"/>
      <c r="E173" s="1801">
        <f>E170</f>
        <v>150</v>
      </c>
      <c r="F173" s="1262" t="s">
        <v>226</v>
      </c>
      <c r="G173" s="1515">
        <v>75</v>
      </c>
      <c r="H173" s="1343">
        <f t="shared" si="56"/>
        <v>11250</v>
      </c>
      <c r="I173" s="1344">
        <v>28</v>
      </c>
      <c r="J173" s="1413">
        <f t="shared" si="57"/>
        <v>4200</v>
      </c>
      <c r="K173" s="1415">
        <f t="shared" si="58"/>
        <v>15450</v>
      </c>
      <c r="L173" s="2152" t="s">
        <v>2667</v>
      </c>
      <c r="M173" s="2118"/>
      <c r="N173" s="2116">
        <v>225</v>
      </c>
      <c r="O173" s="2116">
        <f t="shared" si="59"/>
        <v>75</v>
      </c>
      <c r="P173" s="2117"/>
    </row>
    <row r="174" spans="1:16" s="1765" customFormat="1" ht="24" customHeight="1">
      <c r="A174" s="2113"/>
      <c r="B174" s="2149" t="s">
        <v>1384</v>
      </c>
      <c r="C174" s="2115"/>
      <c r="D174" s="2150"/>
      <c r="E174" s="1801">
        <v>1</v>
      </c>
      <c r="F174" s="1356" t="s">
        <v>1104</v>
      </c>
      <c r="G174" s="1515">
        <f>SUM(H172:H173)*15%</f>
        <v>1687.5</v>
      </c>
      <c r="H174" s="820">
        <f t="shared" si="56"/>
        <v>1688</v>
      </c>
      <c r="I174" s="1414">
        <f>G174*0.3</f>
        <v>506.25</v>
      </c>
      <c r="J174" s="820">
        <f t="shared" si="57"/>
        <v>506</v>
      </c>
      <c r="K174" s="1457">
        <f t="shared" si="58"/>
        <v>2194</v>
      </c>
      <c r="L174" s="1356"/>
    </row>
    <row r="175" spans="1:16" s="1765" customFormat="1" ht="24" customHeight="1">
      <c r="A175" s="2113"/>
      <c r="B175" s="2107" t="s">
        <v>1117</v>
      </c>
      <c r="C175" s="2115"/>
      <c r="D175" s="2108"/>
      <c r="E175" s="1801"/>
      <c r="F175" s="1262"/>
      <c r="G175" s="1515"/>
      <c r="H175" s="1343"/>
      <c r="I175" s="1344"/>
      <c r="J175" s="1343"/>
      <c r="K175" s="1262"/>
      <c r="L175" s="1262"/>
    </row>
    <row r="176" spans="1:16" s="1765" customFormat="1" ht="24" customHeight="1">
      <c r="A176" s="2113"/>
      <c r="B176" s="2107"/>
      <c r="C176" s="2115"/>
      <c r="D176" s="2108"/>
      <c r="E176" s="1801"/>
      <c r="F176" s="1262"/>
      <c r="G176" s="1515"/>
      <c r="H176" s="1343"/>
      <c r="I176" s="1344"/>
      <c r="J176" s="1343"/>
      <c r="K176" s="1262"/>
      <c r="L176" s="1262"/>
    </row>
    <row r="177" spans="1:12" s="1765" customFormat="1" ht="24" customHeight="1">
      <c r="A177" s="2113"/>
      <c r="B177" s="2107"/>
      <c r="C177" s="2115"/>
      <c r="D177" s="2108"/>
      <c r="E177" s="1801"/>
      <c r="F177" s="1262"/>
      <c r="G177" s="1515"/>
      <c r="H177" s="1343"/>
      <c r="I177" s="1344"/>
      <c r="J177" s="1343"/>
      <c r="K177" s="1262"/>
      <c r="L177" s="1262"/>
    </row>
    <row r="178" spans="1:12" s="1765" customFormat="1" ht="24" customHeight="1">
      <c r="A178" s="1578"/>
      <c r="B178" s="2257" t="str">
        <f>"รวมราคารายการที่ "&amp;A160</f>
        <v>รวมราคารายการที่ 7.7</v>
      </c>
      <c r="C178" s="2258"/>
      <c r="D178" s="2259"/>
      <c r="E178" s="1579"/>
      <c r="F178" s="1579"/>
      <c r="G178" s="1580"/>
      <c r="H178" s="1581">
        <f>SUM(H160:H177)</f>
        <v>461388</v>
      </c>
      <c r="I178" s="1582"/>
      <c r="J178" s="1581">
        <f>SUM(J160:J177)</f>
        <v>51006</v>
      </c>
      <c r="K178" s="1581">
        <f>SUM(K160:K177)</f>
        <v>512394</v>
      </c>
      <c r="L178" s="1583"/>
    </row>
    <row r="179" spans="1:12" s="1765" customFormat="1" ht="24" customHeight="1">
      <c r="A179" s="1291" t="s">
        <v>2091</v>
      </c>
      <c r="B179" s="1776" t="s">
        <v>2109</v>
      </c>
      <c r="C179" s="1293"/>
      <c r="D179" s="1294"/>
      <c r="E179" s="1786"/>
      <c r="F179" s="1296"/>
      <c r="G179" s="1357"/>
      <c r="H179" s="1298"/>
      <c r="I179" s="1299"/>
      <c r="J179" s="1298"/>
      <c r="K179" s="1382"/>
      <c r="L179" s="1382"/>
    </row>
    <row r="180" spans="1:12" s="1765" customFormat="1" ht="24" customHeight="1">
      <c r="A180" s="1766" t="s">
        <v>2093</v>
      </c>
      <c r="B180" s="1799" t="s">
        <v>2111</v>
      </c>
      <c r="C180" s="1800"/>
      <c r="D180" s="1375"/>
      <c r="E180" s="1802"/>
      <c r="F180" s="1356" t="s">
        <v>363</v>
      </c>
      <c r="G180" s="1803">
        <v>690000</v>
      </c>
      <c r="H180" s="1343">
        <f t="shared" ref="H180" si="60">ROUND(E180*G180,)</f>
        <v>0</v>
      </c>
      <c r="I180" s="1370">
        <v>17250</v>
      </c>
      <c r="J180" s="1343">
        <f t="shared" ref="J180:J187" si="61">ROUND(E180*I180,)</f>
        <v>0</v>
      </c>
      <c r="K180" s="1262">
        <f t="shared" ref="K180:K187" si="62">H180+J180</f>
        <v>0</v>
      </c>
      <c r="L180" s="1356"/>
    </row>
    <row r="181" spans="1:12" s="1765" customFormat="1" ht="24" customHeight="1">
      <c r="A181" s="1766" t="s">
        <v>2096</v>
      </c>
      <c r="B181" s="1799" t="s">
        <v>2113</v>
      </c>
      <c r="C181" s="1800"/>
      <c r="D181" s="1375"/>
      <c r="E181" s="1802"/>
      <c r="F181" s="1356" t="s">
        <v>363</v>
      </c>
      <c r="G181" s="1803">
        <v>80000</v>
      </c>
      <c r="H181" s="1343">
        <f>ROUND(E181*G181,)</f>
        <v>0</v>
      </c>
      <c r="I181" s="1370">
        <v>2000</v>
      </c>
      <c r="J181" s="1343">
        <f t="shared" si="61"/>
        <v>0</v>
      </c>
      <c r="K181" s="1262">
        <f t="shared" si="62"/>
        <v>0</v>
      </c>
      <c r="L181" s="1356"/>
    </row>
    <row r="182" spans="1:12" s="1765" customFormat="1" ht="24" customHeight="1">
      <c r="A182" s="1766" t="s">
        <v>2099</v>
      </c>
      <c r="B182" s="1538" t="s">
        <v>1816</v>
      </c>
      <c r="C182" s="1437"/>
      <c r="D182" s="1275"/>
      <c r="E182" s="1768"/>
      <c r="F182" s="1358"/>
      <c r="G182" s="1516">
        <v>950000</v>
      </c>
      <c r="H182" s="1264">
        <f t="shared" ref="H182:H187" si="63">ROUND(E182*G182,)</f>
        <v>0</v>
      </c>
      <c r="I182" s="1265">
        <f>G182*0.015</f>
        <v>14250</v>
      </c>
      <c r="J182" s="1264">
        <f t="shared" si="61"/>
        <v>0</v>
      </c>
      <c r="K182" s="1273">
        <f t="shared" si="62"/>
        <v>0</v>
      </c>
      <c r="L182" s="1273"/>
    </row>
    <row r="183" spans="1:12" s="1765" customFormat="1" ht="24" customHeight="1">
      <c r="A183" s="1766"/>
      <c r="B183" s="1538" t="s">
        <v>2115</v>
      </c>
      <c r="C183" s="1437"/>
      <c r="D183" s="1275"/>
      <c r="E183" s="1768">
        <v>5</v>
      </c>
      <c r="F183" s="1358" t="s">
        <v>363</v>
      </c>
      <c r="G183" s="1515">
        <v>2650</v>
      </c>
      <c r="H183" s="1343">
        <f t="shared" si="63"/>
        <v>13250</v>
      </c>
      <c r="I183" s="1370">
        <v>500</v>
      </c>
      <c r="J183" s="1343">
        <f t="shared" si="61"/>
        <v>2500</v>
      </c>
      <c r="K183" s="1262">
        <f t="shared" si="62"/>
        <v>15750</v>
      </c>
      <c r="L183" s="1273"/>
    </row>
    <row r="184" spans="1:12" s="1765" customFormat="1" ht="24" customHeight="1">
      <c r="A184" s="1766"/>
      <c r="B184" s="1538" t="s">
        <v>2116</v>
      </c>
      <c r="C184" s="1437"/>
      <c r="D184" s="1275"/>
      <c r="E184" s="1768">
        <v>5</v>
      </c>
      <c r="F184" s="1358" t="s">
        <v>363</v>
      </c>
      <c r="G184" s="1515">
        <v>560</v>
      </c>
      <c r="H184" s="1343">
        <f t="shared" si="63"/>
        <v>2800</v>
      </c>
      <c r="I184" s="1370">
        <v>500</v>
      </c>
      <c r="J184" s="1343">
        <f t="shared" si="61"/>
        <v>2500</v>
      </c>
      <c r="K184" s="1262">
        <f t="shared" si="62"/>
        <v>5300</v>
      </c>
      <c r="L184" s="1273"/>
    </row>
    <row r="185" spans="1:12" s="1765" customFormat="1" ht="24" customHeight="1">
      <c r="A185" s="1258"/>
      <c r="B185" s="1538" t="s">
        <v>2117</v>
      </c>
      <c r="C185" s="1437"/>
      <c r="D185" s="1275"/>
      <c r="E185" s="1768"/>
      <c r="F185" s="1358" t="s">
        <v>363</v>
      </c>
      <c r="G185" s="1515">
        <v>1340</v>
      </c>
      <c r="H185" s="1343">
        <f t="shared" si="63"/>
        <v>0</v>
      </c>
      <c r="I185" s="1370">
        <v>500</v>
      </c>
      <c r="J185" s="1343">
        <f t="shared" si="61"/>
        <v>0</v>
      </c>
      <c r="K185" s="1262">
        <f t="shared" si="62"/>
        <v>0</v>
      </c>
      <c r="L185" s="1273"/>
    </row>
    <row r="186" spans="1:12" s="1765" customFormat="1" ht="24" customHeight="1">
      <c r="A186" s="1258"/>
      <c r="B186" s="1538" t="s">
        <v>2118</v>
      </c>
      <c r="C186" s="1437"/>
      <c r="D186" s="1275"/>
      <c r="E186" s="1768"/>
      <c r="F186" s="1358" t="s">
        <v>363</v>
      </c>
      <c r="G186" s="1515">
        <v>760</v>
      </c>
      <c r="H186" s="1343">
        <f t="shared" si="63"/>
        <v>0</v>
      </c>
      <c r="I186" s="1370">
        <v>500</v>
      </c>
      <c r="J186" s="1343">
        <f t="shared" si="61"/>
        <v>0</v>
      </c>
      <c r="K186" s="1262">
        <f t="shared" si="62"/>
        <v>0</v>
      </c>
      <c r="L186" s="1273"/>
    </row>
    <row r="187" spans="1:12" s="1765" customFormat="1" ht="24" customHeight="1">
      <c r="A187" s="1258"/>
      <c r="B187" s="1538" t="s">
        <v>2119</v>
      </c>
      <c r="C187" s="1437"/>
      <c r="D187" s="1275"/>
      <c r="E187" s="1768">
        <v>5</v>
      </c>
      <c r="F187" s="1358" t="s">
        <v>363</v>
      </c>
      <c r="G187" s="1515">
        <v>1340</v>
      </c>
      <c r="H187" s="1343">
        <f t="shared" si="63"/>
        <v>6700</v>
      </c>
      <c r="I187" s="1370">
        <v>500</v>
      </c>
      <c r="J187" s="1343">
        <f t="shared" si="61"/>
        <v>2500</v>
      </c>
      <c r="K187" s="1262">
        <f t="shared" si="62"/>
        <v>9200</v>
      </c>
      <c r="L187" s="1273"/>
    </row>
    <row r="188" spans="1:12" s="1765" customFormat="1" ht="24" customHeight="1">
      <c r="A188" s="1258"/>
      <c r="B188" s="1538" t="s">
        <v>2120</v>
      </c>
      <c r="C188" s="1437"/>
      <c r="D188" s="1275"/>
      <c r="E188" s="1768"/>
      <c r="F188" s="1358" t="s">
        <v>363</v>
      </c>
      <c r="G188" s="1515"/>
      <c r="H188" s="1369"/>
      <c r="I188" s="1370"/>
      <c r="J188" s="1369"/>
      <c r="K188" s="1356"/>
      <c r="L188" s="1273"/>
    </row>
    <row r="189" spans="1:12" s="1765" customFormat="1" ht="24" customHeight="1">
      <c r="A189" s="1258"/>
      <c r="B189" s="1538" t="s">
        <v>2121</v>
      </c>
      <c r="C189" s="1437"/>
      <c r="D189" s="1275"/>
      <c r="E189" s="1768">
        <v>5</v>
      </c>
      <c r="F189" s="1358" t="s">
        <v>363</v>
      </c>
      <c r="G189" s="1515">
        <v>4550</v>
      </c>
      <c r="H189" s="1343">
        <f t="shared" ref="H189" si="64">ROUND(E189*G189,)</f>
        <v>22750</v>
      </c>
      <c r="I189" s="1370">
        <v>1365</v>
      </c>
      <c r="J189" s="1343">
        <f t="shared" ref="J189" si="65">ROUND(E189*I189,)</f>
        <v>6825</v>
      </c>
      <c r="K189" s="1262">
        <f t="shared" ref="K189" si="66">H189+J189</f>
        <v>29575</v>
      </c>
      <c r="L189" s="1273"/>
    </row>
    <row r="190" spans="1:12" s="1765" customFormat="1" ht="24" customHeight="1">
      <c r="A190" s="1766" t="s">
        <v>2104</v>
      </c>
      <c r="B190" s="1538" t="s">
        <v>2122</v>
      </c>
      <c r="C190" s="1437"/>
      <c r="D190" s="1275"/>
      <c r="E190" s="1768"/>
      <c r="F190" s="1358"/>
      <c r="G190" s="1516"/>
      <c r="H190" s="1264"/>
      <c r="I190" s="1265"/>
      <c r="J190" s="1264"/>
      <c r="K190" s="1273"/>
      <c r="L190" s="1273"/>
    </row>
    <row r="191" spans="1:12" s="1765" customFormat="1" ht="24" customHeight="1">
      <c r="A191" s="1258"/>
      <c r="B191" s="1538" t="s">
        <v>2123</v>
      </c>
      <c r="C191" s="1437"/>
      <c r="D191" s="1275"/>
      <c r="E191" s="1801">
        <f>(7*5*5*1*2)*1</f>
        <v>350</v>
      </c>
      <c r="F191" s="1356" t="s">
        <v>226</v>
      </c>
      <c r="G191" s="1515">
        <v>139</v>
      </c>
      <c r="H191" s="1343">
        <f t="shared" ref="H191:H192" si="67">ROUND(E191*G191,)</f>
        <v>48650</v>
      </c>
      <c r="I191" s="1370">
        <v>21</v>
      </c>
      <c r="J191" s="1343">
        <f t="shared" ref="J191:J192" si="68">ROUND(E191*I191,)</f>
        <v>7350</v>
      </c>
      <c r="K191" s="1262">
        <f t="shared" ref="K191:K192" si="69">H191+J191</f>
        <v>56000</v>
      </c>
      <c r="L191" s="1273"/>
    </row>
    <row r="192" spans="1:12" s="1765" customFormat="1" ht="24" customHeight="1">
      <c r="A192" s="1258"/>
      <c r="B192" s="1538" t="s">
        <v>2124</v>
      </c>
      <c r="C192" s="1437"/>
      <c r="D192" s="1275"/>
      <c r="E192" s="1801">
        <f>(4*5*5*2*1)*1</f>
        <v>200</v>
      </c>
      <c r="F192" s="1356" t="s">
        <v>226</v>
      </c>
      <c r="G192" s="1515">
        <v>103</v>
      </c>
      <c r="H192" s="1343">
        <f t="shared" si="67"/>
        <v>20600</v>
      </c>
      <c r="I192" s="1370">
        <v>15</v>
      </c>
      <c r="J192" s="1343">
        <f t="shared" si="68"/>
        <v>3000</v>
      </c>
      <c r="K192" s="1262">
        <f t="shared" si="69"/>
        <v>23600</v>
      </c>
      <c r="L192" s="1273"/>
    </row>
    <row r="193" spans="1:15" s="1765" customFormat="1" ht="24" customHeight="1">
      <c r="A193" s="1258"/>
      <c r="B193" s="1538" t="s">
        <v>1548</v>
      </c>
      <c r="C193" s="1437"/>
      <c r="D193" s="1275"/>
      <c r="E193" s="1768"/>
      <c r="F193" s="1358" t="s">
        <v>226</v>
      </c>
      <c r="G193" s="1516"/>
      <c r="H193" s="1264"/>
      <c r="I193" s="1265"/>
      <c r="J193" s="1264"/>
      <c r="K193" s="1273"/>
      <c r="L193" s="1273"/>
    </row>
    <row r="194" spans="1:15" s="1765" customFormat="1" ht="24" customHeight="1">
      <c r="A194" s="1804"/>
      <c r="B194" s="1799" t="s">
        <v>2125</v>
      </c>
      <c r="C194" s="1800"/>
      <c r="D194" s="1375"/>
      <c r="E194" s="1801"/>
      <c r="F194" s="1356" t="s">
        <v>226</v>
      </c>
      <c r="G194" s="1515">
        <v>24</v>
      </c>
      <c r="H194" s="1343">
        <f t="shared" ref="H194:H196" si="70">ROUND(E194*G194,)</f>
        <v>0</v>
      </c>
      <c r="I194" s="1370">
        <v>8</v>
      </c>
      <c r="J194" s="1343">
        <f t="shared" ref="J194:J196" si="71">ROUND(E194*I194,)</f>
        <v>0</v>
      </c>
      <c r="K194" s="1262">
        <f t="shared" ref="K194:K196" si="72">H194+J194</f>
        <v>0</v>
      </c>
      <c r="L194" s="1356"/>
    </row>
    <row r="195" spans="1:15" s="1765" customFormat="1" ht="24" customHeight="1">
      <c r="A195" s="1804"/>
      <c r="B195" s="1799" t="s">
        <v>2126</v>
      </c>
      <c r="C195" s="1800"/>
      <c r="D195" s="1375"/>
      <c r="E195" s="1801"/>
      <c r="F195" s="1356" t="s">
        <v>226</v>
      </c>
      <c r="G195" s="1515">
        <v>15</v>
      </c>
      <c r="H195" s="1343">
        <f t="shared" si="70"/>
        <v>0</v>
      </c>
      <c r="I195" s="1370">
        <v>5</v>
      </c>
      <c r="J195" s="1343">
        <f t="shared" si="71"/>
        <v>0</v>
      </c>
      <c r="K195" s="1262">
        <f t="shared" si="72"/>
        <v>0</v>
      </c>
      <c r="L195" s="1356"/>
    </row>
    <row r="196" spans="1:15" s="1765" customFormat="1" ht="24" customHeight="1">
      <c r="A196" s="1804"/>
      <c r="B196" s="1799" t="s">
        <v>2127</v>
      </c>
      <c r="C196" s="1800"/>
      <c r="D196" s="1375"/>
      <c r="E196" s="1801">
        <v>1</v>
      </c>
      <c r="F196" s="1356" t="s">
        <v>1104</v>
      </c>
      <c r="G196" s="1515">
        <f>SUM(H191:H195)*5%</f>
        <v>3462.5</v>
      </c>
      <c r="H196" s="1343">
        <f t="shared" si="70"/>
        <v>3463</v>
      </c>
      <c r="I196" s="1370">
        <v>19745</v>
      </c>
      <c r="J196" s="1343">
        <f t="shared" si="71"/>
        <v>19745</v>
      </c>
      <c r="K196" s="1262">
        <f t="shared" si="72"/>
        <v>23208</v>
      </c>
      <c r="L196" s="1356"/>
    </row>
    <row r="197" spans="1:15" s="1765" customFormat="1" ht="24" customHeight="1">
      <c r="A197" s="1766" t="s">
        <v>2581</v>
      </c>
      <c r="B197" s="1538" t="s">
        <v>1110</v>
      </c>
      <c r="C197" s="1437"/>
      <c r="D197" s="1275"/>
      <c r="E197" s="1768"/>
      <c r="F197" s="1358"/>
      <c r="G197" s="1515"/>
      <c r="H197" s="1264"/>
      <c r="I197" s="1265"/>
      <c r="J197" s="1264"/>
      <c r="K197" s="1273"/>
      <c r="L197" s="1273"/>
    </row>
    <row r="198" spans="1:15" s="1765" customFormat="1" ht="24" customHeight="1">
      <c r="A198" s="1766"/>
      <c r="B198" s="1538" t="s">
        <v>1350</v>
      </c>
      <c r="C198" s="1437"/>
      <c r="D198" s="1275"/>
      <c r="E198" s="1768">
        <f>(3*5*2*1)*1</f>
        <v>30</v>
      </c>
      <c r="F198" s="1358" t="s">
        <v>226</v>
      </c>
      <c r="G198" s="2004">
        <v>56</v>
      </c>
      <c r="H198" s="1413">
        <f t="shared" ref="H198:H199" si="73">ROUND(E198*G198,)</f>
        <v>1680</v>
      </c>
      <c r="I198" s="1541">
        <v>28</v>
      </c>
      <c r="J198" s="2006">
        <f t="shared" ref="J198:J199" si="74">ROUND(E198*I198,)</f>
        <v>840</v>
      </c>
      <c r="K198" s="715">
        <f t="shared" ref="K198:K199" si="75">H198+J198</f>
        <v>2520</v>
      </c>
      <c r="L198" s="2082" t="s">
        <v>2667</v>
      </c>
      <c r="M198" s="2002"/>
      <c r="N198" s="1199">
        <v>169.2</v>
      </c>
      <c r="O198" s="1199">
        <f>ROUND(N198/3,)</f>
        <v>56</v>
      </c>
    </row>
    <row r="199" spans="1:15" s="1765" customFormat="1" ht="24" customHeight="1">
      <c r="A199" s="1804"/>
      <c r="B199" s="1799" t="s">
        <v>2128</v>
      </c>
      <c r="C199" s="1800"/>
      <c r="D199" s="1375"/>
      <c r="E199" s="1801">
        <v>1</v>
      </c>
      <c r="F199" s="1356" t="s">
        <v>1104</v>
      </c>
      <c r="G199" s="1515">
        <f>H198*15%</f>
        <v>252</v>
      </c>
      <c r="H199" s="1343">
        <f t="shared" si="73"/>
        <v>252</v>
      </c>
      <c r="I199" s="1370">
        <v>58174</v>
      </c>
      <c r="J199" s="1343">
        <f t="shared" si="74"/>
        <v>58174</v>
      </c>
      <c r="K199" s="1262">
        <f t="shared" si="75"/>
        <v>58426</v>
      </c>
      <c r="L199" s="1356"/>
    </row>
    <row r="200" spans="1:15" s="1765" customFormat="1" ht="24" customHeight="1">
      <c r="A200" s="1766" t="s">
        <v>2582</v>
      </c>
      <c r="B200" s="1538" t="s">
        <v>1343</v>
      </c>
      <c r="C200" s="1437"/>
      <c r="D200" s="1275"/>
      <c r="E200" s="1768"/>
      <c r="F200" s="1358"/>
      <c r="G200" s="1515"/>
      <c r="H200" s="1264"/>
      <c r="I200" s="1265"/>
      <c r="J200" s="1264"/>
      <c r="K200" s="1273"/>
      <c r="L200" s="1273"/>
    </row>
    <row r="201" spans="1:15" s="1765" customFormat="1" ht="24" customHeight="1">
      <c r="A201" s="1258"/>
      <c r="B201" s="1538" t="s">
        <v>2129</v>
      </c>
      <c r="C201" s="1437"/>
      <c r="D201" s="1275"/>
      <c r="E201" s="1801"/>
      <c r="F201" s="1356" t="s">
        <v>226</v>
      </c>
      <c r="G201" s="1386">
        <v>316</v>
      </c>
      <c r="H201" s="1343">
        <f t="shared" ref="H201:H202" si="76">ROUND(E201*G201,)</f>
        <v>0</v>
      </c>
      <c r="I201" s="1414">
        <v>50</v>
      </c>
      <c r="J201" s="1343">
        <f t="shared" ref="J201:J202" si="77">ROUND(E201*I201,)</f>
        <v>0</v>
      </c>
      <c r="K201" s="1262">
        <f t="shared" ref="K201:K202" si="78">H201+J201</f>
        <v>0</v>
      </c>
      <c r="L201" s="1273"/>
    </row>
    <row r="202" spans="1:15" s="1765" customFormat="1" ht="24" customHeight="1">
      <c r="A202" s="1258"/>
      <c r="B202" s="1538" t="s">
        <v>2128</v>
      </c>
      <c r="C202" s="1437"/>
      <c r="D202" s="1275"/>
      <c r="E202" s="1801"/>
      <c r="F202" s="1356" t="s">
        <v>1104</v>
      </c>
      <c r="G202" s="1515">
        <f>H201*15%</f>
        <v>0</v>
      </c>
      <c r="H202" s="1343">
        <f t="shared" si="76"/>
        <v>0</v>
      </c>
      <c r="I202" s="1370">
        <v>16637</v>
      </c>
      <c r="J202" s="1343">
        <f t="shared" si="77"/>
        <v>0</v>
      </c>
      <c r="K202" s="1262">
        <f t="shared" si="78"/>
        <v>0</v>
      </c>
      <c r="L202" s="1273"/>
    </row>
    <row r="203" spans="1:15" s="1199" customFormat="1" ht="22.15" customHeight="1">
      <c r="A203" s="1578"/>
      <c r="B203" s="2257" t="str">
        <f>"รวมราคารายการที่ "&amp;A179</f>
        <v>รวมราคารายการที่ 7.8</v>
      </c>
      <c r="C203" s="2258"/>
      <c r="D203" s="2259"/>
      <c r="E203" s="1579"/>
      <c r="F203" s="1579"/>
      <c r="G203" s="1580"/>
      <c r="H203" s="1581">
        <f>SUM(H179:H202)</f>
        <v>120145</v>
      </c>
      <c r="I203" s="1582"/>
      <c r="J203" s="1581">
        <f>SUM(J179:J202)</f>
        <v>103434</v>
      </c>
      <c r="K203" s="1581">
        <f>SUM(K179:K202)</f>
        <v>223579</v>
      </c>
      <c r="L203" s="1583"/>
    </row>
    <row r="204" spans="1:15" s="1199" customFormat="1" ht="22.15" customHeight="1">
      <c r="A204" s="1427"/>
    </row>
    <row r="205" spans="1:15" s="1199" customFormat="1" ht="22.15" customHeight="1">
      <c r="A205" s="1427"/>
    </row>
    <row r="206" spans="1:15" s="1199" customFormat="1" ht="22.15" customHeight="1">
      <c r="A206" s="1427"/>
    </row>
    <row r="207" spans="1:15" s="1199" customFormat="1" ht="22.15" customHeight="1">
      <c r="A207" s="1427"/>
    </row>
    <row r="208" spans="1:15" s="1199" customFormat="1" ht="22.15" customHeight="1">
      <c r="A208" s="1427"/>
    </row>
    <row r="209" spans="1:1" s="1199" customFormat="1" ht="22.15" customHeight="1">
      <c r="A209" s="1427"/>
    </row>
    <row r="210" spans="1:1" s="1199" customFormat="1" ht="22.15" customHeight="1">
      <c r="A210" s="1427"/>
    </row>
    <row r="211" spans="1:1" s="1199" customFormat="1" ht="22.15" customHeight="1">
      <c r="A211" s="1427"/>
    </row>
    <row r="212" spans="1:1" s="1199" customFormat="1" ht="22.15" customHeight="1">
      <c r="A212" s="1427"/>
    </row>
    <row r="213" spans="1:1" s="1199" customFormat="1" ht="22.15" customHeight="1">
      <c r="A213" s="1427"/>
    </row>
    <row r="214" spans="1:1" s="1199" customFormat="1" ht="22.15" customHeight="1">
      <c r="A214" s="1427"/>
    </row>
    <row r="215" spans="1:1" s="1199" customFormat="1" ht="21.3">
      <c r="A215" s="1427"/>
    </row>
    <row r="216" spans="1:1" s="1199" customFormat="1" ht="21.3">
      <c r="A216" s="1427"/>
    </row>
    <row r="217" spans="1:1" s="1199" customFormat="1" ht="21.3">
      <c r="A217" s="1427"/>
    </row>
    <row r="218" spans="1:1" s="1199" customFormat="1" ht="21.3">
      <c r="A218" s="1427"/>
    </row>
    <row r="219" spans="1:1" s="1199" customFormat="1" ht="21.3">
      <c r="A219" s="1427"/>
    </row>
    <row r="220" spans="1:1" s="1199" customFormat="1" ht="21.3">
      <c r="A220" s="1427"/>
    </row>
    <row r="221" spans="1:1" s="1199" customFormat="1" ht="21.3">
      <c r="A221" s="1427"/>
    </row>
    <row r="222" spans="1:1" s="1199" customFormat="1" ht="21.3">
      <c r="A222" s="1427"/>
    </row>
    <row r="223" spans="1:1" s="1199" customFormat="1" ht="21.3">
      <c r="A223" s="1427"/>
    </row>
    <row r="224" spans="1:1" s="1199" customFormat="1" ht="21.3">
      <c r="A224" s="1427"/>
    </row>
    <row r="225" spans="1:12" s="1199" customFormat="1" ht="21.3">
      <c r="A225" s="1427"/>
    </row>
    <row r="226" spans="1:12" s="1199" customFormat="1" ht="21.3">
      <c r="A226" s="1427"/>
    </row>
    <row r="227" spans="1:12" s="1199" customFormat="1" ht="21.3">
      <c r="A227" s="1427"/>
    </row>
    <row r="228" spans="1:12" s="1199" customFormat="1" ht="21.3">
      <c r="A228" s="1427"/>
    </row>
    <row r="229" spans="1:12">
      <c r="A229" s="1427"/>
      <c r="B229" s="1199"/>
      <c r="C229" s="1199"/>
      <c r="D229" s="1199"/>
      <c r="E229" s="1199"/>
      <c r="F229" s="1199"/>
      <c r="G229" s="1199"/>
      <c r="H229" s="1199"/>
      <c r="I229" s="1199"/>
      <c r="J229" s="1199"/>
      <c r="K229" s="1199"/>
      <c r="L229" s="1199"/>
    </row>
    <row r="230" spans="1:12">
      <c r="A230" s="1427"/>
      <c r="B230" s="1199"/>
      <c r="C230" s="1199"/>
      <c r="D230" s="1199"/>
      <c r="E230" s="1199"/>
      <c r="F230" s="1199"/>
      <c r="G230" s="1199"/>
      <c r="H230" s="1199"/>
      <c r="I230" s="1199"/>
      <c r="J230" s="1199"/>
      <c r="K230" s="1199"/>
      <c r="L230" s="1199"/>
    </row>
    <row r="231" spans="1:12">
      <c r="A231" s="1427"/>
      <c r="B231" s="1199"/>
      <c r="C231" s="1199"/>
      <c r="D231" s="1199"/>
      <c r="E231" s="1199"/>
      <c r="F231" s="1199"/>
      <c r="G231" s="1199"/>
      <c r="H231" s="1199"/>
      <c r="I231" s="1199"/>
      <c r="J231" s="1199"/>
      <c r="K231" s="1199"/>
      <c r="L231" s="1199"/>
    </row>
    <row r="238" spans="1:12">
      <c r="B238" s="1805"/>
    </row>
    <row r="239" spans="1:12">
      <c r="B239" s="1805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159:D159"/>
    <mergeCell ref="B178:D178"/>
    <mergeCell ref="B203:D203"/>
    <mergeCell ref="B34:D34"/>
    <mergeCell ref="B48:D48"/>
    <mergeCell ref="B59:D59"/>
    <mergeCell ref="B70:D70"/>
    <mergeCell ref="B98:D98"/>
    <mergeCell ref="B122:D122"/>
  </mergeCells>
  <conditionalFormatting sqref="A160:L161 A168:L168 A171:L171 A169:F169 A175:L177 A172:F172 G167:L167 A167:B167 A174:F174 H174:L174">
    <cfRule type="expression" dxfId="197" priority="24">
      <formula>SUMPRODUCT(--(ROW()=$O$12:$O$18))&gt;0</formula>
    </cfRule>
  </conditionalFormatting>
  <conditionalFormatting sqref="A79:D81 L79:L81 F79:F81">
    <cfRule type="expression" dxfId="196" priority="23">
      <formula>SUMPRODUCT(--(ROW()=$O$12:$O$18))&gt;0</formula>
    </cfRule>
  </conditionalFormatting>
  <conditionalFormatting sqref="A110:L116">
    <cfRule type="expression" dxfId="195" priority="22">
      <formula>SUMPRODUCT(--(ROW()=$O$12:$O$18))&gt;0</formula>
    </cfRule>
  </conditionalFormatting>
  <conditionalFormatting sqref="C167:F167">
    <cfRule type="expression" dxfId="194" priority="15">
      <formula>SUMPRODUCT(--(ROW()=$O$12:$O$18))&gt;0</formula>
    </cfRule>
  </conditionalFormatting>
  <conditionalFormatting sqref="C44:D44 L44 E48:L48 A35:L35 F43:L43 A36 C36:L36 C42:L42 A42:A44 C46:L47 A46:A48">
    <cfRule type="expression" dxfId="193" priority="13">
      <formula>SUMPRODUCT(--(ROW()=$O$12:$O$18))&gt;0</formula>
    </cfRule>
  </conditionalFormatting>
  <conditionalFormatting sqref="G108:K109">
    <cfRule type="expression" dxfId="192" priority="12">
      <formula>SUMPRODUCT(--(ROW()=$R$12:$R$22))&gt;0</formula>
    </cfRule>
  </conditionalFormatting>
  <conditionalFormatting sqref="I79:I81">
    <cfRule type="expression" dxfId="191" priority="11">
      <formula>SUMPRODUCT(--(ROW()=$O$12:$O$22))&gt;0</formula>
    </cfRule>
  </conditionalFormatting>
  <conditionalFormatting sqref="G79:G80">
    <cfRule type="expression" dxfId="190" priority="10">
      <formula>SUMPRODUCT(--(ROW()=$O$14:$O$24))&gt;0</formula>
    </cfRule>
  </conditionalFormatting>
  <conditionalFormatting sqref="H87:H90">
    <cfRule type="expression" dxfId="189" priority="9">
      <formula>SUMPRODUCT(--(ROW()=$O$14:$O$24))&gt;0</formula>
    </cfRule>
  </conditionalFormatting>
  <conditionalFormatting sqref="G81">
    <cfRule type="expression" dxfId="188" priority="8">
      <formula>SUMPRODUCT(--(ROW()=$O$14:$O$24))&gt;0</formula>
    </cfRule>
  </conditionalFormatting>
  <conditionalFormatting sqref="A170:K170">
    <cfRule type="expression" dxfId="187" priority="3">
      <formula>SUMPRODUCT(--(ROW()=$O$12:$O$24))&gt;0</formula>
    </cfRule>
  </conditionalFormatting>
  <conditionalFormatting sqref="A173:F173">
    <cfRule type="expression" dxfId="186" priority="2">
      <formula>SUMPRODUCT(--(ROW()=$O$12:$O$24))&gt;0</formula>
    </cfRule>
  </conditionalFormatting>
  <conditionalFormatting sqref="E79:E80">
    <cfRule type="expression" dxfId="185" priority="1">
      <formula>SUMPRODUCT(--(ROW()=$W$12:$W$21))&gt;0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4-อาคารด้านทิศตะวันตก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F4BFD-50A2-44DE-88BD-F0F147258550}">
  <sheetPr>
    <tabColor rgb="FFFFFF00"/>
  </sheetPr>
  <dimension ref="A1:T270"/>
  <sheetViews>
    <sheetView showGridLines="0" view="pageBreakPreview" topLeftCell="A22" zoomScale="85" zoomScaleNormal="60" zoomScaleSheetLayoutView="85" workbookViewId="0">
      <selection activeCell="I229" sqref="I229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7.703125" style="1" customWidth="1"/>
    <col min="14" max="14" width="11" style="1" customWidth="1"/>
    <col min="15" max="15" width="10.29296875" style="1" customWidth="1"/>
    <col min="16" max="16" width="11.703125" style="1" customWidth="1"/>
    <col min="17" max="17" width="10.29296875" style="1" customWidth="1"/>
    <col min="18" max="18" width="10.703125" style="1" customWidth="1"/>
    <col min="19" max="19" width="10.5859375" style="1" customWidth="1"/>
    <col min="20" max="20" width="10.29296875" style="1" customWidth="1"/>
    <col min="21" max="21" width="10.5859375" style="1" customWidth="1"/>
    <col min="22" max="78" width="7.703125" style="1" customWidth="1"/>
    <col min="7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560" t="s">
        <v>24</v>
      </c>
      <c r="B11" s="1561" t="s">
        <v>2290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H59</f>
        <v>2913775</v>
      </c>
      <c r="I12" s="1197"/>
      <c r="J12" s="1196">
        <f>J59</f>
        <v>130314</v>
      </c>
      <c r="K12" s="1196">
        <f t="shared" ref="K12:K15" si="0">SUM(H12:J12)</f>
        <v>3044089</v>
      </c>
      <c r="L12" s="1531"/>
    </row>
    <row r="13" spans="1:12" s="1199" customFormat="1" ht="24" customHeight="1">
      <c r="A13" s="1564">
        <f>A60</f>
        <v>7.2</v>
      </c>
      <c r="B13" s="1538" t="str">
        <f>B60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H70</f>
        <v>277276</v>
      </c>
      <c r="I13" s="1197"/>
      <c r="J13" s="1196">
        <f>J70</f>
        <v>4550</v>
      </c>
      <c r="K13" s="1196">
        <f t="shared" si="0"/>
        <v>281826</v>
      </c>
      <c r="L13" s="1531"/>
    </row>
    <row r="14" spans="1:12" s="1199" customFormat="1" ht="24" customHeight="1">
      <c r="A14" s="1564" t="str">
        <f>A71</f>
        <v>7.3</v>
      </c>
      <c r="B14" s="1538" t="str">
        <f>B71</f>
        <v>ระบบกรองอากาศ (Air Filtration System)</v>
      </c>
      <c r="C14" s="1533"/>
      <c r="D14" s="1534"/>
      <c r="E14" s="1753">
        <v>1</v>
      </c>
      <c r="F14" s="1567" t="s">
        <v>19</v>
      </c>
      <c r="G14" s="1195"/>
      <c r="H14" s="1196">
        <f>H84</f>
        <v>134650</v>
      </c>
      <c r="I14" s="1197"/>
      <c r="J14" s="1196">
        <f>J84</f>
        <v>19200</v>
      </c>
      <c r="K14" s="1196">
        <f t="shared" si="0"/>
        <v>153850</v>
      </c>
      <c r="L14" s="1531"/>
    </row>
    <row r="15" spans="1:12" s="1199" customFormat="1" ht="24" customHeight="1">
      <c r="A15" s="1564">
        <f>A85</f>
        <v>7.4</v>
      </c>
      <c r="B15" s="1538" t="str">
        <f>B85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H109</f>
        <v>577230</v>
      </c>
      <c r="I15" s="1197"/>
      <c r="J15" s="1196">
        <f>J109</f>
        <v>213107</v>
      </c>
      <c r="K15" s="1196">
        <f t="shared" si="0"/>
        <v>790337</v>
      </c>
      <c r="L15" s="1531"/>
    </row>
    <row r="16" spans="1:12" s="1199" customFormat="1" ht="24" customHeight="1">
      <c r="A16" s="1755" t="str">
        <f>A110</f>
        <v>7.5</v>
      </c>
      <c r="B16" s="1816" t="str">
        <f>B110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H134</f>
        <v>216024</v>
      </c>
      <c r="I16" s="1197"/>
      <c r="J16" s="1196">
        <f>J134</f>
        <v>57892</v>
      </c>
      <c r="K16" s="1196">
        <f t="shared" ref="K16:K18" si="1">SUM(H16:J16)</f>
        <v>273916</v>
      </c>
      <c r="L16" s="1531"/>
    </row>
    <row r="17" spans="1:12" s="1199" customFormat="1" ht="24" customHeight="1">
      <c r="A17" s="1756">
        <f>A135</f>
        <v>7.6</v>
      </c>
      <c r="B17" s="1840" t="str">
        <f>B135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H170</f>
        <v>293556</v>
      </c>
      <c r="I17" s="1197"/>
      <c r="J17" s="1196">
        <f>J170</f>
        <v>35300</v>
      </c>
      <c r="K17" s="1196">
        <f t="shared" si="1"/>
        <v>328856</v>
      </c>
      <c r="L17" s="1531"/>
    </row>
    <row r="18" spans="1:12" s="1199" customFormat="1" ht="24" customHeight="1">
      <c r="A18" s="1537" t="str">
        <f>A171</f>
        <v>7.7</v>
      </c>
      <c r="B18" s="1840" t="str">
        <f>B171</f>
        <v>ระบบไฟฟ้าและควบคุม (Electrical &amp; Control System)</v>
      </c>
      <c r="C18" s="1533"/>
      <c r="D18" s="1534"/>
      <c r="E18" s="1753">
        <v>1</v>
      </c>
      <c r="F18" s="1567" t="s">
        <v>19</v>
      </c>
      <c r="G18" s="1195"/>
      <c r="H18" s="1196">
        <f>H198</f>
        <v>655261</v>
      </c>
      <c r="I18" s="1197"/>
      <c r="J18" s="1196">
        <f>J198</f>
        <v>65635</v>
      </c>
      <c r="K18" s="1196">
        <f t="shared" si="1"/>
        <v>720896</v>
      </c>
      <c r="L18" s="1531"/>
    </row>
    <row r="19" spans="1:12" s="1199" customFormat="1" ht="24" customHeight="1">
      <c r="A19" s="1537" t="str">
        <f>A199</f>
        <v>7.8</v>
      </c>
      <c r="B19" s="1840" t="str">
        <f>B199</f>
        <v>หมวดงานเชื่อมต่อกับระบบ BAS</v>
      </c>
      <c r="C19" s="1533"/>
      <c r="D19" s="1534"/>
      <c r="E19" s="1753">
        <v>1</v>
      </c>
      <c r="F19" s="1567" t="s">
        <v>19</v>
      </c>
      <c r="G19" s="1195"/>
      <c r="H19" s="1196">
        <f>H234</f>
        <v>111045</v>
      </c>
      <c r="I19" s="1197"/>
      <c r="J19" s="1196">
        <f>J234</f>
        <v>100569</v>
      </c>
      <c r="K19" s="1196">
        <f>K234</f>
        <v>211614</v>
      </c>
      <c r="L19" s="1531"/>
    </row>
    <row r="20" spans="1:12" s="1199" customFormat="1" ht="24" customHeight="1">
      <c r="A20" s="1537"/>
      <c r="B20" s="1538"/>
      <c r="C20" s="1533"/>
      <c r="D20" s="1534"/>
      <c r="E20" s="1567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12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12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4</v>
      </c>
      <c r="C34" s="2258"/>
      <c r="D34" s="2259"/>
      <c r="E34" s="1579"/>
      <c r="F34" s="1579"/>
      <c r="G34" s="1580"/>
      <c r="H34" s="1581">
        <f>SUM(H11:H33)</f>
        <v>5178817</v>
      </c>
      <c r="I34" s="1582"/>
      <c r="J34" s="1581">
        <f>SUM(J11:J33)</f>
        <v>626567</v>
      </c>
      <c r="K34" s="1581">
        <f>SUM(K11:K33)</f>
        <v>5805384</v>
      </c>
      <c r="L34" s="1583"/>
    </row>
    <row r="35" spans="1:12" s="1765" customFormat="1" ht="24" customHeight="1">
      <c r="A35" s="1847" t="s">
        <v>2246</v>
      </c>
      <c r="B35" s="1848" t="s">
        <v>2247</v>
      </c>
      <c r="C35" s="1849"/>
      <c r="D35" s="1354"/>
      <c r="E35" s="1802"/>
      <c r="F35" s="1356"/>
      <c r="G35" s="1803"/>
      <c r="H35" s="1369"/>
      <c r="I35" s="1370"/>
      <c r="J35" s="1369"/>
      <c r="K35" s="1356"/>
      <c r="L35" s="1356"/>
    </row>
    <row r="36" spans="1:12" s="1765" customFormat="1" ht="24" customHeight="1">
      <c r="A36" s="1804" t="s">
        <v>1984</v>
      </c>
      <c r="B36" s="1538" t="s">
        <v>2133</v>
      </c>
      <c r="C36" s="1800"/>
      <c r="D36" s="1375"/>
      <c r="E36" s="1802"/>
      <c r="F36" s="1356"/>
      <c r="G36" s="1803"/>
      <c r="H36" s="1369"/>
      <c r="I36" s="1370"/>
      <c r="J36" s="1369"/>
      <c r="K36" s="1356"/>
      <c r="L36" s="1356"/>
    </row>
    <row r="37" spans="1:12" s="1765" customFormat="1" ht="24" customHeight="1">
      <c r="A37" s="1804"/>
      <c r="B37" s="1780" t="s">
        <v>2291</v>
      </c>
      <c r="C37" s="1260"/>
      <c r="D37" s="1781"/>
      <c r="E37" s="715">
        <v>1</v>
      </c>
      <c r="F37" s="1356" t="s">
        <v>363</v>
      </c>
      <c r="G37" s="1515">
        <f>91900*0.75</f>
        <v>68925</v>
      </c>
      <c r="H37" s="820">
        <f t="shared" ref="H37" si="2">E37*G37</f>
        <v>68925</v>
      </c>
      <c r="I37" s="1370">
        <v>1810</v>
      </c>
      <c r="J37" s="820">
        <f t="shared" ref="J37" si="3">I37*E37</f>
        <v>1810</v>
      </c>
      <c r="K37" s="825">
        <f t="shared" ref="K37:K58" si="4">H37+J37</f>
        <v>70735</v>
      </c>
      <c r="L37" s="1356"/>
    </row>
    <row r="38" spans="1:12" s="1765" customFormat="1" ht="24" customHeight="1">
      <c r="A38" s="1804"/>
      <c r="B38" s="1780" t="s">
        <v>2292</v>
      </c>
      <c r="C38" s="1260"/>
      <c r="D38" s="1781"/>
      <c r="E38" s="715">
        <v>1</v>
      </c>
      <c r="F38" s="1356" t="s">
        <v>363</v>
      </c>
      <c r="G38" s="1515">
        <v>72400</v>
      </c>
      <c r="H38" s="820">
        <f t="shared" ref="H38:H58" si="5">ROUND(E38*G38,)</f>
        <v>72400</v>
      </c>
      <c r="I38" s="1515">
        <v>1810</v>
      </c>
      <c r="J38" s="820">
        <f t="shared" ref="J38:J55" si="6">ROUND(E38*I38,)</f>
        <v>1810</v>
      </c>
      <c r="K38" s="1457">
        <f t="shared" si="4"/>
        <v>74210</v>
      </c>
      <c r="L38" s="1356"/>
    </row>
    <row r="39" spans="1:12" s="1765" customFormat="1" ht="24" customHeight="1">
      <c r="A39" s="1804"/>
      <c r="B39" s="1780" t="s">
        <v>2293</v>
      </c>
      <c r="C39" s="1260"/>
      <c r="D39" s="1781"/>
      <c r="E39" s="715">
        <v>1</v>
      </c>
      <c r="F39" s="1356" t="s">
        <v>363</v>
      </c>
      <c r="G39" s="1515">
        <f>92100*0.75</f>
        <v>69075</v>
      </c>
      <c r="H39" s="820">
        <f t="shared" si="5"/>
        <v>69075</v>
      </c>
      <c r="I39" s="1515">
        <v>1810</v>
      </c>
      <c r="J39" s="820">
        <f t="shared" si="6"/>
        <v>1810</v>
      </c>
      <c r="K39" s="1457">
        <f t="shared" si="4"/>
        <v>70885</v>
      </c>
      <c r="L39" s="1356"/>
    </row>
    <row r="40" spans="1:12" s="1765" customFormat="1" ht="24" customHeight="1">
      <c r="A40" s="1804"/>
      <c r="B40" s="1780" t="s">
        <v>2294</v>
      </c>
      <c r="C40" s="1260"/>
      <c r="D40" s="1781"/>
      <c r="E40" s="715">
        <v>1</v>
      </c>
      <c r="F40" s="1356" t="s">
        <v>363</v>
      </c>
      <c r="G40" s="1515">
        <f>103200*0.75</f>
        <v>77400</v>
      </c>
      <c r="H40" s="820">
        <f t="shared" si="5"/>
        <v>77400</v>
      </c>
      <c r="I40" s="1515">
        <v>1810</v>
      </c>
      <c r="J40" s="820">
        <f t="shared" si="6"/>
        <v>1810</v>
      </c>
      <c r="K40" s="1457">
        <f t="shared" si="4"/>
        <v>79210</v>
      </c>
      <c r="L40" s="1356"/>
    </row>
    <row r="41" spans="1:12" s="1765" customFormat="1" ht="24" customHeight="1">
      <c r="A41" s="1804"/>
      <c r="B41" s="1780" t="s">
        <v>2295</v>
      </c>
      <c r="C41" s="1260"/>
      <c r="D41" s="1781"/>
      <c r="E41" s="715">
        <v>1</v>
      </c>
      <c r="F41" s="1356" t="s">
        <v>363</v>
      </c>
      <c r="G41" s="1515">
        <f>96800*0.75</f>
        <v>72600</v>
      </c>
      <c r="H41" s="820">
        <f t="shared" si="5"/>
        <v>72600</v>
      </c>
      <c r="I41" s="1515">
        <v>1810</v>
      </c>
      <c r="J41" s="820">
        <f t="shared" si="6"/>
        <v>1810</v>
      </c>
      <c r="K41" s="1457">
        <f t="shared" si="4"/>
        <v>74410</v>
      </c>
      <c r="L41" s="1356"/>
    </row>
    <row r="42" spans="1:12" s="1765" customFormat="1" ht="24" customHeight="1">
      <c r="A42" s="1804"/>
      <c r="B42" s="1780" t="s">
        <v>2296</v>
      </c>
      <c r="C42" s="1260"/>
      <c r="D42" s="1781"/>
      <c r="E42" s="715">
        <v>1</v>
      </c>
      <c r="F42" s="1356" t="s">
        <v>363</v>
      </c>
      <c r="G42" s="1515">
        <f>96800*0.75</f>
        <v>72600</v>
      </c>
      <c r="H42" s="820">
        <f t="shared" si="5"/>
        <v>72600</v>
      </c>
      <c r="I42" s="1515">
        <v>1810</v>
      </c>
      <c r="J42" s="820">
        <f t="shared" si="6"/>
        <v>1810</v>
      </c>
      <c r="K42" s="1457">
        <f t="shared" si="4"/>
        <v>74410</v>
      </c>
      <c r="L42" s="1356"/>
    </row>
    <row r="43" spans="1:12" s="1765" customFormat="1" ht="24" customHeight="1">
      <c r="A43" s="1804"/>
      <c r="B43" s="1780" t="s">
        <v>2297</v>
      </c>
      <c r="C43" s="1260"/>
      <c r="D43" s="1781"/>
      <c r="E43" s="715">
        <v>1</v>
      </c>
      <c r="F43" s="1356" t="s">
        <v>363</v>
      </c>
      <c r="G43" s="1515">
        <f>96800*0.75</f>
        <v>72600</v>
      </c>
      <c r="H43" s="820">
        <f t="shared" si="5"/>
        <v>72600</v>
      </c>
      <c r="I43" s="1515">
        <v>1810</v>
      </c>
      <c r="J43" s="820">
        <f t="shared" si="6"/>
        <v>1810</v>
      </c>
      <c r="K43" s="1457">
        <f t="shared" si="4"/>
        <v>74410</v>
      </c>
      <c r="L43" s="1356"/>
    </row>
    <row r="44" spans="1:12" s="1765" customFormat="1" ht="24" customHeight="1">
      <c r="A44" s="1804"/>
      <c r="B44" s="1780" t="s">
        <v>2298</v>
      </c>
      <c r="C44" s="1260"/>
      <c r="D44" s="1781"/>
      <c r="E44" s="715">
        <v>1</v>
      </c>
      <c r="F44" s="1356" t="s">
        <v>363</v>
      </c>
      <c r="G44" s="1515">
        <f>103200*0.75</f>
        <v>77400</v>
      </c>
      <c r="H44" s="820">
        <f t="shared" si="5"/>
        <v>77400</v>
      </c>
      <c r="I44" s="1515">
        <v>1810</v>
      </c>
      <c r="J44" s="820">
        <f t="shared" si="6"/>
        <v>1810</v>
      </c>
      <c r="K44" s="1457">
        <f t="shared" si="4"/>
        <v>79210</v>
      </c>
      <c r="L44" s="1356"/>
    </row>
    <row r="45" spans="1:12" s="1765" customFormat="1" ht="24" customHeight="1">
      <c r="A45" s="1804"/>
      <c r="B45" s="1780" t="s">
        <v>2299</v>
      </c>
      <c r="C45" s="1260"/>
      <c r="D45" s="1781"/>
      <c r="E45" s="715">
        <v>1</v>
      </c>
      <c r="F45" s="1356" t="s">
        <v>363</v>
      </c>
      <c r="G45" s="1515">
        <f>92100*0.75</f>
        <v>69075</v>
      </c>
      <c r="H45" s="820">
        <f t="shared" si="5"/>
        <v>69075</v>
      </c>
      <c r="I45" s="1515">
        <v>1810</v>
      </c>
      <c r="J45" s="820">
        <f t="shared" si="6"/>
        <v>1810</v>
      </c>
      <c r="K45" s="1457">
        <f t="shared" si="4"/>
        <v>70885</v>
      </c>
      <c r="L45" s="1356"/>
    </row>
    <row r="46" spans="1:12" s="1765" customFormat="1" ht="24" customHeight="1">
      <c r="A46" s="1804"/>
      <c r="B46" s="1780" t="s">
        <v>2300</v>
      </c>
      <c r="C46" s="1260"/>
      <c r="D46" s="1781"/>
      <c r="E46" s="715">
        <v>1</v>
      </c>
      <c r="F46" s="1356" t="s">
        <v>363</v>
      </c>
      <c r="G46" s="1515">
        <f t="shared" ref="G46:G51" si="7">103200*0.75</f>
        <v>77400</v>
      </c>
      <c r="H46" s="820">
        <f t="shared" si="5"/>
        <v>77400</v>
      </c>
      <c r="I46" s="1515">
        <v>1810</v>
      </c>
      <c r="J46" s="820">
        <f t="shared" si="6"/>
        <v>1810</v>
      </c>
      <c r="K46" s="1457">
        <f t="shared" si="4"/>
        <v>79210</v>
      </c>
      <c r="L46" s="1356"/>
    </row>
    <row r="47" spans="1:12" s="1765" customFormat="1" ht="24" customHeight="1">
      <c r="A47" s="1804"/>
      <c r="B47" s="1780" t="s">
        <v>2301</v>
      </c>
      <c r="C47" s="1260"/>
      <c r="D47" s="1781"/>
      <c r="E47" s="715">
        <v>1</v>
      </c>
      <c r="F47" s="1356" t="s">
        <v>363</v>
      </c>
      <c r="G47" s="1515">
        <f t="shared" si="7"/>
        <v>77400</v>
      </c>
      <c r="H47" s="820">
        <f t="shared" si="5"/>
        <v>77400</v>
      </c>
      <c r="I47" s="1515">
        <v>1810</v>
      </c>
      <c r="J47" s="820">
        <f t="shared" si="6"/>
        <v>1810</v>
      </c>
      <c r="K47" s="1457">
        <f t="shared" si="4"/>
        <v>79210</v>
      </c>
      <c r="L47" s="1356"/>
    </row>
    <row r="48" spans="1:12" s="1765" customFormat="1" ht="24" customHeight="1">
      <c r="A48" s="1804"/>
      <c r="B48" s="1780" t="s">
        <v>2302</v>
      </c>
      <c r="C48" s="1260"/>
      <c r="D48" s="1781"/>
      <c r="E48" s="715">
        <v>1</v>
      </c>
      <c r="F48" s="1356" t="s">
        <v>363</v>
      </c>
      <c r="G48" s="1515">
        <f t="shared" si="7"/>
        <v>77400</v>
      </c>
      <c r="H48" s="820">
        <f t="shared" si="5"/>
        <v>77400</v>
      </c>
      <c r="I48" s="1515">
        <v>1810</v>
      </c>
      <c r="J48" s="820">
        <f t="shared" si="6"/>
        <v>1810</v>
      </c>
      <c r="K48" s="1457">
        <f t="shared" si="4"/>
        <v>79210</v>
      </c>
      <c r="L48" s="1356"/>
    </row>
    <row r="49" spans="1:20" s="1765" customFormat="1" ht="24" customHeight="1">
      <c r="A49" s="1804"/>
      <c r="B49" s="1780" t="s">
        <v>2303</v>
      </c>
      <c r="C49" s="1260"/>
      <c r="D49" s="1781"/>
      <c r="E49" s="715">
        <v>1</v>
      </c>
      <c r="F49" s="1356" t="s">
        <v>363</v>
      </c>
      <c r="G49" s="1515">
        <f t="shared" si="7"/>
        <v>77400</v>
      </c>
      <c r="H49" s="820">
        <f t="shared" si="5"/>
        <v>77400</v>
      </c>
      <c r="I49" s="1515">
        <v>1810</v>
      </c>
      <c r="J49" s="820">
        <f t="shared" si="6"/>
        <v>1810</v>
      </c>
      <c r="K49" s="1457">
        <f t="shared" si="4"/>
        <v>79210</v>
      </c>
      <c r="L49" s="1356"/>
    </row>
    <row r="50" spans="1:20" s="1765" customFormat="1" ht="24" customHeight="1">
      <c r="A50" s="1804"/>
      <c r="B50" s="1780" t="s">
        <v>2304</v>
      </c>
      <c r="C50" s="1260"/>
      <c r="D50" s="1781"/>
      <c r="E50" s="715">
        <v>1</v>
      </c>
      <c r="F50" s="1356" t="s">
        <v>363</v>
      </c>
      <c r="G50" s="1515">
        <f t="shared" si="7"/>
        <v>77400</v>
      </c>
      <c r="H50" s="820">
        <f t="shared" si="5"/>
        <v>77400</v>
      </c>
      <c r="I50" s="1515">
        <v>1810</v>
      </c>
      <c r="J50" s="820">
        <f t="shared" si="6"/>
        <v>1810</v>
      </c>
      <c r="K50" s="1457">
        <f t="shared" si="4"/>
        <v>79210</v>
      </c>
      <c r="L50" s="1356"/>
    </row>
    <row r="51" spans="1:20" s="1765" customFormat="1" ht="24" customHeight="1">
      <c r="A51" s="2113"/>
      <c r="B51" s="2107" t="s">
        <v>2305</v>
      </c>
      <c r="C51" s="2108"/>
      <c r="D51" s="2109"/>
      <c r="E51" s="715">
        <v>1</v>
      </c>
      <c r="F51" s="1356" t="s">
        <v>363</v>
      </c>
      <c r="G51" s="1515">
        <f t="shared" si="7"/>
        <v>77400</v>
      </c>
      <c r="H51" s="820">
        <f t="shared" si="5"/>
        <v>77400</v>
      </c>
      <c r="I51" s="1515">
        <v>1810</v>
      </c>
      <c r="J51" s="820">
        <f t="shared" si="6"/>
        <v>1810</v>
      </c>
      <c r="K51" s="1457">
        <f t="shared" si="4"/>
        <v>79210</v>
      </c>
      <c r="L51" s="1356"/>
    </row>
    <row r="52" spans="1:20" s="2116" customFormat="1" ht="24" customHeight="1">
      <c r="A52" s="2112"/>
      <c r="B52" s="2164" t="s">
        <v>2851</v>
      </c>
      <c r="C52" s="2111"/>
      <c r="D52" s="2165"/>
      <c r="E52" s="825">
        <v>1</v>
      </c>
      <c r="F52" s="1457" t="s">
        <v>363</v>
      </c>
      <c r="G52" s="1769">
        <v>409425</v>
      </c>
      <c r="H52" s="1413">
        <f t="shared" si="5"/>
        <v>409425</v>
      </c>
      <c r="I52" s="1455">
        <f>G52*0.05</f>
        <v>20471.25</v>
      </c>
      <c r="J52" s="1413">
        <f t="shared" si="6"/>
        <v>20471</v>
      </c>
      <c r="K52" s="1415">
        <f t="shared" si="4"/>
        <v>429896</v>
      </c>
      <c r="L52" s="1457"/>
      <c r="M52" s="2120"/>
      <c r="N52" s="2120"/>
      <c r="O52" s="2120"/>
      <c r="P52" s="2120"/>
      <c r="Q52" s="2120"/>
      <c r="R52" s="2120"/>
      <c r="S52" s="2120"/>
      <c r="T52" s="2120"/>
    </row>
    <row r="53" spans="1:20" s="2116" customFormat="1" ht="24" customHeight="1">
      <c r="A53" s="2112"/>
      <c r="B53" s="2164" t="s">
        <v>2848</v>
      </c>
      <c r="C53" s="2111"/>
      <c r="D53" s="2165"/>
      <c r="E53" s="825">
        <v>1</v>
      </c>
      <c r="F53" s="1457" t="s">
        <v>363</v>
      </c>
      <c r="G53" s="1769">
        <v>409425</v>
      </c>
      <c r="H53" s="1413">
        <f t="shared" si="5"/>
        <v>409425</v>
      </c>
      <c r="I53" s="1455">
        <f t="shared" ref="I53:I54" si="8">G53*0.05</f>
        <v>20471.25</v>
      </c>
      <c r="J53" s="1413">
        <f t="shared" si="6"/>
        <v>20471</v>
      </c>
      <c r="K53" s="1415">
        <f t="shared" si="4"/>
        <v>429896</v>
      </c>
      <c r="L53" s="1457"/>
      <c r="M53" s="2120"/>
      <c r="N53" s="2120"/>
      <c r="O53" s="2120"/>
      <c r="P53" s="2120"/>
      <c r="Q53" s="2120"/>
      <c r="R53" s="2120"/>
      <c r="S53" s="2120"/>
      <c r="T53" s="2120"/>
    </row>
    <row r="54" spans="1:20" s="2116" customFormat="1" ht="24" customHeight="1">
      <c r="A54" s="2112"/>
      <c r="B54" s="2164" t="s">
        <v>2849</v>
      </c>
      <c r="C54" s="2111"/>
      <c r="D54" s="2165"/>
      <c r="E54" s="825">
        <v>1</v>
      </c>
      <c r="F54" s="1457" t="s">
        <v>363</v>
      </c>
      <c r="G54" s="1769">
        <v>409425</v>
      </c>
      <c r="H54" s="1413">
        <f t="shared" si="5"/>
        <v>409425</v>
      </c>
      <c r="I54" s="1455">
        <f t="shared" si="8"/>
        <v>20471.25</v>
      </c>
      <c r="J54" s="1413">
        <f t="shared" si="6"/>
        <v>20471</v>
      </c>
      <c r="K54" s="1415">
        <f t="shared" si="4"/>
        <v>429896</v>
      </c>
      <c r="L54" s="1457"/>
      <c r="M54" s="2120"/>
      <c r="N54" s="2120"/>
      <c r="O54" s="2120"/>
      <c r="P54" s="2120"/>
      <c r="Q54" s="2120"/>
      <c r="R54" s="2120"/>
      <c r="S54" s="2120"/>
      <c r="T54" s="2120"/>
    </row>
    <row r="55" spans="1:20" s="2116" customFormat="1" ht="24" customHeight="1">
      <c r="A55" s="2112"/>
      <c r="B55" s="2164" t="s">
        <v>2850</v>
      </c>
      <c r="C55" s="2111"/>
      <c r="D55" s="2165"/>
      <c r="E55" s="825">
        <v>1</v>
      </c>
      <c r="F55" s="1457" t="s">
        <v>363</v>
      </c>
      <c r="G55" s="1769">
        <v>409425</v>
      </c>
      <c r="H55" s="1413">
        <f t="shared" si="5"/>
        <v>409425</v>
      </c>
      <c r="I55" s="1455">
        <f>G55*0.05</f>
        <v>20471.25</v>
      </c>
      <c r="J55" s="1413">
        <f t="shared" si="6"/>
        <v>20471</v>
      </c>
      <c r="K55" s="1415">
        <f t="shared" si="4"/>
        <v>429896</v>
      </c>
      <c r="L55" s="1457"/>
      <c r="M55" s="2120"/>
      <c r="N55" s="2120"/>
      <c r="O55" s="2120"/>
      <c r="P55" s="2120"/>
      <c r="Q55" s="2120"/>
      <c r="R55" s="2120"/>
      <c r="S55" s="2120"/>
      <c r="T55" s="2120"/>
    </row>
    <row r="56" spans="1:20" s="1765" customFormat="1" ht="24" customHeight="1">
      <c r="A56" s="2112"/>
      <c r="B56" s="2107" t="s">
        <v>2253</v>
      </c>
      <c r="C56" s="2106"/>
      <c r="D56" s="2165"/>
      <c r="E56" s="825">
        <f>SUM(E37:E55)</f>
        <v>19</v>
      </c>
      <c r="F56" s="1457" t="s">
        <v>363</v>
      </c>
      <c r="G56" s="1769">
        <v>2000</v>
      </c>
      <c r="H56" s="1343">
        <f t="shared" si="5"/>
        <v>38000</v>
      </c>
      <c r="I56" s="1856" t="s">
        <v>1683</v>
      </c>
      <c r="J56" s="1343"/>
      <c r="K56" s="1801">
        <f t="shared" si="4"/>
        <v>38000</v>
      </c>
      <c r="L56" s="715"/>
    </row>
    <row r="57" spans="1:20" s="1765" customFormat="1" ht="24" customHeight="1">
      <c r="A57" s="1804" t="s">
        <v>1986</v>
      </c>
      <c r="B57" s="1538" t="s">
        <v>2041</v>
      </c>
      <c r="C57" s="1800"/>
      <c r="D57" s="1375"/>
      <c r="E57" s="1686">
        <f>E56</f>
        <v>19</v>
      </c>
      <c r="F57" s="1402" t="s">
        <v>363</v>
      </c>
      <c r="G57" s="1769">
        <v>2400</v>
      </c>
      <c r="H57" s="1343">
        <f t="shared" si="5"/>
        <v>45600</v>
      </c>
      <c r="I57" s="1455">
        <v>720</v>
      </c>
      <c r="J57" s="1343">
        <f t="shared" ref="J57:J58" si="9">ROUND(E57*I57,)</f>
        <v>13680</v>
      </c>
      <c r="K57" s="1801">
        <f t="shared" si="4"/>
        <v>59280</v>
      </c>
      <c r="L57" s="1356"/>
    </row>
    <row r="58" spans="1:20" s="1765" customFormat="1" ht="24" customHeight="1">
      <c r="A58" s="1766" t="s">
        <v>1988</v>
      </c>
      <c r="B58" s="1783" t="s">
        <v>2331</v>
      </c>
      <c r="C58" s="1294"/>
      <c r="D58" s="1777"/>
      <c r="E58" s="1686">
        <f>E56</f>
        <v>19</v>
      </c>
      <c r="F58" s="1402" t="s">
        <v>363</v>
      </c>
      <c r="G58" s="1661">
        <v>4000</v>
      </c>
      <c r="H58" s="1413">
        <f t="shared" si="5"/>
        <v>76000</v>
      </c>
      <c r="I58" s="1589">
        <f t="shared" ref="I58" si="10">G58*0.1</f>
        <v>400</v>
      </c>
      <c r="J58" s="1413">
        <f t="shared" si="9"/>
        <v>7600</v>
      </c>
      <c r="K58" s="1415">
        <f t="shared" si="4"/>
        <v>83600</v>
      </c>
      <c r="L58" s="1770"/>
      <c r="M58" s="1710"/>
      <c r="N58" s="1710"/>
      <c r="O58" s="1710"/>
      <c r="P58" s="1710"/>
      <c r="Q58" s="1710"/>
      <c r="R58" s="1710"/>
      <c r="S58" s="1710"/>
      <c r="T58" s="1710"/>
    </row>
    <row r="59" spans="1:20" s="1765" customFormat="1" ht="24" customHeight="1">
      <c r="A59" s="1857"/>
      <c r="B59" s="2257" t="str">
        <f>"รวมราคารายการที่ "&amp;A35</f>
        <v>รวมราคารายการที่ 7.1</v>
      </c>
      <c r="C59" s="2258"/>
      <c r="D59" s="2259"/>
      <c r="E59" s="1858"/>
      <c r="F59" s="1858"/>
      <c r="G59" s="1859"/>
      <c r="H59" s="1860">
        <f>SUM(H36:H58)</f>
        <v>2913775</v>
      </c>
      <c r="I59" s="1861"/>
      <c r="J59" s="1860">
        <f>SUM(J36:J58)</f>
        <v>130314</v>
      </c>
      <c r="K59" s="1862">
        <f>SUM(K36:K58)</f>
        <v>3044089</v>
      </c>
      <c r="L59" s="1862"/>
    </row>
    <row r="60" spans="1:20" s="1765" customFormat="1" ht="24" customHeight="1">
      <c r="A60" s="1757">
        <v>7.2</v>
      </c>
      <c r="B60" s="1758" t="s">
        <v>1983</v>
      </c>
      <c r="C60" s="1294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258" t="s">
        <v>1992</v>
      </c>
      <c r="B61" s="1538" t="s">
        <v>2138</v>
      </c>
      <c r="C61" s="1275"/>
      <c r="D61" s="1767"/>
      <c r="E61" s="1771"/>
      <c r="F61" s="1385"/>
      <c r="G61" s="1778"/>
      <c r="H61" s="1594"/>
      <c r="I61" s="1595"/>
      <c r="J61" s="1594"/>
      <c r="K61" s="1632"/>
      <c r="L61" s="1632"/>
    </row>
    <row r="62" spans="1:20" s="1765" customFormat="1" ht="24" customHeight="1">
      <c r="A62" s="1766" t="s">
        <v>2139</v>
      </c>
      <c r="B62" s="1538" t="s">
        <v>2140</v>
      </c>
      <c r="C62" s="1275"/>
      <c r="D62" s="1767"/>
      <c r="E62" s="1686"/>
      <c r="F62" s="1402"/>
      <c r="G62" s="1661"/>
      <c r="H62" s="1588"/>
      <c r="I62" s="1589"/>
      <c r="J62" s="1588"/>
      <c r="K62" s="1770"/>
      <c r="L62" s="1770"/>
    </row>
    <row r="63" spans="1:20" s="1765" customFormat="1" ht="24" customHeight="1">
      <c r="A63" s="1766"/>
      <c r="B63" s="1538" t="s">
        <v>1821</v>
      </c>
      <c r="C63" s="1275"/>
      <c r="D63" s="1767"/>
      <c r="E63" s="1813">
        <v>9</v>
      </c>
      <c r="F63" s="1389" t="s">
        <v>363</v>
      </c>
      <c r="G63" s="1814">
        <v>3300</v>
      </c>
      <c r="H63" s="1773">
        <f t="shared" ref="H63:H66" si="11">ROUND(E63*G63,)</f>
        <v>29700</v>
      </c>
      <c r="I63" s="1815">
        <v>150</v>
      </c>
      <c r="J63" s="1773">
        <f t="shared" ref="J63:J66" si="12">ROUND(E63*I63,)</f>
        <v>1350</v>
      </c>
      <c r="K63" s="1774">
        <f t="shared" ref="K63:K66" si="13">H63+J63</f>
        <v>31050</v>
      </c>
      <c r="L63" s="1770"/>
    </row>
    <row r="64" spans="1:20" s="1765" customFormat="1" ht="24" customHeight="1">
      <c r="A64" s="2166"/>
      <c r="B64" s="2114" t="s">
        <v>1836</v>
      </c>
      <c r="C64" s="2108"/>
      <c r="D64" s="2109"/>
      <c r="E64" s="715">
        <v>6</v>
      </c>
      <c r="F64" s="1415" t="s">
        <v>363</v>
      </c>
      <c r="G64" s="1772">
        <v>4596</v>
      </c>
      <c r="H64" s="1343">
        <f t="shared" si="11"/>
        <v>27576</v>
      </c>
      <c r="I64" s="1386">
        <v>200</v>
      </c>
      <c r="J64" s="1343">
        <f t="shared" si="12"/>
        <v>1200</v>
      </c>
      <c r="K64" s="1801">
        <f t="shared" si="13"/>
        <v>28776</v>
      </c>
      <c r="L64" s="1457"/>
    </row>
    <row r="65" spans="1:20" s="2116" customFormat="1" ht="24" customHeight="1">
      <c r="A65" s="2113"/>
      <c r="B65" s="2114" t="s">
        <v>1715</v>
      </c>
      <c r="C65" s="2108"/>
      <c r="D65" s="2109"/>
      <c r="E65" s="1834">
        <v>4</v>
      </c>
      <c r="F65" s="1466" t="s">
        <v>363</v>
      </c>
      <c r="G65" s="2161">
        <v>55000</v>
      </c>
      <c r="H65" s="2156">
        <f t="shared" si="11"/>
        <v>220000</v>
      </c>
      <c r="I65" s="2162">
        <v>500</v>
      </c>
      <c r="J65" s="2156">
        <f t="shared" si="12"/>
        <v>2000</v>
      </c>
      <c r="K65" s="1853">
        <f t="shared" si="13"/>
        <v>222000</v>
      </c>
      <c r="L65" s="1415"/>
      <c r="M65" s="2120"/>
      <c r="N65" s="2120"/>
      <c r="O65" s="2120"/>
      <c r="P65" s="2120"/>
      <c r="Q65" s="2120"/>
      <c r="R65" s="2120"/>
      <c r="S65" s="2120"/>
      <c r="T65" s="2120"/>
    </row>
    <row r="66" spans="1:20" s="2116" customFormat="1" ht="24" customHeight="1">
      <c r="A66" s="2113" t="s">
        <v>2036</v>
      </c>
      <c r="B66" s="2114" t="s">
        <v>2727</v>
      </c>
      <c r="C66" s="2108"/>
      <c r="D66" s="2109"/>
      <c r="E66" s="715"/>
      <c r="F66" s="1466" t="s">
        <v>363</v>
      </c>
      <c r="G66" s="2161">
        <v>16150</v>
      </c>
      <c r="H66" s="2156">
        <f t="shared" si="11"/>
        <v>0</v>
      </c>
      <c r="I66" s="2162">
        <v>500</v>
      </c>
      <c r="J66" s="2156">
        <f t="shared" si="12"/>
        <v>0</v>
      </c>
      <c r="K66" s="1853">
        <f t="shared" si="13"/>
        <v>0</v>
      </c>
      <c r="L66" s="1415"/>
      <c r="M66" s="2120"/>
      <c r="N66" s="2120"/>
      <c r="O66" s="2120"/>
      <c r="P66" s="2120"/>
      <c r="Q66" s="2120"/>
      <c r="R66" s="2120"/>
      <c r="S66" s="2120"/>
      <c r="T66" s="2120"/>
    </row>
    <row r="67" spans="1:20" s="1765" customFormat="1" ht="24" customHeight="1">
      <c r="A67" s="2166"/>
      <c r="B67" s="2114" t="s">
        <v>1117</v>
      </c>
      <c r="C67" s="2108"/>
      <c r="D67" s="2109"/>
      <c r="E67" s="825"/>
      <c r="F67" s="1457"/>
      <c r="G67" s="1769"/>
      <c r="H67" s="820"/>
      <c r="I67" s="1455"/>
      <c r="J67" s="820"/>
      <c r="K67" s="1457"/>
      <c r="L67" s="1457"/>
    </row>
    <row r="68" spans="1:20" s="1765" customFormat="1" ht="24" customHeight="1">
      <c r="A68" s="2166"/>
      <c r="B68" s="2114" t="s">
        <v>1118</v>
      </c>
      <c r="C68" s="2108"/>
      <c r="D68" s="2109"/>
      <c r="E68" s="825"/>
      <c r="F68" s="1457"/>
      <c r="G68" s="1769"/>
      <c r="H68" s="820"/>
      <c r="I68" s="1455"/>
      <c r="J68" s="820"/>
      <c r="K68" s="1457"/>
      <c r="L68" s="1457"/>
    </row>
    <row r="69" spans="1:20" s="1765" customFormat="1" ht="24" customHeight="1">
      <c r="A69" s="1584"/>
      <c r="B69" s="1538" t="s">
        <v>1118</v>
      </c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20" s="1199" customFormat="1" ht="24" customHeight="1">
      <c r="A70" s="1578"/>
      <c r="B70" s="2257" t="str">
        <f>"รวมราคารายการที่ "&amp;A60</f>
        <v>รวมราคารายการที่ 7.2</v>
      </c>
      <c r="C70" s="2258"/>
      <c r="D70" s="2259"/>
      <c r="E70" s="1579"/>
      <c r="F70" s="1579"/>
      <c r="G70" s="1580"/>
      <c r="H70" s="1581">
        <f>SUM(H60:H69)</f>
        <v>277276</v>
      </c>
      <c r="I70" s="1582"/>
      <c r="J70" s="1581">
        <f>SUM(J60:J69)</f>
        <v>4550</v>
      </c>
      <c r="K70" s="1581">
        <f>SUM(K60:K69)</f>
        <v>281826</v>
      </c>
      <c r="L70" s="1583"/>
    </row>
    <row r="71" spans="1:20" s="1765" customFormat="1" ht="24" customHeight="1">
      <c r="A71" s="1291" t="s">
        <v>2306</v>
      </c>
      <c r="B71" s="1852" t="s">
        <v>2255</v>
      </c>
      <c r="C71" s="1293"/>
      <c r="D71" s="1777"/>
      <c r="E71" s="1686"/>
      <c r="F71" s="1402"/>
      <c r="G71" s="1661"/>
      <c r="H71" s="1588"/>
      <c r="I71" s="1589"/>
      <c r="J71" s="1588"/>
      <c r="K71" s="1770"/>
      <c r="L71" s="1770"/>
    </row>
    <row r="72" spans="1:20" s="1765" customFormat="1" ht="24" customHeight="1">
      <c r="A72" s="1766" t="s">
        <v>2043</v>
      </c>
      <c r="B72" s="1538" t="s">
        <v>2256</v>
      </c>
      <c r="C72" s="1275"/>
      <c r="D72" s="1767"/>
      <c r="E72" s="1686"/>
      <c r="F72" s="1402"/>
      <c r="G72" s="1661"/>
      <c r="H72" s="1588"/>
      <c r="I72" s="1589"/>
      <c r="J72" s="1588"/>
      <c r="K72" s="1770"/>
      <c r="L72" s="1770"/>
    </row>
    <row r="73" spans="1:20" s="1765" customFormat="1" ht="24" customHeight="1">
      <c r="A73" s="1766"/>
      <c r="B73" s="1538" t="s">
        <v>2257</v>
      </c>
      <c r="C73" s="1275"/>
      <c r="D73" s="1767"/>
      <c r="E73" s="1686">
        <v>15</v>
      </c>
      <c r="F73" s="1402" t="s">
        <v>363</v>
      </c>
      <c r="G73" s="1661">
        <v>650</v>
      </c>
      <c r="H73" s="1588">
        <f t="shared" ref="H73:H76" si="14">ROUND(E73*G73,)</f>
        <v>9750</v>
      </c>
      <c r="I73" s="1589">
        <v>150</v>
      </c>
      <c r="J73" s="1588">
        <f t="shared" ref="J73:J76" si="15">ROUND(E73*I73,)</f>
        <v>2250</v>
      </c>
      <c r="K73" s="1770">
        <f t="shared" ref="K73:K76" si="16">H73+J73</f>
        <v>12000</v>
      </c>
      <c r="L73" s="1770"/>
    </row>
    <row r="74" spans="1:20" s="1765" customFormat="1" ht="24" customHeight="1">
      <c r="A74" s="1766" t="s">
        <v>2047</v>
      </c>
      <c r="B74" s="1538" t="s">
        <v>2258</v>
      </c>
      <c r="C74" s="1275"/>
      <c r="D74" s="1767"/>
      <c r="E74" s="1686">
        <f>15+4</f>
        <v>19</v>
      </c>
      <c r="F74" s="1402" t="s">
        <v>363</v>
      </c>
      <c r="G74" s="1661">
        <v>2400</v>
      </c>
      <c r="H74" s="1588">
        <f t="shared" si="14"/>
        <v>45600</v>
      </c>
      <c r="I74" s="1589">
        <v>150</v>
      </c>
      <c r="J74" s="1588">
        <f t="shared" si="15"/>
        <v>2850</v>
      </c>
      <c r="K74" s="1770">
        <f t="shared" si="16"/>
        <v>48450</v>
      </c>
      <c r="L74" s="1770"/>
    </row>
    <row r="75" spans="1:20" s="1765" customFormat="1" ht="24" customHeight="1">
      <c r="A75" s="1766" t="s">
        <v>2155</v>
      </c>
      <c r="B75" s="1538" t="s">
        <v>2259</v>
      </c>
      <c r="C75" s="1275"/>
      <c r="D75" s="1767"/>
      <c r="E75" s="1686">
        <f>15+4</f>
        <v>19</v>
      </c>
      <c r="F75" s="1402" t="s">
        <v>363</v>
      </c>
      <c r="G75" s="1661">
        <v>2200</v>
      </c>
      <c r="H75" s="1588">
        <f t="shared" si="14"/>
        <v>41800</v>
      </c>
      <c r="I75" s="1589">
        <v>150</v>
      </c>
      <c r="J75" s="1588">
        <f t="shared" si="15"/>
        <v>2850</v>
      </c>
      <c r="K75" s="1770">
        <f t="shared" si="16"/>
        <v>44650</v>
      </c>
      <c r="L75" s="1770"/>
    </row>
    <row r="76" spans="1:20" s="1765" customFormat="1" ht="24" customHeight="1">
      <c r="A76" s="1766" t="s">
        <v>2165</v>
      </c>
      <c r="B76" s="1538" t="s">
        <v>2261</v>
      </c>
      <c r="C76" s="1275"/>
      <c r="D76" s="1767"/>
      <c r="E76" s="1686">
        <v>1</v>
      </c>
      <c r="F76" s="1402" t="s">
        <v>1104</v>
      </c>
      <c r="G76" s="1661">
        <f>15*2500</f>
        <v>37500</v>
      </c>
      <c r="H76" s="1588">
        <f t="shared" si="14"/>
        <v>37500</v>
      </c>
      <c r="I76" s="1589">
        <f>G76*0.3</f>
        <v>11250</v>
      </c>
      <c r="J76" s="1588">
        <f t="shared" si="15"/>
        <v>11250</v>
      </c>
      <c r="K76" s="1770">
        <f t="shared" si="16"/>
        <v>48750</v>
      </c>
      <c r="L76" s="1770"/>
    </row>
    <row r="77" spans="1:20" s="1765" customFormat="1" ht="24" customHeight="1">
      <c r="A77" s="1766"/>
      <c r="B77" s="1538" t="s">
        <v>1117</v>
      </c>
      <c r="C77" s="1275"/>
      <c r="D77" s="1767"/>
      <c r="E77" s="1686"/>
      <c r="F77" s="1402"/>
      <c r="G77" s="1661"/>
      <c r="H77" s="1588"/>
      <c r="I77" s="1589"/>
      <c r="J77" s="1588"/>
      <c r="K77" s="1770"/>
      <c r="L77" s="1770"/>
    </row>
    <row r="78" spans="1:20" s="1765" customFormat="1" ht="24" customHeight="1">
      <c r="A78" s="1584"/>
      <c r="B78" s="1538" t="s">
        <v>1896</v>
      </c>
      <c r="C78" s="1275"/>
      <c r="D78" s="1767"/>
      <c r="E78" s="1686"/>
      <c r="F78" s="1402"/>
      <c r="G78" s="1661"/>
      <c r="H78" s="1588"/>
      <c r="I78" s="1589"/>
      <c r="J78" s="1588"/>
      <c r="K78" s="1770"/>
      <c r="L78" s="1770"/>
    </row>
    <row r="79" spans="1:20" s="1765" customFormat="1" ht="24" customHeight="1">
      <c r="A79" s="1584"/>
      <c r="B79" s="1538" t="s">
        <v>1896</v>
      </c>
      <c r="C79" s="1275"/>
      <c r="D79" s="1767"/>
      <c r="E79" s="1686"/>
      <c r="F79" s="1402"/>
      <c r="G79" s="1661"/>
      <c r="H79" s="1588"/>
      <c r="I79" s="1589"/>
      <c r="J79" s="1588"/>
      <c r="K79" s="1770"/>
      <c r="L79" s="1770"/>
    </row>
    <row r="80" spans="1:20" s="1765" customFormat="1" ht="24" customHeight="1">
      <c r="A80" s="1584"/>
      <c r="B80" s="1538"/>
      <c r="C80" s="1275"/>
      <c r="D80" s="1767"/>
      <c r="E80" s="1686"/>
      <c r="F80" s="1402"/>
      <c r="G80" s="1661"/>
      <c r="H80" s="1588"/>
      <c r="I80" s="1589"/>
      <c r="J80" s="1588"/>
      <c r="K80" s="1770"/>
      <c r="L80" s="1770"/>
    </row>
    <row r="81" spans="1:12" s="1765" customFormat="1" ht="24" customHeight="1">
      <c r="A81" s="1584"/>
      <c r="B81" s="1538"/>
      <c r="C81" s="1275"/>
      <c r="D81" s="1767"/>
      <c r="E81" s="1686"/>
      <c r="F81" s="1402"/>
      <c r="G81" s="1661"/>
      <c r="H81" s="1588"/>
      <c r="I81" s="1589"/>
      <c r="J81" s="1588"/>
      <c r="K81" s="1770"/>
      <c r="L81" s="1770"/>
    </row>
    <row r="82" spans="1:12" s="1765" customFormat="1" ht="24" customHeight="1">
      <c r="A82" s="1584"/>
      <c r="B82" s="1538"/>
      <c r="C82" s="1275"/>
      <c r="D82" s="1767"/>
      <c r="E82" s="1686"/>
      <c r="F82" s="1402"/>
      <c r="G82" s="1661"/>
      <c r="H82" s="1588"/>
      <c r="I82" s="1589"/>
      <c r="J82" s="1588"/>
      <c r="K82" s="1770"/>
      <c r="L82" s="1770"/>
    </row>
    <row r="83" spans="1:12" s="1765" customFormat="1" ht="24" customHeight="1">
      <c r="A83" s="1766"/>
      <c r="B83" s="1538"/>
      <c r="C83" s="1275"/>
      <c r="D83" s="1767"/>
      <c r="E83" s="1686"/>
      <c r="F83" s="1402"/>
      <c r="G83" s="1661"/>
      <c r="H83" s="1588"/>
      <c r="I83" s="1589"/>
      <c r="J83" s="1588"/>
      <c r="K83" s="1770"/>
      <c r="L83" s="1770"/>
    </row>
    <row r="84" spans="1:12" s="1765" customFormat="1" ht="24" customHeight="1">
      <c r="A84" s="1578"/>
      <c r="B84" s="2257" t="str">
        <f>"รวมราคารายการที่ "&amp;A71</f>
        <v>รวมราคารายการที่ 7.3</v>
      </c>
      <c r="C84" s="2258"/>
      <c r="D84" s="2259"/>
      <c r="E84" s="1579"/>
      <c r="F84" s="1579"/>
      <c r="G84" s="1580"/>
      <c r="H84" s="1581">
        <f>SUM(H72:H83)</f>
        <v>134650</v>
      </c>
      <c r="I84" s="1582"/>
      <c r="J84" s="1581">
        <f>SUM(J72:J83)</f>
        <v>19200</v>
      </c>
      <c r="K84" s="1581">
        <f>SUM(K72:K83)</f>
        <v>153850</v>
      </c>
      <c r="L84" s="1583"/>
    </row>
    <row r="85" spans="1:12" s="1765" customFormat="1" ht="24" customHeight="1">
      <c r="A85" s="1291">
        <v>7.4</v>
      </c>
      <c r="B85" s="1783" t="s">
        <v>2042</v>
      </c>
      <c r="C85" s="1294"/>
      <c r="D85" s="1777"/>
      <c r="E85" s="1686"/>
      <c r="F85" s="1402"/>
      <c r="G85" s="1661"/>
      <c r="H85" s="1588"/>
      <c r="I85" s="1589"/>
      <c r="J85" s="1588"/>
      <c r="K85" s="1770"/>
      <c r="L85" s="1770"/>
    </row>
    <row r="86" spans="1:12" s="1765" customFormat="1" ht="24" customHeight="1">
      <c r="A86" s="1258" t="s">
        <v>2054</v>
      </c>
      <c r="B86" s="1538" t="s">
        <v>2044</v>
      </c>
      <c r="C86" s="1275"/>
      <c r="D86" s="1767"/>
      <c r="E86" s="1771"/>
      <c r="F86" s="1385"/>
      <c r="G86" s="1778"/>
      <c r="H86" s="1594"/>
      <c r="I86" s="1595"/>
      <c r="J86" s="1594"/>
      <c r="K86" s="1632"/>
      <c r="L86" s="1632"/>
    </row>
    <row r="87" spans="1:12" s="1765" customFormat="1" ht="24" customHeight="1">
      <c r="A87" s="1189" t="s">
        <v>2166</v>
      </c>
      <c r="B87" s="1538" t="s">
        <v>2167</v>
      </c>
      <c r="C87" s="1275"/>
      <c r="D87" s="1767"/>
      <c r="E87" s="1771"/>
      <c r="F87" s="1385"/>
      <c r="G87" s="1778"/>
      <c r="H87" s="1594"/>
      <c r="I87" s="1595"/>
      <c r="J87" s="1594"/>
      <c r="K87" s="1632"/>
      <c r="L87" s="1632"/>
    </row>
    <row r="88" spans="1:12" s="1765" customFormat="1" ht="24" customHeight="1">
      <c r="A88" s="1258"/>
      <c r="B88" s="1538" t="s">
        <v>2168</v>
      </c>
      <c r="C88" s="1275"/>
      <c r="D88" s="1767"/>
      <c r="E88" s="1834"/>
      <c r="F88" s="1788" t="s">
        <v>226</v>
      </c>
      <c r="G88" s="2020">
        <v>69.5</v>
      </c>
      <c r="H88" s="1773">
        <f>ROUND(E88*G88,)</f>
        <v>0</v>
      </c>
      <c r="I88" s="2011">
        <v>30</v>
      </c>
      <c r="J88" s="2008">
        <f>ROUND(E88*I88,)</f>
        <v>0</v>
      </c>
      <c r="K88" s="1774">
        <f t="shared" ref="K88:K98" si="17">H88+J88</f>
        <v>0</v>
      </c>
      <c r="L88" s="1632"/>
    </row>
    <row r="89" spans="1:12" s="1765" customFormat="1" ht="24" customHeight="1">
      <c r="A89" s="1258"/>
      <c r="B89" s="1538" t="s">
        <v>1901</v>
      </c>
      <c r="C89" s="1275"/>
      <c r="D89" s="1767"/>
      <c r="E89" s="1771"/>
      <c r="F89" s="1358" t="s">
        <v>226</v>
      </c>
      <c r="G89" s="1558">
        <v>103.5</v>
      </c>
      <c r="H89" s="1773">
        <f t="shared" ref="H89:H98" si="18">ROUND(E89*G89,)</f>
        <v>0</v>
      </c>
      <c r="I89" s="1332">
        <v>45</v>
      </c>
      <c r="J89" s="2008">
        <f t="shared" ref="J89:J98" si="19">ROUND(E89*I89,)</f>
        <v>0</v>
      </c>
      <c r="K89" s="1774">
        <f t="shared" si="17"/>
        <v>0</v>
      </c>
      <c r="L89" s="1632"/>
    </row>
    <row r="90" spans="1:12" s="1765" customFormat="1" ht="24" customHeight="1">
      <c r="A90" s="1258"/>
      <c r="B90" s="1538" t="s">
        <v>1338</v>
      </c>
      <c r="C90" s="1275"/>
      <c r="D90" s="1767"/>
      <c r="E90" s="1771">
        <v>6.2</v>
      </c>
      <c r="F90" s="1358" t="s">
        <v>226</v>
      </c>
      <c r="G90" s="1558">
        <v>140</v>
      </c>
      <c r="H90" s="1773">
        <f t="shared" si="18"/>
        <v>868</v>
      </c>
      <c r="I90" s="1332">
        <v>60</v>
      </c>
      <c r="J90" s="2008">
        <f t="shared" si="19"/>
        <v>372</v>
      </c>
      <c r="K90" s="1774">
        <f t="shared" si="17"/>
        <v>1240</v>
      </c>
      <c r="L90" s="1632"/>
    </row>
    <row r="91" spans="1:12" s="1765" customFormat="1" ht="24" customHeight="1">
      <c r="A91" s="1258"/>
      <c r="B91" s="1538" t="s">
        <v>1339</v>
      </c>
      <c r="C91" s="1275"/>
      <c r="D91" s="1767"/>
      <c r="E91" s="1771">
        <v>93</v>
      </c>
      <c r="F91" s="1358" t="s">
        <v>226</v>
      </c>
      <c r="G91" s="1541">
        <v>167</v>
      </c>
      <c r="H91" s="1773">
        <f t="shared" si="18"/>
        <v>15531</v>
      </c>
      <c r="I91" s="2007">
        <v>70</v>
      </c>
      <c r="J91" s="2008">
        <f t="shared" si="19"/>
        <v>6510</v>
      </c>
      <c r="K91" s="1774">
        <f t="shared" si="17"/>
        <v>22041</v>
      </c>
      <c r="L91" s="1632"/>
    </row>
    <row r="92" spans="1:12" s="1765" customFormat="1" ht="24" customHeight="1">
      <c r="A92" s="1258"/>
      <c r="B92" s="1538" t="s">
        <v>1340</v>
      </c>
      <c r="C92" s="1275"/>
      <c r="D92" s="2109"/>
      <c r="E92" s="715">
        <v>74</v>
      </c>
      <c r="F92" s="1262" t="s">
        <v>226</v>
      </c>
      <c r="G92" s="819">
        <v>225</v>
      </c>
      <c r="H92" s="1773">
        <f t="shared" si="18"/>
        <v>16650</v>
      </c>
      <c r="I92" s="2007">
        <v>95</v>
      </c>
      <c r="J92" s="2008">
        <f t="shared" si="19"/>
        <v>7030</v>
      </c>
      <c r="K92" s="1774">
        <f t="shared" si="17"/>
        <v>23680</v>
      </c>
      <c r="L92" s="1632"/>
    </row>
    <row r="93" spans="1:12" s="1765" customFormat="1" ht="24" customHeight="1">
      <c r="A93" s="1804"/>
      <c r="B93" s="1780" t="s">
        <v>1341</v>
      </c>
      <c r="C93" s="1260"/>
      <c r="D93" s="2109"/>
      <c r="E93" s="715">
        <f>212+(78*2)</f>
        <v>368</v>
      </c>
      <c r="F93" s="1262" t="s">
        <v>226</v>
      </c>
      <c r="G93" s="2021">
        <v>357</v>
      </c>
      <c r="H93" s="1773">
        <f t="shared" si="18"/>
        <v>131376</v>
      </c>
      <c r="I93" s="819">
        <v>150</v>
      </c>
      <c r="J93" s="2008">
        <f t="shared" si="19"/>
        <v>55200</v>
      </c>
      <c r="K93" s="1774">
        <f t="shared" si="17"/>
        <v>186576</v>
      </c>
      <c r="L93" s="1415"/>
    </row>
    <row r="94" spans="1:12" s="1765" customFormat="1" ht="24" customHeight="1">
      <c r="A94" s="1804"/>
      <c r="B94" s="1780" t="s">
        <v>1342</v>
      </c>
      <c r="C94" s="1260"/>
      <c r="D94" s="2109"/>
      <c r="E94" s="825">
        <f>(78*2*1.1)</f>
        <v>171.60000000000002</v>
      </c>
      <c r="F94" s="1262" t="s">
        <v>226</v>
      </c>
      <c r="G94" s="2021">
        <v>467</v>
      </c>
      <c r="H94" s="1773">
        <f t="shared" si="18"/>
        <v>80137</v>
      </c>
      <c r="I94" s="819">
        <v>200</v>
      </c>
      <c r="J94" s="2008">
        <f t="shared" si="19"/>
        <v>34320</v>
      </c>
      <c r="K94" s="1774">
        <f t="shared" si="17"/>
        <v>114457</v>
      </c>
      <c r="L94" s="1415"/>
    </row>
    <row r="95" spans="1:12" s="1765" customFormat="1" ht="24" customHeight="1">
      <c r="A95" s="1804"/>
      <c r="B95" s="1780" t="s">
        <v>1111</v>
      </c>
      <c r="C95" s="1260"/>
      <c r="D95" s="2109"/>
      <c r="E95" s="825">
        <f>51.5*2*1.1</f>
        <v>113.30000000000001</v>
      </c>
      <c r="F95" s="1262" t="s">
        <v>226</v>
      </c>
      <c r="G95" s="2021">
        <v>665</v>
      </c>
      <c r="H95" s="1773">
        <f t="shared" si="18"/>
        <v>75345</v>
      </c>
      <c r="I95" s="819">
        <v>280</v>
      </c>
      <c r="J95" s="2008">
        <f t="shared" si="19"/>
        <v>31724</v>
      </c>
      <c r="K95" s="1774">
        <f t="shared" si="17"/>
        <v>107069</v>
      </c>
      <c r="L95" s="1415"/>
    </row>
    <row r="96" spans="1:12" s="1765" customFormat="1" ht="24" customHeight="1">
      <c r="A96" s="1258"/>
      <c r="B96" s="1538" t="s">
        <v>1719</v>
      </c>
      <c r="C96" s="1275"/>
      <c r="D96" s="2109"/>
      <c r="E96" s="715">
        <v>1</v>
      </c>
      <c r="F96" s="1415" t="s">
        <v>1104</v>
      </c>
      <c r="G96" s="1772">
        <f>ROUND(SUM(H88:H95)*50%,)</f>
        <v>159954</v>
      </c>
      <c r="H96" s="1264">
        <f t="shared" si="18"/>
        <v>159954</v>
      </c>
      <c r="I96" s="1595">
        <f>ROUND(G96*0.3,)</f>
        <v>47986</v>
      </c>
      <c r="J96" s="1264">
        <f t="shared" si="19"/>
        <v>47986</v>
      </c>
      <c r="K96" s="1273">
        <f t="shared" si="17"/>
        <v>207940</v>
      </c>
      <c r="L96" s="1632"/>
    </row>
    <row r="97" spans="1:15" s="1765" customFormat="1" ht="24" customHeight="1">
      <c r="A97" s="1258"/>
      <c r="B97" s="1538" t="s">
        <v>1720</v>
      </c>
      <c r="C97" s="1275"/>
      <c r="D97" s="2109"/>
      <c r="E97" s="715">
        <v>1</v>
      </c>
      <c r="F97" s="1415" t="s">
        <v>1104</v>
      </c>
      <c r="G97" s="1772">
        <f>ROUND(SUM(H87:H95)*20%,)</f>
        <v>63981</v>
      </c>
      <c r="H97" s="1264">
        <f t="shared" si="18"/>
        <v>63981</v>
      </c>
      <c r="I97" s="1595">
        <f>ROUND(G97*0.3,)</f>
        <v>19194</v>
      </c>
      <c r="J97" s="1264">
        <f t="shared" si="19"/>
        <v>19194</v>
      </c>
      <c r="K97" s="1273">
        <f t="shared" si="17"/>
        <v>83175</v>
      </c>
      <c r="L97" s="1632"/>
    </row>
    <row r="98" spans="1:15" s="1765" customFormat="1" ht="24" customHeight="1">
      <c r="A98" s="1258"/>
      <c r="B98" s="1538" t="s">
        <v>1721</v>
      </c>
      <c r="C98" s="1275"/>
      <c r="D98" s="2109"/>
      <c r="E98" s="715">
        <v>1</v>
      </c>
      <c r="F98" s="1415" t="s">
        <v>1104</v>
      </c>
      <c r="G98" s="1772">
        <f>ROUND(SUM(H87:H95)*10%,)</f>
        <v>31991</v>
      </c>
      <c r="H98" s="1264">
        <f t="shared" si="18"/>
        <v>31991</v>
      </c>
      <c r="I98" s="1595">
        <f>ROUND(G98*0.3,)</f>
        <v>9597</v>
      </c>
      <c r="J98" s="1264">
        <f t="shared" si="19"/>
        <v>9597</v>
      </c>
      <c r="K98" s="1273">
        <f t="shared" si="17"/>
        <v>41588</v>
      </c>
      <c r="L98" s="1632"/>
    </row>
    <row r="99" spans="1:15" s="1765" customFormat="1" ht="24" customHeight="1">
      <c r="A99" s="1258" t="s">
        <v>2056</v>
      </c>
      <c r="B99" s="1538" t="s">
        <v>2050</v>
      </c>
      <c r="C99" s="1275"/>
      <c r="D99" s="2109"/>
      <c r="E99" s="715"/>
      <c r="F99" s="1415"/>
      <c r="G99" s="1772"/>
      <c r="H99" s="1594"/>
      <c r="I99" s="1595"/>
      <c r="J99" s="1594"/>
      <c r="K99" s="1632"/>
      <c r="L99" s="1632"/>
    </row>
    <row r="100" spans="1:15" s="1765" customFormat="1" ht="24" customHeight="1">
      <c r="A100" s="1258"/>
      <c r="B100" s="1538" t="s">
        <v>2168</v>
      </c>
      <c r="C100" s="1275"/>
      <c r="D100" s="2109"/>
      <c r="E100" s="1834"/>
      <c r="F100" s="2154" t="s">
        <v>226</v>
      </c>
      <c r="G100" s="819">
        <v>12</v>
      </c>
      <c r="H100" s="1343">
        <f t="shared" ref="H100:H107" si="20">ROUND(E100*G100,)</f>
        <v>0</v>
      </c>
      <c r="I100" s="819">
        <v>30</v>
      </c>
      <c r="J100" s="2005">
        <f t="shared" ref="J100:J107" si="21">ROUND(E100*I100,)</f>
        <v>0</v>
      </c>
      <c r="K100" s="1801">
        <f t="shared" ref="K100:K107" si="22">H100+J100</f>
        <v>0</v>
      </c>
      <c r="L100" s="2082" t="s">
        <v>2667</v>
      </c>
      <c r="M100" s="2002"/>
      <c r="N100" s="2009">
        <v>48.23</v>
      </c>
      <c r="O100" s="1199">
        <f>ROUND(N100/4,)</f>
        <v>12</v>
      </c>
    </row>
    <row r="101" spans="1:15" s="1765" customFormat="1" ht="24" customHeight="1">
      <c r="A101" s="1258"/>
      <c r="B101" s="1538" t="s">
        <v>1901</v>
      </c>
      <c r="C101" s="1275"/>
      <c r="D101" s="2109"/>
      <c r="E101" s="715"/>
      <c r="F101" s="1262" t="s">
        <v>226</v>
      </c>
      <c r="G101" s="819">
        <v>16</v>
      </c>
      <c r="H101" s="1369">
        <f t="shared" si="20"/>
        <v>0</v>
      </c>
      <c r="I101" s="2007">
        <v>30</v>
      </c>
      <c r="J101" s="2008">
        <f t="shared" si="21"/>
        <v>0</v>
      </c>
      <c r="K101" s="1774">
        <f t="shared" si="22"/>
        <v>0</v>
      </c>
      <c r="L101" s="2082" t="s">
        <v>2667</v>
      </c>
      <c r="M101" s="2002"/>
      <c r="N101" s="1765">
        <v>63.7</v>
      </c>
      <c r="O101" s="1199">
        <f>ROUND(N101/4,)</f>
        <v>16</v>
      </c>
    </row>
    <row r="102" spans="1:15" s="1765" customFormat="1" ht="24" customHeight="1">
      <c r="A102" s="1258"/>
      <c r="B102" s="1538" t="s">
        <v>2263</v>
      </c>
      <c r="C102" s="1275"/>
      <c r="D102" s="2109"/>
      <c r="E102" s="715">
        <v>22</v>
      </c>
      <c r="F102" s="1262" t="s">
        <v>226</v>
      </c>
      <c r="G102" s="819">
        <v>20</v>
      </c>
      <c r="H102" s="1369">
        <f t="shared" si="20"/>
        <v>440</v>
      </c>
      <c r="I102" s="2007">
        <v>30</v>
      </c>
      <c r="J102" s="2008">
        <f t="shared" si="21"/>
        <v>660</v>
      </c>
      <c r="K102" s="1774">
        <f t="shared" si="22"/>
        <v>1100</v>
      </c>
      <c r="L102" s="2082" t="s">
        <v>2667</v>
      </c>
      <c r="M102" s="2002"/>
      <c r="N102" s="2024">
        <v>79.17</v>
      </c>
      <c r="O102" s="1199">
        <f>ROUND(N102/4,)</f>
        <v>20</v>
      </c>
    </row>
    <row r="103" spans="1:15" s="1765" customFormat="1" ht="24" customHeight="1">
      <c r="A103" s="1258"/>
      <c r="B103" s="1538" t="s">
        <v>1339</v>
      </c>
      <c r="C103" s="1275"/>
      <c r="D103" s="2109"/>
      <c r="E103" s="715">
        <f>2.2+(4*2)</f>
        <v>10.199999999999999</v>
      </c>
      <c r="F103" s="1262" t="s">
        <v>226</v>
      </c>
      <c r="G103" s="819">
        <v>26</v>
      </c>
      <c r="H103" s="1369">
        <f t="shared" si="20"/>
        <v>265</v>
      </c>
      <c r="I103" s="2007">
        <v>30</v>
      </c>
      <c r="J103" s="2008">
        <f t="shared" si="21"/>
        <v>306</v>
      </c>
      <c r="K103" s="1774">
        <f t="shared" si="22"/>
        <v>571</v>
      </c>
      <c r="L103" s="2082" t="s">
        <v>2667</v>
      </c>
      <c r="M103" s="2002"/>
      <c r="N103" s="2024">
        <v>103.74</v>
      </c>
      <c r="O103" s="1199">
        <f>ROUND(N103/4,)</f>
        <v>26</v>
      </c>
    </row>
    <row r="104" spans="1:15" s="1765" customFormat="1" ht="24" customHeight="1">
      <c r="A104" s="1258"/>
      <c r="B104" s="1538" t="s">
        <v>1340</v>
      </c>
      <c r="C104" s="1275"/>
      <c r="D104" s="1767"/>
      <c r="E104" s="1771"/>
      <c r="F104" s="1358" t="s">
        <v>226</v>
      </c>
      <c r="G104" s="1541">
        <v>41</v>
      </c>
      <c r="H104" s="1369">
        <f t="shared" si="20"/>
        <v>0</v>
      </c>
      <c r="I104" s="2007">
        <v>40</v>
      </c>
      <c r="J104" s="2008">
        <f t="shared" si="21"/>
        <v>0</v>
      </c>
      <c r="K104" s="1774">
        <f t="shared" si="22"/>
        <v>0</v>
      </c>
      <c r="L104" s="2082" t="s">
        <v>2667</v>
      </c>
      <c r="M104" s="2002"/>
      <c r="N104" s="2024">
        <v>163.80000000000001</v>
      </c>
      <c r="O104" s="1199">
        <f>ROUND(N104/4,)</f>
        <v>41</v>
      </c>
    </row>
    <row r="105" spans="1:15" s="1765" customFormat="1" ht="24" customHeight="1">
      <c r="A105" s="1258"/>
      <c r="B105" s="1538" t="s">
        <v>1719</v>
      </c>
      <c r="C105" s="1275"/>
      <c r="D105" s="1767"/>
      <c r="E105" s="1771">
        <v>1</v>
      </c>
      <c r="F105" s="1385" t="s">
        <v>1104</v>
      </c>
      <c r="G105" s="1778">
        <f>SUM(H100:H104)*50%</f>
        <v>352.5</v>
      </c>
      <c r="H105" s="1264">
        <f t="shared" si="20"/>
        <v>353</v>
      </c>
      <c r="I105" s="1595">
        <f>ROUND(G105*0.3,)</f>
        <v>106</v>
      </c>
      <c r="J105" s="1264">
        <f t="shared" si="21"/>
        <v>106</v>
      </c>
      <c r="K105" s="1273">
        <f t="shared" si="22"/>
        <v>459</v>
      </c>
      <c r="L105" s="1632"/>
    </row>
    <row r="106" spans="1:15" s="1765" customFormat="1" ht="24" customHeight="1">
      <c r="A106" s="1258"/>
      <c r="B106" s="1538" t="s">
        <v>1720</v>
      </c>
      <c r="C106" s="1275"/>
      <c r="D106" s="1767"/>
      <c r="E106" s="1771">
        <v>1</v>
      </c>
      <c r="F106" s="1385" t="s">
        <v>1104</v>
      </c>
      <c r="G106" s="1778">
        <f>ROUND(SUM(H100:H104)*30%,)</f>
        <v>212</v>
      </c>
      <c r="H106" s="1264">
        <f t="shared" si="20"/>
        <v>212</v>
      </c>
      <c r="I106" s="1595">
        <f>ROUND(G106*0.3,)</f>
        <v>64</v>
      </c>
      <c r="J106" s="1264">
        <f t="shared" si="21"/>
        <v>64</v>
      </c>
      <c r="K106" s="1273">
        <f t="shared" si="22"/>
        <v>276</v>
      </c>
      <c r="L106" s="1632"/>
    </row>
    <row r="107" spans="1:15" s="1765" customFormat="1" ht="24" customHeight="1">
      <c r="A107" s="1258"/>
      <c r="B107" s="1538" t="s">
        <v>1721</v>
      </c>
      <c r="C107" s="1275"/>
      <c r="D107" s="1767"/>
      <c r="E107" s="1771">
        <v>1</v>
      </c>
      <c r="F107" s="1385" t="s">
        <v>1104</v>
      </c>
      <c r="G107" s="1778">
        <f>ROUND(SUM(H100:H106)*10%,)</f>
        <v>127</v>
      </c>
      <c r="H107" s="1264">
        <f t="shared" si="20"/>
        <v>127</v>
      </c>
      <c r="I107" s="1595">
        <f>ROUND(G107*0.3,)</f>
        <v>38</v>
      </c>
      <c r="J107" s="1264">
        <f t="shared" si="21"/>
        <v>38</v>
      </c>
      <c r="K107" s="1273">
        <f t="shared" si="22"/>
        <v>165</v>
      </c>
      <c r="L107" s="1632"/>
    </row>
    <row r="108" spans="1:15" s="1765" customFormat="1" ht="24" customHeight="1">
      <c r="A108" s="1258"/>
      <c r="B108" s="1538" t="s">
        <v>1117</v>
      </c>
      <c r="C108" s="1275"/>
      <c r="D108" s="1767"/>
      <c r="E108" s="1771"/>
      <c r="F108" s="1385"/>
      <c r="G108" s="1778"/>
      <c r="H108" s="1594"/>
      <c r="I108" s="1595"/>
      <c r="J108" s="1594"/>
      <c r="K108" s="1632"/>
      <c r="L108" s="1632"/>
    </row>
    <row r="109" spans="1:15" s="1765" customFormat="1" ht="24" customHeight="1">
      <c r="A109" s="1578"/>
      <c r="B109" s="2257" t="str">
        <f>"รวมราคารายการที่ "&amp;A85</f>
        <v>รวมราคารายการที่ 7.4</v>
      </c>
      <c r="C109" s="2258"/>
      <c r="D109" s="2259"/>
      <c r="E109" s="1579"/>
      <c r="F109" s="1579"/>
      <c r="G109" s="1580"/>
      <c r="H109" s="1581">
        <f>SUM(H86:H108)</f>
        <v>577230</v>
      </c>
      <c r="I109" s="1582"/>
      <c r="J109" s="1581">
        <f>SUM(J86:J108)</f>
        <v>213107</v>
      </c>
      <c r="K109" s="1581">
        <f>SUM(K86:K108)</f>
        <v>790337</v>
      </c>
      <c r="L109" s="1583"/>
    </row>
    <row r="110" spans="1:15" s="1765" customFormat="1" ht="24" customHeight="1">
      <c r="A110" s="1863" t="s">
        <v>2307</v>
      </c>
      <c r="B110" s="1758" t="s">
        <v>2053</v>
      </c>
      <c r="C110" s="1250"/>
      <c r="D110" s="1251"/>
      <c r="E110" s="1794"/>
      <c r="F110" s="1253"/>
      <c r="G110" s="1721"/>
      <c r="H110" s="1255"/>
      <c r="I110" s="1256"/>
      <c r="J110" s="1255"/>
      <c r="K110" s="1502"/>
      <c r="L110" s="1502"/>
    </row>
    <row r="111" spans="1:15" s="1765" customFormat="1" ht="24" customHeight="1">
      <c r="A111" s="1258" t="s">
        <v>2062</v>
      </c>
      <c r="B111" s="1538" t="s">
        <v>2055</v>
      </c>
      <c r="C111" s="1437"/>
      <c r="D111" s="1275"/>
      <c r="E111" s="1768"/>
      <c r="F111" s="1358"/>
      <c r="G111" s="1516"/>
      <c r="H111" s="1264"/>
      <c r="I111" s="1265"/>
      <c r="J111" s="1264"/>
      <c r="K111" s="1273"/>
      <c r="L111" s="1273"/>
    </row>
    <row r="112" spans="1:15" s="1765" customFormat="1" ht="24" customHeight="1">
      <c r="A112" s="1258"/>
      <c r="B112" s="1538" t="s">
        <v>2168</v>
      </c>
      <c r="C112" s="1437"/>
      <c r="D112" s="1275"/>
      <c r="E112" s="1813">
        <f>E100</f>
        <v>0</v>
      </c>
      <c r="F112" s="1788" t="s">
        <v>226</v>
      </c>
      <c r="G112" s="1790">
        <v>59</v>
      </c>
      <c r="H112" s="1773">
        <f t="shared" ref="H112:H115" si="23">ROUND(E112*G112,)</f>
        <v>0</v>
      </c>
      <c r="I112" s="1789">
        <f>ROUND(20*0.75*1.3,)</f>
        <v>20</v>
      </c>
      <c r="J112" s="1773">
        <f t="shared" ref="J112:J115" si="24">ROUND(E112*I112,)</f>
        <v>0</v>
      </c>
      <c r="K112" s="1269">
        <f t="shared" ref="K112:K115" si="25">H112+J112</f>
        <v>0</v>
      </c>
      <c r="L112" s="1273"/>
    </row>
    <row r="113" spans="1:12" s="1765" customFormat="1" ht="24" customHeight="1">
      <c r="A113" s="1258"/>
      <c r="B113" s="1538" t="s">
        <v>1901</v>
      </c>
      <c r="C113" s="1437"/>
      <c r="D113" s="1275"/>
      <c r="E113" s="1813">
        <f>E101</f>
        <v>0</v>
      </c>
      <c r="F113" s="1358" t="s">
        <v>226</v>
      </c>
      <c r="G113" s="1516">
        <v>69</v>
      </c>
      <c r="H113" s="1264">
        <f t="shared" si="23"/>
        <v>0</v>
      </c>
      <c r="I113" s="1265">
        <f>ROUND(20*1*1.3,)</f>
        <v>26</v>
      </c>
      <c r="J113" s="1264">
        <f t="shared" si="24"/>
        <v>0</v>
      </c>
      <c r="K113" s="1273">
        <f t="shared" si="25"/>
        <v>0</v>
      </c>
      <c r="L113" s="1273"/>
    </row>
    <row r="114" spans="1:12" s="1765" customFormat="1" ht="24" customHeight="1">
      <c r="A114" s="1258"/>
      <c r="B114" s="1538" t="s">
        <v>1338</v>
      </c>
      <c r="C114" s="1437"/>
      <c r="D114" s="1275"/>
      <c r="E114" s="1813">
        <f>E102</f>
        <v>22</v>
      </c>
      <c r="F114" s="1358" t="s">
        <v>226</v>
      </c>
      <c r="G114" s="1516">
        <v>92</v>
      </c>
      <c r="H114" s="1264">
        <f t="shared" si="23"/>
        <v>2024</v>
      </c>
      <c r="I114" s="1265">
        <f>ROUND(20*1.25*1.3,)</f>
        <v>33</v>
      </c>
      <c r="J114" s="1264">
        <f t="shared" si="24"/>
        <v>726</v>
      </c>
      <c r="K114" s="1273">
        <f t="shared" si="25"/>
        <v>2750</v>
      </c>
      <c r="L114" s="1273"/>
    </row>
    <row r="115" spans="1:12" s="1765" customFormat="1" ht="24" customHeight="1">
      <c r="A115" s="1258"/>
      <c r="B115" s="1538" t="s">
        <v>1339</v>
      </c>
      <c r="C115" s="1437"/>
      <c r="D115" s="1275"/>
      <c r="E115" s="1813">
        <f>E103</f>
        <v>10.199999999999999</v>
      </c>
      <c r="F115" s="1358" t="s">
        <v>226</v>
      </c>
      <c r="G115" s="1516">
        <v>93</v>
      </c>
      <c r="H115" s="1264">
        <f t="shared" si="23"/>
        <v>949</v>
      </c>
      <c r="I115" s="1265">
        <v>39</v>
      </c>
      <c r="J115" s="1264">
        <f t="shared" si="24"/>
        <v>398</v>
      </c>
      <c r="K115" s="1273">
        <f t="shared" si="25"/>
        <v>1347</v>
      </c>
      <c r="L115" s="1273"/>
    </row>
    <row r="116" spans="1:12" s="1765" customFormat="1" ht="24" customHeight="1">
      <c r="A116" s="1258" t="s">
        <v>2062</v>
      </c>
      <c r="B116" s="1538" t="s">
        <v>2169</v>
      </c>
      <c r="C116" s="1437"/>
      <c r="D116" s="1275"/>
      <c r="E116" s="1768"/>
      <c r="F116" s="1358"/>
      <c r="G116" s="1516"/>
      <c r="H116" s="1264"/>
      <c r="I116" s="1265"/>
      <c r="J116" s="1264"/>
      <c r="K116" s="1273"/>
      <c r="L116" s="1273"/>
    </row>
    <row r="117" spans="1:12" s="1765" customFormat="1" ht="24" customHeight="1">
      <c r="A117" s="1258"/>
      <c r="B117" s="1538" t="s">
        <v>2168</v>
      </c>
      <c r="C117" s="1437"/>
      <c r="D117" s="1275"/>
      <c r="E117" s="1813">
        <f>E88</f>
        <v>0</v>
      </c>
      <c r="F117" s="1788" t="s">
        <v>226</v>
      </c>
      <c r="G117" s="1790">
        <v>69</v>
      </c>
      <c r="H117" s="1773">
        <f t="shared" ref="H117:H120" si="26">ROUND(E117*G117,)</f>
        <v>0</v>
      </c>
      <c r="I117" s="1789">
        <f>ROUND(20*0.75*1.3,)</f>
        <v>20</v>
      </c>
      <c r="J117" s="1773">
        <f t="shared" ref="J117:J120" si="27">ROUND(E117*I117,)</f>
        <v>0</v>
      </c>
      <c r="K117" s="1269">
        <f t="shared" ref="K117:K120" si="28">H117+J117</f>
        <v>0</v>
      </c>
      <c r="L117" s="1269"/>
    </row>
    <row r="118" spans="1:12" s="1765" customFormat="1" ht="24" customHeight="1">
      <c r="A118" s="1258"/>
      <c r="B118" s="1538" t="s">
        <v>1901</v>
      </c>
      <c r="C118" s="1437"/>
      <c r="D118" s="1275"/>
      <c r="E118" s="1771">
        <f>E89</f>
        <v>0</v>
      </c>
      <c r="F118" s="1358" t="s">
        <v>226</v>
      </c>
      <c r="G118" s="1516">
        <v>85</v>
      </c>
      <c r="H118" s="1264">
        <f t="shared" si="26"/>
        <v>0</v>
      </c>
      <c r="I118" s="1265">
        <f>ROUND(20*1*1.3,)</f>
        <v>26</v>
      </c>
      <c r="J118" s="1264">
        <f t="shared" si="27"/>
        <v>0</v>
      </c>
      <c r="K118" s="1273">
        <f t="shared" si="28"/>
        <v>0</v>
      </c>
      <c r="L118" s="1273"/>
    </row>
    <row r="119" spans="1:12" s="1765" customFormat="1" ht="24" customHeight="1">
      <c r="A119" s="1258"/>
      <c r="B119" s="1538" t="s">
        <v>1338</v>
      </c>
      <c r="C119" s="1437"/>
      <c r="D119" s="1275"/>
      <c r="E119" s="1813">
        <f>E90</f>
        <v>6.2</v>
      </c>
      <c r="F119" s="1788" t="s">
        <v>226</v>
      </c>
      <c r="G119" s="1515">
        <v>96</v>
      </c>
      <c r="H119" s="1369">
        <f t="shared" si="26"/>
        <v>595</v>
      </c>
      <c r="I119" s="1370">
        <v>33</v>
      </c>
      <c r="J119" s="1369">
        <f t="shared" si="27"/>
        <v>205</v>
      </c>
      <c r="K119" s="1356">
        <f t="shared" si="28"/>
        <v>800</v>
      </c>
      <c r="L119" s="1269"/>
    </row>
    <row r="120" spans="1:12" s="1765" customFormat="1" ht="24" customHeight="1">
      <c r="A120" s="1258"/>
      <c r="B120" s="1538" t="s">
        <v>1339</v>
      </c>
      <c r="C120" s="1437"/>
      <c r="D120" s="1275"/>
      <c r="E120" s="1771">
        <f>E91</f>
        <v>93</v>
      </c>
      <c r="F120" s="1358" t="s">
        <v>226</v>
      </c>
      <c r="G120" s="1515">
        <v>108</v>
      </c>
      <c r="H120" s="1369">
        <f t="shared" si="26"/>
        <v>10044</v>
      </c>
      <c r="I120" s="1370">
        <v>39</v>
      </c>
      <c r="J120" s="1369">
        <f t="shared" si="27"/>
        <v>3627</v>
      </c>
      <c r="K120" s="1356">
        <f t="shared" si="28"/>
        <v>13671</v>
      </c>
      <c r="L120" s="1273"/>
    </row>
    <row r="121" spans="1:12" s="1765" customFormat="1" ht="24" customHeight="1">
      <c r="A121" s="1804" t="s">
        <v>2064</v>
      </c>
      <c r="B121" s="1780" t="s">
        <v>2265</v>
      </c>
      <c r="C121" s="1800"/>
      <c r="D121" s="1260"/>
      <c r="E121" s="1801"/>
      <c r="F121" s="1262"/>
      <c r="G121" s="1515"/>
      <c r="H121" s="1343"/>
      <c r="I121" s="1344"/>
      <c r="J121" s="1343"/>
      <c r="K121" s="1262"/>
      <c r="L121" s="1262"/>
    </row>
    <row r="122" spans="1:12" s="1765" customFormat="1" ht="24" customHeight="1">
      <c r="A122" s="1804"/>
      <c r="B122" s="1780" t="s">
        <v>1338</v>
      </c>
      <c r="C122" s="1800"/>
      <c r="D122" s="1260"/>
      <c r="E122" s="715"/>
      <c r="F122" s="1262" t="s">
        <v>226</v>
      </c>
      <c r="G122" s="1515">
        <v>108</v>
      </c>
      <c r="H122" s="1343">
        <f t="shared" ref="H122:H127" si="29">ROUND(E122*G122,)</f>
        <v>0</v>
      </c>
      <c r="I122" s="1344">
        <v>33</v>
      </c>
      <c r="J122" s="1343">
        <f t="shared" ref="J122:J127" si="30">ROUND(E122*I122,)</f>
        <v>0</v>
      </c>
      <c r="K122" s="1262">
        <f t="shared" ref="K122:K127" si="31">H122+J122</f>
        <v>0</v>
      </c>
      <c r="L122" s="1262"/>
    </row>
    <row r="123" spans="1:12" s="1765" customFormat="1" ht="24" customHeight="1">
      <c r="A123" s="1804"/>
      <c r="B123" s="1780" t="s">
        <v>1339</v>
      </c>
      <c r="C123" s="1260"/>
      <c r="D123" s="1781"/>
      <c r="E123" s="715"/>
      <c r="F123" s="1262" t="s">
        <v>226</v>
      </c>
      <c r="G123" s="1515">
        <v>164</v>
      </c>
      <c r="H123" s="1343">
        <f t="shared" si="29"/>
        <v>0</v>
      </c>
      <c r="I123" s="1344">
        <v>39</v>
      </c>
      <c r="J123" s="1343">
        <f t="shared" si="30"/>
        <v>0</v>
      </c>
      <c r="K123" s="1262">
        <f t="shared" si="31"/>
        <v>0</v>
      </c>
      <c r="L123" s="1415"/>
    </row>
    <row r="124" spans="1:12" s="1765" customFormat="1" ht="24" customHeight="1">
      <c r="A124" s="1784"/>
      <c r="B124" s="1780" t="s">
        <v>1340</v>
      </c>
      <c r="C124" s="1260"/>
      <c r="D124" s="1781"/>
      <c r="E124" s="825">
        <f>E92</f>
        <v>74</v>
      </c>
      <c r="F124" s="1356" t="s">
        <v>226</v>
      </c>
      <c r="G124" s="1515">
        <v>200</v>
      </c>
      <c r="H124" s="1369">
        <f t="shared" si="29"/>
        <v>14800</v>
      </c>
      <c r="I124" s="1370">
        <v>52</v>
      </c>
      <c r="J124" s="1369">
        <f t="shared" si="30"/>
        <v>3848</v>
      </c>
      <c r="K124" s="1356">
        <f t="shared" si="31"/>
        <v>18648</v>
      </c>
      <c r="L124" s="1457"/>
    </row>
    <row r="125" spans="1:12" s="1765" customFormat="1" ht="24" customHeight="1">
      <c r="A125" s="1784"/>
      <c r="B125" s="1780" t="s">
        <v>1341</v>
      </c>
      <c r="C125" s="1260"/>
      <c r="D125" s="1781"/>
      <c r="E125" s="825">
        <f>E93</f>
        <v>368</v>
      </c>
      <c r="F125" s="1356" t="s">
        <v>226</v>
      </c>
      <c r="G125" s="1515">
        <v>256</v>
      </c>
      <c r="H125" s="1369">
        <f t="shared" si="29"/>
        <v>94208</v>
      </c>
      <c r="I125" s="1370">
        <v>65</v>
      </c>
      <c r="J125" s="1369">
        <f t="shared" si="30"/>
        <v>23920</v>
      </c>
      <c r="K125" s="1356">
        <f t="shared" si="31"/>
        <v>118128</v>
      </c>
      <c r="L125" s="1457"/>
    </row>
    <row r="126" spans="1:12" s="1765" customFormat="1" ht="24" customHeight="1">
      <c r="A126" s="1784"/>
      <c r="B126" s="1780" t="s">
        <v>1342</v>
      </c>
      <c r="C126" s="1260"/>
      <c r="D126" s="1781"/>
      <c r="E126" s="825">
        <f>E94</f>
        <v>171.60000000000002</v>
      </c>
      <c r="F126" s="1356" t="s">
        <v>226</v>
      </c>
      <c r="G126" s="1515">
        <v>302</v>
      </c>
      <c r="H126" s="1369">
        <f t="shared" si="29"/>
        <v>51823</v>
      </c>
      <c r="I126" s="1370">
        <v>78</v>
      </c>
      <c r="J126" s="1369">
        <f t="shared" si="30"/>
        <v>13385</v>
      </c>
      <c r="K126" s="1356">
        <f t="shared" si="31"/>
        <v>65208</v>
      </c>
      <c r="L126" s="1457"/>
    </row>
    <row r="127" spans="1:12" s="1765" customFormat="1" ht="24" customHeight="1">
      <c r="A127" s="1784"/>
      <c r="B127" s="1780" t="s">
        <v>1111</v>
      </c>
      <c r="C127" s="1260"/>
      <c r="D127" s="1781"/>
      <c r="E127" s="825">
        <f>E95</f>
        <v>113.30000000000001</v>
      </c>
      <c r="F127" s="1356" t="s">
        <v>226</v>
      </c>
      <c r="G127" s="1515">
        <v>367</v>
      </c>
      <c r="H127" s="1369">
        <f t="shared" si="29"/>
        <v>41581</v>
      </c>
      <c r="I127" s="1370">
        <v>104</v>
      </c>
      <c r="J127" s="1369">
        <f t="shared" si="30"/>
        <v>11783</v>
      </c>
      <c r="K127" s="1356">
        <f t="shared" si="31"/>
        <v>53364</v>
      </c>
      <c r="L127" s="1457"/>
    </row>
    <row r="128" spans="1:12" s="1765" customFormat="1" ht="24" customHeight="1">
      <c r="A128" s="1258"/>
      <c r="B128" s="1538" t="s">
        <v>1117</v>
      </c>
      <c r="C128" s="1437"/>
      <c r="D128" s="1275"/>
      <c r="E128" s="1768"/>
      <c r="F128" s="1358"/>
      <c r="G128" s="1516"/>
      <c r="H128" s="1264"/>
      <c r="I128" s="1265"/>
      <c r="J128" s="1264"/>
      <c r="K128" s="1273"/>
      <c r="L128" s="1273"/>
    </row>
    <row r="129" spans="1:12" s="1765" customFormat="1" ht="24" customHeight="1">
      <c r="A129" s="1258"/>
      <c r="B129" s="1538" t="s">
        <v>1118</v>
      </c>
      <c r="C129" s="1437"/>
      <c r="D129" s="1275"/>
      <c r="E129" s="1768"/>
      <c r="F129" s="1358"/>
      <c r="G129" s="1516"/>
      <c r="H129" s="1264"/>
      <c r="I129" s="1265"/>
      <c r="J129" s="1264"/>
      <c r="K129" s="1273"/>
      <c r="L129" s="1273"/>
    </row>
    <row r="130" spans="1:12" s="1765" customFormat="1" ht="24" customHeight="1">
      <c r="A130" s="1258"/>
      <c r="B130" s="1538"/>
      <c r="C130" s="1437"/>
      <c r="D130" s="1275"/>
      <c r="E130" s="1768"/>
      <c r="F130" s="1358"/>
      <c r="G130" s="1516"/>
      <c r="H130" s="1264"/>
      <c r="I130" s="1265"/>
      <c r="J130" s="1264"/>
      <c r="K130" s="1273"/>
      <c r="L130" s="1273"/>
    </row>
    <row r="131" spans="1:12" s="1765" customFormat="1" ht="24" customHeight="1">
      <c r="A131" s="1258"/>
      <c r="B131" s="1538"/>
      <c r="C131" s="1437"/>
      <c r="D131" s="1275"/>
      <c r="E131" s="1768"/>
      <c r="F131" s="1358"/>
      <c r="G131" s="1516"/>
      <c r="H131" s="1264"/>
      <c r="I131" s="1265"/>
      <c r="J131" s="1264"/>
      <c r="K131" s="1273"/>
      <c r="L131" s="1273"/>
    </row>
    <row r="132" spans="1:12" s="1765" customFormat="1" ht="24" customHeight="1">
      <c r="A132" s="1258"/>
      <c r="B132" s="1538"/>
      <c r="C132" s="1437"/>
      <c r="D132" s="1275"/>
      <c r="E132" s="1768"/>
      <c r="F132" s="1358"/>
      <c r="G132" s="1516"/>
      <c r="H132" s="1264"/>
      <c r="I132" s="1265"/>
      <c r="J132" s="1264"/>
      <c r="K132" s="1273"/>
      <c r="L132" s="1273"/>
    </row>
    <row r="133" spans="1:12" s="1765" customFormat="1" ht="24" customHeight="1">
      <c r="A133" s="1791"/>
      <c r="B133" s="1792"/>
      <c r="C133" s="1702"/>
      <c r="D133" s="1486"/>
      <c r="E133" s="1793"/>
      <c r="F133" s="1487"/>
      <c r="G133" s="1735"/>
      <c r="H133" s="1425"/>
      <c r="I133" s="1488"/>
      <c r="J133" s="1425"/>
      <c r="K133" s="1426"/>
      <c r="L133" s="1426"/>
    </row>
    <row r="134" spans="1:12" s="1765" customFormat="1" ht="24" customHeight="1">
      <c r="A134" s="1578"/>
      <c r="B134" s="2257" t="str">
        <f>"รวมราคารายการที่ "&amp;A110</f>
        <v>รวมราคารายการที่ 7.5</v>
      </c>
      <c r="C134" s="2258"/>
      <c r="D134" s="2259"/>
      <c r="E134" s="1579"/>
      <c r="F134" s="1579"/>
      <c r="G134" s="1580"/>
      <c r="H134" s="1581">
        <f>SUM(H111:H133)</f>
        <v>216024</v>
      </c>
      <c r="I134" s="1582"/>
      <c r="J134" s="1581">
        <f>SUM(J111:J133)</f>
        <v>57892</v>
      </c>
      <c r="K134" s="1581">
        <f>SUM(K111:K133)</f>
        <v>273916</v>
      </c>
      <c r="L134" s="1583"/>
    </row>
    <row r="135" spans="1:12" s="1765" customFormat="1" ht="24" customHeight="1">
      <c r="A135" s="1291">
        <v>7.6</v>
      </c>
      <c r="B135" s="1776" t="s">
        <v>2061</v>
      </c>
      <c r="C135" s="1293"/>
      <c r="D135" s="1294"/>
      <c r="E135" s="1786"/>
      <c r="F135" s="1296"/>
      <c r="G135" s="1357"/>
      <c r="H135" s="1298"/>
      <c r="I135" s="1299"/>
      <c r="J135" s="1298"/>
      <c r="K135" s="1382"/>
      <c r="L135" s="1382"/>
    </row>
    <row r="136" spans="1:12" s="1765" customFormat="1" ht="24" customHeight="1">
      <c r="A136" s="1258" t="s">
        <v>2075</v>
      </c>
      <c r="B136" s="1538" t="s">
        <v>2063</v>
      </c>
      <c r="C136" s="1437"/>
      <c r="D136" s="1275"/>
      <c r="E136" s="1768"/>
      <c r="F136" s="1358"/>
      <c r="G136" s="1516"/>
      <c r="H136" s="1264"/>
      <c r="I136" s="1265"/>
      <c r="J136" s="1264"/>
      <c r="K136" s="1273"/>
      <c r="L136" s="1273"/>
    </row>
    <row r="137" spans="1:12" s="1765" customFormat="1" ht="24" customHeight="1">
      <c r="A137" s="1258"/>
      <c r="B137" s="1538" t="s">
        <v>1448</v>
      </c>
      <c r="C137" s="1437"/>
      <c r="D137" s="1275"/>
      <c r="E137" s="1787"/>
      <c r="F137" s="1788" t="s">
        <v>363</v>
      </c>
      <c r="G137" s="2010">
        <v>880</v>
      </c>
      <c r="H137" s="1773">
        <f t="shared" ref="H137:H141" si="32">ROUND(E137*G137,)</f>
        <v>0</v>
      </c>
      <c r="I137" s="2011">
        <v>150</v>
      </c>
      <c r="J137" s="2008">
        <f t="shared" ref="J137:J141" si="33">ROUND(E137*I137,)</f>
        <v>0</v>
      </c>
      <c r="K137" s="1774">
        <f t="shared" ref="K137:K141" si="34">H137+J137</f>
        <v>0</v>
      </c>
      <c r="L137" s="2082" t="s">
        <v>2667</v>
      </c>
    </row>
    <row r="138" spans="1:12" s="1765" customFormat="1" ht="24" customHeight="1">
      <c r="A138" s="1258"/>
      <c r="B138" s="1538" t="s">
        <v>1337</v>
      </c>
      <c r="C138" s="1437"/>
      <c r="D138" s="1275"/>
      <c r="E138" s="1768"/>
      <c r="F138" s="1358" t="s">
        <v>363</v>
      </c>
      <c r="G138" s="2012">
        <v>1316</v>
      </c>
      <c r="H138" s="1264">
        <f t="shared" si="32"/>
        <v>0</v>
      </c>
      <c r="I138" s="1332">
        <v>200</v>
      </c>
      <c r="J138" s="2013">
        <f t="shared" si="33"/>
        <v>0</v>
      </c>
      <c r="K138" s="1687">
        <f t="shared" si="34"/>
        <v>0</v>
      </c>
      <c r="L138" s="2082" t="s">
        <v>2667</v>
      </c>
    </row>
    <row r="139" spans="1:12" s="1765" customFormat="1" ht="24" customHeight="1">
      <c r="A139" s="1258"/>
      <c r="B139" s="1538" t="s">
        <v>1338</v>
      </c>
      <c r="C139" s="1437"/>
      <c r="D139" s="1275"/>
      <c r="E139" s="1787">
        <f>E64*2</f>
        <v>12</v>
      </c>
      <c r="F139" s="1358" t="s">
        <v>363</v>
      </c>
      <c r="G139" s="2012">
        <v>1984</v>
      </c>
      <c r="H139" s="1264">
        <f t="shared" si="32"/>
        <v>23808</v>
      </c>
      <c r="I139" s="1332">
        <v>250</v>
      </c>
      <c r="J139" s="2013">
        <f t="shared" si="33"/>
        <v>3000</v>
      </c>
      <c r="K139" s="1687">
        <f t="shared" si="34"/>
        <v>26808</v>
      </c>
      <c r="L139" s="2082" t="s">
        <v>2667</v>
      </c>
    </row>
    <row r="140" spans="1:12" s="1765" customFormat="1" ht="24" customHeight="1">
      <c r="A140" s="1258"/>
      <c r="B140" s="1538" t="s">
        <v>1339</v>
      </c>
      <c r="C140" s="1437"/>
      <c r="D140" s="1275"/>
      <c r="E140" s="1787">
        <f>E65*2</f>
        <v>8</v>
      </c>
      <c r="F140" s="1358" t="s">
        <v>363</v>
      </c>
      <c r="G140" s="2012">
        <v>2610</v>
      </c>
      <c r="H140" s="1264">
        <f t="shared" si="32"/>
        <v>20880</v>
      </c>
      <c r="I140" s="1332">
        <v>300</v>
      </c>
      <c r="J140" s="2013">
        <f t="shared" si="33"/>
        <v>2400</v>
      </c>
      <c r="K140" s="1687">
        <f t="shared" si="34"/>
        <v>23280</v>
      </c>
      <c r="L140" s="2082" t="s">
        <v>2667</v>
      </c>
    </row>
    <row r="141" spans="1:12" s="1765" customFormat="1" ht="24" customHeight="1">
      <c r="A141" s="2113"/>
      <c r="B141" s="2114" t="s">
        <v>1340</v>
      </c>
      <c r="C141" s="2115"/>
      <c r="D141" s="2108"/>
      <c r="E141" s="1801"/>
      <c r="F141" s="1262" t="s">
        <v>363</v>
      </c>
      <c r="G141" s="2003">
        <v>4040</v>
      </c>
      <c r="H141" s="1343">
        <f t="shared" si="32"/>
        <v>0</v>
      </c>
      <c r="I141" s="2004">
        <v>400</v>
      </c>
      <c r="J141" s="2005">
        <f t="shared" si="33"/>
        <v>0</v>
      </c>
      <c r="K141" s="1801">
        <f t="shared" si="34"/>
        <v>0</v>
      </c>
      <c r="L141" s="2152" t="s">
        <v>2667</v>
      </c>
    </row>
    <row r="142" spans="1:12" s="2116" customFormat="1" ht="24" customHeight="1">
      <c r="A142" s="2113" t="s">
        <v>2170</v>
      </c>
      <c r="B142" s="2114" t="s">
        <v>2065</v>
      </c>
      <c r="C142" s="2115"/>
      <c r="D142" s="2108"/>
      <c r="E142" s="1801"/>
      <c r="F142" s="1262"/>
      <c r="G142" s="1515"/>
      <c r="H142" s="1343"/>
      <c r="I142" s="1344"/>
      <c r="J142" s="1343"/>
      <c r="K142" s="1262"/>
      <c r="L142" s="1262"/>
    </row>
    <row r="143" spans="1:12" s="2116" customFormat="1" ht="24" customHeight="1">
      <c r="A143" s="2113"/>
      <c r="B143" s="2107" t="s">
        <v>1341</v>
      </c>
      <c r="C143" s="2115"/>
      <c r="D143" s="2108"/>
      <c r="E143" s="1801"/>
      <c r="F143" s="1262" t="s">
        <v>363</v>
      </c>
      <c r="G143" s="1836">
        <v>1862</v>
      </c>
      <c r="H143" s="1343">
        <f>ROUND(E143*G143,)</f>
        <v>0</v>
      </c>
      <c r="I143" s="1344">
        <v>500</v>
      </c>
      <c r="J143" s="1343">
        <f t="shared" ref="J143:J146" si="35">ROUND(E143*I143,)</f>
        <v>0</v>
      </c>
      <c r="K143" s="1262">
        <f t="shared" ref="K143:K146" si="36">H143+J143</f>
        <v>0</v>
      </c>
      <c r="L143" s="1262"/>
    </row>
    <row r="144" spans="1:12" s="2116" customFormat="1" ht="24" customHeight="1">
      <c r="A144" s="2113"/>
      <c r="B144" s="2107" t="s">
        <v>1342</v>
      </c>
      <c r="C144" s="2115"/>
      <c r="D144" s="2108"/>
      <c r="E144" s="2091">
        <v>8</v>
      </c>
      <c r="F144" s="1262" t="s">
        <v>363</v>
      </c>
      <c r="G144" s="1836">
        <v>2159</v>
      </c>
      <c r="H144" s="1343">
        <f>ROUND(E144*G144,)</f>
        <v>17272</v>
      </c>
      <c r="I144" s="1344">
        <v>600</v>
      </c>
      <c r="J144" s="1343">
        <f t="shared" si="35"/>
        <v>4800</v>
      </c>
      <c r="K144" s="1262">
        <f t="shared" si="36"/>
        <v>22072</v>
      </c>
      <c r="L144" s="1262"/>
    </row>
    <row r="145" spans="1:20" s="2116" customFormat="1" ht="24" customHeight="1">
      <c r="A145" s="2113"/>
      <c r="B145" s="2114" t="s">
        <v>1759</v>
      </c>
      <c r="C145" s="2115"/>
      <c r="D145" s="2108"/>
      <c r="E145" s="1801"/>
      <c r="F145" s="1262" t="s">
        <v>363</v>
      </c>
      <c r="G145" s="1836">
        <v>2811</v>
      </c>
      <c r="H145" s="1343">
        <f>ROUND(E145*G145,)</f>
        <v>0</v>
      </c>
      <c r="I145" s="1344">
        <v>800</v>
      </c>
      <c r="J145" s="1343">
        <f t="shared" si="35"/>
        <v>0</v>
      </c>
      <c r="K145" s="1262">
        <f t="shared" si="36"/>
        <v>0</v>
      </c>
      <c r="L145" s="1415"/>
    </row>
    <row r="146" spans="1:20" s="2116" customFormat="1" ht="24" customHeight="1">
      <c r="A146" s="2113"/>
      <c r="B146" s="2114" t="s">
        <v>1866</v>
      </c>
      <c r="C146" s="2115"/>
      <c r="D146" s="2108"/>
      <c r="E146" s="1801"/>
      <c r="F146" s="1262" t="s">
        <v>363</v>
      </c>
      <c r="G146" s="1836">
        <v>14327</v>
      </c>
      <c r="H146" s="1343">
        <f>ROUND(E146*G146,)</f>
        <v>0</v>
      </c>
      <c r="I146" s="1344">
        <v>2000</v>
      </c>
      <c r="J146" s="1343">
        <f t="shared" si="35"/>
        <v>0</v>
      </c>
      <c r="K146" s="1262">
        <f t="shared" si="36"/>
        <v>0</v>
      </c>
      <c r="L146" s="1262"/>
    </row>
    <row r="147" spans="1:20" s="1765" customFormat="1" ht="24" customHeight="1">
      <c r="A147" s="2113" t="s">
        <v>2226</v>
      </c>
      <c r="B147" s="2114" t="s">
        <v>2067</v>
      </c>
      <c r="C147" s="2115"/>
      <c r="D147" s="2108"/>
      <c r="E147" s="1801"/>
      <c r="F147" s="1262"/>
      <c r="G147" s="1515"/>
      <c r="H147" s="1343"/>
      <c r="I147" s="1344"/>
      <c r="J147" s="1343"/>
      <c r="K147" s="1262"/>
      <c r="L147" s="1262"/>
    </row>
    <row r="148" spans="1:20" s="1765" customFormat="1" ht="24" customHeight="1">
      <c r="A148" s="2113"/>
      <c r="B148" s="2114" t="s">
        <v>1448</v>
      </c>
      <c r="C148" s="2115"/>
      <c r="D148" s="2108"/>
      <c r="E148" s="1853">
        <f>E137/2</f>
        <v>0</v>
      </c>
      <c r="F148" s="2154" t="s">
        <v>363</v>
      </c>
      <c r="G148" s="2159">
        <v>350</v>
      </c>
      <c r="H148" s="2156">
        <f t="shared" ref="H148:H152" si="37">ROUND(E148*G148,)</f>
        <v>0</v>
      </c>
      <c r="I148" s="2160">
        <v>150</v>
      </c>
      <c r="J148" s="2156">
        <f t="shared" ref="J148:J152" si="38">ROUND(E148*I148,)</f>
        <v>0</v>
      </c>
      <c r="K148" s="2154">
        <f t="shared" ref="K148:K152" si="39">H148+J148</f>
        <v>0</v>
      </c>
      <c r="L148" s="1262"/>
    </row>
    <row r="149" spans="1:20" s="1765" customFormat="1" ht="24" customHeight="1">
      <c r="A149" s="2113"/>
      <c r="B149" s="2114" t="s">
        <v>1338</v>
      </c>
      <c r="C149" s="2115"/>
      <c r="D149" s="2108"/>
      <c r="E149" s="1801">
        <f>E139/2</f>
        <v>6</v>
      </c>
      <c r="F149" s="1262" t="s">
        <v>363</v>
      </c>
      <c r="G149" s="1515">
        <v>1084</v>
      </c>
      <c r="H149" s="1343">
        <f t="shared" si="37"/>
        <v>6504</v>
      </c>
      <c r="I149" s="1344">
        <v>250</v>
      </c>
      <c r="J149" s="1343">
        <f t="shared" si="38"/>
        <v>1500</v>
      </c>
      <c r="K149" s="1262">
        <f t="shared" si="39"/>
        <v>8004</v>
      </c>
      <c r="L149" s="1262"/>
    </row>
    <row r="150" spans="1:20" s="1765" customFormat="1" ht="24" customHeight="1">
      <c r="A150" s="2113"/>
      <c r="B150" s="2114" t="s">
        <v>1339</v>
      </c>
      <c r="C150" s="2115"/>
      <c r="D150" s="2108"/>
      <c r="E150" s="1801">
        <f>E140/2</f>
        <v>4</v>
      </c>
      <c r="F150" s="1262" t="s">
        <v>363</v>
      </c>
      <c r="G150" s="1515">
        <v>1710</v>
      </c>
      <c r="H150" s="1343">
        <f t="shared" si="37"/>
        <v>6840</v>
      </c>
      <c r="I150" s="1344">
        <v>300</v>
      </c>
      <c r="J150" s="1343">
        <f t="shared" si="38"/>
        <v>1200</v>
      </c>
      <c r="K150" s="1262">
        <f t="shared" si="39"/>
        <v>8040</v>
      </c>
      <c r="L150" s="1262"/>
    </row>
    <row r="151" spans="1:20" s="1765" customFormat="1" ht="24" customHeight="1">
      <c r="A151" s="2113"/>
      <c r="B151" s="2114" t="s">
        <v>1340</v>
      </c>
      <c r="C151" s="2115"/>
      <c r="D151" s="2108"/>
      <c r="E151" s="1801"/>
      <c r="F151" s="1262" t="s">
        <v>363</v>
      </c>
      <c r="G151" s="1836">
        <v>2839</v>
      </c>
      <c r="H151" s="1343">
        <f t="shared" si="37"/>
        <v>0</v>
      </c>
      <c r="I151" s="1344">
        <v>400</v>
      </c>
      <c r="J151" s="1343">
        <f t="shared" si="38"/>
        <v>0</v>
      </c>
      <c r="K151" s="1262">
        <f t="shared" si="39"/>
        <v>0</v>
      </c>
      <c r="L151" s="1262"/>
    </row>
    <row r="152" spans="1:20" s="2116" customFormat="1" ht="24" customHeight="1">
      <c r="A152" s="2113"/>
      <c r="B152" s="2114" t="s">
        <v>1341</v>
      </c>
      <c r="C152" s="2115"/>
      <c r="D152" s="2108"/>
      <c r="E152" s="1801"/>
      <c r="F152" s="1262" t="s">
        <v>363</v>
      </c>
      <c r="G152" s="1836">
        <v>4375</v>
      </c>
      <c r="H152" s="1343">
        <f t="shared" si="37"/>
        <v>0</v>
      </c>
      <c r="I152" s="1344">
        <v>500</v>
      </c>
      <c r="J152" s="1343">
        <f t="shared" si="38"/>
        <v>0</v>
      </c>
      <c r="K152" s="1262">
        <f t="shared" si="39"/>
        <v>0</v>
      </c>
      <c r="L152" s="1262"/>
      <c r="M152" s="2144"/>
      <c r="N152" s="2144"/>
      <c r="O152" s="2144"/>
      <c r="P152" s="2144"/>
      <c r="Q152" s="2144"/>
      <c r="R152" s="2144"/>
      <c r="S152" s="2144"/>
      <c r="T152" s="2144"/>
    </row>
    <row r="153" spans="1:20" s="2116" customFormat="1" ht="24" customHeight="1">
      <c r="A153" s="2113"/>
      <c r="B153" s="2153" t="s">
        <v>1834</v>
      </c>
      <c r="C153" s="2115"/>
      <c r="D153" s="2108"/>
      <c r="E153" s="2091">
        <v>4</v>
      </c>
      <c r="F153" s="1262" t="s">
        <v>363</v>
      </c>
      <c r="G153" s="1836">
        <v>4489</v>
      </c>
      <c r="H153" s="1343">
        <f>ROUND(E153*G153,)</f>
        <v>17956</v>
      </c>
      <c r="I153" s="1344">
        <v>600</v>
      </c>
      <c r="J153" s="1343">
        <f>ROUND(E153*I153,)</f>
        <v>2400</v>
      </c>
      <c r="K153" s="1262">
        <f>H153+J153</f>
        <v>20356</v>
      </c>
      <c r="L153" s="1262"/>
    </row>
    <row r="154" spans="1:20" s="2116" customFormat="1" ht="24" customHeight="1">
      <c r="A154" s="2113"/>
      <c r="B154" s="2114" t="s">
        <v>1759</v>
      </c>
      <c r="C154" s="2115"/>
      <c r="D154" s="2108"/>
      <c r="E154" s="1801"/>
      <c r="F154" s="1262" t="s">
        <v>363</v>
      </c>
      <c r="G154" s="1836">
        <v>6528</v>
      </c>
      <c r="H154" s="1343">
        <f>ROUND(E154*G154,)</f>
        <v>0</v>
      </c>
      <c r="I154" s="1344">
        <v>800</v>
      </c>
      <c r="J154" s="1343">
        <f>ROUND(E154*I154,)</f>
        <v>0</v>
      </c>
      <c r="K154" s="1262">
        <f>H154+J154</f>
        <v>0</v>
      </c>
      <c r="L154" s="1262"/>
    </row>
    <row r="155" spans="1:20" s="1765" customFormat="1" ht="24" customHeight="1">
      <c r="A155" s="2113" t="s">
        <v>2227</v>
      </c>
      <c r="B155" s="2114" t="s">
        <v>2069</v>
      </c>
      <c r="C155" s="2115"/>
      <c r="D155" s="2108"/>
      <c r="E155" s="1801"/>
      <c r="F155" s="1262"/>
      <c r="G155" s="1836"/>
      <c r="H155" s="1343"/>
      <c r="I155" s="1344"/>
      <c r="J155" s="1343"/>
      <c r="K155" s="1262"/>
      <c r="L155" s="1262"/>
    </row>
    <row r="156" spans="1:20" s="1765" customFormat="1" ht="24" customHeight="1">
      <c r="A156" s="2113"/>
      <c r="B156" s="2114" t="s">
        <v>1338</v>
      </c>
      <c r="C156" s="2115"/>
      <c r="D156" s="2108"/>
      <c r="E156" s="1801"/>
      <c r="F156" s="1262" t="s">
        <v>363</v>
      </c>
      <c r="G156" s="1515">
        <v>1863</v>
      </c>
      <c r="H156" s="1343">
        <f t="shared" ref="H156:H157" si="40">ROUND(E156*G156,)</f>
        <v>0</v>
      </c>
      <c r="I156" s="1344">
        <v>250</v>
      </c>
      <c r="J156" s="1343">
        <f t="shared" ref="J156:J157" si="41">ROUND(E156*I156,)</f>
        <v>0</v>
      </c>
      <c r="K156" s="1262">
        <f t="shared" ref="K156:K157" si="42">H156+J156</f>
        <v>0</v>
      </c>
      <c r="L156" s="1262"/>
    </row>
    <row r="157" spans="1:20" s="1765" customFormat="1" ht="24" customHeight="1">
      <c r="A157" s="2113"/>
      <c r="B157" s="2114" t="s">
        <v>1339</v>
      </c>
      <c r="C157" s="2115"/>
      <c r="D157" s="2108"/>
      <c r="E157" s="1801"/>
      <c r="F157" s="1262" t="s">
        <v>363</v>
      </c>
      <c r="G157" s="1515">
        <v>2130</v>
      </c>
      <c r="H157" s="1343">
        <f t="shared" si="40"/>
        <v>0</v>
      </c>
      <c r="I157" s="1344">
        <v>300</v>
      </c>
      <c r="J157" s="1343">
        <f t="shared" si="41"/>
        <v>0</v>
      </c>
      <c r="K157" s="1262">
        <f t="shared" si="42"/>
        <v>0</v>
      </c>
      <c r="L157" s="1262"/>
    </row>
    <row r="158" spans="1:20" s="2116" customFormat="1" ht="24" customHeight="1">
      <c r="A158" s="2113"/>
      <c r="B158" s="2153" t="s">
        <v>1856</v>
      </c>
      <c r="C158" s="2115"/>
      <c r="D158" s="2108"/>
      <c r="E158" s="2091"/>
      <c r="F158" s="1262" t="s">
        <v>363</v>
      </c>
      <c r="G158" s="1515">
        <v>3876</v>
      </c>
      <c r="H158" s="1343">
        <f>ROUND(E158*G158,)</f>
        <v>0</v>
      </c>
      <c r="I158" s="1344">
        <v>500</v>
      </c>
      <c r="J158" s="1343">
        <f>ROUND(E158*I158,)</f>
        <v>0</v>
      </c>
      <c r="K158" s="1262">
        <f>H158+J158</f>
        <v>0</v>
      </c>
      <c r="L158" s="1262"/>
    </row>
    <row r="159" spans="1:20" s="2116" customFormat="1" ht="24" customHeight="1">
      <c r="A159" s="2113"/>
      <c r="B159" s="2153" t="s">
        <v>1834</v>
      </c>
      <c r="C159" s="2115"/>
      <c r="D159" s="2108"/>
      <c r="E159" s="2091">
        <v>8</v>
      </c>
      <c r="F159" s="1262" t="s">
        <v>363</v>
      </c>
      <c r="G159" s="1515">
        <v>4175</v>
      </c>
      <c r="H159" s="1343">
        <f>ROUND(E159*G159,)</f>
        <v>33400</v>
      </c>
      <c r="I159" s="1344">
        <v>600</v>
      </c>
      <c r="J159" s="1343">
        <f>ROUND(E159*I159,)</f>
        <v>4800</v>
      </c>
      <c r="K159" s="1262">
        <f>H159+J159</f>
        <v>38200</v>
      </c>
      <c r="L159" s="1262"/>
    </row>
    <row r="160" spans="1:20" s="2116" customFormat="1" ht="24" customHeight="1">
      <c r="A160" s="2113"/>
      <c r="B160" s="2114" t="s">
        <v>1759</v>
      </c>
      <c r="C160" s="2115"/>
      <c r="D160" s="2108"/>
      <c r="E160" s="1801"/>
      <c r="F160" s="1262" t="s">
        <v>363</v>
      </c>
      <c r="G160" s="1836">
        <v>5541</v>
      </c>
      <c r="H160" s="1343">
        <f>ROUND(E160*G160,)</f>
        <v>0</v>
      </c>
      <c r="I160" s="1344">
        <v>800</v>
      </c>
      <c r="J160" s="1343">
        <f t="shared" ref="J160:J161" si="43">ROUND(E160*I160,)</f>
        <v>0</v>
      </c>
      <c r="K160" s="1262">
        <f t="shared" ref="K160:K161" si="44">H160+J160</f>
        <v>0</v>
      </c>
      <c r="L160" s="1262"/>
    </row>
    <row r="161" spans="1:12" s="2116" customFormat="1" ht="24" customHeight="1">
      <c r="A161" s="2113"/>
      <c r="B161" s="2114" t="s">
        <v>1866</v>
      </c>
      <c r="C161" s="2115"/>
      <c r="D161" s="2108"/>
      <c r="E161" s="1801"/>
      <c r="F161" s="1262"/>
      <c r="G161" s="1836">
        <v>18915</v>
      </c>
      <c r="H161" s="1343">
        <f>ROUND(E161*G161,)</f>
        <v>0</v>
      </c>
      <c r="I161" s="1344">
        <v>2000</v>
      </c>
      <c r="J161" s="1343">
        <f t="shared" si="43"/>
        <v>0</v>
      </c>
      <c r="K161" s="1262">
        <f t="shared" si="44"/>
        <v>0</v>
      </c>
      <c r="L161" s="1262"/>
    </row>
    <row r="162" spans="1:12" s="2116" customFormat="1" ht="24" customHeight="1">
      <c r="A162" s="2113" t="s">
        <v>2883</v>
      </c>
      <c r="B162" s="2114" t="s">
        <v>2728</v>
      </c>
      <c r="C162" s="2115"/>
      <c r="D162" s="2108"/>
      <c r="E162" s="1801"/>
      <c r="F162" s="1262"/>
      <c r="G162" s="1515"/>
      <c r="H162" s="1343"/>
      <c r="I162" s="1344"/>
      <c r="J162" s="1343"/>
      <c r="K162" s="1262"/>
      <c r="L162" s="1262"/>
    </row>
    <row r="163" spans="1:12" s="2116" customFormat="1" ht="24" customHeight="1">
      <c r="A163" s="2113"/>
      <c r="B163" s="2153" t="s">
        <v>1865</v>
      </c>
      <c r="C163" s="2115"/>
      <c r="D163" s="2108"/>
      <c r="E163" s="2091">
        <v>19</v>
      </c>
      <c r="F163" s="1262" t="s">
        <v>363</v>
      </c>
      <c r="G163" s="1515">
        <v>300</v>
      </c>
      <c r="H163" s="1343">
        <f>ROUND(E163*G163,)</f>
        <v>5700</v>
      </c>
      <c r="I163" s="1344">
        <v>200</v>
      </c>
      <c r="J163" s="1343">
        <f>ROUND(E163*I163,)</f>
        <v>3800</v>
      </c>
      <c r="K163" s="1262">
        <f>H163+J163</f>
        <v>9500</v>
      </c>
      <c r="L163" s="1262"/>
    </row>
    <row r="164" spans="1:12" s="1765" customFormat="1" ht="24" customHeight="1">
      <c r="A164" s="2113" t="s">
        <v>2884</v>
      </c>
      <c r="B164" s="2114" t="s">
        <v>1730</v>
      </c>
      <c r="C164" s="2115"/>
      <c r="D164" s="2108"/>
      <c r="E164" s="1801"/>
      <c r="F164" s="1262"/>
      <c r="G164" s="1515"/>
      <c r="H164" s="1343"/>
      <c r="I164" s="1344"/>
      <c r="J164" s="1343"/>
      <c r="K164" s="1262"/>
      <c r="L164" s="1262"/>
    </row>
    <row r="165" spans="1:12" s="2116" customFormat="1" ht="24" customHeight="1">
      <c r="A165" s="2113"/>
      <c r="B165" s="2114" t="s">
        <v>1337</v>
      </c>
      <c r="C165" s="2115"/>
      <c r="D165" s="2108"/>
      <c r="E165" s="1801">
        <v>19</v>
      </c>
      <c r="F165" s="1262" t="s">
        <v>363</v>
      </c>
      <c r="G165" s="1515">
        <v>2400</v>
      </c>
      <c r="H165" s="1343">
        <f t="shared" ref="H165:H167" si="45">ROUND(E165*G165,)</f>
        <v>45600</v>
      </c>
      <c r="I165" s="1344">
        <v>200</v>
      </c>
      <c r="J165" s="1343">
        <f t="shared" ref="J165:J167" si="46">ROUND(E165*I165,)</f>
        <v>3800</v>
      </c>
      <c r="K165" s="1262">
        <f t="shared" ref="K165:K167" si="47">H165+J165</f>
        <v>49400</v>
      </c>
      <c r="L165" s="1415"/>
    </row>
    <row r="166" spans="1:12" s="2116" customFormat="1" ht="24" customHeight="1">
      <c r="A166" s="2113" t="s">
        <v>2885</v>
      </c>
      <c r="B166" s="2114" t="s">
        <v>1741</v>
      </c>
      <c r="C166" s="2115"/>
      <c r="D166" s="2108"/>
      <c r="E166" s="1801">
        <v>38</v>
      </c>
      <c r="F166" s="1262" t="s">
        <v>363</v>
      </c>
      <c r="G166" s="1515">
        <v>1452</v>
      </c>
      <c r="H166" s="1343">
        <f t="shared" si="45"/>
        <v>55176</v>
      </c>
      <c r="I166" s="1344">
        <v>100</v>
      </c>
      <c r="J166" s="1343">
        <f t="shared" si="46"/>
        <v>3800</v>
      </c>
      <c r="K166" s="1262">
        <f t="shared" si="47"/>
        <v>58976</v>
      </c>
      <c r="L166" s="1262"/>
    </row>
    <row r="167" spans="1:12" s="2116" customFormat="1" ht="24" customHeight="1">
      <c r="A167" s="2113" t="s">
        <v>2886</v>
      </c>
      <c r="B167" s="2114" t="s">
        <v>1987</v>
      </c>
      <c r="C167" s="2115"/>
      <c r="D167" s="2108"/>
      <c r="E167" s="1801">
        <v>38</v>
      </c>
      <c r="F167" s="1262" t="s">
        <v>363</v>
      </c>
      <c r="G167" s="1515">
        <v>1590</v>
      </c>
      <c r="H167" s="1343">
        <f t="shared" si="45"/>
        <v>60420</v>
      </c>
      <c r="I167" s="1344">
        <v>100</v>
      </c>
      <c r="J167" s="1343">
        <f t="shared" si="46"/>
        <v>3800</v>
      </c>
      <c r="K167" s="1262">
        <f t="shared" si="47"/>
        <v>64220</v>
      </c>
      <c r="L167" s="1262"/>
    </row>
    <row r="168" spans="1:12" s="1765" customFormat="1" ht="24" customHeight="1">
      <c r="A168" s="2113"/>
      <c r="B168" s="2114" t="s">
        <v>1117</v>
      </c>
      <c r="C168" s="2115"/>
      <c r="D168" s="2108"/>
      <c r="E168" s="1801"/>
      <c r="F168" s="1262"/>
      <c r="G168" s="1515"/>
      <c r="H168" s="1343"/>
      <c r="I168" s="1344"/>
      <c r="J168" s="1343"/>
      <c r="K168" s="1262"/>
      <c r="L168" s="1262"/>
    </row>
    <row r="169" spans="1:12" s="1765" customFormat="1" ht="24" customHeight="1">
      <c r="A169" s="1258"/>
      <c r="B169" s="1538" t="s">
        <v>1118</v>
      </c>
      <c r="C169" s="1437"/>
      <c r="D169" s="1275"/>
      <c r="E169" s="1768"/>
      <c r="F169" s="1358"/>
      <c r="G169" s="1516"/>
      <c r="H169" s="1264"/>
      <c r="I169" s="1265"/>
      <c r="J169" s="1264"/>
      <c r="K169" s="1273"/>
      <c r="L169" s="1273"/>
    </row>
    <row r="170" spans="1:12" s="1765" customFormat="1" ht="24" customHeight="1">
      <c r="A170" s="1578"/>
      <c r="B170" s="2257" t="str">
        <f>"รวมราคารายการที่ "&amp;A135</f>
        <v>รวมราคารายการที่ 7.6</v>
      </c>
      <c r="C170" s="2258"/>
      <c r="D170" s="2259"/>
      <c r="E170" s="1579"/>
      <c r="F170" s="1579"/>
      <c r="G170" s="1580"/>
      <c r="H170" s="1581">
        <f>SUM(H136:H169)</f>
        <v>293556</v>
      </c>
      <c r="I170" s="1582"/>
      <c r="J170" s="1581">
        <f>SUM(J136:J169)</f>
        <v>35300</v>
      </c>
      <c r="K170" s="1581">
        <f>SUM(K136:K169)</f>
        <v>328856</v>
      </c>
      <c r="L170" s="1583"/>
    </row>
    <row r="171" spans="1:12" s="1765" customFormat="1" ht="24" customHeight="1">
      <c r="A171" s="1847" t="s">
        <v>2308</v>
      </c>
      <c r="B171" s="1848" t="s">
        <v>2177</v>
      </c>
      <c r="C171" s="1849"/>
      <c r="D171" s="1354"/>
      <c r="E171" s="1802"/>
      <c r="F171" s="1356"/>
      <c r="G171" s="1803"/>
      <c r="H171" s="1369"/>
      <c r="I171" s="1370"/>
      <c r="J171" s="1369"/>
      <c r="K171" s="1356"/>
      <c r="L171" s="1356"/>
    </row>
    <row r="172" spans="1:12" s="1765" customFormat="1" ht="24" customHeight="1">
      <c r="A172" s="1804" t="s">
        <v>2084</v>
      </c>
      <c r="B172" s="1799" t="s">
        <v>2178</v>
      </c>
      <c r="C172" s="1800"/>
      <c r="D172" s="1375"/>
      <c r="E172" s="1802"/>
      <c r="F172" s="1356"/>
      <c r="G172" s="1803"/>
      <c r="H172" s="1369"/>
      <c r="I172" s="1370"/>
      <c r="J172" s="1369"/>
      <c r="K172" s="1356"/>
      <c r="L172" s="1356"/>
    </row>
    <row r="173" spans="1:12" s="1765" customFormat="1" ht="24" customHeight="1">
      <c r="A173" s="1804"/>
      <c r="B173" s="1799" t="s">
        <v>2309</v>
      </c>
      <c r="C173" s="1800"/>
      <c r="D173" s="1375"/>
      <c r="E173" s="1801">
        <v>1</v>
      </c>
      <c r="F173" s="1356" t="s">
        <v>363</v>
      </c>
      <c r="G173" s="1515">
        <v>33000</v>
      </c>
      <c r="H173" s="820">
        <f t="shared" ref="H173:H184" si="48">ROUND(E173*G173,)</f>
        <v>33000</v>
      </c>
      <c r="I173" s="1515">
        <v>1500</v>
      </c>
      <c r="J173" s="820">
        <f t="shared" ref="J173:J184" si="49">ROUND(E173*I173,)</f>
        <v>1500</v>
      </c>
      <c r="K173" s="1457">
        <f t="shared" ref="K173:K184" si="50">H173+J173</f>
        <v>34500</v>
      </c>
      <c r="L173" s="1356"/>
    </row>
    <row r="174" spans="1:12" s="1765" customFormat="1" ht="24" customHeight="1">
      <c r="A174" s="1804"/>
      <c r="B174" s="1799" t="s">
        <v>2310</v>
      </c>
      <c r="C174" s="1800"/>
      <c r="D174" s="1375"/>
      <c r="E174" s="1801">
        <v>1</v>
      </c>
      <c r="F174" s="1356" t="s">
        <v>363</v>
      </c>
      <c r="G174" s="1515">
        <v>52000</v>
      </c>
      <c r="H174" s="820">
        <f t="shared" si="48"/>
        <v>52000</v>
      </c>
      <c r="I174" s="1515">
        <v>1500</v>
      </c>
      <c r="J174" s="820">
        <f t="shared" si="49"/>
        <v>1500</v>
      </c>
      <c r="K174" s="1457">
        <f t="shared" si="50"/>
        <v>53500</v>
      </c>
      <c r="L174" s="1356"/>
    </row>
    <row r="175" spans="1:12" s="1765" customFormat="1" ht="24" customHeight="1">
      <c r="A175" s="1804"/>
      <c r="B175" s="1799" t="s">
        <v>2311</v>
      </c>
      <c r="C175" s="1800"/>
      <c r="D175" s="1375"/>
      <c r="E175" s="1801">
        <v>1</v>
      </c>
      <c r="F175" s="1356" t="s">
        <v>363</v>
      </c>
      <c r="G175" s="1515">
        <v>33000</v>
      </c>
      <c r="H175" s="820">
        <f t="shared" si="48"/>
        <v>33000</v>
      </c>
      <c r="I175" s="1515">
        <v>1500</v>
      </c>
      <c r="J175" s="820">
        <f t="shared" si="49"/>
        <v>1500</v>
      </c>
      <c r="K175" s="1457">
        <f t="shared" si="50"/>
        <v>34500</v>
      </c>
      <c r="L175" s="1356"/>
    </row>
    <row r="176" spans="1:12" s="1765" customFormat="1" ht="24" customHeight="1">
      <c r="A176" s="1804"/>
      <c r="B176" s="1799" t="s">
        <v>2312</v>
      </c>
      <c r="C176" s="1800"/>
      <c r="D176" s="1375"/>
      <c r="E176" s="1801">
        <v>1</v>
      </c>
      <c r="F176" s="1356" t="s">
        <v>363</v>
      </c>
      <c r="G176" s="1515">
        <v>23000</v>
      </c>
      <c r="H176" s="820">
        <f t="shared" si="48"/>
        <v>23000</v>
      </c>
      <c r="I176" s="1515">
        <v>1500</v>
      </c>
      <c r="J176" s="820">
        <f t="shared" si="49"/>
        <v>1500</v>
      </c>
      <c r="K176" s="1457">
        <f t="shared" si="50"/>
        <v>24500</v>
      </c>
      <c r="L176" s="1356"/>
    </row>
    <row r="177" spans="1:16" s="1765" customFormat="1" ht="24" customHeight="1">
      <c r="A177" s="1804"/>
      <c r="B177" s="1799" t="s">
        <v>2313</v>
      </c>
      <c r="C177" s="1800"/>
      <c r="D177" s="1375"/>
      <c r="E177" s="1801">
        <v>1</v>
      </c>
      <c r="F177" s="1356" t="s">
        <v>363</v>
      </c>
      <c r="G177" s="1515">
        <v>23000</v>
      </c>
      <c r="H177" s="820">
        <f t="shared" si="48"/>
        <v>23000</v>
      </c>
      <c r="I177" s="1515">
        <v>1500</v>
      </c>
      <c r="J177" s="820">
        <f t="shared" si="49"/>
        <v>1500</v>
      </c>
      <c r="K177" s="1457">
        <f t="shared" si="50"/>
        <v>24500</v>
      </c>
      <c r="L177" s="1356"/>
    </row>
    <row r="178" spans="1:16" s="1765" customFormat="1" ht="24" customHeight="1">
      <c r="A178" s="1804"/>
      <c r="B178" s="1799" t="s">
        <v>2314</v>
      </c>
      <c r="C178" s="1800"/>
      <c r="D178" s="1375"/>
      <c r="E178" s="1801">
        <v>1</v>
      </c>
      <c r="F178" s="1356" t="s">
        <v>363</v>
      </c>
      <c r="G178" s="1515">
        <v>33000</v>
      </c>
      <c r="H178" s="820">
        <f t="shared" si="48"/>
        <v>33000</v>
      </c>
      <c r="I178" s="1515">
        <v>1500</v>
      </c>
      <c r="J178" s="820">
        <f t="shared" si="49"/>
        <v>1500</v>
      </c>
      <c r="K178" s="1457">
        <f t="shared" si="50"/>
        <v>34500</v>
      </c>
      <c r="L178" s="1356"/>
    </row>
    <row r="179" spans="1:16" s="1765" customFormat="1" ht="24" customHeight="1">
      <c r="A179" s="1804"/>
      <c r="B179" s="1799" t="s">
        <v>2315</v>
      </c>
      <c r="C179" s="1800"/>
      <c r="D179" s="1375"/>
      <c r="E179" s="1801">
        <v>1</v>
      </c>
      <c r="F179" s="1356" t="s">
        <v>363</v>
      </c>
      <c r="G179" s="1515">
        <v>33000</v>
      </c>
      <c r="H179" s="820">
        <f t="shared" si="48"/>
        <v>33000</v>
      </c>
      <c r="I179" s="1515">
        <v>1500</v>
      </c>
      <c r="J179" s="820">
        <f t="shared" si="49"/>
        <v>1500</v>
      </c>
      <c r="K179" s="1457">
        <f t="shared" si="50"/>
        <v>34500</v>
      </c>
      <c r="L179" s="1356"/>
    </row>
    <row r="180" spans="1:16" s="1765" customFormat="1" ht="24" customHeight="1">
      <c r="A180" s="2113"/>
      <c r="B180" s="2149" t="s">
        <v>2316</v>
      </c>
      <c r="C180" s="2115"/>
      <c r="D180" s="2150"/>
      <c r="E180" s="1801">
        <v>1</v>
      </c>
      <c r="F180" s="1356" t="s">
        <v>363</v>
      </c>
      <c r="G180" s="1515">
        <v>33000</v>
      </c>
      <c r="H180" s="820">
        <f t="shared" si="48"/>
        <v>33000</v>
      </c>
      <c r="I180" s="1515">
        <v>1500</v>
      </c>
      <c r="J180" s="820">
        <f t="shared" si="49"/>
        <v>1500</v>
      </c>
      <c r="K180" s="1457">
        <f t="shared" si="50"/>
        <v>34500</v>
      </c>
      <c r="L180" s="1356"/>
    </row>
    <row r="181" spans="1:16" s="2116" customFormat="1" ht="24" customHeight="1">
      <c r="A181" s="2113"/>
      <c r="B181" s="2107" t="s">
        <v>2870</v>
      </c>
      <c r="C181" s="2115"/>
      <c r="D181" s="2108"/>
      <c r="E181" s="1801">
        <v>1</v>
      </c>
      <c r="F181" s="1262" t="s">
        <v>363</v>
      </c>
      <c r="G181" s="1515">
        <v>89000</v>
      </c>
      <c r="H181" s="1413">
        <f t="shared" si="48"/>
        <v>89000</v>
      </c>
      <c r="I181" s="1515">
        <f>G181*0.1</f>
        <v>8900</v>
      </c>
      <c r="J181" s="1413">
        <f t="shared" si="49"/>
        <v>8900</v>
      </c>
      <c r="K181" s="1415">
        <f t="shared" si="50"/>
        <v>97900</v>
      </c>
      <c r="L181" s="1262"/>
    </row>
    <row r="182" spans="1:16" s="2116" customFormat="1" ht="24" customHeight="1">
      <c r="A182" s="2113"/>
      <c r="B182" s="2107" t="s">
        <v>2871</v>
      </c>
      <c r="C182" s="2115"/>
      <c r="D182" s="2108"/>
      <c r="E182" s="1801">
        <v>1</v>
      </c>
      <c r="F182" s="1262" t="s">
        <v>363</v>
      </c>
      <c r="G182" s="1515">
        <v>89000</v>
      </c>
      <c r="H182" s="1413">
        <f t="shared" si="48"/>
        <v>89000</v>
      </c>
      <c r="I182" s="1515">
        <f t="shared" ref="I182:I184" si="51">G182*0.1</f>
        <v>8900</v>
      </c>
      <c r="J182" s="1413">
        <f t="shared" si="49"/>
        <v>8900</v>
      </c>
      <c r="K182" s="1415">
        <f t="shared" si="50"/>
        <v>97900</v>
      </c>
      <c r="L182" s="1262"/>
    </row>
    <row r="183" spans="1:16" s="2116" customFormat="1" ht="24" customHeight="1">
      <c r="A183" s="2113"/>
      <c r="B183" s="2107" t="s">
        <v>2872</v>
      </c>
      <c r="C183" s="2115"/>
      <c r="D183" s="2108"/>
      <c r="E183" s="1801">
        <v>1</v>
      </c>
      <c r="F183" s="1262" t="s">
        <v>363</v>
      </c>
      <c r="G183" s="1515">
        <v>89000</v>
      </c>
      <c r="H183" s="1413">
        <f t="shared" si="48"/>
        <v>89000</v>
      </c>
      <c r="I183" s="1515">
        <f t="shared" si="51"/>
        <v>8900</v>
      </c>
      <c r="J183" s="1413">
        <f t="shared" si="49"/>
        <v>8900</v>
      </c>
      <c r="K183" s="1415">
        <f t="shared" si="50"/>
        <v>97900</v>
      </c>
      <c r="L183" s="1262"/>
    </row>
    <row r="184" spans="1:16" s="2116" customFormat="1" ht="24" customHeight="1">
      <c r="A184" s="2113"/>
      <c r="B184" s="2107" t="s">
        <v>2873</v>
      </c>
      <c r="C184" s="2115"/>
      <c r="D184" s="2108"/>
      <c r="E184" s="1801">
        <v>1</v>
      </c>
      <c r="F184" s="1262" t="s">
        <v>363</v>
      </c>
      <c r="G184" s="1515">
        <v>89000</v>
      </c>
      <c r="H184" s="1413">
        <f t="shared" si="48"/>
        <v>89000</v>
      </c>
      <c r="I184" s="1515">
        <f t="shared" si="51"/>
        <v>8900</v>
      </c>
      <c r="J184" s="1413">
        <f t="shared" si="49"/>
        <v>8900</v>
      </c>
      <c r="K184" s="1415">
        <f t="shared" si="50"/>
        <v>97900</v>
      </c>
      <c r="L184" s="1262"/>
    </row>
    <row r="185" spans="1:16" s="1765" customFormat="1" ht="24" customHeight="1">
      <c r="A185" s="2113" t="s">
        <v>2089</v>
      </c>
      <c r="B185" s="2149" t="s">
        <v>1355</v>
      </c>
      <c r="C185" s="2115"/>
      <c r="D185" s="2150"/>
      <c r="E185" s="1801"/>
      <c r="F185" s="1356"/>
      <c r="G185" s="1515"/>
      <c r="H185" s="1369"/>
      <c r="I185" s="1370"/>
      <c r="J185" s="1369"/>
      <c r="K185" s="1356"/>
      <c r="L185" s="1356"/>
    </row>
    <row r="186" spans="1:16" s="1765" customFormat="1" ht="24" customHeight="1">
      <c r="A186" s="2113"/>
      <c r="B186" s="2149" t="s">
        <v>1811</v>
      </c>
      <c r="C186" s="2115"/>
      <c r="D186" s="2150"/>
      <c r="E186" s="1801">
        <v>855</v>
      </c>
      <c r="F186" s="1356" t="s">
        <v>226</v>
      </c>
      <c r="G186" s="1386">
        <v>9</v>
      </c>
      <c r="H186" s="1343">
        <f t="shared" ref="H186:H187" si="52">ROUND(E186*G186,)</f>
        <v>7695</v>
      </c>
      <c r="I186" s="1344">
        <v>7</v>
      </c>
      <c r="J186" s="1413">
        <f t="shared" ref="J186:J187" si="53">ROUND(E186*I186,)</f>
        <v>5985</v>
      </c>
      <c r="K186" s="1415">
        <f t="shared" ref="K186:K187" si="54">H186+J186</f>
        <v>13680</v>
      </c>
      <c r="L186" s="2151" t="s">
        <v>2667</v>
      </c>
      <c r="N186" s="1854">
        <v>912.1</v>
      </c>
      <c r="O186" s="1854">
        <f t="shared" ref="O186:O187" si="55">ROUND(N186/100,)</f>
        <v>9</v>
      </c>
    </row>
    <row r="187" spans="1:16" s="2116" customFormat="1" ht="24" customHeight="1">
      <c r="A187" s="2113"/>
      <c r="B187" s="2107" t="s">
        <v>1317</v>
      </c>
      <c r="C187" s="2115"/>
      <c r="D187" s="2108"/>
      <c r="E187" s="1801">
        <f>4*5*1.5*4</f>
        <v>120</v>
      </c>
      <c r="F187" s="1262" t="s">
        <v>226</v>
      </c>
      <c r="G187" s="1386">
        <v>23</v>
      </c>
      <c r="H187" s="1343">
        <f t="shared" si="52"/>
        <v>2760</v>
      </c>
      <c r="I187" s="1344">
        <v>12</v>
      </c>
      <c r="J187" s="1343">
        <f t="shared" si="53"/>
        <v>1440</v>
      </c>
      <c r="K187" s="1262">
        <f t="shared" si="54"/>
        <v>4200</v>
      </c>
      <c r="L187" s="2151" t="s">
        <v>2667</v>
      </c>
      <c r="N187" s="2117">
        <v>2264.1999999999998</v>
      </c>
      <c r="O187" s="2117">
        <f t="shared" si="55"/>
        <v>23</v>
      </c>
      <c r="P187" s="2117"/>
    </row>
    <row r="188" spans="1:16" s="1765" customFormat="1" ht="24" customHeight="1">
      <c r="A188" s="2113" t="s">
        <v>2266</v>
      </c>
      <c r="B188" s="2149" t="s">
        <v>1110</v>
      </c>
      <c r="C188" s="2115"/>
      <c r="D188" s="2150"/>
      <c r="E188" s="1801"/>
      <c r="F188" s="1356"/>
      <c r="G188" s="1515"/>
      <c r="H188" s="1369"/>
      <c r="I188" s="1370"/>
      <c r="J188" s="1369"/>
      <c r="K188" s="1356"/>
      <c r="L188" s="1356"/>
    </row>
    <row r="189" spans="1:16" s="1765" customFormat="1" ht="24" customHeight="1">
      <c r="A189" s="2113"/>
      <c r="B189" s="2149" t="s">
        <v>1350</v>
      </c>
      <c r="C189" s="2115"/>
      <c r="D189" s="2150"/>
      <c r="E189" s="1801">
        <v>240</v>
      </c>
      <c r="F189" s="1356" t="s">
        <v>226</v>
      </c>
      <c r="G189" s="1515">
        <v>56</v>
      </c>
      <c r="H189" s="1343">
        <f t="shared" ref="H189:H191" si="56">ROUND(E189*G189,)</f>
        <v>13440</v>
      </c>
      <c r="I189" s="1344">
        <v>26</v>
      </c>
      <c r="J189" s="1413">
        <f t="shared" ref="J189:J191" si="57">ROUND(E189*I189,)</f>
        <v>6240</v>
      </c>
      <c r="K189" s="1415">
        <f t="shared" ref="K189:K191" si="58">H189+J189</f>
        <v>19680</v>
      </c>
      <c r="L189" s="2152" t="s">
        <v>2667</v>
      </c>
      <c r="M189" s="2002"/>
      <c r="N189" s="1765">
        <v>169.2</v>
      </c>
      <c r="O189" s="1765">
        <f t="shared" ref="O189:O190" si="59">ROUND(N189/3,)</f>
        <v>56</v>
      </c>
    </row>
    <row r="190" spans="1:16" s="2116" customFormat="1" ht="24" customHeight="1">
      <c r="A190" s="2113"/>
      <c r="B190" s="2107" t="s">
        <v>1448</v>
      </c>
      <c r="C190" s="2115"/>
      <c r="D190" s="2108"/>
      <c r="E190" s="1801">
        <f>E187</f>
        <v>120</v>
      </c>
      <c r="F190" s="1262" t="s">
        <v>226</v>
      </c>
      <c r="G190" s="1515">
        <v>75</v>
      </c>
      <c r="H190" s="1343">
        <f t="shared" si="56"/>
        <v>9000</v>
      </c>
      <c r="I190" s="1344">
        <v>28</v>
      </c>
      <c r="J190" s="1413">
        <f t="shared" si="57"/>
        <v>3360</v>
      </c>
      <c r="K190" s="1415">
        <f t="shared" si="58"/>
        <v>12360</v>
      </c>
      <c r="L190" s="2152" t="s">
        <v>2667</v>
      </c>
      <c r="M190" s="2118"/>
      <c r="N190" s="2116">
        <v>225</v>
      </c>
      <c r="O190" s="2116">
        <f t="shared" si="59"/>
        <v>75</v>
      </c>
      <c r="P190" s="2117"/>
    </row>
    <row r="191" spans="1:16" s="1765" customFormat="1" ht="24" customHeight="1">
      <c r="A191" s="2113"/>
      <c r="B191" s="2149" t="s">
        <v>1384</v>
      </c>
      <c r="C191" s="2115"/>
      <c r="D191" s="2150"/>
      <c r="E191" s="1801">
        <v>1</v>
      </c>
      <c r="F191" s="1356" t="s">
        <v>1104</v>
      </c>
      <c r="G191" s="1515">
        <f>SUM(H189:H190)*15%</f>
        <v>3366</v>
      </c>
      <c r="H191" s="820">
        <f t="shared" si="56"/>
        <v>3366</v>
      </c>
      <c r="I191" s="1414">
        <f>G191*0.3</f>
        <v>1009.8</v>
      </c>
      <c r="J191" s="820">
        <f t="shared" si="57"/>
        <v>1010</v>
      </c>
      <c r="K191" s="1457">
        <f t="shared" si="58"/>
        <v>4376</v>
      </c>
      <c r="L191" s="1356"/>
    </row>
    <row r="192" spans="1:16" s="1765" customFormat="1" ht="24" customHeight="1">
      <c r="A192" s="2113"/>
      <c r="B192" s="2107" t="s">
        <v>1117</v>
      </c>
      <c r="C192" s="2115"/>
      <c r="D192" s="2108"/>
      <c r="E192" s="1801"/>
      <c r="F192" s="1262"/>
      <c r="G192" s="1515"/>
      <c r="H192" s="1343"/>
      <c r="I192" s="1344"/>
      <c r="J192" s="1343"/>
      <c r="K192" s="1262"/>
      <c r="L192" s="1262"/>
    </row>
    <row r="193" spans="1:12" s="1765" customFormat="1" ht="24" customHeight="1">
      <c r="A193" s="1804"/>
      <c r="B193" s="1780"/>
      <c r="C193" s="1800"/>
      <c r="D193" s="1260"/>
      <c r="E193" s="1801"/>
      <c r="F193" s="1262"/>
      <c r="G193" s="1515"/>
      <c r="H193" s="1343"/>
      <c r="I193" s="1344"/>
      <c r="J193" s="1343"/>
      <c r="K193" s="1262"/>
      <c r="L193" s="1262"/>
    </row>
    <row r="194" spans="1:12" s="1765" customFormat="1" ht="24" customHeight="1">
      <c r="A194" s="1804"/>
      <c r="B194" s="1780"/>
      <c r="C194" s="1800"/>
      <c r="D194" s="1260"/>
      <c r="E194" s="1801"/>
      <c r="F194" s="1262"/>
      <c r="G194" s="1515"/>
      <c r="H194" s="1343"/>
      <c r="I194" s="1344"/>
      <c r="J194" s="1343"/>
      <c r="K194" s="1262"/>
      <c r="L194" s="1262"/>
    </row>
    <row r="195" spans="1:12" s="1765" customFormat="1" ht="24" customHeight="1">
      <c r="A195" s="1865"/>
      <c r="B195" s="1799"/>
      <c r="C195" s="1866"/>
      <c r="D195" s="1375"/>
      <c r="E195" s="1867"/>
      <c r="F195" s="1377"/>
      <c r="G195" s="1868"/>
      <c r="H195" s="1379"/>
      <c r="I195" s="1380"/>
      <c r="J195" s="1379"/>
      <c r="K195" s="1377"/>
      <c r="L195" s="1377"/>
    </row>
    <row r="196" spans="1:12" s="1765" customFormat="1" ht="24" customHeight="1">
      <c r="A196" s="1865"/>
      <c r="B196" s="1799"/>
      <c r="C196" s="1866"/>
      <c r="D196" s="1375"/>
      <c r="E196" s="1867"/>
      <c r="F196" s="1377"/>
      <c r="G196" s="1868"/>
      <c r="H196" s="1379"/>
      <c r="I196" s="1380"/>
      <c r="J196" s="1379"/>
      <c r="K196" s="1377"/>
      <c r="L196" s="1377"/>
    </row>
    <row r="197" spans="1:12" s="1765" customFormat="1" ht="24" customHeight="1">
      <c r="A197" s="1865"/>
      <c r="B197" s="1799"/>
      <c r="C197" s="1866"/>
      <c r="D197" s="1375"/>
      <c r="E197" s="1867"/>
      <c r="F197" s="1377"/>
      <c r="G197" s="1868"/>
      <c r="H197" s="1379"/>
      <c r="I197" s="1380"/>
      <c r="J197" s="1379"/>
      <c r="K197" s="1377"/>
      <c r="L197" s="1377"/>
    </row>
    <row r="198" spans="1:12" s="1765" customFormat="1" ht="24" customHeight="1">
      <c r="A198" s="1578"/>
      <c r="B198" s="2257" t="str">
        <f>"รวมราคารายการที่ "&amp;A171</f>
        <v>รวมราคารายการที่ 7.7</v>
      </c>
      <c r="C198" s="2258"/>
      <c r="D198" s="2259"/>
      <c r="E198" s="1579"/>
      <c r="F198" s="1579"/>
      <c r="G198" s="1580"/>
      <c r="H198" s="1581">
        <f>SUM(H171:H197)</f>
        <v>655261</v>
      </c>
      <c r="I198" s="1582"/>
      <c r="J198" s="1581">
        <f>SUM(J171:J197)</f>
        <v>65635</v>
      </c>
      <c r="K198" s="1581">
        <f>SUM(K171:K197)</f>
        <v>720896</v>
      </c>
      <c r="L198" s="1583"/>
    </row>
    <row r="199" spans="1:12" s="1765" customFormat="1" ht="24" customHeight="1">
      <c r="A199" s="1291" t="s">
        <v>2091</v>
      </c>
      <c r="B199" s="1776" t="s">
        <v>2109</v>
      </c>
      <c r="C199" s="1293"/>
      <c r="D199" s="1294"/>
      <c r="E199" s="1786"/>
      <c r="F199" s="1296"/>
      <c r="G199" s="1357"/>
      <c r="H199" s="1298"/>
      <c r="I199" s="1299"/>
      <c r="J199" s="1298"/>
      <c r="K199" s="1382"/>
      <c r="L199" s="1382"/>
    </row>
    <row r="200" spans="1:12" s="1765" customFormat="1" ht="24" customHeight="1">
      <c r="A200" s="1766" t="s">
        <v>2093</v>
      </c>
      <c r="B200" s="1799" t="s">
        <v>2111</v>
      </c>
      <c r="C200" s="1800"/>
      <c r="D200" s="1375"/>
      <c r="E200" s="1802"/>
      <c r="F200" s="1356" t="s">
        <v>363</v>
      </c>
      <c r="G200" s="1803">
        <v>690000</v>
      </c>
      <c r="H200" s="1343">
        <f t="shared" ref="H200" si="60">ROUND(E200*G200,)</f>
        <v>0</v>
      </c>
      <c r="I200" s="1370">
        <v>17250</v>
      </c>
      <c r="J200" s="1343">
        <f t="shared" ref="J200:J207" si="61">ROUND(E200*I200,)</f>
        <v>0</v>
      </c>
      <c r="K200" s="1262">
        <f t="shared" ref="K200:K207" si="62">H200+J200</f>
        <v>0</v>
      </c>
      <c r="L200" s="1356"/>
    </row>
    <row r="201" spans="1:12" s="1765" customFormat="1" ht="24" customHeight="1">
      <c r="A201" s="1766" t="s">
        <v>2096</v>
      </c>
      <c r="B201" s="1799" t="s">
        <v>2113</v>
      </c>
      <c r="C201" s="1800"/>
      <c r="D201" s="1375"/>
      <c r="E201" s="1802"/>
      <c r="F201" s="1356" t="s">
        <v>363</v>
      </c>
      <c r="G201" s="1803">
        <v>80000</v>
      </c>
      <c r="H201" s="1343">
        <f>ROUND(E201*G201,)</f>
        <v>0</v>
      </c>
      <c r="I201" s="1370">
        <v>2000</v>
      </c>
      <c r="J201" s="1343">
        <f t="shared" si="61"/>
        <v>0</v>
      </c>
      <c r="K201" s="1262">
        <f t="shared" si="62"/>
        <v>0</v>
      </c>
      <c r="L201" s="1356"/>
    </row>
    <row r="202" spans="1:12" s="1765" customFormat="1" ht="24" customHeight="1">
      <c r="A202" s="1766" t="s">
        <v>2099</v>
      </c>
      <c r="B202" s="1538" t="s">
        <v>1816</v>
      </c>
      <c r="C202" s="1437"/>
      <c r="D202" s="1275"/>
      <c r="E202" s="1768"/>
      <c r="F202" s="1358"/>
      <c r="G202" s="1516">
        <v>950000</v>
      </c>
      <c r="H202" s="1264">
        <f t="shared" ref="H202:H207" si="63">ROUND(E202*G202,)</f>
        <v>0</v>
      </c>
      <c r="I202" s="1265">
        <f>G202*0.015</f>
        <v>14250</v>
      </c>
      <c r="J202" s="1264">
        <f t="shared" si="61"/>
        <v>0</v>
      </c>
      <c r="K202" s="1273">
        <f t="shared" si="62"/>
        <v>0</v>
      </c>
      <c r="L202" s="1273"/>
    </row>
    <row r="203" spans="1:12" s="1765" customFormat="1" ht="24" customHeight="1">
      <c r="A203" s="1766"/>
      <c r="B203" s="1538" t="s">
        <v>2115</v>
      </c>
      <c r="C203" s="1437"/>
      <c r="D203" s="1275"/>
      <c r="E203" s="1768">
        <v>4</v>
      </c>
      <c r="F203" s="1358" t="s">
        <v>363</v>
      </c>
      <c r="G203" s="1515">
        <v>2650</v>
      </c>
      <c r="H203" s="1343">
        <f t="shared" si="63"/>
        <v>10600</v>
      </c>
      <c r="I203" s="1370">
        <v>500</v>
      </c>
      <c r="J203" s="1343">
        <f t="shared" si="61"/>
        <v>2000</v>
      </c>
      <c r="K203" s="1262">
        <f t="shared" si="62"/>
        <v>12600</v>
      </c>
      <c r="L203" s="1273"/>
    </row>
    <row r="204" spans="1:12" s="1765" customFormat="1" ht="24" customHeight="1">
      <c r="A204" s="1766"/>
      <c r="B204" s="1538" t="s">
        <v>2116</v>
      </c>
      <c r="C204" s="1437"/>
      <c r="D204" s="1275"/>
      <c r="E204" s="1768">
        <v>4</v>
      </c>
      <c r="F204" s="1358" t="s">
        <v>363</v>
      </c>
      <c r="G204" s="1515">
        <v>560</v>
      </c>
      <c r="H204" s="1343">
        <f t="shared" si="63"/>
        <v>2240</v>
      </c>
      <c r="I204" s="1370">
        <v>500</v>
      </c>
      <c r="J204" s="1343">
        <f t="shared" si="61"/>
        <v>2000</v>
      </c>
      <c r="K204" s="1262">
        <f t="shared" si="62"/>
        <v>4240</v>
      </c>
      <c r="L204" s="1273"/>
    </row>
    <row r="205" spans="1:12" s="1765" customFormat="1" ht="24" customHeight="1">
      <c r="A205" s="1258"/>
      <c r="B205" s="1538" t="s">
        <v>2117</v>
      </c>
      <c r="C205" s="1437"/>
      <c r="D205" s="1275"/>
      <c r="E205" s="1768"/>
      <c r="F205" s="1358" t="s">
        <v>363</v>
      </c>
      <c r="G205" s="1515">
        <v>1340</v>
      </c>
      <c r="H205" s="1343">
        <f t="shared" si="63"/>
        <v>0</v>
      </c>
      <c r="I205" s="1370">
        <v>500</v>
      </c>
      <c r="J205" s="1343">
        <f t="shared" si="61"/>
        <v>0</v>
      </c>
      <c r="K205" s="1262">
        <f t="shared" si="62"/>
        <v>0</v>
      </c>
      <c r="L205" s="1273"/>
    </row>
    <row r="206" spans="1:12" s="1765" customFormat="1" ht="24" customHeight="1">
      <c r="A206" s="1258"/>
      <c r="B206" s="1538" t="s">
        <v>2118</v>
      </c>
      <c r="C206" s="1437"/>
      <c r="D206" s="1275"/>
      <c r="E206" s="1768"/>
      <c r="F206" s="1358" t="s">
        <v>363</v>
      </c>
      <c r="G206" s="1515">
        <v>760</v>
      </c>
      <c r="H206" s="1343">
        <f t="shared" si="63"/>
        <v>0</v>
      </c>
      <c r="I206" s="1370">
        <v>500</v>
      </c>
      <c r="J206" s="1343">
        <f t="shared" si="61"/>
        <v>0</v>
      </c>
      <c r="K206" s="1262">
        <f t="shared" si="62"/>
        <v>0</v>
      </c>
      <c r="L206" s="1273"/>
    </row>
    <row r="207" spans="1:12" s="1765" customFormat="1" ht="24" customHeight="1">
      <c r="A207" s="1258"/>
      <c r="B207" s="1538" t="s">
        <v>2119</v>
      </c>
      <c r="C207" s="1437"/>
      <c r="D207" s="1275"/>
      <c r="E207" s="1768">
        <v>4</v>
      </c>
      <c r="F207" s="1358" t="s">
        <v>363</v>
      </c>
      <c r="G207" s="1515">
        <v>1340</v>
      </c>
      <c r="H207" s="1343">
        <f t="shared" si="63"/>
        <v>5360</v>
      </c>
      <c r="I207" s="1370">
        <v>500</v>
      </c>
      <c r="J207" s="1343">
        <f t="shared" si="61"/>
        <v>2000</v>
      </c>
      <c r="K207" s="1262">
        <f t="shared" si="62"/>
        <v>7360</v>
      </c>
      <c r="L207" s="1273"/>
    </row>
    <row r="208" spans="1:12" s="1765" customFormat="1" ht="24" customHeight="1">
      <c r="A208" s="1258"/>
      <c r="B208" s="1538" t="s">
        <v>2120</v>
      </c>
      <c r="C208" s="1437"/>
      <c r="D208" s="1275"/>
      <c r="E208" s="1768"/>
      <c r="F208" s="1358" t="s">
        <v>363</v>
      </c>
      <c r="G208" s="1515"/>
      <c r="H208" s="1369"/>
      <c r="I208" s="1370"/>
      <c r="J208" s="1369"/>
      <c r="K208" s="1356"/>
      <c r="L208" s="1273"/>
    </row>
    <row r="209" spans="1:15" s="1765" customFormat="1" ht="24" customHeight="1">
      <c r="A209" s="1258"/>
      <c r="B209" s="1538" t="s">
        <v>2121</v>
      </c>
      <c r="C209" s="1437"/>
      <c r="D209" s="1275"/>
      <c r="E209" s="1768">
        <v>4</v>
      </c>
      <c r="F209" s="1358" t="s">
        <v>363</v>
      </c>
      <c r="G209" s="1515">
        <v>4550</v>
      </c>
      <c r="H209" s="1343">
        <f t="shared" ref="H209" si="64">ROUND(E209*G209,)</f>
        <v>18200</v>
      </c>
      <c r="I209" s="1370">
        <v>1365</v>
      </c>
      <c r="J209" s="1343">
        <f t="shared" ref="J209" si="65">ROUND(E209*I209,)</f>
        <v>5460</v>
      </c>
      <c r="K209" s="1262">
        <f t="shared" ref="K209" si="66">H209+J209</f>
        <v>23660</v>
      </c>
      <c r="L209" s="1273"/>
    </row>
    <row r="210" spans="1:15" s="1765" customFormat="1" ht="24" customHeight="1">
      <c r="A210" s="1766" t="s">
        <v>2104</v>
      </c>
      <c r="B210" s="1538" t="s">
        <v>2122</v>
      </c>
      <c r="C210" s="1437"/>
      <c r="D210" s="1275"/>
      <c r="E210" s="1768"/>
      <c r="F210" s="1358"/>
      <c r="G210" s="1516"/>
      <c r="H210" s="1264"/>
      <c r="I210" s="1265"/>
      <c r="J210" s="1264"/>
      <c r="K210" s="1273"/>
      <c r="L210" s="1273"/>
    </row>
    <row r="211" spans="1:15" s="1765" customFormat="1" ht="24" customHeight="1">
      <c r="A211" s="1258"/>
      <c r="B211" s="1538" t="s">
        <v>2123</v>
      </c>
      <c r="C211" s="1437"/>
      <c r="D211" s="1275"/>
      <c r="E211" s="1801">
        <f>(7*5*5*1*2)*1</f>
        <v>350</v>
      </c>
      <c r="F211" s="1356" t="s">
        <v>226</v>
      </c>
      <c r="G211" s="1515">
        <v>139</v>
      </c>
      <c r="H211" s="1343">
        <f t="shared" ref="H211:H212" si="67">ROUND(E211*G211,)</f>
        <v>48650</v>
      </c>
      <c r="I211" s="1370">
        <v>21</v>
      </c>
      <c r="J211" s="1343">
        <f t="shared" ref="J211:J212" si="68">ROUND(E211*I211,)</f>
        <v>7350</v>
      </c>
      <c r="K211" s="1262">
        <f t="shared" ref="K211:K212" si="69">H211+J211</f>
        <v>56000</v>
      </c>
      <c r="L211" s="1273"/>
    </row>
    <row r="212" spans="1:15" s="1765" customFormat="1" ht="24" customHeight="1">
      <c r="A212" s="1258"/>
      <c r="B212" s="1538" t="s">
        <v>2124</v>
      </c>
      <c r="C212" s="1437"/>
      <c r="D212" s="1275"/>
      <c r="E212" s="1801">
        <f>(4*5*5*2*1)*1</f>
        <v>200</v>
      </c>
      <c r="F212" s="1356" t="s">
        <v>226</v>
      </c>
      <c r="G212" s="1515">
        <v>103</v>
      </c>
      <c r="H212" s="1343">
        <f t="shared" si="67"/>
        <v>20600</v>
      </c>
      <c r="I212" s="1370">
        <v>15</v>
      </c>
      <c r="J212" s="1343">
        <f t="shared" si="68"/>
        <v>3000</v>
      </c>
      <c r="K212" s="1262">
        <f t="shared" si="69"/>
        <v>23600</v>
      </c>
      <c r="L212" s="1273"/>
    </row>
    <row r="213" spans="1:15" s="1765" customFormat="1" ht="24" customHeight="1">
      <c r="A213" s="1258"/>
      <c r="B213" s="1538" t="s">
        <v>1548</v>
      </c>
      <c r="C213" s="1437"/>
      <c r="D213" s="1275"/>
      <c r="E213" s="1768"/>
      <c r="F213" s="1358" t="s">
        <v>226</v>
      </c>
      <c r="G213" s="1516"/>
      <c r="H213" s="1264"/>
      <c r="I213" s="1265"/>
      <c r="J213" s="1264"/>
      <c r="K213" s="1273"/>
      <c r="L213" s="1273"/>
    </row>
    <row r="214" spans="1:15" s="1765" customFormat="1" ht="24" customHeight="1">
      <c r="A214" s="1804"/>
      <c r="B214" s="1799" t="s">
        <v>2125</v>
      </c>
      <c r="C214" s="1800"/>
      <c r="D214" s="1375"/>
      <c r="E214" s="1801"/>
      <c r="F214" s="1356" t="s">
        <v>226</v>
      </c>
      <c r="G214" s="1515">
        <v>24</v>
      </c>
      <c r="H214" s="1343">
        <f t="shared" ref="H214:H216" si="70">ROUND(E214*G214,)</f>
        <v>0</v>
      </c>
      <c r="I214" s="1370">
        <v>8</v>
      </c>
      <c r="J214" s="1343">
        <f t="shared" ref="J214:J216" si="71">ROUND(E214*I214,)</f>
        <v>0</v>
      </c>
      <c r="K214" s="1262">
        <f t="shared" ref="K214:K216" si="72">H214+J214</f>
        <v>0</v>
      </c>
      <c r="L214" s="1356"/>
    </row>
    <row r="215" spans="1:15" s="1765" customFormat="1" ht="24" customHeight="1">
      <c r="A215" s="1804"/>
      <c r="B215" s="1799" t="s">
        <v>2126</v>
      </c>
      <c r="C215" s="1800"/>
      <c r="D215" s="1375"/>
      <c r="E215" s="1801"/>
      <c r="F215" s="1356" t="s">
        <v>226</v>
      </c>
      <c r="G215" s="1515">
        <v>15</v>
      </c>
      <c r="H215" s="1343">
        <f t="shared" si="70"/>
        <v>0</v>
      </c>
      <c r="I215" s="1370">
        <v>5</v>
      </c>
      <c r="J215" s="1343">
        <f t="shared" si="71"/>
        <v>0</v>
      </c>
      <c r="K215" s="1262">
        <f t="shared" si="72"/>
        <v>0</v>
      </c>
      <c r="L215" s="1356"/>
    </row>
    <row r="216" spans="1:15" s="1765" customFormat="1" ht="24" customHeight="1">
      <c r="A216" s="1804"/>
      <c r="B216" s="1799" t="s">
        <v>2127</v>
      </c>
      <c r="C216" s="1800"/>
      <c r="D216" s="1375"/>
      <c r="E216" s="1801">
        <v>1</v>
      </c>
      <c r="F216" s="1356" t="s">
        <v>1104</v>
      </c>
      <c r="G216" s="1515">
        <f>SUM(H211:H215)*5%</f>
        <v>3462.5</v>
      </c>
      <c r="H216" s="1343">
        <f t="shared" si="70"/>
        <v>3463</v>
      </c>
      <c r="I216" s="1370">
        <v>19745</v>
      </c>
      <c r="J216" s="1343">
        <f t="shared" si="71"/>
        <v>19745</v>
      </c>
      <c r="K216" s="1262">
        <f t="shared" si="72"/>
        <v>23208</v>
      </c>
      <c r="L216" s="1356"/>
    </row>
    <row r="217" spans="1:15" s="1765" customFormat="1" ht="24" customHeight="1">
      <c r="A217" s="1766" t="s">
        <v>2581</v>
      </c>
      <c r="B217" s="1538" t="s">
        <v>1110</v>
      </c>
      <c r="C217" s="1437"/>
      <c r="D217" s="1275"/>
      <c r="E217" s="1768"/>
      <c r="F217" s="1358"/>
      <c r="G217" s="1515"/>
      <c r="H217" s="1264"/>
      <c r="I217" s="1265"/>
      <c r="J217" s="1264"/>
      <c r="K217" s="1273"/>
      <c r="L217" s="1273"/>
    </row>
    <row r="218" spans="1:15" s="1765" customFormat="1" ht="24" customHeight="1">
      <c r="A218" s="1766"/>
      <c r="B218" s="1538" t="s">
        <v>1350</v>
      </c>
      <c r="C218" s="1437"/>
      <c r="D218" s="1275"/>
      <c r="E218" s="1768">
        <f>(3*5*2*1)*1</f>
        <v>30</v>
      </c>
      <c r="F218" s="1358" t="s">
        <v>226</v>
      </c>
      <c r="G218" s="2004">
        <v>56</v>
      </c>
      <c r="H218" s="1413">
        <f t="shared" ref="H218:H219" si="73">ROUND(E218*G218,)</f>
        <v>1680</v>
      </c>
      <c r="I218" s="1541">
        <v>28</v>
      </c>
      <c r="J218" s="2006">
        <f t="shared" ref="J218:J219" si="74">ROUND(E218*I218,)</f>
        <v>840</v>
      </c>
      <c r="K218" s="715">
        <f t="shared" ref="K218:K219" si="75">H218+J218</f>
        <v>2520</v>
      </c>
      <c r="L218" s="2082" t="s">
        <v>2667</v>
      </c>
      <c r="M218" s="2002"/>
      <c r="N218" s="1199">
        <v>169.2</v>
      </c>
      <c r="O218" s="1199">
        <f>ROUND(N218/3,)</f>
        <v>56</v>
      </c>
    </row>
    <row r="219" spans="1:15" s="1765" customFormat="1" ht="24" customHeight="1">
      <c r="A219" s="1804"/>
      <c r="B219" s="1799" t="s">
        <v>2128</v>
      </c>
      <c r="C219" s="1800"/>
      <c r="D219" s="1375"/>
      <c r="E219" s="1801">
        <v>1</v>
      </c>
      <c r="F219" s="1356" t="s">
        <v>1104</v>
      </c>
      <c r="G219" s="1515">
        <f>H218*15%</f>
        <v>252</v>
      </c>
      <c r="H219" s="1343">
        <f t="shared" si="73"/>
        <v>252</v>
      </c>
      <c r="I219" s="1370">
        <v>58174</v>
      </c>
      <c r="J219" s="1343">
        <f t="shared" si="74"/>
        <v>58174</v>
      </c>
      <c r="K219" s="1262">
        <f t="shared" si="75"/>
        <v>58426</v>
      </c>
      <c r="L219" s="1356"/>
    </row>
    <row r="220" spans="1:15" s="1765" customFormat="1" ht="24" customHeight="1">
      <c r="A220" s="1766" t="s">
        <v>2582</v>
      </c>
      <c r="B220" s="1538" t="s">
        <v>1343</v>
      </c>
      <c r="C220" s="1437"/>
      <c r="D220" s="1275"/>
      <c r="E220" s="1768"/>
      <c r="F220" s="1358"/>
      <c r="G220" s="1515"/>
      <c r="H220" s="1264"/>
      <c r="I220" s="1265"/>
      <c r="J220" s="1264"/>
      <c r="K220" s="1273"/>
      <c r="L220" s="1273"/>
    </row>
    <row r="221" spans="1:15" s="1765" customFormat="1" ht="24" customHeight="1">
      <c r="A221" s="1258"/>
      <c r="B221" s="1538" t="s">
        <v>2129</v>
      </c>
      <c r="C221" s="1437"/>
      <c r="D221" s="1275"/>
      <c r="E221" s="1801"/>
      <c r="F221" s="1356" t="s">
        <v>226</v>
      </c>
      <c r="G221" s="1386">
        <v>316</v>
      </c>
      <c r="H221" s="1343">
        <f t="shared" ref="H221:H222" si="76">ROUND(E221*G221,)</f>
        <v>0</v>
      </c>
      <c r="I221" s="1414">
        <v>50</v>
      </c>
      <c r="J221" s="1343">
        <f t="shared" ref="J221:J222" si="77">ROUND(E221*I221,)</f>
        <v>0</v>
      </c>
      <c r="K221" s="1262">
        <f t="shared" ref="K221:K222" si="78">H221+J221</f>
        <v>0</v>
      </c>
      <c r="L221" s="1273"/>
    </row>
    <row r="222" spans="1:15" s="1765" customFormat="1" ht="24" customHeight="1">
      <c r="A222" s="1258"/>
      <c r="B222" s="1538" t="s">
        <v>2128</v>
      </c>
      <c r="C222" s="1437"/>
      <c r="D222" s="1275"/>
      <c r="E222" s="1801"/>
      <c r="F222" s="1356" t="s">
        <v>1104</v>
      </c>
      <c r="G222" s="1515">
        <f>H221*15%</f>
        <v>0</v>
      </c>
      <c r="H222" s="1343">
        <f t="shared" si="76"/>
        <v>0</v>
      </c>
      <c r="I222" s="1370">
        <v>16637</v>
      </c>
      <c r="J222" s="1343">
        <f t="shared" si="77"/>
        <v>0</v>
      </c>
      <c r="K222" s="1262">
        <f t="shared" si="78"/>
        <v>0</v>
      </c>
      <c r="L222" s="1273"/>
    </row>
    <row r="223" spans="1:15" s="1765" customFormat="1" ht="24" customHeight="1">
      <c r="A223" s="1804"/>
      <c r="B223" s="1799"/>
      <c r="C223" s="1800"/>
      <c r="D223" s="1375"/>
      <c r="E223" s="1801"/>
      <c r="F223" s="1356"/>
      <c r="G223" s="1515"/>
      <c r="H223" s="1343"/>
      <c r="I223" s="1370"/>
      <c r="J223" s="1343"/>
      <c r="K223" s="1262"/>
      <c r="L223" s="1356"/>
    </row>
    <row r="224" spans="1:15" s="1765" customFormat="1" ht="24" customHeight="1">
      <c r="A224" s="1804"/>
      <c r="B224" s="1799"/>
      <c r="C224" s="1800"/>
      <c r="D224" s="1375"/>
      <c r="E224" s="1801"/>
      <c r="F224" s="1356"/>
      <c r="G224" s="1515"/>
      <c r="H224" s="1343"/>
      <c r="I224" s="1370"/>
      <c r="J224" s="1343"/>
      <c r="K224" s="1262"/>
      <c r="L224" s="1356"/>
    </row>
    <row r="225" spans="1:12" s="1765" customFormat="1" ht="24" customHeight="1">
      <c r="A225" s="1804"/>
      <c r="B225" s="1799"/>
      <c r="C225" s="1800"/>
      <c r="D225" s="1375"/>
      <c r="E225" s="1801"/>
      <c r="F225" s="1356"/>
      <c r="G225" s="1515"/>
      <c r="H225" s="1343"/>
      <c r="I225" s="1370"/>
      <c r="J225" s="1343"/>
      <c r="K225" s="1262"/>
      <c r="L225" s="1356"/>
    </row>
    <row r="226" spans="1:12" s="1765" customFormat="1" ht="24" customHeight="1">
      <c r="A226" s="1766"/>
      <c r="B226" s="1538"/>
      <c r="C226" s="1437"/>
      <c r="D226" s="1275"/>
      <c r="E226" s="1768"/>
      <c r="F226" s="1358"/>
      <c r="G226" s="1515"/>
      <c r="H226" s="1264"/>
      <c r="I226" s="1265"/>
      <c r="J226" s="1264"/>
      <c r="K226" s="1273"/>
      <c r="L226" s="1273"/>
    </row>
    <row r="227" spans="1:12" s="1765" customFormat="1" ht="24" customHeight="1">
      <c r="A227" s="1804"/>
      <c r="B227" s="1799"/>
      <c r="C227" s="1800"/>
      <c r="D227" s="1375"/>
      <c r="E227" s="1801"/>
      <c r="F227" s="1356"/>
      <c r="G227" s="1515"/>
      <c r="H227" s="1343"/>
      <c r="I227" s="1370"/>
      <c r="J227" s="1343"/>
      <c r="K227" s="1262"/>
      <c r="L227" s="1356"/>
    </row>
    <row r="228" spans="1:12" s="1765" customFormat="1" ht="24" customHeight="1">
      <c r="A228" s="1804"/>
      <c r="B228" s="1799"/>
      <c r="C228" s="1800"/>
      <c r="D228" s="1375"/>
      <c r="E228" s="1801"/>
      <c r="F228" s="1356"/>
      <c r="G228" s="1515"/>
      <c r="H228" s="1343"/>
      <c r="I228" s="1370"/>
      <c r="J228" s="1343"/>
      <c r="K228" s="1262"/>
      <c r="L228" s="1356"/>
    </row>
    <row r="229" spans="1:12" s="1765" customFormat="1" ht="24" customHeight="1">
      <c r="A229" s="1804"/>
      <c r="B229" s="1799"/>
      <c r="C229" s="1800"/>
      <c r="D229" s="1375"/>
      <c r="E229" s="1801"/>
      <c r="F229" s="1356"/>
      <c r="G229" s="1515"/>
      <c r="H229" s="1343"/>
      <c r="I229" s="1370"/>
      <c r="J229" s="1343"/>
      <c r="K229" s="1262"/>
      <c r="L229" s="1356"/>
    </row>
    <row r="230" spans="1:12" s="1765" customFormat="1" ht="24" customHeight="1">
      <c r="A230" s="1766"/>
      <c r="B230" s="1538"/>
      <c r="C230" s="1437"/>
      <c r="D230" s="1275"/>
      <c r="E230" s="1768"/>
      <c r="F230" s="1358"/>
      <c r="G230" s="1515"/>
      <c r="H230" s="1264"/>
      <c r="I230" s="1265"/>
      <c r="J230" s="1264"/>
      <c r="K230" s="1273"/>
      <c r="L230" s="1273"/>
    </row>
    <row r="231" spans="1:12" s="1765" customFormat="1" ht="24" customHeight="1">
      <c r="A231" s="1804"/>
      <c r="B231" s="1799"/>
      <c r="C231" s="1800"/>
      <c r="D231" s="1375"/>
      <c r="E231" s="1801"/>
      <c r="F231" s="1356"/>
      <c r="G231" s="1515"/>
      <c r="H231" s="1343"/>
      <c r="I231" s="1370"/>
      <c r="J231" s="1343"/>
      <c r="K231" s="1262"/>
      <c r="L231" s="1356"/>
    </row>
    <row r="232" spans="1:12" s="1765" customFormat="1" ht="24" customHeight="1">
      <c r="A232" s="1804"/>
      <c r="B232" s="1799"/>
      <c r="C232" s="1800"/>
      <c r="D232" s="1375"/>
      <c r="E232" s="1801"/>
      <c r="F232" s="1356"/>
      <c r="G232" s="1515"/>
      <c r="H232" s="1343"/>
      <c r="I232" s="1370"/>
      <c r="J232" s="1343"/>
      <c r="K232" s="1262"/>
      <c r="L232" s="1356"/>
    </row>
    <row r="233" spans="1:12" s="1765" customFormat="1" ht="24" customHeight="1">
      <c r="A233" s="1804"/>
      <c r="B233" s="1799"/>
      <c r="C233" s="1800"/>
      <c r="D233" s="1375"/>
      <c r="E233" s="1801"/>
      <c r="F233" s="1356"/>
      <c r="G233" s="1515"/>
      <c r="H233" s="1343"/>
      <c r="I233" s="1370"/>
      <c r="J233" s="1343"/>
      <c r="K233" s="1262"/>
      <c r="L233" s="1356"/>
    </row>
    <row r="234" spans="1:12" s="1199" customFormat="1" ht="22.15" customHeight="1">
      <c r="A234" s="1578"/>
      <c r="B234" s="2257" t="str">
        <f>"รวมราคารายการที่ "&amp;A199</f>
        <v>รวมราคารายการที่ 7.8</v>
      </c>
      <c r="C234" s="2258"/>
      <c r="D234" s="2259"/>
      <c r="E234" s="1579"/>
      <c r="F234" s="1579"/>
      <c r="G234" s="1580"/>
      <c r="H234" s="1581">
        <f>SUM(H199:H222)</f>
        <v>111045</v>
      </c>
      <c r="I234" s="1582"/>
      <c r="J234" s="1581">
        <f>SUM(J199:J222)</f>
        <v>100569</v>
      </c>
      <c r="K234" s="1581">
        <f>SUM(K199:K222)</f>
        <v>211614</v>
      </c>
      <c r="L234" s="1583"/>
    </row>
    <row r="235" spans="1:12" s="1199" customFormat="1" ht="22.15" customHeight="1">
      <c r="A235" s="1427"/>
    </row>
    <row r="236" spans="1:12" s="1199" customFormat="1" ht="22.15" customHeight="1">
      <c r="A236" s="1427"/>
    </row>
    <row r="237" spans="1:12" s="1199" customFormat="1" ht="22.15" customHeight="1">
      <c r="A237" s="1427"/>
    </row>
    <row r="238" spans="1:12" s="1199" customFormat="1" ht="22.15" customHeight="1">
      <c r="A238" s="1427"/>
    </row>
    <row r="239" spans="1:12" s="1199" customFormat="1" ht="22.15" customHeight="1">
      <c r="A239" s="1427"/>
    </row>
    <row r="240" spans="1:12" s="1199" customFormat="1" ht="22.15" customHeight="1">
      <c r="A240" s="1427"/>
    </row>
    <row r="241" spans="1:1" s="1199" customFormat="1" ht="22.15" customHeight="1">
      <c r="A241" s="1427"/>
    </row>
    <row r="242" spans="1:1" s="1199" customFormat="1" ht="22.15" customHeight="1">
      <c r="A242" s="1427"/>
    </row>
    <row r="243" spans="1:1" s="1199" customFormat="1" ht="22.15" customHeight="1">
      <c r="A243" s="1427"/>
    </row>
    <row r="244" spans="1:1" s="1199" customFormat="1" ht="22.15" customHeight="1">
      <c r="A244" s="1427"/>
    </row>
    <row r="245" spans="1:1" s="1199" customFormat="1" ht="22.15" customHeight="1">
      <c r="A245" s="1427"/>
    </row>
    <row r="246" spans="1:1" s="1199" customFormat="1" ht="21.3">
      <c r="A246" s="1427"/>
    </row>
    <row r="247" spans="1:1" s="1199" customFormat="1" ht="21.3">
      <c r="A247" s="1427"/>
    </row>
    <row r="248" spans="1:1" s="1199" customFormat="1" ht="21.3">
      <c r="A248" s="1427"/>
    </row>
    <row r="249" spans="1:1" s="1199" customFormat="1" ht="21.3">
      <c r="A249" s="1427"/>
    </row>
    <row r="250" spans="1:1" s="1199" customFormat="1" ht="21.3">
      <c r="A250" s="1427"/>
    </row>
    <row r="251" spans="1:1" s="1199" customFormat="1" ht="21.3">
      <c r="A251" s="1427"/>
    </row>
    <row r="252" spans="1:1" s="1199" customFormat="1" ht="21.3">
      <c r="A252" s="1427"/>
    </row>
    <row r="253" spans="1:1" s="1199" customFormat="1" ht="21.3">
      <c r="A253" s="1427"/>
    </row>
    <row r="254" spans="1:1" s="1199" customFormat="1" ht="21.3">
      <c r="A254" s="1427"/>
    </row>
    <row r="255" spans="1:1" s="1199" customFormat="1" ht="21.3">
      <c r="A255" s="1427"/>
    </row>
    <row r="256" spans="1:1" s="1199" customFormat="1" ht="21.3">
      <c r="A256" s="1427"/>
    </row>
    <row r="257" spans="1:12" s="1199" customFormat="1" ht="21.3">
      <c r="A257" s="1427"/>
    </row>
    <row r="258" spans="1:12" s="1199" customFormat="1" ht="21.3">
      <c r="A258" s="1427"/>
    </row>
    <row r="259" spans="1:12" s="1199" customFormat="1" ht="21.3">
      <c r="A259" s="1427"/>
    </row>
    <row r="260" spans="1:12">
      <c r="A260" s="1427"/>
      <c r="B260" s="1199"/>
      <c r="C260" s="1199"/>
      <c r="D260" s="1199"/>
      <c r="E260" s="1199"/>
      <c r="F260" s="1199"/>
      <c r="G260" s="1199"/>
      <c r="H260" s="1199"/>
      <c r="I260" s="1199"/>
      <c r="J260" s="1199"/>
      <c r="K260" s="1199"/>
      <c r="L260" s="1199"/>
    </row>
    <row r="261" spans="1:12">
      <c r="A261" s="1427"/>
      <c r="B261" s="1199"/>
      <c r="C261" s="1199"/>
      <c r="D261" s="1199"/>
      <c r="E261" s="1199"/>
      <c r="F261" s="1199"/>
      <c r="G261" s="1199"/>
      <c r="H261" s="1199"/>
      <c r="I261" s="1199"/>
      <c r="J261" s="1199"/>
      <c r="K261" s="1199"/>
      <c r="L261" s="1199"/>
    </row>
    <row r="262" spans="1:12">
      <c r="A262" s="1427"/>
      <c r="B262" s="1199"/>
      <c r="C262" s="1199"/>
      <c r="D262" s="1199"/>
      <c r="E262" s="1199"/>
      <c r="F262" s="1199"/>
      <c r="G262" s="1199"/>
      <c r="H262" s="1199"/>
      <c r="I262" s="1199"/>
      <c r="J262" s="1199"/>
      <c r="K262" s="1199"/>
      <c r="L262" s="1199"/>
    </row>
    <row r="269" spans="1:12">
      <c r="B269" s="1805"/>
    </row>
    <row r="270" spans="1:12">
      <c r="B270" s="1805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234:D234"/>
    <mergeCell ref="B170:D170"/>
    <mergeCell ref="B198:D198"/>
    <mergeCell ref="B34:D34"/>
    <mergeCell ref="B59:D59"/>
    <mergeCell ref="B70:D70"/>
    <mergeCell ref="B84:D84"/>
    <mergeCell ref="B109:D109"/>
    <mergeCell ref="B134:D134"/>
  </mergeCells>
  <conditionalFormatting sqref="A171:L172 A173:A180 A185:L185 G173:L180 B174:B175 B177:B179 A188:L188 A186:F186 A189:F189 A191:F191 H191:L191 A192:L197">
    <cfRule type="expression" dxfId="184" priority="24">
      <formula>SUMPRODUCT(--(ROW()=$O$12:$O$18))&gt;0</formula>
    </cfRule>
  </conditionalFormatting>
  <conditionalFormatting sqref="A93:F93 L93:L95 A94:D95 F94:F95">
    <cfRule type="expression" dxfId="183" priority="23">
      <formula>SUMPRODUCT(--(ROW()=$O$12:$O$18))&gt;0</formula>
    </cfRule>
  </conditionalFormatting>
  <conditionalFormatting sqref="A121:L127">
    <cfRule type="expression" dxfId="182" priority="22">
      <formula>SUMPRODUCT(--(ROW()=$O$12:$O$18))&gt;0</formula>
    </cfRule>
  </conditionalFormatting>
  <conditionalFormatting sqref="B173:F173">
    <cfRule type="expression" dxfId="181" priority="21">
      <formula>SUMPRODUCT(--(ROW()=$O$12:$O$18))&gt;0</formula>
    </cfRule>
  </conditionalFormatting>
  <conditionalFormatting sqref="C174:F174">
    <cfRule type="expression" dxfId="180" priority="20">
      <formula>SUMPRODUCT(--(ROW()=$O$12:$O$18))&gt;0</formula>
    </cfRule>
  </conditionalFormatting>
  <conditionalFormatting sqref="C175:F175">
    <cfRule type="expression" dxfId="179" priority="19">
      <formula>SUMPRODUCT(--(ROW()=$O$12:$O$18))&gt;0</formula>
    </cfRule>
  </conditionalFormatting>
  <conditionalFormatting sqref="B176:F176">
    <cfRule type="expression" dxfId="178" priority="18">
      <formula>SUMPRODUCT(--(ROW()=$O$12:$O$18))&gt;0</formula>
    </cfRule>
  </conditionalFormatting>
  <conditionalFormatting sqref="C177:F177">
    <cfRule type="expression" dxfId="177" priority="17">
      <formula>SUMPRODUCT(--(ROW()=$O$12:$O$18))&gt;0</formula>
    </cfRule>
  </conditionalFormatting>
  <conditionalFormatting sqref="C178:F178">
    <cfRule type="expression" dxfId="176" priority="16">
      <formula>SUMPRODUCT(--(ROW()=$O$12:$O$18))&gt;0</formula>
    </cfRule>
  </conditionalFormatting>
  <conditionalFormatting sqref="C179:F179">
    <cfRule type="expression" dxfId="175" priority="15">
      <formula>SUMPRODUCT(--(ROW()=$O$12:$O$18))&gt;0</formula>
    </cfRule>
  </conditionalFormatting>
  <conditionalFormatting sqref="B180:F180">
    <cfRule type="expression" dxfId="174" priority="14">
      <formula>SUMPRODUCT(--(ROW()=$O$12:$O$18))&gt;0</formula>
    </cfRule>
  </conditionalFormatting>
  <conditionalFormatting sqref="C36:L36 L37 C57:D57 L57 F37:G37 E59:L59 A35:L35 F38:L51 A36:A51 A56:A57 F56:L56 A59">
    <cfRule type="expression" dxfId="173" priority="13">
      <formula>SUMPRODUCT(--(ROW()=$O$12:$O$18))&gt;0</formula>
    </cfRule>
  </conditionalFormatting>
  <conditionalFormatting sqref="G119:K120">
    <cfRule type="expression" dxfId="172" priority="12">
      <formula>SUMPRODUCT(--(ROW()=$R$12:$R$21))&gt;0</formula>
    </cfRule>
  </conditionalFormatting>
  <conditionalFormatting sqref="I93:I95">
    <cfRule type="expression" dxfId="171" priority="11">
      <formula>SUMPRODUCT(--(ROW()=$O$12:$O$21))&gt;0</formula>
    </cfRule>
  </conditionalFormatting>
  <conditionalFormatting sqref="H101:H104">
    <cfRule type="expression" dxfId="170" priority="10">
      <formula>SUMPRODUCT(--(ROW()=$O$14:$O$23))&gt;0</formula>
    </cfRule>
  </conditionalFormatting>
  <conditionalFormatting sqref="G93:G94">
    <cfRule type="expression" dxfId="169" priority="9">
      <formula>SUMPRODUCT(--(ROW()=$O$14:$O$23))&gt;0</formula>
    </cfRule>
  </conditionalFormatting>
  <conditionalFormatting sqref="G95">
    <cfRule type="expression" dxfId="168" priority="8">
      <formula>SUMPRODUCT(--(ROW()=$O$14:$O$23))&gt;0</formula>
    </cfRule>
  </conditionalFormatting>
  <conditionalFormatting sqref="A187:K187">
    <cfRule type="expression" dxfId="167" priority="3">
      <formula>SUMPRODUCT(--(ROW()=$O$12:$O$23))&gt;0</formula>
    </cfRule>
  </conditionalFormatting>
  <conditionalFormatting sqref="A190:F190">
    <cfRule type="expression" dxfId="166" priority="2">
      <formula>SUMPRODUCT(--(ROW()=$O$12:$O$23))&gt;0</formula>
    </cfRule>
  </conditionalFormatting>
  <conditionalFormatting sqref="E94">
    <cfRule type="expression" dxfId="165" priority="1">
      <formula>SUMPRODUCT(--(ROW()=$W$12:$W$21))&gt;0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4-อาคารด้านทิศตะวันตก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12A-1E2E-4F5D-B201-6C1FA6EDD35B}">
  <sheetPr>
    <tabColor rgb="FF92D050"/>
  </sheetPr>
  <dimension ref="A1:T245"/>
  <sheetViews>
    <sheetView showGridLines="0" view="pageBreakPreview" topLeftCell="A190" zoomScale="70" zoomScaleNormal="60" zoomScaleSheetLayoutView="70" workbookViewId="0">
      <selection activeCell="E19" sqref="E19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7.703125" style="1" customWidth="1"/>
    <col min="14" max="14" width="11" style="1" customWidth="1"/>
    <col min="15" max="15" width="10.29296875" style="1" customWidth="1"/>
    <col min="16" max="16" width="11.703125" style="1" customWidth="1"/>
    <col min="17" max="17" width="10.29296875" style="1" customWidth="1"/>
    <col min="18" max="18" width="10.703125" style="1" customWidth="1"/>
    <col min="19" max="19" width="10.5859375" style="1" customWidth="1"/>
    <col min="20" max="20" width="10.29296875" style="1" customWidth="1"/>
    <col min="21" max="21" width="10.5859375" style="1" customWidth="1"/>
    <col min="22" max="78" width="7.703125" style="1" customWidth="1"/>
    <col min="7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03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04" t="s">
        <v>18</v>
      </c>
      <c r="L10" s="2225"/>
    </row>
    <row r="11" spans="1:12" ht="24" customHeight="1">
      <c r="A11" s="1560" t="s">
        <v>24</v>
      </c>
      <c r="B11" s="1561" t="s">
        <v>2842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H49</f>
        <v>2506950</v>
      </c>
      <c r="I12" s="1197"/>
      <c r="J12" s="1196">
        <f>J49</f>
        <v>129546</v>
      </c>
      <c r="K12" s="1196">
        <f t="shared" ref="K12:K15" si="0">SUM(H12:J12)</f>
        <v>2636496</v>
      </c>
      <c r="L12" s="1531"/>
    </row>
    <row r="13" spans="1:12" s="1199" customFormat="1" ht="24" customHeight="1">
      <c r="A13" s="1564">
        <f>A50</f>
        <v>7.2</v>
      </c>
      <c r="B13" s="1538" t="str">
        <f>B50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330000</v>
      </c>
      <c r="I13" s="1197"/>
      <c r="J13" s="1196">
        <f>J59</f>
        <v>3000</v>
      </c>
      <c r="K13" s="1196">
        <f t="shared" si="0"/>
        <v>333000</v>
      </c>
      <c r="L13" s="1531"/>
    </row>
    <row r="14" spans="1:12" s="1199" customFormat="1" ht="24" customHeight="1">
      <c r="A14" s="1564" t="str">
        <f>A60</f>
        <v>7.3</v>
      </c>
      <c r="B14" s="1538" t="str">
        <f>B60</f>
        <v>ระบบกรองอากาศ (Air Filtration System)</v>
      </c>
      <c r="C14" s="1533"/>
      <c r="D14" s="1534"/>
      <c r="E14" s="1753">
        <v>1</v>
      </c>
      <c r="F14" s="1567" t="s">
        <v>19</v>
      </c>
      <c r="G14" s="1195"/>
      <c r="H14" s="1196">
        <f>H70</f>
        <v>27600</v>
      </c>
      <c r="I14" s="1197"/>
      <c r="J14" s="1196">
        <f>J70</f>
        <v>1800</v>
      </c>
      <c r="K14" s="1196">
        <f t="shared" si="0"/>
        <v>29400</v>
      </c>
      <c r="L14" s="1531"/>
    </row>
    <row r="15" spans="1:12" s="1199" customFormat="1" ht="24" customHeight="1">
      <c r="A15" s="1564">
        <f>A71</f>
        <v>7.4</v>
      </c>
      <c r="B15" s="1538" t="str">
        <f>B71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H96</f>
        <v>380706</v>
      </c>
      <c r="I15" s="1197"/>
      <c r="J15" s="1196">
        <f>J96</f>
        <v>140570</v>
      </c>
      <c r="K15" s="1196">
        <f t="shared" si="0"/>
        <v>521276</v>
      </c>
      <c r="L15" s="1531"/>
    </row>
    <row r="16" spans="1:12" s="1199" customFormat="1" ht="24" customHeight="1">
      <c r="A16" s="1755" t="str">
        <f>A97</f>
        <v>7.5</v>
      </c>
      <c r="B16" s="1816" t="str">
        <f>B97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H122</f>
        <v>134456</v>
      </c>
      <c r="I16" s="1197"/>
      <c r="J16" s="1196">
        <f>J122</f>
        <v>35776</v>
      </c>
      <c r="K16" s="1196">
        <f t="shared" ref="K16:K18" si="1">SUM(H16:J16)</f>
        <v>170232</v>
      </c>
      <c r="L16" s="1531"/>
    </row>
    <row r="17" spans="1:12" s="1199" customFormat="1" ht="24" customHeight="1">
      <c r="A17" s="1756">
        <f>A123</f>
        <v>7.6</v>
      </c>
      <c r="B17" s="1840" t="str">
        <f>B123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H159</f>
        <v>155646</v>
      </c>
      <c r="I17" s="1197"/>
      <c r="J17" s="1196">
        <f>J159</f>
        <v>22800</v>
      </c>
      <c r="K17" s="1196">
        <f t="shared" si="1"/>
        <v>178446</v>
      </c>
      <c r="L17" s="1531"/>
    </row>
    <row r="18" spans="1:12" s="1199" customFormat="1" ht="24" customHeight="1">
      <c r="A18" s="1537" t="str">
        <f>A160</f>
        <v>7.7</v>
      </c>
      <c r="B18" s="1840" t="str">
        <f>B160</f>
        <v>ระบบไฟฟ้าและควบคุม (Electrical &amp; Control System)</v>
      </c>
      <c r="C18" s="1533"/>
      <c r="D18" s="1534"/>
      <c r="E18" s="1753">
        <v>1</v>
      </c>
      <c r="F18" s="1567" t="s">
        <v>19</v>
      </c>
      <c r="G18" s="1195"/>
      <c r="H18" s="1196">
        <f>H184</f>
        <v>553665</v>
      </c>
      <c r="I18" s="1197"/>
      <c r="J18" s="1196">
        <f>J184</f>
        <v>61208</v>
      </c>
      <c r="K18" s="1196">
        <f t="shared" si="1"/>
        <v>614873</v>
      </c>
      <c r="L18" s="1531"/>
    </row>
    <row r="19" spans="1:12" s="1199" customFormat="1" ht="24" customHeight="1">
      <c r="A19" s="1537" t="str">
        <f>A185</f>
        <v>7.8</v>
      </c>
      <c r="B19" s="1840" t="str">
        <f>B185</f>
        <v>หมวดงานเชื่อมต่อกับระบบ BAS</v>
      </c>
      <c r="C19" s="1533"/>
      <c r="D19" s="1534"/>
      <c r="E19" s="1753">
        <v>1</v>
      </c>
      <c r="F19" s="1567" t="s">
        <v>19</v>
      </c>
      <c r="G19" s="1195"/>
      <c r="H19" s="1196">
        <f>H209</f>
        <v>129245</v>
      </c>
      <c r="I19" s="1197"/>
      <c r="J19" s="1196">
        <f>J209</f>
        <v>106299</v>
      </c>
      <c r="K19" s="1196">
        <f>K209</f>
        <v>235544</v>
      </c>
      <c r="L19" s="1531"/>
    </row>
    <row r="20" spans="1:12" s="1199" customFormat="1" ht="24" customHeight="1">
      <c r="A20" s="1537"/>
      <c r="B20" s="2139"/>
      <c r="C20" s="1533"/>
      <c r="D20" s="1534"/>
      <c r="E20" s="1753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5</v>
      </c>
      <c r="C34" s="2258"/>
      <c r="D34" s="2259"/>
      <c r="E34" s="1579"/>
      <c r="F34" s="1579"/>
      <c r="G34" s="1580"/>
      <c r="H34" s="1581">
        <f>SUM(H11:H33)</f>
        <v>4218268</v>
      </c>
      <c r="I34" s="1582"/>
      <c r="J34" s="1581">
        <f>SUM(J11:J33)</f>
        <v>500999</v>
      </c>
      <c r="K34" s="1581">
        <f>SUM(K11:K33)</f>
        <v>4719267</v>
      </c>
      <c r="L34" s="1583"/>
    </row>
    <row r="35" spans="1:20" s="1765" customFormat="1" ht="24" customHeight="1">
      <c r="A35" s="1847" t="s">
        <v>2246</v>
      </c>
      <c r="B35" s="1848" t="s">
        <v>2247</v>
      </c>
      <c r="C35" s="1849"/>
      <c r="D35" s="1354"/>
      <c r="E35" s="1802"/>
      <c r="F35" s="1356"/>
      <c r="G35" s="1803"/>
      <c r="H35" s="1369"/>
      <c r="I35" s="1370"/>
      <c r="J35" s="1369"/>
      <c r="K35" s="1356"/>
      <c r="L35" s="1356"/>
    </row>
    <row r="36" spans="1:20" s="1765" customFormat="1" ht="24" customHeight="1">
      <c r="A36" s="2113" t="s">
        <v>1984</v>
      </c>
      <c r="B36" s="2164" t="s">
        <v>2782</v>
      </c>
      <c r="C36" s="2115"/>
      <c r="D36" s="2115"/>
      <c r="E36" s="1802"/>
      <c r="F36" s="1356"/>
      <c r="G36" s="1803"/>
      <c r="H36" s="1369"/>
      <c r="I36" s="1370"/>
      <c r="J36" s="1369"/>
      <c r="K36" s="1356"/>
      <c r="L36" s="1356"/>
    </row>
    <row r="37" spans="1:20" s="2116" customFormat="1" ht="24" customHeight="1">
      <c r="A37" s="2112"/>
      <c r="B37" s="2164" t="s">
        <v>2789</v>
      </c>
      <c r="C37" s="2111"/>
      <c r="D37" s="2165"/>
      <c r="E37" s="825">
        <v>1</v>
      </c>
      <c r="F37" s="1457" t="s">
        <v>363</v>
      </c>
      <c r="G37" s="1769">
        <v>409425</v>
      </c>
      <c r="H37" s="1413">
        <f t="shared" ref="H37:H42" si="2">ROUND(E37*G37,)</f>
        <v>409425</v>
      </c>
      <c r="I37" s="1455">
        <f>G37*0.05</f>
        <v>20471.25</v>
      </c>
      <c r="J37" s="1413">
        <f t="shared" ref="J37:J42" si="3">ROUND(E37*I37,)</f>
        <v>20471</v>
      </c>
      <c r="K37" s="1415">
        <f t="shared" ref="K37:K42" si="4">H37+J37</f>
        <v>429896</v>
      </c>
      <c r="L37" s="1457"/>
      <c r="M37" s="2120"/>
      <c r="N37" s="2120"/>
      <c r="O37" s="2120"/>
      <c r="P37" s="2120"/>
      <c r="Q37" s="2120"/>
      <c r="R37" s="2120"/>
      <c r="S37" s="2120"/>
      <c r="T37" s="2120"/>
    </row>
    <row r="38" spans="1:20" s="2116" customFormat="1" ht="24" customHeight="1">
      <c r="A38" s="2112"/>
      <c r="B38" s="2164" t="s">
        <v>2790</v>
      </c>
      <c r="C38" s="2111"/>
      <c r="D38" s="2165"/>
      <c r="E38" s="825">
        <v>1</v>
      </c>
      <c r="F38" s="1457" t="s">
        <v>363</v>
      </c>
      <c r="G38" s="1769">
        <v>409425</v>
      </c>
      <c r="H38" s="1413">
        <f t="shared" si="2"/>
        <v>409425</v>
      </c>
      <c r="I38" s="1455">
        <f t="shared" ref="I38:I39" si="5">G38*0.05</f>
        <v>20471.25</v>
      </c>
      <c r="J38" s="1413">
        <f t="shared" si="3"/>
        <v>20471</v>
      </c>
      <c r="K38" s="1415">
        <f t="shared" si="4"/>
        <v>429896</v>
      </c>
      <c r="L38" s="1457"/>
      <c r="M38" s="2120"/>
      <c r="N38" s="2120"/>
      <c r="O38" s="2120"/>
      <c r="P38" s="2120"/>
      <c r="Q38" s="2120"/>
      <c r="R38" s="2120"/>
      <c r="S38" s="2120"/>
      <c r="T38" s="2120"/>
    </row>
    <row r="39" spans="1:20" s="2116" customFormat="1" ht="24" customHeight="1">
      <c r="A39" s="2112"/>
      <c r="B39" s="2164" t="s">
        <v>2791</v>
      </c>
      <c r="C39" s="2111"/>
      <c r="D39" s="2165"/>
      <c r="E39" s="825">
        <v>1</v>
      </c>
      <c r="F39" s="1457" t="s">
        <v>363</v>
      </c>
      <c r="G39" s="1769">
        <v>409425</v>
      </c>
      <c r="H39" s="1413">
        <f t="shared" si="2"/>
        <v>409425</v>
      </c>
      <c r="I39" s="1455">
        <f t="shared" si="5"/>
        <v>20471.25</v>
      </c>
      <c r="J39" s="1413">
        <f t="shared" si="3"/>
        <v>20471</v>
      </c>
      <c r="K39" s="1415">
        <f t="shared" si="4"/>
        <v>429896</v>
      </c>
      <c r="L39" s="1457"/>
      <c r="M39" s="2120"/>
      <c r="N39" s="2120"/>
      <c r="O39" s="2120"/>
      <c r="P39" s="2120"/>
      <c r="Q39" s="2120"/>
      <c r="R39" s="2120"/>
      <c r="S39" s="2120"/>
      <c r="T39" s="2120"/>
    </row>
    <row r="40" spans="1:20" s="2116" customFormat="1" ht="24" customHeight="1">
      <c r="A40" s="2112"/>
      <c r="B40" s="2164" t="s">
        <v>2812</v>
      </c>
      <c r="C40" s="2111"/>
      <c r="D40" s="2165"/>
      <c r="E40" s="825">
        <v>1</v>
      </c>
      <c r="F40" s="1457" t="s">
        <v>363</v>
      </c>
      <c r="G40" s="1769">
        <v>409425</v>
      </c>
      <c r="H40" s="1413">
        <f t="shared" si="2"/>
        <v>409425</v>
      </c>
      <c r="I40" s="1455">
        <f>G40*0.05</f>
        <v>20471.25</v>
      </c>
      <c r="J40" s="1413">
        <f t="shared" si="3"/>
        <v>20471</v>
      </c>
      <c r="K40" s="1415">
        <f t="shared" si="4"/>
        <v>429896</v>
      </c>
      <c r="L40" s="1457"/>
      <c r="M40" s="2120"/>
      <c r="N40" s="2120"/>
      <c r="O40" s="2120"/>
      <c r="P40" s="2120"/>
      <c r="Q40" s="2120"/>
      <c r="R40" s="2120"/>
      <c r="S40" s="2120"/>
      <c r="T40" s="2120"/>
    </row>
    <row r="41" spans="1:20" s="2116" customFormat="1" ht="24" customHeight="1">
      <c r="A41" s="2112"/>
      <c r="B41" s="2164" t="s">
        <v>2813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2"/>
        <v>409425</v>
      </c>
      <c r="I41" s="1455">
        <f t="shared" ref="I41:I42" si="6">G41*0.05</f>
        <v>20471.25</v>
      </c>
      <c r="J41" s="1413">
        <f t="shared" si="3"/>
        <v>20471</v>
      </c>
      <c r="K41" s="1415">
        <f t="shared" si="4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2116" customFormat="1" ht="24" customHeight="1">
      <c r="A42" s="2112"/>
      <c r="B42" s="2164" t="s">
        <v>2814</v>
      </c>
      <c r="C42" s="2111"/>
      <c r="D42" s="2165"/>
      <c r="E42" s="825">
        <v>1</v>
      </c>
      <c r="F42" s="1457" t="s">
        <v>363</v>
      </c>
      <c r="G42" s="1769">
        <v>409425</v>
      </c>
      <c r="H42" s="1413">
        <f t="shared" si="2"/>
        <v>409425</v>
      </c>
      <c r="I42" s="1455">
        <f t="shared" si="6"/>
        <v>20471.25</v>
      </c>
      <c r="J42" s="1413">
        <f t="shared" si="3"/>
        <v>20471</v>
      </c>
      <c r="K42" s="1415">
        <f t="shared" si="4"/>
        <v>429896</v>
      </c>
      <c r="L42" s="1457"/>
      <c r="M42" s="2120"/>
      <c r="N42" s="2120"/>
      <c r="O42" s="2120"/>
      <c r="P42" s="2120"/>
      <c r="Q42" s="2120"/>
      <c r="R42" s="2120"/>
      <c r="S42" s="2120"/>
      <c r="T42" s="2120"/>
    </row>
    <row r="43" spans="1:20" s="1765" customFormat="1" ht="24" customHeight="1">
      <c r="A43" s="2112"/>
      <c r="B43" s="2114"/>
      <c r="C43" s="2106"/>
      <c r="D43" s="2106"/>
      <c r="E43" s="1802"/>
      <c r="F43" s="1356"/>
      <c r="G43" s="1803"/>
      <c r="H43" s="1369"/>
      <c r="I43" s="1370"/>
      <c r="J43" s="1369"/>
      <c r="K43" s="1356"/>
      <c r="L43" s="1356"/>
    </row>
    <row r="44" spans="1:20" s="1765" customFormat="1" ht="24" customHeight="1">
      <c r="A44" s="2112"/>
      <c r="B44" s="2107" t="s">
        <v>2253</v>
      </c>
      <c r="C44" s="2106"/>
      <c r="D44" s="2165"/>
      <c r="E44" s="825">
        <f>SUM(E37:E42)</f>
        <v>6</v>
      </c>
      <c r="F44" s="1457" t="s">
        <v>363</v>
      </c>
      <c r="G44" s="1769">
        <v>2000</v>
      </c>
      <c r="H44" s="1343">
        <f t="shared" ref="H44:H46" si="7">ROUND(E44*G44,)</f>
        <v>12000</v>
      </c>
      <c r="I44" s="1856" t="s">
        <v>1683</v>
      </c>
      <c r="J44" s="1343"/>
      <c r="K44" s="1801">
        <f t="shared" ref="K44:K46" si="8">H44+J44</f>
        <v>12000</v>
      </c>
      <c r="L44" s="715"/>
    </row>
    <row r="45" spans="1:20" s="1765" customFormat="1" ht="24" customHeight="1">
      <c r="A45" s="2113" t="s">
        <v>1986</v>
      </c>
      <c r="B45" s="2114" t="s">
        <v>2041</v>
      </c>
      <c r="C45" s="2115"/>
      <c r="D45" s="2150"/>
      <c r="E45" s="825">
        <f>E44</f>
        <v>6</v>
      </c>
      <c r="F45" s="1457" t="s">
        <v>363</v>
      </c>
      <c r="G45" s="1769">
        <v>2400</v>
      </c>
      <c r="H45" s="1343">
        <f t="shared" si="7"/>
        <v>14400</v>
      </c>
      <c r="I45" s="1455">
        <v>720</v>
      </c>
      <c r="J45" s="1343">
        <f t="shared" ref="J45:J46" si="9">ROUND(E45*I45,)</f>
        <v>4320</v>
      </c>
      <c r="K45" s="1801">
        <f t="shared" si="8"/>
        <v>18720</v>
      </c>
      <c r="L45" s="1356"/>
    </row>
    <row r="46" spans="1:20" s="1765" customFormat="1" ht="24" customHeight="1">
      <c r="A46" s="2112" t="s">
        <v>1988</v>
      </c>
      <c r="B46" s="2164" t="s">
        <v>2331</v>
      </c>
      <c r="C46" s="2111"/>
      <c r="D46" s="2165"/>
      <c r="E46" s="825">
        <f>E44</f>
        <v>6</v>
      </c>
      <c r="F46" s="1457" t="s">
        <v>363</v>
      </c>
      <c r="G46" s="1769">
        <v>4000</v>
      </c>
      <c r="H46" s="1413">
        <f t="shared" si="7"/>
        <v>24000</v>
      </c>
      <c r="I46" s="1455">
        <f t="shared" ref="I46" si="10">G46*0.1</f>
        <v>400</v>
      </c>
      <c r="J46" s="1413">
        <f t="shared" si="9"/>
        <v>2400</v>
      </c>
      <c r="K46" s="1415">
        <f t="shared" si="8"/>
        <v>26400</v>
      </c>
      <c r="L46" s="1457"/>
      <c r="M46" s="1710"/>
      <c r="N46" s="1710"/>
      <c r="O46" s="1710"/>
      <c r="P46" s="1710"/>
      <c r="Q46" s="1710"/>
      <c r="R46" s="1710"/>
      <c r="S46" s="1710"/>
      <c r="T46" s="1710"/>
    </row>
    <row r="47" spans="1:20" s="1765" customFormat="1" ht="24" customHeight="1">
      <c r="A47" s="2113"/>
      <c r="B47" s="2114" t="s">
        <v>1117</v>
      </c>
      <c r="C47" s="2115"/>
      <c r="D47" s="2150"/>
      <c r="E47" s="1801"/>
      <c r="F47" s="1356"/>
      <c r="G47" s="1515"/>
      <c r="H47" s="820"/>
      <c r="I47" s="1370"/>
      <c r="J47" s="820"/>
      <c r="K47" s="1457"/>
      <c r="L47" s="1356"/>
    </row>
    <row r="48" spans="1:20" s="1765" customFormat="1" ht="24" customHeight="1">
      <c r="A48" s="2113"/>
      <c r="B48" s="2114"/>
      <c r="C48" s="2115"/>
      <c r="D48" s="2150"/>
      <c r="E48" s="1801"/>
      <c r="F48" s="1356"/>
      <c r="G48" s="1344"/>
      <c r="H48" s="820"/>
      <c r="I48" s="1370"/>
      <c r="J48" s="820"/>
      <c r="K48" s="1457"/>
      <c r="L48" s="1356"/>
    </row>
    <row r="49" spans="1:20" s="1765" customFormat="1" ht="24" customHeight="1">
      <c r="A49" s="1857"/>
      <c r="B49" s="2257" t="str">
        <f>"รวมราคารายการที่ "&amp;A35</f>
        <v>รวมราคารายการที่ 7.1</v>
      </c>
      <c r="C49" s="2258"/>
      <c r="D49" s="2259"/>
      <c r="E49" s="1858"/>
      <c r="F49" s="1858"/>
      <c r="G49" s="1859"/>
      <c r="H49" s="1860">
        <f>SUM(H36:H48)</f>
        <v>2506950</v>
      </c>
      <c r="I49" s="1861"/>
      <c r="J49" s="1860">
        <f>SUM(J36:J48)</f>
        <v>129546</v>
      </c>
      <c r="K49" s="1862">
        <f>SUM(K36:K48)</f>
        <v>2636496</v>
      </c>
      <c r="L49" s="1862"/>
    </row>
    <row r="50" spans="1:20" s="1765" customFormat="1" ht="24" customHeight="1">
      <c r="A50" s="1757">
        <v>7.2</v>
      </c>
      <c r="B50" s="1758" t="s">
        <v>1983</v>
      </c>
      <c r="C50" s="1294"/>
      <c r="D50" s="1777"/>
      <c r="E50" s="1686"/>
      <c r="F50" s="1402"/>
      <c r="G50" s="1661"/>
      <c r="H50" s="1588"/>
      <c r="I50" s="1589"/>
      <c r="J50" s="1588"/>
      <c r="K50" s="1770"/>
      <c r="L50" s="1770"/>
    </row>
    <row r="51" spans="1:20" s="1765" customFormat="1" ht="24" customHeight="1">
      <c r="A51" s="1258" t="s">
        <v>1992</v>
      </c>
      <c r="B51" s="1538" t="s">
        <v>2138</v>
      </c>
      <c r="C51" s="1275"/>
      <c r="D51" s="1767"/>
      <c r="E51" s="1771"/>
      <c r="F51" s="1385"/>
      <c r="G51" s="1778"/>
      <c r="H51" s="1594"/>
      <c r="I51" s="1595"/>
      <c r="J51" s="1594"/>
      <c r="K51" s="1632"/>
      <c r="L51" s="1632"/>
    </row>
    <row r="52" spans="1:20" s="1765" customFormat="1" ht="24" customHeight="1">
      <c r="A52" s="1766" t="s">
        <v>2139</v>
      </c>
      <c r="B52" s="1538" t="s">
        <v>2140</v>
      </c>
      <c r="C52" s="1275"/>
      <c r="D52" s="1767"/>
      <c r="E52" s="1686"/>
      <c r="F52" s="1402"/>
      <c r="G52" s="1661"/>
      <c r="H52" s="1588"/>
      <c r="I52" s="1589"/>
      <c r="J52" s="1588"/>
      <c r="K52" s="1770"/>
      <c r="L52" s="1770"/>
    </row>
    <row r="53" spans="1:20" s="1765" customFormat="1" ht="24" customHeight="1">
      <c r="A53" s="1766"/>
      <c r="B53" s="1538" t="s">
        <v>1821</v>
      </c>
      <c r="C53" s="1275"/>
      <c r="D53" s="1767"/>
      <c r="E53" s="1813"/>
      <c r="F53" s="1389" t="s">
        <v>363</v>
      </c>
      <c r="G53" s="1814">
        <v>3300</v>
      </c>
      <c r="H53" s="1773">
        <f t="shared" ref="H53:H56" si="11">ROUND(E53*G53,)</f>
        <v>0</v>
      </c>
      <c r="I53" s="1815">
        <v>150</v>
      </c>
      <c r="J53" s="1773">
        <f t="shared" ref="J53:J56" si="12">ROUND(E53*I53,)</f>
        <v>0</v>
      </c>
      <c r="K53" s="1774">
        <f t="shared" ref="K53:K56" si="13">H53+J53</f>
        <v>0</v>
      </c>
      <c r="L53" s="1770"/>
    </row>
    <row r="54" spans="1:20" s="1765" customFormat="1" ht="24" customHeight="1">
      <c r="A54" s="2166"/>
      <c r="B54" s="2114" t="s">
        <v>1836</v>
      </c>
      <c r="C54" s="2108"/>
      <c r="D54" s="2109"/>
      <c r="E54" s="715"/>
      <c r="F54" s="1415" t="s">
        <v>363</v>
      </c>
      <c r="G54" s="1772">
        <v>4596</v>
      </c>
      <c r="H54" s="1343">
        <f t="shared" si="11"/>
        <v>0</v>
      </c>
      <c r="I54" s="1386">
        <v>200</v>
      </c>
      <c r="J54" s="1343">
        <f t="shared" si="12"/>
        <v>0</v>
      </c>
      <c r="K54" s="1801">
        <f t="shared" si="13"/>
        <v>0</v>
      </c>
      <c r="L54" s="1457"/>
      <c r="M54" s="2167"/>
    </row>
    <row r="55" spans="1:20" s="2116" customFormat="1" ht="24" customHeight="1">
      <c r="A55" s="2113"/>
      <c r="B55" s="2114" t="s">
        <v>1715</v>
      </c>
      <c r="C55" s="2108"/>
      <c r="D55" s="2109"/>
      <c r="E55" s="1834">
        <v>6</v>
      </c>
      <c r="F55" s="1466" t="s">
        <v>363</v>
      </c>
      <c r="G55" s="2161">
        <v>55000</v>
      </c>
      <c r="H55" s="2156">
        <f t="shared" si="11"/>
        <v>330000</v>
      </c>
      <c r="I55" s="2162">
        <v>500</v>
      </c>
      <c r="J55" s="2156">
        <f t="shared" si="12"/>
        <v>3000</v>
      </c>
      <c r="K55" s="1853">
        <f t="shared" si="13"/>
        <v>333000</v>
      </c>
      <c r="L55" s="1415"/>
      <c r="M55" s="2023"/>
      <c r="N55" s="2120"/>
      <c r="O55" s="2120"/>
      <c r="P55" s="2120"/>
      <c r="Q55" s="2120"/>
      <c r="R55" s="2120"/>
      <c r="S55" s="2120"/>
      <c r="T55" s="2120"/>
    </row>
    <row r="56" spans="1:20" s="2116" customFormat="1" ht="24" customHeight="1">
      <c r="A56" s="2113" t="s">
        <v>2036</v>
      </c>
      <c r="B56" s="2114" t="s">
        <v>2727</v>
      </c>
      <c r="C56" s="2108"/>
      <c r="D56" s="2109"/>
      <c r="E56" s="715"/>
      <c r="F56" s="1466" t="s">
        <v>363</v>
      </c>
      <c r="G56" s="2161">
        <v>16150</v>
      </c>
      <c r="H56" s="2156">
        <f t="shared" si="11"/>
        <v>0</v>
      </c>
      <c r="I56" s="2162">
        <v>500</v>
      </c>
      <c r="J56" s="2156">
        <f t="shared" si="12"/>
        <v>0</v>
      </c>
      <c r="K56" s="1853">
        <f t="shared" si="13"/>
        <v>0</v>
      </c>
      <c r="L56" s="1415"/>
      <c r="M56" s="2023"/>
      <c r="N56" s="2120"/>
      <c r="O56" s="2120"/>
      <c r="P56" s="2120"/>
      <c r="Q56" s="2120"/>
      <c r="R56" s="2120"/>
      <c r="S56" s="2120"/>
      <c r="T56" s="2120"/>
    </row>
    <row r="57" spans="1:20" s="1765" customFormat="1" ht="24" customHeight="1">
      <c r="A57" s="2166"/>
      <c r="B57" s="2114" t="s">
        <v>1117</v>
      </c>
      <c r="C57" s="2108"/>
      <c r="D57" s="2109"/>
      <c r="E57" s="825"/>
      <c r="F57" s="1457"/>
      <c r="G57" s="1769"/>
      <c r="H57" s="820"/>
      <c r="I57" s="1455"/>
      <c r="J57" s="820"/>
      <c r="K57" s="1457"/>
      <c r="L57" s="1457"/>
      <c r="M57" s="2167"/>
    </row>
    <row r="58" spans="1:20" s="1765" customFormat="1" ht="24" customHeight="1">
      <c r="A58" s="2166"/>
      <c r="B58" s="2114" t="s">
        <v>1118</v>
      </c>
      <c r="C58" s="2108"/>
      <c r="D58" s="2109"/>
      <c r="E58" s="825"/>
      <c r="F58" s="1457"/>
      <c r="G58" s="1769"/>
      <c r="H58" s="820"/>
      <c r="I58" s="1455"/>
      <c r="J58" s="820"/>
      <c r="K58" s="1457"/>
      <c r="L58" s="1457"/>
      <c r="M58" s="2167"/>
    </row>
    <row r="59" spans="1:20" s="1199" customFormat="1" ht="24" customHeight="1">
      <c r="A59" s="1578"/>
      <c r="B59" s="2257" t="str">
        <f>"รวมราคารายการที่ "&amp;A50</f>
        <v>รวมราคารายการที่ 7.2</v>
      </c>
      <c r="C59" s="2258"/>
      <c r="D59" s="2259"/>
      <c r="E59" s="1579"/>
      <c r="F59" s="1579"/>
      <c r="G59" s="1580"/>
      <c r="H59" s="1581">
        <f>SUM(H50:H58)</f>
        <v>330000</v>
      </c>
      <c r="I59" s="1582"/>
      <c r="J59" s="1581">
        <f>SUM(J50:J58)</f>
        <v>3000</v>
      </c>
      <c r="K59" s="1581">
        <f>SUM(K50:K58)</f>
        <v>333000</v>
      </c>
      <c r="L59" s="1583"/>
    </row>
    <row r="60" spans="1:20" s="1765" customFormat="1" ht="24" customHeight="1">
      <c r="A60" s="1291" t="s">
        <v>2306</v>
      </c>
      <c r="B60" s="1852" t="s">
        <v>2255</v>
      </c>
      <c r="C60" s="1293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766" t="s">
        <v>2043</v>
      </c>
      <c r="B61" s="1538" t="s">
        <v>2256</v>
      </c>
      <c r="C61" s="1275"/>
      <c r="D61" s="1767"/>
      <c r="E61" s="1686"/>
      <c r="F61" s="1402"/>
      <c r="G61" s="1661"/>
      <c r="H61" s="1588"/>
      <c r="I61" s="1589"/>
      <c r="J61" s="1588"/>
      <c r="K61" s="1770"/>
      <c r="L61" s="1770"/>
    </row>
    <row r="62" spans="1:20" s="1765" customFormat="1" ht="24" customHeight="1">
      <c r="A62" s="1766"/>
      <c r="B62" s="1538" t="s">
        <v>2257</v>
      </c>
      <c r="C62" s="1275"/>
      <c r="D62" s="1767"/>
      <c r="E62" s="1686"/>
      <c r="F62" s="1402" t="s">
        <v>363</v>
      </c>
      <c r="G62" s="1661">
        <v>650</v>
      </c>
      <c r="H62" s="1588">
        <f t="shared" ref="H62:H65" si="14">ROUND(E62*G62,)</f>
        <v>0</v>
      </c>
      <c r="I62" s="1589">
        <v>150</v>
      </c>
      <c r="J62" s="1588">
        <f t="shared" ref="J62:J65" si="15">ROUND(E62*I62,)</f>
        <v>0</v>
      </c>
      <c r="K62" s="1770">
        <f t="shared" ref="K62:K65" si="16">H62+J62</f>
        <v>0</v>
      </c>
      <c r="L62" s="1770"/>
    </row>
    <row r="63" spans="1:20" s="1765" customFormat="1" ht="24" customHeight="1">
      <c r="A63" s="1766" t="s">
        <v>2047</v>
      </c>
      <c r="B63" s="1538" t="s">
        <v>2258</v>
      </c>
      <c r="C63" s="1275"/>
      <c r="D63" s="1767"/>
      <c r="E63" s="1686">
        <v>6</v>
      </c>
      <c r="F63" s="1402" t="s">
        <v>363</v>
      </c>
      <c r="G63" s="1661">
        <v>2400</v>
      </c>
      <c r="H63" s="1588">
        <f t="shared" si="14"/>
        <v>14400</v>
      </c>
      <c r="I63" s="1589">
        <v>150</v>
      </c>
      <c r="J63" s="1588">
        <f t="shared" si="15"/>
        <v>900</v>
      </c>
      <c r="K63" s="1770">
        <f t="shared" si="16"/>
        <v>15300</v>
      </c>
      <c r="L63" s="1770"/>
    </row>
    <row r="64" spans="1:20" s="1765" customFormat="1" ht="24" customHeight="1">
      <c r="A64" s="1766" t="s">
        <v>2155</v>
      </c>
      <c r="B64" s="1538" t="s">
        <v>2259</v>
      </c>
      <c r="C64" s="1275"/>
      <c r="D64" s="1767"/>
      <c r="E64" s="1686">
        <v>6</v>
      </c>
      <c r="F64" s="1402" t="s">
        <v>363</v>
      </c>
      <c r="G64" s="1661">
        <v>2200</v>
      </c>
      <c r="H64" s="1588">
        <f t="shared" si="14"/>
        <v>13200</v>
      </c>
      <c r="I64" s="1589">
        <v>150</v>
      </c>
      <c r="J64" s="1588">
        <f t="shared" si="15"/>
        <v>900</v>
      </c>
      <c r="K64" s="1770">
        <f t="shared" si="16"/>
        <v>14100</v>
      </c>
      <c r="L64" s="1770"/>
    </row>
    <row r="65" spans="1:12" s="1765" customFormat="1" ht="24" customHeight="1">
      <c r="A65" s="1766" t="s">
        <v>2165</v>
      </c>
      <c r="B65" s="1538" t="s">
        <v>2261</v>
      </c>
      <c r="C65" s="1275"/>
      <c r="D65" s="1767"/>
      <c r="E65" s="1686"/>
      <c r="F65" s="1402" t="s">
        <v>1104</v>
      </c>
      <c r="G65" s="1661">
        <f>15*2500</f>
        <v>37500</v>
      </c>
      <c r="H65" s="1588">
        <f t="shared" si="14"/>
        <v>0</v>
      </c>
      <c r="I65" s="1589">
        <f>G65*0.3</f>
        <v>11250</v>
      </c>
      <c r="J65" s="1588">
        <f t="shared" si="15"/>
        <v>0</v>
      </c>
      <c r="K65" s="1770">
        <f t="shared" si="16"/>
        <v>0</v>
      </c>
      <c r="L65" s="1770"/>
    </row>
    <row r="66" spans="1:12" s="1765" customFormat="1" ht="24" customHeight="1">
      <c r="A66" s="1766"/>
      <c r="B66" s="1538" t="s">
        <v>1117</v>
      </c>
      <c r="C66" s="1275"/>
      <c r="D66" s="1767"/>
      <c r="E66" s="1686"/>
      <c r="F66" s="1402"/>
      <c r="G66" s="1661"/>
      <c r="H66" s="1588"/>
      <c r="I66" s="1589"/>
      <c r="J66" s="1588"/>
      <c r="K66" s="1770"/>
      <c r="L66" s="1770"/>
    </row>
    <row r="67" spans="1:12" s="1765" customFormat="1" ht="24" customHeight="1">
      <c r="A67" s="1584"/>
      <c r="B67" s="1538" t="s">
        <v>1896</v>
      </c>
      <c r="C67" s="1275"/>
      <c r="D67" s="1767"/>
      <c r="E67" s="1686"/>
      <c r="F67" s="1402"/>
      <c r="G67" s="1661"/>
      <c r="H67" s="1588"/>
      <c r="I67" s="1589"/>
      <c r="J67" s="1588"/>
      <c r="K67" s="1770"/>
      <c r="L67" s="1770"/>
    </row>
    <row r="68" spans="1:12" s="1765" customFormat="1" ht="24" customHeight="1">
      <c r="A68" s="1584"/>
      <c r="B68" s="1538" t="s">
        <v>1896</v>
      </c>
      <c r="C68" s="1275"/>
      <c r="D68" s="1767"/>
      <c r="E68" s="1686"/>
      <c r="F68" s="1402"/>
      <c r="G68" s="1661"/>
      <c r="H68" s="1588"/>
      <c r="I68" s="1589"/>
      <c r="J68" s="1588"/>
      <c r="K68" s="1770"/>
      <c r="L68" s="1770"/>
    </row>
    <row r="69" spans="1:12" s="1765" customFormat="1" ht="24" customHeight="1">
      <c r="A69" s="1766"/>
      <c r="B69" s="1538"/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12" s="1765" customFormat="1" ht="24" customHeight="1">
      <c r="A70" s="1578"/>
      <c r="B70" s="2257" t="str">
        <f>"รวมราคารายการที่ "&amp;A60</f>
        <v>รวมราคารายการที่ 7.3</v>
      </c>
      <c r="C70" s="2258"/>
      <c r="D70" s="2259"/>
      <c r="E70" s="1579"/>
      <c r="F70" s="1579"/>
      <c r="G70" s="1580"/>
      <c r="H70" s="1581">
        <f>SUM(H61:H69)</f>
        <v>27600</v>
      </c>
      <c r="I70" s="1582"/>
      <c r="J70" s="1581">
        <f>SUM(J61:J69)</f>
        <v>1800</v>
      </c>
      <c r="K70" s="1581">
        <f>SUM(K61:K69)</f>
        <v>29400</v>
      </c>
      <c r="L70" s="1583"/>
    </row>
    <row r="71" spans="1:12" s="1765" customFormat="1" ht="24" customHeight="1">
      <c r="A71" s="1291">
        <v>7.4</v>
      </c>
      <c r="B71" s="1783" t="s">
        <v>2042</v>
      </c>
      <c r="C71" s="1294"/>
      <c r="D71" s="1777"/>
      <c r="E71" s="1686"/>
      <c r="F71" s="1402"/>
      <c r="G71" s="1661"/>
      <c r="H71" s="1588"/>
      <c r="I71" s="1589"/>
      <c r="J71" s="1588"/>
      <c r="K71" s="1770"/>
      <c r="L71" s="1770"/>
    </row>
    <row r="72" spans="1:12" s="1765" customFormat="1" ht="24" customHeight="1">
      <c r="A72" s="1258" t="s">
        <v>2054</v>
      </c>
      <c r="B72" s="1538" t="s">
        <v>2044</v>
      </c>
      <c r="C72" s="1275"/>
      <c r="D72" s="1767"/>
      <c r="E72" s="1771"/>
      <c r="F72" s="1385"/>
      <c r="G72" s="1778"/>
      <c r="H72" s="1594"/>
      <c r="I72" s="1595"/>
      <c r="J72" s="1594"/>
      <c r="K72" s="1632"/>
      <c r="L72" s="1632"/>
    </row>
    <row r="73" spans="1:12" s="1765" customFormat="1" ht="24" customHeight="1">
      <c r="A73" s="1189" t="s">
        <v>2166</v>
      </c>
      <c r="B73" s="1538" t="s">
        <v>2167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12" s="1765" customFormat="1" ht="24" customHeight="1">
      <c r="A74" s="1258"/>
      <c r="B74" s="1538" t="s">
        <v>2168</v>
      </c>
      <c r="C74" s="1275"/>
      <c r="D74" s="1767"/>
      <c r="E74" s="1834"/>
      <c r="F74" s="1788" t="s">
        <v>226</v>
      </c>
      <c r="G74" s="2020">
        <v>69.5</v>
      </c>
      <c r="H74" s="1773">
        <f>ROUND(E74*G74,)</f>
        <v>0</v>
      </c>
      <c r="I74" s="2011">
        <v>30</v>
      </c>
      <c r="J74" s="2008">
        <f>ROUND(E74*I74,)</f>
        <v>0</v>
      </c>
      <c r="K74" s="1774">
        <f t="shared" ref="K74:K84" si="17">H74+J74</f>
        <v>0</v>
      </c>
      <c r="L74" s="1632"/>
    </row>
    <row r="75" spans="1:12" s="1765" customFormat="1" ht="24" customHeight="1">
      <c r="A75" s="1258"/>
      <c r="B75" s="1538" t="s">
        <v>1901</v>
      </c>
      <c r="C75" s="1275"/>
      <c r="D75" s="1767"/>
      <c r="E75" s="1771"/>
      <c r="F75" s="1358" t="s">
        <v>226</v>
      </c>
      <c r="G75" s="1558">
        <v>103.5</v>
      </c>
      <c r="H75" s="1773">
        <f t="shared" ref="H75:H84" si="18">ROUND(E75*G75,)</f>
        <v>0</v>
      </c>
      <c r="I75" s="1332">
        <v>45</v>
      </c>
      <c r="J75" s="2008">
        <f t="shared" ref="J75:J84" si="19">ROUND(E75*I75,)</f>
        <v>0</v>
      </c>
      <c r="K75" s="1774">
        <f t="shared" si="17"/>
        <v>0</v>
      </c>
      <c r="L75" s="1632"/>
    </row>
    <row r="76" spans="1:12" s="1765" customFormat="1" ht="24" customHeight="1">
      <c r="A76" s="1258"/>
      <c r="B76" s="1538" t="s">
        <v>1338</v>
      </c>
      <c r="C76" s="1275"/>
      <c r="D76" s="2109"/>
      <c r="E76" s="715"/>
      <c r="F76" s="1262" t="s">
        <v>226</v>
      </c>
      <c r="G76" s="2004">
        <v>140</v>
      </c>
      <c r="H76" s="1773">
        <f t="shared" si="18"/>
        <v>0</v>
      </c>
      <c r="I76" s="1332">
        <v>60</v>
      </c>
      <c r="J76" s="2008">
        <f t="shared" si="19"/>
        <v>0</v>
      </c>
      <c r="K76" s="1774">
        <f t="shared" si="17"/>
        <v>0</v>
      </c>
      <c r="L76" s="1632"/>
    </row>
    <row r="77" spans="1:12" s="1765" customFormat="1" ht="24" customHeight="1">
      <c r="A77" s="1258"/>
      <c r="B77" s="1538" t="s">
        <v>1339</v>
      </c>
      <c r="C77" s="1275"/>
      <c r="D77" s="2109"/>
      <c r="E77" s="715"/>
      <c r="F77" s="1262" t="s">
        <v>226</v>
      </c>
      <c r="G77" s="819">
        <v>167</v>
      </c>
      <c r="H77" s="1773">
        <f t="shared" si="18"/>
        <v>0</v>
      </c>
      <c r="I77" s="2007">
        <v>70</v>
      </c>
      <c r="J77" s="2008">
        <f t="shared" si="19"/>
        <v>0</v>
      </c>
      <c r="K77" s="1774">
        <f t="shared" si="17"/>
        <v>0</v>
      </c>
      <c r="L77" s="1632"/>
    </row>
    <row r="78" spans="1:12" s="1765" customFormat="1" ht="24" customHeight="1">
      <c r="A78" s="1258"/>
      <c r="B78" s="1538" t="s">
        <v>1340</v>
      </c>
      <c r="C78" s="1275"/>
      <c r="D78" s="2109"/>
      <c r="E78" s="715"/>
      <c r="F78" s="1262" t="s">
        <v>226</v>
      </c>
      <c r="G78" s="819">
        <v>225</v>
      </c>
      <c r="H78" s="1773">
        <f t="shared" si="18"/>
        <v>0</v>
      </c>
      <c r="I78" s="2007">
        <v>95</v>
      </c>
      <c r="J78" s="2008">
        <f t="shared" si="19"/>
        <v>0</v>
      </c>
      <c r="K78" s="1774">
        <f t="shared" si="17"/>
        <v>0</v>
      </c>
      <c r="L78" s="1632"/>
    </row>
    <row r="79" spans="1:12" s="1765" customFormat="1" ht="24" customHeight="1">
      <c r="A79" s="1804"/>
      <c r="B79" s="1780" t="s">
        <v>1341</v>
      </c>
      <c r="C79" s="1260"/>
      <c r="D79" s="2109"/>
      <c r="E79" s="825">
        <f>(78*2)</f>
        <v>156</v>
      </c>
      <c r="F79" s="1262" t="s">
        <v>226</v>
      </c>
      <c r="G79" s="2021">
        <v>357</v>
      </c>
      <c r="H79" s="1773">
        <f t="shared" si="18"/>
        <v>55692</v>
      </c>
      <c r="I79" s="819">
        <v>150</v>
      </c>
      <c r="J79" s="2008">
        <f t="shared" si="19"/>
        <v>23400</v>
      </c>
      <c r="K79" s="1774">
        <f t="shared" si="17"/>
        <v>79092</v>
      </c>
      <c r="L79" s="1415"/>
    </row>
    <row r="80" spans="1:12" s="1765" customFormat="1" ht="24" customHeight="1">
      <c r="A80" s="1804"/>
      <c r="B80" s="1780" t="s">
        <v>1342</v>
      </c>
      <c r="C80" s="1260"/>
      <c r="D80" s="2109"/>
      <c r="E80" s="825">
        <f>(78*2*1.1)</f>
        <v>171.60000000000002</v>
      </c>
      <c r="F80" s="1262" t="s">
        <v>226</v>
      </c>
      <c r="G80" s="2021">
        <v>467</v>
      </c>
      <c r="H80" s="1773">
        <f t="shared" si="18"/>
        <v>80137</v>
      </c>
      <c r="I80" s="819">
        <v>200</v>
      </c>
      <c r="J80" s="2008">
        <f t="shared" si="19"/>
        <v>34320</v>
      </c>
      <c r="K80" s="1774">
        <f t="shared" si="17"/>
        <v>114457</v>
      </c>
      <c r="L80" s="1415"/>
    </row>
    <row r="81" spans="1:15" s="1765" customFormat="1" ht="24" customHeight="1">
      <c r="A81" s="1804"/>
      <c r="B81" s="1780" t="s">
        <v>1111</v>
      </c>
      <c r="C81" s="1260"/>
      <c r="D81" s="2109"/>
      <c r="E81" s="825">
        <f>51.5*2*1.1</f>
        <v>113.30000000000001</v>
      </c>
      <c r="F81" s="1262" t="s">
        <v>226</v>
      </c>
      <c r="G81" s="2021">
        <v>665</v>
      </c>
      <c r="H81" s="1773">
        <f t="shared" si="18"/>
        <v>75345</v>
      </c>
      <c r="I81" s="819">
        <v>280</v>
      </c>
      <c r="J81" s="2008">
        <f t="shared" si="19"/>
        <v>31724</v>
      </c>
      <c r="K81" s="1774">
        <f t="shared" si="17"/>
        <v>107069</v>
      </c>
      <c r="L81" s="1415"/>
    </row>
    <row r="82" spans="1:15" s="1765" customFormat="1" ht="24" customHeight="1">
      <c r="A82" s="1258"/>
      <c r="B82" s="1538" t="s">
        <v>1719</v>
      </c>
      <c r="C82" s="1275"/>
      <c r="D82" s="2109"/>
      <c r="E82" s="715">
        <v>1</v>
      </c>
      <c r="F82" s="1415" t="s">
        <v>1104</v>
      </c>
      <c r="G82" s="1772">
        <f>ROUND(SUM(H74:H81)*50%,)</f>
        <v>105587</v>
      </c>
      <c r="H82" s="1264">
        <f t="shared" si="18"/>
        <v>105587</v>
      </c>
      <c r="I82" s="1595">
        <f>ROUND(G82*0.3,)</f>
        <v>31676</v>
      </c>
      <c r="J82" s="1264">
        <f t="shared" si="19"/>
        <v>31676</v>
      </c>
      <c r="K82" s="1273">
        <f t="shared" si="17"/>
        <v>137263</v>
      </c>
      <c r="L82" s="1632"/>
    </row>
    <row r="83" spans="1:15" s="1765" customFormat="1" ht="24" customHeight="1">
      <c r="A83" s="1258"/>
      <c r="B83" s="1538" t="s">
        <v>1720</v>
      </c>
      <c r="C83" s="1275"/>
      <c r="D83" s="2109"/>
      <c r="E83" s="715">
        <v>1</v>
      </c>
      <c r="F83" s="1415" t="s">
        <v>1104</v>
      </c>
      <c r="G83" s="1772">
        <f>ROUND(SUM(H73:H81)*20%,)</f>
        <v>42235</v>
      </c>
      <c r="H83" s="1264">
        <f t="shared" si="18"/>
        <v>42235</v>
      </c>
      <c r="I83" s="1595">
        <f>ROUND(G83*0.3,)</f>
        <v>12671</v>
      </c>
      <c r="J83" s="1264">
        <f t="shared" si="19"/>
        <v>12671</v>
      </c>
      <c r="K83" s="1273">
        <f t="shared" si="17"/>
        <v>54906</v>
      </c>
      <c r="L83" s="1632"/>
    </row>
    <row r="84" spans="1:15" s="1765" customFormat="1" ht="24" customHeight="1">
      <c r="A84" s="1258"/>
      <c r="B84" s="1538" t="s">
        <v>1721</v>
      </c>
      <c r="C84" s="1275"/>
      <c r="D84" s="2109"/>
      <c r="E84" s="715">
        <v>1</v>
      </c>
      <c r="F84" s="1415" t="s">
        <v>1104</v>
      </c>
      <c r="G84" s="1772">
        <f>ROUND(SUM(H73:H81)*10%,)</f>
        <v>21117</v>
      </c>
      <c r="H84" s="1264">
        <f t="shared" si="18"/>
        <v>21117</v>
      </c>
      <c r="I84" s="1595">
        <f>ROUND(G84*0.3,)</f>
        <v>6335</v>
      </c>
      <c r="J84" s="1264">
        <f t="shared" si="19"/>
        <v>6335</v>
      </c>
      <c r="K84" s="1273">
        <f t="shared" si="17"/>
        <v>27452</v>
      </c>
      <c r="L84" s="1632"/>
    </row>
    <row r="85" spans="1:15" s="1765" customFormat="1" ht="24" customHeight="1">
      <c r="A85" s="1258" t="s">
        <v>2056</v>
      </c>
      <c r="B85" s="1538" t="s">
        <v>2050</v>
      </c>
      <c r="C85" s="1275"/>
      <c r="D85" s="1767"/>
      <c r="E85" s="1771"/>
      <c r="F85" s="1385"/>
      <c r="G85" s="1778"/>
      <c r="H85" s="1594"/>
      <c r="I85" s="1595"/>
      <c r="J85" s="1594"/>
      <c r="K85" s="1632"/>
      <c r="L85" s="1632"/>
    </row>
    <row r="86" spans="1:15" s="1765" customFormat="1" ht="24" customHeight="1">
      <c r="A86" s="1258"/>
      <c r="B86" s="1538" t="s">
        <v>2168</v>
      </c>
      <c r="C86" s="1275"/>
      <c r="D86" s="1767"/>
      <c r="E86" s="1834"/>
      <c r="F86" s="1788" t="s">
        <v>226</v>
      </c>
      <c r="G86" s="819">
        <v>12</v>
      </c>
      <c r="H86" s="1343">
        <f t="shared" ref="H86:H93" si="20">ROUND(E86*G86,)</f>
        <v>0</v>
      </c>
      <c r="I86" s="819">
        <v>30</v>
      </c>
      <c r="J86" s="2005">
        <f t="shared" ref="J86:J93" si="21">ROUND(E86*I86,)</f>
        <v>0</v>
      </c>
      <c r="K86" s="1801">
        <f t="shared" ref="K86:K93" si="22">H86+J86</f>
        <v>0</v>
      </c>
      <c r="L86" s="2082" t="s">
        <v>2667</v>
      </c>
      <c r="M86" s="2002"/>
      <c r="N86" s="2009">
        <v>48.23</v>
      </c>
      <c r="O86" s="1199">
        <f>ROUND(N86/4,)</f>
        <v>12</v>
      </c>
    </row>
    <row r="87" spans="1:15" s="1765" customFormat="1" ht="24" customHeight="1">
      <c r="A87" s="1258"/>
      <c r="B87" s="1538" t="s">
        <v>1901</v>
      </c>
      <c r="C87" s="1275"/>
      <c r="D87" s="1767"/>
      <c r="E87" s="1771"/>
      <c r="F87" s="1358" t="s">
        <v>226</v>
      </c>
      <c r="G87" s="1541">
        <v>16</v>
      </c>
      <c r="H87" s="1369">
        <f t="shared" si="20"/>
        <v>0</v>
      </c>
      <c r="I87" s="2007">
        <v>30</v>
      </c>
      <c r="J87" s="2008">
        <f t="shared" si="21"/>
        <v>0</v>
      </c>
      <c r="K87" s="1774">
        <f t="shared" si="22"/>
        <v>0</v>
      </c>
      <c r="L87" s="2082" t="s">
        <v>2667</v>
      </c>
      <c r="M87" s="2002"/>
      <c r="N87" s="1765">
        <v>63.7</v>
      </c>
      <c r="O87" s="1199">
        <f>ROUND(N87/4,)</f>
        <v>16</v>
      </c>
    </row>
    <row r="88" spans="1:15" s="1765" customFormat="1" ht="24" customHeight="1">
      <c r="A88" s="1258"/>
      <c r="B88" s="1538" t="s">
        <v>2263</v>
      </c>
      <c r="C88" s="1275"/>
      <c r="D88" s="1767"/>
      <c r="E88" s="1771"/>
      <c r="F88" s="1358" t="s">
        <v>226</v>
      </c>
      <c r="G88" s="1541">
        <v>20</v>
      </c>
      <c r="H88" s="1369">
        <f t="shared" si="20"/>
        <v>0</v>
      </c>
      <c r="I88" s="2007">
        <v>30</v>
      </c>
      <c r="J88" s="2008">
        <f t="shared" si="21"/>
        <v>0</v>
      </c>
      <c r="K88" s="1774">
        <f t="shared" si="22"/>
        <v>0</v>
      </c>
      <c r="L88" s="2082" t="s">
        <v>2667</v>
      </c>
      <c r="M88" s="2002"/>
      <c r="N88" s="2024">
        <v>79.17</v>
      </c>
      <c r="O88" s="1199">
        <f>ROUND(N88/4,)</f>
        <v>20</v>
      </c>
    </row>
    <row r="89" spans="1:15" s="1765" customFormat="1" ht="24" customHeight="1">
      <c r="A89" s="1258"/>
      <c r="B89" s="1538" t="s">
        <v>1339</v>
      </c>
      <c r="C89" s="1275"/>
      <c r="D89" s="1767"/>
      <c r="E89" s="1771">
        <f>2*6</f>
        <v>12</v>
      </c>
      <c r="F89" s="1358" t="s">
        <v>226</v>
      </c>
      <c r="G89" s="1541">
        <v>26</v>
      </c>
      <c r="H89" s="1369">
        <f t="shared" si="20"/>
        <v>312</v>
      </c>
      <c r="I89" s="2007">
        <v>30</v>
      </c>
      <c r="J89" s="2008">
        <f t="shared" si="21"/>
        <v>360</v>
      </c>
      <c r="K89" s="1774">
        <f t="shared" si="22"/>
        <v>672</v>
      </c>
      <c r="L89" s="2082" t="s">
        <v>2667</v>
      </c>
      <c r="M89" s="2002"/>
      <c r="N89" s="2024">
        <v>103.74</v>
      </c>
      <c r="O89" s="1199">
        <f>ROUND(N89/4,)</f>
        <v>26</v>
      </c>
    </row>
    <row r="90" spans="1:15" s="1765" customFormat="1" ht="24" customHeight="1">
      <c r="A90" s="1258"/>
      <c r="B90" s="1538" t="s">
        <v>1340</v>
      </c>
      <c r="C90" s="1275"/>
      <c r="D90" s="1767"/>
      <c r="E90" s="1771"/>
      <c r="F90" s="1358" t="s">
        <v>226</v>
      </c>
      <c r="G90" s="1541">
        <v>41</v>
      </c>
      <c r="H90" s="1369">
        <f t="shared" si="20"/>
        <v>0</v>
      </c>
      <c r="I90" s="2007">
        <v>40</v>
      </c>
      <c r="J90" s="2008">
        <f t="shared" si="21"/>
        <v>0</v>
      </c>
      <c r="K90" s="1774">
        <f t="shared" si="22"/>
        <v>0</v>
      </c>
      <c r="L90" s="2082" t="s">
        <v>2667</v>
      </c>
      <c r="M90" s="2002"/>
      <c r="N90" s="2024">
        <v>163.80000000000001</v>
      </c>
      <c r="O90" s="1199">
        <f>ROUND(N90/4,)</f>
        <v>41</v>
      </c>
    </row>
    <row r="91" spans="1:15" s="1765" customFormat="1" ht="24" customHeight="1">
      <c r="A91" s="1258"/>
      <c r="B91" s="1538" t="s">
        <v>1719</v>
      </c>
      <c r="C91" s="1275"/>
      <c r="D91" s="1767"/>
      <c r="E91" s="1771">
        <v>1</v>
      </c>
      <c r="F91" s="1385" t="s">
        <v>1104</v>
      </c>
      <c r="G91" s="1778">
        <f>SUM(H86:H90)*50%</f>
        <v>156</v>
      </c>
      <c r="H91" s="1264">
        <f t="shared" si="20"/>
        <v>156</v>
      </c>
      <c r="I91" s="1595">
        <f>ROUND(G91*0.3,)</f>
        <v>47</v>
      </c>
      <c r="J91" s="1264">
        <f t="shared" si="21"/>
        <v>47</v>
      </c>
      <c r="K91" s="1273">
        <f t="shared" si="22"/>
        <v>203</v>
      </c>
      <c r="L91" s="1632"/>
    </row>
    <row r="92" spans="1:15" s="1765" customFormat="1" ht="24" customHeight="1">
      <c r="A92" s="1258"/>
      <c r="B92" s="1538" t="s">
        <v>1720</v>
      </c>
      <c r="C92" s="1275"/>
      <c r="D92" s="1767"/>
      <c r="E92" s="1771">
        <v>1</v>
      </c>
      <c r="F92" s="1385" t="s">
        <v>1104</v>
      </c>
      <c r="G92" s="1778">
        <f>ROUND(SUM(H86:H90)*30%,)</f>
        <v>94</v>
      </c>
      <c r="H92" s="1264">
        <f t="shared" si="20"/>
        <v>94</v>
      </c>
      <c r="I92" s="1595">
        <f>ROUND(G92*0.3,)</f>
        <v>28</v>
      </c>
      <c r="J92" s="1264">
        <f t="shared" si="21"/>
        <v>28</v>
      </c>
      <c r="K92" s="1273">
        <f t="shared" si="22"/>
        <v>122</v>
      </c>
      <c r="L92" s="1632"/>
    </row>
    <row r="93" spans="1:15" s="1765" customFormat="1" ht="24" customHeight="1">
      <c r="A93" s="1258"/>
      <c r="B93" s="1538" t="s">
        <v>1721</v>
      </c>
      <c r="C93" s="1275"/>
      <c r="D93" s="1767"/>
      <c r="E93" s="1771">
        <v>1</v>
      </c>
      <c r="F93" s="1385" t="s">
        <v>1104</v>
      </c>
      <c r="G93" s="1778">
        <f>ROUND(SUM(H86:H90)*10%,)</f>
        <v>31</v>
      </c>
      <c r="H93" s="1264">
        <f t="shared" si="20"/>
        <v>31</v>
      </c>
      <c r="I93" s="1595">
        <f>ROUND(G93*0.3,)</f>
        <v>9</v>
      </c>
      <c r="J93" s="1264">
        <f t="shared" si="21"/>
        <v>9</v>
      </c>
      <c r="K93" s="1273">
        <f t="shared" si="22"/>
        <v>40</v>
      </c>
      <c r="L93" s="1632"/>
    </row>
    <row r="94" spans="1:15" s="1765" customFormat="1" ht="24" customHeight="1">
      <c r="A94" s="1258"/>
      <c r="B94" s="1538" t="s">
        <v>1117</v>
      </c>
      <c r="C94" s="1275"/>
      <c r="D94" s="1767"/>
      <c r="E94" s="1771"/>
      <c r="F94" s="1385"/>
      <c r="G94" s="1778"/>
      <c r="H94" s="1594"/>
      <c r="I94" s="1595"/>
      <c r="J94" s="1594"/>
      <c r="K94" s="1632"/>
      <c r="L94" s="1632"/>
    </row>
    <row r="95" spans="1:15" s="1765" customFormat="1" ht="24" customHeight="1">
      <c r="A95" s="1258"/>
      <c r="B95" s="1538"/>
      <c r="C95" s="1275"/>
      <c r="D95" s="1767"/>
      <c r="E95" s="1771"/>
      <c r="F95" s="1385"/>
      <c r="G95" s="1778"/>
      <c r="H95" s="1594"/>
      <c r="I95" s="1595"/>
      <c r="J95" s="1594"/>
      <c r="K95" s="1632"/>
      <c r="L95" s="1632"/>
    </row>
    <row r="96" spans="1:15" s="1765" customFormat="1" ht="24" customHeight="1">
      <c r="A96" s="1578"/>
      <c r="B96" s="2257" t="str">
        <f>"รวมราคารายการที่ "&amp;A71</f>
        <v>รวมราคารายการที่ 7.4</v>
      </c>
      <c r="C96" s="2258"/>
      <c r="D96" s="2259"/>
      <c r="E96" s="1579"/>
      <c r="F96" s="1579"/>
      <c r="G96" s="1580"/>
      <c r="H96" s="1581">
        <f>SUM(H72:H95)</f>
        <v>380706</v>
      </c>
      <c r="I96" s="1582"/>
      <c r="J96" s="1581">
        <f>SUM(J72:J95)</f>
        <v>140570</v>
      </c>
      <c r="K96" s="1581">
        <f>SUM(K72:K95)</f>
        <v>521276</v>
      </c>
      <c r="L96" s="1583"/>
    </row>
    <row r="97" spans="1:12" s="1765" customFormat="1" ht="24" customHeight="1">
      <c r="A97" s="1863" t="s">
        <v>2307</v>
      </c>
      <c r="B97" s="1758" t="s">
        <v>2053</v>
      </c>
      <c r="C97" s="1250"/>
      <c r="D97" s="1251"/>
      <c r="E97" s="1794"/>
      <c r="F97" s="1253"/>
      <c r="G97" s="1721"/>
      <c r="H97" s="1255"/>
      <c r="I97" s="1256"/>
      <c r="J97" s="1255"/>
      <c r="K97" s="1502"/>
      <c r="L97" s="1502"/>
    </row>
    <row r="98" spans="1:12" s="1765" customFormat="1" ht="24" customHeight="1">
      <c r="A98" s="1258" t="s">
        <v>2062</v>
      </c>
      <c r="B98" s="1538" t="s">
        <v>2055</v>
      </c>
      <c r="C98" s="1437"/>
      <c r="D98" s="1275"/>
      <c r="E98" s="1768"/>
      <c r="F98" s="1358"/>
      <c r="G98" s="1516"/>
      <c r="H98" s="1264"/>
      <c r="I98" s="1265"/>
      <c r="J98" s="1264"/>
      <c r="K98" s="1273"/>
      <c r="L98" s="1273"/>
    </row>
    <row r="99" spans="1:12" s="1765" customFormat="1" ht="24" customHeight="1">
      <c r="A99" s="1258"/>
      <c r="B99" s="1538" t="s">
        <v>2168</v>
      </c>
      <c r="C99" s="1437"/>
      <c r="D99" s="1275"/>
      <c r="E99" s="1813">
        <f>E86</f>
        <v>0</v>
      </c>
      <c r="F99" s="1788" t="s">
        <v>226</v>
      </c>
      <c r="G99" s="1790">
        <v>59</v>
      </c>
      <c r="H99" s="1773">
        <f t="shared" ref="H99:H102" si="23">ROUND(E99*G99,)</f>
        <v>0</v>
      </c>
      <c r="I99" s="1789">
        <f>ROUND(20*0.75*1.3,)</f>
        <v>20</v>
      </c>
      <c r="J99" s="1773">
        <f t="shared" ref="J99:J102" si="24">ROUND(E99*I99,)</f>
        <v>0</v>
      </c>
      <c r="K99" s="1269">
        <f t="shared" ref="K99:K102" si="25">H99+J99</f>
        <v>0</v>
      </c>
      <c r="L99" s="1273"/>
    </row>
    <row r="100" spans="1:12" s="1765" customFormat="1" ht="24" customHeight="1">
      <c r="A100" s="1258"/>
      <c r="B100" s="1538" t="s">
        <v>1901</v>
      </c>
      <c r="C100" s="1437"/>
      <c r="D100" s="1275"/>
      <c r="E100" s="1813">
        <f>E87</f>
        <v>0</v>
      </c>
      <c r="F100" s="1358" t="s">
        <v>226</v>
      </c>
      <c r="G100" s="1516">
        <v>69</v>
      </c>
      <c r="H100" s="1264">
        <f t="shared" si="23"/>
        <v>0</v>
      </c>
      <c r="I100" s="1265">
        <f>ROUND(20*1*1.3,)</f>
        <v>26</v>
      </c>
      <c r="J100" s="1264">
        <f t="shared" si="24"/>
        <v>0</v>
      </c>
      <c r="K100" s="1273">
        <f t="shared" si="25"/>
        <v>0</v>
      </c>
      <c r="L100" s="1273"/>
    </row>
    <row r="101" spans="1:12" s="1765" customFormat="1" ht="24" customHeight="1">
      <c r="A101" s="1258"/>
      <c r="B101" s="1538" t="s">
        <v>1338</v>
      </c>
      <c r="C101" s="1437"/>
      <c r="D101" s="1275"/>
      <c r="E101" s="1813">
        <f>E88</f>
        <v>0</v>
      </c>
      <c r="F101" s="1358" t="s">
        <v>226</v>
      </c>
      <c r="G101" s="1516">
        <v>92</v>
      </c>
      <c r="H101" s="1264">
        <f t="shared" si="23"/>
        <v>0</v>
      </c>
      <c r="I101" s="1265">
        <f>ROUND(20*1.25*1.3,)</f>
        <v>33</v>
      </c>
      <c r="J101" s="1264">
        <f t="shared" si="24"/>
        <v>0</v>
      </c>
      <c r="K101" s="1273">
        <f t="shared" si="25"/>
        <v>0</v>
      </c>
      <c r="L101" s="1273"/>
    </row>
    <row r="102" spans="1:12" s="1765" customFormat="1" ht="24" customHeight="1">
      <c r="A102" s="1258"/>
      <c r="B102" s="1538" t="s">
        <v>1339</v>
      </c>
      <c r="C102" s="1437"/>
      <c r="D102" s="1275"/>
      <c r="E102" s="1813">
        <f>E89</f>
        <v>12</v>
      </c>
      <c r="F102" s="1358" t="s">
        <v>226</v>
      </c>
      <c r="G102" s="1516">
        <v>93</v>
      </c>
      <c r="H102" s="1264">
        <f t="shared" si="23"/>
        <v>1116</v>
      </c>
      <c r="I102" s="1265">
        <v>39</v>
      </c>
      <c r="J102" s="1264">
        <f t="shared" si="24"/>
        <v>468</v>
      </c>
      <c r="K102" s="1273">
        <f t="shared" si="25"/>
        <v>1584</v>
      </c>
      <c r="L102" s="1273"/>
    </row>
    <row r="103" spans="1:12" s="1765" customFormat="1" ht="24" customHeight="1">
      <c r="A103" s="1258" t="s">
        <v>2062</v>
      </c>
      <c r="B103" s="1538" t="s">
        <v>2169</v>
      </c>
      <c r="C103" s="1437"/>
      <c r="D103" s="1275"/>
      <c r="E103" s="1768"/>
      <c r="F103" s="1358"/>
      <c r="G103" s="1516"/>
      <c r="H103" s="1264"/>
      <c r="I103" s="1265"/>
      <c r="J103" s="1264"/>
      <c r="K103" s="1273"/>
      <c r="L103" s="1273"/>
    </row>
    <row r="104" spans="1:12" s="1765" customFormat="1" ht="24" customHeight="1">
      <c r="A104" s="1258"/>
      <c r="B104" s="1538" t="s">
        <v>2168</v>
      </c>
      <c r="C104" s="1437"/>
      <c r="D104" s="1275"/>
      <c r="E104" s="1813">
        <f>E74</f>
        <v>0</v>
      </c>
      <c r="F104" s="1788" t="s">
        <v>226</v>
      </c>
      <c r="G104" s="1790">
        <v>69</v>
      </c>
      <c r="H104" s="1773">
        <f t="shared" ref="H104:H107" si="26">ROUND(E104*G104,)</f>
        <v>0</v>
      </c>
      <c r="I104" s="1789">
        <f>ROUND(20*0.75*1.3,)</f>
        <v>20</v>
      </c>
      <c r="J104" s="1773">
        <f t="shared" ref="J104:J107" si="27">ROUND(E104*I104,)</f>
        <v>0</v>
      </c>
      <c r="K104" s="1269">
        <f t="shared" ref="K104:K107" si="28">H104+J104</f>
        <v>0</v>
      </c>
      <c r="L104" s="1269"/>
    </row>
    <row r="105" spans="1:12" s="1765" customFormat="1" ht="24" customHeight="1">
      <c r="A105" s="1258"/>
      <c r="B105" s="1538" t="s">
        <v>1901</v>
      </c>
      <c r="C105" s="1437"/>
      <c r="D105" s="1275"/>
      <c r="E105" s="1771">
        <f>E75</f>
        <v>0</v>
      </c>
      <c r="F105" s="1358" t="s">
        <v>226</v>
      </c>
      <c r="G105" s="1516">
        <v>85</v>
      </c>
      <c r="H105" s="1264">
        <f t="shared" si="26"/>
        <v>0</v>
      </c>
      <c r="I105" s="1265">
        <f>ROUND(20*1*1.3,)</f>
        <v>26</v>
      </c>
      <c r="J105" s="1264">
        <f t="shared" si="27"/>
        <v>0</v>
      </c>
      <c r="K105" s="1273">
        <f t="shared" si="28"/>
        <v>0</v>
      </c>
      <c r="L105" s="1273"/>
    </row>
    <row r="106" spans="1:12" s="1765" customFormat="1" ht="24" customHeight="1">
      <c r="A106" s="1258"/>
      <c r="B106" s="1538" t="s">
        <v>1338</v>
      </c>
      <c r="C106" s="1437"/>
      <c r="D106" s="1275"/>
      <c r="E106" s="1813">
        <f>E76</f>
        <v>0</v>
      </c>
      <c r="F106" s="1788" t="s">
        <v>226</v>
      </c>
      <c r="G106" s="1515">
        <v>96</v>
      </c>
      <c r="H106" s="1369">
        <f t="shared" si="26"/>
        <v>0</v>
      </c>
      <c r="I106" s="1370">
        <v>33</v>
      </c>
      <c r="J106" s="1369">
        <f t="shared" si="27"/>
        <v>0</v>
      </c>
      <c r="K106" s="1356">
        <f t="shared" si="28"/>
        <v>0</v>
      </c>
      <c r="L106" s="1269"/>
    </row>
    <row r="107" spans="1:12" s="1765" customFormat="1" ht="24" customHeight="1">
      <c r="A107" s="1258"/>
      <c r="B107" s="1538" t="s">
        <v>1339</v>
      </c>
      <c r="C107" s="1437"/>
      <c r="D107" s="1275"/>
      <c r="E107" s="1771">
        <f>E77</f>
        <v>0</v>
      </c>
      <c r="F107" s="1358" t="s">
        <v>226</v>
      </c>
      <c r="G107" s="1515">
        <v>108</v>
      </c>
      <c r="H107" s="1369">
        <f t="shared" si="26"/>
        <v>0</v>
      </c>
      <c r="I107" s="1370">
        <v>39</v>
      </c>
      <c r="J107" s="1369">
        <f t="shared" si="27"/>
        <v>0</v>
      </c>
      <c r="K107" s="1356">
        <f t="shared" si="28"/>
        <v>0</v>
      </c>
      <c r="L107" s="1273"/>
    </row>
    <row r="108" spans="1:12" s="1765" customFormat="1" ht="24" customHeight="1">
      <c r="A108" s="1258"/>
      <c r="B108" s="1538"/>
      <c r="C108" s="1437"/>
      <c r="D108" s="1275"/>
      <c r="E108" s="1771"/>
      <c r="F108" s="1358"/>
      <c r="G108" s="1515"/>
      <c r="H108" s="1369"/>
      <c r="I108" s="1370"/>
      <c r="J108" s="1369"/>
      <c r="K108" s="1356"/>
      <c r="L108" s="1273"/>
    </row>
    <row r="109" spans="1:12" s="1765" customFormat="1" ht="24" customHeight="1">
      <c r="A109" s="1258"/>
      <c r="B109" s="1538"/>
      <c r="C109" s="1437"/>
      <c r="D109" s="1275"/>
      <c r="E109" s="1771"/>
      <c r="F109" s="1358"/>
      <c r="G109" s="1515"/>
      <c r="H109" s="1369"/>
      <c r="I109" s="1370"/>
      <c r="J109" s="1369"/>
      <c r="K109" s="1356"/>
      <c r="L109" s="1273"/>
    </row>
    <row r="110" spans="1:12" s="1765" customFormat="1" ht="24" customHeight="1">
      <c r="A110" s="1804" t="s">
        <v>2064</v>
      </c>
      <c r="B110" s="1780" t="s">
        <v>2265</v>
      </c>
      <c r="C110" s="1800"/>
      <c r="D110" s="1260"/>
      <c r="E110" s="1801"/>
      <c r="F110" s="1262"/>
      <c r="G110" s="1515"/>
      <c r="H110" s="1343"/>
      <c r="I110" s="1344"/>
      <c r="J110" s="1343"/>
      <c r="K110" s="1262"/>
      <c r="L110" s="1262"/>
    </row>
    <row r="111" spans="1:12" s="1765" customFormat="1" ht="24" customHeight="1">
      <c r="A111" s="1804"/>
      <c r="B111" s="1780" t="s">
        <v>1338</v>
      </c>
      <c r="C111" s="1800"/>
      <c r="D111" s="1260"/>
      <c r="E111" s="715"/>
      <c r="F111" s="1262" t="s">
        <v>226</v>
      </c>
      <c r="G111" s="1515">
        <v>108</v>
      </c>
      <c r="H111" s="1343">
        <f t="shared" ref="H111:H116" si="29">ROUND(E111*G111,)</f>
        <v>0</v>
      </c>
      <c r="I111" s="1344">
        <v>33</v>
      </c>
      <c r="J111" s="1343">
        <f t="shared" ref="J111:J116" si="30">ROUND(E111*I111,)</f>
        <v>0</v>
      </c>
      <c r="K111" s="1262">
        <f t="shared" ref="K111:K116" si="31">H111+J111</f>
        <v>0</v>
      </c>
      <c r="L111" s="1262"/>
    </row>
    <row r="112" spans="1:12" s="1765" customFormat="1" ht="24" customHeight="1">
      <c r="A112" s="1804"/>
      <c r="B112" s="1780" t="s">
        <v>1339</v>
      </c>
      <c r="C112" s="1260"/>
      <c r="D112" s="1781"/>
      <c r="E112" s="715"/>
      <c r="F112" s="1262" t="s">
        <v>226</v>
      </c>
      <c r="G112" s="1515">
        <v>164</v>
      </c>
      <c r="H112" s="1343">
        <f t="shared" si="29"/>
        <v>0</v>
      </c>
      <c r="I112" s="1344">
        <v>39</v>
      </c>
      <c r="J112" s="1343">
        <f t="shared" si="30"/>
        <v>0</v>
      </c>
      <c r="K112" s="1262">
        <f t="shared" si="31"/>
        <v>0</v>
      </c>
      <c r="L112" s="1415"/>
    </row>
    <row r="113" spans="1:12" s="1765" customFormat="1" ht="24" customHeight="1">
      <c r="A113" s="1784"/>
      <c r="B113" s="1780" t="s">
        <v>1340</v>
      </c>
      <c r="C113" s="1260"/>
      <c r="D113" s="1781"/>
      <c r="E113" s="825">
        <f>E78</f>
        <v>0</v>
      </c>
      <c r="F113" s="1356" t="s">
        <v>226</v>
      </c>
      <c r="G113" s="1515">
        <v>200</v>
      </c>
      <c r="H113" s="1369">
        <f t="shared" si="29"/>
        <v>0</v>
      </c>
      <c r="I113" s="1370">
        <v>52</v>
      </c>
      <c r="J113" s="1369">
        <f t="shared" si="30"/>
        <v>0</v>
      </c>
      <c r="K113" s="1356">
        <f t="shared" si="31"/>
        <v>0</v>
      </c>
      <c r="L113" s="1457"/>
    </row>
    <row r="114" spans="1:12" s="1765" customFormat="1" ht="24" customHeight="1">
      <c r="A114" s="1784"/>
      <c r="B114" s="1780" t="s">
        <v>1341</v>
      </c>
      <c r="C114" s="1260"/>
      <c r="D114" s="1781"/>
      <c r="E114" s="825">
        <f>E79</f>
        <v>156</v>
      </c>
      <c r="F114" s="1356" t="s">
        <v>226</v>
      </c>
      <c r="G114" s="1515">
        <v>256</v>
      </c>
      <c r="H114" s="1369">
        <f t="shared" si="29"/>
        <v>39936</v>
      </c>
      <c r="I114" s="1370">
        <v>65</v>
      </c>
      <c r="J114" s="1369">
        <f t="shared" si="30"/>
        <v>10140</v>
      </c>
      <c r="K114" s="1356">
        <f t="shared" si="31"/>
        <v>50076</v>
      </c>
      <c r="L114" s="1457"/>
    </row>
    <row r="115" spans="1:12" s="1765" customFormat="1" ht="24" customHeight="1">
      <c r="A115" s="1784"/>
      <c r="B115" s="1780" t="s">
        <v>1342</v>
      </c>
      <c r="C115" s="1260"/>
      <c r="D115" s="1781"/>
      <c r="E115" s="825">
        <f>E80</f>
        <v>171.60000000000002</v>
      </c>
      <c r="F115" s="1356" t="s">
        <v>226</v>
      </c>
      <c r="G115" s="1515">
        <v>302</v>
      </c>
      <c r="H115" s="1369">
        <f t="shared" si="29"/>
        <v>51823</v>
      </c>
      <c r="I115" s="1370">
        <v>78</v>
      </c>
      <c r="J115" s="1369">
        <f t="shared" si="30"/>
        <v>13385</v>
      </c>
      <c r="K115" s="1356">
        <f t="shared" si="31"/>
        <v>65208</v>
      </c>
      <c r="L115" s="1457"/>
    </row>
    <row r="116" spans="1:12" s="1765" customFormat="1" ht="24" customHeight="1">
      <c r="A116" s="1784"/>
      <c r="B116" s="1780" t="s">
        <v>1111</v>
      </c>
      <c r="C116" s="1260"/>
      <c r="D116" s="1781"/>
      <c r="E116" s="825">
        <f>E81</f>
        <v>113.30000000000001</v>
      </c>
      <c r="F116" s="1356" t="s">
        <v>226</v>
      </c>
      <c r="G116" s="1515">
        <v>367</v>
      </c>
      <c r="H116" s="1369">
        <f t="shared" si="29"/>
        <v>41581</v>
      </c>
      <c r="I116" s="1370">
        <v>104</v>
      </c>
      <c r="J116" s="1369">
        <f t="shared" si="30"/>
        <v>11783</v>
      </c>
      <c r="K116" s="1356">
        <f t="shared" si="31"/>
        <v>53364</v>
      </c>
      <c r="L116" s="1457"/>
    </row>
    <row r="117" spans="1:12" s="1765" customFormat="1" ht="24" customHeight="1">
      <c r="A117" s="1258"/>
      <c r="B117" s="1538" t="s">
        <v>1117</v>
      </c>
      <c r="C117" s="1437"/>
      <c r="D117" s="1275"/>
      <c r="E117" s="1768"/>
      <c r="F117" s="1358"/>
      <c r="G117" s="1516"/>
      <c r="H117" s="1264"/>
      <c r="I117" s="1265"/>
      <c r="J117" s="1264"/>
      <c r="K117" s="1273"/>
      <c r="L117" s="1273"/>
    </row>
    <row r="118" spans="1:12" s="1765" customFormat="1" ht="24" customHeight="1">
      <c r="A118" s="1258"/>
      <c r="B118" s="1538" t="s">
        <v>1118</v>
      </c>
      <c r="C118" s="1437"/>
      <c r="D118" s="1275"/>
      <c r="E118" s="1768"/>
      <c r="F118" s="1358"/>
      <c r="G118" s="1516"/>
      <c r="H118" s="1264"/>
      <c r="I118" s="1265"/>
      <c r="J118" s="1264"/>
      <c r="K118" s="1273"/>
      <c r="L118" s="1273"/>
    </row>
    <row r="119" spans="1:12" s="1765" customFormat="1" ht="24" customHeight="1">
      <c r="A119" s="1277"/>
      <c r="B119" s="1797"/>
      <c r="C119" s="1798"/>
      <c r="D119" s="1278"/>
      <c r="E119" s="1795"/>
      <c r="F119" s="1350"/>
      <c r="G119" s="1351"/>
      <c r="H119" s="1281"/>
      <c r="I119" s="1282"/>
      <c r="J119" s="1281"/>
      <c r="K119" s="1405"/>
      <c r="L119" s="1405"/>
    </row>
    <row r="120" spans="1:12" s="1765" customFormat="1" ht="24" customHeight="1">
      <c r="A120" s="1277"/>
      <c r="B120" s="1797"/>
      <c r="C120" s="1798"/>
      <c r="D120" s="1278"/>
      <c r="E120" s="1795"/>
      <c r="F120" s="1350"/>
      <c r="G120" s="1351"/>
      <c r="H120" s="1281"/>
      <c r="I120" s="1282"/>
      <c r="J120" s="1281"/>
      <c r="K120" s="1405"/>
      <c r="L120" s="1405"/>
    </row>
    <row r="121" spans="1:12" s="1765" customFormat="1" ht="24" customHeight="1">
      <c r="A121" s="1791"/>
      <c r="B121" s="1792"/>
      <c r="C121" s="1702"/>
      <c r="D121" s="1486"/>
      <c r="E121" s="1793"/>
      <c r="F121" s="1487"/>
      <c r="G121" s="1735"/>
      <c r="H121" s="1425"/>
      <c r="I121" s="1488"/>
      <c r="J121" s="1425"/>
      <c r="K121" s="1426"/>
      <c r="L121" s="1426"/>
    </row>
    <row r="122" spans="1:12" s="1765" customFormat="1" ht="24" customHeight="1">
      <c r="A122" s="1578"/>
      <c r="B122" s="2257" t="str">
        <f>"รวมราคารายการที่ "&amp;A97</f>
        <v>รวมราคารายการที่ 7.5</v>
      </c>
      <c r="C122" s="2258"/>
      <c r="D122" s="2259"/>
      <c r="E122" s="1579"/>
      <c r="F122" s="1579"/>
      <c r="G122" s="1580"/>
      <c r="H122" s="1581">
        <f>SUM(H98:H121)</f>
        <v>134456</v>
      </c>
      <c r="I122" s="1582"/>
      <c r="J122" s="1581">
        <f>SUM(J98:J121)</f>
        <v>35776</v>
      </c>
      <c r="K122" s="1581">
        <f>SUM(K98:K121)</f>
        <v>170232</v>
      </c>
      <c r="L122" s="1583"/>
    </row>
    <row r="123" spans="1:12" s="1765" customFormat="1" ht="24" customHeight="1">
      <c r="A123" s="1291">
        <v>7.6</v>
      </c>
      <c r="B123" s="1776" t="s">
        <v>2061</v>
      </c>
      <c r="C123" s="1293"/>
      <c r="D123" s="1294"/>
      <c r="E123" s="1786"/>
      <c r="F123" s="1296"/>
      <c r="G123" s="1357"/>
      <c r="H123" s="1298"/>
      <c r="I123" s="1299"/>
      <c r="J123" s="1298"/>
      <c r="K123" s="1382"/>
      <c r="L123" s="1382"/>
    </row>
    <row r="124" spans="1:12" s="1765" customFormat="1" ht="24" customHeight="1">
      <c r="A124" s="1258" t="s">
        <v>2075</v>
      </c>
      <c r="B124" s="1538" t="s">
        <v>2063</v>
      </c>
      <c r="C124" s="1437"/>
      <c r="D124" s="1275"/>
      <c r="E124" s="1768"/>
      <c r="F124" s="1358"/>
      <c r="G124" s="1516"/>
      <c r="H124" s="1264"/>
      <c r="I124" s="1265"/>
      <c r="J124" s="1264"/>
      <c r="K124" s="1273"/>
      <c r="L124" s="1273"/>
    </row>
    <row r="125" spans="1:12" s="1765" customFormat="1" ht="24" customHeight="1">
      <c r="A125" s="1258"/>
      <c r="B125" s="1538" t="s">
        <v>1448</v>
      </c>
      <c r="C125" s="1437"/>
      <c r="D125" s="1275"/>
      <c r="E125" s="1787"/>
      <c r="F125" s="1788" t="s">
        <v>363</v>
      </c>
      <c r="G125" s="2010">
        <v>880</v>
      </c>
      <c r="H125" s="1773">
        <f t="shared" ref="H125:H129" si="32">ROUND(E125*G125,)</f>
        <v>0</v>
      </c>
      <c r="I125" s="2011">
        <v>150</v>
      </c>
      <c r="J125" s="2008">
        <f t="shared" ref="J125:J129" si="33">ROUND(E125*I125,)</f>
        <v>0</v>
      </c>
      <c r="K125" s="1774">
        <f t="shared" ref="K125:K129" si="34">H125+J125</f>
        <v>0</v>
      </c>
      <c r="L125" s="2082" t="s">
        <v>2667</v>
      </c>
    </row>
    <row r="126" spans="1:12" s="1765" customFormat="1" ht="24" customHeight="1">
      <c r="A126" s="1258"/>
      <c r="B126" s="1538" t="s">
        <v>1337</v>
      </c>
      <c r="C126" s="1437"/>
      <c r="D126" s="1275"/>
      <c r="E126" s="1768"/>
      <c r="F126" s="1358" t="s">
        <v>363</v>
      </c>
      <c r="G126" s="2012">
        <v>1316</v>
      </c>
      <c r="H126" s="1264">
        <f t="shared" si="32"/>
        <v>0</v>
      </c>
      <c r="I126" s="1332">
        <v>200</v>
      </c>
      <c r="J126" s="2013">
        <f t="shared" si="33"/>
        <v>0</v>
      </c>
      <c r="K126" s="1687">
        <f t="shared" si="34"/>
        <v>0</v>
      </c>
      <c r="L126" s="2082" t="s">
        <v>2667</v>
      </c>
    </row>
    <row r="127" spans="1:12" s="1765" customFormat="1" ht="24" customHeight="1">
      <c r="A127" s="1258"/>
      <c r="B127" s="1538" t="s">
        <v>1338</v>
      </c>
      <c r="C127" s="1437"/>
      <c r="D127" s="1275"/>
      <c r="E127" s="1787">
        <f>E54*2</f>
        <v>0</v>
      </c>
      <c r="F127" s="1358" t="s">
        <v>363</v>
      </c>
      <c r="G127" s="2012">
        <v>1984</v>
      </c>
      <c r="H127" s="1264">
        <f t="shared" si="32"/>
        <v>0</v>
      </c>
      <c r="I127" s="1332">
        <v>250</v>
      </c>
      <c r="J127" s="2013">
        <f t="shared" si="33"/>
        <v>0</v>
      </c>
      <c r="K127" s="1687">
        <f t="shared" si="34"/>
        <v>0</v>
      </c>
      <c r="L127" s="2082" t="s">
        <v>2667</v>
      </c>
    </row>
    <row r="128" spans="1:12" s="1765" customFormat="1" ht="24" customHeight="1">
      <c r="A128" s="1258"/>
      <c r="B128" s="1538" t="s">
        <v>1339</v>
      </c>
      <c r="C128" s="1437"/>
      <c r="D128" s="1275"/>
      <c r="E128" s="1787"/>
      <c r="F128" s="1358" t="s">
        <v>363</v>
      </c>
      <c r="G128" s="2012">
        <v>2610</v>
      </c>
      <c r="H128" s="1264">
        <f t="shared" si="32"/>
        <v>0</v>
      </c>
      <c r="I128" s="1332">
        <v>300</v>
      </c>
      <c r="J128" s="2013">
        <f t="shared" si="33"/>
        <v>0</v>
      </c>
      <c r="K128" s="1687">
        <f t="shared" si="34"/>
        <v>0</v>
      </c>
      <c r="L128" s="2082" t="s">
        <v>2667</v>
      </c>
    </row>
    <row r="129" spans="1:20" s="1765" customFormat="1" ht="24" customHeight="1">
      <c r="A129" s="2113"/>
      <c r="B129" s="2114" t="s">
        <v>1340</v>
      </c>
      <c r="C129" s="2115"/>
      <c r="D129" s="2108"/>
      <c r="E129" s="1801"/>
      <c r="F129" s="1262" t="s">
        <v>363</v>
      </c>
      <c r="G129" s="2003">
        <v>4040</v>
      </c>
      <c r="H129" s="1343">
        <f t="shared" si="32"/>
        <v>0</v>
      </c>
      <c r="I129" s="2004">
        <v>400</v>
      </c>
      <c r="J129" s="2005">
        <f t="shared" si="33"/>
        <v>0</v>
      </c>
      <c r="K129" s="1801">
        <f t="shared" si="34"/>
        <v>0</v>
      </c>
      <c r="L129" s="2152" t="s">
        <v>2667</v>
      </c>
    </row>
    <row r="130" spans="1:20" s="2116" customFormat="1" ht="24" customHeight="1">
      <c r="A130" s="2113" t="s">
        <v>2170</v>
      </c>
      <c r="B130" s="2114" t="s">
        <v>2065</v>
      </c>
      <c r="C130" s="2115"/>
      <c r="D130" s="2108"/>
      <c r="E130" s="1801"/>
      <c r="F130" s="1262"/>
      <c r="G130" s="1515"/>
      <c r="H130" s="1343"/>
      <c r="I130" s="1344"/>
      <c r="J130" s="1343"/>
      <c r="K130" s="1262"/>
      <c r="L130" s="1262"/>
    </row>
    <row r="131" spans="1:20" s="2116" customFormat="1" ht="24" customHeight="1">
      <c r="A131" s="2113"/>
      <c r="B131" s="2107" t="s">
        <v>1341</v>
      </c>
      <c r="C131" s="2115"/>
      <c r="D131" s="2108"/>
      <c r="E131" s="1801"/>
      <c r="F131" s="1262" t="s">
        <v>363</v>
      </c>
      <c r="G131" s="1836">
        <v>1862</v>
      </c>
      <c r="H131" s="1343">
        <f>ROUND(E131*G131,)</f>
        <v>0</v>
      </c>
      <c r="I131" s="1344">
        <v>500</v>
      </c>
      <c r="J131" s="1343">
        <f t="shared" ref="J131:J134" si="35">ROUND(E131*I131,)</f>
        <v>0</v>
      </c>
      <c r="K131" s="1262">
        <f t="shared" ref="K131:K134" si="36">H131+J131</f>
        <v>0</v>
      </c>
      <c r="L131" s="1262"/>
    </row>
    <row r="132" spans="1:20" s="2116" customFormat="1" ht="24" customHeight="1">
      <c r="A132" s="2113"/>
      <c r="B132" s="2107" t="s">
        <v>1342</v>
      </c>
      <c r="C132" s="2115"/>
      <c r="D132" s="2108"/>
      <c r="E132" s="2091">
        <v>12</v>
      </c>
      <c r="F132" s="1262" t="s">
        <v>363</v>
      </c>
      <c r="G132" s="1836">
        <v>2159</v>
      </c>
      <c r="H132" s="1343">
        <f>ROUND(E132*G132,)</f>
        <v>25908</v>
      </c>
      <c r="I132" s="1344">
        <v>600</v>
      </c>
      <c r="J132" s="1343">
        <f t="shared" si="35"/>
        <v>7200</v>
      </c>
      <c r="K132" s="1262">
        <f t="shared" si="36"/>
        <v>33108</v>
      </c>
      <c r="L132" s="1262"/>
    </row>
    <row r="133" spans="1:20" s="2116" customFormat="1" ht="24" customHeight="1">
      <c r="A133" s="2113"/>
      <c r="B133" s="2114" t="s">
        <v>1759</v>
      </c>
      <c r="C133" s="2115"/>
      <c r="D133" s="2108"/>
      <c r="E133" s="1801"/>
      <c r="F133" s="1262" t="s">
        <v>363</v>
      </c>
      <c r="G133" s="1836">
        <v>2811</v>
      </c>
      <c r="H133" s="1343">
        <f>ROUND(E133*G133,)</f>
        <v>0</v>
      </c>
      <c r="I133" s="1344">
        <v>800</v>
      </c>
      <c r="J133" s="1343">
        <f t="shared" si="35"/>
        <v>0</v>
      </c>
      <c r="K133" s="1262">
        <f t="shared" si="36"/>
        <v>0</v>
      </c>
      <c r="L133" s="1415"/>
    </row>
    <row r="134" spans="1:20" s="2116" customFormat="1" ht="24" customHeight="1">
      <c r="A134" s="2113"/>
      <c r="B134" s="2114" t="s">
        <v>1866</v>
      </c>
      <c r="C134" s="2115"/>
      <c r="D134" s="2108"/>
      <c r="E134" s="1801"/>
      <c r="F134" s="1262" t="s">
        <v>363</v>
      </c>
      <c r="G134" s="1836">
        <v>14327</v>
      </c>
      <c r="H134" s="1343">
        <f>ROUND(E134*G134,)</f>
        <v>0</v>
      </c>
      <c r="I134" s="1344">
        <v>2000</v>
      </c>
      <c r="J134" s="1343">
        <f t="shared" si="35"/>
        <v>0</v>
      </c>
      <c r="K134" s="1262">
        <f t="shared" si="36"/>
        <v>0</v>
      </c>
      <c r="L134" s="1262"/>
    </row>
    <row r="135" spans="1:20" s="1765" customFormat="1" ht="24" customHeight="1">
      <c r="A135" s="2113" t="s">
        <v>2226</v>
      </c>
      <c r="B135" s="2114" t="s">
        <v>2067</v>
      </c>
      <c r="C135" s="2115"/>
      <c r="D135" s="2108"/>
      <c r="E135" s="1801"/>
      <c r="F135" s="1262"/>
      <c r="G135" s="1515"/>
      <c r="H135" s="1343"/>
      <c r="I135" s="1344"/>
      <c r="J135" s="1343"/>
      <c r="K135" s="1262"/>
      <c r="L135" s="1262"/>
    </row>
    <row r="136" spans="1:20" s="1765" customFormat="1" ht="24" customHeight="1">
      <c r="A136" s="2113"/>
      <c r="B136" s="2114" t="s">
        <v>1448</v>
      </c>
      <c r="C136" s="2115"/>
      <c r="D136" s="2108"/>
      <c r="E136" s="1853">
        <f>E125/2</f>
        <v>0</v>
      </c>
      <c r="F136" s="2154" t="s">
        <v>363</v>
      </c>
      <c r="G136" s="2159">
        <v>350</v>
      </c>
      <c r="H136" s="2156">
        <f t="shared" ref="H136:H140" si="37">ROUND(E136*G136,)</f>
        <v>0</v>
      </c>
      <c r="I136" s="2160">
        <v>150</v>
      </c>
      <c r="J136" s="2156">
        <f t="shared" ref="J136:J140" si="38">ROUND(E136*I136,)</f>
        <v>0</v>
      </c>
      <c r="K136" s="2154">
        <f t="shared" ref="K136:K140" si="39">H136+J136</f>
        <v>0</v>
      </c>
      <c r="L136" s="1262"/>
    </row>
    <row r="137" spans="1:20" s="1765" customFormat="1" ht="24" customHeight="1">
      <c r="A137" s="2113"/>
      <c r="B137" s="2114" t="s">
        <v>1338</v>
      </c>
      <c r="C137" s="2115"/>
      <c r="D137" s="2108"/>
      <c r="E137" s="1801">
        <f>E127/2</f>
        <v>0</v>
      </c>
      <c r="F137" s="1262" t="s">
        <v>363</v>
      </c>
      <c r="G137" s="1515">
        <v>1084</v>
      </c>
      <c r="H137" s="1343">
        <f t="shared" si="37"/>
        <v>0</v>
      </c>
      <c r="I137" s="1344">
        <v>250</v>
      </c>
      <c r="J137" s="1343">
        <f t="shared" si="38"/>
        <v>0</v>
      </c>
      <c r="K137" s="1262">
        <f t="shared" si="39"/>
        <v>0</v>
      </c>
      <c r="L137" s="1262"/>
    </row>
    <row r="138" spans="1:20" s="1765" customFormat="1" ht="24" customHeight="1">
      <c r="A138" s="2113"/>
      <c r="B138" s="2114" t="s">
        <v>1339</v>
      </c>
      <c r="C138" s="2115"/>
      <c r="D138" s="2108"/>
      <c r="E138" s="1801">
        <f>E128/2</f>
        <v>0</v>
      </c>
      <c r="F138" s="1262" t="s">
        <v>363</v>
      </c>
      <c r="G138" s="1515">
        <v>1710</v>
      </c>
      <c r="H138" s="1343">
        <f t="shared" si="37"/>
        <v>0</v>
      </c>
      <c r="I138" s="1344">
        <v>300</v>
      </c>
      <c r="J138" s="1343">
        <f t="shared" si="38"/>
        <v>0</v>
      </c>
      <c r="K138" s="1262">
        <f t="shared" si="39"/>
        <v>0</v>
      </c>
      <c r="L138" s="1262"/>
    </row>
    <row r="139" spans="1:20" s="1765" customFormat="1" ht="24" customHeight="1">
      <c r="A139" s="2113"/>
      <c r="B139" s="2114" t="s">
        <v>1340</v>
      </c>
      <c r="C139" s="2115"/>
      <c r="D139" s="2108"/>
      <c r="E139" s="1801"/>
      <c r="F139" s="1262" t="s">
        <v>363</v>
      </c>
      <c r="G139" s="1836">
        <v>2839</v>
      </c>
      <c r="H139" s="1343">
        <f t="shared" si="37"/>
        <v>0</v>
      </c>
      <c r="I139" s="1344">
        <v>400</v>
      </c>
      <c r="J139" s="1343">
        <f t="shared" si="38"/>
        <v>0</v>
      </c>
      <c r="K139" s="1262">
        <f t="shared" si="39"/>
        <v>0</v>
      </c>
      <c r="L139" s="1262"/>
    </row>
    <row r="140" spans="1:20" s="2116" customFormat="1" ht="24" customHeight="1">
      <c r="A140" s="2113"/>
      <c r="B140" s="2114" t="s">
        <v>1341</v>
      </c>
      <c r="C140" s="2115"/>
      <c r="D140" s="2108"/>
      <c r="E140" s="1801"/>
      <c r="F140" s="1262" t="s">
        <v>363</v>
      </c>
      <c r="G140" s="1836">
        <v>4375</v>
      </c>
      <c r="H140" s="1343">
        <f t="shared" si="37"/>
        <v>0</v>
      </c>
      <c r="I140" s="1344">
        <v>500</v>
      </c>
      <c r="J140" s="1343">
        <f t="shared" si="38"/>
        <v>0</v>
      </c>
      <c r="K140" s="1262">
        <f t="shared" si="39"/>
        <v>0</v>
      </c>
      <c r="L140" s="1262"/>
      <c r="M140" s="2144"/>
      <c r="N140" s="2144"/>
      <c r="O140" s="2144"/>
      <c r="P140" s="2144"/>
      <c r="Q140" s="2144"/>
      <c r="R140" s="2144"/>
      <c r="S140" s="2144"/>
      <c r="T140" s="2144"/>
    </row>
    <row r="141" spans="1:20" s="2116" customFormat="1" ht="24" customHeight="1">
      <c r="A141" s="2113"/>
      <c r="B141" s="2153" t="s">
        <v>1834</v>
      </c>
      <c r="C141" s="2115"/>
      <c r="D141" s="2108"/>
      <c r="E141" s="2091">
        <v>6</v>
      </c>
      <c r="F141" s="1262" t="s">
        <v>363</v>
      </c>
      <c r="G141" s="1836">
        <v>4489</v>
      </c>
      <c r="H141" s="1343">
        <f>ROUND(E141*G141,)</f>
        <v>26934</v>
      </c>
      <c r="I141" s="1344">
        <v>600</v>
      </c>
      <c r="J141" s="1343">
        <f>ROUND(E141*I141,)</f>
        <v>3600</v>
      </c>
      <c r="K141" s="1262">
        <f>H141+J141</f>
        <v>30534</v>
      </c>
      <c r="L141" s="1262"/>
    </row>
    <row r="142" spans="1:20" s="2116" customFormat="1" ht="24" customHeight="1">
      <c r="A142" s="2113"/>
      <c r="B142" s="2114" t="s">
        <v>1759</v>
      </c>
      <c r="C142" s="2115"/>
      <c r="D142" s="2108"/>
      <c r="E142" s="1801"/>
      <c r="F142" s="1262" t="s">
        <v>363</v>
      </c>
      <c r="G142" s="1836">
        <v>6528</v>
      </c>
      <c r="H142" s="1343">
        <f>ROUND(E142*G142,)</f>
        <v>0</v>
      </c>
      <c r="I142" s="1344">
        <v>800</v>
      </c>
      <c r="J142" s="1343">
        <f>ROUND(E142*I142,)</f>
        <v>0</v>
      </c>
      <c r="K142" s="1262">
        <f>H142+J142</f>
        <v>0</v>
      </c>
      <c r="L142" s="1262"/>
    </row>
    <row r="143" spans="1:20" s="1765" customFormat="1" ht="24" customHeight="1">
      <c r="A143" s="2113" t="s">
        <v>2227</v>
      </c>
      <c r="B143" s="2114" t="s">
        <v>2069</v>
      </c>
      <c r="C143" s="2115"/>
      <c r="D143" s="2108"/>
      <c r="E143" s="1801"/>
      <c r="F143" s="1262"/>
      <c r="G143" s="1836"/>
      <c r="H143" s="1343"/>
      <c r="I143" s="1344"/>
      <c r="J143" s="1343"/>
      <c r="K143" s="1262"/>
      <c r="L143" s="1262"/>
    </row>
    <row r="144" spans="1:20" s="1765" customFormat="1" ht="24" customHeight="1">
      <c r="A144" s="2113"/>
      <c r="B144" s="2114" t="s">
        <v>1338</v>
      </c>
      <c r="C144" s="2115"/>
      <c r="D144" s="2108"/>
      <c r="E144" s="1801"/>
      <c r="F144" s="1262" t="s">
        <v>363</v>
      </c>
      <c r="G144" s="1515">
        <v>1863</v>
      </c>
      <c r="H144" s="1343">
        <f t="shared" ref="H144:H145" si="40">ROUND(E144*G144,)</f>
        <v>0</v>
      </c>
      <c r="I144" s="1344">
        <v>250</v>
      </c>
      <c r="J144" s="1343">
        <f t="shared" ref="J144:J145" si="41">ROUND(E144*I144,)</f>
        <v>0</v>
      </c>
      <c r="K144" s="1262">
        <f t="shared" ref="K144:K145" si="42">H144+J144</f>
        <v>0</v>
      </c>
      <c r="L144" s="1262"/>
    </row>
    <row r="145" spans="1:12" s="1765" customFormat="1" ht="24" customHeight="1">
      <c r="A145" s="2113"/>
      <c r="B145" s="2114" t="s">
        <v>1339</v>
      </c>
      <c r="C145" s="2115"/>
      <c r="D145" s="2108"/>
      <c r="E145" s="1801"/>
      <c r="F145" s="1262" t="s">
        <v>363</v>
      </c>
      <c r="G145" s="1515">
        <v>2130</v>
      </c>
      <c r="H145" s="1343">
        <f t="shared" si="40"/>
        <v>0</v>
      </c>
      <c r="I145" s="1344">
        <v>300</v>
      </c>
      <c r="J145" s="1343">
        <f t="shared" si="41"/>
        <v>0</v>
      </c>
      <c r="K145" s="1262">
        <f t="shared" si="42"/>
        <v>0</v>
      </c>
      <c r="L145" s="1262"/>
    </row>
    <row r="146" spans="1:12" s="2116" customFormat="1" ht="24" customHeight="1">
      <c r="A146" s="2113"/>
      <c r="B146" s="2153" t="s">
        <v>1856</v>
      </c>
      <c r="C146" s="2115"/>
      <c r="D146" s="2108"/>
      <c r="E146" s="2091"/>
      <c r="F146" s="1262" t="s">
        <v>363</v>
      </c>
      <c r="G146" s="1515">
        <v>3876</v>
      </c>
      <c r="H146" s="1343">
        <f>ROUND(E146*G146,)</f>
        <v>0</v>
      </c>
      <c r="I146" s="1344">
        <v>500</v>
      </c>
      <c r="J146" s="1343">
        <f>ROUND(E146*I146,)</f>
        <v>0</v>
      </c>
      <c r="K146" s="1262">
        <f>H146+J146</f>
        <v>0</v>
      </c>
      <c r="L146" s="1262"/>
    </row>
    <row r="147" spans="1:12" s="2116" customFormat="1" ht="24" customHeight="1">
      <c r="A147" s="2113"/>
      <c r="B147" s="2153" t="s">
        <v>1834</v>
      </c>
      <c r="C147" s="2115"/>
      <c r="D147" s="2108"/>
      <c r="E147" s="2091">
        <v>12</v>
      </c>
      <c r="F147" s="1262" t="s">
        <v>363</v>
      </c>
      <c r="G147" s="1515">
        <v>4175</v>
      </c>
      <c r="H147" s="1343">
        <f>ROUND(E147*G147,)</f>
        <v>50100</v>
      </c>
      <c r="I147" s="1344">
        <v>600</v>
      </c>
      <c r="J147" s="1343">
        <f>ROUND(E147*I147,)</f>
        <v>7200</v>
      </c>
      <c r="K147" s="1262">
        <f>H147+J147</f>
        <v>57300</v>
      </c>
      <c r="L147" s="1262"/>
    </row>
    <row r="148" spans="1:12" s="2116" customFormat="1" ht="24" customHeight="1">
      <c r="A148" s="2113"/>
      <c r="B148" s="2114" t="s">
        <v>1759</v>
      </c>
      <c r="C148" s="2115"/>
      <c r="D148" s="2108"/>
      <c r="E148" s="1801"/>
      <c r="F148" s="1262" t="s">
        <v>363</v>
      </c>
      <c r="G148" s="1836">
        <v>5541</v>
      </c>
      <c r="H148" s="1343">
        <f>ROUND(E148*G148,)</f>
        <v>0</v>
      </c>
      <c r="I148" s="1344">
        <v>800</v>
      </c>
      <c r="J148" s="1343">
        <f t="shared" ref="J148:J149" si="43">ROUND(E148*I148,)</f>
        <v>0</v>
      </c>
      <c r="K148" s="1262">
        <f t="shared" ref="K148:K149" si="44">H148+J148</f>
        <v>0</v>
      </c>
      <c r="L148" s="1262"/>
    </row>
    <row r="149" spans="1:12" s="2116" customFormat="1" ht="24" customHeight="1">
      <c r="A149" s="2113"/>
      <c r="B149" s="2114" t="s">
        <v>1866</v>
      </c>
      <c r="C149" s="2115"/>
      <c r="D149" s="2108"/>
      <c r="E149" s="1801"/>
      <c r="F149" s="1262"/>
      <c r="G149" s="1836">
        <v>18915</v>
      </c>
      <c r="H149" s="1343">
        <f>ROUND(E149*G149,)</f>
        <v>0</v>
      </c>
      <c r="I149" s="1344">
        <v>2000</v>
      </c>
      <c r="J149" s="1343">
        <f t="shared" si="43"/>
        <v>0</v>
      </c>
      <c r="K149" s="1262">
        <f t="shared" si="44"/>
        <v>0</v>
      </c>
      <c r="L149" s="1262"/>
    </row>
    <row r="150" spans="1:12" s="2116" customFormat="1" ht="24" customHeight="1">
      <c r="A150" s="2113" t="s">
        <v>2883</v>
      </c>
      <c r="B150" s="2114" t="s">
        <v>2728</v>
      </c>
      <c r="C150" s="2115"/>
      <c r="D150" s="2108"/>
      <c r="E150" s="1801"/>
      <c r="F150" s="1262"/>
      <c r="G150" s="1515"/>
      <c r="H150" s="1343"/>
      <c r="I150" s="1344"/>
      <c r="J150" s="1343"/>
      <c r="K150" s="1262"/>
      <c r="L150" s="1262"/>
    </row>
    <row r="151" spans="1:12" s="2116" customFormat="1" ht="24" customHeight="1">
      <c r="A151" s="2113"/>
      <c r="B151" s="2153" t="s">
        <v>1865</v>
      </c>
      <c r="C151" s="2115"/>
      <c r="D151" s="2108"/>
      <c r="E151" s="2091">
        <v>6</v>
      </c>
      <c r="F151" s="1262" t="s">
        <v>363</v>
      </c>
      <c r="G151" s="1515">
        <v>300</v>
      </c>
      <c r="H151" s="1343">
        <f>ROUND(E151*G151,)</f>
        <v>1800</v>
      </c>
      <c r="I151" s="1344">
        <v>200</v>
      </c>
      <c r="J151" s="1343">
        <f>ROUND(E151*I151,)</f>
        <v>1200</v>
      </c>
      <c r="K151" s="1262">
        <f>H151+J151</f>
        <v>3000</v>
      </c>
      <c r="L151" s="1262"/>
    </row>
    <row r="152" spans="1:12" s="1765" customFormat="1" ht="24" customHeight="1">
      <c r="A152" s="2113" t="s">
        <v>2884</v>
      </c>
      <c r="B152" s="2114" t="s">
        <v>1730</v>
      </c>
      <c r="C152" s="2115"/>
      <c r="D152" s="2108"/>
      <c r="E152" s="1801"/>
      <c r="F152" s="1262"/>
      <c r="G152" s="1515"/>
      <c r="H152" s="1343"/>
      <c r="I152" s="1344"/>
      <c r="J152" s="1343"/>
      <c r="K152" s="1262"/>
      <c r="L152" s="1262"/>
    </row>
    <row r="153" spans="1:12" s="2116" customFormat="1" ht="24" customHeight="1">
      <c r="A153" s="2113"/>
      <c r="B153" s="2114" t="s">
        <v>1337</v>
      </c>
      <c r="C153" s="2115"/>
      <c r="D153" s="2108"/>
      <c r="E153" s="1801">
        <v>6</v>
      </c>
      <c r="F153" s="1262" t="s">
        <v>363</v>
      </c>
      <c r="G153" s="1515">
        <v>2400</v>
      </c>
      <c r="H153" s="1343">
        <f t="shared" ref="H153:H155" si="45">ROUND(E153*G153,)</f>
        <v>14400</v>
      </c>
      <c r="I153" s="1344">
        <v>200</v>
      </c>
      <c r="J153" s="1343">
        <f t="shared" ref="J153:J155" si="46">ROUND(E153*I153,)</f>
        <v>1200</v>
      </c>
      <c r="K153" s="1262">
        <f t="shared" ref="K153:K155" si="47">H153+J153</f>
        <v>15600</v>
      </c>
      <c r="L153" s="1415"/>
    </row>
    <row r="154" spans="1:12" s="2116" customFormat="1" ht="24" customHeight="1">
      <c r="A154" s="2113" t="s">
        <v>2885</v>
      </c>
      <c r="B154" s="2114" t="s">
        <v>1741</v>
      </c>
      <c r="C154" s="2115"/>
      <c r="D154" s="2108"/>
      <c r="E154" s="1801">
        <v>12</v>
      </c>
      <c r="F154" s="1262" t="s">
        <v>363</v>
      </c>
      <c r="G154" s="1515">
        <v>1452</v>
      </c>
      <c r="H154" s="1343">
        <f t="shared" si="45"/>
        <v>17424</v>
      </c>
      <c r="I154" s="1344">
        <v>100</v>
      </c>
      <c r="J154" s="1343">
        <f t="shared" si="46"/>
        <v>1200</v>
      </c>
      <c r="K154" s="1262">
        <f t="shared" si="47"/>
        <v>18624</v>
      </c>
      <c r="L154" s="1262"/>
    </row>
    <row r="155" spans="1:12" s="2116" customFormat="1" ht="24" customHeight="1">
      <c r="A155" s="2113" t="s">
        <v>2886</v>
      </c>
      <c r="B155" s="2114" t="s">
        <v>1987</v>
      </c>
      <c r="C155" s="2115"/>
      <c r="D155" s="2108"/>
      <c r="E155" s="1801">
        <v>12</v>
      </c>
      <c r="F155" s="1262" t="s">
        <v>363</v>
      </c>
      <c r="G155" s="1515">
        <v>1590</v>
      </c>
      <c r="H155" s="1343">
        <f t="shared" si="45"/>
        <v>19080</v>
      </c>
      <c r="I155" s="1344">
        <v>100</v>
      </c>
      <c r="J155" s="1343">
        <f t="shared" si="46"/>
        <v>1200</v>
      </c>
      <c r="K155" s="1262">
        <f t="shared" si="47"/>
        <v>20280</v>
      </c>
      <c r="L155" s="1262"/>
    </row>
    <row r="156" spans="1:12" s="1765" customFormat="1" ht="24" customHeight="1">
      <c r="A156" s="2113"/>
      <c r="B156" s="2114" t="s">
        <v>1117</v>
      </c>
      <c r="C156" s="2115"/>
      <c r="D156" s="2108"/>
      <c r="E156" s="1801"/>
      <c r="F156" s="1262"/>
      <c r="G156" s="1515"/>
      <c r="H156" s="1343"/>
      <c r="I156" s="1344"/>
      <c r="J156" s="1343"/>
      <c r="K156" s="1262"/>
      <c r="L156" s="1262"/>
    </row>
    <row r="157" spans="1:12" s="1765" customFormat="1" ht="24" customHeight="1">
      <c r="A157" s="2113"/>
      <c r="B157" s="2114" t="s">
        <v>1118</v>
      </c>
      <c r="C157" s="2115"/>
      <c r="D157" s="2108"/>
      <c r="E157" s="1801"/>
      <c r="F157" s="1262"/>
      <c r="G157" s="1515"/>
      <c r="H157" s="1343"/>
      <c r="I157" s="1344"/>
      <c r="J157" s="1343"/>
      <c r="K157" s="1262"/>
      <c r="L157" s="1262"/>
    </row>
    <row r="158" spans="1:12" s="1765" customFormat="1" ht="24" customHeight="1">
      <c r="A158" s="1791"/>
      <c r="B158" s="1792"/>
      <c r="C158" s="1702"/>
      <c r="D158" s="1486"/>
      <c r="E158" s="1793"/>
      <c r="F158" s="1487"/>
      <c r="G158" s="1864"/>
      <c r="H158" s="1425"/>
      <c r="I158" s="1488"/>
      <c r="J158" s="1425"/>
      <c r="K158" s="1426"/>
      <c r="L158" s="1426"/>
    </row>
    <row r="159" spans="1:12" s="1765" customFormat="1" ht="24" customHeight="1">
      <c r="A159" s="1578"/>
      <c r="B159" s="2257" t="str">
        <f>"รวมราคารายการที่ "&amp;A123</f>
        <v>รวมราคารายการที่ 7.6</v>
      </c>
      <c r="C159" s="2258"/>
      <c r="D159" s="2259"/>
      <c r="E159" s="1579"/>
      <c r="F159" s="1579"/>
      <c r="G159" s="1580"/>
      <c r="H159" s="1581">
        <f>SUM(H124:H158)</f>
        <v>155646</v>
      </c>
      <c r="I159" s="1582"/>
      <c r="J159" s="1581">
        <f>SUM(J124:J158)</f>
        <v>22800</v>
      </c>
      <c r="K159" s="1581">
        <f>SUM(K124:K158)</f>
        <v>178446</v>
      </c>
      <c r="L159" s="1583"/>
    </row>
    <row r="160" spans="1:12" s="1765" customFormat="1" ht="24" customHeight="1">
      <c r="A160" s="1847" t="s">
        <v>2308</v>
      </c>
      <c r="B160" s="1848" t="s">
        <v>2177</v>
      </c>
      <c r="C160" s="1849"/>
      <c r="D160" s="1354"/>
      <c r="E160" s="1802"/>
      <c r="F160" s="1356"/>
      <c r="G160" s="1803"/>
      <c r="H160" s="1369"/>
      <c r="I160" s="1370"/>
      <c r="J160" s="1369"/>
      <c r="K160" s="1356"/>
      <c r="L160" s="1356"/>
    </row>
    <row r="161" spans="1:16" s="1765" customFormat="1" ht="24" customHeight="1">
      <c r="A161" s="2113" t="s">
        <v>2084</v>
      </c>
      <c r="B161" s="2149" t="s">
        <v>2729</v>
      </c>
      <c r="C161" s="2115"/>
      <c r="D161" s="2150"/>
      <c r="E161" s="1802"/>
      <c r="F161" s="1356"/>
      <c r="G161" s="1803"/>
      <c r="H161" s="1369"/>
      <c r="I161" s="1370"/>
      <c r="J161" s="1369"/>
      <c r="K161" s="1356"/>
      <c r="L161" s="1356"/>
    </row>
    <row r="162" spans="1:16" s="2116" customFormat="1" ht="24" customHeight="1">
      <c r="A162" s="2113"/>
      <c r="B162" s="2107" t="s">
        <v>2736</v>
      </c>
      <c r="C162" s="2115"/>
      <c r="D162" s="2108"/>
      <c r="E162" s="1801">
        <v>1</v>
      </c>
      <c r="F162" s="1262" t="s">
        <v>363</v>
      </c>
      <c r="G162" s="1515">
        <v>89000</v>
      </c>
      <c r="H162" s="1413">
        <f t="shared" ref="H162:H168" si="48">ROUND(E162*G162,)</f>
        <v>89000</v>
      </c>
      <c r="I162" s="1515">
        <f>G162*0.1</f>
        <v>8900</v>
      </c>
      <c r="J162" s="1413">
        <f t="shared" ref="J162:J168" si="49">ROUND(E162*I162,)</f>
        <v>8900</v>
      </c>
      <c r="K162" s="1415">
        <f t="shared" ref="K162:K168" si="50">H162+J162</f>
        <v>97900</v>
      </c>
      <c r="L162" s="1262"/>
    </row>
    <row r="163" spans="1:16" s="2116" customFormat="1" ht="24" customHeight="1">
      <c r="A163" s="2113"/>
      <c r="B163" s="2107" t="s">
        <v>2737</v>
      </c>
      <c r="C163" s="2115"/>
      <c r="D163" s="2108"/>
      <c r="E163" s="1801">
        <v>1</v>
      </c>
      <c r="F163" s="1262" t="s">
        <v>363</v>
      </c>
      <c r="G163" s="1515">
        <v>89000</v>
      </c>
      <c r="H163" s="1413">
        <f t="shared" si="48"/>
        <v>89000</v>
      </c>
      <c r="I163" s="1515">
        <f t="shared" ref="I163:I167" si="51">G163*0.1</f>
        <v>8900</v>
      </c>
      <c r="J163" s="1413">
        <f t="shared" si="49"/>
        <v>8900</v>
      </c>
      <c r="K163" s="1415">
        <f t="shared" si="50"/>
        <v>97900</v>
      </c>
      <c r="L163" s="1262"/>
    </row>
    <row r="164" spans="1:16" s="2116" customFormat="1" ht="24" customHeight="1">
      <c r="A164" s="2113"/>
      <c r="B164" s="2107" t="s">
        <v>2738</v>
      </c>
      <c r="C164" s="2115"/>
      <c r="D164" s="2108"/>
      <c r="E164" s="1801">
        <v>1</v>
      </c>
      <c r="F164" s="1262" t="s">
        <v>363</v>
      </c>
      <c r="G164" s="1515">
        <v>89000</v>
      </c>
      <c r="H164" s="1413">
        <f t="shared" si="48"/>
        <v>89000</v>
      </c>
      <c r="I164" s="1515">
        <f t="shared" si="51"/>
        <v>8900</v>
      </c>
      <c r="J164" s="1413">
        <f t="shared" si="49"/>
        <v>8900</v>
      </c>
      <c r="K164" s="1415">
        <f t="shared" si="50"/>
        <v>97900</v>
      </c>
      <c r="L164" s="1262"/>
    </row>
    <row r="165" spans="1:16" s="2116" customFormat="1" ht="24" customHeight="1">
      <c r="A165" s="2113"/>
      <c r="B165" s="2107" t="s">
        <v>2759</v>
      </c>
      <c r="C165" s="2115"/>
      <c r="D165" s="2108"/>
      <c r="E165" s="1801">
        <v>1</v>
      </c>
      <c r="F165" s="1262" t="s">
        <v>363</v>
      </c>
      <c r="G165" s="1515">
        <v>89000</v>
      </c>
      <c r="H165" s="1413">
        <f t="shared" si="48"/>
        <v>89000</v>
      </c>
      <c r="I165" s="1515">
        <f t="shared" si="51"/>
        <v>8900</v>
      </c>
      <c r="J165" s="1413">
        <f t="shared" si="49"/>
        <v>8900</v>
      </c>
      <c r="K165" s="1415">
        <f t="shared" si="50"/>
        <v>97900</v>
      </c>
      <c r="L165" s="1262"/>
    </row>
    <row r="166" spans="1:16" s="2116" customFormat="1" ht="24" customHeight="1">
      <c r="A166" s="2113"/>
      <c r="B166" s="2107" t="s">
        <v>2760</v>
      </c>
      <c r="C166" s="2115"/>
      <c r="D166" s="2108"/>
      <c r="E166" s="1801">
        <v>1</v>
      </c>
      <c r="F166" s="1262" t="s">
        <v>363</v>
      </c>
      <c r="G166" s="1515">
        <v>89000</v>
      </c>
      <c r="H166" s="1413">
        <f t="shared" si="48"/>
        <v>89000</v>
      </c>
      <c r="I166" s="1515">
        <f t="shared" si="51"/>
        <v>8900</v>
      </c>
      <c r="J166" s="1413">
        <f t="shared" si="49"/>
        <v>8900</v>
      </c>
      <c r="K166" s="1415">
        <f t="shared" si="50"/>
        <v>97900</v>
      </c>
      <c r="L166" s="1262"/>
    </row>
    <row r="167" spans="1:16" s="2116" customFormat="1" ht="24" customHeight="1">
      <c r="A167" s="2113"/>
      <c r="B167" s="2107" t="s">
        <v>2761</v>
      </c>
      <c r="C167" s="2115"/>
      <c r="D167" s="2108"/>
      <c r="E167" s="1801">
        <v>1</v>
      </c>
      <c r="F167" s="1262" t="s">
        <v>363</v>
      </c>
      <c r="G167" s="1515">
        <v>89000</v>
      </c>
      <c r="H167" s="1413">
        <f t="shared" si="48"/>
        <v>89000</v>
      </c>
      <c r="I167" s="1515">
        <f t="shared" si="51"/>
        <v>8900</v>
      </c>
      <c r="J167" s="1413">
        <f t="shared" si="49"/>
        <v>8900</v>
      </c>
      <c r="K167" s="1415">
        <f t="shared" si="50"/>
        <v>97900</v>
      </c>
      <c r="L167" s="1262"/>
    </row>
    <row r="168" spans="1:16" s="1765" customFormat="1" ht="24" customHeight="1">
      <c r="A168" s="2113"/>
      <c r="B168" s="2149"/>
      <c r="C168" s="2115"/>
      <c r="D168" s="2150"/>
      <c r="E168" s="1801"/>
      <c r="F168" s="1356" t="s">
        <v>363</v>
      </c>
      <c r="G168" s="1515"/>
      <c r="H168" s="820">
        <f t="shared" si="48"/>
        <v>0</v>
      </c>
      <c r="I168" s="1515"/>
      <c r="J168" s="820">
        <f t="shared" si="49"/>
        <v>0</v>
      </c>
      <c r="K168" s="1457">
        <f t="shared" si="50"/>
        <v>0</v>
      </c>
      <c r="L168" s="1356"/>
    </row>
    <row r="169" spans="1:16" s="1765" customFormat="1" ht="24" customHeight="1">
      <c r="A169" s="2113" t="s">
        <v>2089</v>
      </c>
      <c r="B169" s="2149" t="s">
        <v>1355</v>
      </c>
      <c r="C169" s="2115"/>
      <c r="D169" s="2150"/>
      <c r="E169" s="1801"/>
      <c r="F169" s="1356"/>
      <c r="G169" s="1515"/>
      <c r="H169" s="1369"/>
      <c r="I169" s="1370"/>
      <c r="J169" s="1369"/>
      <c r="K169" s="1356"/>
      <c r="L169" s="1356"/>
    </row>
    <row r="170" spans="1:16" s="1765" customFormat="1" ht="24" customHeight="1">
      <c r="A170" s="2113"/>
      <c r="B170" s="2149" t="s">
        <v>1811</v>
      </c>
      <c r="C170" s="2115"/>
      <c r="D170" s="2150"/>
      <c r="E170" s="1801"/>
      <c r="F170" s="1356" t="s">
        <v>226</v>
      </c>
      <c r="G170" s="1386">
        <v>9</v>
      </c>
      <c r="H170" s="1343">
        <f t="shared" ref="H170:H171" si="52">ROUND(E170*G170,)</f>
        <v>0</v>
      </c>
      <c r="I170" s="1344">
        <v>7</v>
      </c>
      <c r="J170" s="1413">
        <f t="shared" ref="J170:J171" si="53">ROUND(E170*I170,)</f>
        <v>0</v>
      </c>
      <c r="K170" s="1415">
        <f t="shared" ref="K170:K171" si="54">H170+J170</f>
        <v>0</v>
      </c>
      <c r="L170" s="2151" t="s">
        <v>2667</v>
      </c>
      <c r="N170" s="1854">
        <v>912.1</v>
      </c>
      <c r="O170" s="1854">
        <f t="shared" ref="O170:O171" si="55">ROUND(N170/100,)</f>
        <v>9</v>
      </c>
    </row>
    <row r="171" spans="1:16" s="2116" customFormat="1" ht="24" customHeight="1">
      <c r="A171" s="2113"/>
      <c r="B171" s="2107" t="s">
        <v>1317</v>
      </c>
      <c r="C171" s="2115"/>
      <c r="D171" s="2108"/>
      <c r="E171" s="1801">
        <f>4*5*1.5*6</f>
        <v>180</v>
      </c>
      <c r="F171" s="1262" t="s">
        <v>226</v>
      </c>
      <c r="G171" s="1386">
        <v>23</v>
      </c>
      <c r="H171" s="1343">
        <f t="shared" si="52"/>
        <v>4140</v>
      </c>
      <c r="I171" s="1344">
        <v>12</v>
      </c>
      <c r="J171" s="1343">
        <f t="shared" si="53"/>
        <v>2160</v>
      </c>
      <c r="K171" s="1262">
        <f t="shared" si="54"/>
        <v>6300</v>
      </c>
      <c r="L171" s="2151" t="s">
        <v>2667</v>
      </c>
      <c r="N171" s="2117">
        <v>2264.1999999999998</v>
      </c>
      <c r="O171" s="2117">
        <f t="shared" si="55"/>
        <v>23</v>
      </c>
      <c r="P171" s="2117"/>
    </row>
    <row r="172" spans="1:16" s="1765" customFormat="1" ht="24" customHeight="1">
      <c r="A172" s="2113" t="s">
        <v>2266</v>
      </c>
      <c r="B172" s="2149" t="s">
        <v>1110</v>
      </c>
      <c r="C172" s="2115"/>
      <c r="D172" s="2150"/>
      <c r="E172" s="1801"/>
      <c r="F172" s="1356"/>
      <c r="G172" s="1515"/>
      <c r="H172" s="1369"/>
      <c r="I172" s="1370"/>
      <c r="J172" s="1369"/>
      <c r="K172" s="1356"/>
      <c r="L172" s="1356"/>
    </row>
    <row r="173" spans="1:16" s="1765" customFormat="1" ht="24" customHeight="1">
      <c r="A173" s="2113"/>
      <c r="B173" s="2149" t="s">
        <v>1350</v>
      </c>
      <c r="C173" s="2115"/>
      <c r="D173" s="2150"/>
      <c r="E173" s="1801"/>
      <c r="F173" s="1356" t="s">
        <v>226</v>
      </c>
      <c r="G173" s="1515">
        <v>56</v>
      </c>
      <c r="H173" s="1343">
        <f t="shared" ref="H173:H175" si="56">ROUND(E173*G173,)</f>
        <v>0</v>
      </c>
      <c r="I173" s="1344">
        <v>26</v>
      </c>
      <c r="J173" s="1413">
        <f t="shared" ref="J173:J175" si="57">ROUND(E173*I173,)</f>
        <v>0</v>
      </c>
      <c r="K173" s="1415">
        <f t="shared" ref="K173:K175" si="58">H173+J173</f>
        <v>0</v>
      </c>
      <c r="L173" s="2152" t="s">
        <v>2667</v>
      </c>
      <c r="M173" s="2002"/>
      <c r="N173" s="1765">
        <v>169.2</v>
      </c>
      <c r="O173" s="1765">
        <f t="shared" ref="O173:O174" si="59">ROUND(N173/3,)</f>
        <v>56</v>
      </c>
    </row>
    <row r="174" spans="1:16" s="2116" customFormat="1" ht="24" customHeight="1">
      <c r="A174" s="2113"/>
      <c r="B174" s="2107" t="s">
        <v>1448</v>
      </c>
      <c r="C174" s="2115"/>
      <c r="D174" s="2108"/>
      <c r="E174" s="1801">
        <f>E171</f>
        <v>180</v>
      </c>
      <c r="F174" s="1262" t="s">
        <v>226</v>
      </c>
      <c r="G174" s="1515">
        <v>75</v>
      </c>
      <c r="H174" s="1343">
        <f t="shared" si="56"/>
        <v>13500</v>
      </c>
      <c r="I174" s="1344">
        <v>28</v>
      </c>
      <c r="J174" s="1413">
        <f t="shared" si="57"/>
        <v>5040</v>
      </c>
      <c r="K174" s="1415">
        <f t="shared" si="58"/>
        <v>18540</v>
      </c>
      <c r="L174" s="2152" t="s">
        <v>2667</v>
      </c>
      <c r="M174" s="2118"/>
      <c r="N174" s="2116">
        <v>225</v>
      </c>
      <c r="O174" s="2116">
        <f t="shared" si="59"/>
        <v>75</v>
      </c>
      <c r="P174" s="2117"/>
    </row>
    <row r="175" spans="1:16" s="1765" customFormat="1" ht="24" customHeight="1">
      <c r="A175" s="2113"/>
      <c r="B175" s="2149" t="s">
        <v>1384</v>
      </c>
      <c r="C175" s="2115"/>
      <c r="D175" s="2150"/>
      <c r="E175" s="1801">
        <v>1</v>
      </c>
      <c r="F175" s="1356" t="s">
        <v>1104</v>
      </c>
      <c r="G175" s="1515">
        <f>SUM(H173:H174)*15%</f>
        <v>2025</v>
      </c>
      <c r="H175" s="820">
        <f t="shared" si="56"/>
        <v>2025</v>
      </c>
      <c r="I175" s="1414">
        <f>G175*0.3</f>
        <v>607.5</v>
      </c>
      <c r="J175" s="820">
        <f t="shared" si="57"/>
        <v>608</v>
      </c>
      <c r="K175" s="1457">
        <f t="shared" si="58"/>
        <v>2633</v>
      </c>
      <c r="L175" s="1356"/>
    </row>
    <row r="176" spans="1:16" s="1765" customFormat="1" ht="24" customHeight="1">
      <c r="A176" s="2113"/>
      <c r="B176" s="2107" t="s">
        <v>1117</v>
      </c>
      <c r="C176" s="2115"/>
      <c r="D176" s="2108"/>
      <c r="E176" s="1801"/>
      <c r="F176" s="1262"/>
      <c r="G176" s="1515"/>
      <c r="H176" s="1343"/>
      <c r="I176" s="1344"/>
      <c r="J176" s="1343"/>
      <c r="K176" s="1262"/>
      <c r="L176" s="1262"/>
    </row>
    <row r="177" spans="1:12" s="1765" customFormat="1" ht="24" customHeight="1">
      <c r="A177" s="1804"/>
      <c r="B177" s="1780"/>
      <c r="C177" s="1800"/>
      <c r="D177" s="1260"/>
      <c r="E177" s="1801"/>
      <c r="F177" s="1262"/>
      <c r="G177" s="1515"/>
      <c r="H177" s="1343"/>
      <c r="I177" s="1344"/>
      <c r="J177" s="1343"/>
      <c r="K177" s="1262"/>
      <c r="L177" s="1262"/>
    </row>
    <row r="178" spans="1:12" s="1765" customFormat="1" ht="24" customHeight="1">
      <c r="A178" s="1804"/>
      <c r="B178" s="1780"/>
      <c r="C178" s="1800"/>
      <c r="D178" s="1260"/>
      <c r="E178" s="1801"/>
      <c r="F178" s="1262"/>
      <c r="G178" s="1515"/>
      <c r="H178" s="1343"/>
      <c r="I178" s="1344"/>
      <c r="J178" s="1343"/>
      <c r="K178" s="1262"/>
      <c r="L178" s="1262"/>
    </row>
    <row r="179" spans="1:12" s="1765" customFormat="1" ht="24" customHeight="1">
      <c r="A179" s="1804"/>
      <c r="B179" s="1780"/>
      <c r="C179" s="1800"/>
      <c r="D179" s="1260"/>
      <c r="E179" s="1801"/>
      <c r="F179" s="1262"/>
      <c r="G179" s="1515"/>
      <c r="H179" s="1343"/>
      <c r="I179" s="1344"/>
      <c r="J179" s="1343"/>
      <c r="K179" s="1262"/>
      <c r="L179" s="1262"/>
    </row>
    <row r="180" spans="1:12" s="1765" customFormat="1" ht="24" customHeight="1">
      <c r="A180" s="1804"/>
      <c r="B180" s="1780"/>
      <c r="C180" s="1800"/>
      <c r="D180" s="1260"/>
      <c r="E180" s="1801"/>
      <c r="F180" s="1262"/>
      <c r="G180" s="1515"/>
      <c r="H180" s="1343"/>
      <c r="I180" s="1344"/>
      <c r="J180" s="1343"/>
      <c r="K180" s="1262"/>
      <c r="L180" s="1262"/>
    </row>
    <row r="181" spans="1:12" s="1765" customFormat="1" ht="24" customHeight="1">
      <c r="A181" s="1804"/>
      <c r="B181" s="1780"/>
      <c r="C181" s="1800"/>
      <c r="D181" s="1260"/>
      <c r="E181" s="1801"/>
      <c r="F181" s="1262"/>
      <c r="G181" s="1515"/>
      <c r="H181" s="1343"/>
      <c r="I181" s="1344"/>
      <c r="J181" s="1343"/>
      <c r="K181" s="1262"/>
      <c r="L181" s="1262"/>
    </row>
    <row r="182" spans="1:12" s="1765" customFormat="1" ht="24" customHeight="1">
      <c r="A182" s="1804"/>
      <c r="B182" s="1780"/>
      <c r="C182" s="1800"/>
      <c r="D182" s="1260"/>
      <c r="E182" s="1801"/>
      <c r="F182" s="1262"/>
      <c r="G182" s="1515"/>
      <c r="H182" s="1343"/>
      <c r="I182" s="1344"/>
      <c r="J182" s="1343"/>
      <c r="K182" s="1262"/>
      <c r="L182" s="1262"/>
    </row>
    <row r="183" spans="1:12" s="1765" customFormat="1" ht="24" customHeight="1">
      <c r="A183" s="1865"/>
      <c r="B183" s="1799"/>
      <c r="C183" s="1866"/>
      <c r="D183" s="1375"/>
      <c r="E183" s="1867"/>
      <c r="F183" s="1377"/>
      <c r="G183" s="1868"/>
      <c r="H183" s="1379"/>
      <c r="I183" s="1380"/>
      <c r="J183" s="1379"/>
      <c r="K183" s="1377"/>
      <c r="L183" s="1377"/>
    </row>
    <row r="184" spans="1:12" s="1765" customFormat="1" ht="24" customHeight="1">
      <c r="A184" s="1578"/>
      <c r="B184" s="2257" t="str">
        <f>"รวมราคารายการที่ "&amp;A160</f>
        <v>รวมราคารายการที่ 7.7</v>
      </c>
      <c r="C184" s="2258"/>
      <c r="D184" s="2259"/>
      <c r="E184" s="1579"/>
      <c r="F184" s="1579"/>
      <c r="G184" s="1580"/>
      <c r="H184" s="1581">
        <f>SUM(H160:H183)</f>
        <v>553665</v>
      </c>
      <c r="I184" s="1582"/>
      <c r="J184" s="1581">
        <f>SUM(J160:J183)</f>
        <v>61208</v>
      </c>
      <c r="K184" s="1581">
        <f>SUM(K160:K183)</f>
        <v>614873</v>
      </c>
      <c r="L184" s="1583"/>
    </row>
    <row r="185" spans="1:12" s="1765" customFormat="1" ht="24" customHeight="1">
      <c r="A185" s="1291" t="s">
        <v>2091</v>
      </c>
      <c r="B185" s="1776" t="s">
        <v>2109</v>
      </c>
      <c r="C185" s="1293"/>
      <c r="D185" s="1294"/>
      <c r="E185" s="1786"/>
      <c r="F185" s="1296"/>
      <c r="G185" s="1357"/>
      <c r="H185" s="1298"/>
      <c r="I185" s="1299"/>
      <c r="J185" s="1298"/>
      <c r="K185" s="1382"/>
      <c r="L185" s="1382"/>
    </row>
    <row r="186" spans="1:12" s="1765" customFormat="1" ht="24" customHeight="1">
      <c r="A186" s="1766" t="s">
        <v>2093</v>
      </c>
      <c r="B186" s="1799" t="s">
        <v>2111</v>
      </c>
      <c r="C186" s="1800"/>
      <c r="D186" s="1375"/>
      <c r="E186" s="1802"/>
      <c r="F186" s="1356" t="s">
        <v>363</v>
      </c>
      <c r="G186" s="1803">
        <v>690000</v>
      </c>
      <c r="H186" s="1343">
        <f t="shared" ref="H186" si="60">ROUND(E186*G186,)</f>
        <v>0</v>
      </c>
      <c r="I186" s="1370">
        <v>17250</v>
      </c>
      <c r="J186" s="1343">
        <f t="shared" ref="J186:J193" si="61">ROUND(E186*I186,)</f>
        <v>0</v>
      </c>
      <c r="K186" s="1262">
        <f t="shared" ref="K186:K193" si="62">H186+J186</f>
        <v>0</v>
      </c>
      <c r="L186" s="1356"/>
    </row>
    <row r="187" spans="1:12" s="1765" customFormat="1" ht="24" customHeight="1">
      <c r="A187" s="1766" t="s">
        <v>2096</v>
      </c>
      <c r="B187" s="1799" t="s">
        <v>2113</v>
      </c>
      <c r="C187" s="1800"/>
      <c r="D187" s="1375"/>
      <c r="E187" s="1802"/>
      <c r="F187" s="1356" t="s">
        <v>363</v>
      </c>
      <c r="G187" s="1803">
        <v>80000</v>
      </c>
      <c r="H187" s="1343">
        <f>ROUND(E187*G187,)</f>
        <v>0</v>
      </c>
      <c r="I187" s="1370">
        <v>2000</v>
      </c>
      <c r="J187" s="1343">
        <f t="shared" si="61"/>
        <v>0</v>
      </c>
      <c r="K187" s="1262">
        <f t="shared" si="62"/>
        <v>0</v>
      </c>
      <c r="L187" s="1356"/>
    </row>
    <row r="188" spans="1:12" s="1765" customFormat="1" ht="24" customHeight="1">
      <c r="A188" s="1766" t="s">
        <v>2099</v>
      </c>
      <c r="B188" s="1538" t="s">
        <v>1816</v>
      </c>
      <c r="C188" s="1437"/>
      <c r="D188" s="1275"/>
      <c r="E188" s="1768"/>
      <c r="F188" s="1358"/>
      <c r="G188" s="1516">
        <v>950000</v>
      </c>
      <c r="H188" s="1264">
        <f t="shared" ref="H188:H193" si="63">ROUND(E188*G188,)</f>
        <v>0</v>
      </c>
      <c r="I188" s="1265">
        <f>G188*0.015</f>
        <v>14250</v>
      </c>
      <c r="J188" s="1264">
        <f t="shared" si="61"/>
        <v>0</v>
      </c>
      <c r="K188" s="1273">
        <f t="shared" si="62"/>
        <v>0</v>
      </c>
      <c r="L188" s="1273"/>
    </row>
    <row r="189" spans="1:12" s="1765" customFormat="1" ht="24" customHeight="1">
      <c r="A189" s="1766"/>
      <c r="B189" s="1538" t="s">
        <v>2115</v>
      </c>
      <c r="C189" s="1437"/>
      <c r="D189" s="1275"/>
      <c r="E189" s="1768">
        <v>6</v>
      </c>
      <c r="F189" s="1358" t="s">
        <v>363</v>
      </c>
      <c r="G189" s="1515">
        <v>2650</v>
      </c>
      <c r="H189" s="1343">
        <f t="shared" si="63"/>
        <v>15900</v>
      </c>
      <c r="I189" s="1370">
        <v>500</v>
      </c>
      <c r="J189" s="1343">
        <f t="shared" si="61"/>
        <v>3000</v>
      </c>
      <c r="K189" s="1262">
        <f t="shared" si="62"/>
        <v>18900</v>
      </c>
      <c r="L189" s="1273"/>
    </row>
    <row r="190" spans="1:12" s="1765" customFormat="1" ht="24" customHeight="1">
      <c r="A190" s="1766"/>
      <c r="B190" s="1538" t="s">
        <v>2116</v>
      </c>
      <c r="C190" s="1437"/>
      <c r="D190" s="1275"/>
      <c r="E190" s="1768">
        <v>6</v>
      </c>
      <c r="F190" s="1358" t="s">
        <v>363</v>
      </c>
      <c r="G190" s="1515">
        <v>560</v>
      </c>
      <c r="H190" s="1343">
        <f t="shared" si="63"/>
        <v>3360</v>
      </c>
      <c r="I190" s="1370">
        <v>500</v>
      </c>
      <c r="J190" s="1343">
        <f t="shared" si="61"/>
        <v>3000</v>
      </c>
      <c r="K190" s="1262">
        <f t="shared" si="62"/>
        <v>6360</v>
      </c>
      <c r="L190" s="1273"/>
    </row>
    <row r="191" spans="1:12" s="1765" customFormat="1" ht="24" customHeight="1">
      <c r="A191" s="1258"/>
      <c r="B191" s="1538" t="s">
        <v>2117</v>
      </c>
      <c r="C191" s="1437"/>
      <c r="D191" s="1275"/>
      <c r="E191" s="1768"/>
      <c r="F191" s="1358" t="s">
        <v>363</v>
      </c>
      <c r="G191" s="1515">
        <v>1340</v>
      </c>
      <c r="H191" s="1343">
        <f t="shared" si="63"/>
        <v>0</v>
      </c>
      <c r="I191" s="1370">
        <v>500</v>
      </c>
      <c r="J191" s="1343">
        <f t="shared" si="61"/>
        <v>0</v>
      </c>
      <c r="K191" s="1262">
        <f t="shared" si="62"/>
        <v>0</v>
      </c>
      <c r="L191" s="1273"/>
    </row>
    <row r="192" spans="1:12" s="1765" customFormat="1" ht="24" customHeight="1">
      <c r="A192" s="1258"/>
      <c r="B192" s="1538" t="s">
        <v>2118</v>
      </c>
      <c r="C192" s="1437"/>
      <c r="D192" s="1275"/>
      <c r="E192" s="1768"/>
      <c r="F192" s="1358" t="s">
        <v>363</v>
      </c>
      <c r="G192" s="1515">
        <v>760</v>
      </c>
      <c r="H192" s="1343">
        <f t="shared" si="63"/>
        <v>0</v>
      </c>
      <c r="I192" s="1370">
        <v>500</v>
      </c>
      <c r="J192" s="1343">
        <f t="shared" si="61"/>
        <v>0</v>
      </c>
      <c r="K192" s="1262">
        <f t="shared" si="62"/>
        <v>0</v>
      </c>
      <c r="L192" s="1273"/>
    </row>
    <row r="193" spans="1:15" s="1765" customFormat="1" ht="24" customHeight="1">
      <c r="A193" s="1258"/>
      <c r="B193" s="1538" t="s">
        <v>2119</v>
      </c>
      <c r="C193" s="1437"/>
      <c r="D193" s="1275"/>
      <c r="E193" s="1768">
        <v>6</v>
      </c>
      <c r="F193" s="1358" t="s">
        <v>363</v>
      </c>
      <c r="G193" s="1515">
        <v>1340</v>
      </c>
      <c r="H193" s="1343">
        <f t="shared" si="63"/>
        <v>8040</v>
      </c>
      <c r="I193" s="1370">
        <v>500</v>
      </c>
      <c r="J193" s="1343">
        <f t="shared" si="61"/>
        <v>3000</v>
      </c>
      <c r="K193" s="1262">
        <f t="shared" si="62"/>
        <v>11040</v>
      </c>
      <c r="L193" s="1273"/>
    </row>
    <row r="194" spans="1:15" s="1765" customFormat="1" ht="24" customHeight="1">
      <c r="A194" s="1258"/>
      <c r="B194" s="1538" t="s">
        <v>2120</v>
      </c>
      <c r="C194" s="1437"/>
      <c r="D194" s="1275"/>
      <c r="E194" s="1768"/>
      <c r="F194" s="1358" t="s">
        <v>363</v>
      </c>
      <c r="G194" s="1515"/>
      <c r="H194" s="1369"/>
      <c r="I194" s="1370"/>
      <c r="J194" s="1369"/>
      <c r="K194" s="1356"/>
      <c r="L194" s="1273"/>
    </row>
    <row r="195" spans="1:15" s="1765" customFormat="1" ht="24" customHeight="1">
      <c r="A195" s="1258"/>
      <c r="B195" s="1538" t="s">
        <v>2121</v>
      </c>
      <c r="C195" s="1437"/>
      <c r="D195" s="1275"/>
      <c r="E195" s="1768">
        <v>6</v>
      </c>
      <c r="F195" s="1358" t="s">
        <v>363</v>
      </c>
      <c r="G195" s="1515">
        <v>4550</v>
      </c>
      <c r="H195" s="1343">
        <f t="shared" ref="H195" si="64">ROUND(E195*G195,)</f>
        <v>27300</v>
      </c>
      <c r="I195" s="1370">
        <v>1365</v>
      </c>
      <c r="J195" s="1343">
        <f t="shared" ref="J195" si="65">ROUND(E195*I195,)</f>
        <v>8190</v>
      </c>
      <c r="K195" s="1262">
        <f t="shared" ref="K195" si="66">H195+J195</f>
        <v>35490</v>
      </c>
      <c r="L195" s="1273"/>
    </row>
    <row r="196" spans="1:15" s="1765" customFormat="1" ht="24" customHeight="1">
      <c r="A196" s="1766" t="s">
        <v>2104</v>
      </c>
      <c r="B196" s="1538" t="s">
        <v>2122</v>
      </c>
      <c r="C196" s="1437"/>
      <c r="D196" s="1275"/>
      <c r="E196" s="1768"/>
      <c r="F196" s="1358"/>
      <c r="G196" s="1516"/>
      <c r="H196" s="1264"/>
      <c r="I196" s="1265"/>
      <c r="J196" s="1264"/>
      <c r="K196" s="1273"/>
      <c r="L196" s="1273"/>
    </row>
    <row r="197" spans="1:15" s="1765" customFormat="1" ht="24" customHeight="1">
      <c r="A197" s="1258"/>
      <c r="B197" s="1538" t="s">
        <v>2123</v>
      </c>
      <c r="C197" s="1437"/>
      <c r="D197" s="1275"/>
      <c r="E197" s="1801">
        <f>(7*5*5*1*2)*1</f>
        <v>350</v>
      </c>
      <c r="F197" s="1356" t="s">
        <v>226</v>
      </c>
      <c r="G197" s="1515">
        <v>139</v>
      </c>
      <c r="H197" s="1343">
        <f t="shared" ref="H197:H198" si="67">ROUND(E197*G197,)</f>
        <v>48650</v>
      </c>
      <c r="I197" s="1370">
        <v>21</v>
      </c>
      <c r="J197" s="1343">
        <f t="shared" ref="J197:J198" si="68">ROUND(E197*I197,)</f>
        <v>7350</v>
      </c>
      <c r="K197" s="1262">
        <f t="shared" ref="K197:K198" si="69">H197+J197</f>
        <v>56000</v>
      </c>
      <c r="L197" s="1273"/>
    </row>
    <row r="198" spans="1:15" s="1765" customFormat="1" ht="24" customHeight="1">
      <c r="A198" s="1258"/>
      <c r="B198" s="1538" t="s">
        <v>2124</v>
      </c>
      <c r="C198" s="1437"/>
      <c r="D198" s="1275"/>
      <c r="E198" s="1801">
        <f>(4*5*5*2*1)*1</f>
        <v>200</v>
      </c>
      <c r="F198" s="1356" t="s">
        <v>226</v>
      </c>
      <c r="G198" s="1515">
        <v>103</v>
      </c>
      <c r="H198" s="1343">
        <f t="shared" si="67"/>
        <v>20600</v>
      </c>
      <c r="I198" s="1370">
        <v>15</v>
      </c>
      <c r="J198" s="1343">
        <f t="shared" si="68"/>
        <v>3000</v>
      </c>
      <c r="K198" s="1262">
        <f t="shared" si="69"/>
        <v>23600</v>
      </c>
      <c r="L198" s="1273"/>
    </row>
    <row r="199" spans="1:15" s="1765" customFormat="1" ht="24" customHeight="1">
      <c r="A199" s="1258"/>
      <c r="B199" s="1538" t="s">
        <v>1548</v>
      </c>
      <c r="C199" s="1437"/>
      <c r="D199" s="1275"/>
      <c r="E199" s="1768"/>
      <c r="F199" s="1358" t="s">
        <v>226</v>
      </c>
      <c r="G199" s="1516"/>
      <c r="H199" s="1264"/>
      <c r="I199" s="1265"/>
      <c r="J199" s="1264"/>
      <c r="K199" s="1273"/>
      <c r="L199" s="1273"/>
    </row>
    <row r="200" spans="1:15" s="1765" customFormat="1" ht="24" customHeight="1">
      <c r="A200" s="1804"/>
      <c r="B200" s="1799" t="s">
        <v>2125</v>
      </c>
      <c r="C200" s="1800"/>
      <c r="D200" s="1375"/>
      <c r="E200" s="1801"/>
      <c r="F200" s="1356" t="s">
        <v>226</v>
      </c>
      <c r="G200" s="1515">
        <v>24</v>
      </c>
      <c r="H200" s="1343">
        <f t="shared" ref="H200:H202" si="70">ROUND(E200*G200,)</f>
        <v>0</v>
      </c>
      <c r="I200" s="1370">
        <v>8</v>
      </c>
      <c r="J200" s="1343">
        <f t="shared" ref="J200:J202" si="71">ROUND(E200*I200,)</f>
        <v>0</v>
      </c>
      <c r="K200" s="1262">
        <f t="shared" ref="K200:K202" si="72">H200+J200</f>
        <v>0</v>
      </c>
      <c r="L200" s="1356"/>
    </row>
    <row r="201" spans="1:15" s="1765" customFormat="1" ht="24" customHeight="1">
      <c r="A201" s="1804"/>
      <c r="B201" s="1799" t="s">
        <v>2126</v>
      </c>
      <c r="C201" s="1800"/>
      <c r="D201" s="1375"/>
      <c r="E201" s="1801"/>
      <c r="F201" s="1356" t="s">
        <v>226</v>
      </c>
      <c r="G201" s="1515">
        <v>15</v>
      </c>
      <c r="H201" s="1343">
        <f t="shared" si="70"/>
        <v>0</v>
      </c>
      <c r="I201" s="1370">
        <v>5</v>
      </c>
      <c r="J201" s="1343">
        <f t="shared" si="71"/>
        <v>0</v>
      </c>
      <c r="K201" s="1262">
        <f t="shared" si="72"/>
        <v>0</v>
      </c>
      <c r="L201" s="1356"/>
    </row>
    <row r="202" spans="1:15" s="1765" customFormat="1" ht="24" customHeight="1">
      <c r="A202" s="1804"/>
      <c r="B202" s="1799" t="s">
        <v>2127</v>
      </c>
      <c r="C202" s="1800"/>
      <c r="D202" s="1375"/>
      <c r="E202" s="1801">
        <v>1</v>
      </c>
      <c r="F202" s="1356" t="s">
        <v>1104</v>
      </c>
      <c r="G202" s="1515">
        <f>SUM(H197:H201)*5%</f>
        <v>3462.5</v>
      </c>
      <c r="H202" s="1343">
        <f t="shared" si="70"/>
        <v>3463</v>
      </c>
      <c r="I202" s="1370">
        <v>19745</v>
      </c>
      <c r="J202" s="1343">
        <f t="shared" si="71"/>
        <v>19745</v>
      </c>
      <c r="K202" s="1262">
        <f t="shared" si="72"/>
        <v>23208</v>
      </c>
      <c r="L202" s="1356"/>
    </row>
    <row r="203" spans="1:15" s="1765" customFormat="1" ht="24" customHeight="1">
      <c r="A203" s="1766" t="s">
        <v>2581</v>
      </c>
      <c r="B203" s="1538" t="s">
        <v>1110</v>
      </c>
      <c r="C203" s="1437"/>
      <c r="D203" s="1275"/>
      <c r="E203" s="1768"/>
      <c r="F203" s="1358"/>
      <c r="G203" s="1515"/>
      <c r="H203" s="1264"/>
      <c r="I203" s="1265"/>
      <c r="J203" s="1264"/>
      <c r="K203" s="1273"/>
      <c r="L203" s="1273"/>
    </row>
    <row r="204" spans="1:15" s="1765" customFormat="1" ht="24" customHeight="1">
      <c r="A204" s="1766"/>
      <c r="B204" s="1538" t="s">
        <v>1350</v>
      </c>
      <c r="C204" s="1437"/>
      <c r="D204" s="1275"/>
      <c r="E204" s="1768">
        <f>(3*5*2*1)*1</f>
        <v>30</v>
      </c>
      <c r="F204" s="1358" t="s">
        <v>226</v>
      </c>
      <c r="G204" s="2004">
        <v>56</v>
      </c>
      <c r="H204" s="1413">
        <f t="shared" ref="H204:H205" si="73">ROUND(E204*G204,)</f>
        <v>1680</v>
      </c>
      <c r="I204" s="1541">
        <v>28</v>
      </c>
      <c r="J204" s="2006">
        <f t="shared" ref="J204:J205" si="74">ROUND(E204*I204,)</f>
        <v>840</v>
      </c>
      <c r="K204" s="715">
        <f t="shared" ref="K204:K205" si="75">H204+J204</f>
        <v>2520</v>
      </c>
      <c r="L204" s="2082" t="s">
        <v>2667</v>
      </c>
      <c r="M204" s="2002"/>
      <c r="N204" s="1199">
        <v>169.2</v>
      </c>
      <c r="O204" s="1199">
        <f>ROUND(N204/3,)</f>
        <v>56</v>
      </c>
    </row>
    <row r="205" spans="1:15" s="1765" customFormat="1" ht="24" customHeight="1">
      <c r="A205" s="1804"/>
      <c r="B205" s="1799" t="s">
        <v>2128</v>
      </c>
      <c r="C205" s="1800"/>
      <c r="D205" s="1375"/>
      <c r="E205" s="1801">
        <v>1</v>
      </c>
      <c r="F205" s="1356" t="s">
        <v>1104</v>
      </c>
      <c r="G205" s="1515">
        <f>H204*15%</f>
        <v>252</v>
      </c>
      <c r="H205" s="1343">
        <f t="shared" si="73"/>
        <v>252</v>
      </c>
      <c r="I205" s="1370">
        <v>58174</v>
      </c>
      <c r="J205" s="1343">
        <f t="shared" si="74"/>
        <v>58174</v>
      </c>
      <c r="K205" s="1262">
        <f t="shared" si="75"/>
        <v>58426</v>
      </c>
      <c r="L205" s="1356"/>
    </row>
    <row r="206" spans="1:15" s="1765" customFormat="1" ht="24" customHeight="1">
      <c r="A206" s="1766" t="s">
        <v>2582</v>
      </c>
      <c r="B206" s="1538" t="s">
        <v>1343</v>
      </c>
      <c r="C206" s="1437"/>
      <c r="D206" s="1275"/>
      <c r="E206" s="1768"/>
      <c r="F206" s="1358"/>
      <c r="G206" s="1515"/>
      <c r="H206" s="1264"/>
      <c r="I206" s="1265"/>
      <c r="J206" s="1264"/>
      <c r="K206" s="1273"/>
      <c r="L206" s="1273"/>
    </row>
    <row r="207" spans="1:15" s="1765" customFormat="1" ht="24" customHeight="1">
      <c r="A207" s="1258"/>
      <c r="B207" s="1538" t="s">
        <v>2129</v>
      </c>
      <c r="C207" s="1437"/>
      <c r="D207" s="1275"/>
      <c r="E207" s="1801"/>
      <c r="F207" s="1356" t="s">
        <v>226</v>
      </c>
      <c r="G207" s="1386">
        <v>316</v>
      </c>
      <c r="H207" s="1343">
        <f t="shared" ref="H207:H208" si="76">ROUND(E207*G207,)</f>
        <v>0</v>
      </c>
      <c r="I207" s="1414">
        <v>50</v>
      </c>
      <c r="J207" s="1343">
        <f t="shared" ref="J207:J208" si="77">ROUND(E207*I207,)</f>
        <v>0</v>
      </c>
      <c r="K207" s="1262">
        <f t="shared" ref="K207:K208" si="78">H207+J207</f>
        <v>0</v>
      </c>
      <c r="L207" s="1273"/>
    </row>
    <row r="208" spans="1:15" s="1765" customFormat="1" ht="24" customHeight="1">
      <c r="A208" s="1258"/>
      <c r="B208" s="1538" t="s">
        <v>2128</v>
      </c>
      <c r="C208" s="1437"/>
      <c r="D208" s="1275"/>
      <c r="E208" s="1801"/>
      <c r="F208" s="1356" t="s">
        <v>1104</v>
      </c>
      <c r="G208" s="1515">
        <f>H207*15%</f>
        <v>0</v>
      </c>
      <c r="H208" s="1343">
        <f t="shared" si="76"/>
        <v>0</v>
      </c>
      <c r="I208" s="1370">
        <v>16637</v>
      </c>
      <c r="J208" s="1343">
        <f t="shared" si="77"/>
        <v>0</v>
      </c>
      <c r="K208" s="1262">
        <f t="shared" si="78"/>
        <v>0</v>
      </c>
      <c r="L208" s="1273"/>
    </row>
    <row r="209" spans="1:12" s="1199" customFormat="1" ht="22.15" customHeight="1">
      <c r="A209" s="1578"/>
      <c r="B209" s="2257" t="str">
        <f>"รวมราคารายการที่ "&amp;A185</f>
        <v>รวมราคารายการที่ 7.8</v>
      </c>
      <c r="C209" s="2258"/>
      <c r="D209" s="2259"/>
      <c r="E209" s="1579"/>
      <c r="F209" s="1579"/>
      <c r="G209" s="1580"/>
      <c r="H209" s="1581">
        <f>SUM(H185:H208)</f>
        <v>129245</v>
      </c>
      <c r="I209" s="1582"/>
      <c r="J209" s="1581">
        <f>SUM(J185:J208)</f>
        <v>106299</v>
      </c>
      <c r="K209" s="1581">
        <f>SUM(K185:K208)</f>
        <v>235544</v>
      </c>
      <c r="L209" s="1583"/>
    </row>
    <row r="210" spans="1:12" s="1199" customFormat="1" ht="22.15" customHeight="1">
      <c r="A210" s="1427"/>
    </row>
    <row r="211" spans="1:12" s="1199" customFormat="1" ht="22.15" customHeight="1">
      <c r="A211" s="1427"/>
    </row>
    <row r="212" spans="1:12" s="1199" customFormat="1" ht="22.15" customHeight="1">
      <c r="A212" s="1427"/>
    </row>
    <row r="213" spans="1:12" s="1199" customFormat="1" ht="22.15" customHeight="1">
      <c r="A213" s="1427"/>
    </row>
    <row r="214" spans="1:12" s="1199" customFormat="1" ht="22.15" customHeight="1">
      <c r="A214" s="1427"/>
    </row>
    <row r="215" spans="1:12" s="1199" customFormat="1" ht="22.15" customHeight="1">
      <c r="A215" s="1427"/>
    </row>
    <row r="216" spans="1:12" s="1199" customFormat="1" ht="22.15" customHeight="1">
      <c r="A216" s="1427"/>
    </row>
    <row r="217" spans="1:12" s="1199" customFormat="1" ht="22.15" customHeight="1">
      <c r="A217" s="1427"/>
    </row>
    <row r="218" spans="1:12" s="1199" customFormat="1" ht="22.15" customHeight="1">
      <c r="A218" s="1427"/>
    </row>
    <row r="219" spans="1:12" s="1199" customFormat="1" ht="22.15" customHeight="1">
      <c r="A219" s="1427"/>
    </row>
    <row r="220" spans="1:12" s="1199" customFormat="1" ht="22.15" customHeight="1">
      <c r="A220" s="1427"/>
    </row>
    <row r="221" spans="1:12" s="1199" customFormat="1" ht="21.3">
      <c r="A221" s="1427"/>
    </row>
    <row r="222" spans="1:12" s="1199" customFormat="1" ht="21.3">
      <c r="A222" s="1427"/>
    </row>
    <row r="223" spans="1:12" s="1199" customFormat="1" ht="21.3">
      <c r="A223" s="1427"/>
    </row>
    <row r="224" spans="1:12" s="1199" customFormat="1" ht="21.3">
      <c r="A224" s="1427"/>
    </row>
    <row r="225" spans="1:12" s="1199" customFormat="1" ht="21.3">
      <c r="A225" s="1427"/>
    </row>
    <row r="226" spans="1:12" s="1199" customFormat="1" ht="21.3">
      <c r="A226" s="1427"/>
    </row>
    <row r="227" spans="1:12" s="1199" customFormat="1" ht="21.3">
      <c r="A227" s="1427"/>
    </row>
    <row r="228" spans="1:12" s="1199" customFormat="1" ht="21.3">
      <c r="A228" s="1427"/>
    </row>
    <row r="229" spans="1:12" s="1199" customFormat="1" ht="21.3">
      <c r="A229" s="1427"/>
    </row>
    <row r="230" spans="1:12" s="1199" customFormat="1" ht="21.3">
      <c r="A230" s="1427"/>
    </row>
    <row r="231" spans="1:12" s="1199" customFormat="1" ht="21.3">
      <c r="A231" s="1427"/>
    </row>
    <row r="232" spans="1:12" s="1199" customFormat="1" ht="21.3">
      <c r="A232" s="1427"/>
    </row>
    <row r="233" spans="1:12" s="1199" customFormat="1" ht="21.3">
      <c r="A233" s="1427"/>
    </row>
    <row r="234" spans="1:12" s="1199" customFormat="1" ht="21.3">
      <c r="A234" s="1427"/>
    </row>
    <row r="235" spans="1:12">
      <c r="A235" s="1427"/>
      <c r="B235" s="1199"/>
      <c r="C235" s="1199"/>
      <c r="D235" s="1199"/>
      <c r="E235" s="1199"/>
      <c r="F235" s="1199"/>
      <c r="G235" s="1199"/>
      <c r="H235" s="1199"/>
      <c r="I235" s="1199"/>
      <c r="J235" s="1199"/>
      <c r="K235" s="1199"/>
      <c r="L235" s="1199"/>
    </row>
    <row r="236" spans="1:12">
      <c r="A236" s="1427"/>
      <c r="B236" s="1199"/>
      <c r="C236" s="1199"/>
      <c r="D236" s="1199"/>
      <c r="E236" s="1199"/>
      <c r="F236" s="1199"/>
      <c r="G236" s="1199"/>
      <c r="H236" s="1199"/>
      <c r="I236" s="1199"/>
      <c r="J236" s="1199"/>
      <c r="K236" s="1199"/>
      <c r="L236" s="1199"/>
    </row>
    <row r="237" spans="1:12">
      <c r="A237" s="1427"/>
      <c r="B237" s="1199"/>
      <c r="C237" s="1199"/>
      <c r="D237" s="1199"/>
      <c r="E237" s="1199"/>
      <c r="F237" s="1199"/>
      <c r="G237" s="1199"/>
      <c r="H237" s="1199"/>
      <c r="I237" s="1199"/>
      <c r="J237" s="1199"/>
      <c r="K237" s="1199"/>
      <c r="L237" s="1199"/>
    </row>
    <row r="244" spans="2:2">
      <c r="B244" s="1805"/>
    </row>
    <row r="245" spans="2:2">
      <c r="B245" s="1805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159:D159"/>
    <mergeCell ref="B184:D184"/>
    <mergeCell ref="B209:D209"/>
    <mergeCell ref="B34:D34"/>
    <mergeCell ref="B49:D49"/>
    <mergeCell ref="B59:D59"/>
    <mergeCell ref="B70:D70"/>
    <mergeCell ref="B96:D96"/>
    <mergeCell ref="B122:D122"/>
  </mergeCells>
  <conditionalFormatting sqref="A160:L161 A169:L169 A172:L172 A170:F170 A176:L183 A173:F173 G168:L168 A168:B168 A175:F175 H175:L175">
    <cfRule type="expression" dxfId="164" priority="24">
      <formula>SUMPRODUCT(--(ROW()=$O$12:$O$18))&gt;0</formula>
    </cfRule>
  </conditionalFormatting>
  <conditionalFormatting sqref="A79:D81 L79:L81 F79:F81">
    <cfRule type="expression" dxfId="163" priority="23">
      <formula>SUMPRODUCT(--(ROW()=$O$12:$O$18))&gt;0</formula>
    </cfRule>
  </conditionalFormatting>
  <conditionalFormatting sqref="A110:L116">
    <cfRule type="expression" dxfId="162" priority="22">
      <formula>SUMPRODUCT(--(ROW()=$O$12:$O$18))&gt;0</formula>
    </cfRule>
  </conditionalFormatting>
  <conditionalFormatting sqref="C168:F168">
    <cfRule type="expression" dxfId="161" priority="15">
      <formula>SUMPRODUCT(--(ROW()=$O$12:$O$18))&gt;0</formula>
    </cfRule>
  </conditionalFormatting>
  <conditionalFormatting sqref="C47:L48 C45:D45 L45 E49:L49 A35:L35 F44:L44 A36 C36:L36 C43:L43 A43:A45 A47:A49">
    <cfRule type="expression" dxfId="160" priority="13">
      <formula>SUMPRODUCT(--(ROW()=$O$12:$O$18))&gt;0</formula>
    </cfRule>
  </conditionalFormatting>
  <conditionalFormatting sqref="G106:K109">
    <cfRule type="expression" dxfId="159" priority="12">
      <formula>SUMPRODUCT(--(ROW()=$R$12:$R$22))&gt;0</formula>
    </cfRule>
  </conditionalFormatting>
  <conditionalFormatting sqref="I79:I81">
    <cfRule type="expression" dxfId="158" priority="11">
      <formula>SUMPRODUCT(--(ROW()=$O$12:$O$22))&gt;0</formula>
    </cfRule>
  </conditionalFormatting>
  <conditionalFormatting sqref="G79:G80">
    <cfRule type="expression" dxfId="157" priority="10">
      <formula>SUMPRODUCT(--(ROW()=$O$14:$O$24))&gt;0</formula>
    </cfRule>
  </conditionalFormatting>
  <conditionalFormatting sqref="H87:H90">
    <cfRule type="expression" dxfId="156" priority="9">
      <formula>SUMPRODUCT(--(ROW()=$O$14:$O$24))&gt;0</formula>
    </cfRule>
  </conditionalFormatting>
  <conditionalFormatting sqref="G81">
    <cfRule type="expression" dxfId="155" priority="8">
      <formula>SUMPRODUCT(--(ROW()=$O$14:$O$24))&gt;0</formula>
    </cfRule>
  </conditionalFormatting>
  <conditionalFormatting sqref="A171:K171">
    <cfRule type="expression" dxfId="154" priority="3">
      <formula>SUMPRODUCT(--(ROW()=$O$12:$O$24))&gt;0</formula>
    </cfRule>
  </conditionalFormatting>
  <conditionalFormatting sqref="A174:F174">
    <cfRule type="expression" dxfId="153" priority="2">
      <formula>SUMPRODUCT(--(ROW()=$O$12:$O$24))&gt;0</formula>
    </cfRule>
  </conditionalFormatting>
  <conditionalFormatting sqref="E79:E80">
    <cfRule type="expression" dxfId="152" priority="1">
      <formula>SUMPRODUCT(--(ROW()=$W$12:$W$21))&gt;0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4-อาคารด้านทิศตะวันตก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F3995-D86F-4417-A030-83FCBCA3DF83}">
  <sheetPr>
    <tabColor rgb="FF92D050"/>
  </sheetPr>
  <dimension ref="A1:T245"/>
  <sheetViews>
    <sheetView showGridLines="0" view="pageBreakPreview" topLeftCell="A190" zoomScale="70" zoomScaleNormal="60" zoomScaleSheetLayoutView="70" workbookViewId="0">
      <selection activeCell="H179" sqref="H179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7.703125" style="1" customWidth="1"/>
    <col min="14" max="14" width="11" style="1" customWidth="1"/>
    <col min="15" max="15" width="10.29296875" style="1" customWidth="1"/>
    <col min="16" max="16" width="11.703125" style="1" customWidth="1"/>
    <col min="17" max="17" width="10.29296875" style="1" customWidth="1"/>
    <col min="18" max="18" width="10.703125" style="1" customWidth="1"/>
    <col min="19" max="19" width="10.5859375" style="1" customWidth="1"/>
    <col min="20" max="20" width="10.29296875" style="1" customWidth="1"/>
    <col min="21" max="21" width="10.5859375" style="1" customWidth="1"/>
    <col min="22" max="78" width="7.703125" style="1" customWidth="1"/>
    <col min="7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03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04" t="s">
        <v>18</v>
      </c>
      <c r="L10" s="2225"/>
    </row>
    <row r="11" spans="1:12" ht="24" customHeight="1">
      <c r="A11" s="1560" t="s">
        <v>24</v>
      </c>
      <c r="B11" s="1561" t="s">
        <v>2843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H49</f>
        <v>2506950</v>
      </c>
      <c r="I12" s="1197"/>
      <c r="J12" s="1196">
        <f>J49</f>
        <v>129546</v>
      </c>
      <c r="K12" s="1196">
        <f t="shared" ref="K12:K15" si="0">SUM(H12:J12)</f>
        <v>2636496</v>
      </c>
      <c r="L12" s="1531"/>
    </row>
    <row r="13" spans="1:12" s="1199" customFormat="1" ht="24" customHeight="1">
      <c r="A13" s="1564">
        <f>A50</f>
        <v>7.2</v>
      </c>
      <c r="B13" s="1538" t="str">
        <f>B50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330000</v>
      </c>
      <c r="I13" s="1197"/>
      <c r="J13" s="1196">
        <f>J59</f>
        <v>3000</v>
      </c>
      <c r="K13" s="1196">
        <f t="shared" si="0"/>
        <v>333000</v>
      </c>
      <c r="L13" s="1531"/>
    </row>
    <row r="14" spans="1:12" s="1199" customFormat="1" ht="24" customHeight="1">
      <c r="A14" s="1564" t="str">
        <f>A60</f>
        <v>7.3</v>
      </c>
      <c r="B14" s="1538" t="str">
        <f>B60</f>
        <v>ระบบกรองอากาศ (Air Filtration System)</v>
      </c>
      <c r="C14" s="1533"/>
      <c r="D14" s="1534"/>
      <c r="E14" s="1753">
        <v>1</v>
      </c>
      <c r="F14" s="1567" t="s">
        <v>19</v>
      </c>
      <c r="G14" s="1195"/>
      <c r="H14" s="1196">
        <f>H70</f>
        <v>27600</v>
      </c>
      <c r="I14" s="1197"/>
      <c r="J14" s="1196">
        <f>J70</f>
        <v>1800</v>
      </c>
      <c r="K14" s="1196">
        <f t="shared" si="0"/>
        <v>29400</v>
      </c>
      <c r="L14" s="1531"/>
    </row>
    <row r="15" spans="1:12" s="1199" customFormat="1" ht="24" customHeight="1">
      <c r="A15" s="1564">
        <f>A71</f>
        <v>7.4</v>
      </c>
      <c r="B15" s="1538" t="str">
        <f>B71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H98</f>
        <v>380706</v>
      </c>
      <c r="I15" s="1197"/>
      <c r="J15" s="1196">
        <f>J98</f>
        <v>140570</v>
      </c>
      <c r="K15" s="1196">
        <f t="shared" si="0"/>
        <v>521276</v>
      </c>
      <c r="L15" s="1531"/>
    </row>
    <row r="16" spans="1:12" s="1199" customFormat="1" ht="24" customHeight="1">
      <c r="A16" s="1755" t="str">
        <f>A99</f>
        <v>7.5</v>
      </c>
      <c r="B16" s="1816" t="str">
        <f>B99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H120</f>
        <v>134456</v>
      </c>
      <c r="I16" s="1197"/>
      <c r="J16" s="1196">
        <f>J120</f>
        <v>35776</v>
      </c>
      <c r="K16" s="1196">
        <f t="shared" ref="K16:K18" si="1">SUM(H16:J16)</f>
        <v>170232</v>
      </c>
      <c r="L16" s="1531"/>
    </row>
    <row r="17" spans="1:12" s="1199" customFormat="1" ht="24" customHeight="1">
      <c r="A17" s="1756">
        <f>A121</f>
        <v>7.6</v>
      </c>
      <c r="B17" s="1840" t="str">
        <f>B121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H159</f>
        <v>155646</v>
      </c>
      <c r="I17" s="1197"/>
      <c r="J17" s="1196">
        <f>J159</f>
        <v>22800</v>
      </c>
      <c r="K17" s="1196">
        <f t="shared" si="1"/>
        <v>178446</v>
      </c>
      <c r="L17" s="1531"/>
    </row>
    <row r="18" spans="1:12" s="1199" customFormat="1" ht="24" customHeight="1">
      <c r="A18" s="1537" t="str">
        <f>A160</f>
        <v>7.7</v>
      </c>
      <c r="B18" s="1840" t="str">
        <f>B160</f>
        <v>ระบบไฟฟ้าและควบคุม (Electrical &amp; Control System)</v>
      </c>
      <c r="C18" s="1533"/>
      <c r="D18" s="1534"/>
      <c r="E18" s="1753">
        <v>1</v>
      </c>
      <c r="F18" s="1567" t="s">
        <v>19</v>
      </c>
      <c r="G18" s="1195"/>
      <c r="H18" s="1196">
        <f>H184</f>
        <v>553665</v>
      </c>
      <c r="I18" s="1197"/>
      <c r="J18" s="1196">
        <f>J184</f>
        <v>61208</v>
      </c>
      <c r="K18" s="1196">
        <f t="shared" si="1"/>
        <v>614873</v>
      </c>
      <c r="L18" s="1531"/>
    </row>
    <row r="19" spans="1:12" s="1199" customFormat="1" ht="24" customHeight="1">
      <c r="A19" s="1537" t="str">
        <f>A185</f>
        <v>7.8</v>
      </c>
      <c r="B19" s="1840" t="str">
        <f>B185</f>
        <v>หมวดงานเชื่อมต่อกับระบบ BAS</v>
      </c>
      <c r="C19" s="1533"/>
      <c r="D19" s="1534"/>
      <c r="E19" s="1753">
        <v>1</v>
      </c>
      <c r="F19" s="1567" t="s">
        <v>19</v>
      </c>
      <c r="G19" s="1195"/>
      <c r="H19" s="1196">
        <f>H209</f>
        <v>129245</v>
      </c>
      <c r="I19" s="1197"/>
      <c r="J19" s="1196">
        <f>J209</f>
        <v>106299</v>
      </c>
      <c r="K19" s="1196">
        <f>K209</f>
        <v>235544</v>
      </c>
      <c r="L19" s="1531"/>
    </row>
    <row r="20" spans="1:12" s="1199" customFormat="1" ht="24" customHeight="1">
      <c r="A20" s="1537"/>
      <c r="B20" s="2139"/>
      <c r="C20" s="1533"/>
      <c r="D20" s="1534"/>
      <c r="E20" s="1753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6</v>
      </c>
      <c r="C34" s="2258"/>
      <c r="D34" s="2259"/>
      <c r="E34" s="1579"/>
      <c r="F34" s="1579"/>
      <c r="G34" s="1580"/>
      <c r="H34" s="1581">
        <f>SUM(H11:H33)</f>
        <v>4218268</v>
      </c>
      <c r="I34" s="1582"/>
      <c r="J34" s="1581">
        <f>SUM(J11:J33)</f>
        <v>500999</v>
      </c>
      <c r="K34" s="1581">
        <f>SUM(K11:K33)</f>
        <v>4719267</v>
      </c>
      <c r="L34" s="1583"/>
    </row>
    <row r="35" spans="1:20" s="1765" customFormat="1" ht="24" customHeight="1">
      <c r="A35" s="1847" t="s">
        <v>2246</v>
      </c>
      <c r="B35" s="1848" t="s">
        <v>2247</v>
      </c>
      <c r="C35" s="1849"/>
      <c r="D35" s="1354"/>
      <c r="E35" s="1802"/>
      <c r="F35" s="1356"/>
      <c r="G35" s="1803"/>
      <c r="H35" s="1369"/>
      <c r="I35" s="1370"/>
      <c r="J35" s="1369"/>
      <c r="K35" s="1356"/>
      <c r="L35" s="1356"/>
    </row>
    <row r="36" spans="1:20" s="1765" customFormat="1" ht="24" customHeight="1">
      <c r="A36" s="2113" t="s">
        <v>1984</v>
      </c>
      <c r="B36" s="2164" t="s">
        <v>2782</v>
      </c>
      <c r="C36" s="2115"/>
      <c r="D36" s="2115"/>
      <c r="E36" s="1802"/>
      <c r="F36" s="1356"/>
      <c r="G36" s="1803"/>
      <c r="H36" s="1369"/>
      <c r="I36" s="1370"/>
      <c r="J36" s="1369"/>
      <c r="K36" s="1356"/>
      <c r="L36" s="1356"/>
    </row>
    <row r="37" spans="1:20" s="2116" customFormat="1" ht="24" customHeight="1">
      <c r="A37" s="2112"/>
      <c r="B37" s="2164" t="s">
        <v>2792</v>
      </c>
      <c r="C37" s="2111"/>
      <c r="D37" s="2165"/>
      <c r="E37" s="825">
        <v>1</v>
      </c>
      <c r="F37" s="1457" t="s">
        <v>363</v>
      </c>
      <c r="G37" s="1769">
        <v>409425</v>
      </c>
      <c r="H37" s="1413">
        <f t="shared" ref="H37:H42" si="2">ROUND(E37*G37,)</f>
        <v>409425</v>
      </c>
      <c r="I37" s="1455">
        <f>G37*0.05</f>
        <v>20471.25</v>
      </c>
      <c r="J37" s="1413">
        <f t="shared" ref="J37:J42" si="3">ROUND(E37*I37,)</f>
        <v>20471</v>
      </c>
      <c r="K37" s="1415">
        <f t="shared" ref="K37:K42" si="4">H37+J37</f>
        <v>429896</v>
      </c>
      <c r="L37" s="1457"/>
      <c r="M37" s="2120"/>
      <c r="N37" s="2120"/>
      <c r="O37" s="2120"/>
      <c r="P37" s="2120"/>
      <c r="Q37" s="2120"/>
      <c r="R37" s="2120"/>
      <c r="S37" s="2120"/>
      <c r="T37" s="2120"/>
    </row>
    <row r="38" spans="1:20" s="2116" customFormat="1" ht="24" customHeight="1">
      <c r="A38" s="2112"/>
      <c r="B38" s="2164" t="s">
        <v>2793</v>
      </c>
      <c r="C38" s="2111"/>
      <c r="D38" s="2165"/>
      <c r="E38" s="825">
        <v>1</v>
      </c>
      <c r="F38" s="1457" t="s">
        <v>363</v>
      </c>
      <c r="G38" s="1769">
        <v>409425</v>
      </c>
      <c r="H38" s="1413">
        <f t="shared" si="2"/>
        <v>409425</v>
      </c>
      <c r="I38" s="1455">
        <f t="shared" ref="I38:I39" si="5">G38*0.05</f>
        <v>20471.25</v>
      </c>
      <c r="J38" s="1413">
        <f t="shared" si="3"/>
        <v>20471</v>
      </c>
      <c r="K38" s="1415">
        <f t="shared" si="4"/>
        <v>429896</v>
      </c>
      <c r="L38" s="1457"/>
      <c r="M38" s="2120"/>
      <c r="N38" s="2120"/>
      <c r="O38" s="2120"/>
      <c r="P38" s="2120"/>
      <c r="Q38" s="2120"/>
      <c r="R38" s="2120"/>
      <c r="S38" s="2120"/>
      <c r="T38" s="2120"/>
    </row>
    <row r="39" spans="1:20" s="2116" customFormat="1" ht="24" customHeight="1">
      <c r="A39" s="2112"/>
      <c r="B39" s="2164" t="s">
        <v>2794</v>
      </c>
      <c r="C39" s="2111"/>
      <c r="D39" s="2165"/>
      <c r="E39" s="825">
        <v>1</v>
      </c>
      <c r="F39" s="1457" t="s">
        <v>363</v>
      </c>
      <c r="G39" s="1769">
        <v>409425</v>
      </c>
      <c r="H39" s="1413">
        <f t="shared" si="2"/>
        <v>409425</v>
      </c>
      <c r="I39" s="1455">
        <f t="shared" si="5"/>
        <v>20471.25</v>
      </c>
      <c r="J39" s="1413">
        <f t="shared" si="3"/>
        <v>20471</v>
      </c>
      <c r="K39" s="1415">
        <f t="shared" si="4"/>
        <v>429896</v>
      </c>
      <c r="L39" s="1457"/>
      <c r="M39" s="2120"/>
      <c r="N39" s="2120"/>
      <c r="O39" s="2120"/>
      <c r="P39" s="2120"/>
      <c r="Q39" s="2120"/>
      <c r="R39" s="2120"/>
      <c r="S39" s="2120"/>
      <c r="T39" s="2120"/>
    </row>
    <row r="40" spans="1:20" s="2116" customFormat="1" ht="24" customHeight="1">
      <c r="A40" s="2112"/>
      <c r="B40" s="2164" t="s">
        <v>2815</v>
      </c>
      <c r="C40" s="2111"/>
      <c r="D40" s="2165"/>
      <c r="E40" s="825">
        <v>1</v>
      </c>
      <c r="F40" s="1457" t="s">
        <v>363</v>
      </c>
      <c r="G40" s="1769">
        <v>409425</v>
      </c>
      <c r="H40" s="1413">
        <f t="shared" si="2"/>
        <v>409425</v>
      </c>
      <c r="I40" s="1455">
        <f>G40*0.05</f>
        <v>20471.25</v>
      </c>
      <c r="J40" s="1413">
        <f t="shared" si="3"/>
        <v>20471</v>
      </c>
      <c r="K40" s="1415">
        <f t="shared" si="4"/>
        <v>429896</v>
      </c>
      <c r="L40" s="1457"/>
      <c r="M40" s="2120"/>
      <c r="N40" s="2120"/>
      <c r="O40" s="2120"/>
      <c r="P40" s="2120"/>
      <c r="Q40" s="2120"/>
      <c r="R40" s="2120"/>
      <c r="S40" s="2120"/>
      <c r="T40" s="2120"/>
    </row>
    <row r="41" spans="1:20" s="2116" customFormat="1" ht="24" customHeight="1">
      <c r="A41" s="2112"/>
      <c r="B41" s="2164" t="s">
        <v>2816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2"/>
        <v>409425</v>
      </c>
      <c r="I41" s="1455">
        <f t="shared" ref="I41:I42" si="6">G41*0.05</f>
        <v>20471.25</v>
      </c>
      <c r="J41" s="1413">
        <f t="shared" si="3"/>
        <v>20471</v>
      </c>
      <c r="K41" s="1415">
        <f t="shared" si="4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2116" customFormat="1" ht="24" customHeight="1">
      <c r="A42" s="2112"/>
      <c r="B42" s="2164" t="s">
        <v>2817</v>
      </c>
      <c r="C42" s="2111"/>
      <c r="D42" s="2165"/>
      <c r="E42" s="825">
        <v>1</v>
      </c>
      <c r="F42" s="1457" t="s">
        <v>363</v>
      </c>
      <c r="G42" s="1769">
        <v>409425</v>
      </c>
      <c r="H42" s="1413">
        <f t="shared" si="2"/>
        <v>409425</v>
      </c>
      <c r="I42" s="1455">
        <f t="shared" si="6"/>
        <v>20471.25</v>
      </c>
      <c r="J42" s="1413">
        <f t="shared" si="3"/>
        <v>20471</v>
      </c>
      <c r="K42" s="1415">
        <f t="shared" si="4"/>
        <v>429896</v>
      </c>
      <c r="L42" s="1457"/>
      <c r="M42" s="2120"/>
      <c r="N42" s="2120"/>
      <c r="O42" s="2120"/>
      <c r="P42" s="2120"/>
      <c r="Q42" s="2120"/>
      <c r="R42" s="2120"/>
      <c r="S42" s="2120"/>
      <c r="T42" s="2120"/>
    </row>
    <row r="43" spans="1:20" s="1765" customFormat="1" ht="24" customHeight="1">
      <c r="A43" s="2112"/>
      <c r="B43" s="2114"/>
      <c r="C43" s="2106"/>
      <c r="D43" s="2106"/>
      <c r="E43" s="1802"/>
      <c r="F43" s="1356"/>
      <c r="G43" s="1803"/>
      <c r="H43" s="1369"/>
      <c r="I43" s="1370"/>
      <c r="J43" s="1369"/>
      <c r="K43" s="1356"/>
      <c r="L43" s="1356"/>
    </row>
    <row r="44" spans="1:20" s="1765" customFormat="1" ht="24" customHeight="1">
      <c r="A44" s="2112"/>
      <c r="B44" s="2107" t="s">
        <v>2253</v>
      </c>
      <c r="C44" s="2106"/>
      <c r="D44" s="2165"/>
      <c r="E44" s="825">
        <f>SUM(E37:E43)</f>
        <v>6</v>
      </c>
      <c r="F44" s="1457" t="s">
        <v>363</v>
      </c>
      <c r="G44" s="1769">
        <v>2000</v>
      </c>
      <c r="H44" s="1343">
        <f t="shared" ref="H44:H46" si="7">ROUND(E44*G44,)</f>
        <v>12000</v>
      </c>
      <c r="I44" s="1856" t="s">
        <v>1683</v>
      </c>
      <c r="J44" s="1343"/>
      <c r="K44" s="1801">
        <f t="shared" ref="K44:K46" si="8">H44+J44</f>
        <v>12000</v>
      </c>
      <c r="L44" s="715"/>
    </row>
    <row r="45" spans="1:20" s="1765" customFormat="1" ht="24" customHeight="1">
      <c r="A45" s="2113" t="s">
        <v>1986</v>
      </c>
      <c r="B45" s="2114" t="s">
        <v>2041</v>
      </c>
      <c r="C45" s="2115"/>
      <c r="D45" s="2150"/>
      <c r="E45" s="825">
        <f>E44</f>
        <v>6</v>
      </c>
      <c r="F45" s="1457" t="s">
        <v>363</v>
      </c>
      <c r="G45" s="1769">
        <v>2400</v>
      </c>
      <c r="H45" s="1343">
        <f t="shared" si="7"/>
        <v>14400</v>
      </c>
      <c r="I45" s="1455">
        <v>720</v>
      </c>
      <c r="J45" s="1343">
        <f t="shared" ref="J45:J46" si="9">ROUND(E45*I45,)</f>
        <v>4320</v>
      </c>
      <c r="K45" s="1801">
        <f t="shared" si="8"/>
        <v>18720</v>
      </c>
      <c r="L45" s="1356"/>
    </row>
    <row r="46" spans="1:20" s="2116" customFormat="1" ht="24" customHeight="1">
      <c r="A46" s="2112" t="s">
        <v>1988</v>
      </c>
      <c r="B46" s="2164" t="s">
        <v>2331</v>
      </c>
      <c r="C46" s="2111"/>
      <c r="D46" s="2165"/>
      <c r="E46" s="825">
        <f>E44</f>
        <v>6</v>
      </c>
      <c r="F46" s="1457" t="s">
        <v>363</v>
      </c>
      <c r="G46" s="1769">
        <v>4000</v>
      </c>
      <c r="H46" s="1413">
        <f t="shared" si="7"/>
        <v>24000</v>
      </c>
      <c r="I46" s="1455">
        <f t="shared" ref="I46" si="10">G46*0.1</f>
        <v>400</v>
      </c>
      <c r="J46" s="1413">
        <f t="shared" si="9"/>
        <v>2400</v>
      </c>
      <c r="K46" s="1415">
        <f t="shared" si="8"/>
        <v>26400</v>
      </c>
      <c r="L46" s="1457"/>
      <c r="M46" s="2120"/>
      <c r="N46" s="2120"/>
      <c r="O46" s="2120"/>
      <c r="P46" s="2120"/>
      <c r="Q46" s="2120"/>
      <c r="R46" s="2120"/>
      <c r="S46" s="2120"/>
      <c r="T46" s="2120"/>
    </row>
    <row r="47" spans="1:20" s="1765" customFormat="1" ht="24" customHeight="1">
      <c r="A47" s="2113"/>
      <c r="B47" s="2114" t="s">
        <v>1117</v>
      </c>
      <c r="C47" s="2115"/>
      <c r="D47" s="2150"/>
      <c r="E47" s="1801"/>
      <c r="F47" s="1356"/>
      <c r="G47" s="1515"/>
      <c r="H47" s="820"/>
      <c r="I47" s="1370"/>
      <c r="J47" s="820"/>
      <c r="K47" s="1457"/>
      <c r="L47" s="1356"/>
    </row>
    <row r="48" spans="1:20" s="1765" customFormat="1" ht="24" customHeight="1">
      <c r="A48" s="2113"/>
      <c r="B48" s="2114"/>
      <c r="C48" s="2115"/>
      <c r="D48" s="2150"/>
      <c r="E48" s="1801"/>
      <c r="F48" s="1356"/>
      <c r="G48" s="1344"/>
      <c r="H48" s="820"/>
      <c r="I48" s="1370"/>
      <c r="J48" s="820"/>
      <c r="K48" s="1457"/>
      <c r="L48" s="1356"/>
    </row>
    <row r="49" spans="1:20" s="1765" customFormat="1" ht="24" customHeight="1">
      <c r="A49" s="1857"/>
      <c r="B49" s="2257" t="str">
        <f>"รวมราคารายการที่ "&amp;A35</f>
        <v>รวมราคารายการที่ 7.1</v>
      </c>
      <c r="C49" s="2258"/>
      <c r="D49" s="2259"/>
      <c r="E49" s="1858"/>
      <c r="F49" s="1858"/>
      <c r="G49" s="1859"/>
      <c r="H49" s="1860">
        <f>SUM(H36:H48)</f>
        <v>2506950</v>
      </c>
      <c r="I49" s="1861"/>
      <c r="J49" s="1860">
        <f>SUM(J36:J48)</f>
        <v>129546</v>
      </c>
      <c r="K49" s="1862">
        <f>SUM(K36:K48)</f>
        <v>2636496</v>
      </c>
      <c r="L49" s="1862"/>
    </row>
    <row r="50" spans="1:20" s="1765" customFormat="1" ht="24" customHeight="1">
      <c r="A50" s="1757">
        <v>7.2</v>
      </c>
      <c r="B50" s="1758" t="s">
        <v>1983</v>
      </c>
      <c r="C50" s="1294"/>
      <c r="D50" s="1777"/>
      <c r="E50" s="1686"/>
      <c r="F50" s="1402"/>
      <c r="G50" s="1661"/>
      <c r="H50" s="1588"/>
      <c r="I50" s="1589"/>
      <c r="J50" s="1588"/>
      <c r="K50" s="1770"/>
      <c r="L50" s="1770"/>
    </row>
    <row r="51" spans="1:20" s="1765" customFormat="1" ht="24" customHeight="1">
      <c r="A51" s="1258" t="s">
        <v>1992</v>
      </c>
      <c r="B51" s="1538" t="s">
        <v>2138</v>
      </c>
      <c r="C51" s="1275"/>
      <c r="D51" s="1767"/>
      <c r="E51" s="1771"/>
      <c r="F51" s="1385"/>
      <c r="G51" s="1778"/>
      <c r="H51" s="1594"/>
      <c r="I51" s="1595"/>
      <c r="J51" s="1594"/>
      <c r="K51" s="1632"/>
      <c r="L51" s="1632"/>
    </row>
    <row r="52" spans="1:20" s="1765" customFormat="1" ht="24" customHeight="1">
      <c r="A52" s="1766" t="s">
        <v>2139</v>
      </c>
      <c r="B52" s="1538" t="s">
        <v>2140</v>
      </c>
      <c r="C52" s="1275"/>
      <c r="D52" s="1767"/>
      <c r="E52" s="1686"/>
      <c r="F52" s="1402"/>
      <c r="G52" s="1661"/>
      <c r="H52" s="1588"/>
      <c r="I52" s="1589"/>
      <c r="J52" s="1588"/>
      <c r="K52" s="1770"/>
      <c r="L52" s="1770"/>
    </row>
    <row r="53" spans="1:20" s="1765" customFormat="1" ht="24" customHeight="1">
      <c r="A53" s="1766"/>
      <c r="B53" s="1538" t="s">
        <v>1821</v>
      </c>
      <c r="C53" s="1275"/>
      <c r="D53" s="1767"/>
      <c r="E53" s="1813"/>
      <c r="F53" s="1389" t="s">
        <v>363</v>
      </c>
      <c r="G53" s="1814">
        <v>3300</v>
      </c>
      <c r="H53" s="1773">
        <f t="shared" ref="H53:H56" si="11">ROUND(E53*G53,)</f>
        <v>0</v>
      </c>
      <c r="I53" s="1815">
        <v>150</v>
      </c>
      <c r="J53" s="1773">
        <f t="shared" ref="J53:J56" si="12">ROUND(E53*I53,)</f>
        <v>0</v>
      </c>
      <c r="K53" s="1774">
        <f t="shared" ref="K53:K56" si="13">H53+J53</f>
        <v>0</v>
      </c>
      <c r="L53" s="1770"/>
    </row>
    <row r="54" spans="1:20" s="1765" customFormat="1" ht="24" customHeight="1">
      <c r="A54" s="2166"/>
      <c r="B54" s="2114" t="s">
        <v>1836</v>
      </c>
      <c r="C54" s="2108"/>
      <c r="D54" s="2109"/>
      <c r="E54" s="715"/>
      <c r="F54" s="1415" t="s">
        <v>363</v>
      </c>
      <c r="G54" s="1772">
        <v>4596</v>
      </c>
      <c r="H54" s="1343">
        <f t="shared" si="11"/>
        <v>0</v>
      </c>
      <c r="I54" s="1386">
        <v>200</v>
      </c>
      <c r="J54" s="1343">
        <f t="shared" si="12"/>
        <v>0</v>
      </c>
      <c r="K54" s="1801">
        <f t="shared" si="13"/>
        <v>0</v>
      </c>
      <c r="L54" s="1457"/>
    </row>
    <row r="55" spans="1:20" s="2116" customFormat="1" ht="24" customHeight="1">
      <c r="A55" s="2113"/>
      <c r="B55" s="2114" t="s">
        <v>1715</v>
      </c>
      <c r="C55" s="2108"/>
      <c r="D55" s="2109"/>
      <c r="E55" s="1834">
        <v>6</v>
      </c>
      <c r="F55" s="1466" t="s">
        <v>363</v>
      </c>
      <c r="G55" s="2161">
        <v>55000</v>
      </c>
      <c r="H55" s="2156">
        <f t="shared" si="11"/>
        <v>330000</v>
      </c>
      <c r="I55" s="2162">
        <v>500</v>
      </c>
      <c r="J55" s="2156">
        <f t="shared" si="12"/>
        <v>3000</v>
      </c>
      <c r="K55" s="1853">
        <f t="shared" si="13"/>
        <v>333000</v>
      </c>
      <c r="L55" s="1415"/>
      <c r="M55" s="2120"/>
      <c r="N55" s="2120"/>
      <c r="O55" s="2120"/>
      <c r="P55" s="2120"/>
      <c r="Q55" s="2120"/>
      <c r="R55" s="2120"/>
      <c r="S55" s="2120"/>
      <c r="T55" s="2120"/>
    </row>
    <row r="56" spans="1:20" s="2116" customFormat="1" ht="24" customHeight="1">
      <c r="A56" s="2113" t="s">
        <v>2036</v>
      </c>
      <c r="B56" s="2114" t="s">
        <v>2727</v>
      </c>
      <c r="C56" s="2108"/>
      <c r="D56" s="2109"/>
      <c r="E56" s="715"/>
      <c r="F56" s="1466" t="s">
        <v>363</v>
      </c>
      <c r="G56" s="2161">
        <v>16150</v>
      </c>
      <c r="H56" s="2156">
        <f t="shared" si="11"/>
        <v>0</v>
      </c>
      <c r="I56" s="2162">
        <v>500</v>
      </c>
      <c r="J56" s="2156">
        <f t="shared" si="12"/>
        <v>0</v>
      </c>
      <c r="K56" s="1853">
        <f t="shared" si="13"/>
        <v>0</v>
      </c>
      <c r="L56" s="1415"/>
      <c r="M56" s="2120"/>
      <c r="N56" s="2120"/>
      <c r="O56" s="2120"/>
      <c r="P56" s="2120"/>
      <c r="Q56" s="2120"/>
      <c r="R56" s="2120"/>
      <c r="S56" s="2120"/>
      <c r="T56" s="2120"/>
    </row>
    <row r="57" spans="1:20" s="1765" customFormat="1" ht="24" customHeight="1">
      <c r="A57" s="2166"/>
      <c r="B57" s="2114" t="s">
        <v>1117</v>
      </c>
      <c r="C57" s="2108"/>
      <c r="D57" s="2109"/>
      <c r="E57" s="825"/>
      <c r="F57" s="1457"/>
      <c r="G57" s="1769"/>
      <c r="H57" s="820"/>
      <c r="I57" s="1455"/>
      <c r="J57" s="820"/>
      <c r="K57" s="1457"/>
      <c r="L57" s="1457"/>
    </row>
    <row r="58" spans="1:20" s="1765" customFormat="1" ht="24" customHeight="1">
      <c r="A58" s="1584"/>
      <c r="B58" s="1538" t="s">
        <v>1118</v>
      </c>
      <c r="C58" s="1275"/>
      <c r="D58" s="1767"/>
      <c r="E58" s="1686"/>
      <c r="F58" s="1402"/>
      <c r="G58" s="1661"/>
      <c r="H58" s="1588"/>
      <c r="I58" s="1589"/>
      <c r="J58" s="1588"/>
      <c r="K58" s="1770"/>
      <c r="L58" s="1770"/>
    </row>
    <row r="59" spans="1:20" s="1199" customFormat="1" ht="24" customHeight="1">
      <c r="A59" s="1578"/>
      <c r="B59" s="2257" t="str">
        <f>"รวมราคารายการที่ "&amp;A50</f>
        <v>รวมราคารายการที่ 7.2</v>
      </c>
      <c r="C59" s="2258"/>
      <c r="D59" s="2259"/>
      <c r="E59" s="1579"/>
      <c r="F59" s="1579"/>
      <c r="G59" s="1580"/>
      <c r="H59" s="1581">
        <f>SUM(H50:H58)</f>
        <v>330000</v>
      </c>
      <c r="I59" s="1582"/>
      <c r="J59" s="1581">
        <f>SUM(J50:J58)</f>
        <v>3000</v>
      </c>
      <c r="K59" s="1581">
        <f>SUM(K50:K58)</f>
        <v>333000</v>
      </c>
      <c r="L59" s="1583"/>
    </row>
    <row r="60" spans="1:20" s="1765" customFormat="1" ht="24" customHeight="1">
      <c r="A60" s="1291" t="s">
        <v>2306</v>
      </c>
      <c r="B60" s="1852" t="s">
        <v>2255</v>
      </c>
      <c r="C60" s="1293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766" t="s">
        <v>2043</v>
      </c>
      <c r="B61" s="1538" t="s">
        <v>2256</v>
      </c>
      <c r="C61" s="1275"/>
      <c r="D61" s="1767"/>
      <c r="E61" s="1686"/>
      <c r="F61" s="1402"/>
      <c r="G61" s="1661"/>
      <c r="H61" s="1588"/>
      <c r="I61" s="1589"/>
      <c r="J61" s="1588"/>
      <c r="K61" s="1770"/>
      <c r="L61" s="1770"/>
    </row>
    <row r="62" spans="1:20" s="1765" customFormat="1" ht="24" customHeight="1">
      <c r="A62" s="1766"/>
      <c r="B62" s="1538" t="s">
        <v>2257</v>
      </c>
      <c r="C62" s="1275"/>
      <c r="D62" s="1767"/>
      <c r="E62" s="1686"/>
      <c r="F62" s="1402" t="s">
        <v>363</v>
      </c>
      <c r="G62" s="1661">
        <v>650</v>
      </c>
      <c r="H62" s="1588">
        <f t="shared" ref="H62:H65" si="14">ROUND(E62*G62,)</f>
        <v>0</v>
      </c>
      <c r="I62" s="1589">
        <v>150</v>
      </c>
      <c r="J62" s="1588">
        <f t="shared" ref="J62:J65" si="15">ROUND(E62*I62,)</f>
        <v>0</v>
      </c>
      <c r="K62" s="1770">
        <f t="shared" ref="K62:K65" si="16">H62+J62</f>
        <v>0</v>
      </c>
      <c r="L62" s="1770"/>
    </row>
    <row r="63" spans="1:20" s="1765" customFormat="1" ht="24" customHeight="1">
      <c r="A63" s="1766" t="s">
        <v>2047</v>
      </c>
      <c r="B63" s="1538" t="s">
        <v>2258</v>
      </c>
      <c r="C63" s="1275"/>
      <c r="D63" s="1767"/>
      <c r="E63" s="1686">
        <v>6</v>
      </c>
      <c r="F63" s="1402" t="s">
        <v>363</v>
      </c>
      <c r="G63" s="1661">
        <v>2400</v>
      </c>
      <c r="H63" s="1588">
        <f t="shared" si="14"/>
        <v>14400</v>
      </c>
      <c r="I63" s="1589">
        <v>150</v>
      </c>
      <c r="J63" s="1588">
        <f t="shared" si="15"/>
        <v>900</v>
      </c>
      <c r="K63" s="1770">
        <f t="shared" si="16"/>
        <v>15300</v>
      </c>
      <c r="L63" s="1770"/>
    </row>
    <row r="64" spans="1:20" s="1765" customFormat="1" ht="24" customHeight="1">
      <c r="A64" s="1766" t="s">
        <v>2155</v>
      </c>
      <c r="B64" s="1538" t="s">
        <v>2259</v>
      </c>
      <c r="C64" s="1275"/>
      <c r="D64" s="1767"/>
      <c r="E64" s="1686">
        <v>6</v>
      </c>
      <c r="F64" s="1402" t="s">
        <v>363</v>
      </c>
      <c r="G64" s="1661">
        <v>2200</v>
      </c>
      <c r="H64" s="1588">
        <f t="shared" si="14"/>
        <v>13200</v>
      </c>
      <c r="I64" s="1589">
        <v>150</v>
      </c>
      <c r="J64" s="1588">
        <f t="shared" si="15"/>
        <v>900</v>
      </c>
      <c r="K64" s="1770">
        <f t="shared" si="16"/>
        <v>14100</v>
      </c>
      <c r="L64" s="1770"/>
    </row>
    <row r="65" spans="1:12" s="1765" customFormat="1" ht="24" customHeight="1">
      <c r="A65" s="1766" t="s">
        <v>2165</v>
      </c>
      <c r="B65" s="1538" t="s">
        <v>2261</v>
      </c>
      <c r="C65" s="1275"/>
      <c r="D65" s="1767"/>
      <c r="E65" s="1686"/>
      <c r="F65" s="1402" t="s">
        <v>1104</v>
      </c>
      <c r="G65" s="1661">
        <f>15*2500</f>
        <v>37500</v>
      </c>
      <c r="H65" s="1588">
        <f t="shared" si="14"/>
        <v>0</v>
      </c>
      <c r="I65" s="1589">
        <f>G65*0.3</f>
        <v>11250</v>
      </c>
      <c r="J65" s="1588">
        <f t="shared" si="15"/>
        <v>0</v>
      </c>
      <c r="K65" s="1770">
        <f t="shared" si="16"/>
        <v>0</v>
      </c>
      <c r="L65" s="1770"/>
    </row>
    <row r="66" spans="1:12" s="1765" customFormat="1" ht="24" customHeight="1">
      <c r="A66" s="1766"/>
      <c r="B66" s="1538" t="s">
        <v>1117</v>
      </c>
      <c r="C66" s="1275"/>
      <c r="D66" s="1767"/>
      <c r="E66" s="1686"/>
      <c r="F66" s="1402"/>
      <c r="G66" s="1661"/>
      <c r="H66" s="1588"/>
      <c r="I66" s="1589"/>
      <c r="J66" s="1588"/>
      <c r="K66" s="1770"/>
      <c r="L66" s="1770"/>
    </row>
    <row r="67" spans="1:12" s="1765" customFormat="1" ht="24" customHeight="1">
      <c r="A67" s="1584"/>
      <c r="B67" s="1538" t="s">
        <v>1896</v>
      </c>
      <c r="C67" s="1275"/>
      <c r="D67" s="1767"/>
      <c r="E67" s="1686"/>
      <c r="F67" s="1402"/>
      <c r="G67" s="1661"/>
      <c r="H67" s="1588"/>
      <c r="I67" s="1589"/>
      <c r="J67" s="1588"/>
      <c r="K67" s="1770"/>
      <c r="L67" s="1770"/>
    </row>
    <row r="68" spans="1:12" s="1765" customFormat="1" ht="24" customHeight="1">
      <c r="A68" s="1584"/>
      <c r="B68" s="1538" t="s">
        <v>1896</v>
      </c>
      <c r="C68" s="1275"/>
      <c r="D68" s="1767"/>
      <c r="E68" s="1686"/>
      <c r="F68" s="1402"/>
      <c r="G68" s="1661"/>
      <c r="H68" s="1588"/>
      <c r="I68" s="1589"/>
      <c r="J68" s="1588"/>
      <c r="K68" s="1770"/>
      <c r="L68" s="1770"/>
    </row>
    <row r="69" spans="1:12" s="1765" customFormat="1" ht="24" customHeight="1">
      <c r="A69" s="1766"/>
      <c r="B69" s="1538"/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12" s="1765" customFormat="1" ht="24" customHeight="1">
      <c r="A70" s="1578"/>
      <c r="B70" s="2257" t="str">
        <f>"รวมราคารายการที่ "&amp;A60</f>
        <v>รวมราคารายการที่ 7.3</v>
      </c>
      <c r="C70" s="2258"/>
      <c r="D70" s="2259"/>
      <c r="E70" s="1579"/>
      <c r="F70" s="1579"/>
      <c r="G70" s="1580"/>
      <c r="H70" s="1581">
        <f>SUM(H61:H69)</f>
        <v>27600</v>
      </c>
      <c r="I70" s="1582"/>
      <c r="J70" s="1581">
        <f>SUM(J61:J69)</f>
        <v>1800</v>
      </c>
      <c r="K70" s="1581">
        <f>SUM(K61:K69)</f>
        <v>29400</v>
      </c>
      <c r="L70" s="1583"/>
    </row>
    <row r="71" spans="1:12" s="1765" customFormat="1" ht="24" customHeight="1">
      <c r="A71" s="1291">
        <v>7.4</v>
      </c>
      <c r="B71" s="1783" t="s">
        <v>2042</v>
      </c>
      <c r="C71" s="1294"/>
      <c r="D71" s="1777"/>
      <c r="E71" s="1686"/>
      <c r="F71" s="1402"/>
      <c r="G71" s="1661"/>
      <c r="H71" s="1588"/>
      <c r="I71" s="1589"/>
      <c r="J71" s="1588"/>
      <c r="K71" s="1770"/>
      <c r="L71" s="1770"/>
    </row>
    <row r="72" spans="1:12" s="1765" customFormat="1" ht="24" customHeight="1">
      <c r="A72" s="1258" t="s">
        <v>2054</v>
      </c>
      <c r="B72" s="1538" t="s">
        <v>2044</v>
      </c>
      <c r="C72" s="1275"/>
      <c r="D72" s="1767"/>
      <c r="E72" s="1771"/>
      <c r="F72" s="1385"/>
      <c r="G72" s="1778"/>
      <c r="H72" s="1594"/>
      <c r="I72" s="1595"/>
      <c r="J72" s="1594"/>
      <c r="K72" s="1632"/>
      <c r="L72" s="1632"/>
    </row>
    <row r="73" spans="1:12" s="1765" customFormat="1" ht="24" customHeight="1">
      <c r="A73" s="1189" t="s">
        <v>2166</v>
      </c>
      <c r="B73" s="1538" t="s">
        <v>2167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12" s="1765" customFormat="1" ht="24" customHeight="1">
      <c r="A74" s="1258"/>
      <c r="B74" s="1538" t="s">
        <v>2168</v>
      </c>
      <c r="C74" s="1275"/>
      <c r="D74" s="1767"/>
      <c r="E74" s="1834"/>
      <c r="F74" s="1788" t="s">
        <v>226</v>
      </c>
      <c r="G74" s="2020">
        <v>69.5</v>
      </c>
      <c r="H74" s="1773">
        <f>ROUND(E74*G74,)</f>
        <v>0</v>
      </c>
      <c r="I74" s="2011">
        <v>30</v>
      </c>
      <c r="J74" s="2008">
        <f>ROUND(E74*I74,)</f>
        <v>0</v>
      </c>
      <c r="K74" s="1774">
        <f t="shared" ref="K74:K84" si="17">H74+J74</f>
        <v>0</v>
      </c>
      <c r="L74" s="1632"/>
    </row>
    <row r="75" spans="1:12" s="1765" customFormat="1" ht="24" customHeight="1">
      <c r="A75" s="1258"/>
      <c r="B75" s="1538" t="s">
        <v>1901</v>
      </c>
      <c r="C75" s="1275"/>
      <c r="D75" s="1767"/>
      <c r="E75" s="1771"/>
      <c r="F75" s="1358" t="s">
        <v>226</v>
      </c>
      <c r="G75" s="1558">
        <v>103.5</v>
      </c>
      <c r="H75" s="1773">
        <f t="shared" ref="H75:H84" si="18">ROUND(E75*G75,)</f>
        <v>0</v>
      </c>
      <c r="I75" s="1332">
        <v>45</v>
      </c>
      <c r="J75" s="2008">
        <f t="shared" ref="J75:J84" si="19">ROUND(E75*I75,)</f>
        <v>0</v>
      </c>
      <c r="K75" s="1774">
        <f t="shared" si="17"/>
        <v>0</v>
      </c>
      <c r="L75" s="1632"/>
    </row>
    <row r="76" spans="1:12" s="1765" customFormat="1" ht="24" customHeight="1">
      <c r="A76" s="1258"/>
      <c r="B76" s="1538" t="s">
        <v>1338</v>
      </c>
      <c r="C76" s="1275"/>
      <c r="D76" s="1767"/>
      <c r="E76" s="1771"/>
      <c r="F76" s="1358" t="s">
        <v>226</v>
      </c>
      <c r="G76" s="1558">
        <v>140</v>
      </c>
      <c r="H76" s="1773">
        <f t="shared" si="18"/>
        <v>0</v>
      </c>
      <c r="I76" s="1332">
        <v>60</v>
      </c>
      <c r="J76" s="2008">
        <f t="shared" si="19"/>
        <v>0</v>
      </c>
      <c r="K76" s="1774">
        <f t="shared" si="17"/>
        <v>0</v>
      </c>
      <c r="L76" s="1632"/>
    </row>
    <row r="77" spans="1:12" s="1765" customFormat="1" ht="24" customHeight="1">
      <c r="A77" s="1258"/>
      <c r="B77" s="1538" t="s">
        <v>1339</v>
      </c>
      <c r="C77" s="1275"/>
      <c r="D77" s="2109"/>
      <c r="E77" s="715"/>
      <c r="F77" s="1262" t="s">
        <v>226</v>
      </c>
      <c r="G77" s="1541">
        <v>167</v>
      </c>
      <c r="H77" s="1773">
        <f t="shared" si="18"/>
        <v>0</v>
      </c>
      <c r="I77" s="2007">
        <v>70</v>
      </c>
      <c r="J77" s="2008">
        <f t="shared" si="19"/>
        <v>0</v>
      </c>
      <c r="K77" s="1774">
        <f t="shared" si="17"/>
        <v>0</v>
      </c>
      <c r="L77" s="1632"/>
    </row>
    <row r="78" spans="1:12" s="1765" customFormat="1" ht="24" customHeight="1">
      <c r="A78" s="1258"/>
      <c r="B78" s="1538" t="s">
        <v>1340</v>
      </c>
      <c r="C78" s="1275"/>
      <c r="D78" s="2109"/>
      <c r="E78" s="715"/>
      <c r="F78" s="1262" t="s">
        <v>226</v>
      </c>
      <c r="G78" s="1541">
        <v>225</v>
      </c>
      <c r="H78" s="1773">
        <f t="shared" si="18"/>
        <v>0</v>
      </c>
      <c r="I78" s="2007">
        <v>95</v>
      </c>
      <c r="J78" s="2008">
        <f t="shared" si="19"/>
        <v>0</v>
      </c>
      <c r="K78" s="1774">
        <f t="shared" si="17"/>
        <v>0</v>
      </c>
      <c r="L78" s="1632"/>
    </row>
    <row r="79" spans="1:12" s="1765" customFormat="1" ht="24" customHeight="1">
      <c r="A79" s="1804"/>
      <c r="B79" s="1780" t="s">
        <v>1341</v>
      </c>
      <c r="C79" s="1260"/>
      <c r="D79" s="2109"/>
      <c r="E79" s="825">
        <f>(78*2)</f>
        <v>156</v>
      </c>
      <c r="F79" s="1262" t="s">
        <v>226</v>
      </c>
      <c r="G79" s="2021">
        <v>357</v>
      </c>
      <c r="H79" s="1773">
        <f t="shared" si="18"/>
        <v>55692</v>
      </c>
      <c r="I79" s="819">
        <v>150</v>
      </c>
      <c r="J79" s="2008">
        <f t="shared" si="19"/>
        <v>23400</v>
      </c>
      <c r="K79" s="1774">
        <f t="shared" si="17"/>
        <v>79092</v>
      </c>
      <c r="L79" s="1415"/>
    </row>
    <row r="80" spans="1:12" s="1765" customFormat="1" ht="24" customHeight="1">
      <c r="A80" s="1804"/>
      <c r="B80" s="1780" t="s">
        <v>1342</v>
      </c>
      <c r="C80" s="1260"/>
      <c r="D80" s="2109"/>
      <c r="E80" s="825">
        <f>(78*2*1.1)</f>
        <v>171.60000000000002</v>
      </c>
      <c r="F80" s="1262" t="s">
        <v>226</v>
      </c>
      <c r="G80" s="2021">
        <v>467</v>
      </c>
      <c r="H80" s="1773">
        <f t="shared" si="18"/>
        <v>80137</v>
      </c>
      <c r="I80" s="819">
        <v>200</v>
      </c>
      <c r="J80" s="2008">
        <f t="shared" si="19"/>
        <v>34320</v>
      </c>
      <c r="K80" s="1774">
        <f t="shared" si="17"/>
        <v>114457</v>
      </c>
      <c r="L80" s="1415"/>
    </row>
    <row r="81" spans="1:15" s="1765" customFormat="1" ht="24" customHeight="1">
      <c r="A81" s="1804"/>
      <c r="B81" s="1780" t="s">
        <v>1111</v>
      </c>
      <c r="C81" s="1260"/>
      <c r="D81" s="2109"/>
      <c r="E81" s="825">
        <f>51.5*2*1.1</f>
        <v>113.30000000000001</v>
      </c>
      <c r="F81" s="1262" t="s">
        <v>226</v>
      </c>
      <c r="G81" s="2021">
        <v>665</v>
      </c>
      <c r="H81" s="1773">
        <f t="shared" si="18"/>
        <v>75345</v>
      </c>
      <c r="I81" s="819">
        <v>280</v>
      </c>
      <c r="J81" s="2008">
        <f t="shared" si="19"/>
        <v>31724</v>
      </c>
      <c r="K81" s="1774">
        <f t="shared" si="17"/>
        <v>107069</v>
      </c>
      <c r="L81" s="1415"/>
    </row>
    <row r="82" spans="1:15" s="1765" customFormat="1" ht="24" customHeight="1">
      <c r="A82" s="1258"/>
      <c r="B82" s="1538" t="s">
        <v>1719</v>
      </c>
      <c r="C82" s="1275"/>
      <c r="D82" s="2109"/>
      <c r="E82" s="715">
        <v>1</v>
      </c>
      <c r="F82" s="1415" t="s">
        <v>1104</v>
      </c>
      <c r="G82" s="1778">
        <f>ROUND(SUM(H74:H81)*50%,)</f>
        <v>105587</v>
      </c>
      <c r="H82" s="1264">
        <f t="shared" si="18"/>
        <v>105587</v>
      </c>
      <c r="I82" s="1595">
        <f>ROUND(G82*0.3,)</f>
        <v>31676</v>
      </c>
      <c r="J82" s="1264">
        <f t="shared" si="19"/>
        <v>31676</v>
      </c>
      <c r="K82" s="1273">
        <f t="shared" si="17"/>
        <v>137263</v>
      </c>
      <c r="L82" s="1632"/>
    </row>
    <row r="83" spans="1:15" s="1765" customFormat="1" ht="24" customHeight="1">
      <c r="A83" s="1258"/>
      <c r="B83" s="1538" t="s">
        <v>1720</v>
      </c>
      <c r="C83" s="1275"/>
      <c r="D83" s="2109"/>
      <c r="E83" s="715">
        <v>1</v>
      </c>
      <c r="F83" s="1415" t="s">
        <v>1104</v>
      </c>
      <c r="G83" s="1778">
        <f>ROUND(SUM(H73:H81)*20%,)</f>
        <v>42235</v>
      </c>
      <c r="H83" s="1264">
        <f t="shared" si="18"/>
        <v>42235</v>
      </c>
      <c r="I83" s="1595">
        <f>ROUND(G83*0.3,)</f>
        <v>12671</v>
      </c>
      <c r="J83" s="1264">
        <f t="shared" si="19"/>
        <v>12671</v>
      </c>
      <c r="K83" s="1273">
        <f t="shared" si="17"/>
        <v>54906</v>
      </c>
      <c r="L83" s="1632"/>
    </row>
    <row r="84" spans="1:15" s="1765" customFormat="1" ht="24" customHeight="1">
      <c r="A84" s="1258"/>
      <c r="B84" s="1538" t="s">
        <v>1721</v>
      </c>
      <c r="C84" s="1275"/>
      <c r="D84" s="2109"/>
      <c r="E84" s="715">
        <v>1</v>
      </c>
      <c r="F84" s="1415" t="s">
        <v>1104</v>
      </c>
      <c r="G84" s="1778">
        <f>ROUND(SUM(H73:H81)*10%,)</f>
        <v>21117</v>
      </c>
      <c r="H84" s="1264">
        <f t="shared" si="18"/>
        <v>21117</v>
      </c>
      <c r="I84" s="1595">
        <f>ROUND(G84*0.3,)</f>
        <v>6335</v>
      </c>
      <c r="J84" s="1264">
        <f t="shared" si="19"/>
        <v>6335</v>
      </c>
      <c r="K84" s="1273">
        <f t="shared" si="17"/>
        <v>27452</v>
      </c>
      <c r="L84" s="1632"/>
    </row>
    <row r="85" spans="1:15" s="1765" customFormat="1" ht="24" customHeight="1">
      <c r="A85" s="1258" t="s">
        <v>2056</v>
      </c>
      <c r="B85" s="1538" t="s">
        <v>2050</v>
      </c>
      <c r="C85" s="1275"/>
      <c r="D85" s="2109"/>
      <c r="E85" s="715"/>
      <c r="F85" s="1415"/>
      <c r="G85" s="1778"/>
      <c r="H85" s="1594"/>
      <c r="I85" s="1595"/>
      <c r="J85" s="1594"/>
      <c r="K85" s="1632"/>
      <c r="L85" s="1632"/>
    </row>
    <row r="86" spans="1:15" s="1765" customFormat="1" ht="24" customHeight="1">
      <c r="A86" s="1258"/>
      <c r="B86" s="1538" t="s">
        <v>2168</v>
      </c>
      <c r="C86" s="1275"/>
      <c r="D86" s="2109"/>
      <c r="E86" s="1834"/>
      <c r="F86" s="2154" t="s">
        <v>226</v>
      </c>
      <c r="G86" s="819">
        <v>12</v>
      </c>
      <c r="H86" s="1343">
        <f t="shared" ref="H86:H93" si="20">ROUND(E86*G86,)</f>
        <v>0</v>
      </c>
      <c r="I86" s="819">
        <v>30</v>
      </c>
      <c r="J86" s="2005">
        <f t="shared" ref="J86:J93" si="21">ROUND(E86*I86,)</f>
        <v>0</v>
      </c>
      <c r="K86" s="1801">
        <f t="shared" ref="K86:K93" si="22">H86+J86</f>
        <v>0</v>
      </c>
      <c r="L86" s="2082" t="s">
        <v>2667</v>
      </c>
      <c r="M86" s="2002"/>
      <c r="N86" s="2009">
        <v>48.23</v>
      </c>
      <c r="O86" s="1199">
        <f>ROUND(N86/4,)</f>
        <v>12</v>
      </c>
    </row>
    <row r="87" spans="1:15" s="1765" customFormat="1" ht="24" customHeight="1">
      <c r="A87" s="1258"/>
      <c r="B87" s="1538" t="s">
        <v>1901</v>
      </c>
      <c r="C87" s="1275"/>
      <c r="D87" s="2109"/>
      <c r="E87" s="715"/>
      <c r="F87" s="1262" t="s">
        <v>226</v>
      </c>
      <c r="G87" s="1541">
        <v>16</v>
      </c>
      <c r="H87" s="1369">
        <f t="shared" si="20"/>
        <v>0</v>
      </c>
      <c r="I87" s="2007">
        <v>30</v>
      </c>
      <c r="J87" s="2008">
        <f t="shared" si="21"/>
        <v>0</v>
      </c>
      <c r="K87" s="1774">
        <f t="shared" si="22"/>
        <v>0</v>
      </c>
      <c r="L87" s="2082" t="s">
        <v>2667</v>
      </c>
      <c r="M87" s="2002"/>
      <c r="N87" s="1765">
        <v>63.7</v>
      </c>
      <c r="O87" s="1199">
        <f>ROUND(N87/4,)</f>
        <v>16</v>
      </c>
    </row>
    <row r="88" spans="1:15" s="1765" customFormat="1" ht="24" customHeight="1">
      <c r="A88" s="1258"/>
      <c r="B88" s="1538" t="s">
        <v>2263</v>
      </c>
      <c r="C88" s="1275"/>
      <c r="D88" s="2109"/>
      <c r="E88" s="715"/>
      <c r="F88" s="1262" t="s">
        <v>226</v>
      </c>
      <c r="G88" s="1541">
        <v>20</v>
      </c>
      <c r="H88" s="1369">
        <f t="shared" si="20"/>
        <v>0</v>
      </c>
      <c r="I88" s="2007">
        <v>30</v>
      </c>
      <c r="J88" s="2008">
        <f t="shared" si="21"/>
        <v>0</v>
      </c>
      <c r="K88" s="1774">
        <f t="shared" si="22"/>
        <v>0</v>
      </c>
      <c r="L88" s="2082" t="s">
        <v>2667</v>
      </c>
      <c r="M88" s="2002"/>
      <c r="N88" s="2024">
        <v>79.17</v>
      </c>
      <c r="O88" s="1199">
        <f>ROUND(N88/4,)</f>
        <v>20</v>
      </c>
    </row>
    <row r="89" spans="1:15" s="1765" customFormat="1" ht="24" customHeight="1">
      <c r="A89" s="1258"/>
      <c r="B89" s="1538" t="s">
        <v>1339</v>
      </c>
      <c r="C89" s="1275"/>
      <c r="D89" s="2109"/>
      <c r="E89" s="715">
        <f>2*6</f>
        <v>12</v>
      </c>
      <c r="F89" s="1262" t="s">
        <v>226</v>
      </c>
      <c r="G89" s="1541">
        <v>26</v>
      </c>
      <c r="H89" s="1369">
        <f t="shared" si="20"/>
        <v>312</v>
      </c>
      <c r="I89" s="2007">
        <v>30</v>
      </c>
      <c r="J89" s="2008">
        <f t="shared" si="21"/>
        <v>360</v>
      </c>
      <c r="K89" s="1774">
        <f t="shared" si="22"/>
        <v>672</v>
      </c>
      <c r="L89" s="2082" t="s">
        <v>2667</v>
      </c>
      <c r="M89" s="2002"/>
      <c r="N89" s="2024">
        <v>103.74</v>
      </c>
      <c r="O89" s="1199">
        <f>ROUND(N89/4,)</f>
        <v>26</v>
      </c>
    </row>
    <row r="90" spans="1:15" s="1765" customFormat="1" ht="24" customHeight="1">
      <c r="A90" s="1258"/>
      <c r="B90" s="1538" t="s">
        <v>1340</v>
      </c>
      <c r="C90" s="1275"/>
      <c r="D90" s="2109"/>
      <c r="E90" s="715"/>
      <c r="F90" s="1262" t="s">
        <v>226</v>
      </c>
      <c r="G90" s="1541">
        <v>41</v>
      </c>
      <c r="H90" s="1369">
        <f t="shared" si="20"/>
        <v>0</v>
      </c>
      <c r="I90" s="2007">
        <v>40</v>
      </c>
      <c r="J90" s="2008">
        <f t="shared" si="21"/>
        <v>0</v>
      </c>
      <c r="K90" s="1774">
        <f t="shared" si="22"/>
        <v>0</v>
      </c>
      <c r="L90" s="2082" t="s">
        <v>2667</v>
      </c>
      <c r="M90" s="2002"/>
      <c r="N90" s="2024">
        <v>163.80000000000001</v>
      </c>
      <c r="O90" s="1199">
        <f>ROUND(N90/4,)</f>
        <v>41</v>
      </c>
    </row>
    <row r="91" spans="1:15" s="1765" customFormat="1" ht="24" customHeight="1">
      <c r="A91" s="1258"/>
      <c r="B91" s="1538" t="s">
        <v>1719</v>
      </c>
      <c r="C91" s="1275"/>
      <c r="D91" s="2109"/>
      <c r="E91" s="715">
        <v>1</v>
      </c>
      <c r="F91" s="1415" t="s">
        <v>1104</v>
      </c>
      <c r="G91" s="1778">
        <f>SUM(H86:H90)*50%</f>
        <v>156</v>
      </c>
      <c r="H91" s="1264">
        <f t="shared" si="20"/>
        <v>156</v>
      </c>
      <c r="I91" s="1595">
        <f>ROUND(G91*0.3,)</f>
        <v>47</v>
      </c>
      <c r="J91" s="1264">
        <f t="shared" si="21"/>
        <v>47</v>
      </c>
      <c r="K91" s="1273">
        <f t="shared" si="22"/>
        <v>203</v>
      </c>
      <c r="L91" s="1632"/>
    </row>
    <row r="92" spans="1:15" s="1765" customFormat="1" ht="24" customHeight="1">
      <c r="A92" s="1258"/>
      <c r="B92" s="1538" t="s">
        <v>1720</v>
      </c>
      <c r="C92" s="1275"/>
      <c r="D92" s="2109"/>
      <c r="E92" s="715">
        <v>1</v>
      </c>
      <c r="F92" s="1415" t="s">
        <v>1104</v>
      </c>
      <c r="G92" s="1778">
        <f>ROUND(SUM(H86:H90)*30%,)</f>
        <v>94</v>
      </c>
      <c r="H92" s="1264">
        <f t="shared" si="20"/>
        <v>94</v>
      </c>
      <c r="I92" s="1595">
        <f>ROUND(G92*0.3,)</f>
        <v>28</v>
      </c>
      <c r="J92" s="1264">
        <f t="shared" si="21"/>
        <v>28</v>
      </c>
      <c r="K92" s="1273">
        <f t="shared" si="22"/>
        <v>122</v>
      </c>
      <c r="L92" s="1632"/>
    </row>
    <row r="93" spans="1:15" s="1765" customFormat="1" ht="24" customHeight="1">
      <c r="A93" s="1258"/>
      <c r="B93" s="1538" t="s">
        <v>1721</v>
      </c>
      <c r="C93" s="1275"/>
      <c r="D93" s="1767"/>
      <c r="E93" s="1771">
        <v>1</v>
      </c>
      <c r="F93" s="1385" t="s">
        <v>1104</v>
      </c>
      <c r="G93" s="1778">
        <f>ROUND(SUM(H86:H90)*10%,)</f>
        <v>31</v>
      </c>
      <c r="H93" s="1264">
        <f t="shared" si="20"/>
        <v>31</v>
      </c>
      <c r="I93" s="1595">
        <f>ROUND(G93*0.3,)</f>
        <v>9</v>
      </c>
      <c r="J93" s="1264">
        <f t="shared" si="21"/>
        <v>9</v>
      </c>
      <c r="K93" s="1273">
        <f t="shared" si="22"/>
        <v>40</v>
      </c>
      <c r="L93" s="1632"/>
    </row>
    <row r="94" spans="1:15" s="1765" customFormat="1" ht="24" customHeight="1">
      <c r="A94" s="1258"/>
      <c r="B94" s="1538" t="s">
        <v>1117</v>
      </c>
      <c r="C94" s="1275"/>
      <c r="D94" s="1767"/>
      <c r="E94" s="1771"/>
      <c r="F94" s="1385"/>
      <c r="G94" s="1778"/>
      <c r="H94" s="1594"/>
      <c r="I94" s="1595"/>
      <c r="J94" s="1594"/>
      <c r="K94" s="1632"/>
      <c r="L94" s="1632"/>
    </row>
    <row r="95" spans="1:15" s="1765" customFormat="1" ht="24" customHeight="1">
      <c r="A95" s="1258"/>
      <c r="B95" s="1538"/>
      <c r="C95" s="1275"/>
      <c r="D95" s="1767"/>
      <c r="E95" s="1771"/>
      <c r="F95" s="1385"/>
      <c r="G95" s="1778"/>
      <c r="H95" s="1594"/>
      <c r="I95" s="1595"/>
      <c r="J95" s="1594"/>
      <c r="K95" s="1632"/>
      <c r="L95" s="1632"/>
    </row>
    <row r="96" spans="1:15" s="1765" customFormat="1" ht="24" customHeight="1">
      <c r="A96" s="1258"/>
      <c r="B96" s="1538"/>
      <c r="C96" s="1275"/>
      <c r="D96" s="1767"/>
      <c r="E96" s="1771"/>
      <c r="F96" s="1385"/>
      <c r="G96" s="1778"/>
      <c r="H96" s="1594"/>
      <c r="I96" s="1595"/>
      <c r="J96" s="1594"/>
      <c r="K96" s="1632"/>
      <c r="L96" s="1632"/>
    </row>
    <row r="97" spans="1:12" s="1765" customFormat="1" ht="24" customHeight="1">
      <c r="A97" s="1791"/>
      <c r="B97" s="1792"/>
      <c r="C97" s="1486"/>
      <c r="D97" s="1822"/>
      <c r="E97" s="1823"/>
      <c r="F97" s="1500"/>
      <c r="G97" s="1824"/>
      <c r="H97" s="1825"/>
      <c r="I97" s="1826"/>
      <c r="J97" s="1825"/>
      <c r="K97" s="1833"/>
      <c r="L97" s="1833"/>
    </row>
    <row r="98" spans="1:12" s="1765" customFormat="1" ht="24" customHeight="1">
      <c r="A98" s="1578"/>
      <c r="B98" s="2257" t="str">
        <f>"รวมราคารายการที่ "&amp;A71</f>
        <v>รวมราคารายการที่ 7.4</v>
      </c>
      <c r="C98" s="2258"/>
      <c r="D98" s="2259"/>
      <c r="E98" s="1579"/>
      <c r="F98" s="1579"/>
      <c r="G98" s="1580"/>
      <c r="H98" s="1581">
        <f>SUM(H72:H97)</f>
        <v>380706</v>
      </c>
      <c r="I98" s="1582"/>
      <c r="J98" s="1581">
        <f>SUM(J72:J97)</f>
        <v>140570</v>
      </c>
      <c r="K98" s="1581">
        <f>SUM(K72:K97)</f>
        <v>521276</v>
      </c>
      <c r="L98" s="1583"/>
    </row>
    <row r="99" spans="1:12" s="1765" customFormat="1" ht="24" customHeight="1">
      <c r="A99" s="1863" t="s">
        <v>2307</v>
      </c>
      <c r="B99" s="1758" t="s">
        <v>2053</v>
      </c>
      <c r="C99" s="1250"/>
      <c r="D99" s="1251"/>
      <c r="E99" s="1794"/>
      <c r="F99" s="1253"/>
      <c r="G99" s="1721"/>
      <c r="H99" s="1255"/>
      <c r="I99" s="1256"/>
      <c r="J99" s="1255"/>
      <c r="K99" s="1502"/>
      <c r="L99" s="1502"/>
    </row>
    <row r="100" spans="1:12" s="1765" customFormat="1" ht="24" customHeight="1">
      <c r="A100" s="1258" t="s">
        <v>2062</v>
      </c>
      <c r="B100" s="1538" t="s">
        <v>2055</v>
      </c>
      <c r="C100" s="1437"/>
      <c r="D100" s="1275"/>
      <c r="E100" s="1768"/>
      <c r="F100" s="1358"/>
      <c r="G100" s="1516"/>
      <c r="H100" s="1264"/>
      <c r="I100" s="1265"/>
      <c r="J100" s="1264"/>
      <c r="K100" s="1273"/>
      <c r="L100" s="1273"/>
    </row>
    <row r="101" spans="1:12" s="1765" customFormat="1" ht="24" customHeight="1">
      <c r="A101" s="1258"/>
      <c r="B101" s="1538" t="s">
        <v>2168</v>
      </c>
      <c r="C101" s="1437"/>
      <c r="D101" s="1275"/>
      <c r="E101" s="1813">
        <f>E86</f>
        <v>0</v>
      </c>
      <c r="F101" s="1788" t="s">
        <v>226</v>
      </c>
      <c r="G101" s="1790">
        <v>59</v>
      </c>
      <c r="H101" s="1773">
        <f t="shared" ref="H101:H104" si="23">ROUND(E101*G101,)</f>
        <v>0</v>
      </c>
      <c r="I101" s="1789">
        <f>ROUND(20*0.75*1.3,)</f>
        <v>20</v>
      </c>
      <c r="J101" s="1773">
        <f t="shared" ref="J101:J104" si="24">ROUND(E101*I101,)</f>
        <v>0</v>
      </c>
      <c r="K101" s="1269">
        <f t="shared" ref="K101:K104" si="25">H101+J101</f>
        <v>0</v>
      </c>
      <c r="L101" s="1273"/>
    </row>
    <row r="102" spans="1:12" s="1765" customFormat="1" ht="24" customHeight="1">
      <c r="A102" s="1258"/>
      <c r="B102" s="1538" t="s">
        <v>1901</v>
      </c>
      <c r="C102" s="1437"/>
      <c r="D102" s="1275"/>
      <c r="E102" s="1813">
        <f>E87</f>
        <v>0</v>
      </c>
      <c r="F102" s="1358" t="s">
        <v>226</v>
      </c>
      <c r="G102" s="1516">
        <v>69</v>
      </c>
      <c r="H102" s="1264">
        <f t="shared" si="23"/>
        <v>0</v>
      </c>
      <c r="I102" s="1265">
        <f>ROUND(20*1*1.3,)</f>
        <v>26</v>
      </c>
      <c r="J102" s="1264">
        <f t="shared" si="24"/>
        <v>0</v>
      </c>
      <c r="K102" s="1273">
        <f t="shared" si="25"/>
        <v>0</v>
      </c>
      <c r="L102" s="1273"/>
    </row>
    <row r="103" spans="1:12" s="1765" customFormat="1" ht="24" customHeight="1">
      <c r="A103" s="1258"/>
      <c r="B103" s="1538" t="s">
        <v>1338</v>
      </c>
      <c r="C103" s="1437"/>
      <c r="D103" s="1275"/>
      <c r="E103" s="1813">
        <f>E88</f>
        <v>0</v>
      </c>
      <c r="F103" s="1358" t="s">
        <v>226</v>
      </c>
      <c r="G103" s="1516">
        <v>92</v>
      </c>
      <c r="H103" s="1264">
        <f t="shared" si="23"/>
        <v>0</v>
      </c>
      <c r="I103" s="1265">
        <f>ROUND(20*1.25*1.3,)</f>
        <v>33</v>
      </c>
      <c r="J103" s="1264">
        <f t="shared" si="24"/>
        <v>0</v>
      </c>
      <c r="K103" s="1273">
        <f t="shared" si="25"/>
        <v>0</v>
      </c>
      <c r="L103" s="1273"/>
    </row>
    <row r="104" spans="1:12" s="1765" customFormat="1" ht="24" customHeight="1">
      <c r="A104" s="1258"/>
      <c r="B104" s="1538" t="s">
        <v>1339</v>
      </c>
      <c r="C104" s="1437"/>
      <c r="D104" s="1275"/>
      <c r="E104" s="1813">
        <f>E89</f>
        <v>12</v>
      </c>
      <c r="F104" s="1358" t="s">
        <v>226</v>
      </c>
      <c r="G104" s="1516">
        <v>93</v>
      </c>
      <c r="H104" s="1264">
        <f t="shared" si="23"/>
        <v>1116</v>
      </c>
      <c r="I104" s="1265">
        <v>39</v>
      </c>
      <c r="J104" s="1264">
        <f t="shared" si="24"/>
        <v>468</v>
      </c>
      <c r="K104" s="1273">
        <f t="shared" si="25"/>
        <v>1584</v>
      </c>
      <c r="L104" s="1273"/>
    </row>
    <row r="105" spans="1:12" s="1765" customFormat="1" ht="24" customHeight="1">
      <c r="A105" s="1258" t="s">
        <v>2062</v>
      </c>
      <c r="B105" s="1538" t="s">
        <v>2169</v>
      </c>
      <c r="C105" s="1437"/>
      <c r="D105" s="1275"/>
      <c r="E105" s="1768"/>
      <c r="F105" s="1358"/>
      <c r="G105" s="1516"/>
      <c r="H105" s="1264"/>
      <c r="I105" s="1265"/>
      <c r="J105" s="1264"/>
      <c r="K105" s="1273"/>
      <c r="L105" s="1273"/>
    </row>
    <row r="106" spans="1:12" s="1765" customFormat="1" ht="24" customHeight="1">
      <c r="A106" s="1258"/>
      <c r="B106" s="1538" t="s">
        <v>2168</v>
      </c>
      <c r="C106" s="1437"/>
      <c r="D106" s="1275"/>
      <c r="E106" s="1813">
        <f>E74</f>
        <v>0</v>
      </c>
      <c r="F106" s="1788" t="s">
        <v>226</v>
      </c>
      <c r="G106" s="1790">
        <v>69</v>
      </c>
      <c r="H106" s="1773">
        <f t="shared" ref="H106:H109" si="26">ROUND(E106*G106,)</f>
        <v>0</v>
      </c>
      <c r="I106" s="1789">
        <f>ROUND(20*0.75*1.3,)</f>
        <v>20</v>
      </c>
      <c r="J106" s="1773">
        <f t="shared" ref="J106:J109" si="27">ROUND(E106*I106,)</f>
        <v>0</v>
      </c>
      <c r="K106" s="1269">
        <f t="shared" ref="K106:K109" si="28">H106+J106</f>
        <v>0</v>
      </c>
      <c r="L106" s="1269"/>
    </row>
    <row r="107" spans="1:12" s="1765" customFormat="1" ht="24" customHeight="1">
      <c r="A107" s="1258"/>
      <c r="B107" s="1538" t="s">
        <v>1901</v>
      </c>
      <c r="C107" s="1437"/>
      <c r="D107" s="1275"/>
      <c r="E107" s="1771">
        <f>E75</f>
        <v>0</v>
      </c>
      <c r="F107" s="1358" t="s">
        <v>226</v>
      </c>
      <c r="G107" s="1516">
        <v>85</v>
      </c>
      <c r="H107" s="1264">
        <f t="shared" si="26"/>
        <v>0</v>
      </c>
      <c r="I107" s="1265">
        <f>ROUND(20*1*1.3,)</f>
        <v>26</v>
      </c>
      <c r="J107" s="1264">
        <f t="shared" si="27"/>
        <v>0</v>
      </c>
      <c r="K107" s="1273">
        <f t="shared" si="28"/>
        <v>0</v>
      </c>
      <c r="L107" s="1273"/>
    </row>
    <row r="108" spans="1:12" s="1765" customFormat="1" ht="24" customHeight="1">
      <c r="A108" s="1258"/>
      <c r="B108" s="1538" t="s">
        <v>1338</v>
      </c>
      <c r="C108" s="1437"/>
      <c r="D108" s="1275"/>
      <c r="E108" s="1813">
        <f>E76</f>
        <v>0</v>
      </c>
      <c r="F108" s="1788" t="s">
        <v>226</v>
      </c>
      <c r="G108" s="1515">
        <v>96</v>
      </c>
      <c r="H108" s="1369">
        <f t="shared" si="26"/>
        <v>0</v>
      </c>
      <c r="I108" s="1370">
        <v>33</v>
      </c>
      <c r="J108" s="1369">
        <f t="shared" si="27"/>
        <v>0</v>
      </c>
      <c r="K108" s="1356">
        <f t="shared" si="28"/>
        <v>0</v>
      </c>
      <c r="L108" s="1269"/>
    </row>
    <row r="109" spans="1:12" s="1765" customFormat="1" ht="24" customHeight="1">
      <c r="A109" s="1258"/>
      <c r="B109" s="1538" t="s">
        <v>1339</v>
      </c>
      <c r="C109" s="1437"/>
      <c r="D109" s="1275"/>
      <c r="E109" s="1771">
        <f>E77</f>
        <v>0</v>
      </c>
      <c r="F109" s="1358" t="s">
        <v>226</v>
      </c>
      <c r="G109" s="1515">
        <v>108</v>
      </c>
      <c r="H109" s="1369">
        <f t="shared" si="26"/>
        <v>0</v>
      </c>
      <c r="I109" s="1370">
        <v>39</v>
      </c>
      <c r="J109" s="1369">
        <f t="shared" si="27"/>
        <v>0</v>
      </c>
      <c r="K109" s="1356">
        <f t="shared" si="28"/>
        <v>0</v>
      </c>
      <c r="L109" s="1273"/>
    </row>
    <row r="110" spans="1:12" s="1765" customFormat="1" ht="24" customHeight="1">
      <c r="A110" s="1804" t="s">
        <v>2064</v>
      </c>
      <c r="B110" s="1780" t="s">
        <v>2265</v>
      </c>
      <c r="C110" s="1800"/>
      <c r="D110" s="1260"/>
      <c r="E110" s="1801"/>
      <c r="F110" s="1262"/>
      <c r="G110" s="1515"/>
      <c r="H110" s="1343"/>
      <c r="I110" s="1344"/>
      <c r="J110" s="1343"/>
      <c r="K110" s="1262"/>
      <c r="L110" s="1262"/>
    </row>
    <row r="111" spans="1:12" s="1765" customFormat="1" ht="24" customHeight="1">
      <c r="A111" s="1804"/>
      <c r="B111" s="1780" t="s">
        <v>1338</v>
      </c>
      <c r="C111" s="1800"/>
      <c r="D111" s="1260"/>
      <c r="E111" s="715"/>
      <c r="F111" s="1262" t="s">
        <v>226</v>
      </c>
      <c r="G111" s="1515">
        <v>108</v>
      </c>
      <c r="H111" s="1343">
        <f t="shared" ref="H111:H116" si="29">ROUND(E111*G111,)</f>
        <v>0</v>
      </c>
      <c r="I111" s="1344">
        <v>33</v>
      </c>
      <c r="J111" s="1343">
        <f t="shared" ref="J111:J116" si="30">ROUND(E111*I111,)</f>
        <v>0</v>
      </c>
      <c r="K111" s="1262">
        <f t="shared" ref="K111:K116" si="31">H111+J111</f>
        <v>0</v>
      </c>
      <c r="L111" s="1262"/>
    </row>
    <row r="112" spans="1:12" s="1765" customFormat="1" ht="24" customHeight="1">
      <c r="A112" s="1804"/>
      <c r="B112" s="1780" t="s">
        <v>1339</v>
      </c>
      <c r="C112" s="1260"/>
      <c r="D112" s="1781"/>
      <c r="E112" s="715"/>
      <c r="F112" s="1262" t="s">
        <v>226</v>
      </c>
      <c r="G112" s="1515">
        <v>164</v>
      </c>
      <c r="H112" s="1343">
        <f t="shared" si="29"/>
        <v>0</v>
      </c>
      <c r="I112" s="1344">
        <v>39</v>
      </c>
      <c r="J112" s="1343">
        <f t="shared" si="30"/>
        <v>0</v>
      </c>
      <c r="K112" s="1262">
        <f t="shared" si="31"/>
        <v>0</v>
      </c>
      <c r="L112" s="1415"/>
    </row>
    <row r="113" spans="1:12" s="1765" customFormat="1" ht="24" customHeight="1">
      <c r="A113" s="1784"/>
      <c r="B113" s="1780" t="s">
        <v>1340</v>
      </c>
      <c r="C113" s="1260"/>
      <c r="D113" s="1781"/>
      <c r="E113" s="825">
        <f>E78</f>
        <v>0</v>
      </c>
      <c r="F113" s="1356" t="s">
        <v>226</v>
      </c>
      <c r="G113" s="1515">
        <v>200</v>
      </c>
      <c r="H113" s="1369">
        <f t="shared" si="29"/>
        <v>0</v>
      </c>
      <c r="I113" s="1370">
        <v>52</v>
      </c>
      <c r="J113" s="1369">
        <f t="shared" si="30"/>
        <v>0</v>
      </c>
      <c r="K113" s="1356">
        <f t="shared" si="31"/>
        <v>0</v>
      </c>
      <c r="L113" s="1457"/>
    </row>
    <row r="114" spans="1:12" s="1765" customFormat="1" ht="24" customHeight="1">
      <c r="A114" s="1784"/>
      <c r="B114" s="1780" t="s">
        <v>1341</v>
      </c>
      <c r="C114" s="1260"/>
      <c r="D114" s="1781"/>
      <c r="E114" s="825">
        <f>E79</f>
        <v>156</v>
      </c>
      <c r="F114" s="1356" t="s">
        <v>226</v>
      </c>
      <c r="G114" s="1515">
        <v>256</v>
      </c>
      <c r="H114" s="1369">
        <f t="shared" si="29"/>
        <v>39936</v>
      </c>
      <c r="I114" s="1370">
        <v>65</v>
      </c>
      <c r="J114" s="1369">
        <f t="shared" si="30"/>
        <v>10140</v>
      </c>
      <c r="K114" s="1356">
        <f t="shared" si="31"/>
        <v>50076</v>
      </c>
      <c r="L114" s="1457"/>
    </row>
    <row r="115" spans="1:12" s="1765" customFormat="1" ht="24" customHeight="1">
      <c r="A115" s="1784"/>
      <c r="B115" s="1780" t="s">
        <v>1342</v>
      </c>
      <c r="C115" s="1260"/>
      <c r="D115" s="1781"/>
      <c r="E115" s="825">
        <f>E80</f>
        <v>171.60000000000002</v>
      </c>
      <c r="F115" s="1356" t="s">
        <v>226</v>
      </c>
      <c r="G115" s="1515">
        <v>302</v>
      </c>
      <c r="H115" s="1369">
        <f t="shared" si="29"/>
        <v>51823</v>
      </c>
      <c r="I115" s="1370">
        <v>78</v>
      </c>
      <c r="J115" s="1369">
        <f t="shared" si="30"/>
        <v>13385</v>
      </c>
      <c r="K115" s="1356">
        <f t="shared" si="31"/>
        <v>65208</v>
      </c>
      <c r="L115" s="1457"/>
    </row>
    <row r="116" spans="1:12" s="1765" customFormat="1" ht="24" customHeight="1">
      <c r="A116" s="1784"/>
      <c r="B116" s="1780" t="s">
        <v>1111</v>
      </c>
      <c r="C116" s="1260"/>
      <c r="D116" s="1781"/>
      <c r="E116" s="825">
        <f>E81</f>
        <v>113.30000000000001</v>
      </c>
      <c r="F116" s="1356" t="s">
        <v>226</v>
      </c>
      <c r="G116" s="1515">
        <v>367</v>
      </c>
      <c r="H116" s="1369">
        <f t="shared" si="29"/>
        <v>41581</v>
      </c>
      <c r="I116" s="1370">
        <v>104</v>
      </c>
      <c r="J116" s="1369">
        <f t="shared" si="30"/>
        <v>11783</v>
      </c>
      <c r="K116" s="1356">
        <f t="shared" si="31"/>
        <v>53364</v>
      </c>
      <c r="L116" s="1457"/>
    </row>
    <row r="117" spans="1:12" s="1765" customFormat="1" ht="24" customHeight="1">
      <c r="A117" s="1258"/>
      <c r="B117" s="1538" t="s">
        <v>1117</v>
      </c>
      <c r="C117" s="1437"/>
      <c r="D117" s="1275"/>
      <c r="E117" s="1768"/>
      <c r="F117" s="1358"/>
      <c r="G117" s="1516"/>
      <c r="H117" s="1264"/>
      <c r="I117" s="1265"/>
      <c r="J117" s="1264"/>
      <c r="K117" s="1273"/>
      <c r="L117" s="1273"/>
    </row>
    <row r="118" spans="1:12" s="1765" customFormat="1" ht="24" customHeight="1">
      <c r="A118" s="1258"/>
      <c r="B118" s="1538" t="s">
        <v>1118</v>
      </c>
      <c r="C118" s="1437"/>
      <c r="D118" s="1275"/>
      <c r="E118" s="1768"/>
      <c r="F118" s="1358"/>
      <c r="G118" s="1516"/>
      <c r="H118" s="1264"/>
      <c r="I118" s="1265"/>
      <c r="J118" s="1264"/>
      <c r="K118" s="1273"/>
      <c r="L118" s="1273"/>
    </row>
    <row r="119" spans="1:12" s="1765" customFormat="1" ht="24" customHeight="1">
      <c r="A119" s="1258"/>
      <c r="B119" s="1538"/>
      <c r="C119" s="1437"/>
      <c r="D119" s="1275"/>
      <c r="E119" s="1768"/>
      <c r="F119" s="1358"/>
      <c r="G119" s="1516"/>
      <c r="H119" s="1264"/>
      <c r="I119" s="1265"/>
      <c r="J119" s="1264"/>
      <c r="K119" s="1273"/>
      <c r="L119" s="1273"/>
    </row>
    <row r="120" spans="1:12" s="1765" customFormat="1" ht="24" customHeight="1">
      <c r="A120" s="1578"/>
      <c r="B120" s="2257" t="str">
        <f>"รวมราคารายการที่ "&amp;A99</f>
        <v>รวมราคารายการที่ 7.5</v>
      </c>
      <c r="C120" s="2258"/>
      <c r="D120" s="2259"/>
      <c r="E120" s="1579"/>
      <c r="F120" s="1579"/>
      <c r="G120" s="1580"/>
      <c r="H120" s="1581">
        <f>SUM(H100:H119)</f>
        <v>134456</v>
      </c>
      <c r="I120" s="1582"/>
      <c r="J120" s="1581">
        <f>SUM(J100:J119)</f>
        <v>35776</v>
      </c>
      <c r="K120" s="1581">
        <f>SUM(K100:K119)</f>
        <v>170232</v>
      </c>
      <c r="L120" s="1583"/>
    </row>
    <row r="121" spans="1:12" s="1765" customFormat="1" ht="24" customHeight="1">
      <c r="A121" s="1291">
        <v>7.6</v>
      </c>
      <c r="B121" s="1776" t="s">
        <v>2061</v>
      </c>
      <c r="C121" s="1293"/>
      <c r="D121" s="1294"/>
      <c r="E121" s="1786"/>
      <c r="F121" s="1296"/>
      <c r="G121" s="1357"/>
      <c r="H121" s="1298"/>
      <c r="I121" s="1299"/>
      <c r="J121" s="1298"/>
      <c r="K121" s="1382"/>
      <c r="L121" s="1382"/>
    </row>
    <row r="122" spans="1:12" s="1765" customFormat="1" ht="24" customHeight="1">
      <c r="A122" s="1258" t="s">
        <v>2075</v>
      </c>
      <c r="B122" s="1538" t="s">
        <v>2063</v>
      </c>
      <c r="C122" s="1437"/>
      <c r="D122" s="1275"/>
      <c r="E122" s="1768"/>
      <c r="F122" s="1358"/>
      <c r="G122" s="1516"/>
      <c r="H122" s="1264"/>
      <c r="I122" s="1265"/>
      <c r="J122" s="1264"/>
      <c r="K122" s="1273"/>
      <c r="L122" s="1273"/>
    </row>
    <row r="123" spans="1:12" s="1765" customFormat="1" ht="24" customHeight="1">
      <c r="A123" s="1258"/>
      <c r="B123" s="1538" t="s">
        <v>1448</v>
      </c>
      <c r="C123" s="1437"/>
      <c r="D123" s="1275"/>
      <c r="E123" s="1787"/>
      <c r="F123" s="1788" t="s">
        <v>363</v>
      </c>
      <c r="G123" s="2010">
        <v>880</v>
      </c>
      <c r="H123" s="1773">
        <f t="shared" ref="H123:H127" si="32">ROUND(E123*G123,)</f>
        <v>0</v>
      </c>
      <c r="I123" s="2011">
        <v>150</v>
      </c>
      <c r="J123" s="2008">
        <f t="shared" ref="J123:J127" si="33">ROUND(E123*I123,)</f>
        <v>0</v>
      </c>
      <c r="K123" s="1774">
        <f t="shared" ref="K123:K127" si="34">H123+J123</f>
        <v>0</v>
      </c>
      <c r="L123" s="2082" t="s">
        <v>2667</v>
      </c>
    </row>
    <row r="124" spans="1:12" s="1765" customFormat="1" ht="24" customHeight="1">
      <c r="A124" s="1258"/>
      <c r="B124" s="1538" t="s">
        <v>1337</v>
      </c>
      <c r="C124" s="1437"/>
      <c r="D124" s="1275"/>
      <c r="E124" s="1768"/>
      <c r="F124" s="1358" t="s">
        <v>363</v>
      </c>
      <c r="G124" s="2012">
        <v>1316</v>
      </c>
      <c r="H124" s="1264">
        <f t="shared" si="32"/>
        <v>0</v>
      </c>
      <c r="I124" s="1332">
        <v>200</v>
      </c>
      <c r="J124" s="2013">
        <f t="shared" si="33"/>
        <v>0</v>
      </c>
      <c r="K124" s="1687">
        <f t="shared" si="34"/>
        <v>0</v>
      </c>
      <c r="L124" s="2082" t="s">
        <v>2667</v>
      </c>
    </row>
    <row r="125" spans="1:12" s="1765" customFormat="1" ht="24" customHeight="1">
      <c r="A125" s="1258"/>
      <c r="B125" s="1538" t="s">
        <v>1338</v>
      </c>
      <c r="C125" s="1437"/>
      <c r="D125" s="1275"/>
      <c r="E125" s="1787">
        <f>E54*2</f>
        <v>0</v>
      </c>
      <c r="F125" s="1358" t="s">
        <v>363</v>
      </c>
      <c r="G125" s="2012">
        <v>1984</v>
      </c>
      <c r="H125" s="1264">
        <f t="shared" si="32"/>
        <v>0</v>
      </c>
      <c r="I125" s="1332">
        <v>250</v>
      </c>
      <c r="J125" s="2013">
        <f t="shared" si="33"/>
        <v>0</v>
      </c>
      <c r="K125" s="1687">
        <f t="shared" si="34"/>
        <v>0</v>
      </c>
      <c r="L125" s="2082" t="s">
        <v>2667</v>
      </c>
    </row>
    <row r="126" spans="1:12" s="1765" customFormat="1" ht="24" customHeight="1">
      <c r="A126" s="1258"/>
      <c r="B126" s="1538" t="s">
        <v>1339</v>
      </c>
      <c r="C126" s="1437"/>
      <c r="D126" s="1275"/>
      <c r="E126" s="1787"/>
      <c r="F126" s="1358" t="s">
        <v>363</v>
      </c>
      <c r="G126" s="2012">
        <v>2610</v>
      </c>
      <c r="H126" s="1264">
        <f t="shared" si="32"/>
        <v>0</v>
      </c>
      <c r="I126" s="1332">
        <v>300</v>
      </c>
      <c r="J126" s="2013">
        <f t="shared" si="33"/>
        <v>0</v>
      </c>
      <c r="K126" s="1687">
        <f t="shared" si="34"/>
        <v>0</v>
      </c>
      <c r="L126" s="2082" t="s">
        <v>2667</v>
      </c>
    </row>
    <row r="127" spans="1:12" s="1765" customFormat="1" ht="24" customHeight="1">
      <c r="A127" s="2113"/>
      <c r="B127" s="2114" t="s">
        <v>1340</v>
      </c>
      <c r="C127" s="2115"/>
      <c r="D127" s="2108"/>
      <c r="E127" s="1801"/>
      <c r="F127" s="1262" t="s">
        <v>363</v>
      </c>
      <c r="G127" s="2003">
        <v>4040</v>
      </c>
      <c r="H127" s="1343">
        <f t="shared" si="32"/>
        <v>0</v>
      </c>
      <c r="I127" s="2004">
        <v>400</v>
      </c>
      <c r="J127" s="2005">
        <f t="shared" si="33"/>
        <v>0</v>
      </c>
      <c r="K127" s="1801">
        <f t="shared" si="34"/>
        <v>0</v>
      </c>
      <c r="L127" s="2152" t="s">
        <v>2667</v>
      </c>
    </row>
    <row r="128" spans="1:12" s="2116" customFormat="1" ht="24" customHeight="1">
      <c r="A128" s="2113" t="s">
        <v>2170</v>
      </c>
      <c r="B128" s="2114" t="s">
        <v>2065</v>
      </c>
      <c r="C128" s="2115"/>
      <c r="D128" s="2108"/>
      <c r="E128" s="1801"/>
      <c r="F128" s="1262"/>
      <c r="G128" s="1515"/>
      <c r="H128" s="1343"/>
      <c r="I128" s="1344"/>
      <c r="J128" s="1343"/>
      <c r="K128" s="1262"/>
      <c r="L128" s="1262"/>
    </row>
    <row r="129" spans="1:20" s="2116" customFormat="1" ht="24" customHeight="1">
      <c r="A129" s="2113"/>
      <c r="B129" s="2107" t="s">
        <v>1341</v>
      </c>
      <c r="C129" s="2115"/>
      <c r="D129" s="2108"/>
      <c r="E129" s="1801"/>
      <c r="F129" s="1262" t="s">
        <v>363</v>
      </c>
      <c r="G129" s="1836">
        <v>1862</v>
      </c>
      <c r="H129" s="1343">
        <f>ROUND(E129*G129,)</f>
        <v>0</v>
      </c>
      <c r="I129" s="1344">
        <v>500</v>
      </c>
      <c r="J129" s="1343">
        <f t="shared" ref="J129:J132" si="35">ROUND(E129*I129,)</f>
        <v>0</v>
      </c>
      <c r="K129" s="1262">
        <f t="shared" ref="K129:K132" si="36">H129+J129</f>
        <v>0</v>
      </c>
      <c r="L129" s="1262"/>
    </row>
    <row r="130" spans="1:20" s="2116" customFormat="1" ht="24" customHeight="1">
      <c r="A130" s="2113"/>
      <c r="B130" s="2107" t="s">
        <v>1342</v>
      </c>
      <c r="C130" s="2115"/>
      <c r="D130" s="2108"/>
      <c r="E130" s="2091">
        <v>12</v>
      </c>
      <c r="F130" s="1262" t="s">
        <v>363</v>
      </c>
      <c r="G130" s="1836">
        <v>2159</v>
      </c>
      <c r="H130" s="1343">
        <f>ROUND(E130*G130,)</f>
        <v>25908</v>
      </c>
      <c r="I130" s="1344">
        <v>600</v>
      </c>
      <c r="J130" s="1343">
        <f t="shared" si="35"/>
        <v>7200</v>
      </c>
      <c r="K130" s="1262">
        <f t="shared" si="36"/>
        <v>33108</v>
      </c>
      <c r="L130" s="1262"/>
    </row>
    <row r="131" spans="1:20" s="2116" customFormat="1" ht="24" customHeight="1">
      <c r="A131" s="2113"/>
      <c r="B131" s="2114" t="s">
        <v>1759</v>
      </c>
      <c r="C131" s="2115"/>
      <c r="D131" s="2108"/>
      <c r="E131" s="1801"/>
      <c r="F131" s="1262" t="s">
        <v>363</v>
      </c>
      <c r="G131" s="1836">
        <v>2811</v>
      </c>
      <c r="H131" s="1343">
        <f>ROUND(E131*G131,)</f>
        <v>0</v>
      </c>
      <c r="I131" s="1344">
        <v>800</v>
      </c>
      <c r="J131" s="1343">
        <f t="shared" si="35"/>
        <v>0</v>
      </c>
      <c r="K131" s="1262">
        <f t="shared" si="36"/>
        <v>0</v>
      </c>
      <c r="L131" s="1415"/>
    </row>
    <row r="132" spans="1:20" s="2116" customFormat="1" ht="24" customHeight="1">
      <c r="A132" s="2113"/>
      <c r="B132" s="2114" t="s">
        <v>1866</v>
      </c>
      <c r="C132" s="2115"/>
      <c r="D132" s="2108"/>
      <c r="E132" s="1801"/>
      <c r="F132" s="1262" t="s">
        <v>363</v>
      </c>
      <c r="G132" s="1836">
        <v>14327</v>
      </c>
      <c r="H132" s="1343">
        <f>ROUND(E132*G132,)</f>
        <v>0</v>
      </c>
      <c r="I132" s="1344">
        <v>2000</v>
      </c>
      <c r="J132" s="1343">
        <f t="shared" si="35"/>
        <v>0</v>
      </c>
      <c r="K132" s="1262">
        <f t="shared" si="36"/>
        <v>0</v>
      </c>
      <c r="L132" s="1262"/>
    </row>
    <row r="133" spans="1:20" s="2116" customFormat="1" ht="24" customHeight="1">
      <c r="A133" s="2113"/>
      <c r="B133" s="2114"/>
      <c r="C133" s="2115"/>
      <c r="D133" s="2108"/>
      <c r="E133" s="1801"/>
      <c r="F133" s="1262"/>
      <c r="G133" s="1836"/>
      <c r="H133" s="1343"/>
      <c r="I133" s="1344"/>
      <c r="J133" s="1343"/>
      <c r="K133" s="1262"/>
      <c r="L133" s="1262"/>
    </row>
    <row r="134" spans="1:20" s="2116" customFormat="1" ht="24" customHeight="1">
      <c r="A134" s="2113"/>
      <c r="B134" s="2114"/>
      <c r="C134" s="2115"/>
      <c r="D134" s="2108"/>
      <c r="E134" s="1801"/>
      <c r="F134" s="1262"/>
      <c r="G134" s="1836"/>
      <c r="H134" s="1343"/>
      <c r="I134" s="1344"/>
      <c r="J134" s="1343"/>
      <c r="K134" s="1262"/>
      <c r="L134" s="1262"/>
    </row>
    <row r="135" spans="1:20" s="1765" customFormat="1" ht="24" customHeight="1">
      <c r="A135" s="2113" t="s">
        <v>2226</v>
      </c>
      <c r="B135" s="2114" t="s">
        <v>2067</v>
      </c>
      <c r="C135" s="2115"/>
      <c r="D135" s="2108"/>
      <c r="E135" s="1801"/>
      <c r="F135" s="1262"/>
      <c r="G135" s="1515"/>
      <c r="H135" s="1343"/>
      <c r="I135" s="1344"/>
      <c r="J135" s="1343"/>
      <c r="K135" s="1262"/>
      <c r="L135" s="1262"/>
    </row>
    <row r="136" spans="1:20" s="1765" customFormat="1" ht="24" customHeight="1">
      <c r="A136" s="2113"/>
      <c r="B136" s="2114" t="s">
        <v>1448</v>
      </c>
      <c r="C136" s="2115"/>
      <c r="D136" s="2108"/>
      <c r="E136" s="1853">
        <f>E123/2</f>
        <v>0</v>
      </c>
      <c r="F136" s="2154" t="s">
        <v>363</v>
      </c>
      <c r="G136" s="2159">
        <v>350</v>
      </c>
      <c r="H136" s="2156">
        <f t="shared" ref="H136:H140" si="37">ROUND(E136*G136,)</f>
        <v>0</v>
      </c>
      <c r="I136" s="2160">
        <v>150</v>
      </c>
      <c r="J136" s="2156">
        <f t="shared" ref="J136:J140" si="38">ROUND(E136*I136,)</f>
        <v>0</v>
      </c>
      <c r="K136" s="2154">
        <f t="shared" ref="K136:K140" si="39">H136+J136</f>
        <v>0</v>
      </c>
      <c r="L136" s="1262"/>
    </row>
    <row r="137" spans="1:20" s="1765" customFormat="1" ht="24" customHeight="1">
      <c r="A137" s="2113"/>
      <c r="B137" s="2114" t="s">
        <v>1338</v>
      </c>
      <c r="C137" s="2115"/>
      <c r="D137" s="2108"/>
      <c r="E137" s="1801">
        <f>E125/2</f>
        <v>0</v>
      </c>
      <c r="F137" s="1262" t="s">
        <v>363</v>
      </c>
      <c r="G137" s="1515">
        <v>1084</v>
      </c>
      <c r="H137" s="1343">
        <f t="shared" si="37"/>
        <v>0</v>
      </c>
      <c r="I137" s="1344">
        <v>250</v>
      </c>
      <c r="J137" s="1343">
        <f t="shared" si="38"/>
        <v>0</v>
      </c>
      <c r="K137" s="1262">
        <f t="shared" si="39"/>
        <v>0</v>
      </c>
      <c r="L137" s="1262"/>
    </row>
    <row r="138" spans="1:20" s="1765" customFormat="1" ht="24" customHeight="1">
      <c r="A138" s="2113"/>
      <c r="B138" s="2114" t="s">
        <v>1339</v>
      </c>
      <c r="C138" s="2115"/>
      <c r="D138" s="2108"/>
      <c r="E138" s="1801">
        <f>E126/2</f>
        <v>0</v>
      </c>
      <c r="F138" s="1262" t="s">
        <v>363</v>
      </c>
      <c r="G138" s="1515">
        <v>1710</v>
      </c>
      <c r="H138" s="1343">
        <f t="shared" si="37"/>
        <v>0</v>
      </c>
      <c r="I138" s="1344">
        <v>300</v>
      </c>
      <c r="J138" s="1343">
        <f t="shared" si="38"/>
        <v>0</v>
      </c>
      <c r="K138" s="1262">
        <f t="shared" si="39"/>
        <v>0</v>
      </c>
      <c r="L138" s="1262"/>
    </row>
    <row r="139" spans="1:20" s="1765" customFormat="1" ht="24" customHeight="1">
      <c r="A139" s="2113"/>
      <c r="B139" s="2114" t="s">
        <v>1340</v>
      </c>
      <c r="C139" s="2115"/>
      <c r="D139" s="2108"/>
      <c r="E139" s="1801"/>
      <c r="F139" s="1262" t="s">
        <v>363</v>
      </c>
      <c r="G139" s="1836">
        <v>2839</v>
      </c>
      <c r="H139" s="1343">
        <f t="shared" si="37"/>
        <v>0</v>
      </c>
      <c r="I139" s="1344">
        <v>400</v>
      </c>
      <c r="J139" s="1343">
        <f t="shared" si="38"/>
        <v>0</v>
      </c>
      <c r="K139" s="1262">
        <f t="shared" si="39"/>
        <v>0</v>
      </c>
      <c r="L139" s="1262"/>
    </row>
    <row r="140" spans="1:20" s="2116" customFormat="1" ht="24" customHeight="1">
      <c r="A140" s="2113"/>
      <c r="B140" s="2114" t="s">
        <v>1341</v>
      </c>
      <c r="C140" s="2115"/>
      <c r="D140" s="2108"/>
      <c r="E140" s="1801"/>
      <c r="F140" s="1262" t="s">
        <v>363</v>
      </c>
      <c r="G140" s="1836">
        <v>4375</v>
      </c>
      <c r="H140" s="1343">
        <f t="shared" si="37"/>
        <v>0</v>
      </c>
      <c r="I140" s="1344">
        <v>500</v>
      </c>
      <c r="J140" s="1343">
        <f t="shared" si="38"/>
        <v>0</v>
      </c>
      <c r="K140" s="1262">
        <f t="shared" si="39"/>
        <v>0</v>
      </c>
      <c r="L140" s="1262"/>
      <c r="M140" s="2144"/>
      <c r="N140" s="2144"/>
      <c r="O140" s="2144"/>
      <c r="P140" s="2144"/>
      <c r="Q140" s="2144"/>
      <c r="R140" s="2144"/>
      <c r="S140" s="2144"/>
      <c r="T140" s="2144"/>
    </row>
    <row r="141" spans="1:20" s="2116" customFormat="1" ht="24" customHeight="1">
      <c r="A141" s="2113"/>
      <c r="B141" s="2153" t="s">
        <v>1834</v>
      </c>
      <c r="C141" s="2115"/>
      <c r="D141" s="2108"/>
      <c r="E141" s="2091">
        <v>6</v>
      </c>
      <c r="F141" s="1262" t="s">
        <v>363</v>
      </c>
      <c r="G141" s="1836">
        <v>4489</v>
      </c>
      <c r="H141" s="1343">
        <f>ROUND(E141*G141,)</f>
        <v>26934</v>
      </c>
      <c r="I141" s="1344">
        <v>600</v>
      </c>
      <c r="J141" s="1343">
        <f>ROUND(E141*I141,)</f>
        <v>3600</v>
      </c>
      <c r="K141" s="1262">
        <f>H141+J141</f>
        <v>30534</v>
      </c>
      <c r="L141" s="1262"/>
    </row>
    <row r="142" spans="1:20" s="2116" customFormat="1" ht="24" customHeight="1">
      <c r="A142" s="2113"/>
      <c r="B142" s="2114" t="s">
        <v>1759</v>
      </c>
      <c r="C142" s="2115"/>
      <c r="D142" s="2108"/>
      <c r="E142" s="1801"/>
      <c r="F142" s="1262" t="s">
        <v>363</v>
      </c>
      <c r="G142" s="1836">
        <v>6528</v>
      </c>
      <c r="H142" s="1343">
        <f>ROUND(E142*G142,)</f>
        <v>0</v>
      </c>
      <c r="I142" s="1344">
        <v>800</v>
      </c>
      <c r="J142" s="1343">
        <f>ROUND(E142*I142,)</f>
        <v>0</v>
      </c>
      <c r="K142" s="1262">
        <f>H142+J142</f>
        <v>0</v>
      </c>
      <c r="L142" s="1262"/>
    </row>
    <row r="143" spans="1:20" s="1765" customFormat="1" ht="24" customHeight="1">
      <c r="A143" s="2113" t="s">
        <v>2227</v>
      </c>
      <c r="B143" s="2114" t="s">
        <v>2069</v>
      </c>
      <c r="C143" s="2115"/>
      <c r="D143" s="2108"/>
      <c r="E143" s="1801"/>
      <c r="F143" s="1262"/>
      <c r="G143" s="1836"/>
      <c r="H143" s="1343"/>
      <c r="I143" s="1344"/>
      <c r="J143" s="1343"/>
      <c r="K143" s="1262"/>
      <c r="L143" s="1262"/>
    </row>
    <row r="144" spans="1:20" s="1765" customFormat="1" ht="24" customHeight="1">
      <c r="A144" s="2113"/>
      <c r="B144" s="2114" t="s">
        <v>1338</v>
      </c>
      <c r="C144" s="2115"/>
      <c r="D144" s="2108"/>
      <c r="E144" s="1801"/>
      <c r="F144" s="1262" t="s">
        <v>363</v>
      </c>
      <c r="G144" s="1515">
        <v>1863</v>
      </c>
      <c r="H144" s="1343">
        <f t="shared" ref="H144:H145" si="40">ROUND(E144*G144,)</f>
        <v>0</v>
      </c>
      <c r="I144" s="1344">
        <v>250</v>
      </c>
      <c r="J144" s="1343">
        <f t="shared" ref="J144:J145" si="41">ROUND(E144*I144,)</f>
        <v>0</v>
      </c>
      <c r="K144" s="1262">
        <f t="shared" ref="K144:K145" si="42">H144+J144</f>
        <v>0</v>
      </c>
      <c r="L144" s="1262"/>
    </row>
    <row r="145" spans="1:12" s="1765" customFormat="1" ht="24" customHeight="1">
      <c r="A145" s="2113"/>
      <c r="B145" s="2114" t="s">
        <v>1339</v>
      </c>
      <c r="C145" s="2115"/>
      <c r="D145" s="2108"/>
      <c r="E145" s="1801"/>
      <c r="F145" s="1262" t="s">
        <v>363</v>
      </c>
      <c r="G145" s="1515">
        <v>2130</v>
      </c>
      <c r="H145" s="1343">
        <f t="shared" si="40"/>
        <v>0</v>
      </c>
      <c r="I145" s="1344">
        <v>300</v>
      </c>
      <c r="J145" s="1343">
        <f t="shared" si="41"/>
        <v>0</v>
      </c>
      <c r="K145" s="1262">
        <f t="shared" si="42"/>
        <v>0</v>
      </c>
      <c r="L145" s="1262"/>
    </row>
    <row r="146" spans="1:12" s="2116" customFormat="1" ht="24" customHeight="1">
      <c r="A146" s="2113"/>
      <c r="B146" s="2153" t="s">
        <v>1856</v>
      </c>
      <c r="C146" s="2115"/>
      <c r="D146" s="2108"/>
      <c r="E146" s="2091"/>
      <c r="F146" s="1262" t="s">
        <v>363</v>
      </c>
      <c r="G146" s="1515">
        <v>3876</v>
      </c>
      <c r="H146" s="1343">
        <f>ROUND(E146*G146,)</f>
        <v>0</v>
      </c>
      <c r="I146" s="1344">
        <v>500</v>
      </c>
      <c r="J146" s="1343">
        <f>ROUND(E146*I146,)</f>
        <v>0</v>
      </c>
      <c r="K146" s="1262">
        <f>H146+J146</f>
        <v>0</v>
      </c>
      <c r="L146" s="1262"/>
    </row>
    <row r="147" spans="1:12" s="2116" customFormat="1" ht="24" customHeight="1">
      <c r="A147" s="2113"/>
      <c r="B147" s="2153" t="s">
        <v>1834</v>
      </c>
      <c r="C147" s="2115"/>
      <c r="D147" s="2108"/>
      <c r="E147" s="2091">
        <v>12</v>
      </c>
      <c r="F147" s="1262" t="s">
        <v>363</v>
      </c>
      <c r="G147" s="1515">
        <v>4175</v>
      </c>
      <c r="H147" s="1343">
        <f>ROUND(E147*G147,)</f>
        <v>50100</v>
      </c>
      <c r="I147" s="1344">
        <v>600</v>
      </c>
      <c r="J147" s="1343">
        <f>ROUND(E147*I147,)</f>
        <v>7200</v>
      </c>
      <c r="K147" s="1262">
        <f>H147+J147</f>
        <v>57300</v>
      </c>
      <c r="L147" s="1262"/>
    </row>
    <row r="148" spans="1:12" s="2116" customFormat="1" ht="24" customHeight="1">
      <c r="A148" s="2113"/>
      <c r="B148" s="2114" t="s">
        <v>1759</v>
      </c>
      <c r="C148" s="2115"/>
      <c r="D148" s="2108"/>
      <c r="E148" s="1801"/>
      <c r="F148" s="1262" t="s">
        <v>363</v>
      </c>
      <c r="G148" s="1836">
        <v>5541</v>
      </c>
      <c r="H148" s="1343">
        <f>ROUND(E148*G148,)</f>
        <v>0</v>
      </c>
      <c r="I148" s="1344">
        <v>800</v>
      </c>
      <c r="J148" s="1343">
        <f t="shared" ref="J148:J149" si="43">ROUND(E148*I148,)</f>
        <v>0</v>
      </c>
      <c r="K148" s="1262">
        <f t="shared" ref="K148:K149" si="44">H148+J148</f>
        <v>0</v>
      </c>
      <c r="L148" s="1262"/>
    </row>
    <row r="149" spans="1:12" s="2116" customFormat="1" ht="24" customHeight="1">
      <c r="A149" s="2113"/>
      <c r="B149" s="2114" t="s">
        <v>1866</v>
      </c>
      <c r="C149" s="2115"/>
      <c r="D149" s="2108"/>
      <c r="E149" s="1801"/>
      <c r="F149" s="1262"/>
      <c r="G149" s="1836">
        <v>18915</v>
      </c>
      <c r="H149" s="1343">
        <f>ROUND(E149*G149,)</f>
        <v>0</v>
      </c>
      <c r="I149" s="1344">
        <v>2000</v>
      </c>
      <c r="J149" s="1343">
        <f t="shared" si="43"/>
        <v>0</v>
      </c>
      <c r="K149" s="1262">
        <f t="shared" si="44"/>
        <v>0</v>
      </c>
      <c r="L149" s="1262"/>
    </row>
    <row r="150" spans="1:12" s="2116" customFormat="1" ht="24" customHeight="1">
      <c r="A150" s="2113" t="s">
        <v>2883</v>
      </c>
      <c r="B150" s="2114" t="s">
        <v>2728</v>
      </c>
      <c r="C150" s="2115"/>
      <c r="D150" s="2108"/>
      <c r="E150" s="1801"/>
      <c r="F150" s="1262"/>
      <c r="G150" s="1515"/>
      <c r="H150" s="1343"/>
      <c r="I150" s="1344"/>
      <c r="J150" s="1343"/>
      <c r="K150" s="1262"/>
      <c r="L150" s="1262"/>
    </row>
    <row r="151" spans="1:12" s="2116" customFormat="1" ht="24" customHeight="1">
      <c r="A151" s="2113"/>
      <c r="B151" s="2153" t="s">
        <v>1865</v>
      </c>
      <c r="C151" s="2115"/>
      <c r="D151" s="2108"/>
      <c r="E151" s="2091">
        <v>6</v>
      </c>
      <c r="F151" s="1262" t="s">
        <v>363</v>
      </c>
      <c r="G151" s="1515">
        <v>300</v>
      </c>
      <c r="H151" s="1343">
        <f>ROUND(E151*G151,)</f>
        <v>1800</v>
      </c>
      <c r="I151" s="1344">
        <v>200</v>
      </c>
      <c r="J151" s="1343">
        <f>ROUND(E151*I151,)</f>
        <v>1200</v>
      </c>
      <c r="K151" s="1262">
        <f>H151+J151</f>
        <v>3000</v>
      </c>
      <c r="L151" s="1262"/>
    </row>
    <row r="152" spans="1:12" s="1765" customFormat="1" ht="24" customHeight="1">
      <c r="A152" s="2113" t="s">
        <v>2884</v>
      </c>
      <c r="B152" s="2114" t="s">
        <v>1730</v>
      </c>
      <c r="C152" s="2115"/>
      <c r="D152" s="2108"/>
      <c r="E152" s="1801"/>
      <c r="F152" s="1262"/>
      <c r="G152" s="1515"/>
      <c r="H152" s="1343"/>
      <c r="I152" s="1344"/>
      <c r="J152" s="1343"/>
      <c r="K152" s="1262"/>
      <c r="L152" s="1262"/>
    </row>
    <row r="153" spans="1:12" s="2116" customFormat="1" ht="24" customHeight="1">
      <c r="A153" s="2113"/>
      <c r="B153" s="2114" t="s">
        <v>1337</v>
      </c>
      <c r="C153" s="2115"/>
      <c r="D153" s="2108"/>
      <c r="E153" s="1801">
        <v>6</v>
      </c>
      <c r="F153" s="1262" t="s">
        <v>363</v>
      </c>
      <c r="G153" s="1515">
        <v>2400</v>
      </c>
      <c r="H153" s="1343">
        <f t="shared" ref="H153:H155" si="45">ROUND(E153*G153,)</f>
        <v>14400</v>
      </c>
      <c r="I153" s="1344">
        <v>200</v>
      </c>
      <c r="J153" s="1343">
        <f t="shared" ref="J153:J155" si="46">ROUND(E153*I153,)</f>
        <v>1200</v>
      </c>
      <c r="K153" s="1262">
        <f t="shared" ref="K153:K155" si="47">H153+J153</f>
        <v>15600</v>
      </c>
      <c r="L153" s="1415"/>
    </row>
    <row r="154" spans="1:12" s="2116" customFormat="1" ht="24" customHeight="1">
      <c r="A154" s="2113" t="s">
        <v>2885</v>
      </c>
      <c r="B154" s="2114" t="s">
        <v>1741</v>
      </c>
      <c r="C154" s="2115"/>
      <c r="D154" s="2108"/>
      <c r="E154" s="1801">
        <v>12</v>
      </c>
      <c r="F154" s="1262" t="s">
        <v>363</v>
      </c>
      <c r="G154" s="1515">
        <v>1452</v>
      </c>
      <c r="H154" s="1343">
        <f t="shared" si="45"/>
        <v>17424</v>
      </c>
      <c r="I154" s="1344">
        <v>100</v>
      </c>
      <c r="J154" s="1343">
        <f t="shared" si="46"/>
        <v>1200</v>
      </c>
      <c r="K154" s="1262">
        <f t="shared" si="47"/>
        <v>18624</v>
      </c>
      <c r="L154" s="1262"/>
    </row>
    <row r="155" spans="1:12" s="2116" customFormat="1" ht="24" customHeight="1">
      <c r="A155" s="2113" t="s">
        <v>2886</v>
      </c>
      <c r="B155" s="2114" t="s">
        <v>1987</v>
      </c>
      <c r="C155" s="2115"/>
      <c r="D155" s="2108"/>
      <c r="E155" s="1801">
        <v>12</v>
      </c>
      <c r="F155" s="1262" t="s">
        <v>363</v>
      </c>
      <c r="G155" s="1515">
        <v>1590</v>
      </c>
      <c r="H155" s="1343">
        <f t="shared" si="45"/>
        <v>19080</v>
      </c>
      <c r="I155" s="1344">
        <v>100</v>
      </c>
      <c r="J155" s="1343">
        <f t="shared" si="46"/>
        <v>1200</v>
      </c>
      <c r="K155" s="1262">
        <f t="shared" si="47"/>
        <v>20280</v>
      </c>
      <c r="L155" s="1262"/>
    </row>
    <row r="156" spans="1:12" s="1765" customFormat="1" ht="24" customHeight="1">
      <c r="A156" s="2113"/>
      <c r="B156" s="2114" t="s">
        <v>1117</v>
      </c>
      <c r="C156" s="2115"/>
      <c r="D156" s="2108"/>
      <c r="E156" s="1801"/>
      <c r="F156" s="1262"/>
      <c r="G156" s="1515"/>
      <c r="H156" s="1343"/>
      <c r="I156" s="1344"/>
      <c r="J156" s="1343"/>
      <c r="K156" s="1262"/>
      <c r="L156" s="1262"/>
    </row>
    <row r="157" spans="1:12" s="1765" customFormat="1" ht="24" customHeight="1">
      <c r="A157" s="1258"/>
      <c r="B157" s="1538" t="s">
        <v>1118</v>
      </c>
      <c r="C157" s="1437"/>
      <c r="D157" s="1275"/>
      <c r="E157" s="1768"/>
      <c r="F157" s="1358"/>
      <c r="G157" s="1516"/>
      <c r="H157" s="1264"/>
      <c r="I157" s="1265"/>
      <c r="J157" s="1264"/>
      <c r="K157" s="1273"/>
      <c r="L157" s="1273"/>
    </row>
    <row r="158" spans="1:12" s="1765" customFormat="1" ht="24" customHeight="1">
      <c r="A158" s="1791"/>
      <c r="B158" s="1792"/>
      <c r="C158" s="1702"/>
      <c r="D158" s="1486"/>
      <c r="E158" s="1793"/>
      <c r="F158" s="1487"/>
      <c r="G158" s="1864"/>
      <c r="H158" s="1425"/>
      <c r="I158" s="1488"/>
      <c r="J158" s="1425"/>
      <c r="K158" s="1426"/>
      <c r="L158" s="1426"/>
    </row>
    <row r="159" spans="1:12" s="1765" customFormat="1" ht="24" customHeight="1">
      <c r="A159" s="1578"/>
      <c r="B159" s="2257" t="str">
        <f>"รวมราคารายการที่ "&amp;A121</f>
        <v>รวมราคารายการที่ 7.6</v>
      </c>
      <c r="C159" s="2258"/>
      <c r="D159" s="2259"/>
      <c r="E159" s="1579"/>
      <c r="F159" s="1579"/>
      <c r="G159" s="1580"/>
      <c r="H159" s="1581">
        <f>SUM(H123:H158)</f>
        <v>155646</v>
      </c>
      <c r="I159" s="1582"/>
      <c r="J159" s="1581">
        <f>SUM(J123:J158)</f>
        <v>22800</v>
      </c>
      <c r="K159" s="1581">
        <f>SUM(K123:K158)</f>
        <v>178446</v>
      </c>
      <c r="L159" s="1583"/>
    </row>
    <row r="160" spans="1:12" s="1765" customFormat="1" ht="24" customHeight="1">
      <c r="A160" s="1847" t="s">
        <v>2308</v>
      </c>
      <c r="B160" s="1848" t="s">
        <v>2177</v>
      </c>
      <c r="C160" s="1849"/>
      <c r="D160" s="1354"/>
      <c r="E160" s="1802"/>
      <c r="F160" s="1356"/>
      <c r="G160" s="1803"/>
      <c r="H160" s="1369"/>
      <c r="I160" s="1370"/>
      <c r="J160" s="1369"/>
      <c r="K160" s="1356"/>
      <c r="L160" s="1356"/>
    </row>
    <row r="161" spans="1:16" s="1765" customFormat="1" ht="24" customHeight="1">
      <c r="A161" s="2113" t="s">
        <v>2084</v>
      </c>
      <c r="B161" s="2149" t="s">
        <v>2729</v>
      </c>
      <c r="C161" s="2115"/>
      <c r="D161" s="2150"/>
      <c r="E161" s="1802"/>
      <c r="F161" s="1356"/>
      <c r="G161" s="1803"/>
      <c r="H161" s="1369"/>
      <c r="I161" s="1370"/>
      <c r="J161" s="1369"/>
      <c r="K161" s="1356"/>
      <c r="L161" s="1356"/>
    </row>
    <row r="162" spans="1:16" s="2116" customFormat="1" ht="24" customHeight="1">
      <c r="A162" s="2113"/>
      <c r="B162" s="2107" t="s">
        <v>2739</v>
      </c>
      <c r="C162" s="2115"/>
      <c r="D162" s="2108"/>
      <c r="E162" s="1801">
        <v>1</v>
      </c>
      <c r="F162" s="1262" t="s">
        <v>363</v>
      </c>
      <c r="G162" s="1515">
        <v>89000</v>
      </c>
      <c r="H162" s="1413">
        <f t="shared" ref="H162:H168" si="48">ROUND(E162*G162,)</f>
        <v>89000</v>
      </c>
      <c r="I162" s="1515">
        <f>G162*0.1</f>
        <v>8900</v>
      </c>
      <c r="J162" s="1413">
        <f t="shared" ref="J162:J168" si="49">ROUND(E162*I162,)</f>
        <v>8900</v>
      </c>
      <c r="K162" s="1415">
        <f t="shared" ref="K162:K168" si="50">H162+J162</f>
        <v>97900</v>
      </c>
      <c r="L162" s="1262"/>
    </row>
    <row r="163" spans="1:16" s="2116" customFormat="1" ht="24" customHeight="1">
      <c r="A163" s="2113"/>
      <c r="B163" s="2107" t="s">
        <v>2740</v>
      </c>
      <c r="C163" s="2115"/>
      <c r="D163" s="2108"/>
      <c r="E163" s="1801">
        <v>1</v>
      </c>
      <c r="F163" s="1262" t="s">
        <v>363</v>
      </c>
      <c r="G163" s="1515">
        <v>89000</v>
      </c>
      <c r="H163" s="1413">
        <f t="shared" si="48"/>
        <v>89000</v>
      </c>
      <c r="I163" s="1515">
        <f t="shared" ref="I163:I167" si="51">G163*0.1</f>
        <v>8900</v>
      </c>
      <c r="J163" s="1413">
        <f t="shared" si="49"/>
        <v>8900</v>
      </c>
      <c r="K163" s="1415">
        <f t="shared" si="50"/>
        <v>97900</v>
      </c>
      <c r="L163" s="1262"/>
    </row>
    <row r="164" spans="1:16" s="2116" customFormat="1" ht="24" customHeight="1">
      <c r="A164" s="2113"/>
      <c r="B164" s="2107" t="s">
        <v>2741</v>
      </c>
      <c r="C164" s="2115"/>
      <c r="D164" s="2108"/>
      <c r="E164" s="1801">
        <v>1</v>
      </c>
      <c r="F164" s="1262" t="s">
        <v>363</v>
      </c>
      <c r="G164" s="1515">
        <v>89000</v>
      </c>
      <c r="H164" s="1413">
        <f t="shared" si="48"/>
        <v>89000</v>
      </c>
      <c r="I164" s="1515">
        <f t="shared" si="51"/>
        <v>8900</v>
      </c>
      <c r="J164" s="1413">
        <f t="shared" si="49"/>
        <v>8900</v>
      </c>
      <c r="K164" s="1415">
        <f t="shared" si="50"/>
        <v>97900</v>
      </c>
      <c r="L164" s="1262"/>
    </row>
    <row r="165" spans="1:16" s="2116" customFormat="1" ht="24" customHeight="1">
      <c r="A165" s="2113"/>
      <c r="B165" s="2107" t="s">
        <v>2762</v>
      </c>
      <c r="C165" s="2115"/>
      <c r="D165" s="2108"/>
      <c r="E165" s="1801">
        <v>1</v>
      </c>
      <c r="F165" s="1262" t="s">
        <v>363</v>
      </c>
      <c r="G165" s="1515">
        <v>89000</v>
      </c>
      <c r="H165" s="1413">
        <f t="shared" si="48"/>
        <v>89000</v>
      </c>
      <c r="I165" s="1515">
        <f t="shared" si="51"/>
        <v>8900</v>
      </c>
      <c r="J165" s="1413">
        <f t="shared" si="49"/>
        <v>8900</v>
      </c>
      <c r="K165" s="1415">
        <f t="shared" si="50"/>
        <v>97900</v>
      </c>
      <c r="L165" s="1262"/>
    </row>
    <row r="166" spans="1:16" s="2116" customFormat="1" ht="24" customHeight="1">
      <c r="A166" s="2113"/>
      <c r="B166" s="2107" t="s">
        <v>2763</v>
      </c>
      <c r="C166" s="2115"/>
      <c r="D166" s="2108"/>
      <c r="E166" s="1801">
        <v>1</v>
      </c>
      <c r="F166" s="1262" t="s">
        <v>363</v>
      </c>
      <c r="G166" s="1515">
        <v>89000</v>
      </c>
      <c r="H166" s="1413">
        <f t="shared" si="48"/>
        <v>89000</v>
      </c>
      <c r="I166" s="1515">
        <f t="shared" si="51"/>
        <v>8900</v>
      </c>
      <c r="J166" s="1413">
        <f t="shared" si="49"/>
        <v>8900</v>
      </c>
      <c r="K166" s="1415">
        <f t="shared" si="50"/>
        <v>97900</v>
      </c>
      <c r="L166" s="1262"/>
    </row>
    <row r="167" spans="1:16" s="2116" customFormat="1" ht="24" customHeight="1">
      <c r="A167" s="2113"/>
      <c r="B167" s="2107" t="s">
        <v>2764</v>
      </c>
      <c r="C167" s="2115"/>
      <c r="D167" s="2108"/>
      <c r="E167" s="1801">
        <v>1</v>
      </c>
      <c r="F167" s="1262" t="s">
        <v>363</v>
      </c>
      <c r="G167" s="1515">
        <v>89000</v>
      </c>
      <c r="H167" s="1413">
        <f t="shared" si="48"/>
        <v>89000</v>
      </c>
      <c r="I167" s="1515">
        <f t="shared" si="51"/>
        <v>8900</v>
      </c>
      <c r="J167" s="1413">
        <f t="shared" si="49"/>
        <v>8900</v>
      </c>
      <c r="K167" s="1415">
        <f t="shared" si="50"/>
        <v>97900</v>
      </c>
      <c r="L167" s="1262"/>
    </row>
    <row r="168" spans="1:16" s="1765" customFormat="1" ht="24" customHeight="1">
      <c r="A168" s="2113"/>
      <c r="B168" s="2149"/>
      <c r="C168" s="2115"/>
      <c r="D168" s="2150"/>
      <c r="E168" s="1801"/>
      <c r="F168" s="1356" t="s">
        <v>363</v>
      </c>
      <c r="G168" s="1515">
        <v>33000</v>
      </c>
      <c r="H168" s="820">
        <f t="shared" si="48"/>
        <v>0</v>
      </c>
      <c r="I168" s="1515">
        <v>1500</v>
      </c>
      <c r="J168" s="820">
        <f t="shared" si="49"/>
        <v>0</v>
      </c>
      <c r="K168" s="1457">
        <f t="shared" si="50"/>
        <v>0</v>
      </c>
      <c r="L168" s="1356"/>
    </row>
    <row r="169" spans="1:16" s="1765" customFormat="1" ht="24" customHeight="1">
      <c r="A169" s="2113" t="s">
        <v>2089</v>
      </c>
      <c r="B169" s="2149" t="s">
        <v>1355</v>
      </c>
      <c r="C169" s="2115"/>
      <c r="D169" s="2150"/>
      <c r="E169" s="1801"/>
      <c r="F169" s="1356"/>
      <c r="G169" s="1515"/>
      <c r="H169" s="1369"/>
      <c r="I169" s="1370"/>
      <c r="J169" s="1369"/>
      <c r="K169" s="1356"/>
      <c r="L169" s="1356"/>
    </row>
    <row r="170" spans="1:16" s="1765" customFormat="1" ht="24" customHeight="1">
      <c r="A170" s="2113"/>
      <c r="B170" s="2149" t="s">
        <v>1811</v>
      </c>
      <c r="C170" s="2115"/>
      <c r="D170" s="2150"/>
      <c r="E170" s="1801"/>
      <c r="F170" s="1356" t="s">
        <v>226</v>
      </c>
      <c r="G170" s="1386">
        <v>9</v>
      </c>
      <c r="H170" s="1343">
        <f t="shared" ref="H170:H171" si="52">ROUND(E170*G170,)</f>
        <v>0</v>
      </c>
      <c r="I170" s="1344">
        <v>7</v>
      </c>
      <c r="J170" s="1413">
        <f t="shared" ref="J170:J171" si="53">ROUND(E170*I170,)</f>
        <v>0</v>
      </c>
      <c r="K170" s="1415">
        <f t="shared" ref="K170:K171" si="54">H170+J170</f>
        <v>0</v>
      </c>
      <c r="L170" s="2151" t="s">
        <v>2667</v>
      </c>
      <c r="N170" s="1854">
        <v>912.1</v>
      </c>
      <c r="O170" s="1854">
        <f t="shared" ref="O170:O171" si="55">ROUND(N170/100,)</f>
        <v>9</v>
      </c>
    </row>
    <row r="171" spans="1:16" s="2116" customFormat="1" ht="24" customHeight="1">
      <c r="A171" s="2113"/>
      <c r="B171" s="2107" t="s">
        <v>1317</v>
      </c>
      <c r="C171" s="2115"/>
      <c r="D171" s="2108"/>
      <c r="E171" s="1801">
        <f>4*5*1.5*6</f>
        <v>180</v>
      </c>
      <c r="F171" s="1262" t="s">
        <v>226</v>
      </c>
      <c r="G171" s="1386">
        <v>23</v>
      </c>
      <c r="H171" s="1343">
        <f t="shared" si="52"/>
        <v>4140</v>
      </c>
      <c r="I171" s="1344">
        <v>12</v>
      </c>
      <c r="J171" s="1343">
        <f t="shared" si="53"/>
        <v>2160</v>
      </c>
      <c r="K171" s="1262">
        <f t="shared" si="54"/>
        <v>6300</v>
      </c>
      <c r="L171" s="2151" t="s">
        <v>2667</v>
      </c>
      <c r="N171" s="2117">
        <v>2264.1999999999998</v>
      </c>
      <c r="O171" s="2117">
        <f t="shared" si="55"/>
        <v>23</v>
      </c>
      <c r="P171" s="2117"/>
    </row>
    <row r="172" spans="1:16" s="1765" customFormat="1" ht="24" customHeight="1">
      <c r="A172" s="2113" t="s">
        <v>2266</v>
      </c>
      <c r="B172" s="2149" t="s">
        <v>1110</v>
      </c>
      <c r="C172" s="2115"/>
      <c r="D172" s="2150"/>
      <c r="E172" s="1801"/>
      <c r="F172" s="1356"/>
      <c r="G172" s="1515"/>
      <c r="H172" s="1369"/>
      <c r="I172" s="1370"/>
      <c r="J172" s="1369"/>
      <c r="K172" s="1356"/>
      <c r="L172" s="1356"/>
    </row>
    <row r="173" spans="1:16" s="1765" customFormat="1" ht="24" customHeight="1">
      <c r="A173" s="2113"/>
      <c r="B173" s="2149" t="s">
        <v>1350</v>
      </c>
      <c r="C173" s="2115"/>
      <c r="D173" s="2150"/>
      <c r="E173" s="1801"/>
      <c r="F173" s="1356" t="s">
        <v>226</v>
      </c>
      <c r="G173" s="1515">
        <v>56</v>
      </c>
      <c r="H173" s="1343">
        <f t="shared" ref="H173:H175" si="56">ROUND(E173*G173,)</f>
        <v>0</v>
      </c>
      <c r="I173" s="1344">
        <v>26</v>
      </c>
      <c r="J173" s="1413">
        <f t="shared" ref="J173:J175" si="57">ROUND(E173*I173,)</f>
        <v>0</v>
      </c>
      <c r="K173" s="1415">
        <f t="shared" ref="K173:K175" si="58">H173+J173</f>
        <v>0</v>
      </c>
      <c r="L173" s="2152" t="s">
        <v>2667</v>
      </c>
      <c r="M173" s="2002"/>
      <c r="N173" s="1765">
        <v>169.2</v>
      </c>
      <c r="O173" s="1765">
        <f t="shared" ref="O173:O174" si="59">ROUND(N173/3,)</f>
        <v>56</v>
      </c>
    </row>
    <row r="174" spans="1:16" s="2116" customFormat="1" ht="24" customHeight="1">
      <c r="A174" s="2113"/>
      <c r="B174" s="2107" t="s">
        <v>1448</v>
      </c>
      <c r="C174" s="2115"/>
      <c r="D174" s="2108"/>
      <c r="E174" s="1801">
        <f>E171</f>
        <v>180</v>
      </c>
      <c r="F174" s="1262" t="s">
        <v>226</v>
      </c>
      <c r="G174" s="1515">
        <v>75</v>
      </c>
      <c r="H174" s="1343">
        <f t="shared" si="56"/>
        <v>13500</v>
      </c>
      <c r="I174" s="1344">
        <v>28</v>
      </c>
      <c r="J174" s="1413">
        <f t="shared" si="57"/>
        <v>5040</v>
      </c>
      <c r="K174" s="1415">
        <f t="shared" si="58"/>
        <v>18540</v>
      </c>
      <c r="L174" s="2152" t="s">
        <v>2667</v>
      </c>
      <c r="M174" s="2118"/>
      <c r="N174" s="2116">
        <v>225</v>
      </c>
      <c r="O174" s="2116">
        <f t="shared" si="59"/>
        <v>75</v>
      </c>
      <c r="P174" s="2117"/>
    </row>
    <row r="175" spans="1:16" s="1765" customFormat="1" ht="24" customHeight="1">
      <c r="A175" s="2113"/>
      <c r="B175" s="2149" t="s">
        <v>1384</v>
      </c>
      <c r="C175" s="2115"/>
      <c r="D175" s="2150"/>
      <c r="E175" s="1801">
        <v>1</v>
      </c>
      <c r="F175" s="1356" t="s">
        <v>1104</v>
      </c>
      <c r="G175" s="1515">
        <f>SUM(H173:H174)*15%</f>
        <v>2025</v>
      </c>
      <c r="H175" s="820">
        <f t="shared" si="56"/>
        <v>2025</v>
      </c>
      <c r="I175" s="1414">
        <f>G175*0.3</f>
        <v>607.5</v>
      </c>
      <c r="J175" s="820">
        <f t="shared" si="57"/>
        <v>608</v>
      </c>
      <c r="K175" s="1457">
        <f t="shared" si="58"/>
        <v>2633</v>
      </c>
      <c r="L175" s="1356"/>
    </row>
    <row r="176" spans="1:16" s="1765" customFormat="1" ht="24" customHeight="1">
      <c r="A176" s="2113"/>
      <c r="B176" s="2107" t="s">
        <v>1117</v>
      </c>
      <c r="C176" s="2115"/>
      <c r="D176" s="2108"/>
      <c r="E176" s="1801"/>
      <c r="F176" s="1262"/>
      <c r="G176" s="1515"/>
      <c r="H176" s="1343"/>
      <c r="I176" s="1344"/>
      <c r="J176" s="1343"/>
      <c r="K176" s="1262"/>
      <c r="L176" s="1262"/>
    </row>
    <row r="177" spans="1:12" s="1765" customFormat="1" ht="24" customHeight="1">
      <c r="A177" s="2113"/>
      <c r="B177" s="2107"/>
      <c r="C177" s="2115"/>
      <c r="D177" s="2108"/>
      <c r="E177" s="1801"/>
      <c r="F177" s="1262"/>
      <c r="G177" s="1515"/>
      <c r="H177" s="1413"/>
      <c r="I177" s="1515"/>
      <c r="J177" s="1413"/>
      <c r="K177" s="1415"/>
      <c r="L177" s="1262"/>
    </row>
    <row r="178" spans="1:12" s="1765" customFormat="1" ht="24" customHeight="1">
      <c r="A178" s="2113"/>
      <c r="B178" s="2149"/>
      <c r="C178" s="2115"/>
      <c r="D178" s="2150"/>
      <c r="E178" s="1801"/>
      <c r="F178" s="1356"/>
      <c r="G178" s="1515"/>
      <c r="H178" s="820"/>
      <c r="I178" s="1515"/>
      <c r="J178" s="820"/>
      <c r="K178" s="1457"/>
      <c r="L178" s="1356"/>
    </row>
    <row r="179" spans="1:12" s="1765" customFormat="1" ht="24" customHeight="1">
      <c r="A179" s="2113"/>
      <c r="B179" s="2149"/>
      <c r="C179" s="2115"/>
      <c r="D179" s="2150"/>
      <c r="E179" s="1801"/>
      <c r="F179" s="1356"/>
      <c r="G179" s="1515"/>
      <c r="H179" s="1369"/>
      <c r="I179" s="1370"/>
      <c r="J179" s="1369"/>
      <c r="K179" s="1356"/>
      <c r="L179" s="1356"/>
    </row>
    <row r="180" spans="1:12" s="1765" customFormat="1" ht="24" customHeight="1">
      <c r="A180" s="2113"/>
      <c r="B180" s="2149"/>
      <c r="C180" s="2115"/>
      <c r="D180" s="2150"/>
      <c r="E180" s="1801"/>
      <c r="F180" s="1356"/>
      <c r="G180" s="1386"/>
      <c r="H180" s="1343"/>
      <c r="I180" s="1344"/>
      <c r="J180" s="1413"/>
      <c r="K180" s="1415"/>
      <c r="L180" s="2151"/>
    </row>
    <row r="181" spans="1:12" s="1765" customFormat="1" ht="24" customHeight="1">
      <c r="A181" s="2113"/>
      <c r="B181" s="2107"/>
      <c r="C181" s="2115"/>
      <c r="D181" s="2108"/>
      <c r="E181" s="1801"/>
      <c r="F181" s="1262"/>
      <c r="G181" s="1386"/>
      <c r="H181" s="1343"/>
      <c r="I181" s="1344"/>
      <c r="J181" s="1343"/>
      <c r="K181" s="1262"/>
      <c r="L181" s="2151"/>
    </row>
    <row r="182" spans="1:12" s="1765" customFormat="1" ht="24" customHeight="1">
      <c r="A182" s="2113"/>
      <c r="B182" s="2149"/>
      <c r="C182" s="2115"/>
      <c r="D182" s="2150"/>
      <c r="E182" s="1801"/>
      <c r="F182" s="1356"/>
      <c r="G182" s="1515"/>
      <c r="H182" s="1369"/>
      <c r="I182" s="1370"/>
      <c r="J182" s="1369"/>
      <c r="K182" s="1356"/>
      <c r="L182" s="1356"/>
    </row>
    <row r="183" spans="1:12" s="1765" customFormat="1" ht="24" customHeight="1">
      <c r="A183" s="2113"/>
      <c r="B183" s="2149"/>
      <c r="C183" s="2115"/>
      <c r="D183" s="2150"/>
      <c r="E183" s="1801"/>
      <c r="F183" s="1356"/>
      <c r="G183" s="1515"/>
      <c r="H183" s="1343"/>
      <c r="I183" s="1344"/>
      <c r="J183" s="1413"/>
      <c r="K183" s="1415"/>
      <c r="L183" s="2152"/>
    </row>
    <row r="184" spans="1:12" s="1765" customFormat="1" ht="24" customHeight="1">
      <c r="A184" s="1578"/>
      <c r="B184" s="2257" t="str">
        <f>"รวมราคารายการที่ "&amp;A160</f>
        <v>รวมราคารายการที่ 7.7</v>
      </c>
      <c r="C184" s="2258"/>
      <c r="D184" s="2259"/>
      <c r="E184" s="1579"/>
      <c r="F184" s="1579"/>
      <c r="G184" s="1580"/>
      <c r="H184" s="1581">
        <f>SUM(H160:H177)</f>
        <v>553665</v>
      </c>
      <c r="I184" s="1582"/>
      <c r="J184" s="1581">
        <f>SUM(J160:J177)</f>
        <v>61208</v>
      </c>
      <c r="K184" s="1581">
        <f>SUM(K160:K177)</f>
        <v>614873</v>
      </c>
      <c r="L184" s="1583"/>
    </row>
    <row r="185" spans="1:12" s="1765" customFormat="1" ht="24" customHeight="1">
      <c r="A185" s="1291" t="s">
        <v>2091</v>
      </c>
      <c r="B185" s="1776" t="s">
        <v>2109</v>
      </c>
      <c r="C185" s="1293"/>
      <c r="D185" s="1294"/>
      <c r="E185" s="1786"/>
      <c r="F185" s="1296"/>
      <c r="G185" s="1357"/>
      <c r="H185" s="1298"/>
      <c r="I185" s="1299"/>
      <c r="J185" s="1298"/>
      <c r="K185" s="1382"/>
      <c r="L185" s="1382"/>
    </row>
    <row r="186" spans="1:12" s="1765" customFormat="1" ht="24" customHeight="1">
      <c r="A186" s="1766" t="s">
        <v>2093</v>
      </c>
      <c r="B186" s="1799" t="s">
        <v>2111</v>
      </c>
      <c r="C186" s="1800"/>
      <c r="D186" s="1375"/>
      <c r="E186" s="1802"/>
      <c r="F186" s="1356" t="s">
        <v>363</v>
      </c>
      <c r="G186" s="1803">
        <v>690000</v>
      </c>
      <c r="H186" s="1343">
        <f t="shared" ref="H186" si="60">ROUND(E186*G186,)</f>
        <v>0</v>
      </c>
      <c r="I186" s="1370">
        <v>17250</v>
      </c>
      <c r="J186" s="1343">
        <f t="shared" ref="J186:J193" si="61">ROUND(E186*I186,)</f>
        <v>0</v>
      </c>
      <c r="K186" s="1262">
        <f t="shared" ref="K186:K193" si="62">H186+J186</f>
        <v>0</v>
      </c>
      <c r="L186" s="1356"/>
    </row>
    <row r="187" spans="1:12" s="1765" customFormat="1" ht="24" customHeight="1">
      <c r="A187" s="1766" t="s">
        <v>2096</v>
      </c>
      <c r="B187" s="1799" t="s">
        <v>2113</v>
      </c>
      <c r="C187" s="1800"/>
      <c r="D187" s="1375"/>
      <c r="E187" s="1802"/>
      <c r="F187" s="1356" t="s">
        <v>363</v>
      </c>
      <c r="G187" s="1803">
        <v>80000</v>
      </c>
      <c r="H187" s="1343">
        <f>ROUND(E187*G187,)</f>
        <v>0</v>
      </c>
      <c r="I187" s="1370">
        <v>2000</v>
      </c>
      <c r="J187" s="1343">
        <f t="shared" si="61"/>
        <v>0</v>
      </c>
      <c r="K187" s="1262">
        <f t="shared" si="62"/>
        <v>0</v>
      </c>
      <c r="L187" s="1356"/>
    </row>
    <row r="188" spans="1:12" s="1765" customFormat="1" ht="24" customHeight="1">
      <c r="A188" s="1766" t="s">
        <v>2099</v>
      </c>
      <c r="B188" s="1538" t="s">
        <v>1816</v>
      </c>
      <c r="C188" s="1437"/>
      <c r="D188" s="1275"/>
      <c r="E188" s="1768"/>
      <c r="F188" s="1358"/>
      <c r="G188" s="1516">
        <v>950000</v>
      </c>
      <c r="H188" s="1264">
        <f t="shared" ref="H188:H193" si="63">ROUND(E188*G188,)</f>
        <v>0</v>
      </c>
      <c r="I188" s="1265">
        <f>G188*0.015</f>
        <v>14250</v>
      </c>
      <c r="J188" s="1264">
        <f t="shared" si="61"/>
        <v>0</v>
      </c>
      <c r="K188" s="1273">
        <f t="shared" si="62"/>
        <v>0</v>
      </c>
      <c r="L188" s="1273"/>
    </row>
    <row r="189" spans="1:12" s="1765" customFormat="1" ht="24" customHeight="1">
      <c r="A189" s="1766"/>
      <c r="B189" s="1538" t="s">
        <v>2115</v>
      </c>
      <c r="C189" s="1437"/>
      <c r="D189" s="1275"/>
      <c r="E189" s="1768">
        <v>6</v>
      </c>
      <c r="F189" s="1358" t="s">
        <v>363</v>
      </c>
      <c r="G189" s="1515">
        <v>2650</v>
      </c>
      <c r="H189" s="1343">
        <f t="shared" si="63"/>
        <v>15900</v>
      </c>
      <c r="I189" s="1370">
        <v>500</v>
      </c>
      <c r="J189" s="1343">
        <f t="shared" si="61"/>
        <v>3000</v>
      </c>
      <c r="K189" s="1262">
        <f t="shared" si="62"/>
        <v>18900</v>
      </c>
      <c r="L189" s="1273"/>
    </row>
    <row r="190" spans="1:12" s="1765" customFormat="1" ht="24" customHeight="1">
      <c r="A190" s="1766"/>
      <c r="B190" s="1538" t="s">
        <v>2116</v>
      </c>
      <c r="C190" s="1437"/>
      <c r="D190" s="1275"/>
      <c r="E190" s="1768">
        <v>6</v>
      </c>
      <c r="F190" s="1358" t="s">
        <v>363</v>
      </c>
      <c r="G190" s="1515">
        <v>560</v>
      </c>
      <c r="H190" s="1343">
        <f t="shared" si="63"/>
        <v>3360</v>
      </c>
      <c r="I190" s="1370">
        <v>500</v>
      </c>
      <c r="J190" s="1343">
        <f t="shared" si="61"/>
        <v>3000</v>
      </c>
      <c r="K190" s="1262">
        <f t="shared" si="62"/>
        <v>6360</v>
      </c>
      <c r="L190" s="1273"/>
    </row>
    <row r="191" spans="1:12" s="1765" customFormat="1" ht="24" customHeight="1">
      <c r="A191" s="1258"/>
      <c r="B191" s="1538" t="s">
        <v>2117</v>
      </c>
      <c r="C191" s="1437"/>
      <c r="D191" s="1275"/>
      <c r="E191" s="1768"/>
      <c r="F191" s="1358" t="s">
        <v>363</v>
      </c>
      <c r="G191" s="1515">
        <v>1340</v>
      </c>
      <c r="H191" s="1343">
        <f t="shared" si="63"/>
        <v>0</v>
      </c>
      <c r="I191" s="1370">
        <v>500</v>
      </c>
      <c r="J191" s="1343">
        <f t="shared" si="61"/>
        <v>0</v>
      </c>
      <c r="K191" s="1262">
        <f t="shared" si="62"/>
        <v>0</v>
      </c>
      <c r="L191" s="1273"/>
    </row>
    <row r="192" spans="1:12" s="1765" customFormat="1" ht="24" customHeight="1">
      <c r="A192" s="1258"/>
      <c r="B192" s="1538" t="s">
        <v>2118</v>
      </c>
      <c r="C192" s="1437"/>
      <c r="D192" s="1275"/>
      <c r="E192" s="1768"/>
      <c r="F192" s="1358" t="s">
        <v>363</v>
      </c>
      <c r="G192" s="1515">
        <v>760</v>
      </c>
      <c r="H192" s="1343">
        <f t="shared" si="63"/>
        <v>0</v>
      </c>
      <c r="I192" s="1370">
        <v>500</v>
      </c>
      <c r="J192" s="1343">
        <f t="shared" si="61"/>
        <v>0</v>
      </c>
      <c r="K192" s="1262">
        <f t="shared" si="62"/>
        <v>0</v>
      </c>
      <c r="L192" s="1273"/>
    </row>
    <row r="193" spans="1:15" s="1765" customFormat="1" ht="24" customHeight="1">
      <c r="A193" s="1258"/>
      <c r="B193" s="1538" t="s">
        <v>2119</v>
      </c>
      <c r="C193" s="1437"/>
      <c r="D193" s="1275"/>
      <c r="E193" s="1768">
        <v>6</v>
      </c>
      <c r="F193" s="1358" t="s">
        <v>363</v>
      </c>
      <c r="G193" s="1515">
        <v>1340</v>
      </c>
      <c r="H193" s="1343">
        <f t="shared" si="63"/>
        <v>8040</v>
      </c>
      <c r="I193" s="1370">
        <v>500</v>
      </c>
      <c r="J193" s="1343">
        <f t="shared" si="61"/>
        <v>3000</v>
      </c>
      <c r="K193" s="1262">
        <f t="shared" si="62"/>
        <v>11040</v>
      </c>
      <c r="L193" s="1273"/>
    </row>
    <row r="194" spans="1:15" s="1765" customFormat="1" ht="24" customHeight="1">
      <c r="A194" s="1258"/>
      <c r="B194" s="1538" t="s">
        <v>2120</v>
      </c>
      <c r="C194" s="1437"/>
      <c r="D194" s="1275"/>
      <c r="E194" s="1768"/>
      <c r="F194" s="1358" t="s">
        <v>363</v>
      </c>
      <c r="G194" s="1515"/>
      <c r="H194" s="1369"/>
      <c r="I194" s="1370"/>
      <c r="J194" s="1369"/>
      <c r="K194" s="1356"/>
      <c r="L194" s="1273"/>
    </row>
    <row r="195" spans="1:15" s="1765" customFormat="1" ht="24" customHeight="1">
      <c r="A195" s="1258"/>
      <c r="B195" s="1538" t="s">
        <v>2121</v>
      </c>
      <c r="C195" s="1437"/>
      <c r="D195" s="1275"/>
      <c r="E195" s="1768">
        <v>6</v>
      </c>
      <c r="F195" s="1358" t="s">
        <v>363</v>
      </c>
      <c r="G195" s="1515">
        <v>4550</v>
      </c>
      <c r="H195" s="1343">
        <f t="shared" ref="H195" si="64">ROUND(E195*G195,)</f>
        <v>27300</v>
      </c>
      <c r="I195" s="1370">
        <v>1365</v>
      </c>
      <c r="J195" s="1343">
        <f t="shared" ref="J195" si="65">ROUND(E195*I195,)</f>
        <v>8190</v>
      </c>
      <c r="K195" s="1262">
        <f t="shared" ref="K195" si="66">H195+J195</f>
        <v>35490</v>
      </c>
      <c r="L195" s="1273"/>
    </row>
    <row r="196" spans="1:15" s="1765" customFormat="1" ht="24" customHeight="1">
      <c r="A196" s="1766" t="s">
        <v>2104</v>
      </c>
      <c r="B196" s="1538" t="s">
        <v>2122</v>
      </c>
      <c r="C196" s="1437"/>
      <c r="D196" s="1275"/>
      <c r="E196" s="1768"/>
      <c r="F196" s="1358"/>
      <c r="G196" s="1516"/>
      <c r="H196" s="1264"/>
      <c r="I196" s="1265"/>
      <c r="J196" s="1264"/>
      <c r="K196" s="1273"/>
      <c r="L196" s="1273"/>
    </row>
    <row r="197" spans="1:15" s="1765" customFormat="1" ht="24" customHeight="1">
      <c r="A197" s="1258"/>
      <c r="B197" s="1538" t="s">
        <v>2123</v>
      </c>
      <c r="C197" s="1437"/>
      <c r="D197" s="1275"/>
      <c r="E197" s="1801">
        <f>(7*5*5*1*2)*1</f>
        <v>350</v>
      </c>
      <c r="F197" s="1356" t="s">
        <v>226</v>
      </c>
      <c r="G197" s="1515">
        <v>139</v>
      </c>
      <c r="H197" s="1343">
        <f t="shared" ref="H197:H198" si="67">ROUND(E197*G197,)</f>
        <v>48650</v>
      </c>
      <c r="I197" s="1370">
        <v>21</v>
      </c>
      <c r="J197" s="1343">
        <f t="shared" ref="J197:J198" si="68">ROUND(E197*I197,)</f>
        <v>7350</v>
      </c>
      <c r="K197" s="1262">
        <f t="shared" ref="K197:K198" si="69">H197+J197</f>
        <v>56000</v>
      </c>
      <c r="L197" s="1273"/>
    </row>
    <row r="198" spans="1:15" s="1765" customFormat="1" ht="24" customHeight="1">
      <c r="A198" s="1258"/>
      <c r="B198" s="1538" t="s">
        <v>2124</v>
      </c>
      <c r="C198" s="1437"/>
      <c r="D198" s="1275"/>
      <c r="E198" s="1801">
        <f>(4*5*5*2*1)*1</f>
        <v>200</v>
      </c>
      <c r="F198" s="1356" t="s">
        <v>226</v>
      </c>
      <c r="G198" s="1515">
        <v>103</v>
      </c>
      <c r="H198" s="1343">
        <f t="shared" si="67"/>
        <v>20600</v>
      </c>
      <c r="I198" s="1370">
        <v>15</v>
      </c>
      <c r="J198" s="1343">
        <f t="shared" si="68"/>
        <v>3000</v>
      </c>
      <c r="K198" s="1262">
        <f t="shared" si="69"/>
        <v>23600</v>
      </c>
      <c r="L198" s="1273"/>
    </row>
    <row r="199" spans="1:15" s="1765" customFormat="1" ht="24" customHeight="1">
      <c r="A199" s="1258"/>
      <c r="B199" s="1538" t="s">
        <v>1548</v>
      </c>
      <c r="C199" s="1437"/>
      <c r="D199" s="1275"/>
      <c r="E199" s="1768"/>
      <c r="F199" s="1358" t="s">
        <v>226</v>
      </c>
      <c r="G199" s="1516"/>
      <c r="H199" s="1264"/>
      <c r="I199" s="1265"/>
      <c r="J199" s="1264"/>
      <c r="K199" s="1273"/>
      <c r="L199" s="1273"/>
    </row>
    <row r="200" spans="1:15" s="1765" customFormat="1" ht="24" customHeight="1">
      <c r="A200" s="1804"/>
      <c r="B200" s="1799" t="s">
        <v>2125</v>
      </c>
      <c r="C200" s="1800"/>
      <c r="D200" s="1375"/>
      <c r="E200" s="1801"/>
      <c r="F200" s="1356" t="s">
        <v>226</v>
      </c>
      <c r="G200" s="1515">
        <v>24</v>
      </c>
      <c r="H200" s="1343">
        <f t="shared" ref="H200:H202" si="70">ROUND(E200*G200,)</f>
        <v>0</v>
      </c>
      <c r="I200" s="1370">
        <v>8</v>
      </c>
      <c r="J200" s="1343">
        <f t="shared" ref="J200:J202" si="71">ROUND(E200*I200,)</f>
        <v>0</v>
      </c>
      <c r="K200" s="1262">
        <f t="shared" ref="K200:K202" si="72">H200+J200</f>
        <v>0</v>
      </c>
      <c r="L200" s="1356"/>
    </row>
    <row r="201" spans="1:15" s="1765" customFormat="1" ht="24" customHeight="1">
      <c r="A201" s="1804"/>
      <c r="B201" s="1799" t="s">
        <v>2126</v>
      </c>
      <c r="C201" s="1800"/>
      <c r="D201" s="1375"/>
      <c r="E201" s="1801"/>
      <c r="F201" s="1356" t="s">
        <v>226</v>
      </c>
      <c r="G201" s="1515">
        <v>15</v>
      </c>
      <c r="H201" s="1343">
        <f t="shared" si="70"/>
        <v>0</v>
      </c>
      <c r="I201" s="1370">
        <v>5</v>
      </c>
      <c r="J201" s="1343">
        <f t="shared" si="71"/>
        <v>0</v>
      </c>
      <c r="K201" s="1262">
        <f t="shared" si="72"/>
        <v>0</v>
      </c>
      <c r="L201" s="1356"/>
    </row>
    <row r="202" spans="1:15" s="1765" customFormat="1" ht="24" customHeight="1">
      <c r="A202" s="1804"/>
      <c r="B202" s="1799" t="s">
        <v>2127</v>
      </c>
      <c r="C202" s="1800"/>
      <c r="D202" s="1375"/>
      <c r="E202" s="1801">
        <v>1</v>
      </c>
      <c r="F202" s="1356" t="s">
        <v>1104</v>
      </c>
      <c r="G202" s="1515">
        <f>SUM(H197:H201)*5%</f>
        <v>3462.5</v>
      </c>
      <c r="H202" s="1343">
        <f t="shared" si="70"/>
        <v>3463</v>
      </c>
      <c r="I202" s="1370">
        <v>19745</v>
      </c>
      <c r="J202" s="1343">
        <f t="shared" si="71"/>
        <v>19745</v>
      </c>
      <c r="K202" s="1262">
        <f t="shared" si="72"/>
        <v>23208</v>
      </c>
      <c r="L202" s="1356"/>
    </row>
    <row r="203" spans="1:15" s="1765" customFormat="1" ht="24" customHeight="1">
      <c r="A203" s="1766" t="s">
        <v>2581</v>
      </c>
      <c r="B203" s="1538" t="s">
        <v>1110</v>
      </c>
      <c r="C203" s="1437"/>
      <c r="D203" s="1275"/>
      <c r="E203" s="1768"/>
      <c r="F203" s="1358"/>
      <c r="G203" s="1515"/>
      <c r="H203" s="1264"/>
      <c r="I203" s="1265"/>
      <c r="J203" s="1264"/>
      <c r="K203" s="1273"/>
      <c r="L203" s="1273"/>
    </row>
    <row r="204" spans="1:15" s="1765" customFormat="1" ht="24" customHeight="1">
      <c r="A204" s="1766"/>
      <c r="B204" s="1538" t="s">
        <v>1350</v>
      </c>
      <c r="C204" s="1437"/>
      <c r="D204" s="1275"/>
      <c r="E204" s="1768">
        <f>(3*5*2*1)*1</f>
        <v>30</v>
      </c>
      <c r="F204" s="1358" t="s">
        <v>226</v>
      </c>
      <c r="G204" s="2004">
        <v>56</v>
      </c>
      <c r="H204" s="1413">
        <f t="shared" ref="H204:H205" si="73">ROUND(E204*G204,)</f>
        <v>1680</v>
      </c>
      <c r="I204" s="1541">
        <v>28</v>
      </c>
      <c r="J204" s="2006">
        <f t="shared" ref="J204:J205" si="74">ROUND(E204*I204,)</f>
        <v>840</v>
      </c>
      <c r="K204" s="715">
        <f t="shared" ref="K204:K205" si="75">H204+J204</f>
        <v>2520</v>
      </c>
      <c r="L204" s="2082" t="s">
        <v>2667</v>
      </c>
      <c r="M204" s="2002"/>
      <c r="N204" s="1199">
        <v>169.2</v>
      </c>
      <c r="O204" s="1199">
        <f>ROUND(N204/3,)</f>
        <v>56</v>
      </c>
    </row>
    <row r="205" spans="1:15" s="1765" customFormat="1" ht="24" customHeight="1">
      <c r="A205" s="1804"/>
      <c r="B205" s="1799" t="s">
        <v>2128</v>
      </c>
      <c r="C205" s="1800"/>
      <c r="D205" s="1375"/>
      <c r="E205" s="1801">
        <v>1</v>
      </c>
      <c r="F205" s="1356" t="s">
        <v>1104</v>
      </c>
      <c r="G205" s="1515">
        <f>H204*15%</f>
        <v>252</v>
      </c>
      <c r="H205" s="1343">
        <f t="shared" si="73"/>
        <v>252</v>
      </c>
      <c r="I205" s="1370">
        <v>58174</v>
      </c>
      <c r="J205" s="1343">
        <f t="shared" si="74"/>
        <v>58174</v>
      </c>
      <c r="K205" s="1262">
        <f t="shared" si="75"/>
        <v>58426</v>
      </c>
      <c r="L205" s="1356"/>
    </row>
    <row r="206" spans="1:15" s="1765" customFormat="1" ht="24" customHeight="1">
      <c r="A206" s="1766" t="s">
        <v>2582</v>
      </c>
      <c r="B206" s="1538" t="s">
        <v>1343</v>
      </c>
      <c r="C206" s="1437"/>
      <c r="D206" s="1275"/>
      <c r="E206" s="1768"/>
      <c r="F206" s="1358"/>
      <c r="G206" s="1515"/>
      <c r="H206" s="1264"/>
      <c r="I206" s="1265"/>
      <c r="J206" s="1264"/>
      <c r="K206" s="1273"/>
      <c r="L206" s="1273"/>
    </row>
    <row r="207" spans="1:15" s="1765" customFormat="1" ht="24" customHeight="1">
      <c r="A207" s="1258"/>
      <c r="B207" s="1538" t="s">
        <v>2129</v>
      </c>
      <c r="C207" s="1437"/>
      <c r="D207" s="1275"/>
      <c r="E207" s="1801"/>
      <c r="F207" s="1356" t="s">
        <v>226</v>
      </c>
      <c r="G207" s="1386">
        <v>316</v>
      </c>
      <c r="H207" s="1343">
        <f t="shared" ref="H207:H208" si="76">ROUND(E207*G207,)</f>
        <v>0</v>
      </c>
      <c r="I207" s="1414">
        <v>50</v>
      </c>
      <c r="J207" s="1343">
        <f t="shared" ref="J207:J208" si="77">ROUND(E207*I207,)</f>
        <v>0</v>
      </c>
      <c r="K207" s="1262">
        <f t="shared" ref="K207:K208" si="78">H207+J207</f>
        <v>0</v>
      </c>
      <c r="L207" s="1273"/>
    </row>
    <row r="208" spans="1:15" s="1765" customFormat="1" ht="24" customHeight="1">
      <c r="A208" s="1258"/>
      <c r="B208" s="1538" t="s">
        <v>2128</v>
      </c>
      <c r="C208" s="1437"/>
      <c r="D208" s="1275"/>
      <c r="E208" s="1801"/>
      <c r="F208" s="1356" t="s">
        <v>1104</v>
      </c>
      <c r="G208" s="1515">
        <f>H207*15%</f>
        <v>0</v>
      </c>
      <c r="H208" s="1343">
        <f t="shared" si="76"/>
        <v>0</v>
      </c>
      <c r="I208" s="1370">
        <v>16637</v>
      </c>
      <c r="J208" s="1343">
        <f t="shared" si="77"/>
        <v>0</v>
      </c>
      <c r="K208" s="1262">
        <f t="shared" si="78"/>
        <v>0</v>
      </c>
      <c r="L208" s="1273"/>
    </row>
    <row r="209" spans="1:12" s="1199" customFormat="1" ht="22.15" customHeight="1">
      <c r="A209" s="1578"/>
      <c r="B209" s="2257" t="str">
        <f>"รวมราคารายการที่ "&amp;A185</f>
        <v>รวมราคารายการที่ 7.8</v>
      </c>
      <c r="C209" s="2258"/>
      <c r="D209" s="2259"/>
      <c r="E209" s="1579"/>
      <c r="F209" s="1579"/>
      <c r="G209" s="1580"/>
      <c r="H209" s="1581">
        <f>SUM(H185:H208)</f>
        <v>129245</v>
      </c>
      <c r="I209" s="1582"/>
      <c r="J209" s="1581">
        <f>SUM(J185:J208)</f>
        <v>106299</v>
      </c>
      <c r="K209" s="1581">
        <f>SUM(K185:K208)</f>
        <v>235544</v>
      </c>
      <c r="L209" s="1583"/>
    </row>
    <row r="210" spans="1:12" s="1199" customFormat="1" ht="22.15" customHeight="1">
      <c r="A210" s="1427"/>
    </row>
    <row r="211" spans="1:12" s="1199" customFormat="1" ht="22.15" customHeight="1">
      <c r="A211" s="1427"/>
    </row>
    <row r="212" spans="1:12" s="1199" customFormat="1" ht="22.15" customHeight="1">
      <c r="A212" s="1427"/>
    </row>
    <row r="213" spans="1:12" s="1199" customFormat="1" ht="22.15" customHeight="1">
      <c r="A213" s="1427"/>
    </row>
    <row r="214" spans="1:12" s="1199" customFormat="1" ht="22.15" customHeight="1">
      <c r="A214" s="1427"/>
    </row>
    <row r="215" spans="1:12" s="1199" customFormat="1" ht="22.15" customHeight="1">
      <c r="A215" s="1427"/>
    </row>
    <row r="216" spans="1:12" s="1199" customFormat="1" ht="22.15" customHeight="1">
      <c r="A216" s="1427"/>
    </row>
    <row r="217" spans="1:12" s="1199" customFormat="1" ht="22.15" customHeight="1">
      <c r="A217" s="1427"/>
    </row>
    <row r="218" spans="1:12" s="1199" customFormat="1" ht="22.15" customHeight="1">
      <c r="A218" s="1427"/>
    </row>
    <row r="219" spans="1:12" s="1199" customFormat="1" ht="22.15" customHeight="1">
      <c r="A219" s="1427"/>
    </row>
    <row r="220" spans="1:12" s="1199" customFormat="1" ht="22.15" customHeight="1">
      <c r="A220" s="1427"/>
    </row>
    <row r="221" spans="1:12" s="1199" customFormat="1" ht="21.3">
      <c r="A221" s="1427"/>
    </row>
    <row r="222" spans="1:12" s="1199" customFormat="1" ht="21.3">
      <c r="A222" s="1427"/>
    </row>
    <row r="223" spans="1:12" s="1199" customFormat="1" ht="21.3">
      <c r="A223" s="1427"/>
    </row>
    <row r="224" spans="1:12" s="1199" customFormat="1" ht="21.3">
      <c r="A224" s="1427"/>
    </row>
    <row r="225" spans="1:12" s="1199" customFormat="1" ht="21.3">
      <c r="A225" s="1427"/>
    </row>
    <row r="226" spans="1:12" s="1199" customFormat="1" ht="21.3">
      <c r="A226" s="1427"/>
    </row>
    <row r="227" spans="1:12" s="1199" customFormat="1" ht="21.3">
      <c r="A227" s="1427"/>
    </row>
    <row r="228" spans="1:12" s="1199" customFormat="1" ht="21.3">
      <c r="A228" s="1427"/>
    </row>
    <row r="229" spans="1:12" s="1199" customFormat="1" ht="21.3">
      <c r="A229" s="1427"/>
    </row>
    <row r="230" spans="1:12" s="1199" customFormat="1" ht="21.3">
      <c r="A230" s="1427"/>
    </row>
    <row r="231" spans="1:12" s="1199" customFormat="1" ht="21.3">
      <c r="A231" s="1427"/>
    </row>
    <row r="232" spans="1:12" s="1199" customFormat="1" ht="21.3">
      <c r="A232" s="1427"/>
    </row>
    <row r="233" spans="1:12" s="1199" customFormat="1" ht="21.3">
      <c r="A233" s="1427"/>
    </row>
    <row r="234" spans="1:12" s="1199" customFormat="1" ht="21.3">
      <c r="A234" s="1427"/>
    </row>
    <row r="235" spans="1:12">
      <c r="A235" s="1427"/>
      <c r="B235" s="1199"/>
      <c r="C235" s="1199"/>
      <c r="D235" s="1199"/>
      <c r="E235" s="1199"/>
      <c r="F235" s="1199"/>
      <c r="G235" s="1199"/>
      <c r="H235" s="1199"/>
      <c r="I235" s="1199"/>
      <c r="J235" s="1199"/>
      <c r="K235" s="1199"/>
      <c r="L235" s="1199"/>
    </row>
    <row r="236" spans="1:12">
      <c r="A236" s="1427"/>
      <c r="B236" s="1199"/>
      <c r="C236" s="1199"/>
      <c r="D236" s="1199"/>
      <c r="E236" s="1199"/>
      <c r="F236" s="1199"/>
      <c r="G236" s="1199"/>
      <c r="H236" s="1199"/>
      <c r="I236" s="1199"/>
      <c r="J236" s="1199"/>
      <c r="K236" s="1199"/>
      <c r="L236" s="1199"/>
    </row>
    <row r="237" spans="1:12">
      <c r="A237" s="1427"/>
      <c r="B237" s="1199"/>
      <c r="C237" s="1199"/>
      <c r="D237" s="1199"/>
      <c r="E237" s="1199"/>
      <c r="F237" s="1199"/>
      <c r="G237" s="1199"/>
      <c r="H237" s="1199"/>
      <c r="I237" s="1199"/>
      <c r="J237" s="1199"/>
      <c r="K237" s="1199"/>
      <c r="L237" s="1199"/>
    </row>
    <row r="244" spans="2:2">
      <c r="B244" s="1805"/>
    </row>
    <row r="245" spans="2:2">
      <c r="B245" s="1805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159:D159"/>
    <mergeCell ref="B184:D184"/>
    <mergeCell ref="B209:D209"/>
    <mergeCell ref="B34:D34"/>
    <mergeCell ref="B49:D49"/>
    <mergeCell ref="B59:D59"/>
    <mergeCell ref="B70:D70"/>
    <mergeCell ref="B98:D98"/>
    <mergeCell ref="B120:D120"/>
  </mergeCells>
  <conditionalFormatting sqref="A160:L161 A169:L169 A172:L172 A170:F170 A176:L176 A173:F173 G168:L168 A168:B168 A175:F175 H175:L175">
    <cfRule type="expression" dxfId="151" priority="27">
      <formula>SUMPRODUCT(--(ROW()=$O$12:$O$18))&gt;0</formula>
    </cfRule>
  </conditionalFormatting>
  <conditionalFormatting sqref="A79:D81 L79:L81 F79:F81">
    <cfRule type="expression" dxfId="150" priority="26">
      <formula>SUMPRODUCT(--(ROW()=$O$12:$O$18))&gt;0</formula>
    </cfRule>
  </conditionalFormatting>
  <conditionalFormatting sqref="A110:L116">
    <cfRule type="expression" dxfId="149" priority="25">
      <formula>SUMPRODUCT(--(ROW()=$O$12:$O$18))&gt;0</formula>
    </cfRule>
  </conditionalFormatting>
  <conditionalFormatting sqref="C168:F168">
    <cfRule type="expression" dxfId="148" priority="18">
      <formula>SUMPRODUCT(--(ROW()=$O$12:$O$18))&gt;0</formula>
    </cfRule>
  </conditionalFormatting>
  <conditionalFormatting sqref="C47:L48 C45:D45 L45 E49:L49 A35:L35 F44:L44 A36 C36:L36 C43:L43 A43:A45 A47:A49">
    <cfRule type="expression" dxfId="147" priority="16">
      <formula>SUMPRODUCT(--(ROW()=$O$12:$O$18))&gt;0</formula>
    </cfRule>
  </conditionalFormatting>
  <conditionalFormatting sqref="G108:K109">
    <cfRule type="expression" dxfId="146" priority="15">
      <formula>SUMPRODUCT(--(ROW()=$R$12:$R$22))&gt;0</formula>
    </cfRule>
  </conditionalFormatting>
  <conditionalFormatting sqref="I79:I81">
    <cfRule type="expression" dxfId="145" priority="14">
      <formula>SUMPRODUCT(--(ROW()=$O$12:$O$22))&gt;0</formula>
    </cfRule>
  </conditionalFormatting>
  <conditionalFormatting sqref="G79:G80">
    <cfRule type="expression" dxfId="144" priority="13">
      <formula>SUMPRODUCT(--(ROW()=$O$14:$O$24))&gt;0</formula>
    </cfRule>
  </conditionalFormatting>
  <conditionalFormatting sqref="H87:H90">
    <cfRule type="expression" dxfId="143" priority="12">
      <formula>SUMPRODUCT(--(ROW()=$O$14:$O$24))&gt;0</formula>
    </cfRule>
  </conditionalFormatting>
  <conditionalFormatting sqref="G81">
    <cfRule type="expression" dxfId="142" priority="11">
      <formula>SUMPRODUCT(--(ROW()=$O$14:$O$24))&gt;0</formula>
    </cfRule>
  </conditionalFormatting>
  <conditionalFormatting sqref="A171:K171">
    <cfRule type="expression" dxfId="141" priority="6">
      <formula>SUMPRODUCT(--(ROW()=$O$12:$O$24))&gt;0</formula>
    </cfRule>
  </conditionalFormatting>
  <conditionalFormatting sqref="A174:F174">
    <cfRule type="expression" dxfId="140" priority="5">
      <formula>SUMPRODUCT(--(ROW()=$O$12:$O$24))&gt;0</formula>
    </cfRule>
  </conditionalFormatting>
  <conditionalFormatting sqref="E79:E80">
    <cfRule type="expression" dxfId="139" priority="4">
      <formula>SUMPRODUCT(--(ROW()=$W$12:$W$21))&gt;0</formula>
    </cfRule>
  </conditionalFormatting>
  <conditionalFormatting sqref="A179:L179 A182:L182 A180:F180 A183:F183 G178:L178 A178:B178">
    <cfRule type="expression" dxfId="138" priority="3">
      <formula>SUMPRODUCT(--(ROW()=$O$12:$O$18))&gt;0</formula>
    </cfRule>
  </conditionalFormatting>
  <conditionalFormatting sqref="C178:F178">
    <cfRule type="expression" dxfId="137" priority="2">
      <formula>SUMPRODUCT(--(ROW()=$O$12:$O$18))&gt;0</formula>
    </cfRule>
  </conditionalFormatting>
  <conditionalFormatting sqref="A181:K181">
    <cfRule type="expression" dxfId="136" priority="1">
      <formula>SUMPRODUCT(--(ROW()=$O$12:$O$24))&gt;0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4-อาคารด้านทิศตะวันตก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6CA23-A37E-440A-8203-4672B0BE6D31}">
  <sheetPr>
    <tabColor rgb="FF92D050"/>
  </sheetPr>
  <dimension ref="A1:U307"/>
  <sheetViews>
    <sheetView view="pageBreakPreview" topLeftCell="A268" zoomScale="85" zoomScaleNormal="100" zoomScaleSheetLayoutView="85" workbookViewId="0">
      <selection activeCell="A272" sqref="A272:L277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" style="1" customWidth="1"/>
    <col min="13" max="13" width="7.703125" style="1" customWidth="1"/>
    <col min="14" max="14" width="13" style="1" customWidth="1"/>
    <col min="15" max="15" width="12.1171875" style="1" customWidth="1"/>
    <col min="16" max="94" width="7.703125" style="1" customWidth="1"/>
    <col min="95" max="16384" width="9" style="1"/>
  </cols>
  <sheetData>
    <row r="1" spans="1:17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7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7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7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7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7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7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7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7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7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7" ht="24" customHeight="1">
      <c r="A11" s="1175" t="s">
        <v>30</v>
      </c>
      <c r="B11" s="1176" t="s">
        <v>1425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29"/>
    </row>
    <row r="12" spans="1:17" s="1199" customFormat="1" ht="24" customHeight="1">
      <c r="A12" s="1204" t="str">
        <f>A35</f>
        <v>3.1</v>
      </c>
      <c r="B12" s="1190" t="str">
        <f>B35</f>
        <v>แผงสวิทช์ย่อยและเซอร์กิต เบรคเกอร์ (Panelboard &amp; CB)</v>
      </c>
      <c r="C12" s="1202"/>
      <c r="D12" s="1203"/>
      <c r="E12" s="1193">
        <v>1</v>
      </c>
      <c r="F12" s="1194" t="s">
        <v>19</v>
      </c>
      <c r="G12" s="1195"/>
      <c r="H12" s="1196">
        <f>H82</f>
        <v>52228</v>
      </c>
      <c r="I12" s="1197"/>
      <c r="J12" s="1196">
        <f>J82</f>
        <v>5500</v>
      </c>
      <c r="K12" s="1196">
        <f t="shared" ref="K12:K20" si="0">SUM(H12:J12)</f>
        <v>57728</v>
      </c>
      <c r="L12" s="1430"/>
    </row>
    <row r="13" spans="1:17" s="1199" customFormat="1" ht="24" customHeight="1">
      <c r="A13" s="1204" t="str">
        <f>A83</f>
        <v>3.2</v>
      </c>
      <c r="B13" s="1190" t="str">
        <f>B83</f>
        <v>สายไฟฟ้า (Cable &amp; Wire)</v>
      </c>
      <c r="C13" s="1202"/>
      <c r="D13" s="1203"/>
      <c r="E13" s="1193">
        <v>1</v>
      </c>
      <c r="F13" s="1194" t="s">
        <v>19</v>
      </c>
      <c r="G13" s="1195"/>
      <c r="H13" s="1196">
        <f>H93</f>
        <v>908670</v>
      </c>
      <c r="I13" s="1197"/>
      <c r="J13" s="1196">
        <f>J93</f>
        <v>434581</v>
      </c>
      <c r="K13" s="1196">
        <f t="shared" si="0"/>
        <v>1343251</v>
      </c>
      <c r="L13" s="1430">
        <v>2564135</v>
      </c>
      <c r="Q13" s="1532"/>
    </row>
    <row r="14" spans="1:17" s="1199" customFormat="1" ht="24" customHeight="1">
      <c r="A14" s="1204" t="str">
        <f>A94</f>
        <v>3.3</v>
      </c>
      <c r="B14" s="1190" t="str">
        <f>B94</f>
        <v>รางเดินสายไฟฟ้า (Raceway)</v>
      </c>
      <c r="C14" s="1202"/>
      <c r="D14" s="1203"/>
      <c r="E14" s="1193">
        <v>1</v>
      </c>
      <c r="F14" s="1194" t="s">
        <v>19</v>
      </c>
      <c r="G14" s="1195"/>
      <c r="H14" s="1196">
        <f>H106</f>
        <v>981625</v>
      </c>
      <c r="I14" s="1197"/>
      <c r="J14" s="1196">
        <f>J106</f>
        <v>371338</v>
      </c>
      <c r="K14" s="1196">
        <f t="shared" si="0"/>
        <v>1352963</v>
      </c>
      <c r="L14" s="1430"/>
      <c r="Q14" s="1532"/>
    </row>
    <row r="15" spans="1:17" s="1199" customFormat="1" ht="24" customHeight="1">
      <c r="A15" s="1204" t="str">
        <f>A107</f>
        <v>3.4</v>
      </c>
      <c r="B15" s="1190" t="str">
        <f>B107</f>
        <v>สวิทช์และเต้ารับ (Switch &amp; Outlet)</v>
      </c>
      <c r="C15" s="1202"/>
      <c r="D15" s="1203"/>
      <c r="E15" s="1193">
        <v>1</v>
      </c>
      <c r="F15" s="1194" t="s">
        <v>19</v>
      </c>
      <c r="G15" s="1195"/>
      <c r="H15" s="1196">
        <f>H122</f>
        <v>5972</v>
      </c>
      <c r="I15" s="1197"/>
      <c r="J15" s="1196">
        <f>J122</f>
        <v>3640</v>
      </c>
      <c r="K15" s="1196">
        <f t="shared" si="0"/>
        <v>9612</v>
      </c>
      <c r="L15" s="1430"/>
    </row>
    <row r="16" spans="1:17" s="1199" customFormat="1" ht="24" customHeight="1">
      <c r="A16" s="1189" t="str">
        <f>A123</f>
        <v>3.5</v>
      </c>
      <c r="B16" s="1190" t="str">
        <f>B123</f>
        <v>Two Wire Remote System</v>
      </c>
      <c r="C16" s="1202"/>
      <c r="D16" s="1203"/>
      <c r="E16" s="1193">
        <v>1</v>
      </c>
      <c r="F16" s="1194" t="s">
        <v>19</v>
      </c>
      <c r="G16" s="1195"/>
      <c r="H16" s="1196">
        <f>H130</f>
        <v>140180</v>
      </c>
      <c r="I16" s="1197"/>
      <c r="J16" s="1196">
        <f>J130</f>
        <v>7009</v>
      </c>
      <c r="K16" s="1196">
        <f t="shared" si="0"/>
        <v>147189</v>
      </c>
      <c r="L16" s="1430"/>
    </row>
    <row r="17" spans="1:12" s="1199" customFormat="1" ht="24" customHeight="1">
      <c r="A17" s="1204" t="str">
        <f>A131</f>
        <v>3.6</v>
      </c>
      <c r="B17" s="1190" t="str">
        <f>B131</f>
        <v>โคมไฟฟ้า (Luminaire)</v>
      </c>
      <c r="C17" s="1202"/>
      <c r="D17" s="1203"/>
      <c r="E17" s="1193">
        <v>1</v>
      </c>
      <c r="F17" s="1194" t="s">
        <v>19</v>
      </c>
      <c r="G17" s="1195"/>
      <c r="H17" s="1196">
        <f>H161</f>
        <v>428301</v>
      </c>
      <c r="I17" s="1197"/>
      <c r="J17" s="1196">
        <f>J161</f>
        <v>97954</v>
      </c>
      <c r="K17" s="1196">
        <f t="shared" si="0"/>
        <v>526255</v>
      </c>
      <c r="L17" s="1430"/>
    </row>
    <row r="18" spans="1:12" s="1199" customFormat="1" ht="24" customHeight="1">
      <c r="A18" s="1204" t="str">
        <f>A162</f>
        <v>3.7</v>
      </c>
      <c r="B18" s="2174" t="str">
        <f>B162</f>
        <v>ระบบสัญญาณแจ้งเหตุเพลิงไหม้ (Fire Alarm System)</v>
      </c>
      <c r="C18" s="1202"/>
      <c r="D18" s="1203"/>
      <c r="E18" s="1193">
        <v>1</v>
      </c>
      <c r="F18" s="1207" t="s">
        <v>19</v>
      </c>
      <c r="G18" s="1208"/>
      <c r="H18" s="1196">
        <f>H202</f>
        <v>913405</v>
      </c>
      <c r="I18" s="1197"/>
      <c r="J18" s="1196">
        <f>J202</f>
        <v>226034</v>
      </c>
      <c r="K18" s="1196">
        <f t="shared" si="0"/>
        <v>1139439</v>
      </c>
      <c r="L18" s="1430"/>
    </row>
    <row r="19" spans="1:12" s="1199" customFormat="1" ht="24" customHeight="1">
      <c r="A19" s="1204" t="str">
        <f>A203</f>
        <v>3.8</v>
      </c>
      <c r="B19" s="2174" t="str">
        <f>B203</f>
        <v>ระบบเสียงและประกาศเรียก (Public Address System)</v>
      </c>
      <c r="C19" s="1202"/>
      <c r="D19" s="1203"/>
      <c r="E19" s="1193">
        <v>1</v>
      </c>
      <c r="F19" s="1207" t="s">
        <v>19</v>
      </c>
      <c r="G19" s="1208"/>
      <c r="H19" s="1196">
        <f>H226</f>
        <v>93466</v>
      </c>
      <c r="I19" s="1197"/>
      <c r="J19" s="1196">
        <f>J226</f>
        <v>18579</v>
      </c>
      <c r="K19" s="1196">
        <f t="shared" si="0"/>
        <v>112045</v>
      </c>
      <c r="L19" s="1430"/>
    </row>
    <row r="20" spans="1:12" s="1199" customFormat="1" ht="24" customHeight="1">
      <c r="A20" s="1204" t="str">
        <f>A227</f>
        <v>3.9</v>
      </c>
      <c r="B20" s="2174" t="str">
        <f>B227</f>
        <v>ระบบควบคุมประตูอัตโนมัติ (Access Control System)</v>
      </c>
      <c r="C20" s="1202"/>
      <c r="D20" s="1203"/>
      <c r="E20" s="1193">
        <v>1</v>
      </c>
      <c r="F20" s="1207" t="s">
        <v>19</v>
      </c>
      <c r="G20" s="1208"/>
      <c r="H20" s="1196">
        <f>H250</f>
        <v>376014</v>
      </c>
      <c r="I20" s="1197"/>
      <c r="J20" s="1196">
        <f>J250</f>
        <v>18530</v>
      </c>
      <c r="K20" s="1196">
        <f t="shared" si="0"/>
        <v>394544</v>
      </c>
      <c r="L20" s="1430"/>
    </row>
    <row r="21" spans="1:12" s="1199" customFormat="1" ht="24" customHeight="1">
      <c r="A21" s="1204" t="str">
        <f>A251</f>
        <v>3.10</v>
      </c>
      <c r="B21" s="1431" t="str">
        <f>B251</f>
        <v>ระบบบริหารจัดการอาคาร (Building Management System : BMS)</v>
      </c>
      <c r="C21" s="1202"/>
      <c r="D21" s="1203"/>
      <c r="E21" s="1193">
        <v>1</v>
      </c>
      <c r="F21" s="1207" t="s">
        <v>19</v>
      </c>
      <c r="G21" s="1195"/>
      <c r="H21" s="1196">
        <f>H280</f>
        <v>1035433</v>
      </c>
      <c r="I21" s="1241"/>
      <c r="J21" s="1196">
        <f>J280</f>
        <v>125851</v>
      </c>
      <c r="K21" s="1196">
        <f>K280</f>
        <v>1161284</v>
      </c>
      <c r="L21" s="1430"/>
    </row>
    <row r="22" spans="1:12" s="1199" customFormat="1" ht="24" customHeight="1">
      <c r="A22" s="1204" t="str">
        <f>A281</f>
        <v>3.11</v>
      </c>
      <c r="B22" s="1431" t="str">
        <f>B281</f>
        <v>ระบบแจ้งเหตุฉุกเฉิน (Panic Alarm System)</v>
      </c>
      <c r="C22" s="1202"/>
      <c r="D22" s="1203"/>
      <c r="E22" s="1193">
        <v>1</v>
      </c>
      <c r="F22" s="1207" t="s">
        <v>19</v>
      </c>
      <c r="G22" s="1195"/>
      <c r="H22" s="1196">
        <f>H298</f>
        <v>326100</v>
      </c>
      <c r="I22" s="1241"/>
      <c r="J22" s="1196">
        <f>J298</f>
        <v>10056</v>
      </c>
      <c r="K22" s="1196">
        <f>K298</f>
        <v>336156</v>
      </c>
      <c r="L22" s="1430"/>
    </row>
    <row r="23" spans="1:12" s="1199" customFormat="1" ht="24" customHeight="1">
      <c r="A23" s="1204"/>
      <c r="B23" s="1240"/>
      <c r="C23" s="1202"/>
      <c r="D23" s="1203"/>
      <c r="E23" s="1206"/>
      <c r="F23" s="1207"/>
      <c r="G23" s="1195"/>
      <c r="H23" s="1196"/>
      <c r="I23" s="1241"/>
      <c r="J23" s="1229"/>
      <c r="K23" s="1242"/>
      <c r="L23" s="1430"/>
    </row>
    <row r="24" spans="1:12" s="1199" customFormat="1" ht="24" customHeight="1">
      <c r="A24" s="1204"/>
      <c r="B24" s="1240"/>
      <c r="C24" s="1202"/>
      <c r="D24" s="1203"/>
      <c r="E24" s="1206"/>
      <c r="F24" s="1207"/>
      <c r="G24" s="1195"/>
      <c r="H24" s="1196"/>
      <c r="I24" s="1241"/>
      <c r="J24" s="1229"/>
      <c r="K24" s="1242"/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9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9" s="1199" customFormat="1" ht="24" customHeight="1">
      <c r="A34" s="1243"/>
      <c r="B34" s="2257" t="str">
        <f>"รวมราคา"&amp;B11</f>
        <v>รวมราคางานระบบไฟฟ้าและสื่อสาร ชั้น B2</v>
      </c>
      <c r="C34" s="2258"/>
      <c r="D34" s="2259"/>
      <c r="E34" s="1244"/>
      <c r="F34" s="1245"/>
      <c r="G34" s="1246"/>
      <c r="H34" s="1247">
        <f>SUM(H12:H33)</f>
        <v>5261394</v>
      </c>
      <c r="I34" s="1246"/>
      <c r="J34" s="1247">
        <f t="shared" ref="J34:K34" si="1">SUM(J12:J33)</f>
        <v>1319072</v>
      </c>
      <c r="K34" s="1247">
        <f t="shared" si="1"/>
        <v>6580466</v>
      </c>
      <c r="L34" s="1245"/>
      <c r="M34" s="1214"/>
      <c r="N34" s="1214"/>
      <c r="O34" s="1214"/>
      <c r="P34" s="1214"/>
    </row>
    <row r="35" spans="1:19" s="1199" customFormat="1" ht="24" customHeight="1">
      <c r="A35" s="1381" t="s">
        <v>1426</v>
      </c>
      <c r="B35" s="1292" t="s">
        <v>1427</v>
      </c>
      <c r="C35" s="1294"/>
      <c r="D35" s="1294"/>
      <c r="E35" s="1295"/>
      <c r="F35" s="1296"/>
      <c r="G35" s="1297"/>
      <c r="H35" s="1298"/>
      <c r="I35" s="1299"/>
      <c r="J35" s="1298"/>
      <c r="K35" s="1299"/>
      <c r="L35" s="1432"/>
      <c r="M35" s="1214"/>
      <c r="N35" s="1214"/>
      <c r="O35" s="1214"/>
      <c r="P35" s="1214"/>
    </row>
    <row r="36" spans="1:19" s="1199" customFormat="1" ht="24" customHeight="1">
      <c r="A36" s="1308" t="s">
        <v>1096</v>
      </c>
      <c r="B36" s="1433" t="s">
        <v>1428</v>
      </c>
      <c r="C36" s="1275"/>
      <c r="D36" s="1275"/>
      <c r="E36" s="1276"/>
      <c r="F36" s="1358"/>
      <c r="G36" s="2175"/>
      <c r="H36" s="1264">
        <f t="shared" ref="H36:H79" si="2">ROUND(E36*G36,)</f>
        <v>0</v>
      </c>
      <c r="I36" s="1265"/>
      <c r="J36" s="1264">
        <f t="shared" ref="J36:J79" si="3">ROUND(E36*I36,)</f>
        <v>0</v>
      </c>
      <c r="K36" s="1265">
        <f t="shared" ref="K36:K79" si="4">H36+J36</f>
        <v>0</v>
      </c>
      <c r="L36" s="1434"/>
      <c r="M36" s="1214"/>
      <c r="N36" s="1214"/>
      <c r="O36" s="1214"/>
      <c r="P36" s="1214"/>
    </row>
    <row r="37" spans="1:19" s="1199" customFormat="1" ht="24" customHeight="1">
      <c r="A37" s="1331"/>
      <c r="B37" s="1259" t="s">
        <v>1429</v>
      </c>
      <c r="C37" s="1260"/>
      <c r="D37" s="1260"/>
      <c r="E37" s="1261">
        <v>1</v>
      </c>
      <c r="F37" s="1267" t="s">
        <v>363</v>
      </c>
      <c r="G37" s="2178">
        <v>5800</v>
      </c>
      <c r="H37" s="1264">
        <f t="shared" si="2"/>
        <v>5800</v>
      </c>
      <c r="I37" s="1265">
        <v>1500</v>
      </c>
      <c r="J37" s="1264">
        <f t="shared" si="3"/>
        <v>1500</v>
      </c>
      <c r="K37" s="1265">
        <f t="shared" si="4"/>
        <v>7300</v>
      </c>
      <c r="L37" s="1434"/>
      <c r="M37" s="1214"/>
      <c r="N37" s="1214"/>
      <c r="O37" s="1214"/>
      <c r="P37" s="1214"/>
      <c r="R37" s="1199">
        <v>20</v>
      </c>
      <c r="S37" s="1199">
        <v>32</v>
      </c>
    </row>
    <row r="38" spans="1:19" s="1199" customFormat="1" ht="24" customHeight="1">
      <c r="A38" s="1331"/>
      <c r="B38" s="1259" t="s">
        <v>1430</v>
      </c>
      <c r="C38" s="1260"/>
      <c r="D38" s="1260"/>
      <c r="E38" s="1261">
        <v>1</v>
      </c>
      <c r="F38" s="1267" t="s">
        <v>363</v>
      </c>
      <c r="G38" s="2178">
        <v>2400</v>
      </c>
      <c r="H38" s="1264">
        <f t="shared" si="2"/>
        <v>2400</v>
      </c>
      <c r="I38" s="1265"/>
      <c r="J38" s="1264">
        <f t="shared" si="3"/>
        <v>0</v>
      </c>
      <c r="K38" s="1265">
        <f t="shared" si="4"/>
        <v>2400</v>
      </c>
      <c r="L38" s="1434"/>
      <c r="M38" s="1214"/>
      <c r="N38" s="1214"/>
      <c r="O38" s="1214"/>
      <c r="P38" s="1214"/>
    </row>
    <row r="39" spans="1:19" s="1199" customFormat="1" ht="24" customHeight="1">
      <c r="A39" s="1331"/>
      <c r="B39" s="1259" t="s">
        <v>1431</v>
      </c>
      <c r="C39" s="1260"/>
      <c r="D39" s="1260"/>
      <c r="E39" s="1261">
        <v>14</v>
      </c>
      <c r="F39" s="1267" t="s">
        <v>363</v>
      </c>
      <c r="G39" s="2178">
        <v>138</v>
      </c>
      <c r="H39" s="1264">
        <f t="shared" si="2"/>
        <v>1932</v>
      </c>
      <c r="I39" s="1265"/>
      <c r="J39" s="1264">
        <f t="shared" si="3"/>
        <v>0</v>
      </c>
      <c r="K39" s="1265">
        <f t="shared" si="4"/>
        <v>1932</v>
      </c>
      <c r="L39" s="1434"/>
      <c r="M39" s="1214"/>
      <c r="N39" s="1214"/>
      <c r="O39" s="1214"/>
      <c r="P39" s="1214"/>
    </row>
    <row r="40" spans="1:19" s="1199" customFormat="1" ht="24" customHeight="1">
      <c r="A40" s="1331"/>
      <c r="B40" s="1259" t="s">
        <v>1432</v>
      </c>
      <c r="C40" s="1260"/>
      <c r="D40" s="1260"/>
      <c r="E40" s="1261"/>
      <c r="F40" s="1267" t="s">
        <v>363</v>
      </c>
      <c r="G40" s="2178">
        <v>138</v>
      </c>
      <c r="H40" s="1264">
        <f t="shared" si="2"/>
        <v>0</v>
      </c>
      <c r="I40" s="1265"/>
      <c r="J40" s="1264">
        <f t="shared" si="3"/>
        <v>0</v>
      </c>
      <c r="K40" s="1265">
        <f t="shared" si="4"/>
        <v>0</v>
      </c>
      <c r="L40" s="1434"/>
      <c r="M40" s="1214"/>
      <c r="N40" s="1214"/>
      <c r="O40" s="1214"/>
      <c r="P40" s="1214"/>
    </row>
    <row r="41" spans="1:19" s="1199" customFormat="1" ht="24" customHeight="1">
      <c r="A41" s="1331"/>
      <c r="B41" s="1259" t="s">
        <v>1433</v>
      </c>
      <c r="C41" s="1260"/>
      <c r="D41" s="1260"/>
      <c r="E41" s="1261"/>
      <c r="F41" s="1267" t="s">
        <v>363</v>
      </c>
      <c r="G41" s="2178">
        <v>138</v>
      </c>
      <c r="H41" s="1264">
        <f t="shared" si="2"/>
        <v>0</v>
      </c>
      <c r="I41" s="1265"/>
      <c r="J41" s="1264">
        <f t="shared" si="3"/>
        <v>0</v>
      </c>
      <c r="K41" s="1265">
        <f t="shared" si="4"/>
        <v>0</v>
      </c>
      <c r="L41" s="1434"/>
      <c r="M41" s="1214"/>
      <c r="N41" s="1214"/>
      <c r="O41" s="1214"/>
      <c r="P41" s="1214"/>
    </row>
    <row r="42" spans="1:19" s="1199" customFormat="1" ht="24" customHeight="1">
      <c r="A42" s="1331"/>
      <c r="B42" s="1259" t="s">
        <v>1434</v>
      </c>
      <c r="C42" s="1260"/>
      <c r="D42" s="1260"/>
      <c r="E42" s="1261"/>
      <c r="F42" s="1267" t="s">
        <v>363</v>
      </c>
      <c r="G42" s="2178">
        <v>842</v>
      </c>
      <c r="H42" s="1264">
        <f t="shared" si="2"/>
        <v>0</v>
      </c>
      <c r="I42" s="1265"/>
      <c r="J42" s="1264">
        <f t="shared" si="3"/>
        <v>0</v>
      </c>
      <c r="K42" s="1265">
        <f t="shared" si="4"/>
        <v>0</v>
      </c>
      <c r="L42" s="1434"/>
      <c r="M42" s="1214"/>
      <c r="N42" s="1214"/>
      <c r="O42" s="1214"/>
      <c r="P42" s="1214"/>
    </row>
    <row r="43" spans="1:19" s="1199" customFormat="1" ht="24" customHeight="1">
      <c r="A43" s="1331"/>
      <c r="B43" s="1259" t="s">
        <v>1435</v>
      </c>
      <c r="C43" s="1260"/>
      <c r="D43" s="1260"/>
      <c r="E43" s="1261"/>
      <c r="F43" s="1267" t="s">
        <v>363</v>
      </c>
      <c r="G43" s="2178">
        <v>842</v>
      </c>
      <c r="H43" s="1264">
        <f t="shared" si="2"/>
        <v>0</v>
      </c>
      <c r="I43" s="1265"/>
      <c r="J43" s="1264">
        <f t="shared" si="3"/>
        <v>0</v>
      </c>
      <c r="K43" s="1265">
        <f t="shared" si="4"/>
        <v>0</v>
      </c>
      <c r="L43" s="1434"/>
      <c r="M43" s="1214"/>
      <c r="N43" s="1214"/>
      <c r="O43" s="1214"/>
      <c r="P43" s="1214"/>
    </row>
    <row r="44" spans="1:19" s="1199" customFormat="1" ht="24" customHeight="1">
      <c r="A44" s="1331"/>
      <c r="B44" s="1259" t="s">
        <v>1436</v>
      </c>
      <c r="C44" s="1260"/>
      <c r="D44" s="1260"/>
      <c r="E44" s="1261">
        <v>2</v>
      </c>
      <c r="F44" s="1267" t="s">
        <v>363</v>
      </c>
      <c r="G44" s="2178">
        <v>880</v>
      </c>
      <c r="H44" s="1264">
        <f t="shared" si="2"/>
        <v>1760</v>
      </c>
      <c r="I44" s="1265"/>
      <c r="J44" s="1264">
        <f t="shared" si="3"/>
        <v>0</v>
      </c>
      <c r="K44" s="1265">
        <f t="shared" si="4"/>
        <v>1760</v>
      </c>
      <c r="L44" s="1434"/>
      <c r="M44" s="1214"/>
      <c r="N44" s="1214"/>
      <c r="O44" s="1214"/>
      <c r="P44" s="1214"/>
    </row>
    <row r="45" spans="1:19" s="1199" customFormat="1" ht="24" customHeight="1">
      <c r="A45" s="1331"/>
      <c r="B45" s="1190" t="s">
        <v>1437</v>
      </c>
      <c r="C45" s="1275"/>
      <c r="D45" s="1275"/>
      <c r="E45" s="1276">
        <v>4</v>
      </c>
      <c r="F45" s="1194" t="s">
        <v>363</v>
      </c>
      <c r="G45" s="2175">
        <v>1288</v>
      </c>
      <c r="H45" s="1264">
        <f t="shared" si="2"/>
        <v>5152</v>
      </c>
      <c r="I45" s="1265"/>
      <c r="J45" s="1264">
        <f t="shared" si="3"/>
        <v>0</v>
      </c>
      <c r="K45" s="1299">
        <f t="shared" si="4"/>
        <v>5152</v>
      </c>
      <c r="L45" s="1366"/>
      <c r="M45" s="1214"/>
      <c r="N45" s="1214"/>
      <c r="O45" s="1214"/>
      <c r="P45" s="1214"/>
      <c r="Q45" s="1214"/>
    </row>
    <row r="46" spans="1:19" s="1199" customFormat="1" ht="24" customHeight="1">
      <c r="A46" s="1331"/>
      <c r="B46" s="1190" t="s">
        <v>1438</v>
      </c>
      <c r="C46" s="1275"/>
      <c r="D46" s="1275"/>
      <c r="E46" s="1276"/>
      <c r="F46" s="1194" t="s">
        <v>363</v>
      </c>
      <c r="G46" s="2175">
        <v>1288</v>
      </c>
      <c r="H46" s="1264">
        <f t="shared" si="2"/>
        <v>0</v>
      </c>
      <c r="I46" s="1265"/>
      <c r="J46" s="1264">
        <f t="shared" si="3"/>
        <v>0</v>
      </c>
      <c r="K46" s="1299">
        <f t="shared" si="4"/>
        <v>0</v>
      </c>
      <c r="L46" s="1366"/>
      <c r="M46" s="1214"/>
      <c r="N46" s="1214"/>
      <c r="O46" s="1214"/>
      <c r="P46" s="1214"/>
      <c r="Q46" s="1214"/>
    </row>
    <row r="47" spans="1:19" s="1199" customFormat="1" ht="24" customHeight="1">
      <c r="A47" s="1331"/>
      <c r="B47" s="1259" t="s">
        <v>1439</v>
      </c>
      <c r="C47" s="1260"/>
      <c r="D47" s="1260"/>
      <c r="E47" s="1261">
        <v>1</v>
      </c>
      <c r="F47" s="1267" t="s">
        <v>363</v>
      </c>
      <c r="G47" s="2178">
        <v>4800</v>
      </c>
      <c r="H47" s="1264">
        <f t="shared" si="2"/>
        <v>4800</v>
      </c>
      <c r="I47" s="1265">
        <v>1500</v>
      </c>
      <c r="J47" s="1264">
        <f t="shared" si="3"/>
        <v>1500</v>
      </c>
      <c r="K47" s="1265">
        <f t="shared" si="4"/>
        <v>6300</v>
      </c>
      <c r="L47" s="1434"/>
      <c r="M47" s="1214"/>
      <c r="N47" s="1214"/>
      <c r="O47" s="1214"/>
      <c r="P47" s="1214"/>
    </row>
    <row r="48" spans="1:19" s="1199" customFormat="1" ht="24" customHeight="1">
      <c r="A48" s="1331"/>
      <c r="B48" s="1259" t="s">
        <v>1440</v>
      </c>
      <c r="C48" s="1260"/>
      <c r="D48" s="1260"/>
      <c r="E48" s="1261">
        <v>1</v>
      </c>
      <c r="F48" s="1267" t="s">
        <v>363</v>
      </c>
      <c r="G48" s="2178">
        <v>2400</v>
      </c>
      <c r="H48" s="1264">
        <f t="shared" si="2"/>
        <v>2400</v>
      </c>
      <c r="I48" s="1265"/>
      <c r="J48" s="1264">
        <f t="shared" si="3"/>
        <v>0</v>
      </c>
      <c r="K48" s="1265">
        <f t="shared" si="4"/>
        <v>2400</v>
      </c>
      <c r="L48" s="1434"/>
      <c r="M48" s="1214"/>
      <c r="N48" s="1214"/>
      <c r="O48" s="1214"/>
      <c r="P48" s="1214"/>
    </row>
    <row r="49" spans="1:17" s="1199" customFormat="1" ht="24" customHeight="1">
      <c r="A49" s="1331"/>
      <c r="B49" s="1259" t="s">
        <v>1431</v>
      </c>
      <c r="C49" s="1260"/>
      <c r="D49" s="1260"/>
      <c r="E49" s="1261">
        <v>12</v>
      </c>
      <c r="F49" s="1267" t="s">
        <v>363</v>
      </c>
      <c r="G49" s="2178">
        <v>138</v>
      </c>
      <c r="H49" s="1264">
        <f t="shared" si="2"/>
        <v>1656</v>
      </c>
      <c r="I49" s="1265"/>
      <c r="J49" s="1264">
        <f t="shared" si="3"/>
        <v>0</v>
      </c>
      <c r="K49" s="1265">
        <f t="shared" si="4"/>
        <v>1656</v>
      </c>
      <c r="L49" s="1434"/>
      <c r="M49" s="1214"/>
      <c r="N49" s="1214"/>
      <c r="O49" s="1214"/>
      <c r="P49" s="1214"/>
    </row>
    <row r="50" spans="1:17" s="1199" customFormat="1" ht="24" customHeight="1">
      <c r="A50" s="1331"/>
      <c r="B50" s="1259" t="s">
        <v>1432</v>
      </c>
      <c r="C50" s="1260"/>
      <c r="D50" s="1260"/>
      <c r="E50" s="1261"/>
      <c r="F50" s="1267" t="s">
        <v>363</v>
      </c>
      <c r="G50" s="2178">
        <v>138</v>
      </c>
      <c r="H50" s="1264">
        <f t="shared" si="2"/>
        <v>0</v>
      </c>
      <c r="I50" s="1265"/>
      <c r="J50" s="1264">
        <f t="shared" si="3"/>
        <v>0</v>
      </c>
      <c r="K50" s="1265">
        <f t="shared" si="4"/>
        <v>0</v>
      </c>
      <c r="L50" s="1434"/>
      <c r="M50" s="1214"/>
      <c r="N50" s="1214"/>
      <c r="O50" s="1214"/>
      <c r="P50" s="1214"/>
    </row>
    <row r="51" spans="1:17" s="1199" customFormat="1" ht="24" customHeight="1">
      <c r="A51" s="1331"/>
      <c r="B51" s="1259" t="s">
        <v>1433</v>
      </c>
      <c r="C51" s="1260"/>
      <c r="D51" s="1260"/>
      <c r="E51" s="1261"/>
      <c r="F51" s="1267" t="s">
        <v>363</v>
      </c>
      <c r="G51" s="2178">
        <v>138</v>
      </c>
      <c r="H51" s="1264">
        <f t="shared" si="2"/>
        <v>0</v>
      </c>
      <c r="I51" s="1265"/>
      <c r="J51" s="1264">
        <f t="shared" si="3"/>
        <v>0</v>
      </c>
      <c r="K51" s="1265">
        <f t="shared" si="4"/>
        <v>0</v>
      </c>
      <c r="L51" s="1434"/>
      <c r="M51" s="1214"/>
      <c r="N51" s="1214"/>
      <c r="O51" s="1214"/>
      <c r="P51" s="1214"/>
    </row>
    <row r="52" spans="1:17" s="1199" customFormat="1" ht="24" customHeight="1">
      <c r="A52" s="1331"/>
      <c r="B52" s="1259" t="s">
        <v>1434</v>
      </c>
      <c r="C52" s="1260"/>
      <c r="D52" s="1260"/>
      <c r="E52" s="1261"/>
      <c r="F52" s="1267" t="s">
        <v>363</v>
      </c>
      <c r="G52" s="2178">
        <v>842</v>
      </c>
      <c r="H52" s="1264">
        <f t="shared" si="2"/>
        <v>0</v>
      </c>
      <c r="I52" s="1265"/>
      <c r="J52" s="1264">
        <f t="shared" si="3"/>
        <v>0</v>
      </c>
      <c r="K52" s="1265">
        <f t="shared" si="4"/>
        <v>0</v>
      </c>
      <c r="L52" s="1434"/>
      <c r="M52" s="1214"/>
      <c r="N52" s="1214"/>
      <c r="O52" s="1214"/>
      <c r="P52" s="1214"/>
    </row>
    <row r="53" spans="1:17" s="1199" customFormat="1" ht="24" customHeight="1">
      <c r="A53" s="1331"/>
      <c r="B53" s="1259" t="s">
        <v>1435</v>
      </c>
      <c r="C53" s="1260"/>
      <c r="D53" s="1260"/>
      <c r="E53" s="1261"/>
      <c r="F53" s="1267" t="s">
        <v>363</v>
      </c>
      <c r="G53" s="2178">
        <v>842</v>
      </c>
      <c r="H53" s="1264">
        <f t="shared" si="2"/>
        <v>0</v>
      </c>
      <c r="I53" s="1265"/>
      <c r="J53" s="1264">
        <f t="shared" si="3"/>
        <v>0</v>
      </c>
      <c r="K53" s="1265">
        <f t="shared" si="4"/>
        <v>0</v>
      </c>
      <c r="L53" s="1434"/>
      <c r="M53" s="1214"/>
      <c r="N53" s="1214"/>
      <c r="O53" s="1214"/>
      <c r="P53" s="1214"/>
    </row>
    <row r="54" spans="1:17" s="1199" customFormat="1" ht="24" customHeight="1">
      <c r="A54" s="1331"/>
      <c r="B54" s="1259" t="s">
        <v>1436</v>
      </c>
      <c r="C54" s="1260"/>
      <c r="D54" s="1260"/>
      <c r="E54" s="1261"/>
      <c r="F54" s="1267" t="s">
        <v>363</v>
      </c>
      <c r="G54" s="2178">
        <v>880</v>
      </c>
      <c r="H54" s="1264">
        <f t="shared" si="2"/>
        <v>0</v>
      </c>
      <c r="I54" s="1265"/>
      <c r="J54" s="1264">
        <f t="shared" si="3"/>
        <v>0</v>
      </c>
      <c r="K54" s="1265">
        <f t="shared" si="4"/>
        <v>0</v>
      </c>
      <c r="L54" s="1434"/>
      <c r="M54" s="1214"/>
      <c r="N54" s="1214"/>
      <c r="O54" s="1214"/>
      <c r="P54" s="1214"/>
    </row>
    <row r="55" spans="1:17" s="1199" customFormat="1" ht="24" customHeight="1">
      <c r="A55" s="1331"/>
      <c r="B55" s="1190" t="s">
        <v>1437</v>
      </c>
      <c r="C55" s="1275"/>
      <c r="D55" s="1275"/>
      <c r="E55" s="1276"/>
      <c r="F55" s="1194" t="s">
        <v>363</v>
      </c>
      <c r="G55" s="2175">
        <v>1288</v>
      </c>
      <c r="H55" s="1264">
        <f t="shared" si="2"/>
        <v>0</v>
      </c>
      <c r="I55" s="1265"/>
      <c r="J55" s="1264">
        <f t="shared" si="3"/>
        <v>0</v>
      </c>
      <c r="K55" s="1299">
        <f t="shared" si="4"/>
        <v>0</v>
      </c>
      <c r="L55" s="1366"/>
      <c r="M55" s="1214"/>
      <c r="N55" s="1214"/>
      <c r="O55" s="1214"/>
      <c r="P55" s="1214"/>
      <c r="Q55" s="1214"/>
    </row>
    <row r="56" spans="1:17" s="1199" customFormat="1" ht="24" customHeight="1">
      <c r="A56" s="1331"/>
      <c r="B56" s="1190" t="s">
        <v>1438</v>
      </c>
      <c r="C56" s="1275"/>
      <c r="D56" s="1275"/>
      <c r="E56" s="1276"/>
      <c r="F56" s="1194" t="s">
        <v>363</v>
      </c>
      <c r="G56" s="2175">
        <v>1288</v>
      </c>
      <c r="H56" s="1264">
        <f t="shared" si="2"/>
        <v>0</v>
      </c>
      <c r="I56" s="1265"/>
      <c r="J56" s="1264">
        <f t="shared" si="3"/>
        <v>0</v>
      </c>
      <c r="K56" s="1299">
        <f t="shared" si="4"/>
        <v>0</v>
      </c>
      <c r="L56" s="1366"/>
      <c r="M56" s="1214"/>
      <c r="N56" s="1214"/>
      <c r="O56" s="1214"/>
      <c r="P56" s="1214"/>
      <c r="Q56" s="1214"/>
    </row>
    <row r="57" spans="1:17" s="1199" customFormat="1" ht="24" customHeight="1">
      <c r="A57" s="1331"/>
      <c r="B57" s="1190"/>
      <c r="C57" s="1275"/>
      <c r="D57" s="1275"/>
      <c r="E57" s="1276"/>
      <c r="F57" s="1194"/>
      <c r="G57" s="2175"/>
      <c r="H57" s="1264"/>
      <c r="I57" s="1265"/>
      <c r="J57" s="1264"/>
      <c r="K57" s="1299"/>
      <c r="L57" s="1366"/>
      <c r="M57" s="1214"/>
      <c r="N57" s="1214"/>
      <c r="O57" s="1214"/>
      <c r="P57" s="1214"/>
      <c r="Q57" s="1214"/>
    </row>
    <row r="58" spans="1:17" s="1199" customFormat="1" ht="24" customHeight="1">
      <c r="A58" s="1331"/>
      <c r="B58" s="1190"/>
      <c r="C58" s="1275"/>
      <c r="D58" s="1275"/>
      <c r="E58" s="1276"/>
      <c r="F58" s="1194"/>
      <c r="G58" s="2175"/>
      <c r="H58" s="1264"/>
      <c r="I58" s="1265"/>
      <c r="J58" s="1264"/>
      <c r="K58" s="1299"/>
      <c r="L58" s="1366"/>
      <c r="M58" s="1214"/>
      <c r="N58" s="1214"/>
      <c r="O58" s="1214"/>
      <c r="P58" s="1214"/>
      <c r="Q58" s="1214"/>
    </row>
    <row r="59" spans="1:17" s="1199" customFormat="1" ht="24" customHeight="1">
      <c r="A59" s="1331"/>
      <c r="B59" s="1190"/>
      <c r="C59" s="1275"/>
      <c r="D59" s="1275"/>
      <c r="E59" s="1276"/>
      <c r="F59" s="1194"/>
      <c r="G59" s="2175"/>
      <c r="H59" s="1264"/>
      <c r="I59" s="1265"/>
      <c r="J59" s="1264"/>
      <c r="K59" s="1299"/>
      <c r="L59" s="1366"/>
      <c r="M59" s="1214"/>
      <c r="N59" s="1214"/>
      <c r="O59" s="1214"/>
      <c r="P59" s="1214"/>
      <c r="Q59" s="1214"/>
    </row>
    <row r="60" spans="1:17" s="1199" customFormat="1" ht="24" customHeight="1">
      <c r="A60" s="1331"/>
      <c r="B60" s="1259" t="s">
        <v>1441</v>
      </c>
      <c r="C60" s="1260"/>
      <c r="D60" s="1260"/>
      <c r="E60" s="1261">
        <v>1</v>
      </c>
      <c r="F60" s="1267" t="s">
        <v>363</v>
      </c>
      <c r="G60" s="2178">
        <v>5800</v>
      </c>
      <c r="H60" s="1264">
        <f t="shared" si="2"/>
        <v>5800</v>
      </c>
      <c r="I60" s="1265">
        <v>1000</v>
      </c>
      <c r="J60" s="1264">
        <f t="shared" si="3"/>
        <v>1000</v>
      </c>
      <c r="K60" s="1265">
        <f t="shared" si="4"/>
        <v>6800</v>
      </c>
      <c r="L60" s="1434"/>
      <c r="M60" s="1214"/>
      <c r="N60" s="1214"/>
      <c r="O60" s="1214"/>
      <c r="P60" s="1214"/>
    </row>
    <row r="61" spans="1:17" s="1199" customFormat="1" ht="24" customHeight="1">
      <c r="A61" s="1331"/>
      <c r="B61" s="1259" t="s">
        <v>1430</v>
      </c>
      <c r="C61" s="1260"/>
      <c r="D61" s="1260"/>
      <c r="E61" s="1261">
        <v>1</v>
      </c>
      <c r="F61" s="1267" t="s">
        <v>363</v>
      </c>
      <c r="G61" s="2178">
        <v>2400</v>
      </c>
      <c r="H61" s="1264">
        <f t="shared" si="2"/>
        <v>2400</v>
      </c>
      <c r="I61" s="1265"/>
      <c r="J61" s="1264">
        <f t="shared" si="3"/>
        <v>0</v>
      </c>
      <c r="K61" s="1265">
        <f t="shared" si="4"/>
        <v>2400</v>
      </c>
      <c r="L61" s="1434"/>
      <c r="M61" s="1214"/>
      <c r="N61" s="1214"/>
      <c r="O61" s="1214"/>
      <c r="P61" s="1214"/>
    </row>
    <row r="62" spans="1:17" s="1199" customFormat="1" ht="24" customHeight="1">
      <c r="A62" s="1331"/>
      <c r="B62" s="1259" t="s">
        <v>1431</v>
      </c>
      <c r="C62" s="1260"/>
      <c r="D62" s="1260"/>
      <c r="E62" s="1261">
        <v>11</v>
      </c>
      <c r="F62" s="1267" t="s">
        <v>363</v>
      </c>
      <c r="G62" s="2178">
        <v>138</v>
      </c>
      <c r="H62" s="1264">
        <f t="shared" si="2"/>
        <v>1518</v>
      </c>
      <c r="I62" s="1265"/>
      <c r="J62" s="1264">
        <f t="shared" si="3"/>
        <v>0</v>
      </c>
      <c r="K62" s="1265">
        <f t="shared" si="4"/>
        <v>1518</v>
      </c>
      <c r="L62" s="1434"/>
      <c r="M62" s="1214"/>
      <c r="N62" s="1214"/>
      <c r="O62" s="1214"/>
      <c r="P62" s="1214"/>
    </row>
    <row r="63" spans="1:17" s="1199" customFormat="1" ht="24" customHeight="1">
      <c r="A63" s="1331"/>
      <c r="B63" s="1259" t="s">
        <v>1432</v>
      </c>
      <c r="C63" s="1260"/>
      <c r="D63" s="1260"/>
      <c r="E63" s="1261"/>
      <c r="F63" s="1267" t="s">
        <v>363</v>
      </c>
      <c r="G63" s="2178">
        <v>138</v>
      </c>
      <c r="H63" s="1264">
        <f t="shared" si="2"/>
        <v>0</v>
      </c>
      <c r="I63" s="1265"/>
      <c r="J63" s="1264">
        <f t="shared" si="3"/>
        <v>0</v>
      </c>
      <c r="K63" s="1265">
        <f t="shared" si="4"/>
        <v>0</v>
      </c>
      <c r="L63" s="1434"/>
      <c r="M63" s="1214"/>
      <c r="N63" s="1214"/>
      <c r="O63" s="1214"/>
      <c r="P63" s="1214"/>
    </row>
    <row r="64" spans="1:17" s="1199" customFormat="1" ht="24" customHeight="1">
      <c r="A64" s="1331"/>
      <c r="B64" s="1259" t="s">
        <v>1433</v>
      </c>
      <c r="C64" s="1260"/>
      <c r="D64" s="1260"/>
      <c r="E64" s="1261"/>
      <c r="F64" s="1267" t="s">
        <v>363</v>
      </c>
      <c r="G64" s="2178">
        <v>138</v>
      </c>
      <c r="H64" s="1264">
        <f t="shared" si="2"/>
        <v>0</v>
      </c>
      <c r="I64" s="1265"/>
      <c r="J64" s="1264">
        <f t="shared" si="3"/>
        <v>0</v>
      </c>
      <c r="K64" s="1265">
        <f t="shared" si="4"/>
        <v>0</v>
      </c>
      <c r="L64" s="1434"/>
      <c r="M64" s="1214"/>
      <c r="N64" s="1214"/>
      <c r="O64" s="1214"/>
      <c r="P64" s="1214"/>
    </row>
    <row r="65" spans="1:17" s="1199" customFormat="1" ht="24" customHeight="1">
      <c r="A65" s="1331"/>
      <c r="B65" s="1259" t="s">
        <v>1434</v>
      </c>
      <c r="C65" s="1260"/>
      <c r="D65" s="1260"/>
      <c r="E65" s="1261"/>
      <c r="F65" s="1267" t="s">
        <v>363</v>
      </c>
      <c r="G65" s="2178">
        <v>842</v>
      </c>
      <c r="H65" s="1264">
        <f t="shared" si="2"/>
        <v>0</v>
      </c>
      <c r="I65" s="1265"/>
      <c r="J65" s="1264">
        <f t="shared" si="3"/>
        <v>0</v>
      </c>
      <c r="K65" s="1265">
        <f t="shared" si="4"/>
        <v>0</v>
      </c>
      <c r="L65" s="1434"/>
      <c r="M65" s="1214"/>
      <c r="N65" s="1214"/>
      <c r="O65" s="1214"/>
      <c r="P65" s="1214"/>
    </row>
    <row r="66" spans="1:17" s="1199" customFormat="1" ht="24" customHeight="1">
      <c r="A66" s="1331"/>
      <c r="B66" s="1259" t="s">
        <v>1435</v>
      </c>
      <c r="C66" s="1260"/>
      <c r="D66" s="1260"/>
      <c r="E66" s="1261">
        <v>1</v>
      </c>
      <c r="F66" s="1267" t="s">
        <v>363</v>
      </c>
      <c r="G66" s="2178">
        <v>842</v>
      </c>
      <c r="H66" s="1264">
        <f t="shared" si="2"/>
        <v>842</v>
      </c>
      <c r="I66" s="1265"/>
      <c r="J66" s="1264">
        <f t="shared" si="3"/>
        <v>0</v>
      </c>
      <c r="K66" s="1265">
        <f t="shared" si="4"/>
        <v>842</v>
      </c>
      <c r="L66" s="1434"/>
      <c r="M66" s="1214"/>
      <c r="N66" s="1214"/>
      <c r="O66" s="1214"/>
      <c r="P66" s="1214"/>
    </row>
    <row r="67" spans="1:17" s="1199" customFormat="1" ht="24" customHeight="1">
      <c r="A67" s="1331"/>
      <c r="B67" s="1259" t="s">
        <v>1436</v>
      </c>
      <c r="C67" s="1260"/>
      <c r="D67" s="1260"/>
      <c r="E67" s="1261">
        <v>2</v>
      </c>
      <c r="F67" s="1267" t="s">
        <v>363</v>
      </c>
      <c r="G67" s="2178">
        <v>880</v>
      </c>
      <c r="H67" s="1264">
        <f t="shared" si="2"/>
        <v>1760</v>
      </c>
      <c r="I67" s="1265"/>
      <c r="J67" s="1264">
        <f t="shared" si="3"/>
        <v>0</v>
      </c>
      <c r="K67" s="1265">
        <f t="shared" si="4"/>
        <v>1760</v>
      </c>
      <c r="L67" s="1434"/>
      <c r="M67" s="1214"/>
      <c r="N67" s="1214"/>
      <c r="O67" s="1214"/>
      <c r="P67" s="1214"/>
    </row>
    <row r="68" spans="1:17" s="1199" customFormat="1" ht="24" customHeight="1">
      <c r="A68" s="1331"/>
      <c r="B68" s="1190" t="s">
        <v>1437</v>
      </c>
      <c r="C68" s="1275"/>
      <c r="D68" s="1275"/>
      <c r="E68" s="1276">
        <v>4</v>
      </c>
      <c r="F68" s="1194" t="s">
        <v>363</v>
      </c>
      <c r="G68" s="2175">
        <v>1288</v>
      </c>
      <c r="H68" s="1264">
        <f t="shared" si="2"/>
        <v>5152</v>
      </c>
      <c r="I68" s="1265"/>
      <c r="J68" s="1264">
        <f t="shared" si="3"/>
        <v>0</v>
      </c>
      <c r="K68" s="1299">
        <f t="shared" si="4"/>
        <v>5152</v>
      </c>
      <c r="L68" s="1366"/>
      <c r="M68" s="1214"/>
      <c r="N68" s="1214"/>
      <c r="O68" s="1214"/>
      <c r="P68" s="1214"/>
      <c r="Q68" s="1214"/>
    </row>
    <row r="69" spans="1:17" s="1199" customFormat="1" ht="24" customHeight="1">
      <c r="A69" s="1331"/>
      <c r="B69" s="1190" t="s">
        <v>1438</v>
      </c>
      <c r="C69" s="1275"/>
      <c r="D69" s="1275"/>
      <c r="E69" s="1276"/>
      <c r="F69" s="1194" t="s">
        <v>363</v>
      </c>
      <c r="G69" s="2175">
        <v>1288</v>
      </c>
      <c r="H69" s="1264">
        <f t="shared" si="2"/>
        <v>0</v>
      </c>
      <c r="I69" s="1265"/>
      <c r="J69" s="1264">
        <f t="shared" si="3"/>
        <v>0</v>
      </c>
      <c r="K69" s="1299">
        <f t="shared" si="4"/>
        <v>0</v>
      </c>
      <c r="L69" s="1366"/>
      <c r="M69" s="1214"/>
      <c r="N69" s="1214"/>
      <c r="O69" s="1214"/>
      <c r="P69" s="1214"/>
      <c r="Q69" s="1214"/>
    </row>
    <row r="70" spans="1:17" s="1199" customFormat="1" ht="24" customHeight="1">
      <c r="A70" s="1331"/>
      <c r="B70" s="1259" t="s">
        <v>1442</v>
      </c>
      <c r="C70" s="1260"/>
      <c r="D70" s="1260"/>
      <c r="E70" s="1261">
        <v>1</v>
      </c>
      <c r="F70" s="1267" t="s">
        <v>363</v>
      </c>
      <c r="G70" s="2178">
        <v>4800</v>
      </c>
      <c r="H70" s="1264">
        <f t="shared" si="2"/>
        <v>4800</v>
      </c>
      <c r="I70" s="1265">
        <v>1500</v>
      </c>
      <c r="J70" s="1264">
        <f t="shared" si="3"/>
        <v>1500</v>
      </c>
      <c r="K70" s="1265">
        <f t="shared" si="4"/>
        <v>6300</v>
      </c>
      <c r="L70" s="1434"/>
      <c r="M70" s="1214"/>
      <c r="N70" s="1214"/>
      <c r="O70" s="1214"/>
      <c r="P70" s="1214"/>
    </row>
    <row r="71" spans="1:17" s="1199" customFormat="1" ht="24" customHeight="1">
      <c r="A71" s="1331"/>
      <c r="B71" s="1259" t="s">
        <v>1440</v>
      </c>
      <c r="C71" s="1260"/>
      <c r="D71" s="1260"/>
      <c r="E71" s="1261">
        <v>1</v>
      </c>
      <c r="F71" s="1267" t="s">
        <v>363</v>
      </c>
      <c r="G71" s="2178">
        <v>2400</v>
      </c>
      <c r="H71" s="1264">
        <f t="shared" si="2"/>
        <v>2400</v>
      </c>
      <c r="I71" s="1265"/>
      <c r="J71" s="1264">
        <f t="shared" si="3"/>
        <v>0</v>
      </c>
      <c r="K71" s="1265">
        <f t="shared" si="4"/>
        <v>2400</v>
      </c>
      <c r="L71" s="1434"/>
      <c r="M71" s="1214"/>
      <c r="N71" s="1214"/>
      <c r="O71" s="1214"/>
      <c r="P71" s="1214"/>
    </row>
    <row r="72" spans="1:17" s="1199" customFormat="1" ht="24" customHeight="1">
      <c r="A72" s="1331"/>
      <c r="B72" s="1259" t="s">
        <v>1431</v>
      </c>
      <c r="C72" s="1260"/>
      <c r="D72" s="1260"/>
      <c r="E72" s="1261">
        <v>12</v>
      </c>
      <c r="F72" s="1267" t="s">
        <v>363</v>
      </c>
      <c r="G72" s="2178">
        <v>138</v>
      </c>
      <c r="H72" s="1264">
        <f t="shared" si="2"/>
        <v>1656</v>
      </c>
      <c r="I72" s="1265"/>
      <c r="J72" s="1264">
        <f t="shared" si="3"/>
        <v>0</v>
      </c>
      <c r="K72" s="1265">
        <f t="shared" si="4"/>
        <v>1656</v>
      </c>
      <c r="L72" s="1434"/>
      <c r="M72" s="1214"/>
      <c r="N72" s="1214"/>
      <c r="O72" s="1214"/>
      <c r="P72" s="1214"/>
    </row>
    <row r="73" spans="1:17" s="1199" customFormat="1" ht="24" customHeight="1">
      <c r="A73" s="1331"/>
      <c r="B73" s="1259" t="s">
        <v>1432</v>
      </c>
      <c r="C73" s="1260"/>
      <c r="D73" s="1260"/>
      <c r="E73" s="1261"/>
      <c r="F73" s="1267" t="s">
        <v>363</v>
      </c>
      <c r="G73" s="2178">
        <v>138</v>
      </c>
      <c r="H73" s="1264">
        <f t="shared" si="2"/>
        <v>0</v>
      </c>
      <c r="I73" s="1265"/>
      <c r="J73" s="1264">
        <f t="shared" si="3"/>
        <v>0</v>
      </c>
      <c r="K73" s="1265">
        <f t="shared" si="4"/>
        <v>0</v>
      </c>
      <c r="L73" s="1434"/>
      <c r="M73" s="1214"/>
      <c r="N73" s="1214"/>
      <c r="O73" s="1214"/>
      <c r="P73" s="1214"/>
    </row>
    <row r="74" spans="1:17" s="1199" customFormat="1" ht="24" customHeight="1">
      <c r="A74" s="1331"/>
      <c r="B74" s="1259" t="s">
        <v>1433</v>
      </c>
      <c r="C74" s="1260"/>
      <c r="D74" s="1260"/>
      <c r="E74" s="1261"/>
      <c r="F74" s="1267" t="s">
        <v>363</v>
      </c>
      <c r="G74" s="2178">
        <v>138</v>
      </c>
      <c r="H74" s="1264">
        <f t="shared" si="2"/>
        <v>0</v>
      </c>
      <c r="I74" s="1265"/>
      <c r="J74" s="1264">
        <f t="shared" si="3"/>
        <v>0</v>
      </c>
      <c r="K74" s="1265">
        <f t="shared" si="4"/>
        <v>0</v>
      </c>
      <c r="L74" s="1434"/>
      <c r="M74" s="1214"/>
      <c r="N74" s="1214"/>
      <c r="O74" s="1214"/>
      <c r="P74" s="1214"/>
    </row>
    <row r="75" spans="1:17" s="1199" customFormat="1" ht="24" customHeight="1">
      <c r="A75" s="1331"/>
      <c r="B75" s="1259" t="s">
        <v>1434</v>
      </c>
      <c r="C75" s="1260"/>
      <c r="D75" s="1260"/>
      <c r="E75" s="1261"/>
      <c r="F75" s="1267" t="s">
        <v>363</v>
      </c>
      <c r="G75" s="2178">
        <v>842</v>
      </c>
      <c r="H75" s="1264">
        <f t="shared" si="2"/>
        <v>0</v>
      </c>
      <c r="I75" s="1265"/>
      <c r="J75" s="1264">
        <f t="shared" si="3"/>
        <v>0</v>
      </c>
      <c r="K75" s="1265">
        <f t="shared" si="4"/>
        <v>0</v>
      </c>
      <c r="L75" s="1434"/>
      <c r="M75" s="1214"/>
      <c r="N75" s="1214"/>
      <c r="O75" s="1214"/>
      <c r="P75" s="1214"/>
    </row>
    <row r="76" spans="1:17" s="1199" customFormat="1" ht="24" customHeight="1">
      <c r="A76" s="1331"/>
      <c r="B76" s="1259" t="s">
        <v>1435</v>
      </c>
      <c r="C76" s="1260"/>
      <c r="D76" s="1260"/>
      <c r="E76" s="1261"/>
      <c r="F76" s="1267" t="s">
        <v>363</v>
      </c>
      <c r="G76" s="2178">
        <v>842</v>
      </c>
      <c r="H76" s="1264">
        <f t="shared" si="2"/>
        <v>0</v>
      </c>
      <c r="I76" s="1265"/>
      <c r="J76" s="1264">
        <f t="shared" si="3"/>
        <v>0</v>
      </c>
      <c r="K76" s="1265">
        <f t="shared" si="4"/>
        <v>0</v>
      </c>
      <c r="L76" s="1434"/>
      <c r="M76" s="1214"/>
      <c r="N76" s="1214"/>
      <c r="O76" s="1214"/>
      <c r="P76" s="1214"/>
    </row>
    <row r="77" spans="1:17" s="1199" customFormat="1" ht="24" customHeight="1">
      <c r="A77" s="1331"/>
      <c r="B77" s="1259" t="s">
        <v>1436</v>
      </c>
      <c r="C77" s="1260"/>
      <c r="D77" s="1260"/>
      <c r="E77" s="1261"/>
      <c r="F77" s="1267" t="s">
        <v>363</v>
      </c>
      <c r="G77" s="2178">
        <v>880</v>
      </c>
      <c r="H77" s="1264">
        <f t="shared" si="2"/>
        <v>0</v>
      </c>
      <c r="I77" s="1265"/>
      <c r="J77" s="1264">
        <f t="shared" si="3"/>
        <v>0</v>
      </c>
      <c r="K77" s="1265">
        <f t="shared" si="4"/>
        <v>0</v>
      </c>
      <c r="L77" s="1434"/>
      <c r="M77" s="1214"/>
      <c r="N77" s="1214"/>
      <c r="O77" s="1214"/>
      <c r="P77" s="1214"/>
    </row>
    <row r="78" spans="1:17" s="1199" customFormat="1" ht="24" customHeight="1">
      <c r="A78" s="1331"/>
      <c r="B78" s="1190" t="s">
        <v>1437</v>
      </c>
      <c r="C78" s="1275"/>
      <c r="D78" s="1275"/>
      <c r="E78" s="1276"/>
      <c r="F78" s="1194" t="s">
        <v>363</v>
      </c>
      <c r="G78" s="2175">
        <v>1288</v>
      </c>
      <c r="H78" s="1264">
        <f t="shared" si="2"/>
        <v>0</v>
      </c>
      <c r="I78" s="1265"/>
      <c r="J78" s="1264">
        <f t="shared" si="3"/>
        <v>0</v>
      </c>
      <c r="K78" s="1299">
        <f t="shared" si="4"/>
        <v>0</v>
      </c>
      <c r="L78" s="1366"/>
      <c r="M78" s="1214"/>
      <c r="N78" s="1214"/>
      <c r="O78" s="1214"/>
      <c r="P78" s="1214"/>
      <c r="Q78" s="1214"/>
    </row>
    <row r="79" spans="1:17" s="1199" customFormat="1" ht="24" customHeight="1">
      <c r="A79" s="1331"/>
      <c r="B79" s="1190" t="s">
        <v>1438</v>
      </c>
      <c r="C79" s="1275"/>
      <c r="D79" s="1275"/>
      <c r="E79" s="1276"/>
      <c r="F79" s="1194" t="s">
        <v>363</v>
      </c>
      <c r="G79" s="2175">
        <v>1288</v>
      </c>
      <c r="H79" s="1264">
        <f t="shared" si="2"/>
        <v>0</v>
      </c>
      <c r="I79" s="1265"/>
      <c r="J79" s="1264">
        <f t="shared" si="3"/>
        <v>0</v>
      </c>
      <c r="K79" s="1299">
        <f t="shared" si="4"/>
        <v>0</v>
      </c>
      <c r="L79" s="1366"/>
      <c r="M79" s="1214"/>
      <c r="N79" s="1214"/>
      <c r="O79" s="1214"/>
      <c r="P79" s="1214"/>
      <c r="Q79" s="1214"/>
    </row>
    <row r="80" spans="1:17" s="1199" customFormat="1" ht="24" customHeight="1">
      <c r="A80" s="1331"/>
      <c r="B80" s="1259" t="s">
        <v>1117</v>
      </c>
      <c r="C80" s="1260"/>
      <c r="D80" s="1260"/>
      <c r="E80" s="1261"/>
      <c r="F80" s="1262"/>
      <c r="G80" s="2178"/>
      <c r="H80" s="1264"/>
      <c r="I80" s="1265"/>
      <c r="J80" s="1264"/>
      <c r="K80" s="1265"/>
      <c r="L80" s="1434"/>
      <c r="M80" s="1214"/>
      <c r="N80" s="1214"/>
      <c r="O80" s="1214"/>
      <c r="P80" s="1214"/>
    </row>
    <row r="81" spans="1:16" s="1199" customFormat="1" ht="24" customHeight="1">
      <c r="A81" s="1331"/>
      <c r="B81" s="1259"/>
      <c r="C81" s="1260"/>
      <c r="D81" s="1260"/>
      <c r="E81" s="1261"/>
      <c r="F81" s="1262"/>
      <c r="G81" s="2178"/>
      <c r="H81" s="1264"/>
      <c r="I81" s="1265"/>
      <c r="J81" s="1264"/>
      <c r="K81" s="1265"/>
      <c r="L81" s="1434"/>
      <c r="M81" s="1214"/>
      <c r="N81" s="1214"/>
      <c r="O81" s="1214"/>
      <c r="P81" s="1214"/>
    </row>
    <row r="82" spans="1:16" s="1199" customFormat="1" ht="24" customHeight="1">
      <c r="A82" s="1243"/>
      <c r="B82" s="2257" t="str">
        <f>"รวมราคารายการที่ "&amp;A35</f>
        <v>รวมราคารายการที่ 3.1</v>
      </c>
      <c r="C82" s="2258"/>
      <c r="D82" s="2259"/>
      <c r="E82" s="1244"/>
      <c r="F82" s="1245"/>
      <c r="G82" s="1246"/>
      <c r="H82" s="1247">
        <f>SUM(H36:H81)</f>
        <v>52228</v>
      </c>
      <c r="I82" s="1246"/>
      <c r="J82" s="1247">
        <f t="shared" ref="J82:K82" si="5">SUM(J36:J81)</f>
        <v>5500</v>
      </c>
      <c r="K82" s="1247">
        <f t="shared" si="5"/>
        <v>57728</v>
      </c>
      <c r="L82" s="1245"/>
      <c r="M82" s="1214"/>
      <c r="N82" s="1214"/>
      <c r="O82" s="1214"/>
      <c r="P82" s="1214"/>
    </row>
    <row r="83" spans="1:16" s="1199" customFormat="1" ht="24" customHeight="1">
      <c r="A83" s="1435" t="s">
        <v>1119</v>
      </c>
      <c r="B83" s="1436" t="s">
        <v>1312</v>
      </c>
      <c r="C83" s="1437"/>
      <c r="D83" s="1275"/>
      <c r="E83" s="1276"/>
      <c r="F83" s="1358"/>
      <c r="G83" s="2175"/>
      <c r="H83" s="1264"/>
      <c r="I83" s="1265"/>
      <c r="J83" s="1264"/>
      <c r="K83" s="1273"/>
      <c r="L83" s="1273"/>
      <c r="M83" s="1214"/>
      <c r="N83" s="1214"/>
      <c r="O83" s="1214"/>
      <c r="P83" s="1214"/>
    </row>
    <row r="84" spans="1:16" s="1199" customFormat="1" ht="24" customHeight="1">
      <c r="A84" s="1406" t="s">
        <v>1121</v>
      </c>
      <c r="B84" s="2174" t="s">
        <v>1331</v>
      </c>
      <c r="C84" s="1202"/>
      <c r="D84" s="1202"/>
      <c r="E84" s="1404"/>
      <c r="F84" s="1384"/>
      <c r="G84" s="2176"/>
      <c r="H84" s="1264">
        <f t="shared" ref="H84:H89" si="6">ROUND(E84*G84,)</f>
        <v>0</v>
      </c>
      <c r="I84" s="2177"/>
      <c r="J84" s="1264">
        <f t="shared" ref="J84:J89" si="7">ROUND(E84*I84,)</f>
        <v>0</v>
      </c>
      <c r="K84" s="1385"/>
      <c r="L84" s="1385"/>
      <c r="M84" s="1214"/>
      <c r="N84" s="1214"/>
      <c r="O84" s="1214"/>
      <c r="P84" s="1214"/>
    </row>
    <row r="85" spans="1:16" s="1199" customFormat="1" ht="24" customHeight="1">
      <c r="A85" s="1331"/>
      <c r="B85" s="2174" t="s">
        <v>1443</v>
      </c>
      <c r="C85" s="1202"/>
      <c r="D85" s="1202"/>
      <c r="E85" s="1270"/>
      <c r="F85" s="1358" t="s">
        <v>226</v>
      </c>
      <c r="G85" s="2176">
        <v>41</v>
      </c>
      <c r="H85" s="1264">
        <f t="shared" si="6"/>
        <v>0</v>
      </c>
      <c r="I85" s="2177">
        <v>12</v>
      </c>
      <c r="J85" s="1264">
        <f t="shared" si="7"/>
        <v>0</v>
      </c>
      <c r="K85" s="1273">
        <f>H85+J85</f>
        <v>0</v>
      </c>
      <c r="L85" s="1385"/>
      <c r="M85" s="1214"/>
      <c r="N85" s="1214"/>
      <c r="O85" s="1214"/>
      <c r="P85" s="1214"/>
    </row>
    <row r="86" spans="1:16" s="1199" customFormat="1" ht="24" customHeight="1">
      <c r="A86" s="1406" t="s">
        <v>1123</v>
      </c>
      <c r="B86" s="2174" t="s">
        <v>1330</v>
      </c>
      <c r="C86" s="1202"/>
      <c r="D86" s="1202"/>
      <c r="E86" s="1438"/>
      <c r="F86" s="1384"/>
      <c r="G86" s="2176"/>
      <c r="H86" s="1264">
        <f t="shared" si="6"/>
        <v>0</v>
      </c>
      <c r="I86" s="2177"/>
      <c r="J86" s="1264">
        <f t="shared" si="7"/>
        <v>0</v>
      </c>
      <c r="K86" s="1385"/>
      <c r="L86" s="1385"/>
      <c r="M86" s="1214"/>
      <c r="N86" s="1214"/>
      <c r="O86" s="1214"/>
      <c r="P86" s="1214"/>
    </row>
    <row r="87" spans="1:16" s="1199" customFormat="1" ht="24" customHeight="1">
      <c r="A87" s="1331"/>
      <c r="B87" s="2174" t="s">
        <v>1443</v>
      </c>
      <c r="C87" s="1202"/>
      <c r="D87" s="1202"/>
      <c r="E87" s="1270">
        <v>26500</v>
      </c>
      <c r="F87" s="1358" t="s">
        <v>226</v>
      </c>
      <c r="G87" s="2176">
        <v>24</v>
      </c>
      <c r="H87" s="1264">
        <f t="shared" si="6"/>
        <v>636000</v>
      </c>
      <c r="I87" s="2177">
        <v>12</v>
      </c>
      <c r="J87" s="1264">
        <f t="shared" si="7"/>
        <v>318000</v>
      </c>
      <c r="K87" s="1273">
        <f>H87+J87</f>
        <v>954000</v>
      </c>
      <c r="L87" s="1385"/>
      <c r="M87" s="1214"/>
      <c r="N87" s="1214"/>
      <c r="O87" s="1649"/>
      <c r="P87" s="1649"/>
    </row>
    <row r="88" spans="1:16" s="1199" customFormat="1" ht="24" customHeight="1">
      <c r="A88" s="1331"/>
      <c r="B88" s="2174" t="s">
        <v>1316</v>
      </c>
      <c r="C88" s="1202"/>
      <c r="D88" s="1202"/>
      <c r="E88" s="1270">
        <v>7400</v>
      </c>
      <c r="F88" s="1358" t="s">
        <v>226</v>
      </c>
      <c r="G88" s="2176">
        <v>31</v>
      </c>
      <c r="H88" s="1264">
        <f t="shared" si="6"/>
        <v>229400</v>
      </c>
      <c r="I88" s="2177">
        <v>14</v>
      </c>
      <c r="J88" s="1264">
        <f t="shared" si="7"/>
        <v>103600</v>
      </c>
      <c r="K88" s="1273">
        <f>H88+J88</f>
        <v>333000</v>
      </c>
      <c r="L88" s="1385"/>
      <c r="M88" s="1214"/>
      <c r="N88" s="1214"/>
      <c r="O88" s="1649"/>
      <c r="P88" s="1214"/>
    </row>
    <row r="89" spans="1:16" s="1199" customFormat="1" ht="24" customHeight="1">
      <c r="A89" s="1406"/>
      <c r="B89" s="2174" t="s">
        <v>1444</v>
      </c>
      <c r="C89" s="1202"/>
      <c r="D89" s="1202"/>
      <c r="E89" s="1439">
        <v>1</v>
      </c>
      <c r="F89" s="1358" t="s">
        <v>1104</v>
      </c>
      <c r="G89" s="2176">
        <f>ROUND(SUM(H85:H88)*0.05,)</f>
        <v>43270</v>
      </c>
      <c r="H89" s="1264">
        <f t="shared" si="6"/>
        <v>43270</v>
      </c>
      <c r="I89" s="2177">
        <f>ROUND(G89*0.3,)</f>
        <v>12981</v>
      </c>
      <c r="J89" s="1264">
        <f t="shared" si="7"/>
        <v>12981</v>
      </c>
      <c r="K89" s="1273">
        <f>H89+J89</f>
        <v>56251</v>
      </c>
      <c r="L89" s="1385"/>
      <c r="M89" s="1214"/>
      <c r="N89" s="1214"/>
      <c r="O89" s="1649"/>
      <c r="P89" s="1649"/>
    </row>
    <row r="90" spans="1:16" s="1199" customFormat="1" ht="24" customHeight="1">
      <c r="A90" s="1331"/>
      <c r="B90" s="2174" t="s">
        <v>1117</v>
      </c>
      <c r="C90" s="1202"/>
      <c r="D90" s="1202"/>
      <c r="E90" s="1387"/>
      <c r="F90" s="1384"/>
      <c r="G90" s="2176"/>
      <c r="H90" s="1388"/>
      <c r="I90" s="2177"/>
      <c r="J90" s="1385"/>
      <c r="K90" s="1385"/>
      <c r="L90" s="1385"/>
      <c r="M90" s="1214"/>
      <c r="N90" s="1214"/>
      <c r="O90" s="1214"/>
      <c r="P90" s="1214"/>
    </row>
    <row r="91" spans="1:16" s="1199" customFormat="1" ht="24" customHeight="1">
      <c r="A91" s="1331"/>
      <c r="B91" s="2174" t="s">
        <v>1118</v>
      </c>
      <c r="C91" s="1202"/>
      <c r="D91" s="1202"/>
      <c r="E91" s="1387"/>
      <c r="F91" s="1384"/>
      <c r="G91" s="2176"/>
      <c r="H91" s="1388"/>
      <c r="I91" s="2177"/>
      <c r="J91" s="1385"/>
      <c r="K91" s="1385"/>
      <c r="L91" s="1385"/>
      <c r="M91" s="1214"/>
      <c r="N91" s="1214"/>
      <c r="O91" s="1214"/>
      <c r="P91" s="1214"/>
    </row>
    <row r="92" spans="1:16" s="1199" customFormat="1" ht="24" customHeight="1">
      <c r="A92" s="1331"/>
      <c r="B92" s="2174" t="s">
        <v>1118</v>
      </c>
      <c r="C92" s="1202"/>
      <c r="D92" s="1202"/>
      <c r="E92" s="1387"/>
      <c r="F92" s="1384"/>
      <c r="G92" s="2176"/>
      <c r="H92" s="1388"/>
      <c r="I92" s="2177"/>
      <c r="J92" s="1385"/>
      <c r="K92" s="1385"/>
      <c r="L92" s="1385"/>
      <c r="M92" s="1214"/>
      <c r="N92" s="1214"/>
      <c r="O92" s="1214"/>
      <c r="P92" s="1214"/>
    </row>
    <row r="93" spans="1:16" s="1199" customFormat="1" ht="24" customHeight="1">
      <c r="A93" s="1243"/>
      <c r="B93" s="2257" t="str">
        <f>"รวมราคารายการที่ "&amp;A83</f>
        <v>รวมราคารายการที่ 3.2</v>
      </c>
      <c r="C93" s="2258"/>
      <c r="D93" s="2259"/>
      <c r="E93" s="1244"/>
      <c r="F93" s="1245"/>
      <c r="G93" s="1246"/>
      <c r="H93" s="1247">
        <f>SUM(H83:H92)</f>
        <v>908670</v>
      </c>
      <c r="I93" s="1246"/>
      <c r="J93" s="1247">
        <f t="shared" ref="J93:K93" si="8">SUM(J83:J92)</f>
        <v>434581</v>
      </c>
      <c r="K93" s="1247">
        <f t="shared" si="8"/>
        <v>1343251</v>
      </c>
      <c r="L93" s="1245"/>
      <c r="M93" s="1214"/>
      <c r="N93" s="1214"/>
      <c r="O93" s="1214"/>
      <c r="P93" s="1214"/>
    </row>
    <row r="94" spans="1:16" s="1199" customFormat="1" ht="24" customHeight="1">
      <c r="A94" s="1435" t="s">
        <v>1445</v>
      </c>
      <c r="B94" s="1436" t="s">
        <v>1333</v>
      </c>
      <c r="C94" s="1202"/>
      <c r="D94" s="1202"/>
      <c r="E94" s="1387"/>
      <c r="F94" s="1384"/>
      <c r="G94" s="2176"/>
      <c r="H94" s="1388"/>
      <c r="I94" s="2177"/>
      <c r="J94" s="1385"/>
      <c r="K94" s="1385"/>
      <c r="L94" s="1385"/>
      <c r="M94" s="1214"/>
      <c r="N94" s="1214"/>
      <c r="O94" s="1214"/>
      <c r="P94" s="1214"/>
    </row>
    <row r="95" spans="1:16" s="1199" customFormat="1" ht="24" customHeight="1">
      <c r="A95" s="1331" t="s">
        <v>1128</v>
      </c>
      <c r="B95" s="2174" t="s">
        <v>1446</v>
      </c>
      <c r="C95" s="1202"/>
      <c r="D95" s="1202"/>
      <c r="E95" s="1404"/>
      <c r="F95" s="1384"/>
      <c r="G95" s="2176"/>
      <c r="H95" s="1264">
        <f t="shared" ref="H95:H104" si="9">ROUND(E95*G95,)</f>
        <v>0</v>
      </c>
      <c r="I95" s="2177"/>
      <c r="J95" s="1264">
        <f t="shared" ref="J95:J104" si="10">ROUND(E95*I95,)</f>
        <v>0</v>
      </c>
      <c r="K95" s="1385"/>
      <c r="L95" s="1385"/>
      <c r="M95" s="1214"/>
      <c r="N95" s="1214"/>
      <c r="O95" s="1214"/>
      <c r="P95" s="1214"/>
    </row>
    <row r="96" spans="1:16" s="1199" customFormat="1" ht="24" customHeight="1">
      <c r="A96" s="1331"/>
      <c r="B96" s="2174" t="s">
        <v>1350</v>
      </c>
      <c r="C96" s="1202"/>
      <c r="D96" s="1202"/>
      <c r="E96" s="1404"/>
      <c r="F96" s="1358" t="s">
        <v>226</v>
      </c>
      <c r="G96" s="2176">
        <v>27</v>
      </c>
      <c r="H96" s="1264">
        <f t="shared" si="9"/>
        <v>0</v>
      </c>
      <c r="I96" s="2177">
        <v>22</v>
      </c>
      <c r="J96" s="1264">
        <f t="shared" si="10"/>
        <v>0</v>
      </c>
      <c r="K96" s="1273">
        <f>H96+J96</f>
        <v>0</v>
      </c>
      <c r="L96" s="2001" t="s">
        <v>2667</v>
      </c>
      <c r="M96" s="1214"/>
      <c r="P96" s="1214"/>
    </row>
    <row r="97" spans="1:16" s="1199" customFormat="1" ht="24" customHeight="1">
      <c r="A97" s="1331"/>
      <c r="B97" s="2174" t="s">
        <v>1108</v>
      </c>
      <c r="C97" s="1202"/>
      <c r="D97" s="1202"/>
      <c r="E97" s="1404">
        <v>1</v>
      </c>
      <c r="F97" s="1384" t="s">
        <v>1104</v>
      </c>
      <c r="G97" s="2176">
        <f>SUM(H96:H96)*15%</f>
        <v>0</v>
      </c>
      <c r="H97" s="1264">
        <f t="shared" si="9"/>
        <v>0</v>
      </c>
      <c r="I97" s="2177">
        <f>G97*0.3</f>
        <v>0</v>
      </c>
      <c r="J97" s="1264">
        <f t="shared" si="10"/>
        <v>0</v>
      </c>
      <c r="K97" s="1273">
        <f>H97+J97</f>
        <v>0</v>
      </c>
      <c r="L97" s="1385"/>
      <c r="M97" s="1214"/>
      <c r="N97" s="1214"/>
      <c r="O97" s="1214"/>
      <c r="P97" s="1214"/>
    </row>
    <row r="98" spans="1:16" s="1199" customFormat="1" ht="24" customHeight="1">
      <c r="A98" s="1331" t="s">
        <v>1447</v>
      </c>
      <c r="B98" s="2174" t="s">
        <v>1110</v>
      </c>
      <c r="C98" s="1202"/>
      <c r="D98" s="1202"/>
      <c r="E98" s="1404"/>
      <c r="F98" s="1384"/>
      <c r="G98" s="2176"/>
      <c r="H98" s="1264">
        <f t="shared" si="9"/>
        <v>0</v>
      </c>
      <c r="I98" s="2177"/>
      <c r="J98" s="1264">
        <f t="shared" si="10"/>
        <v>0</v>
      </c>
      <c r="K98" s="1385"/>
      <c r="L98" s="1385"/>
      <c r="M98" s="1214"/>
      <c r="N98" s="1214"/>
      <c r="O98" s="1214"/>
      <c r="P98" s="1214"/>
    </row>
    <row r="99" spans="1:16" s="1199" customFormat="1" ht="24" customHeight="1">
      <c r="A99" s="1331"/>
      <c r="B99" s="2174" t="s">
        <v>1350</v>
      </c>
      <c r="C99" s="1202"/>
      <c r="D99" s="1202"/>
      <c r="E99" s="1404"/>
      <c r="F99" s="1358" t="s">
        <v>226</v>
      </c>
      <c r="G99" s="2176">
        <v>56</v>
      </c>
      <c r="H99" s="1264">
        <f t="shared" si="9"/>
        <v>0</v>
      </c>
      <c r="I99" s="2177">
        <v>26</v>
      </c>
      <c r="J99" s="1264">
        <f t="shared" si="10"/>
        <v>0</v>
      </c>
      <c r="K99" s="1273">
        <f>H99+J99</f>
        <v>0</v>
      </c>
      <c r="L99" s="2001" t="s">
        <v>2667</v>
      </c>
      <c r="M99" s="1214"/>
      <c r="N99" s="1363"/>
      <c r="P99" s="1214"/>
    </row>
    <row r="100" spans="1:16" s="1199" customFormat="1" ht="24" customHeight="1">
      <c r="A100" s="1331"/>
      <c r="B100" s="2174" t="s">
        <v>1448</v>
      </c>
      <c r="C100" s="1202"/>
      <c r="D100" s="1202"/>
      <c r="E100" s="1404">
        <v>11300</v>
      </c>
      <c r="F100" s="1358" t="s">
        <v>226</v>
      </c>
      <c r="G100" s="2176">
        <v>75</v>
      </c>
      <c r="H100" s="1264">
        <f t="shared" si="9"/>
        <v>847500</v>
      </c>
      <c r="I100" s="2177">
        <v>29</v>
      </c>
      <c r="J100" s="1264">
        <f t="shared" si="10"/>
        <v>327700</v>
      </c>
      <c r="K100" s="1273">
        <f>H100+J100</f>
        <v>1175200</v>
      </c>
      <c r="L100" s="2001" t="s">
        <v>2667</v>
      </c>
      <c r="M100" s="1214"/>
      <c r="N100" s="1649"/>
      <c r="O100" s="1649"/>
      <c r="P100" s="1214"/>
    </row>
    <row r="101" spans="1:16" s="1199" customFormat="1" ht="24" customHeight="1">
      <c r="A101" s="1331"/>
      <c r="B101" s="2174" t="s">
        <v>1337</v>
      </c>
      <c r="C101" s="1202"/>
      <c r="D101" s="1202"/>
      <c r="E101" s="1404"/>
      <c r="F101" s="1358" t="s">
        <v>226</v>
      </c>
      <c r="G101" s="2176">
        <v>101</v>
      </c>
      <c r="H101" s="1264">
        <f t="shared" si="9"/>
        <v>0</v>
      </c>
      <c r="I101" s="2177">
        <v>32</v>
      </c>
      <c r="J101" s="1264">
        <f t="shared" si="10"/>
        <v>0</v>
      </c>
      <c r="K101" s="1273">
        <f>H101+J101</f>
        <v>0</v>
      </c>
      <c r="L101" s="2001" t="s">
        <v>2667</v>
      </c>
      <c r="M101" s="1214"/>
      <c r="N101" s="1214"/>
      <c r="O101" s="1363"/>
      <c r="P101" s="1363"/>
    </row>
    <row r="102" spans="1:16" s="1199" customFormat="1" ht="24" customHeight="1">
      <c r="A102" s="1331"/>
      <c r="B102" s="2174" t="s">
        <v>1108</v>
      </c>
      <c r="C102" s="1202"/>
      <c r="D102" s="1202"/>
      <c r="E102" s="1404">
        <v>1</v>
      </c>
      <c r="F102" s="1384" t="s">
        <v>1104</v>
      </c>
      <c r="G102" s="2176">
        <f>ROUND(SUM(H99:H101)*15%,)</f>
        <v>127125</v>
      </c>
      <c r="H102" s="1264">
        <f t="shared" si="9"/>
        <v>127125</v>
      </c>
      <c r="I102" s="2177">
        <f>ROUND(G102*0.3,)</f>
        <v>38138</v>
      </c>
      <c r="J102" s="1264">
        <f t="shared" si="10"/>
        <v>38138</v>
      </c>
      <c r="K102" s="1273">
        <f>H102+J102</f>
        <v>165263</v>
      </c>
      <c r="L102" s="2000"/>
      <c r="P102" s="1214"/>
    </row>
    <row r="103" spans="1:16" s="1199" customFormat="1" ht="24" customHeight="1">
      <c r="A103" s="1331" t="s">
        <v>1133</v>
      </c>
      <c r="B103" s="2174" t="s">
        <v>1449</v>
      </c>
      <c r="C103" s="1202"/>
      <c r="D103" s="1202"/>
      <c r="E103" s="1404"/>
      <c r="F103" s="1384"/>
      <c r="G103" s="2176"/>
      <c r="H103" s="1264">
        <f t="shared" si="9"/>
        <v>0</v>
      </c>
      <c r="I103" s="2177"/>
      <c r="J103" s="1264">
        <f t="shared" si="10"/>
        <v>0</v>
      </c>
      <c r="K103" s="1385"/>
      <c r="L103" s="1385"/>
      <c r="M103" s="1214"/>
      <c r="N103" s="1214"/>
      <c r="O103" s="1214"/>
      <c r="P103" s="1214"/>
    </row>
    <row r="104" spans="1:16" s="1199" customFormat="1" ht="24" customHeight="1">
      <c r="A104" s="1331"/>
      <c r="B104" s="2174" t="s">
        <v>1350</v>
      </c>
      <c r="C104" s="1202"/>
      <c r="D104" s="1202"/>
      <c r="E104" s="1404">
        <v>500</v>
      </c>
      <c r="F104" s="1358" t="s">
        <v>226</v>
      </c>
      <c r="G104" s="2176">
        <v>14</v>
      </c>
      <c r="H104" s="1264">
        <f t="shared" si="9"/>
        <v>7000</v>
      </c>
      <c r="I104" s="2177">
        <v>11</v>
      </c>
      <c r="J104" s="1264">
        <f t="shared" si="10"/>
        <v>5500</v>
      </c>
      <c r="K104" s="1273">
        <f>H104+J104</f>
        <v>12500</v>
      </c>
      <c r="L104" s="1385"/>
      <c r="M104" s="1214"/>
      <c r="N104" s="1214"/>
      <c r="O104" s="1214"/>
      <c r="P104" s="1214"/>
    </row>
    <row r="105" spans="1:16" s="1199" customFormat="1" ht="24" customHeight="1">
      <c r="A105" s="1331"/>
      <c r="B105" s="2174" t="s">
        <v>1117</v>
      </c>
      <c r="C105" s="1202"/>
      <c r="D105" s="1202"/>
      <c r="E105" s="1387"/>
      <c r="F105" s="1384"/>
      <c r="G105" s="2176"/>
      <c r="H105" s="1388"/>
      <c r="I105" s="2177"/>
      <c r="J105" s="1385"/>
      <c r="K105" s="1385"/>
      <c r="L105" s="1385"/>
      <c r="M105" s="1214"/>
      <c r="N105" s="1214"/>
      <c r="O105" s="1214"/>
      <c r="P105" s="1214"/>
    </row>
    <row r="106" spans="1:16" s="1199" customFormat="1" ht="24" customHeight="1">
      <c r="A106" s="1243"/>
      <c r="B106" s="2257" t="str">
        <f>"รวมราคารายการที่ "&amp;A94</f>
        <v>รวมราคารายการที่ 3.3</v>
      </c>
      <c r="C106" s="2258"/>
      <c r="D106" s="2259"/>
      <c r="E106" s="1244"/>
      <c r="F106" s="1245"/>
      <c r="G106" s="1246"/>
      <c r="H106" s="1247">
        <f>SUM(H95:H105)</f>
        <v>981625</v>
      </c>
      <c r="I106" s="1246"/>
      <c r="J106" s="1247">
        <f t="shared" ref="J106:K106" si="11">SUM(J95:J105)</f>
        <v>371338</v>
      </c>
      <c r="K106" s="1247">
        <f t="shared" si="11"/>
        <v>1352963</v>
      </c>
      <c r="L106" s="1245"/>
      <c r="M106" s="1214"/>
      <c r="N106" s="1214"/>
      <c r="O106" s="1214"/>
      <c r="P106" s="1214"/>
    </row>
    <row r="107" spans="1:16" s="1199" customFormat="1" ht="24" customHeight="1">
      <c r="A107" s="1435" t="s">
        <v>1450</v>
      </c>
      <c r="B107" s="1436" t="s">
        <v>1451</v>
      </c>
      <c r="C107" s="1202"/>
      <c r="D107" s="1202"/>
      <c r="E107" s="1387"/>
      <c r="F107" s="1384"/>
      <c r="G107" s="2176"/>
      <c r="H107" s="1388"/>
      <c r="I107" s="2177"/>
      <c r="J107" s="1385"/>
      <c r="K107" s="1385"/>
      <c r="L107" s="1385"/>
      <c r="M107" s="1214"/>
      <c r="N107" s="1214"/>
      <c r="O107" s="1214"/>
      <c r="P107" s="1214"/>
    </row>
    <row r="108" spans="1:16" s="1199" customFormat="1" ht="24" customHeight="1">
      <c r="A108" s="1331" t="s">
        <v>1135</v>
      </c>
      <c r="B108" s="2174" t="s">
        <v>1451</v>
      </c>
      <c r="C108" s="1202"/>
      <c r="D108" s="1202"/>
      <c r="E108" s="1404"/>
      <c r="F108" s="1384"/>
      <c r="G108" s="2176"/>
      <c r="H108" s="1388"/>
      <c r="I108" s="2177"/>
      <c r="J108" s="1385"/>
      <c r="K108" s="1385"/>
      <c r="L108" s="1385"/>
      <c r="M108" s="1214"/>
      <c r="N108" s="1214"/>
      <c r="O108" s="1214"/>
      <c r="P108" s="1214"/>
    </row>
    <row r="109" spans="1:16" s="1199" customFormat="1" ht="24" customHeight="1">
      <c r="A109" s="1331"/>
      <c r="B109" s="2174" t="s">
        <v>1452</v>
      </c>
      <c r="C109" s="1202"/>
      <c r="D109" s="1202"/>
      <c r="E109" s="1404">
        <v>14</v>
      </c>
      <c r="F109" s="1207" t="s">
        <v>363</v>
      </c>
      <c r="G109" s="2176">
        <v>90</v>
      </c>
      <c r="H109" s="1264">
        <f t="shared" ref="H109:H116" si="12">ROUND(E109*G109,)</f>
        <v>1260</v>
      </c>
      <c r="I109" s="2177">
        <v>80</v>
      </c>
      <c r="J109" s="1264">
        <f t="shared" ref="J109:J116" si="13">ROUND(E109*I109,)</f>
        <v>1120</v>
      </c>
      <c r="K109" s="1273">
        <f t="shared" ref="K109:K116" si="14">H109+J109</f>
        <v>2380</v>
      </c>
      <c r="L109" s="1389"/>
      <c r="M109" s="1214"/>
      <c r="N109" s="1214"/>
      <c r="O109" s="1214"/>
    </row>
    <row r="110" spans="1:16" s="1199" customFormat="1" ht="24" customHeight="1">
      <c r="A110" s="1331"/>
      <c r="B110" s="2174" t="s">
        <v>1453</v>
      </c>
      <c r="C110" s="1202"/>
      <c r="D110" s="1202"/>
      <c r="E110" s="1387"/>
      <c r="F110" s="1207" t="s">
        <v>363</v>
      </c>
      <c r="G110" s="2176">
        <v>130</v>
      </c>
      <c r="H110" s="1264">
        <f t="shared" si="12"/>
        <v>0</v>
      </c>
      <c r="I110" s="2177">
        <v>90</v>
      </c>
      <c r="J110" s="1264">
        <f t="shared" si="13"/>
        <v>0</v>
      </c>
      <c r="K110" s="1273">
        <f t="shared" si="14"/>
        <v>0</v>
      </c>
      <c r="L110" s="1389"/>
      <c r="M110" s="1214"/>
      <c r="N110" s="1214"/>
      <c r="O110" s="1214"/>
    </row>
    <row r="111" spans="1:16" s="1199" customFormat="1" ht="24" customHeight="1">
      <c r="A111" s="1331"/>
      <c r="B111" s="2174" t="s">
        <v>1454</v>
      </c>
      <c r="C111" s="1202"/>
      <c r="D111" s="1202"/>
      <c r="E111" s="1387"/>
      <c r="F111" s="1207" t="s">
        <v>363</v>
      </c>
      <c r="G111" s="2176">
        <v>240</v>
      </c>
      <c r="H111" s="1264">
        <f t="shared" si="12"/>
        <v>0</v>
      </c>
      <c r="I111" s="2177">
        <v>90</v>
      </c>
      <c r="J111" s="1264">
        <f t="shared" si="13"/>
        <v>0</v>
      </c>
      <c r="K111" s="1273">
        <f t="shared" si="14"/>
        <v>0</v>
      </c>
      <c r="L111" s="1389"/>
      <c r="M111" s="1214"/>
      <c r="N111" s="1214"/>
      <c r="O111" s="1214"/>
    </row>
    <row r="112" spans="1:16" s="1199" customFormat="1" ht="24" customHeight="1">
      <c r="A112" s="1331"/>
      <c r="B112" s="2174" t="s">
        <v>1455</v>
      </c>
      <c r="C112" s="1202"/>
      <c r="D112" s="1202"/>
      <c r="E112" s="1387"/>
      <c r="F112" s="1207" t="s">
        <v>363</v>
      </c>
      <c r="G112" s="2176">
        <v>162</v>
      </c>
      <c r="H112" s="1264">
        <f t="shared" si="12"/>
        <v>0</v>
      </c>
      <c r="I112" s="2177">
        <v>90</v>
      </c>
      <c r="J112" s="1264">
        <f t="shared" si="13"/>
        <v>0</v>
      </c>
      <c r="K112" s="1273">
        <f t="shared" si="14"/>
        <v>0</v>
      </c>
      <c r="L112" s="1389"/>
      <c r="M112" s="1214"/>
      <c r="N112" s="1214"/>
      <c r="O112" s="1214"/>
    </row>
    <row r="113" spans="1:16" s="1199" customFormat="1" ht="24" customHeight="1">
      <c r="A113" s="1331"/>
      <c r="B113" s="2174" t="s">
        <v>1456</v>
      </c>
      <c r="C113" s="1202"/>
      <c r="D113" s="1202"/>
      <c r="E113" s="1404">
        <v>16</v>
      </c>
      <c r="F113" s="1207" t="s">
        <v>363</v>
      </c>
      <c r="G113" s="2176">
        <v>197</v>
      </c>
      <c r="H113" s="1264">
        <f t="shared" si="12"/>
        <v>3152</v>
      </c>
      <c r="I113" s="2177">
        <v>90</v>
      </c>
      <c r="J113" s="1264">
        <f t="shared" si="13"/>
        <v>1440</v>
      </c>
      <c r="K113" s="1273">
        <f t="shared" si="14"/>
        <v>4592</v>
      </c>
      <c r="L113" s="1389"/>
      <c r="M113" s="1214"/>
      <c r="N113" s="1214"/>
      <c r="O113" s="1214"/>
    </row>
    <row r="114" spans="1:16" s="1199" customFormat="1" ht="24" customHeight="1">
      <c r="A114" s="1331"/>
      <c r="B114" s="2174" t="s">
        <v>1457</v>
      </c>
      <c r="C114" s="1202"/>
      <c r="D114" s="1202"/>
      <c r="E114" s="1387"/>
      <c r="F114" s="1207" t="s">
        <v>363</v>
      </c>
      <c r="G114" s="2176">
        <v>1500</v>
      </c>
      <c r="H114" s="1264">
        <f t="shared" si="12"/>
        <v>0</v>
      </c>
      <c r="I114" s="2177">
        <v>265</v>
      </c>
      <c r="J114" s="1264">
        <f t="shared" si="13"/>
        <v>0</v>
      </c>
      <c r="K114" s="1385">
        <f t="shared" si="14"/>
        <v>0</v>
      </c>
      <c r="L114" s="1389"/>
      <c r="M114" s="1214"/>
      <c r="N114" s="1214"/>
      <c r="O114" s="1214"/>
    </row>
    <row r="115" spans="1:16" s="1199" customFormat="1" ht="24" customHeight="1">
      <c r="A115" s="1331"/>
      <c r="B115" s="2174" t="s">
        <v>1458</v>
      </c>
      <c r="C115" s="1202"/>
      <c r="D115" s="1202"/>
      <c r="E115" s="1387"/>
      <c r="F115" s="1207" t="s">
        <v>363</v>
      </c>
      <c r="G115" s="2176">
        <v>518</v>
      </c>
      <c r="H115" s="1264">
        <f t="shared" si="12"/>
        <v>0</v>
      </c>
      <c r="I115" s="2177">
        <v>115</v>
      </c>
      <c r="J115" s="1264">
        <f t="shared" si="13"/>
        <v>0</v>
      </c>
      <c r="K115" s="1273">
        <f t="shared" si="14"/>
        <v>0</v>
      </c>
      <c r="L115" s="1389"/>
      <c r="M115" s="1214"/>
      <c r="N115" s="1214"/>
      <c r="O115" s="1214"/>
    </row>
    <row r="116" spans="1:16" s="1199" customFormat="1" ht="24" customHeight="1">
      <c r="A116" s="1331"/>
      <c r="B116" s="2174" t="s">
        <v>1459</v>
      </c>
      <c r="C116" s="1202"/>
      <c r="D116" s="1202"/>
      <c r="E116" s="1387"/>
      <c r="F116" s="1207" t="s">
        <v>363</v>
      </c>
      <c r="G116" s="2176">
        <v>850</v>
      </c>
      <c r="H116" s="1264">
        <f t="shared" si="12"/>
        <v>0</v>
      </c>
      <c r="I116" s="2177">
        <v>265</v>
      </c>
      <c r="J116" s="1264">
        <f t="shared" si="13"/>
        <v>0</v>
      </c>
      <c r="K116" s="1273">
        <f t="shared" si="14"/>
        <v>0</v>
      </c>
      <c r="L116" s="1389"/>
      <c r="M116" s="1214"/>
      <c r="N116" s="1214"/>
      <c r="O116" s="1214"/>
    </row>
    <row r="117" spans="1:16" s="1199" customFormat="1" ht="24" customHeight="1">
      <c r="A117" s="1331" t="s">
        <v>1158</v>
      </c>
      <c r="B117" s="2174" t="s">
        <v>1460</v>
      </c>
      <c r="C117" s="1202"/>
      <c r="D117" s="1202"/>
      <c r="E117" s="1404">
        <v>12</v>
      </c>
      <c r="F117" s="1207" t="s">
        <v>363</v>
      </c>
      <c r="G117" s="2176">
        <v>130</v>
      </c>
      <c r="H117" s="1264">
        <f>ROUND(E117*G117,)</f>
        <v>1560</v>
      </c>
      <c r="I117" s="2177">
        <v>90</v>
      </c>
      <c r="J117" s="1264">
        <f>ROUND(E117*I117,)</f>
        <v>1080</v>
      </c>
      <c r="K117" s="1273">
        <f>H117+J117</f>
        <v>2640</v>
      </c>
      <c r="L117" s="1385"/>
      <c r="M117" s="1214"/>
      <c r="N117" s="1214"/>
      <c r="O117" s="1214"/>
      <c r="P117" s="1214"/>
    </row>
    <row r="118" spans="1:16" s="1199" customFormat="1" ht="24" customHeight="1">
      <c r="A118" s="1331"/>
      <c r="B118" s="2174" t="s">
        <v>1117</v>
      </c>
      <c r="C118" s="1202"/>
      <c r="D118" s="1202"/>
      <c r="E118" s="1387"/>
      <c r="F118" s="1384"/>
      <c r="G118" s="2176"/>
      <c r="H118" s="1388"/>
      <c r="I118" s="2177"/>
      <c r="J118" s="1385"/>
      <c r="K118" s="1385"/>
      <c r="L118" s="1385"/>
      <c r="M118" s="1214"/>
      <c r="N118" s="1214"/>
      <c r="O118" s="1214"/>
      <c r="P118" s="1214"/>
    </row>
    <row r="119" spans="1:16" s="1199" customFormat="1" ht="24" customHeight="1">
      <c r="A119" s="1331"/>
      <c r="B119" s="2174" t="s">
        <v>1118</v>
      </c>
      <c r="C119" s="1202"/>
      <c r="D119" s="1202"/>
      <c r="E119" s="1387"/>
      <c r="F119" s="1384"/>
      <c r="G119" s="2176"/>
      <c r="H119" s="1388"/>
      <c r="I119" s="2177"/>
      <c r="J119" s="1385"/>
      <c r="K119" s="1385"/>
      <c r="L119" s="1385"/>
      <c r="M119" s="1214"/>
      <c r="N119" s="1214"/>
      <c r="O119" s="1214"/>
      <c r="P119" s="1214"/>
    </row>
    <row r="120" spans="1:16" s="1199" customFormat="1" ht="24" customHeight="1">
      <c r="A120" s="1331"/>
      <c r="B120" s="2174" t="s">
        <v>1118</v>
      </c>
      <c r="C120" s="1202"/>
      <c r="D120" s="1202"/>
      <c r="E120" s="1387"/>
      <c r="F120" s="1384"/>
      <c r="G120" s="2176"/>
      <c r="H120" s="1388"/>
      <c r="I120" s="2177"/>
      <c r="J120" s="1385"/>
      <c r="K120" s="1385"/>
      <c r="L120" s="1385"/>
      <c r="M120" s="1214"/>
      <c r="N120" s="1214"/>
      <c r="O120" s="1214"/>
      <c r="P120" s="1214"/>
    </row>
    <row r="121" spans="1:16" s="1199" customFormat="1" ht="24" customHeight="1">
      <c r="A121" s="1440"/>
      <c r="B121" s="1441"/>
      <c r="C121" s="1442"/>
      <c r="D121" s="1442"/>
      <c r="E121" s="1443"/>
      <c r="F121" s="1444"/>
      <c r="G121" s="1445"/>
      <c r="H121" s="1446"/>
      <c r="I121" s="1447"/>
      <c r="J121" s="1448"/>
      <c r="K121" s="1448"/>
      <c r="L121" s="1448"/>
      <c r="M121" s="1214"/>
      <c r="N121" s="1214"/>
      <c r="O121" s="1214"/>
      <c r="P121" s="1214"/>
    </row>
    <row r="122" spans="1:16" s="1199" customFormat="1" ht="24" customHeight="1">
      <c r="A122" s="1243"/>
      <c r="B122" s="2257" t="str">
        <f>"รวมราคารายการที่ "&amp;A107</f>
        <v>รวมราคารายการที่ 3.4</v>
      </c>
      <c r="C122" s="2258"/>
      <c r="D122" s="2259"/>
      <c r="E122" s="1244"/>
      <c r="F122" s="1245"/>
      <c r="G122" s="1246"/>
      <c r="H122" s="1247">
        <f>SUM(H108:H119)</f>
        <v>5972</v>
      </c>
      <c r="I122" s="1246"/>
      <c r="J122" s="1247">
        <f t="shared" ref="J122:K122" si="15">SUM(J108:J119)</f>
        <v>3640</v>
      </c>
      <c r="K122" s="1247">
        <f t="shared" si="15"/>
        <v>9612</v>
      </c>
      <c r="L122" s="1245"/>
      <c r="M122" s="1214"/>
      <c r="N122" s="1214"/>
      <c r="O122" s="1214"/>
      <c r="P122" s="1214"/>
    </row>
    <row r="123" spans="1:16" s="1199" customFormat="1" ht="24" customHeight="1">
      <c r="A123" s="1449" t="s">
        <v>1461</v>
      </c>
      <c r="B123" s="1450" t="s">
        <v>1347</v>
      </c>
      <c r="C123" s="1202"/>
      <c r="D123" s="1202"/>
      <c r="E123" s="1387"/>
      <c r="F123" s="1207"/>
      <c r="G123" s="2176"/>
      <c r="H123" s="1264"/>
      <c r="I123" s="2177"/>
      <c r="J123" s="1264"/>
      <c r="K123" s="1273"/>
      <c r="L123" s="1385"/>
      <c r="M123" s="1214"/>
      <c r="N123" s="1214"/>
      <c r="O123" s="1214"/>
      <c r="P123" s="1214"/>
    </row>
    <row r="124" spans="1:16" s="1199" customFormat="1" ht="24" customHeight="1">
      <c r="A124" s="1258" t="s">
        <v>1181</v>
      </c>
      <c r="B124" s="1451" t="s">
        <v>1462</v>
      </c>
      <c r="C124" s="1202"/>
      <c r="D124" s="1202"/>
      <c r="E124" s="1387"/>
      <c r="F124" s="1207"/>
      <c r="G124" s="2176"/>
      <c r="H124" s="1264"/>
      <c r="I124" s="2177"/>
      <c r="J124" s="1264"/>
      <c r="K124" s="1273"/>
      <c r="L124" s="1385"/>
      <c r="M124" s="1214"/>
      <c r="N124" s="1214"/>
      <c r="O124" s="1214"/>
      <c r="P124" s="1214"/>
    </row>
    <row r="125" spans="1:16" s="1199" customFormat="1" ht="24" customHeight="1">
      <c r="A125" s="1189"/>
      <c r="B125" s="1451" t="s">
        <v>1463</v>
      </c>
      <c r="C125" s="1202"/>
      <c r="D125" s="1202"/>
      <c r="E125" s="1387">
        <v>1</v>
      </c>
      <c r="F125" s="1207" t="s">
        <v>363</v>
      </c>
      <c r="G125" s="2176">
        <f>72000+20280+5500</f>
        <v>97780</v>
      </c>
      <c r="H125" s="1264">
        <f>ROUND(E125*G125,)</f>
        <v>97780</v>
      </c>
      <c r="I125" s="2177">
        <f>G125*0.05</f>
        <v>4889</v>
      </c>
      <c r="J125" s="1264">
        <f>ROUND(E125*I125,)</f>
        <v>4889</v>
      </c>
      <c r="K125" s="1273">
        <f>H125+J125</f>
        <v>102669</v>
      </c>
      <c r="L125" s="1385"/>
      <c r="M125" s="1214"/>
      <c r="N125" s="1214"/>
      <c r="O125" s="1214"/>
      <c r="P125" s="1214"/>
    </row>
    <row r="126" spans="1:16" s="1199" customFormat="1" ht="24" customHeight="1">
      <c r="A126" s="1189"/>
      <c r="B126" s="1451" t="s">
        <v>1464</v>
      </c>
      <c r="C126" s="1202"/>
      <c r="D126" s="1202"/>
      <c r="E126" s="1387">
        <v>1</v>
      </c>
      <c r="F126" s="1207" t="s">
        <v>363</v>
      </c>
      <c r="G126" s="2176">
        <f>19400+16000+7000</f>
        <v>42400</v>
      </c>
      <c r="H126" s="1264">
        <f>ROUND(E126*G126,)</f>
        <v>42400</v>
      </c>
      <c r="I126" s="2177">
        <f>G126*0.05</f>
        <v>2120</v>
      </c>
      <c r="J126" s="1264">
        <f>ROUND(E126*I126,)</f>
        <v>2120</v>
      </c>
      <c r="K126" s="1273">
        <f>H126+J126</f>
        <v>44520</v>
      </c>
      <c r="L126" s="1385"/>
      <c r="M126" s="1214"/>
      <c r="N126" s="1214"/>
      <c r="O126" s="1214"/>
      <c r="P126" s="1214"/>
    </row>
    <row r="127" spans="1:16" s="1199" customFormat="1" ht="24" customHeight="1">
      <c r="A127" s="1189"/>
      <c r="B127" s="1451" t="s">
        <v>1117</v>
      </c>
      <c r="C127" s="1202"/>
      <c r="D127" s="1202"/>
      <c r="E127" s="1387"/>
      <c r="F127" s="1384"/>
      <c r="G127" s="2176"/>
      <c r="H127" s="1388"/>
      <c r="I127" s="2177"/>
      <c r="J127" s="1385"/>
      <c r="K127" s="1385"/>
      <c r="L127" s="1385"/>
      <c r="M127" s="1214"/>
      <c r="N127" s="1214"/>
      <c r="O127" s="1214"/>
      <c r="P127" s="1214"/>
    </row>
    <row r="128" spans="1:16" s="1199" customFormat="1" ht="24" customHeight="1">
      <c r="A128" s="1189"/>
      <c r="B128" s="1451" t="s">
        <v>1118</v>
      </c>
      <c r="C128" s="1202"/>
      <c r="D128" s="1202"/>
      <c r="E128" s="1387"/>
      <c r="F128" s="1384"/>
      <c r="G128" s="2176"/>
      <c r="H128" s="1388"/>
      <c r="I128" s="2177"/>
      <c r="J128" s="1385"/>
      <c r="K128" s="1385"/>
      <c r="L128" s="1385"/>
      <c r="M128" s="1214"/>
      <c r="N128" s="1214"/>
      <c r="O128" s="1214"/>
      <c r="P128" s="1214"/>
    </row>
    <row r="129" spans="1:16" s="1199" customFormat="1" ht="24" customHeight="1">
      <c r="A129" s="1189"/>
      <c r="B129" s="1451" t="s">
        <v>1118</v>
      </c>
      <c r="C129" s="1202"/>
      <c r="D129" s="1202"/>
      <c r="E129" s="1387"/>
      <c r="F129" s="1384"/>
      <c r="G129" s="2176"/>
      <c r="H129" s="1388"/>
      <c r="I129" s="2177"/>
      <c r="J129" s="1385"/>
      <c r="K129" s="1385"/>
      <c r="L129" s="1385"/>
      <c r="M129" s="1214"/>
      <c r="N129" s="1214"/>
      <c r="O129" s="1214"/>
      <c r="P129" s="1214"/>
    </row>
    <row r="130" spans="1:16" s="1199" customFormat="1" ht="24" customHeight="1">
      <c r="A130" s="1243"/>
      <c r="B130" s="2257" t="str">
        <f>"รวมราคารายการที่ "&amp;A123</f>
        <v>รวมราคารายการที่ 3.5</v>
      </c>
      <c r="C130" s="2258"/>
      <c r="D130" s="2259"/>
      <c r="E130" s="1244"/>
      <c r="F130" s="1245"/>
      <c r="G130" s="1246"/>
      <c r="H130" s="1247">
        <f>SUM(H123:H129)</f>
        <v>140180</v>
      </c>
      <c r="I130" s="1246"/>
      <c r="J130" s="1247">
        <f t="shared" ref="J130:K130" si="16">SUM(J123:J129)</f>
        <v>7009</v>
      </c>
      <c r="K130" s="1247">
        <f t="shared" si="16"/>
        <v>147189</v>
      </c>
      <c r="L130" s="1245"/>
      <c r="M130" s="1214"/>
      <c r="N130" s="1214"/>
      <c r="O130" s="1214"/>
      <c r="P130" s="1214"/>
    </row>
    <row r="131" spans="1:16" s="1199" customFormat="1" ht="24" customHeight="1">
      <c r="A131" s="1435" t="s">
        <v>1465</v>
      </c>
      <c r="B131" s="1436" t="s">
        <v>1466</v>
      </c>
      <c r="C131" s="1202"/>
      <c r="D131" s="1202"/>
      <c r="E131" s="1387"/>
      <c r="F131" s="1207"/>
      <c r="G131" s="2176"/>
      <c r="H131" s="1264"/>
      <c r="I131" s="2177"/>
      <c r="J131" s="1264"/>
      <c r="K131" s="1273"/>
      <c r="L131" s="1385"/>
      <c r="M131" s="1214"/>
      <c r="N131" s="1214"/>
      <c r="O131" s="1214"/>
      <c r="P131" s="1214"/>
    </row>
    <row r="132" spans="1:16" s="1199" customFormat="1" ht="24" customHeight="1">
      <c r="A132" s="1339"/>
      <c r="B132" s="1259" t="s">
        <v>1467</v>
      </c>
      <c r="C132" s="1202"/>
      <c r="D132" s="1202"/>
      <c r="E132" s="1404">
        <v>13</v>
      </c>
      <c r="F132" s="1267" t="s">
        <v>363</v>
      </c>
      <c r="G132" s="1386">
        <v>420</v>
      </c>
      <c r="H132" s="1343">
        <f t="shared" ref="H132:H156" si="17">ROUND(E132*G132,)</f>
        <v>5460</v>
      </c>
      <c r="I132" s="1414">
        <v>115</v>
      </c>
      <c r="J132" s="1343">
        <f t="shared" ref="J132:J156" si="18">ROUND(E132*I132,)</f>
        <v>1495</v>
      </c>
      <c r="K132" s="1262">
        <f t="shared" ref="K132:K156" si="19">H132+J132</f>
        <v>6955</v>
      </c>
      <c r="L132" s="1415"/>
      <c r="M132" s="1214"/>
      <c r="N132" s="1214"/>
      <c r="O132" s="1214"/>
      <c r="P132" s="1214"/>
    </row>
    <row r="133" spans="1:16" s="1199" customFormat="1" ht="24" customHeight="1">
      <c r="A133" s="1339"/>
      <c r="B133" s="1259" t="s">
        <v>1468</v>
      </c>
      <c r="C133" s="1202"/>
      <c r="D133" s="1202"/>
      <c r="E133" s="1404">
        <v>371</v>
      </c>
      <c r="F133" s="1267" t="s">
        <v>363</v>
      </c>
      <c r="G133" s="1386">
        <v>500</v>
      </c>
      <c r="H133" s="1343">
        <f t="shared" si="17"/>
        <v>185500</v>
      </c>
      <c r="I133" s="1414">
        <v>115</v>
      </c>
      <c r="J133" s="1343">
        <f t="shared" si="18"/>
        <v>42665</v>
      </c>
      <c r="K133" s="1262">
        <f t="shared" si="19"/>
        <v>228165</v>
      </c>
      <c r="L133" s="1415"/>
      <c r="M133" s="1214"/>
      <c r="N133" s="1214"/>
      <c r="O133" s="1214"/>
      <c r="P133" s="1214"/>
    </row>
    <row r="134" spans="1:16" s="1199" customFormat="1" ht="24" customHeight="1">
      <c r="A134" s="1339"/>
      <c r="B134" s="1259" t="s">
        <v>1469</v>
      </c>
      <c r="C134" s="1202"/>
      <c r="D134" s="1202"/>
      <c r="E134" s="1404">
        <v>47</v>
      </c>
      <c r="F134" s="1267" t="s">
        <v>363</v>
      </c>
      <c r="G134" s="1386">
        <v>550</v>
      </c>
      <c r="H134" s="1343">
        <f t="shared" si="17"/>
        <v>25850</v>
      </c>
      <c r="I134" s="1414">
        <v>115</v>
      </c>
      <c r="J134" s="1343">
        <f t="shared" si="18"/>
        <v>5405</v>
      </c>
      <c r="K134" s="1262">
        <f t="shared" si="19"/>
        <v>31255</v>
      </c>
      <c r="L134" s="1415"/>
      <c r="M134" s="1214"/>
      <c r="N134" s="1214"/>
      <c r="O134" s="1214"/>
      <c r="P134" s="1214"/>
    </row>
    <row r="135" spans="1:16" s="1199" customFormat="1" ht="24" customHeight="1">
      <c r="A135" s="1339"/>
      <c r="B135" s="1259" t="s">
        <v>1470</v>
      </c>
      <c r="C135" s="1202"/>
      <c r="D135" s="1202"/>
      <c r="E135" s="1404">
        <v>44</v>
      </c>
      <c r="F135" s="1267" t="s">
        <v>363</v>
      </c>
      <c r="G135" s="1386">
        <v>750</v>
      </c>
      <c r="H135" s="1343">
        <f t="shared" si="17"/>
        <v>33000</v>
      </c>
      <c r="I135" s="1414">
        <v>135</v>
      </c>
      <c r="J135" s="1343">
        <f t="shared" si="18"/>
        <v>5940</v>
      </c>
      <c r="K135" s="1262">
        <f t="shared" si="19"/>
        <v>38940</v>
      </c>
      <c r="L135" s="1415"/>
      <c r="M135" s="1214"/>
      <c r="N135" s="1214"/>
      <c r="O135" s="1214"/>
      <c r="P135" s="1214"/>
    </row>
    <row r="136" spans="1:16" s="1199" customFormat="1" ht="24" customHeight="1">
      <c r="A136" s="1339"/>
      <c r="B136" s="1259" t="s">
        <v>1471</v>
      </c>
      <c r="C136" s="1202"/>
      <c r="D136" s="1202"/>
      <c r="E136" s="1404"/>
      <c r="F136" s="1267" t="s">
        <v>363</v>
      </c>
      <c r="G136" s="1386">
        <v>1550</v>
      </c>
      <c r="H136" s="1343">
        <f t="shared" si="17"/>
        <v>0</v>
      </c>
      <c r="I136" s="1414">
        <v>135</v>
      </c>
      <c r="J136" s="1343">
        <f t="shared" si="18"/>
        <v>0</v>
      </c>
      <c r="K136" s="1262">
        <f t="shared" si="19"/>
        <v>0</v>
      </c>
      <c r="L136" s="1415"/>
      <c r="M136" s="1214"/>
      <c r="N136" s="1214"/>
      <c r="O136" s="1214"/>
      <c r="P136" s="1214"/>
    </row>
    <row r="137" spans="1:16" s="1199" customFormat="1" ht="24" customHeight="1">
      <c r="A137" s="1339"/>
      <c r="B137" s="1259" t="s">
        <v>1472</v>
      </c>
      <c r="C137" s="1202"/>
      <c r="D137" s="1202"/>
      <c r="E137" s="1404"/>
      <c r="F137" s="1267" t="s">
        <v>363</v>
      </c>
      <c r="G137" s="1386">
        <v>2090</v>
      </c>
      <c r="H137" s="1343">
        <f t="shared" si="17"/>
        <v>0</v>
      </c>
      <c r="I137" s="1414">
        <v>135</v>
      </c>
      <c r="J137" s="1343">
        <f t="shared" si="18"/>
        <v>0</v>
      </c>
      <c r="K137" s="1262">
        <f t="shared" si="19"/>
        <v>0</v>
      </c>
      <c r="L137" s="1415"/>
      <c r="M137" s="1214"/>
      <c r="N137" s="1214"/>
      <c r="O137" s="1214"/>
      <c r="P137" s="1214"/>
    </row>
    <row r="138" spans="1:16" s="1199" customFormat="1" ht="24" customHeight="1">
      <c r="A138" s="1339"/>
      <c r="B138" s="1259" t="s">
        <v>1473</v>
      </c>
      <c r="C138" s="1202"/>
      <c r="D138" s="1202"/>
      <c r="E138" s="1404"/>
      <c r="F138" s="1267" t="s">
        <v>363</v>
      </c>
      <c r="G138" s="1386">
        <v>3750</v>
      </c>
      <c r="H138" s="1343">
        <f t="shared" si="17"/>
        <v>0</v>
      </c>
      <c r="I138" s="1414">
        <v>135</v>
      </c>
      <c r="J138" s="1343">
        <f t="shared" si="18"/>
        <v>0</v>
      </c>
      <c r="K138" s="1262">
        <f t="shared" si="19"/>
        <v>0</v>
      </c>
      <c r="L138" s="1415"/>
      <c r="M138" s="1214"/>
      <c r="N138" s="1214"/>
      <c r="O138" s="1214"/>
      <c r="P138" s="1214"/>
    </row>
    <row r="139" spans="1:16" s="1199" customFormat="1" ht="24" customHeight="1">
      <c r="A139" s="1339"/>
      <c r="B139" s="1259" t="s">
        <v>1474</v>
      </c>
      <c r="C139" s="1202"/>
      <c r="D139" s="1202"/>
      <c r="E139" s="1404"/>
      <c r="F139" s="1267" t="s">
        <v>363</v>
      </c>
      <c r="G139" s="1386">
        <v>2450</v>
      </c>
      <c r="H139" s="1343">
        <f t="shared" si="17"/>
        <v>0</v>
      </c>
      <c r="I139" s="1414">
        <v>135</v>
      </c>
      <c r="J139" s="1343">
        <f t="shared" si="18"/>
        <v>0</v>
      </c>
      <c r="K139" s="1262">
        <f t="shared" si="19"/>
        <v>0</v>
      </c>
      <c r="L139" s="1415"/>
      <c r="M139" s="1214"/>
      <c r="N139" s="1214"/>
      <c r="O139" s="1214"/>
      <c r="P139" s="1214"/>
    </row>
    <row r="140" spans="1:16" s="1199" customFormat="1" ht="24" customHeight="1">
      <c r="A140" s="1339"/>
      <c r="B140" s="1259" t="s">
        <v>1475</v>
      </c>
      <c r="C140" s="1202"/>
      <c r="D140" s="1202"/>
      <c r="E140" s="1404"/>
      <c r="F140" s="1267" t="s">
        <v>363</v>
      </c>
      <c r="G140" s="1386">
        <v>1860</v>
      </c>
      <c r="H140" s="1343">
        <f t="shared" si="17"/>
        <v>0</v>
      </c>
      <c r="I140" s="1414">
        <v>135</v>
      </c>
      <c r="J140" s="1343">
        <f t="shared" si="18"/>
        <v>0</v>
      </c>
      <c r="K140" s="1262">
        <f t="shared" si="19"/>
        <v>0</v>
      </c>
      <c r="L140" s="1415"/>
      <c r="M140" s="1214"/>
      <c r="N140" s="1214"/>
      <c r="O140" s="1214"/>
      <c r="P140" s="1214"/>
    </row>
    <row r="141" spans="1:16" s="1199" customFormat="1" ht="24" customHeight="1">
      <c r="A141" s="1339"/>
      <c r="B141" s="1259" t="s">
        <v>1476</v>
      </c>
      <c r="C141" s="1202"/>
      <c r="D141" s="1202"/>
      <c r="E141" s="1404">
        <v>34</v>
      </c>
      <c r="F141" s="1267" t="s">
        <v>363</v>
      </c>
      <c r="G141" s="1386">
        <v>1200</v>
      </c>
      <c r="H141" s="1343">
        <f t="shared" si="17"/>
        <v>40800</v>
      </c>
      <c r="I141" s="1414">
        <v>135</v>
      </c>
      <c r="J141" s="1343">
        <f t="shared" si="18"/>
        <v>4590</v>
      </c>
      <c r="K141" s="1262">
        <f t="shared" si="19"/>
        <v>45390</v>
      </c>
      <c r="L141" s="1415"/>
      <c r="M141" s="1214"/>
      <c r="N141" s="1214"/>
      <c r="O141" s="1214"/>
      <c r="P141" s="1214"/>
    </row>
    <row r="142" spans="1:16" s="1199" customFormat="1" ht="24" customHeight="1">
      <c r="A142" s="1339"/>
      <c r="B142" s="1259" t="s">
        <v>1477</v>
      </c>
      <c r="C142" s="1202"/>
      <c r="D142" s="1202"/>
      <c r="E142" s="1404"/>
      <c r="F142" s="1267" t="s">
        <v>363</v>
      </c>
      <c r="G142" s="1386">
        <v>1450</v>
      </c>
      <c r="H142" s="1343">
        <f t="shared" si="17"/>
        <v>0</v>
      </c>
      <c r="I142" s="1414">
        <v>135</v>
      </c>
      <c r="J142" s="1343">
        <f t="shared" si="18"/>
        <v>0</v>
      </c>
      <c r="K142" s="1262">
        <f t="shared" si="19"/>
        <v>0</v>
      </c>
      <c r="L142" s="1415"/>
      <c r="M142" s="1214"/>
      <c r="N142" s="1214"/>
      <c r="O142" s="1214"/>
      <c r="P142" s="1214"/>
    </row>
    <row r="143" spans="1:16" s="1199" customFormat="1" ht="24" customHeight="1">
      <c r="A143" s="1339"/>
      <c r="B143" s="1259" t="s">
        <v>1478</v>
      </c>
      <c r="C143" s="1202"/>
      <c r="D143" s="1202"/>
      <c r="E143" s="1404"/>
      <c r="F143" s="1267" t="s">
        <v>363</v>
      </c>
      <c r="G143" s="1386">
        <v>1250</v>
      </c>
      <c r="H143" s="1343">
        <f t="shared" si="17"/>
        <v>0</v>
      </c>
      <c r="I143" s="1414">
        <v>135</v>
      </c>
      <c r="J143" s="1343">
        <f t="shared" si="18"/>
        <v>0</v>
      </c>
      <c r="K143" s="1262">
        <f t="shared" si="19"/>
        <v>0</v>
      </c>
      <c r="L143" s="1415"/>
      <c r="M143" s="1214"/>
      <c r="N143" s="1214"/>
      <c r="O143" s="1214"/>
      <c r="P143" s="1214"/>
    </row>
    <row r="144" spans="1:16" s="1199" customFormat="1" ht="24" customHeight="1">
      <c r="A144" s="1339"/>
      <c r="B144" s="1259" t="s">
        <v>1479</v>
      </c>
      <c r="C144" s="1202"/>
      <c r="D144" s="1202"/>
      <c r="E144" s="1404"/>
      <c r="F144" s="1267" t="s">
        <v>363</v>
      </c>
      <c r="G144" s="1386">
        <v>650</v>
      </c>
      <c r="H144" s="1343">
        <f t="shared" si="17"/>
        <v>0</v>
      </c>
      <c r="I144" s="1414">
        <v>20</v>
      </c>
      <c r="J144" s="1343">
        <f t="shared" si="18"/>
        <v>0</v>
      </c>
      <c r="K144" s="1262">
        <f t="shared" si="19"/>
        <v>0</v>
      </c>
      <c r="L144" s="1415"/>
      <c r="M144" s="1214"/>
      <c r="N144" s="1214"/>
      <c r="O144" s="1214"/>
      <c r="P144" s="1214"/>
    </row>
    <row r="145" spans="1:16" s="1199" customFormat="1" ht="24" customHeight="1">
      <c r="A145" s="1339"/>
      <c r="B145" s="1259" t="s">
        <v>1480</v>
      </c>
      <c r="C145" s="1202"/>
      <c r="D145" s="1202"/>
      <c r="E145" s="1404"/>
      <c r="F145" s="1267" t="s">
        <v>363</v>
      </c>
      <c r="G145" s="1386">
        <v>2565</v>
      </c>
      <c r="H145" s="1343">
        <f t="shared" si="17"/>
        <v>0</v>
      </c>
      <c r="I145" s="1414">
        <v>135</v>
      </c>
      <c r="J145" s="1343">
        <f t="shared" si="18"/>
        <v>0</v>
      </c>
      <c r="K145" s="1262">
        <f t="shared" si="19"/>
        <v>0</v>
      </c>
      <c r="L145" s="1415"/>
      <c r="M145" s="1214"/>
      <c r="N145" s="1214"/>
      <c r="O145" s="1214"/>
      <c r="P145" s="1214"/>
    </row>
    <row r="146" spans="1:16" s="1199" customFormat="1" ht="24" customHeight="1">
      <c r="A146" s="1339"/>
      <c r="B146" s="1259" t="s">
        <v>1481</v>
      </c>
      <c r="C146" s="1202"/>
      <c r="D146" s="1202"/>
      <c r="E146" s="1404"/>
      <c r="F146" s="1267" t="s">
        <v>363</v>
      </c>
      <c r="G146" s="1386">
        <v>1200</v>
      </c>
      <c r="H146" s="1343">
        <f t="shared" si="17"/>
        <v>0</v>
      </c>
      <c r="I146" s="1414">
        <v>135</v>
      </c>
      <c r="J146" s="1343">
        <f t="shared" si="18"/>
        <v>0</v>
      </c>
      <c r="K146" s="1262">
        <f t="shared" si="19"/>
        <v>0</v>
      </c>
      <c r="L146" s="1415"/>
      <c r="M146" s="1214"/>
      <c r="N146" s="1214"/>
      <c r="O146" s="1214"/>
      <c r="P146" s="1214"/>
    </row>
    <row r="147" spans="1:16" s="1199" customFormat="1" ht="24" customHeight="1">
      <c r="A147" s="1339"/>
      <c r="B147" s="1259" t="s">
        <v>1482</v>
      </c>
      <c r="C147" s="1202"/>
      <c r="D147" s="1202"/>
      <c r="E147" s="1404"/>
      <c r="F147" s="1267" t="s">
        <v>363</v>
      </c>
      <c r="G147" s="1386">
        <v>1200</v>
      </c>
      <c r="H147" s="1343">
        <f t="shared" si="17"/>
        <v>0</v>
      </c>
      <c r="I147" s="1414">
        <v>135</v>
      </c>
      <c r="J147" s="1343">
        <f t="shared" si="18"/>
        <v>0</v>
      </c>
      <c r="K147" s="1262">
        <f t="shared" si="19"/>
        <v>0</v>
      </c>
      <c r="L147" s="1415"/>
      <c r="M147" s="1214"/>
      <c r="N147" s="1214"/>
      <c r="O147" s="1214"/>
      <c r="P147" s="1214"/>
    </row>
    <row r="148" spans="1:16" s="1199" customFormat="1" ht="24" customHeight="1">
      <c r="A148" s="1339"/>
      <c r="B148" s="1259" t="s">
        <v>1483</v>
      </c>
      <c r="C148" s="1202"/>
      <c r="D148" s="1202"/>
      <c r="E148" s="1404"/>
      <c r="F148" s="1267" t="s">
        <v>363</v>
      </c>
      <c r="G148" s="1386">
        <v>1860</v>
      </c>
      <c r="H148" s="1343">
        <f t="shared" si="17"/>
        <v>0</v>
      </c>
      <c r="I148" s="1414">
        <v>135</v>
      </c>
      <c r="J148" s="1343">
        <f t="shared" si="18"/>
        <v>0</v>
      </c>
      <c r="K148" s="1262">
        <f t="shared" si="19"/>
        <v>0</v>
      </c>
      <c r="L148" s="1415"/>
      <c r="M148" s="1214"/>
      <c r="N148" s="1214"/>
      <c r="O148" s="1214"/>
      <c r="P148" s="1214"/>
    </row>
    <row r="149" spans="1:16" s="1199" customFormat="1" ht="24" customHeight="1">
      <c r="A149" s="1339"/>
      <c r="B149" s="1259" t="s">
        <v>1484</v>
      </c>
      <c r="C149" s="1202"/>
      <c r="D149" s="1202"/>
      <c r="E149" s="1404"/>
      <c r="F149" s="1267" t="s">
        <v>363</v>
      </c>
      <c r="G149" s="1386">
        <v>1200</v>
      </c>
      <c r="H149" s="1343">
        <f t="shared" si="17"/>
        <v>0</v>
      </c>
      <c r="I149" s="1414">
        <v>135</v>
      </c>
      <c r="J149" s="1343">
        <f t="shared" si="18"/>
        <v>0</v>
      </c>
      <c r="K149" s="1262">
        <f t="shared" si="19"/>
        <v>0</v>
      </c>
      <c r="L149" s="1415"/>
      <c r="M149" s="1214"/>
      <c r="N149" s="1214"/>
      <c r="O149" s="1214"/>
      <c r="P149" s="1214"/>
    </row>
    <row r="150" spans="1:16" s="1199" customFormat="1" ht="24" customHeight="1">
      <c r="A150" s="1339"/>
      <c r="B150" s="1259" t="s">
        <v>1485</v>
      </c>
      <c r="C150" s="1202"/>
      <c r="D150" s="1202"/>
      <c r="E150" s="1404"/>
      <c r="F150" s="1267" t="s">
        <v>363</v>
      </c>
      <c r="G150" s="1386">
        <v>1200</v>
      </c>
      <c r="H150" s="1343">
        <f t="shared" si="17"/>
        <v>0</v>
      </c>
      <c r="I150" s="1414">
        <v>135</v>
      </c>
      <c r="J150" s="1343">
        <f t="shared" si="18"/>
        <v>0</v>
      </c>
      <c r="K150" s="1262">
        <f t="shared" si="19"/>
        <v>0</v>
      </c>
      <c r="L150" s="1415"/>
      <c r="M150" s="1214"/>
      <c r="N150" s="1214"/>
      <c r="O150" s="1214"/>
      <c r="P150" s="1214"/>
    </row>
    <row r="151" spans="1:16" s="1199" customFormat="1" ht="24" customHeight="1">
      <c r="A151" s="1339"/>
      <c r="B151" s="1259" t="s">
        <v>1486</v>
      </c>
      <c r="C151" s="1202"/>
      <c r="D151" s="1202"/>
      <c r="E151" s="1404">
        <v>36</v>
      </c>
      <c r="F151" s="1267" t="s">
        <v>363</v>
      </c>
      <c r="G151" s="1386">
        <v>1830</v>
      </c>
      <c r="H151" s="1343">
        <f t="shared" si="17"/>
        <v>65880</v>
      </c>
      <c r="I151" s="1414">
        <v>500</v>
      </c>
      <c r="J151" s="1343">
        <f t="shared" si="18"/>
        <v>18000</v>
      </c>
      <c r="K151" s="1262">
        <f t="shared" si="19"/>
        <v>83880</v>
      </c>
      <c r="L151" s="1415"/>
      <c r="M151" s="1214"/>
      <c r="N151" s="1214"/>
      <c r="O151" s="1214"/>
      <c r="P151" s="1214"/>
    </row>
    <row r="152" spans="1:16" s="1199" customFormat="1" ht="24" customHeight="1">
      <c r="A152" s="1339"/>
      <c r="B152" s="1259" t="s">
        <v>1487</v>
      </c>
      <c r="C152" s="1202"/>
      <c r="D152" s="1202"/>
      <c r="E152" s="1404">
        <v>2</v>
      </c>
      <c r="F152" s="1267" t="s">
        <v>363</v>
      </c>
      <c r="G152" s="1386">
        <v>1620</v>
      </c>
      <c r="H152" s="1343">
        <f t="shared" si="17"/>
        <v>3240</v>
      </c>
      <c r="I152" s="1414">
        <v>500</v>
      </c>
      <c r="J152" s="1343">
        <f t="shared" si="18"/>
        <v>1000</v>
      </c>
      <c r="K152" s="1262">
        <f t="shared" si="19"/>
        <v>4240</v>
      </c>
      <c r="L152" s="1415"/>
      <c r="M152" s="1214"/>
      <c r="N152" s="1214"/>
      <c r="O152" s="1214"/>
      <c r="P152" s="1214"/>
    </row>
    <row r="153" spans="1:16" s="1199" customFormat="1" ht="24" customHeight="1">
      <c r="A153" s="1339"/>
      <c r="B153" s="1259" t="s">
        <v>1488</v>
      </c>
      <c r="C153" s="1202"/>
      <c r="D153" s="1202"/>
      <c r="E153" s="1404">
        <v>54</v>
      </c>
      <c r="F153" s="1267" t="s">
        <v>363</v>
      </c>
      <c r="G153" s="1386">
        <v>920</v>
      </c>
      <c r="H153" s="1343">
        <f t="shared" si="17"/>
        <v>49680</v>
      </c>
      <c r="I153" s="1414">
        <v>250</v>
      </c>
      <c r="J153" s="1343">
        <f t="shared" si="18"/>
        <v>13500</v>
      </c>
      <c r="K153" s="1262">
        <f t="shared" si="19"/>
        <v>63180</v>
      </c>
      <c r="L153" s="1415"/>
      <c r="M153" s="1214"/>
      <c r="N153" s="1214"/>
      <c r="O153" s="1214"/>
      <c r="P153" s="1214"/>
    </row>
    <row r="154" spans="1:16" s="1199" customFormat="1" ht="24" customHeight="1">
      <c r="A154" s="1339"/>
      <c r="B154" s="1259" t="s">
        <v>1489</v>
      </c>
      <c r="C154" s="1202"/>
      <c r="D154" s="1202"/>
      <c r="E154" s="1404">
        <v>2</v>
      </c>
      <c r="F154" s="1267" t="s">
        <v>363</v>
      </c>
      <c r="G154" s="1386">
        <v>2180</v>
      </c>
      <c r="H154" s="1343">
        <f t="shared" si="17"/>
        <v>4360</v>
      </c>
      <c r="I154" s="1414">
        <v>500</v>
      </c>
      <c r="J154" s="1343">
        <f t="shared" si="18"/>
        <v>1000</v>
      </c>
      <c r="K154" s="1262">
        <f t="shared" si="19"/>
        <v>5360</v>
      </c>
      <c r="L154" s="1415"/>
      <c r="M154" s="1214"/>
      <c r="N154" s="1214"/>
      <c r="O154" s="1214"/>
      <c r="P154" s="1214"/>
    </row>
    <row r="155" spans="1:16" s="1199" customFormat="1" ht="24" customHeight="1">
      <c r="A155" s="1339"/>
      <c r="B155" s="1259"/>
      <c r="C155" s="1202"/>
      <c r="D155" s="1202"/>
      <c r="E155" s="1404"/>
      <c r="F155" s="1267"/>
      <c r="G155" s="1386"/>
      <c r="H155" s="1343"/>
      <c r="I155" s="1414"/>
      <c r="J155" s="1343"/>
      <c r="K155" s="1262"/>
      <c r="L155" s="1415"/>
      <c r="M155" s="1214"/>
      <c r="N155" s="1214"/>
      <c r="O155" s="1214"/>
      <c r="P155" s="1214"/>
    </row>
    <row r="156" spans="1:16" s="1199" customFormat="1" ht="24" customHeight="1">
      <c r="A156" s="1331"/>
      <c r="B156" s="2174" t="s">
        <v>1444</v>
      </c>
      <c r="C156" s="1202"/>
      <c r="D156" s="1202"/>
      <c r="E156" s="1387">
        <v>1</v>
      </c>
      <c r="F156" s="1207" t="s">
        <v>1104</v>
      </c>
      <c r="G156" s="2176">
        <f>ROUND(SUM(H131:H150)*5%,)</f>
        <v>14531</v>
      </c>
      <c r="H156" s="1264">
        <f t="shared" si="17"/>
        <v>14531</v>
      </c>
      <c r="I156" s="2177">
        <f>ROUND(G156*0.3,)</f>
        <v>4359</v>
      </c>
      <c r="J156" s="1264">
        <f t="shared" si="18"/>
        <v>4359</v>
      </c>
      <c r="K156" s="1273">
        <f t="shared" si="19"/>
        <v>18890</v>
      </c>
      <c r="L156" s="1385"/>
      <c r="M156" s="1214"/>
      <c r="N156" s="1214"/>
      <c r="O156" s="1214"/>
      <c r="P156" s="1214"/>
    </row>
    <row r="157" spans="1:16" s="1199" customFormat="1" ht="24" customHeight="1">
      <c r="A157" s="1331"/>
      <c r="B157" s="2174" t="s">
        <v>1117</v>
      </c>
      <c r="C157" s="1202"/>
      <c r="D157" s="1202"/>
      <c r="E157" s="1387"/>
      <c r="F157" s="1207"/>
      <c r="G157" s="2176"/>
      <c r="H157" s="1388"/>
      <c r="I157" s="2177"/>
      <c r="J157" s="1385"/>
      <c r="K157" s="1385"/>
      <c r="L157" s="1385"/>
      <c r="M157" s="1214"/>
      <c r="N157" s="1214"/>
      <c r="O157" s="1214"/>
      <c r="P157" s="1214"/>
    </row>
    <row r="158" spans="1:16" s="1199" customFormat="1" ht="24" customHeight="1">
      <c r="A158" s="1331"/>
      <c r="B158" s="2174" t="s">
        <v>1369</v>
      </c>
      <c r="C158" s="1202"/>
      <c r="D158" s="1202"/>
      <c r="E158" s="1387"/>
      <c r="F158" s="1207"/>
      <c r="G158" s="2176"/>
      <c r="H158" s="1388"/>
      <c r="I158" s="2177"/>
      <c r="J158" s="1385"/>
      <c r="K158" s="1385"/>
      <c r="L158" s="1385"/>
      <c r="M158" s="1214"/>
      <c r="N158" s="1214"/>
      <c r="O158" s="1214"/>
      <c r="P158" s="1214"/>
    </row>
    <row r="159" spans="1:16" s="1199" customFormat="1" ht="24" customHeight="1">
      <c r="A159" s="1331"/>
      <c r="B159" s="2174" t="s">
        <v>1369</v>
      </c>
      <c r="C159" s="1202"/>
      <c r="D159" s="1202"/>
      <c r="E159" s="1387"/>
      <c r="F159" s="1384"/>
      <c r="G159" s="2176"/>
      <c r="H159" s="1388"/>
      <c r="I159" s="2177"/>
      <c r="J159" s="1385"/>
      <c r="K159" s="1385"/>
      <c r="L159" s="1385"/>
      <c r="M159" s="1214"/>
      <c r="N159" s="1214"/>
      <c r="O159" s="1214"/>
      <c r="P159" s="1214"/>
    </row>
    <row r="160" spans="1:16" s="1199" customFormat="1" ht="24" customHeight="1">
      <c r="A160" s="1331"/>
      <c r="B160" s="1416"/>
      <c r="C160" s="1202"/>
      <c r="D160" s="1202"/>
      <c r="E160" s="1387"/>
      <c r="F160" s="1384"/>
      <c r="G160" s="2176"/>
      <c r="H160" s="1388"/>
      <c r="I160" s="2177"/>
      <c r="J160" s="1385"/>
      <c r="K160" s="1385"/>
      <c r="L160" s="1385"/>
      <c r="M160" s="1214"/>
      <c r="N160" s="1214"/>
      <c r="O160" s="1214"/>
      <c r="P160" s="1214"/>
    </row>
    <row r="161" spans="1:16" s="1199" customFormat="1" ht="24" customHeight="1">
      <c r="A161" s="1243"/>
      <c r="B161" s="2257" t="str">
        <f>"รวมราคารายการที่ "&amp;A131</f>
        <v>รวมราคารายการที่ 3.6</v>
      </c>
      <c r="C161" s="2258"/>
      <c r="D161" s="2259"/>
      <c r="E161" s="1244"/>
      <c r="F161" s="1245"/>
      <c r="G161" s="1246"/>
      <c r="H161" s="1247">
        <f>SUM(H131:H160)</f>
        <v>428301</v>
      </c>
      <c r="I161" s="1246"/>
      <c r="J161" s="1247">
        <f t="shared" ref="J161:K161" si="20">SUM(J131:J160)</f>
        <v>97954</v>
      </c>
      <c r="K161" s="1247">
        <f t="shared" si="20"/>
        <v>526255</v>
      </c>
      <c r="L161" s="1245"/>
      <c r="M161" s="1214"/>
      <c r="N161" s="1214"/>
      <c r="O161" s="1214"/>
      <c r="P161" s="1214"/>
    </row>
    <row r="162" spans="1:16" s="1199" customFormat="1" ht="24" customHeight="1">
      <c r="A162" s="1435" t="s">
        <v>1490</v>
      </c>
      <c r="B162" s="1436" t="s">
        <v>1371</v>
      </c>
      <c r="C162" s="1202"/>
      <c r="D162" s="1202"/>
      <c r="E162" s="1387"/>
      <c r="F162" s="1384"/>
      <c r="G162" s="2176"/>
      <c r="H162" s="1388"/>
      <c r="I162" s="2177"/>
      <c r="J162" s="1385"/>
      <c r="K162" s="1385"/>
      <c r="L162" s="1385"/>
      <c r="M162" s="1214"/>
      <c r="N162" s="1214"/>
      <c r="O162" s="1214"/>
      <c r="P162" s="1214"/>
    </row>
    <row r="163" spans="1:16" s="1199" customFormat="1" ht="24" customHeight="1">
      <c r="A163" s="1406" t="s">
        <v>1255</v>
      </c>
      <c r="B163" s="2174" t="s">
        <v>1491</v>
      </c>
      <c r="C163" s="1202"/>
      <c r="D163" s="1202"/>
      <c r="E163" s="1387">
        <v>2</v>
      </c>
      <c r="F163" s="1207" t="s">
        <v>363</v>
      </c>
      <c r="G163" s="2176">
        <f>30000+13500</f>
        <v>43500</v>
      </c>
      <c r="H163" s="1264">
        <f t="shared" ref="H163:H195" si="21">ROUND(E163*G163,)</f>
        <v>87000</v>
      </c>
      <c r="I163" s="2177">
        <f>G163*0.1</f>
        <v>4350</v>
      </c>
      <c r="J163" s="1264">
        <f t="shared" ref="J163:J195" si="22">ROUND(E163*I163,)</f>
        <v>8700</v>
      </c>
      <c r="K163" s="1273">
        <f t="shared" ref="K163:K195" si="23">H163+J163</f>
        <v>95700</v>
      </c>
      <c r="L163" s="1385"/>
      <c r="M163" s="1214"/>
      <c r="N163" s="1214"/>
      <c r="O163" s="1214"/>
      <c r="P163" s="1214"/>
    </row>
    <row r="164" spans="1:16" s="1199" customFormat="1" ht="24" customHeight="1">
      <c r="A164" s="1406" t="s">
        <v>1268</v>
      </c>
      <c r="B164" s="2174" t="s">
        <v>1492</v>
      </c>
      <c r="C164" s="1202"/>
      <c r="D164" s="1202"/>
      <c r="E164" s="1387">
        <v>6</v>
      </c>
      <c r="F164" s="1207" t="s">
        <v>363</v>
      </c>
      <c r="G164" s="2176">
        <v>1850</v>
      </c>
      <c r="H164" s="1264">
        <f t="shared" si="21"/>
        <v>11100</v>
      </c>
      <c r="I164" s="2177">
        <v>250</v>
      </c>
      <c r="J164" s="1264">
        <f t="shared" si="22"/>
        <v>1500</v>
      </c>
      <c r="K164" s="1273">
        <f t="shared" si="23"/>
        <v>12600</v>
      </c>
      <c r="L164" s="1385"/>
      <c r="M164" s="1214"/>
      <c r="N164" s="1214"/>
      <c r="O164" s="1214"/>
      <c r="P164" s="1214"/>
    </row>
    <row r="165" spans="1:16" s="1199" customFormat="1" ht="24" customHeight="1">
      <c r="A165" s="1406" t="s">
        <v>1270</v>
      </c>
      <c r="B165" s="2174" t="s">
        <v>1493</v>
      </c>
      <c r="C165" s="1202"/>
      <c r="D165" s="1202"/>
      <c r="E165" s="1387">
        <v>6</v>
      </c>
      <c r="F165" s="1207" t="s">
        <v>363</v>
      </c>
      <c r="G165" s="2176">
        <v>1850</v>
      </c>
      <c r="H165" s="1264">
        <f t="shared" si="21"/>
        <v>11100</v>
      </c>
      <c r="I165" s="2177">
        <v>250</v>
      </c>
      <c r="J165" s="1264">
        <f t="shared" si="22"/>
        <v>1500</v>
      </c>
      <c r="K165" s="1273">
        <f t="shared" si="23"/>
        <v>12600</v>
      </c>
      <c r="L165" s="1385"/>
      <c r="M165" s="1214"/>
      <c r="N165" s="1214"/>
      <c r="O165" s="1214"/>
      <c r="P165" s="1214"/>
    </row>
    <row r="166" spans="1:16" s="1199" customFormat="1" ht="24" customHeight="1">
      <c r="A166" s="1406" t="s">
        <v>1272</v>
      </c>
      <c r="B166" s="2174" t="s">
        <v>1494</v>
      </c>
      <c r="C166" s="1202"/>
      <c r="D166" s="1202"/>
      <c r="E166" s="1387">
        <v>20</v>
      </c>
      <c r="F166" s="1207" t="s">
        <v>363</v>
      </c>
      <c r="G166" s="2176">
        <v>1850</v>
      </c>
      <c r="H166" s="1264">
        <f t="shared" si="21"/>
        <v>37000</v>
      </c>
      <c r="I166" s="2177">
        <v>250</v>
      </c>
      <c r="J166" s="1264">
        <f t="shared" si="22"/>
        <v>5000</v>
      </c>
      <c r="K166" s="1273">
        <f t="shared" si="23"/>
        <v>42000</v>
      </c>
      <c r="L166" s="1385"/>
      <c r="M166" s="1214"/>
      <c r="N166" s="1214"/>
      <c r="O166" s="1214"/>
      <c r="P166" s="1214"/>
    </row>
    <row r="167" spans="1:16" s="1199" customFormat="1" ht="24" customHeight="1">
      <c r="A167" s="1406" t="s">
        <v>1280</v>
      </c>
      <c r="B167" s="2174" t="s">
        <v>1495</v>
      </c>
      <c r="C167" s="1202"/>
      <c r="D167" s="1202"/>
      <c r="E167" s="1387">
        <v>4</v>
      </c>
      <c r="F167" s="1207" t="s">
        <v>363</v>
      </c>
      <c r="G167" s="2176">
        <v>1850</v>
      </c>
      <c r="H167" s="1264">
        <f t="shared" si="21"/>
        <v>7400</v>
      </c>
      <c r="I167" s="2177">
        <v>250</v>
      </c>
      <c r="J167" s="1264">
        <f t="shared" si="22"/>
        <v>1000</v>
      </c>
      <c r="K167" s="1273">
        <f t="shared" si="23"/>
        <v>8400</v>
      </c>
      <c r="L167" s="1385"/>
      <c r="M167" s="1214"/>
      <c r="N167" s="1214"/>
      <c r="O167" s="1214"/>
      <c r="P167" s="1214"/>
    </row>
    <row r="168" spans="1:16" s="1199" customFormat="1" ht="24" customHeight="1">
      <c r="A168" s="1406" t="s">
        <v>1282</v>
      </c>
      <c r="B168" s="2174" t="s">
        <v>1496</v>
      </c>
      <c r="C168" s="1202"/>
      <c r="D168" s="1202"/>
      <c r="E168" s="1387">
        <v>4</v>
      </c>
      <c r="F168" s="1207" t="s">
        <v>363</v>
      </c>
      <c r="G168" s="2176">
        <v>1850</v>
      </c>
      <c r="H168" s="1264">
        <f t="shared" si="21"/>
        <v>7400</v>
      </c>
      <c r="I168" s="2177">
        <v>250</v>
      </c>
      <c r="J168" s="1264">
        <f t="shared" si="22"/>
        <v>1000</v>
      </c>
      <c r="K168" s="1273">
        <f t="shared" si="23"/>
        <v>8400</v>
      </c>
      <c r="L168" s="1385"/>
      <c r="M168" s="1214"/>
      <c r="N168" s="1214"/>
      <c r="O168" s="1214"/>
      <c r="P168" s="1214"/>
    </row>
    <row r="169" spans="1:16" s="1199" customFormat="1" ht="24" customHeight="1">
      <c r="A169" s="1406" t="s">
        <v>1284</v>
      </c>
      <c r="B169" s="2174" t="s">
        <v>1497</v>
      </c>
      <c r="C169" s="1202"/>
      <c r="D169" s="1202"/>
      <c r="E169" s="1387">
        <v>2</v>
      </c>
      <c r="F169" s="1207" t="s">
        <v>363</v>
      </c>
      <c r="G169" s="2176">
        <v>2750</v>
      </c>
      <c r="H169" s="1264">
        <f t="shared" si="21"/>
        <v>5500</v>
      </c>
      <c r="I169" s="2177">
        <v>250</v>
      </c>
      <c r="J169" s="1264">
        <f t="shared" si="22"/>
        <v>500</v>
      </c>
      <c r="K169" s="1273">
        <f t="shared" si="23"/>
        <v>6000</v>
      </c>
      <c r="L169" s="1385"/>
      <c r="M169" s="1214"/>
      <c r="N169" s="1214"/>
      <c r="O169" s="1214"/>
      <c r="P169" s="1214"/>
    </row>
    <row r="170" spans="1:16" s="1199" customFormat="1" ht="24" customHeight="1">
      <c r="A170" s="1406" t="s">
        <v>1286</v>
      </c>
      <c r="B170" s="2174" t="s">
        <v>1498</v>
      </c>
      <c r="C170" s="1202"/>
      <c r="D170" s="1202"/>
      <c r="E170" s="1387">
        <v>2</v>
      </c>
      <c r="F170" s="1207" t="s">
        <v>363</v>
      </c>
      <c r="G170" s="2176">
        <v>2750</v>
      </c>
      <c r="H170" s="1264">
        <f t="shared" si="21"/>
        <v>5500</v>
      </c>
      <c r="I170" s="2177">
        <v>250</v>
      </c>
      <c r="J170" s="1264">
        <f t="shared" si="22"/>
        <v>500</v>
      </c>
      <c r="K170" s="1273">
        <f t="shared" si="23"/>
        <v>6000</v>
      </c>
      <c r="L170" s="1385"/>
      <c r="M170" s="1214"/>
      <c r="N170" s="1214"/>
      <c r="O170" s="1214"/>
      <c r="P170" s="1214"/>
    </row>
    <row r="171" spans="1:16" s="1199" customFormat="1" ht="24" customHeight="1">
      <c r="A171" s="1406" t="s">
        <v>1499</v>
      </c>
      <c r="B171" s="2174" t="s">
        <v>1500</v>
      </c>
      <c r="C171" s="1202"/>
      <c r="D171" s="1202"/>
      <c r="E171" s="1387">
        <v>2</v>
      </c>
      <c r="F171" s="1207" t="s">
        <v>363</v>
      </c>
      <c r="G171" s="2176">
        <v>2750</v>
      </c>
      <c r="H171" s="1264">
        <f t="shared" si="21"/>
        <v>5500</v>
      </c>
      <c r="I171" s="2177">
        <v>250</v>
      </c>
      <c r="J171" s="1264">
        <f t="shared" si="22"/>
        <v>500</v>
      </c>
      <c r="K171" s="1273">
        <f t="shared" si="23"/>
        <v>6000</v>
      </c>
      <c r="L171" s="1385"/>
      <c r="M171" s="1214"/>
      <c r="N171" s="1214"/>
      <c r="O171" s="1214"/>
      <c r="P171" s="1214"/>
    </row>
    <row r="172" spans="1:16" s="1199" customFormat="1" ht="24" customHeight="1">
      <c r="A172" s="1406" t="s">
        <v>1501</v>
      </c>
      <c r="B172" s="2174" t="s">
        <v>1502</v>
      </c>
      <c r="C172" s="1202"/>
      <c r="D172" s="1202"/>
      <c r="E172" s="1387">
        <v>2</v>
      </c>
      <c r="F172" s="1207" t="s">
        <v>363</v>
      </c>
      <c r="G172" s="2176">
        <v>2750</v>
      </c>
      <c r="H172" s="1264">
        <f t="shared" si="21"/>
        <v>5500</v>
      </c>
      <c r="I172" s="2177">
        <v>250</v>
      </c>
      <c r="J172" s="1264">
        <f t="shared" si="22"/>
        <v>500</v>
      </c>
      <c r="K172" s="1273">
        <f t="shared" si="23"/>
        <v>6000</v>
      </c>
      <c r="L172" s="1385"/>
      <c r="M172" s="1214"/>
      <c r="N172" s="1214"/>
      <c r="O172" s="1214"/>
      <c r="P172" s="1214"/>
    </row>
    <row r="173" spans="1:16" s="1199" customFormat="1" ht="24" customHeight="1">
      <c r="A173" s="1406" t="s">
        <v>1503</v>
      </c>
      <c r="B173" s="2174" t="s">
        <v>1504</v>
      </c>
      <c r="C173" s="1202"/>
      <c r="D173" s="1202"/>
      <c r="E173" s="1387">
        <v>2</v>
      </c>
      <c r="F173" s="1207" t="s">
        <v>363</v>
      </c>
      <c r="G173" s="2176">
        <v>2750</v>
      </c>
      <c r="H173" s="1264">
        <f t="shared" si="21"/>
        <v>5500</v>
      </c>
      <c r="I173" s="2177">
        <v>250</v>
      </c>
      <c r="J173" s="1264">
        <f t="shared" si="22"/>
        <v>500</v>
      </c>
      <c r="K173" s="1273">
        <f t="shared" si="23"/>
        <v>6000</v>
      </c>
      <c r="L173" s="1385"/>
      <c r="M173" s="1214"/>
      <c r="N173" s="1214"/>
      <c r="O173" s="1214"/>
      <c r="P173" s="1214"/>
    </row>
    <row r="174" spans="1:16" s="1199" customFormat="1" ht="24" customHeight="1">
      <c r="A174" s="1406" t="s">
        <v>1505</v>
      </c>
      <c r="B174" s="2174" t="s">
        <v>1506</v>
      </c>
      <c r="C174" s="1202"/>
      <c r="D174" s="1202"/>
      <c r="E174" s="1387">
        <v>3</v>
      </c>
      <c r="F174" s="1207" t="s">
        <v>363</v>
      </c>
      <c r="G174" s="2176">
        <v>2750</v>
      </c>
      <c r="H174" s="1264">
        <f t="shared" si="21"/>
        <v>8250</v>
      </c>
      <c r="I174" s="2177">
        <v>250</v>
      </c>
      <c r="J174" s="1264">
        <f t="shared" si="22"/>
        <v>750</v>
      </c>
      <c r="K174" s="1273">
        <f t="shared" si="23"/>
        <v>9000</v>
      </c>
      <c r="L174" s="1385"/>
      <c r="M174" s="1214"/>
      <c r="N174" s="1214"/>
      <c r="O174" s="1214"/>
      <c r="P174" s="1214"/>
    </row>
    <row r="175" spans="1:16" s="1199" customFormat="1" ht="24" customHeight="1">
      <c r="A175" s="1406" t="s">
        <v>1507</v>
      </c>
      <c r="B175" s="2174" t="s">
        <v>1508</v>
      </c>
      <c r="C175" s="1202"/>
      <c r="D175" s="1202"/>
      <c r="E175" s="1387">
        <v>4</v>
      </c>
      <c r="F175" s="1207" t="s">
        <v>363</v>
      </c>
      <c r="G175" s="2176">
        <v>2250</v>
      </c>
      <c r="H175" s="1264">
        <f t="shared" si="21"/>
        <v>9000</v>
      </c>
      <c r="I175" s="2177">
        <v>250</v>
      </c>
      <c r="J175" s="1264">
        <f t="shared" si="22"/>
        <v>1000</v>
      </c>
      <c r="K175" s="1273">
        <f t="shared" si="23"/>
        <v>10000</v>
      </c>
      <c r="L175" s="1385"/>
      <c r="M175" s="1214"/>
      <c r="N175" s="1214"/>
      <c r="O175" s="1214"/>
      <c r="P175" s="1214"/>
    </row>
    <row r="176" spans="1:16" s="1199" customFormat="1" ht="24" customHeight="1">
      <c r="A176" s="1406" t="s">
        <v>1509</v>
      </c>
      <c r="B176" s="2174" t="s">
        <v>1510</v>
      </c>
      <c r="C176" s="1202"/>
      <c r="D176" s="1202"/>
      <c r="E176" s="1387">
        <v>24</v>
      </c>
      <c r="F176" s="1207" t="s">
        <v>363</v>
      </c>
      <c r="G176" s="2176">
        <f>3300+300</f>
        <v>3600</v>
      </c>
      <c r="H176" s="1264">
        <f t="shared" si="21"/>
        <v>86400</v>
      </c>
      <c r="I176" s="2177">
        <v>200</v>
      </c>
      <c r="J176" s="1264">
        <f t="shared" si="22"/>
        <v>4800</v>
      </c>
      <c r="K176" s="1273">
        <f t="shared" si="23"/>
        <v>91200</v>
      </c>
      <c r="L176" s="1385"/>
      <c r="M176" s="1214"/>
      <c r="N176" s="1214"/>
      <c r="O176" s="1214"/>
      <c r="P176" s="1214"/>
    </row>
    <row r="177" spans="1:16" s="1199" customFormat="1" ht="24" customHeight="1">
      <c r="A177" s="1406" t="s">
        <v>1511</v>
      </c>
      <c r="B177" s="2174" t="s">
        <v>1512</v>
      </c>
      <c r="C177" s="1202"/>
      <c r="D177" s="1202"/>
      <c r="E177" s="1387">
        <v>6</v>
      </c>
      <c r="F177" s="1207" t="s">
        <v>363</v>
      </c>
      <c r="G177" s="2176">
        <v>5000</v>
      </c>
      <c r="H177" s="1264">
        <f t="shared" si="21"/>
        <v>30000</v>
      </c>
      <c r="I177" s="2177">
        <v>500</v>
      </c>
      <c r="J177" s="1264">
        <f t="shared" si="22"/>
        <v>3000</v>
      </c>
      <c r="K177" s="1273">
        <f t="shared" si="23"/>
        <v>33000</v>
      </c>
      <c r="L177" s="1385"/>
      <c r="M177" s="1214"/>
      <c r="N177" s="1214"/>
      <c r="O177" s="1214"/>
      <c r="P177" s="1214"/>
    </row>
    <row r="178" spans="1:16" s="1199" customFormat="1" ht="24" customHeight="1">
      <c r="A178" s="1406" t="s">
        <v>1513</v>
      </c>
      <c r="B178" s="2174" t="s">
        <v>1514</v>
      </c>
      <c r="C178" s="1202"/>
      <c r="D178" s="1202"/>
      <c r="E178" s="1387">
        <v>4</v>
      </c>
      <c r="F178" s="1207" t="s">
        <v>363</v>
      </c>
      <c r="G178" s="2176">
        <v>350</v>
      </c>
      <c r="H178" s="1264">
        <f t="shared" si="21"/>
        <v>1400</v>
      </c>
      <c r="I178" s="2177">
        <v>200</v>
      </c>
      <c r="J178" s="1264">
        <f t="shared" si="22"/>
        <v>800</v>
      </c>
      <c r="K178" s="1273">
        <f t="shared" si="23"/>
        <v>2200</v>
      </c>
      <c r="L178" s="1385"/>
      <c r="M178" s="1214"/>
      <c r="N178" s="1214"/>
      <c r="O178" s="1214"/>
      <c r="P178" s="1214"/>
    </row>
    <row r="179" spans="1:16" s="1199" customFormat="1" ht="24" customHeight="1">
      <c r="A179" s="1406" t="s">
        <v>1515</v>
      </c>
      <c r="B179" s="2174" t="s">
        <v>1516</v>
      </c>
      <c r="C179" s="1202"/>
      <c r="D179" s="1202"/>
      <c r="E179" s="1387">
        <v>4</v>
      </c>
      <c r="F179" s="1207" t="s">
        <v>363</v>
      </c>
      <c r="G179" s="2176">
        <v>2200</v>
      </c>
      <c r="H179" s="1264">
        <f t="shared" si="21"/>
        <v>8800</v>
      </c>
      <c r="I179" s="2177">
        <v>200</v>
      </c>
      <c r="J179" s="1264">
        <f t="shared" si="22"/>
        <v>800</v>
      </c>
      <c r="K179" s="1273">
        <f t="shared" si="23"/>
        <v>9600</v>
      </c>
      <c r="L179" s="1385"/>
      <c r="M179" s="1214"/>
      <c r="N179" s="1214"/>
      <c r="O179" s="1214"/>
      <c r="P179" s="1214"/>
    </row>
    <row r="180" spans="1:16" s="1199" customFormat="1" ht="24" customHeight="1">
      <c r="A180" s="1406" t="s">
        <v>1517</v>
      </c>
      <c r="B180" s="2174" t="s">
        <v>1518</v>
      </c>
      <c r="C180" s="1202"/>
      <c r="D180" s="1202"/>
      <c r="E180" s="1387">
        <v>28</v>
      </c>
      <c r="F180" s="1207" t="s">
        <v>363</v>
      </c>
      <c r="G180" s="2176">
        <v>4200</v>
      </c>
      <c r="H180" s="1264">
        <f t="shared" si="21"/>
        <v>117600</v>
      </c>
      <c r="I180" s="2177">
        <v>200</v>
      </c>
      <c r="J180" s="1264">
        <f t="shared" si="22"/>
        <v>5600</v>
      </c>
      <c r="K180" s="1273">
        <f t="shared" si="23"/>
        <v>123200</v>
      </c>
      <c r="L180" s="1385"/>
      <c r="M180" s="1214" t="s">
        <v>1519</v>
      </c>
      <c r="N180" s="1214"/>
      <c r="O180" s="1214"/>
      <c r="P180" s="1214"/>
    </row>
    <row r="181" spans="1:16" s="1199" customFormat="1" ht="24" customHeight="1">
      <c r="A181" s="1406" t="s">
        <v>1520</v>
      </c>
      <c r="B181" s="2174" t="s">
        <v>1521</v>
      </c>
      <c r="C181" s="1202"/>
      <c r="D181" s="1202"/>
      <c r="E181" s="1404">
        <v>2</v>
      </c>
      <c r="F181" s="1207" t="s">
        <v>363</v>
      </c>
      <c r="G181" s="2176">
        <v>5000</v>
      </c>
      <c r="H181" s="1264">
        <f t="shared" si="21"/>
        <v>10000</v>
      </c>
      <c r="I181" s="2177">
        <v>500</v>
      </c>
      <c r="J181" s="1264">
        <f t="shared" si="22"/>
        <v>1000</v>
      </c>
      <c r="K181" s="1273">
        <f t="shared" si="23"/>
        <v>11000</v>
      </c>
      <c r="L181" s="1385"/>
      <c r="M181" s="1214"/>
      <c r="N181" s="1214"/>
      <c r="O181" s="1214"/>
      <c r="P181" s="1214"/>
    </row>
    <row r="182" spans="1:16" s="1199" customFormat="1" ht="24" customHeight="1">
      <c r="A182" s="1406" t="s">
        <v>1522</v>
      </c>
      <c r="B182" s="2174" t="s">
        <v>1312</v>
      </c>
      <c r="C182" s="1202"/>
      <c r="D182" s="1202"/>
      <c r="E182" s="1404"/>
      <c r="F182" s="1384"/>
      <c r="G182" s="2176"/>
      <c r="H182" s="1264">
        <f t="shared" si="21"/>
        <v>0</v>
      </c>
      <c r="I182" s="2177"/>
      <c r="J182" s="1264">
        <f t="shared" si="22"/>
        <v>0</v>
      </c>
      <c r="K182" s="1273">
        <f t="shared" si="23"/>
        <v>0</v>
      </c>
      <c r="L182" s="1385"/>
      <c r="M182" s="1214"/>
      <c r="N182" s="1214"/>
      <c r="O182" s="1214"/>
      <c r="P182" s="1214"/>
    </row>
    <row r="183" spans="1:16" s="1199" customFormat="1" ht="24" customHeight="1">
      <c r="A183" s="1331"/>
      <c r="B183" s="2174" t="s">
        <v>1523</v>
      </c>
      <c r="C183" s="1202"/>
      <c r="D183" s="1202"/>
      <c r="E183" s="1404">
        <v>1560</v>
      </c>
      <c r="F183" s="1358" t="s">
        <v>226</v>
      </c>
      <c r="G183" s="2176">
        <v>82</v>
      </c>
      <c r="H183" s="1264">
        <f t="shared" si="21"/>
        <v>127920</v>
      </c>
      <c r="I183" s="2177">
        <v>12</v>
      </c>
      <c r="J183" s="1264">
        <f t="shared" si="22"/>
        <v>18720</v>
      </c>
      <c r="K183" s="1273">
        <f t="shared" si="23"/>
        <v>146640</v>
      </c>
      <c r="L183" s="1385"/>
      <c r="M183" s="1214"/>
      <c r="N183" s="1214"/>
      <c r="O183" s="1214"/>
      <c r="P183" s="1214"/>
    </row>
    <row r="184" spans="1:16" s="1199" customFormat="1" ht="24" customHeight="1">
      <c r="A184" s="1331"/>
      <c r="B184" s="2174" t="s">
        <v>2553</v>
      </c>
      <c r="C184" s="1202"/>
      <c r="D184" s="1202"/>
      <c r="E184" s="1404">
        <v>4800</v>
      </c>
      <c r="F184" s="1358" t="s">
        <v>226</v>
      </c>
      <c r="G184" s="2176">
        <v>6</v>
      </c>
      <c r="H184" s="1264">
        <f t="shared" si="21"/>
        <v>28800</v>
      </c>
      <c r="I184" s="2177">
        <v>6</v>
      </c>
      <c r="J184" s="1264">
        <f t="shared" si="22"/>
        <v>28800</v>
      </c>
      <c r="K184" s="1273">
        <f t="shared" si="23"/>
        <v>57600</v>
      </c>
      <c r="L184" s="1385"/>
      <c r="M184" s="1214"/>
      <c r="N184" s="1214"/>
      <c r="O184" s="1214"/>
      <c r="P184" s="1214"/>
    </row>
    <row r="185" spans="1:16" s="1199" customFormat="1" ht="24" customHeight="1">
      <c r="A185" s="1331"/>
      <c r="B185" s="1190" t="s">
        <v>1524</v>
      </c>
      <c r="C185" s="1202"/>
      <c r="D185" s="1202"/>
      <c r="E185" s="1404">
        <v>756</v>
      </c>
      <c r="F185" s="1358" t="s">
        <v>226</v>
      </c>
      <c r="G185" s="2176">
        <v>18</v>
      </c>
      <c r="H185" s="1264">
        <f t="shared" si="21"/>
        <v>13608</v>
      </c>
      <c r="I185" s="2177">
        <v>8</v>
      </c>
      <c r="J185" s="1264">
        <f t="shared" si="22"/>
        <v>6048</v>
      </c>
      <c r="K185" s="1273">
        <f t="shared" si="23"/>
        <v>19656</v>
      </c>
      <c r="L185" s="1385"/>
      <c r="M185" s="1214"/>
      <c r="N185" s="1214"/>
      <c r="O185" s="1214"/>
      <c r="P185" s="1214"/>
    </row>
    <row r="186" spans="1:16" s="1199" customFormat="1" ht="24" customHeight="1">
      <c r="A186" s="1331"/>
      <c r="B186" s="2174" t="s">
        <v>1525</v>
      </c>
      <c r="C186" s="1202"/>
      <c r="D186" s="1202"/>
      <c r="E186" s="1404">
        <v>1</v>
      </c>
      <c r="F186" s="1384" t="s">
        <v>1104</v>
      </c>
      <c r="G186" s="2176">
        <f>ROUND(SUM(H183:H185)*5%,)</f>
        <v>8516</v>
      </c>
      <c r="H186" s="1264">
        <f t="shared" si="21"/>
        <v>8516</v>
      </c>
      <c r="I186" s="2177">
        <f>ROUND(G186*0.3,)</f>
        <v>2555</v>
      </c>
      <c r="J186" s="1264">
        <f t="shared" si="22"/>
        <v>2555</v>
      </c>
      <c r="K186" s="1273">
        <f t="shared" si="23"/>
        <v>11071</v>
      </c>
      <c r="L186" s="1385"/>
      <c r="M186" s="1214"/>
      <c r="N186" s="1214"/>
      <c r="O186" s="1214"/>
      <c r="P186" s="1214"/>
    </row>
    <row r="187" spans="1:16" s="1199" customFormat="1" ht="24" customHeight="1">
      <c r="A187" s="1406" t="s">
        <v>1527</v>
      </c>
      <c r="B187" s="2174" t="s">
        <v>1526</v>
      </c>
      <c r="C187" s="1202"/>
      <c r="D187" s="1202"/>
      <c r="E187" s="1404"/>
      <c r="F187" s="1384"/>
      <c r="G187" s="2176"/>
      <c r="H187" s="1264"/>
      <c r="I187" s="2177"/>
      <c r="J187" s="1264"/>
      <c r="K187" s="1273"/>
      <c r="L187" s="1385"/>
      <c r="M187" s="1214"/>
      <c r="N187" s="1214"/>
      <c r="O187" s="1214"/>
      <c r="P187" s="1214"/>
    </row>
    <row r="188" spans="1:16" s="1199" customFormat="1" ht="24" customHeight="1">
      <c r="A188" s="1331"/>
      <c r="B188" s="2174" t="s">
        <v>1350</v>
      </c>
      <c r="C188" s="1202"/>
      <c r="D188" s="1202"/>
      <c r="E188" s="1387">
        <v>2400</v>
      </c>
      <c r="F188" s="1358" t="s">
        <v>226</v>
      </c>
      <c r="G188" s="2176">
        <v>27</v>
      </c>
      <c r="H188" s="1264">
        <f t="shared" ref="H188:H189" si="24">ROUND(E188*G188,)</f>
        <v>64800</v>
      </c>
      <c r="I188" s="2177">
        <v>22</v>
      </c>
      <c r="J188" s="1264">
        <f t="shared" ref="J188:J189" si="25">ROUND(E188*I188,)</f>
        <v>52800</v>
      </c>
      <c r="K188" s="1802">
        <f t="shared" ref="K188:K189" si="26">H188+J188</f>
        <v>117600</v>
      </c>
      <c r="L188" s="2001" t="s">
        <v>2667</v>
      </c>
      <c r="M188" s="1214"/>
      <c r="P188" s="1214"/>
    </row>
    <row r="189" spans="1:16" s="1199" customFormat="1" ht="24" customHeight="1">
      <c r="A189" s="1331"/>
      <c r="B189" s="2174" t="s">
        <v>1384</v>
      </c>
      <c r="C189" s="1202"/>
      <c r="D189" s="1202"/>
      <c r="E189" s="1387">
        <v>1</v>
      </c>
      <c r="F189" s="1384" t="s">
        <v>1104</v>
      </c>
      <c r="G189" s="2176">
        <f>SUM(H188)*15%</f>
        <v>9720</v>
      </c>
      <c r="H189" s="1264">
        <f t="shared" si="24"/>
        <v>9720</v>
      </c>
      <c r="I189" s="2177">
        <f>G189*0.3</f>
        <v>2916</v>
      </c>
      <c r="J189" s="1264">
        <f t="shared" si="25"/>
        <v>2916</v>
      </c>
      <c r="K189" s="1273">
        <f t="shared" si="26"/>
        <v>12636</v>
      </c>
      <c r="L189" s="1385"/>
      <c r="M189" s="1214"/>
      <c r="N189" s="1214"/>
      <c r="O189" s="1214"/>
      <c r="P189" s="1214"/>
    </row>
    <row r="190" spans="1:16" s="1199" customFormat="1" ht="24" customHeight="1">
      <c r="A190" s="1406" t="s">
        <v>1528</v>
      </c>
      <c r="B190" s="2174" t="s">
        <v>1110</v>
      </c>
      <c r="C190" s="1202"/>
      <c r="D190" s="1202"/>
      <c r="E190" s="1387"/>
      <c r="F190" s="1384"/>
      <c r="G190" s="2176"/>
      <c r="H190" s="1264">
        <f t="shared" si="21"/>
        <v>0</v>
      </c>
      <c r="I190" s="2177"/>
      <c r="J190" s="1264">
        <f t="shared" si="22"/>
        <v>0</v>
      </c>
      <c r="K190" s="1273">
        <f t="shared" si="23"/>
        <v>0</v>
      </c>
      <c r="L190" s="1385"/>
      <c r="M190" s="1214"/>
      <c r="N190" s="1214"/>
      <c r="O190" s="1214"/>
      <c r="P190" s="1214"/>
    </row>
    <row r="191" spans="1:16" s="1199" customFormat="1" ht="24" customHeight="1">
      <c r="A191" s="1331"/>
      <c r="B191" s="2174" t="s">
        <v>1350</v>
      </c>
      <c r="C191" s="1202"/>
      <c r="D191" s="1202"/>
      <c r="E191" s="1387"/>
      <c r="F191" s="1358" t="s">
        <v>226</v>
      </c>
      <c r="G191" s="2176">
        <v>56</v>
      </c>
      <c r="H191" s="1264">
        <f t="shared" si="21"/>
        <v>0</v>
      </c>
      <c r="I191" s="2177">
        <v>26</v>
      </c>
      <c r="J191" s="1264">
        <f t="shared" si="22"/>
        <v>0</v>
      </c>
      <c r="K191" s="1273">
        <f t="shared" si="23"/>
        <v>0</v>
      </c>
      <c r="L191" s="2001" t="s">
        <v>2667</v>
      </c>
      <c r="M191" s="1214"/>
      <c r="P191" s="1214"/>
    </row>
    <row r="192" spans="1:16" s="1199" customFormat="1" ht="24" customHeight="1">
      <c r="A192" s="1331"/>
      <c r="B192" s="2174" t="s">
        <v>1448</v>
      </c>
      <c r="C192" s="1202"/>
      <c r="D192" s="1202"/>
      <c r="E192" s="1404">
        <v>2316</v>
      </c>
      <c r="F192" s="1358" t="s">
        <v>226</v>
      </c>
      <c r="G192" s="2176">
        <v>75</v>
      </c>
      <c r="H192" s="1264">
        <f t="shared" si="21"/>
        <v>173700</v>
      </c>
      <c r="I192" s="2177">
        <v>29</v>
      </c>
      <c r="J192" s="1264">
        <f t="shared" si="22"/>
        <v>67164</v>
      </c>
      <c r="K192" s="1273">
        <f>H192+J192</f>
        <v>240864</v>
      </c>
      <c r="L192" s="2001" t="s">
        <v>2667</v>
      </c>
      <c r="P192" s="1214"/>
    </row>
    <row r="193" spans="1:16" s="1199" customFormat="1" ht="24" customHeight="1">
      <c r="A193" s="1331"/>
      <c r="B193" s="2174" t="s">
        <v>1108</v>
      </c>
      <c r="C193" s="1202"/>
      <c r="D193" s="1202"/>
      <c r="E193" s="1387">
        <v>1</v>
      </c>
      <c r="F193" s="1384" t="s">
        <v>1104</v>
      </c>
      <c r="G193" s="2176">
        <f>SUM(H191:H192)*15%</f>
        <v>26055</v>
      </c>
      <c r="H193" s="1264">
        <f t="shared" si="21"/>
        <v>26055</v>
      </c>
      <c r="I193" s="2177">
        <f>G193*0.3</f>
        <v>7816.5</v>
      </c>
      <c r="J193" s="1264">
        <f t="shared" si="22"/>
        <v>7817</v>
      </c>
      <c r="K193" s="1273">
        <f t="shared" si="23"/>
        <v>33872</v>
      </c>
      <c r="L193" s="1385"/>
      <c r="M193" s="1214"/>
      <c r="N193" s="1214"/>
      <c r="O193" s="1214"/>
      <c r="P193" s="1214"/>
    </row>
    <row r="194" spans="1:16" s="1199" customFormat="1" ht="24" customHeight="1">
      <c r="A194" s="1406" t="s">
        <v>1585</v>
      </c>
      <c r="B194" s="2174" t="s">
        <v>1449</v>
      </c>
      <c r="C194" s="1202"/>
      <c r="D194" s="1202"/>
      <c r="E194" s="1387"/>
      <c r="F194" s="1384"/>
      <c r="G194" s="2176"/>
      <c r="H194" s="1264">
        <f t="shared" si="21"/>
        <v>0</v>
      </c>
      <c r="I194" s="2177"/>
      <c r="J194" s="1264">
        <f t="shared" si="22"/>
        <v>0</v>
      </c>
      <c r="K194" s="1273">
        <f t="shared" si="23"/>
        <v>0</v>
      </c>
      <c r="L194" s="1385"/>
      <c r="M194" s="1214"/>
      <c r="N194" s="1214"/>
      <c r="O194" s="1214"/>
      <c r="P194" s="1214"/>
    </row>
    <row r="195" spans="1:16" s="1199" customFormat="1" ht="24" customHeight="1">
      <c r="A195" s="1331"/>
      <c r="B195" s="2174" t="s">
        <v>1350</v>
      </c>
      <c r="C195" s="1202"/>
      <c r="D195" s="1202"/>
      <c r="E195" s="1387">
        <v>24</v>
      </c>
      <c r="F195" s="1358" t="s">
        <v>226</v>
      </c>
      <c r="G195" s="2176">
        <v>14</v>
      </c>
      <c r="H195" s="1264">
        <f t="shared" si="21"/>
        <v>336</v>
      </c>
      <c r="I195" s="2177">
        <v>11</v>
      </c>
      <c r="J195" s="1264">
        <f t="shared" si="22"/>
        <v>264</v>
      </c>
      <c r="K195" s="1273">
        <f t="shared" si="23"/>
        <v>600</v>
      </c>
      <c r="L195" s="1385"/>
      <c r="M195" s="1214"/>
      <c r="N195" s="1214"/>
      <c r="O195" s="1214"/>
      <c r="P195" s="1214"/>
    </row>
    <row r="196" spans="1:16" s="1199" customFormat="1" ht="24" customHeight="1">
      <c r="A196" s="1331"/>
      <c r="B196" s="2174" t="s">
        <v>1117</v>
      </c>
      <c r="C196" s="1202"/>
      <c r="D196" s="1202"/>
      <c r="E196" s="1387"/>
      <c r="F196" s="1384"/>
      <c r="G196" s="2176"/>
      <c r="H196" s="1388"/>
      <c r="I196" s="2177"/>
      <c r="J196" s="1385"/>
      <c r="K196" s="1385"/>
      <c r="L196" s="1385"/>
      <c r="M196" s="1214"/>
      <c r="N196" s="1214"/>
      <c r="O196" s="1214"/>
      <c r="P196" s="1214"/>
    </row>
    <row r="197" spans="1:16" s="1199" customFormat="1" ht="24" customHeight="1">
      <c r="A197" s="1331"/>
      <c r="B197" s="2174" t="s">
        <v>1369</v>
      </c>
      <c r="C197" s="1202"/>
      <c r="D197" s="1202"/>
      <c r="E197" s="1387"/>
      <c r="F197" s="1384"/>
      <c r="G197" s="2176"/>
      <c r="H197" s="1388"/>
      <c r="I197" s="2177"/>
      <c r="J197" s="1385"/>
      <c r="K197" s="1385"/>
      <c r="L197" s="1385"/>
      <c r="M197" s="1214"/>
      <c r="N197" s="1214"/>
      <c r="O197" s="1214"/>
      <c r="P197" s="1214"/>
    </row>
    <row r="198" spans="1:16" s="1199" customFormat="1" ht="24" customHeight="1">
      <c r="A198" s="1331"/>
      <c r="B198" s="2174" t="s">
        <v>1118</v>
      </c>
      <c r="C198" s="1202"/>
      <c r="D198" s="1202"/>
      <c r="E198" s="1387"/>
      <c r="F198" s="1384"/>
      <c r="G198" s="2176"/>
      <c r="H198" s="1388"/>
      <c r="I198" s="2177"/>
      <c r="J198" s="1385"/>
      <c r="K198" s="1385"/>
      <c r="L198" s="1385"/>
      <c r="M198" s="1214"/>
      <c r="N198" s="1214"/>
      <c r="O198" s="1214"/>
      <c r="P198" s="1214"/>
    </row>
    <row r="199" spans="1:16" s="1199" customFormat="1" ht="24" customHeight="1">
      <c r="A199" s="1331"/>
      <c r="B199" s="1240"/>
      <c r="C199" s="1202"/>
      <c r="D199" s="1202"/>
      <c r="E199" s="1387"/>
      <c r="F199" s="1384"/>
      <c r="G199" s="2176"/>
      <c r="H199" s="1388"/>
      <c r="I199" s="2177"/>
      <c r="J199" s="1385"/>
      <c r="K199" s="1385"/>
      <c r="L199" s="1385"/>
      <c r="M199" s="1214"/>
      <c r="N199" s="1214"/>
      <c r="O199" s="1214"/>
      <c r="P199" s="1214"/>
    </row>
    <row r="200" spans="1:16" s="1199" customFormat="1" ht="24" customHeight="1">
      <c r="A200" s="1331"/>
      <c r="B200" s="1240"/>
      <c r="C200" s="1202"/>
      <c r="D200" s="1202"/>
      <c r="E200" s="1387"/>
      <c r="F200" s="1384"/>
      <c r="G200" s="2176"/>
      <c r="H200" s="1388"/>
      <c r="I200" s="2177"/>
      <c r="J200" s="1385"/>
      <c r="K200" s="1385"/>
      <c r="L200" s="1385"/>
      <c r="M200" s="1214"/>
      <c r="N200" s="1214"/>
      <c r="O200" s="1214"/>
      <c r="P200" s="1214"/>
    </row>
    <row r="201" spans="1:16" s="1199" customFormat="1" ht="24" customHeight="1">
      <c r="A201" s="1331"/>
      <c r="B201" s="1416"/>
      <c r="C201" s="1202"/>
      <c r="D201" s="1202"/>
      <c r="E201" s="1387"/>
      <c r="F201" s="1384"/>
      <c r="G201" s="2176"/>
      <c r="H201" s="1388"/>
      <c r="I201" s="2177"/>
      <c r="J201" s="1385"/>
      <c r="K201" s="1385"/>
      <c r="L201" s="1385"/>
      <c r="M201" s="1214"/>
      <c r="N201" s="1214"/>
      <c r="O201" s="1214"/>
      <c r="P201" s="1214"/>
    </row>
    <row r="202" spans="1:16" s="1199" customFormat="1" ht="24" customHeight="1">
      <c r="A202" s="1243"/>
      <c r="B202" s="2257" t="str">
        <f>"รวมราคารายการที่ "&amp;A162</f>
        <v>รวมราคารายการที่ 3.7</v>
      </c>
      <c r="C202" s="2258"/>
      <c r="D202" s="2259"/>
      <c r="E202" s="1244"/>
      <c r="F202" s="1245"/>
      <c r="G202" s="1246"/>
      <c r="H202" s="1247">
        <f>SUM(H163:H197)</f>
        <v>913405</v>
      </c>
      <c r="I202" s="1246"/>
      <c r="J202" s="1247">
        <f t="shared" ref="J202:K202" si="27">SUM(J163:J197)</f>
        <v>226034</v>
      </c>
      <c r="K202" s="1247">
        <f t="shared" si="27"/>
        <v>1139439</v>
      </c>
      <c r="L202" s="1245"/>
      <c r="M202" s="1214"/>
      <c r="N202" s="1214"/>
      <c r="O202" s="1214"/>
      <c r="P202" s="1214"/>
    </row>
    <row r="203" spans="1:16" s="1199" customFormat="1" ht="24" customHeight="1">
      <c r="A203" s="1435" t="s">
        <v>1290</v>
      </c>
      <c r="B203" s="1436" t="s">
        <v>1404</v>
      </c>
      <c r="C203" s="1202"/>
      <c r="D203" s="1202"/>
      <c r="E203" s="1387"/>
      <c r="F203" s="1407"/>
      <c r="G203" s="2176"/>
      <c r="H203" s="1388"/>
      <c r="I203" s="2177"/>
      <c r="J203" s="1385"/>
      <c r="K203" s="1385"/>
      <c r="L203" s="1385"/>
      <c r="M203" s="1214"/>
      <c r="N203" s="1214"/>
      <c r="O203" s="1214"/>
      <c r="P203" s="1214"/>
    </row>
    <row r="204" spans="1:16" s="1199" customFormat="1" ht="24" customHeight="1">
      <c r="A204" s="1406" t="s">
        <v>1292</v>
      </c>
      <c r="B204" s="2174" t="s">
        <v>1529</v>
      </c>
      <c r="C204" s="1202"/>
      <c r="D204" s="1202"/>
      <c r="E204" s="1387">
        <v>4</v>
      </c>
      <c r="F204" s="1207" t="s">
        <v>363</v>
      </c>
      <c r="G204" s="2176">
        <v>900</v>
      </c>
      <c r="H204" s="1264">
        <f t="shared" ref="H204:H210" si="28">ROUND(G204*E204,)</f>
        <v>3600</v>
      </c>
      <c r="I204" s="2177">
        <v>140</v>
      </c>
      <c r="J204" s="1264">
        <f t="shared" ref="J204:J216" si="29">ROUND(E204*I204,)</f>
        <v>560</v>
      </c>
      <c r="K204" s="1273">
        <f t="shared" ref="K204:K216" si="30">H204+J204</f>
        <v>4160</v>
      </c>
      <c r="L204" s="1385"/>
      <c r="M204" s="1214"/>
      <c r="N204" s="1214"/>
      <c r="O204" s="1214"/>
      <c r="P204" s="1214"/>
    </row>
    <row r="205" spans="1:16" s="1199" customFormat="1" ht="24" customHeight="1">
      <c r="A205" s="1406" t="s">
        <v>1299</v>
      </c>
      <c r="B205" s="2174" t="s">
        <v>1530</v>
      </c>
      <c r="C205" s="1202"/>
      <c r="D205" s="1202"/>
      <c r="E205" s="1387">
        <v>8</v>
      </c>
      <c r="F205" s="1207" t="s">
        <v>363</v>
      </c>
      <c r="G205" s="2176">
        <v>5700</v>
      </c>
      <c r="H205" s="1264">
        <f t="shared" si="28"/>
        <v>45600</v>
      </c>
      <c r="I205" s="2177">
        <v>140</v>
      </c>
      <c r="J205" s="1264">
        <f t="shared" si="29"/>
        <v>1120</v>
      </c>
      <c r="K205" s="1273">
        <f t="shared" si="30"/>
        <v>46720</v>
      </c>
      <c r="L205" s="1385"/>
      <c r="M205" s="1214"/>
      <c r="N205" s="1214"/>
      <c r="O205" s="1214"/>
      <c r="P205" s="1214"/>
    </row>
    <row r="206" spans="1:16" s="1199" customFormat="1" ht="24" customHeight="1">
      <c r="A206" s="1406" t="s">
        <v>1301</v>
      </c>
      <c r="B206" s="2174" t="s">
        <v>1531</v>
      </c>
      <c r="C206" s="1202"/>
      <c r="D206" s="1202"/>
      <c r="E206" s="1387">
        <v>2</v>
      </c>
      <c r="F206" s="1207" t="s">
        <v>363</v>
      </c>
      <c r="G206" s="2176">
        <v>3800</v>
      </c>
      <c r="H206" s="1264">
        <f t="shared" si="28"/>
        <v>7600</v>
      </c>
      <c r="I206" s="2177">
        <v>200</v>
      </c>
      <c r="J206" s="1264">
        <f t="shared" si="29"/>
        <v>400</v>
      </c>
      <c r="K206" s="1273">
        <f t="shared" si="30"/>
        <v>8000</v>
      </c>
      <c r="L206" s="1385"/>
      <c r="M206" s="1214"/>
      <c r="N206" s="1214"/>
      <c r="O206" s="1214"/>
      <c r="P206" s="1214"/>
    </row>
    <row r="207" spans="1:16" s="1199" customFormat="1" ht="24" customHeight="1">
      <c r="A207" s="1406" t="s">
        <v>1309</v>
      </c>
      <c r="B207" s="2174" t="s">
        <v>1532</v>
      </c>
      <c r="C207" s="1202"/>
      <c r="D207" s="1202"/>
      <c r="E207" s="1387">
        <v>2</v>
      </c>
      <c r="F207" s="1207" t="s">
        <v>363</v>
      </c>
      <c r="G207" s="2176">
        <v>5000</v>
      </c>
      <c r="H207" s="1264">
        <f t="shared" si="28"/>
        <v>10000</v>
      </c>
      <c r="I207" s="2177">
        <f>G207*0.1</f>
        <v>500</v>
      </c>
      <c r="J207" s="1264">
        <f t="shared" si="29"/>
        <v>1000</v>
      </c>
      <c r="K207" s="1273">
        <f t="shared" si="30"/>
        <v>11000</v>
      </c>
      <c r="L207" s="1385"/>
      <c r="M207" s="1214"/>
      <c r="N207" s="1214"/>
      <c r="O207" s="1214"/>
      <c r="P207" s="1214"/>
    </row>
    <row r="208" spans="1:16" s="1199" customFormat="1" ht="24" customHeight="1">
      <c r="A208" s="1406" t="s">
        <v>1533</v>
      </c>
      <c r="B208" s="2174" t="s">
        <v>1312</v>
      </c>
      <c r="C208" s="1202"/>
      <c r="D208" s="1202"/>
      <c r="E208" s="1387"/>
      <c r="F208" s="1384"/>
      <c r="G208" s="2176"/>
      <c r="H208" s="1264">
        <f t="shared" si="28"/>
        <v>0</v>
      </c>
      <c r="I208" s="2177"/>
      <c r="J208" s="1264">
        <f t="shared" si="29"/>
        <v>0</v>
      </c>
      <c r="K208" s="1273">
        <f t="shared" si="30"/>
        <v>0</v>
      </c>
      <c r="L208" s="1385"/>
      <c r="M208" s="1214"/>
      <c r="N208" s="1214"/>
      <c r="O208" s="1214"/>
      <c r="P208" s="1214"/>
    </row>
    <row r="209" spans="1:16" s="1199" customFormat="1" ht="24" customHeight="1">
      <c r="A209" s="1331"/>
      <c r="B209" s="1259" t="s">
        <v>2542</v>
      </c>
      <c r="C209" s="1202"/>
      <c r="D209" s="1202"/>
      <c r="E209" s="1387">
        <v>360</v>
      </c>
      <c r="F209" s="1358" t="s">
        <v>226</v>
      </c>
      <c r="G209" s="1386">
        <v>24</v>
      </c>
      <c r="H209" s="1264">
        <f t="shared" si="28"/>
        <v>8640</v>
      </c>
      <c r="I209" s="1414">
        <v>10</v>
      </c>
      <c r="J209" s="1264">
        <f t="shared" si="29"/>
        <v>3600</v>
      </c>
      <c r="K209" s="1273">
        <f t="shared" si="30"/>
        <v>12240</v>
      </c>
      <c r="L209" s="1385"/>
      <c r="M209" s="1214"/>
      <c r="N209" s="1214"/>
      <c r="O209" s="1214"/>
      <c r="P209" s="1214"/>
    </row>
    <row r="210" spans="1:16" s="1199" customFormat="1" ht="24" customHeight="1">
      <c r="A210" s="1331"/>
      <c r="B210" s="1259" t="s">
        <v>2543</v>
      </c>
      <c r="C210" s="1202"/>
      <c r="D210" s="1202"/>
      <c r="E210" s="1387">
        <v>100</v>
      </c>
      <c r="F210" s="1358" t="s">
        <v>226</v>
      </c>
      <c r="G210" s="1386">
        <v>31</v>
      </c>
      <c r="H210" s="1264">
        <f t="shared" si="28"/>
        <v>3100</v>
      </c>
      <c r="I210" s="1414">
        <v>10</v>
      </c>
      <c r="J210" s="1264">
        <f t="shared" si="29"/>
        <v>1000</v>
      </c>
      <c r="K210" s="1273">
        <f t="shared" si="30"/>
        <v>4100</v>
      </c>
      <c r="L210" s="1385"/>
      <c r="M210" s="1214"/>
      <c r="N210" s="1214"/>
      <c r="O210" s="1214"/>
      <c r="P210" s="1214"/>
    </row>
    <row r="211" spans="1:16" s="1199" customFormat="1" ht="24" customHeight="1">
      <c r="A211" s="1331"/>
      <c r="B211" s="1259" t="s">
        <v>1525</v>
      </c>
      <c r="C211" s="1202"/>
      <c r="D211" s="1202"/>
      <c r="E211" s="1387">
        <v>1</v>
      </c>
      <c r="F211" s="1384" t="s">
        <v>1104</v>
      </c>
      <c r="G211" s="2176">
        <f>SUM(H209:H210)*5%</f>
        <v>587</v>
      </c>
      <c r="H211" s="1264">
        <f>ROUND(E211*G211,)</f>
        <v>587</v>
      </c>
      <c r="I211" s="2177">
        <f>ROUND(G211*0.3,)</f>
        <v>176</v>
      </c>
      <c r="J211" s="1264">
        <f t="shared" si="29"/>
        <v>176</v>
      </c>
      <c r="K211" s="1273">
        <f t="shared" si="30"/>
        <v>763</v>
      </c>
      <c r="L211" s="1385"/>
      <c r="M211" s="1214"/>
      <c r="N211" s="1214"/>
      <c r="O211" s="1214"/>
      <c r="P211" s="1214"/>
    </row>
    <row r="212" spans="1:16" s="1199" customFormat="1" ht="24" customHeight="1">
      <c r="A212" s="1406" t="s">
        <v>1536</v>
      </c>
      <c r="B212" s="2174" t="s">
        <v>1526</v>
      </c>
      <c r="C212" s="1202"/>
      <c r="D212" s="1202"/>
      <c r="E212" s="1387"/>
      <c r="F212" s="1384"/>
      <c r="G212" s="2176"/>
      <c r="H212" s="1264">
        <f>ROUND(G212*E212,)</f>
        <v>0</v>
      </c>
      <c r="I212" s="2177"/>
      <c r="J212" s="1264">
        <f t="shared" si="29"/>
        <v>0</v>
      </c>
      <c r="K212" s="1273">
        <f t="shared" si="30"/>
        <v>0</v>
      </c>
      <c r="L212" s="1385"/>
      <c r="M212" s="1214"/>
      <c r="N212" s="1214"/>
      <c r="O212" s="1214"/>
      <c r="P212" s="1214"/>
    </row>
    <row r="213" spans="1:16" s="1199" customFormat="1" ht="24" customHeight="1">
      <c r="A213" s="1331"/>
      <c r="B213" s="2174" t="s">
        <v>1350</v>
      </c>
      <c r="C213" s="1202"/>
      <c r="D213" s="1202"/>
      <c r="E213" s="1387">
        <v>460</v>
      </c>
      <c r="F213" s="1358" t="s">
        <v>226</v>
      </c>
      <c r="G213" s="2176">
        <v>27</v>
      </c>
      <c r="H213" s="1264">
        <f>ROUND(G213*E213,)</f>
        <v>12420</v>
      </c>
      <c r="I213" s="2177">
        <v>22</v>
      </c>
      <c r="J213" s="1264">
        <f t="shared" si="29"/>
        <v>10120</v>
      </c>
      <c r="K213" s="1273">
        <f t="shared" si="30"/>
        <v>22540</v>
      </c>
      <c r="L213" s="2001" t="s">
        <v>2667</v>
      </c>
      <c r="M213" s="1214"/>
      <c r="P213" s="1214"/>
    </row>
    <row r="214" spans="1:16" s="1199" customFormat="1" ht="24" customHeight="1">
      <c r="A214" s="1331"/>
      <c r="B214" s="2174" t="s">
        <v>1384</v>
      </c>
      <c r="C214" s="1202"/>
      <c r="D214" s="1202"/>
      <c r="E214" s="1387">
        <v>1</v>
      </c>
      <c r="F214" s="1407" t="s">
        <v>1104</v>
      </c>
      <c r="G214" s="2176">
        <f>SUM(H213:H213)*15%</f>
        <v>1863</v>
      </c>
      <c r="H214" s="1264">
        <f>ROUND(G214*E214,)</f>
        <v>1863</v>
      </c>
      <c r="I214" s="2177">
        <f>ROUND(G214*0.3,)</f>
        <v>559</v>
      </c>
      <c r="J214" s="1264">
        <f t="shared" si="29"/>
        <v>559</v>
      </c>
      <c r="K214" s="1273">
        <f t="shared" si="30"/>
        <v>2422</v>
      </c>
      <c r="L214" s="1385"/>
      <c r="M214" s="1214"/>
      <c r="N214" s="1214"/>
      <c r="O214" s="1214"/>
      <c r="P214" s="1214"/>
    </row>
    <row r="215" spans="1:16" s="1199" customFormat="1" ht="24" customHeight="1">
      <c r="A215" s="1406" t="s">
        <v>1537</v>
      </c>
      <c r="B215" s="2174" t="s">
        <v>1449</v>
      </c>
      <c r="C215" s="1202"/>
      <c r="D215" s="1202"/>
      <c r="E215" s="1387"/>
      <c r="F215" s="1384"/>
      <c r="G215" s="2176"/>
      <c r="H215" s="1264">
        <f>ROUND(G215*E215,)</f>
        <v>0</v>
      </c>
      <c r="I215" s="2177"/>
      <c r="J215" s="1264">
        <f t="shared" si="29"/>
        <v>0</v>
      </c>
      <c r="K215" s="1273">
        <f t="shared" si="30"/>
        <v>0</v>
      </c>
      <c r="L215" s="1385"/>
      <c r="M215" s="1214"/>
      <c r="N215" s="1214"/>
      <c r="O215" s="1214"/>
      <c r="P215" s="1214"/>
    </row>
    <row r="216" spans="1:16" s="1199" customFormat="1" ht="24" customHeight="1">
      <c r="A216" s="1331"/>
      <c r="B216" s="2174" t="s">
        <v>1350</v>
      </c>
      <c r="C216" s="1202"/>
      <c r="D216" s="1202"/>
      <c r="E216" s="1387">
        <v>4</v>
      </c>
      <c r="F216" s="1358" t="s">
        <v>226</v>
      </c>
      <c r="G216" s="2176">
        <v>14</v>
      </c>
      <c r="H216" s="1264">
        <f>ROUND(G216*E216,)</f>
        <v>56</v>
      </c>
      <c r="I216" s="2177">
        <v>11</v>
      </c>
      <c r="J216" s="1264">
        <f t="shared" si="29"/>
        <v>44</v>
      </c>
      <c r="K216" s="1273">
        <f t="shared" si="30"/>
        <v>100</v>
      </c>
      <c r="L216" s="2001"/>
      <c r="M216" s="1214"/>
      <c r="P216" s="1214"/>
    </row>
    <row r="217" spans="1:16" s="1199" customFormat="1" ht="24" customHeight="1">
      <c r="A217" s="1406" t="s">
        <v>1538</v>
      </c>
      <c r="B217" s="2174" t="s">
        <v>1381</v>
      </c>
      <c r="C217" s="1202"/>
      <c r="D217" s="1202"/>
      <c r="E217" s="1387"/>
      <c r="F217" s="1384" t="s">
        <v>1104</v>
      </c>
      <c r="G217" s="2176"/>
      <c r="H217" s="1264"/>
      <c r="I217" s="2177"/>
      <c r="J217" s="1264"/>
      <c r="K217" s="1273"/>
      <c r="L217" s="1385"/>
      <c r="M217" s="1214"/>
      <c r="N217" s="1214"/>
      <c r="O217" s="1214"/>
      <c r="P217" s="1214"/>
    </row>
    <row r="218" spans="1:16" s="1199" customFormat="1" ht="24" customHeight="1">
      <c r="A218" s="1331"/>
      <c r="B218" s="2174" t="s">
        <v>1117</v>
      </c>
      <c r="C218" s="1202"/>
      <c r="D218" s="1202"/>
      <c r="E218" s="1387"/>
      <c r="F218" s="1384"/>
      <c r="G218" s="2176"/>
      <c r="H218" s="1388"/>
      <c r="I218" s="2177"/>
      <c r="J218" s="1385"/>
      <c r="K218" s="1385"/>
      <c r="L218" s="1385"/>
      <c r="M218" s="1214"/>
      <c r="N218" s="1214"/>
      <c r="O218" s="1214"/>
      <c r="P218" s="1214"/>
    </row>
    <row r="219" spans="1:16" s="1199" customFormat="1" ht="24" customHeight="1">
      <c r="A219" s="1359"/>
      <c r="B219" s="1190" t="s">
        <v>1118</v>
      </c>
      <c r="C219" s="1225"/>
      <c r="D219" s="1225"/>
      <c r="E219" s="1390"/>
      <c r="F219" s="1391"/>
      <c r="G219" s="1392"/>
      <c r="H219" s="1393"/>
      <c r="I219" s="1394"/>
      <c r="J219" s="1395"/>
      <c r="K219" s="1395"/>
      <c r="L219" s="1395"/>
      <c r="M219" s="1214"/>
      <c r="N219" s="1214"/>
      <c r="O219" s="1214"/>
      <c r="P219" s="1214"/>
    </row>
    <row r="220" spans="1:16" s="1199" customFormat="1" ht="24" customHeight="1">
      <c r="A220" s="1331"/>
      <c r="B220" s="2174" t="s">
        <v>1118</v>
      </c>
      <c r="C220" s="1202"/>
      <c r="D220" s="1202"/>
      <c r="E220" s="1387"/>
      <c r="F220" s="1384"/>
      <c r="G220" s="2176"/>
      <c r="H220" s="1388"/>
      <c r="I220" s="2177"/>
      <c r="J220" s="1385"/>
      <c r="K220" s="1385"/>
      <c r="L220" s="1385"/>
      <c r="M220" s="1214"/>
      <c r="N220" s="1214"/>
      <c r="O220" s="1214"/>
      <c r="P220" s="1214"/>
    </row>
    <row r="221" spans="1:16" s="1199" customFormat="1" ht="24" customHeight="1">
      <c r="A221" s="1331"/>
      <c r="B221" s="1240"/>
      <c r="C221" s="1202"/>
      <c r="D221" s="1202"/>
      <c r="E221" s="1387"/>
      <c r="F221" s="1384"/>
      <c r="G221" s="2176"/>
      <c r="H221" s="1388"/>
      <c r="I221" s="2177"/>
      <c r="J221" s="1385"/>
      <c r="K221" s="1385"/>
      <c r="L221" s="1385"/>
      <c r="M221" s="1214"/>
      <c r="N221" s="1214"/>
      <c r="O221" s="1214"/>
      <c r="P221" s="1214"/>
    </row>
    <row r="222" spans="1:16" s="1199" customFormat="1" ht="24" customHeight="1">
      <c r="A222" s="1331"/>
      <c r="B222" s="1240"/>
      <c r="C222" s="1202"/>
      <c r="D222" s="1202"/>
      <c r="E222" s="1387"/>
      <c r="F222" s="1384"/>
      <c r="G222" s="2176"/>
      <c r="H222" s="1388"/>
      <c r="I222" s="2177"/>
      <c r="J222" s="1385"/>
      <c r="K222" s="1385"/>
      <c r="L222" s="1385"/>
      <c r="M222" s="1214"/>
      <c r="N222" s="1214"/>
      <c r="O222" s="1214"/>
      <c r="P222" s="1214"/>
    </row>
    <row r="223" spans="1:16" s="1199" customFormat="1" ht="24" customHeight="1">
      <c r="A223" s="1331"/>
      <c r="B223" s="1240"/>
      <c r="C223" s="1202"/>
      <c r="D223" s="1202"/>
      <c r="E223" s="1387"/>
      <c r="F223" s="1384"/>
      <c r="G223" s="2176"/>
      <c r="H223" s="1388"/>
      <c r="I223" s="2177"/>
      <c r="J223" s="1385"/>
      <c r="K223" s="1385"/>
      <c r="L223" s="1385"/>
      <c r="M223" s="1214"/>
      <c r="N223" s="1214"/>
      <c r="O223" s="1214"/>
      <c r="P223" s="1214"/>
    </row>
    <row r="224" spans="1:16" s="1199" customFormat="1" ht="24" customHeight="1">
      <c r="A224" s="1331"/>
      <c r="B224" s="1240"/>
      <c r="C224" s="1202"/>
      <c r="D224" s="1202"/>
      <c r="E224" s="1387"/>
      <c r="F224" s="1384"/>
      <c r="G224" s="2176"/>
      <c r="H224" s="1388"/>
      <c r="I224" s="2177"/>
      <c r="J224" s="1385"/>
      <c r="K224" s="1385"/>
      <c r="L224" s="1385"/>
      <c r="M224" s="1214"/>
      <c r="N224" s="1214"/>
      <c r="O224" s="1214"/>
      <c r="P224" s="1214"/>
    </row>
    <row r="225" spans="1:21" s="1199" customFormat="1" ht="24" customHeight="1">
      <c r="A225" s="1331"/>
      <c r="B225" s="1416"/>
      <c r="C225" s="1202"/>
      <c r="D225" s="1202"/>
      <c r="E225" s="1387"/>
      <c r="F225" s="1384"/>
      <c r="G225" s="2176"/>
      <c r="H225" s="1388"/>
      <c r="I225" s="2177"/>
      <c r="J225" s="1385"/>
      <c r="K225" s="1385"/>
      <c r="L225" s="1385"/>
      <c r="M225" s="1214"/>
      <c r="N225" s="1214"/>
      <c r="O225" s="1214"/>
      <c r="P225" s="1214"/>
    </row>
    <row r="226" spans="1:21" s="1199" customFormat="1" ht="24" customHeight="1">
      <c r="A226" s="1243"/>
      <c r="B226" s="2257" t="str">
        <f>"รวมราคารายการที่ "&amp;A203</f>
        <v>รวมราคารายการที่ 3.8</v>
      </c>
      <c r="C226" s="2258"/>
      <c r="D226" s="2259"/>
      <c r="E226" s="1244"/>
      <c r="F226" s="1245"/>
      <c r="G226" s="1246"/>
      <c r="H226" s="1247">
        <f>SUM(H204:H219)</f>
        <v>93466</v>
      </c>
      <c r="I226" s="1246"/>
      <c r="J226" s="1247">
        <f t="shared" ref="J226:K226" si="31">SUM(J204:J219)</f>
        <v>18579</v>
      </c>
      <c r="K226" s="1247">
        <f t="shared" si="31"/>
        <v>112045</v>
      </c>
      <c r="L226" s="1245"/>
      <c r="M226" s="1214"/>
      <c r="N226" s="1214"/>
      <c r="O226" s="1214"/>
      <c r="P226" s="1214"/>
    </row>
    <row r="227" spans="1:21" s="1199" customFormat="1" ht="24" customHeight="1">
      <c r="A227" s="1381" t="s">
        <v>1311</v>
      </c>
      <c r="B227" s="1292" t="s">
        <v>1419</v>
      </c>
      <c r="C227" s="1235"/>
      <c r="D227" s="1235"/>
      <c r="E227" s="1397"/>
      <c r="F227" s="1398"/>
      <c r="G227" s="1399"/>
      <c r="H227" s="1400"/>
      <c r="I227" s="1401"/>
      <c r="J227" s="1402"/>
      <c r="K227" s="1402"/>
      <c r="L227" s="1402"/>
      <c r="M227" s="1214"/>
      <c r="N227" s="1214"/>
      <c r="O227" s="1214"/>
      <c r="P227" s="1214"/>
    </row>
    <row r="228" spans="1:21" s="1199" customFormat="1" ht="24" customHeight="1">
      <c r="A228" s="1474" t="s">
        <v>1313</v>
      </c>
      <c r="B228" s="2174" t="s">
        <v>2709</v>
      </c>
      <c r="C228" s="1191"/>
      <c r="D228" s="1471"/>
      <c r="E228" s="1206"/>
      <c r="F228" s="1207"/>
      <c r="G228" s="1541"/>
      <c r="H228" s="1273"/>
      <c r="I228" s="2177"/>
      <c r="J228" s="1264"/>
      <c r="K228" s="1265"/>
      <c r="L228" s="1473"/>
      <c r="M228" s="1214"/>
      <c r="N228" s="1214"/>
      <c r="O228" s="1214"/>
      <c r="P228" s="1214"/>
      <c r="Q228" s="1214"/>
      <c r="R228" s="1214"/>
      <c r="S228" s="1214"/>
      <c r="T228" s="1214"/>
      <c r="U228" s="1214"/>
    </row>
    <row r="229" spans="1:21" s="1199" customFormat="1" ht="24" customHeight="1">
      <c r="A229" s="1474"/>
      <c r="B229" s="2174" t="s">
        <v>1573</v>
      </c>
      <c r="C229" s="1191"/>
      <c r="D229" s="1471"/>
      <c r="E229" s="1206">
        <v>2</v>
      </c>
      <c r="F229" s="1207" t="s">
        <v>363</v>
      </c>
      <c r="G229" s="2179">
        <v>50000</v>
      </c>
      <c r="H229" s="1343">
        <f>ROUND(E229*G229,)</f>
        <v>100000</v>
      </c>
      <c r="I229" s="1344">
        <f>G229*0.01</f>
        <v>500</v>
      </c>
      <c r="J229" s="1343">
        <f>ROUND(I229*E229,)</f>
        <v>1000</v>
      </c>
      <c r="K229" s="1344">
        <f>H229+J229</f>
        <v>101000</v>
      </c>
      <c r="L229" s="1473"/>
      <c r="M229" s="1214"/>
      <c r="N229" s="1214"/>
      <c r="O229" s="1214"/>
      <c r="P229" s="1214"/>
      <c r="Q229" s="1214"/>
      <c r="R229" s="1214"/>
      <c r="S229" s="1214"/>
      <c r="T229" s="1214"/>
      <c r="U229" s="1214"/>
    </row>
    <row r="230" spans="1:21" s="1199" customFormat="1" ht="24" customHeight="1">
      <c r="A230" s="1474"/>
      <c r="B230" s="2174" t="s">
        <v>1574</v>
      </c>
      <c r="C230" s="1191"/>
      <c r="D230" s="1471"/>
      <c r="E230" s="1206">
        <v>2</v>
      </c>
      <c r="F230" s="1207" t="s">
        <v>363</v>
      </c>
      <c r="G230" s="2179">
        <v>25000</v>
      </c>
      <c r="H230" s="1343">
        <f>ROUND(E230*G230,)</f>
        <v>50000</v>
      </c>
      <c r="I230" s="1344">
        <f>ROUND(G230*0.01,)</f>
        <v>250</v>
      </c>
      <c r="J230" s="1343">
        <f>ROUND(I230*E230,)</f>
        <v>500</v>
      </c>
      <c r="K230" s="1344">
        <f>H230+J230</f>
        <v>50500</v>
      </c>
      <c r="L230" s="1473"/>
      <c r="M230" s="1214"/>
      <c r="N230" s="1214"/>
      <c r="O230" s="1214"/>
      <c r="P230" s="1214"/>
      <c r="Q230" s="1214"/>
      <c r="R230" s="1214"/>
      <c r="S230" s="1214"/>
      <c r="T230" s="1214"/>
      <c r="U230" s="1214"/>
    </row>
    <row r="231" spans="1:21" s="1199" customFormat="1" ht="24" customHeight="1">
      <c r="A231" s="1475"/>
      <c r="B231" s="2174" t="s">
        <v>1575</v>
      </c>
      <c r="C231" s="1191"/>
      <c r="D231" s="1471"/>
      <c r="E231" s="1206">
        <v>48</v>
      </c>
      <c r="F231" s="1207" t="s">
        <v>363</v>
      </c>
      <c r="G231" s="2179">
        <v>400</v>
      </c>
      <c r="H231" s="1343">
        <f>ROUND(E231*G231,)</f>
        <v>19200</v>
      </c>
      <c r="I231" s="1344">
        <f>ROUND(G231*0.01,)</f>
        <v>4</v>
      </c>
      <c r="J231" s="1343">
        <f>ROUND(I231*E231,)</f>
        <v>192</v>
      </c>
      <c r="K231" s="1344">
        <f>H231+J231</f>
        <v>19392</v>
      </c>
      <c r="L231" s="1473"/>
      <c r="M231" s="1214"/>
      <c r="N231" s="1214"/>
      <c r="O231" s="1214"/>
      <c r="P231" s="1214"/>
      <c r="Q231" s="1214"/>
      <c r="R231" s="1214"/>
      <c r="S231" s="1214"/>
      <c r="T231" s="1214"/>
      <c r="U231" s="1214"/>
    </row>
    <row r="232" spans="1:21" s="1199" customFormat="1" ht="24" customHeight="1">
      <c r="A232" s="1475"/>
      <c r="B232" s="2174" t="s">
        <v>2710</v>
      </c>
      <c r="C232" s="1191"/>
      <c r="D232" s="1471"/>
      <c r="E232" s="1206"/>
      <c r="F232" s="1207" t="s">
        <v>363</v>
      </c>
      <c r="G232" s="2179"/>
      <c r="H232" s="1273"/>
      <c r="I232" s="1265"/>
      <c r="J232" s="1264"/>
      <c r="K232" s="1265"/>
      <c r="L232" s="1473"/>
      <c r="M232" s="1214"/>
      <c r="N232" s="1214"/>
      <c r="O232" s="1214"/>
      <c r="P232" s="1214"/>
      <c r="Q232" s="1214"/>
      <c r="R232" s="1214"/>
      <c r="S232" s="1214"/>
      <c r="T232" s="1214"/>
      <c r="U232" s="1214"/>
    </row>
    <row r="233" spans="1:21" s="1199" customFormat="1" ht="24" customHeight="1">
      <c r="A233" s="1559"/>
      <c r="B233" s="2174" t="s">
        <v>1684</v>
      </c>
      <c r="C233" s="1191"/>
      <c r="D233" s="1471"/>
      <c r="E233" s="1206"/>
      <c r="F233" s="1207" t="s">
        <v>363</v>
      </c>
      <c r="G233" s="2179"/>
      <c r="H233" s="1273"/>
      <c r="I233" s="1265"/>
      <c r="J233" s="1264"/>
      <c r="K233" s="1265"/>
      <c r="L233" s="1469"/>
      <c r="M233" s="1214"/>
      <c r="N233" s="1214"/>
      <c r="O233" s="1214"/>
      <c r="P233" s="1214"/>
      <c r="Q233" s="1214"/>
      <c r="R233" s="1214"/>
      <c r="S233" s="1214"/>
      <c r="T233" s="1214"/>
      <c r="U233" s="1214"/>
    </row>
    <row r="234" spans="1:21" s="1199" customFormat="1" ht="24" customHeight="1">
      <c r="A234" s="1331" t="s">
        <v>1547</v>
      </c>
      <c r="B234" s="2174" t="s">
        <v>1539</v>
      </c>
      <c r="C234" s="1202"/>
      <c r="D234" s="1202"/>
      <c r="E234" s="1387"/>
      <c r="F234" s="1384"/>
      <c r="G234" s="2176"/>
      <c r="H234" s="1388"/>
      <c r="I234" s="2177"/>
      <c r="J234" s="1385"/>
      <c r="K234" s="1385"/>
      <c r="L234" s="1385"/>
      <c r="M234" s="1214"/>
      <c r="N234" s="1214"/>
      <c r="O234" s="1214"/>
      <c r="P234" s="1214"/>
    </row>
    <row r="235" spans="1:21" s="1199" customFormat="1" ht="24" customHeight="1">
      <c r="A235" s="1331"/>
      <c r="B235" s="2174" t="s">
        <v>1540</v>
      </c>
      <c r="C235" s="1202"/>
      <c r="D235" s="1202"/>
      <c r="E235" s="1387">
        <v>2</v>
      </c>
      <c r="F235" s="1207" t="s">
        <v>363</v>
      </c>
      <c r="G235" s="2176">
        <f>(98000*0.75)</f>
        <v>73500</v>
      </c>
      <c r="H235" s="1388">
        <f t="shared" ref="H235:H240" si="32">ROUND(E235*G235,)</f>
        <v>147000</v>
      </c>
      <c r="I235" s="2177">
        <v>5000</v>
      </c>
      <c r="J235" s="1385">
        <f>ROUND(E235*I235,)</f>
        <v>10000</v>
      </c>
      <c r="K235" s="1385">
        <f t="shared" ref="K235:K240" si="33">H235+J235</f>
        <v>157000</v>
      </c>
      <c r="L235" s="1385"/>
      <c r="M235" s="1214"/>
      <c r="N235" s="1214"/>
      <c r="O235" s="1214"/>
      <c r="P235" s="1214"/>
    </row>
    <row r="236" spans="1:21" s="1199" customFormat="1" ht="24" customHeight="1">
      <c r="A236" s="1331"/>
      <c r="B236" s="2174" t="s">
        <v>1541</v>
      </c>
      <c r="C236" s="1202"/>
      <c r="D236" s="1202"/>
      <c r="E236" s="1387">
        <v>4</v>
      </c>
      <c r="F236" s="1207" t="s">
        <v>363</v>
      </c>
      <c r="G236" s="2176">
        <f>6000*0.75</f>
        <v>4500</v>
      </c>
      <c r="H236" s="1388">
        <f t="shared" si="32"/>
        <v>18000</v>
      </c>
      <c r="I236" s="2177" t="s">
        <v>1542</v>
      </c>
      <c r="J236" s="1385"/>
      <c r="K236" s="1385">
        <f t="shared" si="33"/>
        <v>18000</v>
      </c>
      <c r="L236" s="1385"/>
      <c r="M236" s="1214"/>
      <c r="N236" s="1214"/>
      <c r="O236" s="1214"/>
      <c r="P236" s="1214"/>
    </row>
    <row r="237" spans="1:21" s="1199" customFormat="1" ht="24" customHeight="1">
      <c r="A237" s="1331"/>
      <c r="B237" s="2174" t="s">
        <v>1543</v>
      </c>
      <c r="C237" s="1202"/>
      <c r="D237" s="1202"/>
      <c r="E237" s="1387">
        <v>4</v>
      </c>
      <c r="F237" s="1207" t="s">
        <v>363</v>
      </c>
      <c r="G237" s="2176">
        <f>(6500*0.75)</f>
        <v>4875</v>
      </c>
      <c r="H237" s="1388">
        <f t="shared" si="32"/>
        <v>19500</v>
      </c>
      <c r="I237" s="2177" t="s">
        <v>1542</v>
      </c>
      <c r="J237" s="1385"/>
      <c r="K237" s="1385">
        <f t="shared" si="33"/>
        <v>19500</v>
      </c>
      <c r="L237" s="1385"/>
      <c r="M237" s="1214"/>
      <c r="N237" s="1214"/>
      <c r="O237" s="1214"/>
      <c r="P237" s="1214"/>
    </row>
    <row r="238" spans="1:21" s="1199" customFormat="1" ht="24" customHeight="1">
      <c r="A238" s="1331"/>
      <c r="B238" s="2174" t="s">
        <v>1544</v>
      </c>
      <c r="C238" s="1202"/>
      <c r="D238" s="1202"/>
      <c r="E238" s="1387">
        <v>4</v>
      </c>
      <c r="F238" s="1207" t="s">
        <v>363</v>
      </c>
      <c r="G238" s="2176">
        <f>(1000*0.75)</f>
        <v>750</v>
      </c>
      <c r="H238" s="1388">
        <f t="shared" si="32"/>
        <v>3000</v>
      </c>
      <c r="I238" s="2177" t="s">
        <v>1542</v>
      </c>
      <c r="J238" s="1385"/>
      <c r="K238" s="1385">
        <f t="shared" si="33"/>
        <v>3000</v>
      </c>
      <c r="L238" s="1385"/>
      <c r="M238" s="1214"/>
      <c r="N238" s="1214"/>
      <c r="O238" s="1214"/>
      <c r="P238" s="1214"/>
    </row>
    <row r="239" spans="1:21" s="1199" customFormat="1" ht="24" customHeight="1">
      <c r="A239" s="1331"/>
      <c r="B239" s="2174" t="s">
        <v>1545</v>
      </c>
      <c r="C239" s="1202"/>
      <c r="D239" s="1202"/>
      <c r="E239" s="1387">
        <v>4</v>
      </c>
      <c r="F239" s="1207" t="s">
        <v>363</v>
      </c>
      <c r="G239" s="2176">
        <f>(600*0.75)</f>
        <v>450</v>
      </c>
      <c r="H239" s="1388">
        <f t="shared" si="32"/>
        <v>1800</v>
      </c>
      <c r="I239" s="2177" t="s">
        <v>1542</v>
      </c>
      <c r="J239" s="1385"/>
      <c r="K239" s="1385">
        <f t="shared" si="33"/>
        <v>1800</v>
      </c>
      <c r="L239" s="1385"/>
      <c r="M239" s="1214"/>
      <c r="N239" s="1214"/>
      <c r="O239" s="1214"/>
      <c r="P239" s="1214"/>
    </row>
    <row r="240" spans="1:21" s="1199" customFormat="1" ht="24" customHeight="1">
      <c r="A240" s="1331"/>
      <c r="B240" s="2174" t="s">
        <v>1546</v>
      </c>
      <c r="C240" s="1202"/>
      <c r="D240" s="1202"/>
      <c r="E240" s="1387">
        <v>4</v>
      </c>
      <c r="F240" s="1207" t="s">
        <v>363</v>
      </c>
      <c r="G240" s="2176">
        <f>(300*0.75)</f>
        <v>225</v>
      </c>
      <c r="H240" s="1388">
        <f t="shared" si="32"/>
        <v>900</v>
      </c>
      <c r="I240" s="2177" t="s">
        <v>1542</v>
      </c>
      <c r="J240" s="1385"/>
      <c r="K240" s="1385">
        <f t="shared" si="33"/>
        <v>900</v>
      </c>
      <c r="L240" s="1385"/>
      <c r="M240" s="1214"/>
      <c r="N240" s="1214"/>
      <c r="O240" s="1214"/>
      <c r="P240" s="1214"/>
    </row>
    <row r="241" spans="1:21" s="1199" customFormat="1" ht="24" customHeight="1">
      <c r="A241" s="1406" t="s">
        <v>1549</v>
      </c>
      <c r="B241" s="2174" t="s">
        <v>1312</v>
      </c>
      <c r="C241" s="1202"/>
      <c r="D241" s="1202"/>
      <c r="E241" s="1387"/>
      <c r="F241" s="1384"/>
      <c r="G241" s="2176"/>
      <c r="H241" s="1388"/>
      <c r="I241" s="2177"/>
      <c r="J241" s="1385"/>
      <c r="K241" s="1385"/>
      <c r="L241" s="1385"/>
      <c r="M241" s="1214"/>
      <c r="N241" s="1214"/>
      <c r="O241" s="1214"/>
      <c r="P241" s="1214"/>
    </row>
    <row r="242" spans="1:21" s="1199" customFormat="1" ht="24" customHeight="1">
      <c r="A242" s="1331"/>
      <c r="B242" s="2174" t="s">
        <v>1548</v>
      </c>
      <c r="C242" s="1202"/>
      <c r="D242" s="1202"/>
      <c r="E242" s="1404">
        <v>237.66666666666666</v>
      </c>
      <c r="F242" s="1358" t="s">
        <v>226</v>
      </c>
      <c r="G242" s="2176">
        <v>37</v>
      </c>
      <c r="H242" s="1388">
        <f>ROUND(E242*G242,)</f>
        <v>8794</v>
      </c>
      <c r="I242" s="2177">
        <v>5</v>
      </c>
      <c r="J242" s="1385">
        <f>ROUND(E242*I242,)</f>
        <v>1188</v>
      </c>
      <c r="K242" s="1385">
        <f>H242+J242</f>
        <v>9982</v>
      </c>
      <c r="L242" s="1385"/>
      <c r="M242" s="1214"/>
      <c r="N242" s="1214"/>
      <c r="O242" s="1214"/>
      <c r="P242" s="1214"/>
    </row>
    <row r="243" spans="1:21" s="1199" customFormat="1" ht="24" customHeight="1">
      <c r="A243" s="1331"/>
      <c r="B243" s="2174" t="s">
        <v>1525</v>
      </c>
      <c r="C243" s="1202"/>
      <c r="D243" s="1202"/>
      <c r="E243" s="1404">
        <v>1</v>
      </c>
      <c r="F243" s="1384" t="s">
        <v>1104</v>
      </c>
      <c r="G243" s="2176">
        <f>ROUND(SUM(H242)*5%,)</f>
        <v>440</v>
      </c>
      <c r="H243" s="1264">
        <f>ROUND(E243*G243,)</f>
        <v>440</v>
      </c>
      <c r="I243" s="2177">
        <f>ROUND(G243*0.3,)</f>
        <v>132</v>
      </c>
      <c r="J243" s="1264">
        <f>ROUND(E243*I243,)</f>
        <v>132</v>
      </c>
      <c r="K243" s="1273">
        <f>H243+J243</f>
        <v>572</v>
      </c>
      <c r="L243" s="1385"/>
      <c r="M243" s="1214"/>
      <c r="N243" s="1214"/>
      <c r="O243" s="1214"/>
      <c r="P243" s="1214"/>
    </row>
    <row r="244" spans="1:21" s="1199" customFormat="1" ht="24" customHeight="1">
      <c r="A244" s="1406" t="s">
        <v>1631</v>
      </c>
      <c r="B244" s="2174" t="s">
        <v>1526</v>
      </c>
      <c r="C244" s="1202"/>
      <c r="D244" s="1202"/>
      <c r="E244" s="1404"/>
      <c r="F244" s="1384"/>
      <c r="G244" s="2176"/>
      <c r="H244" s="1388"/>
      <c r="I244" s="2177"/>
      <c r="J244" s="1385"/>
      <c r="K244" s="1385"/>
      <c r="L244" s="1385"/>
      <c r="M244" s="1214"/>
      <c r="N244" s="1214"/>
      <c r="O244" s="1214"/>
      <c r="P244" s="1214"/>
    </row>
    <row r="245" spans="1:21" s="1199" customFormat="1" ht="24" customHeight="1">
      <c r="A245" s="1331"/>
      <c r="B245" s="2174" t="s">
        <v>1350</v>
      </c>
      <c r="C245" s="1202"/>
      <c r="D245" s="1202"/>
      <c r="E245" s="1404">
        <v>237.66666666666666</v>
      </c>
      <c r="F245" s="1358" t="s">
        <v>226</v>
      </c>
      <c r="G245" s="2176">
        <v>27</v>
      </c>
      <c r="H245" s="1264">
        <f>ROUND(G245*E245,)</f>
        <v>6417</v>
      </c>
      <c r="I245" s="2177">
        <v>22</v>
      </c>
      <c r="J245" s="1264">
        <f>ROUND(E245*I245,)</f>
        <v>5229</v>
      </c>
      <c r="K245" s="1273">
        <f>H245+J245</f>
        <v>11646</v>
      </c>
      <c r="L245" s="2001" t="s">
        <v>2667</v>
      </c>
      <c r="M245" s="1214"/>
      <c r="P245" s="1214"/>
    </row>
    <row r="246" spans="1:21" s="1199" customFormat="1" ht="24" customHeight="1">
      <c r="A246" s="1331"/>
      <c r="B246" s="2174" t="s">
        <v>1384</v>
      </c>
      <c r="C246" s="1202"/>
      <c r="D246" s="1202"/>
      <c r="E246" s="1404">
        <v>1</v>
      </c>
      <c r="F246" s="1384" t="s">
        <v>1104</v>
      </c>
      <c r="G246" s="2176">
        <f>ROUND(H245*15%,)</f>
        <v>963</v>
      </c>
      <c r="H246" s="1264">
        <f>ROUND(G246*E246,)</f>
        <v>963</v>
      </c>
      <c r="I246" s="2177">
        <f>ROUND(G246*0.3,)</f>
        <v>289</v>
      </c>
      <c r="J246" s="1264">
        <f>ROUND(E246*I246,)</f>
        <v>289</v>
      </c>
      <c r="K246" s="1273">
        <f>H246+J246</f>
        <v>1252</v>
      </c>
      <c r="L246" s="1385"/>
      <c r="M246" s="1214"/>
      <c r="N246" s="1214"/>
      <c r="O246" s="1214"/>
      <c r="P246" s="1214"/>
    </row>
    <row r="247" spans="1:21" s="1199" customFormat="1" ht="24" customHeight="1">
      <c r="A247" s="1331"/>
      <c r="B247" s="2174" t="s">
        <v>1117</v>
      </c>
      <c r="C247" s="1202"/>
      <c r="D247" s="1202"/>
      <c r="E247" s="1387"/>
      <c r="F247" s="1384"/>
      <c r="G247" s="2176"/>
      <c r="H247" s="1388"/>
      <c r="I247" s="2177"/>
      <c r="J247" s="1385"/>
      <c r="K247" s="1385"/>
      <c r="L247" s="1385"/>
      <c r="M247" s="1214"/>
      <c r="N247" s="1214"/>
      <c r="O247" s="1214"/>
      <c r="P247" s="1214"/>
    </row>
    <row r="248" spans="1:21" s="1199" customFormat="1" ht="24" customHeight="1">
      <c r="A248" s="1331"/>
      <c r="B248" s="2174" t="s">
        <v>1118</v>
      </c>
      <c r="C248" s="1202"/>
      <c r="D248" s="1202"/>
      <c r="E248" s="1387"/>
      <c r="F248" s="1384"/>
      <c r="G248" s="2176"/>
      <c r="H248" s="1388"/>
      <c r="I248" s="2177"/>
      <c r="J248" s="1385"/>
      <c r="K248" s="1385"/>
      <c r="L248" s="1385"/>
      <c r="M248" s="1214"/>
      <c r="N248" s="1214"/>
      <c r="O248" s="1214"/>
      <c r="P248" s="1214"/>
    </row>
    <row r="249" spans="1:21" s="1199" customFormat="1" ht="24" customHeight="1">
      <c r="A249" s="1331"/>
      <c r="B249" s="2174" t="s">
        <v>1118</v>
      </c>
      <c r="C249" s="1202"/>
      <c r="D249" s="1202"/>
      <c r="E249" s="1387"/>
      <c r="F249" s="1384"/>
      <c r="G249" s="2176"/>
      <c r="H249" s="1388"/>
      <c r="I249" s="2177"/>
      <c r="J249" s="1385"/>
      <c r="K249" s="1385"/>
      <c r="L249" s="1385"/>
      <c r="M249" s="1214"/>
      <c r="N249" s="1214"/>
      <c r="O249" s="1214"/>
      <c r="P249" s="1214"/>
    </row>
    <row r="250" spans="1:21" s="1199" customFormat="1" ht="24" customHeight="1">
      <c r="A250" s="1243"/>
      <c r="B250" s="2257" t="str">
        <f>"รวมราคารายการที่ "&amp;A227</f>
        <v>รวมราคารายการที่ 3.9</v>
      </c>
      <c r="C250" s="2258"/>
      <c r="D250" s="2259"/>
      <c r="E250" s="1244"/>
      <c r="F250" s="1245"/>
      <c r="G250" s="1246"/>
      <c r="H250" s="1247">
        <f>SUM(H228:H249)</f>
        <v>376014</v>
      </c>
      <c r="I250" s="1246"/>
      <c r="J250" s="1247">
        <f>SUM(J228:J249)</f>
        <v>18530</v>
      </c>
      <c r="K250" s="1247">
        <f>SUM(K228:K249)</f>
        <v>394544</v>
      </c>
      <c r="L250" s="1245"/>
    </row>
    <row r="251" spans="1:21" s="1199" customFormat="1" ht="24" customHeight="1">
      <c r="A251" s="1367" t="s">
        <v>1332</v>
      </c>
      <c r="B251" s="1353" t="s">
        <v>1550</v>
      </c>
      <c r="C251" s="1452"/>
      <c r="D251" s="1452"/>
      <c r="E251" s="1453"/>
      <c r="F251" s="1454"/>
      <c r="G251" s="1455"/>
      <c r="H251" s="820"/>
      <c r="I251" s="1456"/>
      <c r="J251" s="1457"/>
      <c r="K251" s="1457"/>
      <c r="L251" s="1457"/>
      <c r="M251" s="1214"/>
      <c r="N251" s="1214"/>
      <c r="O251" s="1214"/>
      <c r="P251" s="1214"/>
    </row>
    <row r="252" spans="1:21" s="1199" customFormat="1" ht="24" customHeight="1">
      <c r="A252" s="1474" t="s">
        <v>1334</v>
      </c>
      <c r="B252" s="2174" t="s">
        <v>2709</v>
      </c>
      <c r="C252" s="1191"/>
      <c r="D252" s="1471"/>
      <c r="E252" s="1206"/>
      <c r="F252" s="1207"/>
      <c r="G252" s="1541"/>
      <c r="H252" s="1273"/>
      <c r="I252" s="2177"/>
      <c r="J252" s="1264"/>
      <c r="K252" s="1265"/>
      <c r="L252" s="1473"/>
      <c r="M252" s="1214"/>
      <c r="N252" s="1214"/>
      <c r="O252" s="1214"/>
      <c r="P252" s="1214"/>
      <c r="Q252" s="1214"/>
      <c r="R252" s="1214"/>
      <c r="S252" s="1214"/>
      <c r="T252" s="1214"/>
      <c r="U252" s="1214"/>
    </row>
    <row r="253" spans="1:21" s="1199" customFormat="1" ht="24" customHeight="1">
      <c r="A253" s="1474"/>
      <c r="B253" s="2174" t="s">
        <v>1573</v>
      </c>
      <c r="C253" s="1191"/>
      <c r="D253" s="1471"/>
      <c r="E253" s="1206">
        <v>2</v>
      </c>
      <c r="F253" s="1207" t="s">
        <v>363</v>
      </c>
      <c r="G253" s="2179">
        <v>28700</v>
      </c>
      <c r="H253" s="1343">
        <f>ROUND(E253*G253,)</f>
        <v>57400</v>
      </c>
      <c r="I253" s="1344">
        <f>G253*0.01</f>
        <v>287</v>
      </c>
      <c r="J253" s="1343">
        <f>ROUND(I253*E253,)</f>
        <v>574</v>
      </c>
      <c r="K253" s="1344">
        <f>H253+J253</f>
        <v>57974</v>
      </c>
      <c r="L253" s="1473"/>
      <c r="M253" s="1214"/>
      <c r="N253" s="1214"/>
      <c r="O253" s="1214"/>
      <c r="P253" s="1214"/>
      <c r="Q253" s="1214"/>
      <c r="R253" s="1214"/>
      <c r="S253" s="1214"/>
      <c r="T253" s="1214"/>
      <c r="U253" s="1214"/>
    </row>
    <row r="254" spans="1:21" s="1199" customFormat="1" ht="24" customHeight="1">
      <c r="A254" s="1474"/>
      <c r="B254" s="2174" t="s">
        <v>1574</v>
      </c>
      <c r="C254" s="1191"/>
      <c r="D254" s="1471"/>
      <c r="E254" s="1206">
        <v>2</v>
      </c>
      <c r="F254" s="1207" t="s">
        <v>363</v>
      </c>
      <c r="G254" s="2179">
        <v>25000</v>
      </c>
      <c r="H254" s="1343">
        <f>ROUND(E254*G254,)</f>
        <v>50000</v>
      </c>
      <c r="I254" s="1344">
        <f>ROUND(G254*0.01,)</f>
        <v>250</v>
      </c>
      <c r="J254" s="1343">
        <f>ROUND(I254*E254,)</f>
        <v>500</v>
      </c>
      <c r="K254" s="1344">
        <f>H254+J254</f>
        <v>50500</v>
      </c>
      <c r="L254" s="1473"/>
      <c r="M254" s="1214"/>
      <c r="N254" s="1214"/>
      <c r="O254" s="1214"/>
      <c r="P254" s="1214"/>
      <c r="Q254" s="1214"/>
      <c r="R254" s="1214"/>
      <c r="S254" s="1214"/>
      <c r="T254" s="1214"/>
      <c r="U254" s="1214"/>
    </row>
    <row r="255" spans="1:21" s="1199" customFormat="1" ht="24" customHeight="1">
      <c r="A255" s="1475"/>
      <c r="B255" s="2174" t="s">
        <v>1575</v>
      </c>
      <c r="C255" s="1191"/>
      <c r="D255" s="1471"/>
      <c r="E255" s="1206">
        <v>48</v>
      </c>
      <c r="F255" s="1207" t="s">
        <v>363</v>
      </c>
      <c r="G255" s="2179">
        <v>400</v>
      </c>
      <c r="H255" s="1343">
        <f>ROUND(E255*G255,)</f>
        <v>19200</v>
      </c>
      <c r="I255" s="1344">
        <f>ROUND(G255*0.01,)</f>
        <v>4</v>
      </c>
      <c r="J255" s="1343">
        <f>ROUND(I255*E255,)</f>
        <v>192</v>
      </c>
      <c r="K255" s="1344">
        <f>H255+J255</f>
        <v>19392</v>
      </c>
      <c r="L255" s="1473"/>
      <c r="M255" s="1214"/>
      <c r="N255" s="1214"/>
      <c r="O255" s="1214"/>
      <c r="P255" s="1214"/>
      <c r="Q255" s="1214"/>
      <c r="R255" s="1214"/>
      <c r="S255" s="1214"/>
      <c r="T255" s="1214"/>
      <c r="U255" s="1214"/>
    </row>
    <row r="256" spans="1:21" s="1199" customFormat="1" ht="24" customHeight="1">
      <c r="A256" s="1475"/>
      <c r="B256" s="2174" t="s">
        <v>2710</v>
      </c>
      <c r="C256" s="1191"/>
      <c r="D256" s="1471"/>
      <c r="E256" s="1206"/>
      <c r="F256" s="1207" t="s">
        <v>363</v>
      </c>
      <c r="G256" s="2179"/>
      <c r="H256" s="1273"/>
      <c r="I256" s="1265"/>
      <c r="J256" s="1264"/>
      <c r="K256" s="1265"/>
      <c r="L256" s="1473"/>
      <c r="M256" s="1214"/>
      <c r="N256" s="1214"/>
      <c r="O256" s="1214"/>
      <c r="P256" s="1214"/>
      <c r="Q256" s="1214"/>
      <c r="R256" s="1214"/>
      <c r="S256" s="1214"/>
      <c r="T256" s="1214"/>
      <c r="U256" s="1214"/>
    </row>
    <row r="257" spans="1:21" s="1199" customFormat="1" ht="24" customHeight="1">
      <c r="A257" s="1559"/>
      <c r="B257" s="2174" t="s">
        <v>1684</v>
      </c>
      <c r="C257" s="1191"/>
      <c r="D257" s="1471"/>
      <c r="E257" s="1206"/>
      <c r="F257" s="1207" t="s">
        <v>363</v>
      </c>
      <c r="G257" s="2179"/>
      <c r="H257" s="1273"/>
      <c r="I257" s="1265"/>
      <c r="J257" s="1264"/>
      <c r="K257" s="1265"/>
      <c r="L257" s="1469"/>
      <c r="M257" s="1214"/>
      <c r="N257" s="1214"/>
      <c r="O257" s="1214"/>
      <c r="P257" s="1214"/>
      <c r="Q257" s="1214"/>
      <c r="R257" s="1214"/>
      <c r="S257" s="1214"/>
      <c r="T257" s="1214"/>
      <c r="U257" s="1214"/>
    </row>
    <row r="258" spans="1:21" s="1199" customFormat="1" ht="24" customHeight="1">
      <c r="A258" s="1458" t="s">
        <v>1556</v>
      </c>
      <c r="B258" s="1220" t="s">
        <v>1551</v>
      </c>
      <c r="C258" s="1221"/>
      <c r="D258" s="1221"/>
      <c r="E258" s="1459"/>
      <c r="F258" s="1460"/>
      <c r="G258" s="1461"/>
      <c r="H258" s="1462"/>
      <c r="I258" s="1463"/>
      <c r="J258" s="1462"/>
      <c r="K258" s="1464"/>
      <c r="L258" s="1415"/>
      <c r="M258" s="1214"/>
      <c r="N258" s="1214"/>
      <c r="O258" s="1214"/>
      <c r="P258" s="1214"/>
    </row>
    <row r="259" spans="1:21" s="1199" customFormat="1" ht="24" customHeight="1">
      <c r="A259" s="1339"/>
      <c r="B259" s="1220" t="s">
        <v>1552</v>
      </c>
      <c r="C259" s="1221"/>
      <c r="D259" s="1221"/>
      <c r="E259" s="1404">
        <v>1</v>
      </c>
      <c r="F259" s="1223" t="s">
        <v>363</v>
      </c>
      <c r="G259" s="1386">
        <v>156800</v>
      </c>
      <c r="H259" s="1413">
        <f t="shared" ref="H259:H262" si="34">ROUND(E259*G259,)</f>
        <v>156800</v>
      </c>
      <c r="I259" s="1414">
        <f>G259*0.1</f>
        <v>15680</v>
      </c>
      <c r="J259" s="1415">
        <f>ROUND(E259*I259,)</f>
        <v>15680</v>
      </c>
      <c r="K259" s="1415">
        <f t="shared" ref="K259:K262" si="35">H259+J259</f>
        <v>172480</v>
      </c>
      <c r="L259" s="1415"/>
      <c r="M259" s="1214"/>
      <c r="N259" s="1214"/>
      <c r="O259" s="1214"/>
      <c r="P259" s="1214"/>
    </row>
    <row r="260" spans="1:21" s="1199" customFormat="1" ht="24" customHeight="1">
      <c r="A260" s="1339"/>
      <c r="B260" s="1220" t="s">
        <v>1553</v>
      </c>
      <c r="C260" s="1221"/>
      <c r="D260" s="1221"/>
      <c r="E260" s="1404">
        <v>1</v>
      </c>
      <c r="F260" s="1223" t="s">
        <v>363</v>
      </c>
      <c r="G260" s="1386">
        <v>252000</v>
      </c>
      <c r="H260" s="1413">
        <f t="shared" si="34"/>
        <v>252000</v>
      </c>
      <c r="I260" s="1414">
        <f t="shared" ref="I260:I262" si="36">G260*0.1</f>
        <v>25200</v>
      </c>
      <c r="J260" s="1415">
        <f t="shared" ref="J260:J262" si="37">ROUND(E260*I260,)</f>
        <v>25200</v>
      </c>
      <c r="K260" s="1415">
        <f t="shared" si="35"/>
        <v>277200</v>
      </c>
      <c r="L260" s="1415"/>
      <c r="M260" s="1214"/>
      <c r="N260" s="1214"/>
      <c r="O260" s="1214"/>
      <c r="P260" s="1214"/>
    </row>
    <row r="261" spans="1:21" s="1199" customFormat="1" ht="24" customHeight="1">
      <c r="A261" s="1339"/>
      <c r="B261" s="1220" t="s">
        <v>1554</v>
      </c>
      <c r="C261" s="1221"/>
      <c r="D261" s="1221"/>
      <c r="E261" s="1404">
        <v>1</v>
      </c>
      <c r="F261" s="1223" t="s">
        <v>363</v>
      </c>
      <c r="G261" s="1386">
        <v>56000</v>
      </c>
      <c r="H261" s="1413">
        <f t="shared" si="34"/>
        <v>56000</v>
      </c>
      <c r="I261" s="1414">
        <f t="shared" si="36"/>
        <v>5600</v>
      </c>
      <c r="J261" s="1415">
        <f t="shared" si="37"/>
        <v>5600</v>
      </c>
      <c r="K261" s="1415">
        <f t="shared" si="35"/>
        <v>61600</v>
      </c>
      <c r="L261" s="1415"/>
      <c r="M261" s="1214"/>
      <c r="N261" s="1214"/>
      <c r="O261" s="1214"/>
      <c r="P261" s="1214"/>
    </row>
    <row r="262" spans="1:21" s="1199" customFormat="1" ht="24" customHeight="1">
      <c r="A262" s="1339"/>
      <c r="B262" s="1220" t="s">
        <v>1555</v>
      </c>
      <c r="C262" s="1221"/>
      <c r="D262" s="1221"/>
      <c r="E262" s="1404">
        <v>1</v>
      </c>
      <c r="F262" s="1223" t="s">
        <v>363</v>
      </c>
      <c r="G262" s="1386">
        <v>56000</v>
      </c>
      <c r="H262" s="1413">
        <f t="shared" si="34"/>
        <v>56000</v>
      </c>
      <c r="I262" s="1414">
        <f t="shared" si="36"/>
        <v>5600</v>
      </c>
      <c r="J262" s="1415">
        <f t="shared" si="37"/>
        <v>5600</v>
      </c>
      <c r="K262" s="1415">
        <f t="shared" si="35"/>
        <v>61600</v>
      </c>
      <c r="L262" s="1415"/>
      <c r="M262" s="1214"/>
      <c r="N262" s="1214"/>
      <c r="O262" s="1214"/>
      <c r="P262" s="1214"/>
    </row>
    <row r="263" spans="1:21" s="1199" customFormat="1" ht="24" customHeight="1">
      <c r="A263" s="1458" t="s">
        <v>1566</v>
      </c>
      <c r="B263" s="1220" t="s">
        <v>1557</v>
      </c>
      <c r="C263" s="1221"/>
      <c r="D263" s="1221"/>
      <c r="E263" s="1459"/>
      <c r="F263" s="1460"/>
      <c r="G263" s="1461"/>
      <c r="H263" s="1462"/>
      <c r="I263" s="1463"/>
      <c r="J263" s="1462"/>
      <c r="K263" s="1464"/>
      <c r="L263" s="1415"/>
      <c r="M263" s="1214"/>
      <c r="N263" s="1214"/>
      <c r="O263" s="1214"/>
      <c r="P263" s="1214"/>
    </row>
    <row r="264" spans="1:21" s="1199" customFormat="1" ht="24" customHeight="1">
      <c r="A264" s="1339"/>
      <c r="B264" s="1220" t="s">
        <v>1558</v>
      </c>
      <c r="C264" s="1221"/>
      <c r="D264" s="1221"/>
      <c r="E264" s="1404">
        <v>1</v>
      </c>
      <c r="F264" s="1223" t="s">
        <v>363</v>
      </c>
      <c r="G264" s="1386">
        <v>3500</v>
      </c>
      <c r="H264" s="1413">
        <f t="shared" ref="H264:H271" si="38">ROUND(E264*G264,)</f>
        <v>3500</v>
      </c>
      <c r="I264" s="1414">
        <f t="shared" ref="I264:I271" si="39">G264*0.1</f>
        <v>350</v>
      </c>
      <c r="J264" s="1415">
        <f t="shared" ref="J264:J271" si="40">ROUND(E264*I264,)</f>
        <v>350</v>
      </c>
      <c r="K264" s="1415">
        <f t="shared" ref="K264:K271" si="41">H264+J264</f>
        <v>3850</v>
      </c>
      <c r="L264" s="1415"/>
      <c r="M264" s="1214"/>
      <c r="N264" s="1214"/>
      <c r="O264" s="1214"/>
      <c r="P264" s="1214"/>
    </row>
    <row r="265" spans="1:21" s="1199" customFormat="1" ht="24" customHeight="1">
      <c r="A265" s="1339"/>
      <c r="B265" s="1220" t="s">
        <v>1559</v>
      </c>
      <c r="C265" s="1221"/>
      <c r="D265" s="1221"/>
      <c r="E265" s="1404">
        <v>1</v>
      </c>
      <c r="F265" s="1223" t="s">
        <v>363</v>
      </c>
      <c r="G265" s="1386">
        <v>3500</v>
      </c>
      <c r="H265" s="1413">
        <f t="shared" si="38"/>
        <v>3500</v>
      </c>
      <c r="I265" s="1414">
        <f t="shared" si="39"/>
        <v>350</v>
      </c>
      <c r="J265" s="1415">
        <f t="shared" si="40"/>
        <v>350</v>
      </c>
      <c r="K265" s="1415">
        <f t="shared" si="41"/>
        <v>3850</v>
      </c>
      <c r="L265" s="1415"/>
      <c r="M265" s="1214"/>
      <c r="N265" s="1214"/>
      <c r="O265" s="1214"/>
      <c r="P265" s="1214"/>
    </row>
    <row r="266" spans="1:21" s="1199" customFormat="1" ht="24" customHeight="1">
      <c r="A266" s="1339"/>
      <c r="B266" s="1220" t="s">
        <v>1560</v>
      </c>
      <c r="C266" s="1221"/>
      <c r="D266" s="1221"/>
      <c r="E266" s="1404">
        <v>1</v>
      </c>
      <c r="F266" s="1223" t="s">
        <v>363</v>
      </c>
      <c r="G266" s="1386">
        <v>3500</v>
      </c>
      <c r="H266" s="1413">
        <f t="shared" si="38"/>
        <v>3500</v>
      </c>
      <c r="I266" s="1414">
        <f t="shared" si="39"/>
        <v>350</v>
      </c>
      <c r="J266" s="1415">
        <f t="shared" si="40"/>
        <v>350</v>
      </c>
      <c r="K266" s="1415">
        <f t="shared" si="41"/>
        <v>3850</v>
      </c>
      <c r="L266" s="1415"/>
      <c r="M266" s="1214"/>
      <c r="N266" s="1214"/>
      <c r="O266" s="1214"/>
      <c r="P266" s="1214"/>
    </row>
    <row r="267" spans="1:21" s="1199" customFormat="1" ht="24" customHeight="1">
      <c r="A267" s="1339"/>
      <c r="B267" s="1220" t="s">
        <v>1561</v>
      </c>
      <c r="C267" s="1221"/>
      <c r="D267" s="1221"/>
      <c r="E267" s="1404">
        <v>1</v>
      </c>
      <c r="F267" s="1223" t="s">
        <v>363</v>
      </c>
      <c r="G267" s="1386">
        <v>3500</v>
      </c>
      <c r="H267" s="1413">
        <f t="shared" si="38"/>
        <v>3500</v>
      </c>
      <c r="I267" s="1414">
        <f t="shared" si="39"/>
        <v>350</v>
      </c>
      <c r="J267" s="1415">
        <f t="shared" si="40"/>
        <v>350</v>
      </c>
      <c r="K267" s="1415">
        <f t="shared" si="41"/>
        <v>3850</v>
      </c>
      <c r="L267" s="1415"/>
      <c r="M267" s="1214"/>
      <c r="N267" s="1214"/>
      <c r="O267" s="1214"/>
      <c r="P267" s="1214"/>
    </row>
    <row r="268" spans="1:21" s="1199" customFormat="1" ht="24" customHeight="1">
      <c r="A268" s="1339"/>
      <c r="B268" s="1220" t="s">
        <v>1562</v>
      </c>
      <c r="C268" s="1221"/>
      <c r="D268" s="1221"/>
      <c r="E268" s="1404">
        <v>1</v>
      </c>
      <c r="F268" s="1223" t="s">
        <v>363</v>
      </c>
      <c r="G268" s="1386">
        <v>3500</v>
      </c>
      <c r="H268" s="1413">
        <f t="shared" si="38"/>
        <v>3500</v>
      </c>
      <c r="I268" s="1414">
        <f t="shared" si="39"/>
        <v>350</v>
      </c>
      <c r="J268" s="1415">
        <f t="shared" si="40"/>
        <v>350</v>
      </c>
      <c r="K268" s="1415">
        <f t="shared" si="41"/>
        <v>3850</v>
      </c>
      <c r="L268" s="1415"/>
      <c r="M268" s="1214"/>
      <c r="N268" s="1214"/>
      <c r="O268" s="1214"/>
      <c r="P268" s="1214"/>
    </row>
    <row r="269" spans="1:21" s="1199" customFormat="1" ht="24" customHeight="1">
      <c r="A269" s="1339"/>
      <c r="B269" s="1220" t="s">
        <v>1563</v>
      </c>
      <c r="C269" s="1221"/>
      <c r="D269" s="1221"/>
      <c r="E269" s="1404">
        <v>1</v>
      </c>
      <c r="F269" s="1223" t="s">
        <v>363</v>
      </c>
      <c r="G269" s="1386">
        <v>3500</v>
      </c>
      <c r="H269" s="1413">
        <f t="shared" si="38"/>
        <v>3500</v>
      </c>
      <c r="I269" s="1414">
        <f t="shared" si="39"/>
        <v>350</v>
      </c>
      <c r="J269" s="1415">
        <f t="shared" si="40"/>
        <v>350</v>
      </c>
      <c r="K269" s="1415">
        <f t="shared" si="41"/>
        <v>3850</v>
      </c>
      <c r="L269" s="1415"/>
      <c r="M269" s="1214"/>
      <c r="N269" s="1214"/>
      <c r="O269" s="1214"/>
      <c r="P269" s="1214"/>
    </row>
    <row r="270" spans="1:21" s="1199" customFormat="1" ht="24" customHeight="1">
      <c r="A270" s="1339"/>
      <c r="B270" s="1220" t="s">
        <v>1564</v>
      </c>
      <c r="C270" s="1221"/>
      <c r="D270" s="1221"/>
      <c r="E270" s="1404">
        <v>1</v>
      </c>
      <c r="F270" s="1223" t="s">
        <v>363</v>
      </c>
      <c r="G270" s="1386">
        <v>3500</v>
      </c>
      <c r="H270" s="1413">
        <f t="shared" si="38"/>
        <v>3500</v>
      </c>
      <c r="I270" s="1414">
        <f t="shared" si="39"/>
        <v>350</v>
      </c>
      <c r="J270" s="1415">
        <f t="shared" si="40"/>
        <v>350</v>
      </c>
      <c r="K270" s="1415">
        <f t="shared" si="41"/>
        <v>3850</v>
      </c>
      <c r="L270" s="1415"/>
      <c r="M270" s="1214"/>
      <c r="N270" s="1214"/>
      <c r="O270" s="1214"/>
      <c r="P270" s="1214"/>
    </row>
    <row r="271" spans="1:21" s="1199" customFormat="1" ht="24" customHeight="1">
      <c r="A271" s="1339"/>
      <c r="B271" s="1220" t="s">
        <v>1565</v>
      </c>
      <c r="C271" s="1221"/>
      <c r="D271" s="1221"/>
      <c r="E271" s="1404">
        <v>1</v>
      </c>
      <c r="F271" s="1223" t="s">
        <v>363</v>
      </c>
      <c r="G271" s="1386">
        <v>3500</v>
      </c>
      <c r="H271" s="1413">
        <f t="shared" si="38"/>
        <v>3500</v>
      </c>
      <c r="I271" s="1414">
        <f t="shared" si="39"/>
        <v>350</v>
      </c>
      <c r="J271" s="1415">
        <f t="shared" si="40"/>
        <v>350</v>
      </c>
      <c r="K271" s="1415">
        <f t="shared" si="41"/>
        <v>3850</v>
      </c>
      <c r="L271" s="1415"/>
      <c r="M271" s="1214"/>
      <c r="N271" s="1214"/>
      <c r="O271" s="1214"/>
      <c r="P271" s="1214"/>
    </row>
    <row r="272" spans="1:21" s="1199" customFormat="1" ht="24" customHeight="1">
      <c r="A272" s="1458" t="s">
        <v>1566</v>
      </c>
      <c r="B272" s="1465" t="s">
        <v>1312</v>
      </c>
      <c r="C272" s="1452"/>
      <c r="D272" s="1452"/>
      <c r="E272" s="1453"/>
      <c r="F272" s="1454"/>
      <c r="G272" s="1386"/>
      <c r="H272" s="1413"/>
      <c r="I272" s="1414"/>
      <c r="J272" s="1415"/>
      <c r="K272" s="1415"/>
      <c r="L272" s="1457"/>
      <c r="M272" s="1214"/>
      <c r="N272" s="1214"/>
      <c r="O272" s="1214"/>
      <c r="P272" s="1214"/>
    </row>
    <row r="273" spans="1:21" s="1199" customFormat="1" ht="24" customHeight="1">
      <c r="A273" s="1339"/>
      <c r="B273" s="1259" t="s">
        <v>1567</v>
      </c>
      <c r="C273" s="1221"/>
      <c r="D273" s="1221"/>
      <c r="E273" s="1404">
        <v>1850</v>
      </c>
      <c r="F273" s="1262" t="s">
        <v>226</v>
      </c>
      <c r="G273" s="1386">
        <v>103</v>
      </c>
      <c r="H273" s="1413">
        <f>ROUND(E273*G273,)</f>
        <v>190550</v>
      </c>
      <c r="I273" s="1414">
        <v>21</v>
      </c>
      <c r="J273" s="1415">
        <f>ROUND(E273*I273,)</f>
        <v>38850</v>
      </c>
      <c r="K273" s="1415">
        <f>H273+J273</f>
        <v>229400</v>
      </c>
      <c r="L273" s="1415"/>
      <c r="M273" s="1214"/>
      <c r="N273" s="1214"/>
      <c r="O273" s="1214"/>
      <c r="P273" s="1214"/>
    </row>
    <row r="274" spans="1:21" s="1199" customFormat="1" ht="24" customHeight="1">
      <c r="A274" s="1339"/>
      <c r="B274" s="1259" t="s">
        <v>1568</v>
      </c>
      <c r="C274" s="1221"/>
      <c r="D274" s="1221"/>
      <c r="E274" s="1404">
        <v>100</v>
      </c>
      <c r="F274" s="1262" t="s">
        <v>226</v>
      </c>
      <c r="G274" s="1386">
        <v>139</v>
      </c>
      <c r="H274" s="1413">
        <f>ROUND(E274*G274,)</f>
        <v>13900</v>
      </c>
      <c r="I274" s="1414">
        <v>21</v>
      </c>
      <c r="J274" s="1415">
        <f>ROUND(E274*I274,)</f>
        <v>2100</v>
      </c>
      <c r="K274" s="1415">
        <f>H274+J274</f>
        <v>16000</v>
      </c>
      <c r="L274" s="1415"/>
      <c r="M274" s="1214"/>
      <c r="N274" s="1214"/>
      <c r="O274" s="1214"/>
      <c r="P274" s="1214"/>
    </row>
    <row r="275" spans="1:21" s="1199" customFormat="1" ht="24" customHeight="1">
      <c r="A275" s="1339"/>
      <c r="B275" s="1259" t="s">
        <v>1525</v>
      </c>
      <c r="C275" s="1221"/>
      <c r="D275" s="1221"/>
      <c r="E275" s="1404">
        <v>1</v>
      </c>
      <c r="F275" s="1412" t="s">
        <v>1104</v>
      </c>
      <c r="G275" s="1386">
        <f>ROUND(SUM(H273:H274)*5%,)</f>
        <v>10223</v>
      </c>
      <c r="H275" s="1343">
        <f t="shared" ref="H275" si="42">ROUND(E275*G275,)</f>
        <v>10223</v>
      </c>
      <c r="I275" s="1414">
        <f>ROUND(G275*0.3,)</f>
        <v>3067</v>
      </c>
      <c r="J275" s="1343">
        <f t="shared" ref="J275" si="43">ROUND(E275*I275,)</f>
        <v>3067</v>
      </c>
      <c r="K275" s="1262">
        <f t="shared" ref="K275" si="44">H275+J275</f>
        <v>13290</v>
      </c>
      <c r="L275" s="1415"/>
      <c r="M275" s="1214"/>
      <c r="N275" s="1214"/>
      <c r="O275" s="1214"/>
      <c r="P275" s="1214"/>
    </row>
    <row r="276" spans="1:21" s="1199" customFormat="1" ht="24" customHeight="1">
      <c r="A276" s="1339" t="s">
        <v>1569</v>
      </c>
      <c r="B276" s="1259" t="s">
        <v>1343</v>
      </c>
      <c r="C276" s="1221"/>
      <c r="D276" s="1221"/>
      <c r="E276" s="1404"/>
      <c r="F276" s="1412"/>
      <c r="G276" s="1386"/>
      <c r="H276" s="1343"/>
      <c r="I276" s="1414"/>
      <c r="J276" s="1343"/>
      <c r="K276" s="1262"/>
      <c r="L276" s="1466"/>
    </row>
    <row r="277" spans="1:21" s="1199" customFormat="1" ht="24" customHeight="1">
      <c r="A277" s="1339"/>
      <c r="B277" s="1259" t="s">
        <v>1344</v>
      </c>
      <c r="C277" s="1221"/>
      <c r="D277" s="1221"/>
      <c r="E277" s="1404">
        <v>400</v>
      </c>
      <c r="F277" s="1262" t="s">
        <v>226</v>
      </c>
      <c r="G277" s="1386">
        <v>316</v>
      </c>
      <c r="H277" s="1343">
        <f t="shared" ref="H277" si="45">ROUND(E277*G277,)</f>
        <v>126400</v>
      </c>
      <c r="I277" s="1414">
        <v>50</v>
      </c>
      <c r="J277" s="1343">
        <f t="shared" ref="J277:J278" si="46">ROUND(E277*I277,)</f>
        <v>20000</v>
      </c>
      <c r="K277" s="1262">
        <f t="shared" ref="K277:K278" si="47">H277+J277</f>
        <v>146400</v>
      </c>
      <c r="L277" s="1466"/>
    </row>
    <row r="278" spans="1:21" s="1199" customFormat="1" ht="24" customHeight="1">
      <c r="A278" s="1339"/>
      <c r="B278" s="1220" t="s">
        <v>1384</v>
      </c>
      <c r="C278" s="1221"/>
      <c r="D278" s="1221"/>
      <c r="E278" s="1404">
        <v>1</v>
      </c>
      <c r="F278" s="1412" t="s">
        <v>1104</v>
      </c>
      <c r="G278" s="1386">
        <f>SUM(H277)*15%</f>
        <v>18960</v>
      </c>
      <c r="H278" s="1343">
        <f t="shared" ref="H278" si="48">ROUND(G278*E278,)</f>
        <v>18960</v>
      </c>
      <c r="I278" s="1414">
        <f>G278*0.3</f>
        <v>5688</v>
      </c>
      <c r="J278" s="1343">
        <f t="shared" si="46"/>
        <v>5688</v>
      </c>
      <c r="K278" s="1262">
        <f t="shared" si="47"/>
        <v>24648</v>
      </c>
      <c r="L278" s="1466"/>
    </row>
    <row r="279" spans="1:21" s="1199" customFormat="1" ht="24" customHeight="1">
      <c r="A279" s="1339"/>
      <c r="B279" s="1220" t="s">
        <v>1117</v>
      </c>
      <c r="C279" s="1221"/>
      <c r="D279" s="1221"/>
      <c r="E279" s="1404"/>
      <c r="F279" s="1412"/>
      <c r="G279" s="1386"/>
      <c r="H279" s="1413"/>
      <c r="I279" s="1414"/>
      <c r="J279" s="1415"/>
      <c r="K279" s="1415"/>
      <c r="L279" s="1415"/>
      <c r="M279" s="1214"/>
      <c r="N279" s="1214"/>
      <c r="O279" s="1214"/>
      <c r="P279" s="1214"/>
    </row>
    <row r="280" spans="1:21" s="1199" customFormat="1" ht="24" customHeight="1">
      <c r="A280" s="1243"/>
      <c r="B280" s="2257" t="str">
        <f>"รวมราคารายการที่ "&amp;A251</f>
        <v>รวมราคารายการที่ 3.10</v>
      </c>
      <c r="C280" s="2258"/>
      <c r="D280" s="2259"/>
      <c r="E280" s="1244"/>
      <c r="F280" s="1245"/>
      <c r="G280" s="1246"/>
      <c r="H280" s="1247">
        <f>SUM(H251:H279)</f>
        <v>1035433</v>
      </c>
      <c r="I280" s="1246"/>
      <c r="J280" s="1247">
        <f>SUM(J251:J279)</f>
        <v>125851</v>
      </c>
      <c r="K280" s="1247">
        <f>SUM(K251:K279)</f>
        <v>1161284</v>
      </c>
      <c r="L280" s="1245"/>
    </row>
    <row r="281" spans="1:21" s="1199" customFormat="1" ht="24" customHeight="1">
      <c r="A281" s="1467" t="s">
        <v>1570</v>
      </c>
      <c r="B281" s="1292" t="s">
        <v>1571</v>
      </c>
      <c r="C281" s="1468"/>
      <c r="D281" s="1192"/>
      <c r="E281" s="1193"/>
      <c r="F281" s="1194"/>
      <c r="G281" s="1297"/>
      <c r="H281" s="1298"/>
      <c r="I281" s="1299"/>
      <c r="J281" s="1298"/>
      <c r="K281" s="1299"/>
      <c r="L281" s="1469"/>
      <c r="M281" s="1214"/>
      <c r="N281" s="1214"/>
      <c r="O281" s="1214"/>
      <c r="P281" s="1214"/>
      <c r="Q281" s="1214"/>
      <c r="R281" s="1214"/>
      <c r="S281" s="1214"/>
      <c r="T281" s="1214"/>
      <c r="U281" s="1214"/>
    </row>
    <row r="282" spans="1:21" s="1199" customFormat="1" ht="24" customHeight="1">
      <c r="A282" s="1470" t="s">
        <v>1348</v>
      </c>
      <c r="B282" s="2174" t="s">
        <v>1572</v>
      </c>
      <c r="C282" s="1191"/>
      <c r="D282" s="1471"/>
      <c r="E282" s="1472">
        <v>4</v>
      </c>
      <c r="F282" s="1267" t="s">
        <v>363</v>
      </c>
      <c r="G282" s="2178">
        <v>7500</v>
      </c>
      <c r="H282" s="1343">
        <f>ROUND(E282*G282,)</f>
        <v>30000</v>
      </c>
      <c r="I282" s="1344">
        <v>150</v>
      </c>
      <c r="J282" s="1343">
        <f>ROUND(I282*E282,)</f>
        <v>600</v>
      </c>
      <c r="K282" s="1344">
        <f>H282+J282</f>
        <v>30600</v>
      </c>
      <c r="L282" s="1473"/>
      <c r="M282" s="1214"/>
      <c r="N282" s="1214"/>
      <c r="O282" s="1214"/>
      <c r="P282" s="1214"/>
      <c r="Q282" s="1214"/>
      <c r="R282" s="1214"/>
      <c r="S282" s="1214"/>
      <c r="T282" s="1214"/>
      <c r="U282" s="1214"/>
    </row>
    <row r="283" spans="1:21" s="1199" customFormat="1" ht="24" customHeight="1">
      <c r="A283" s="1474" t="s">
        <v>1349</v>
      </c>
      <c r="B283" s="2174" t="s">
        <v>2709</v>
      </c>
      <c r="C283" s="1191"/>
      <c r="D283" s="1471"/>
      <c r="E283" s="1472"/>
      <c r="F283" s="1267" t="s">
        <v>363</v>
      </c>
      <c r="G283" s="1386"/>
      <c r="H283" s="1343"/>
      <c r="I283" s="1414"/>
      <c r="J283" s="1343"/>
      <c r="K283" s="1344"/>
      <c r="L283" s="1473"/>
      <c r="M283" s="1214"/>
      <c r="N283" s="1214"/>
      <c r="O283" s="1214"/>
      <c r="P283" s="1214"/>
      <c r="Q283" s="1214"/>
      <c r="R283" s="1214"/>
      <c r="S283" s="1214"/>
      <c r="T283" s="1214"/>
      <c r="U283" s="1214"/>
    </row>
    <row r="284" spans="1:21" s="1199" customFormat="1" ht="24" customHeight="1">
      <c r="A284" s="1474"/>
      <c r="B284" s="2174" t="s">
        <v>1573</v>
      </c>
      <c r="C284" s="1191"/>
      <c r="D284" s="1471"/>
      <c r="E284" s="1206">
        <v>2</v>
      </c>
      <c r="F284" s="1207" t="s">
        <v>363</v>
      </c>
      <c r="G284" s="2178">
        <v>68500</v>
      </c>
      <c r="H284" s="1343">
        <f>ROUND(E284*G284,)</f>
        <v>137000</v>
      </c>
      <c r="I284" s="1344">
        <f>G284*0.01</f>
        <v>685</v>
      </c>
      <c r="J284" s="1343">
        <f>ROUND(I284*E284,)</f>
        <v>1370</v>
      </c>
      <c r="K284" s="1344">
        <f>H284+J284</f>
        <v>138370</v>
      </c>
      <c r="L284" s="1473"/>
      <c r="M284" s="1214"/>
      <c r="N284" s="1214"/>
      <c r="O284" s="1214"/>
      <c r="P284" s="1214"/>
      <c r="Q284" s="1214"/>
      <c r="R284" s="1214"/>
      <c r="S284" s="1214"/>
      <c r="T284" s="1214"/>
      <c r="U284" s="1214"/>
    </row>
    <row r="285" spans="1:21" s="1199" customFormat="1" ht="24" customHeight="1">
      <c r="A285" s="1474"/>
      <c r="B285" s="2174" t="s">
        <v>1574</v>
      </c>
      <c r="C285" s="1191"/>
      <c r="D285" s="1471"/>
      <c r="E285" s="1206">
        <v>2</v>
      </c>
      <c r="F285" s="1207" t="s">
        <v>363</v>
      </c>
      <c r="G285" s="2175">
        <v>13175</v>
      </c>
      <c r="H285" s="1343">
        <f>ROUND(E285*G285,)</f>
        <v>26350</v>
      </c>
      <c r="I285" s="1344">
        <f>ROUND(G285*0.01,)</f>
        <v>132</v>
      </c>
      <c r="J285" s="1343">
        <f>ROUND(I285*E285,)</f>
        <v>264</v>
      </c>
      <c r="K285" s="1344">
        <f>H285+J285</f>
        <v>26614</v>
      </c>
      <c r="L285" s="1473"/>
      <c r="M285" s="1214"/>
      <c r="N285" s="1214"/>
      <c r="O285" s="1214"/>
      <c r="P285" s="1214"/>
      <c r="Q285" s="1214"/>
      <c r="R285" s="1214"/>
      <c r="S285" s="1214"/>
      <c r="T285" s="1214"/>
      <c r="U285" s="1214"/>
    </row>
    <row r="286" spans="1:21" s="1199" customFormat="1" ht="24" customHeight="1">
      <c r="A286" s="1475"/>
      <c r="B286" s="2174" t="s">
        <v>1575</v>
      </c>
      <c r="C286" s="1191"/>
      <c r="D286" s="1471"/>
      <c r="E286" s="1206">
        <v>48</v>
      </c>
      <c r="F286" s="1207" t="s">
        <v>363</v>
      </c>
      <c r="G286" s="2179">
        <v>415</v>
      </c>
      <c r="H286" s="1343">
        <f>ROUND(E286*G286,)</f>
        <v>19920</v>
      </c>
      <c r="I286" s="1344">
        <f>ROUND(G286*0.01,)</f>
        <v>4</v>
      </c>
      <c r="J286" s="1343">
        <f>ROUND(I286*E286,)</f>
        <v>192</v>
      </c>
      <c r="K286" s="1344">
        <f>H286+J286</f>
        <v>20112</v>
      </c>
      <c r="L286" s="1473"/>
      <c r="M286" s="1214"/>
      <c r="N286" s="1214"/>
      <c r="O286" s="1214"/>
      <c r="P286" s="1214"/>
      <c r="Q286" s="1214"/>
      <c r="R286" s="1214"/>
      <c r="S286" s="1214"/>
      <c r="T286" s="1214"/>
      <c r="U286" s="1214"/>
    </row>
    <row r="287" spans="1:21" s="1199" customFormat="1" ht="24" customHeight="1">
      <c r="A287" s="1475"/>
      <c r="B287" s="2174" t="s">
        <v>1576</v>
      </c>
      <c r="C287" s="1191"/>
      <c r="D287" s="1471"/>
      <c r="E287" s="1206">
        <v>2</v>
      </c>
      <c r="F287" s="1207" t="s">
        <v>363</v>
      </c>
      <c r="G287" s="2179">
        <v>46275</v>
      </c>
      <c r="H287" s="1343">
        <f>ROUND(E287*G287,)</f>
        <v>92550</v>
      </c>
      <c r="I287" s="1344">
        <f>ROUND(G287*0.01,)</f>
        <v>463</v>
      </c>
      <c r="J287" s="1343">
        <f>ROUND(I287*E287,)</f>
        <v>926</v>
      </c>
      <c r="K287" s="1344">
        <f>H287+J287</f>
        <v>93476</v>
      </c>
      <c r="L287" s="1473"/>
      <c r="M287" s="1214"/>
      <c r="N287" s="1214"/>
      <c r="O287" s="1214"/>
      <c r="P287" s="1214"/>
      <c r="Q287" s="1214"/>
      <c r="R287" s="1214"/>
      <c r="S287" s="1214"/>
      <c r="T287" s="1214"/>
      <c r="U287" s="1214"/>
    </row>
    <row r="288" spans="1:21" s="1199" customFormat="1" ht="24" customHeight="1">
      <c r="A288" s="1475"/>
      <c r="B288" s="2174" t="s">
        <v>2710</v>
      </c>
      <c r="C288" s="1191"/>
      <c r="D288" s="1471"/>
      <c r="E288" s="1206"/>
      <c r="F288" s="1207" t="s">
        <v>363</v>
      </c>
      <c r="G288" s="2179"/>
      <c r="H288" s="1273"/>
      <c r="I288" s="1265"/>
      <c r="J288" s="1264"/>
      <c r="K288" s="1265"/>
      <c r="L288" s="1473"/>
      <c r="M288" s="1214"/>
      <c r="N288" s="1214"/>
      <c r="O288" s="1214"/>
      <c r="P288" s="1214"/>
      <c r="Q288" s="1214"/>
      <c r="R288" s="1214"/>
      <c r="S288" s="1214"/>
      <c r="T288" s="1214"/>
      <c r="U288" s="1214"/>
    </row>
    <row r="289" spans="1:21" s="1199" customFormat="1" ht="24" customHeight="1">
      <c r="A289" s="1559"/>
      <c r="B289" s="2174" t="s">
        <v>1684</v>
      </c>
      <c r="C289" s="1191"/>
      <c r="D289" s="1471"/>
      <c r="E289" s="1206"/>
      <c r="F289" s="1207" t="s">
        <v>363</v>
      </c>
      <c r="G289" s="2179"/>
      <c r="H289" s="1273"/>
      <c r="I289" s="1265"/>
      <c r="J289" s="1264"/>
      <c r="K289" s="1265"/>
      <c r="L289" s="1469"/>
      <c r="M289" s="1214"/>
      <c r="N289" s="1214"/>
      <c r="O289" s="1214"/>
      <c r="P289" s="1214"/>
      <c r="Q289" s="1214"/>
      <c r="R289" s="1214"/>
      <c r="S289" s="1214"/>
      <c r="T289" s="1214"/>
      <c r="U289" s="1214"/>
    </row>
    <row r="290" spans="1:21" s="1199" customFormat="1" ht="24" customHeight="1">
      <c r="A290" s="1477" t="s">
        <v>1577</v>
      </c>
      <c r="B290" s="2174" t="s">
        <v>1578</v>
      </c>
      <c r="C290" s="1191"/>
      <c r="D290" s="1471"/>
      <c r="E290" s="1206"/>
      <c r="F290" s="1207"/>
      <c r="G290" s="2175"/>
      <c r="H290" s="1264"/>
      <c r="I290" s="1265"/>
      <c r="J290" s="1264"/>
      <c r="K290" s="1265"/>
      <c r="L290" s="1473"/>
      <c r="M290" s="1214"/>
      <c r="N290" s="1214"/>
      <c r="O290" s="1214"/>
      <c r="P290" s="1214"/>
      <c r="Q290" s="1214"/>
      <c r="R290" s="1214"/>
      <c r="S290" s="1214"/>
      <c r="T290" s="1214"/>
      <c r="U290" s="1214"/>
    </row>
    <row r="291" spans="1:21" s="1199" customFormat="1" ht="24" customHeight="1">
      <c r="A291" s="1478"/>
      <c r="B291" s="1259" t="s">
        <v>1579</v>
      </c>
      <c r="C291" s="1191"/>
      <c r="D291" s="1471"/>
      <c r="E291" s="1472">
        <v>200</v>
      </c>
      <c r="F291" s="1267" t="s">
        <v>226</v>
      </c>
      <c r="G291" s="2178">
        <v>37</v>
      </c>
      <c r="H291" s="1343">
        <f>ROUND(E291*G291,)</f>
        <v>7400</v>
      </c>
      <c r="I291" s="1344">
        <v>5</v>
      </c>
      <c r="J291" s="1343">
        <f>ROUND(I291*E291,)</f>
        <v>1000</v>
      </c>
      <c r="K291" s="1344">
        <f>H291+J291</f>
        <v>8400</v>
      </c>
      <c r="L291" s="1473"/>
      <c r="M291" s="1214"/>
      <c r="N291" s="1214"/>
      <c r="O291" s="1214"/>
      <c r="P291" s="1214"/>
      <c r="Q291" s="1214"/>
      <c r="R291" s="1214"/>
      <c r="S291" s="1214"/>
      <c r="T291" s="1214"/>
      <c r="U291" s="1214"/>
    </row>
    <row r="292" spans="1:21" s="1199" customFormat="1" ht="24" customHeight="1">
      <c r="A292" s="1475" t="s">
        <v>1359</v>
      </c>
      <c r="B292" s="2174" t="s">
        <v>1526</v>
      </c>
      <c r="C292" s="1191"/>
      <c r="D292" s="1471"/>
      <c r="E292" s="1472"/>
      <c r="F292" s="1267"/>
      <c r="G292" s="2178"/>
      <c r="H292" s="1343"/>
      <c r="I292" s="1344"/>
      <c r="J292" s="1343"/>
      <c r="K292" s="1344"/>
      <c r="L292" s="1473"/>
      <c r="M292" s="1214"/>
      <c r="N292" s="1214"/>
      <c r="O292" s="1214"/>
      <c r="P292" s="1214"/>
      <c r="Q292" s="1214"/>
      <c r="R292" s="1214"/>
      <c r="S292" s="1214"/>
      <c r="T292" s="1214"/>
      <c r="U292" s="1214"/>
    </row>
    <row r="293" spans="1:21" s="1199" customFormat="1" ht="24" customHeight="1">
      <c r="A293" s="1479"/>
      <c r="B293" s="2174" t="s">
        <v>1350</v>
      </c>
      <c r="C293" s="1191"/>
      <c r="D293" s="1471"/>
      <c r="E293" s="1404"/>
      <c r="F293" s="1262" t="s">
        <v>226</v>
      </c>
      <c r="G293" s="1386"/>
      <c r="H293" s="1343"/>
      <c r="I293" s="1414"/>
      <c r="J293" s="1343"/>
      <c r="K293" s="1262"/>
      <c r="L293" s="1473"/>
      <c r="M293" s="1214"/>
      <c r="N293" s="1214"/>
      <c r="O293" s="1214"/>
      <c r="P293" s="1214"/>
      <c r="Q293" s="1214"/>
      <c r="R293" s="1214"/>
      <c r="S293" s="1214"/>
      <c r="T293" s="1214"/>
      <c r="U293" s="1214"/>
    </row>
    <row r="294" spans="1:21" s="1199" customFormat="1" ht="24" customHeight="1">
      <c r="A294" s="1478" t="s">
        <v>1361</v>
      </c>
      <c r="B294" s="2174" t="s">
        <v>1110</v>
      </c>
      <c r="C294" s="1191"/>
      <c r="D294" s="1471"/>
      <c r="E294" s="1206"/>
      <c r="F294" s="1207"/>
      <c r="G294" s="2175"/>
      <c r="H294" s="1264"/>
      <c r="I294" s="1265"/>
      <c r="J294" s="1264"/>
      <c r="K294" s="1265"/>
      <c r="L294" s="1473"/>
      <c r="M294" s="1214"/>
      <c r="N294" s="1214"/>
      <c r="O294" s="1214"/>
      <c r="P294" s="1214"/>
      <c r="Q294" s="1214"/>
      <c r="R294" s="1214"/>
      <c r="S294" s="1214"/>
      <c r="T294" s="1214"/>
      <c r="U294" s="1214"/>
    </row>
    <row r="295" spans="1:21" s="1199" customFormat="1" ht="24" customHeight="1">
      <c r="A295" s="1480"/>
      <c r="B295" s="2174" t="s">
        <v>1350</v>
      </c>
      <c r="C295" s="1191"/>
      <c r="D295" s="1471"/>
      <c r="E295" s="1387">
        <v>200</v>
      </c>
      <c r="F295" s="1358" t="s">
        <v>226</v>
      </c>
      <c r="G295" s="2176">
        <v>56</v>
      </c>
      <c r="H295" s="1264">
        <f>ROUND(E295*G295,)</f>
        <v>11200</v>
      </c>
      <c r="I295" s="2177">
        <v>26</v>
      </c>
      <c r="J295" s="1264">
        <f t="shared" ref="J295" si="49">ROUND(E295*I295,)</f>
        <v>5200</v>
      </c>
      <c r="K295" s="1273">
        <f t="shared" ref="K295" si="50">H295+J295</f>
        <v>16400</v>
      </c>
      <c r="L295" s="2001" t="s">
        <v>2667</v>
      </c>
      <c r="M295" s="1214"/>
      <c r="P295" s="1214"/>
      <c r="Q295" s="1214"/>
      <c r="R295" s="1214"/>
      <c r="S295" s="1214"/>
      <c r="T295" s="1214"/>
      <c r="U295" s="1214"/>
    </row>
    <row r="296" spans="1:21" s="1199" customFormat="1" ht="24" customHeight="1">
      <c r="A296" s="1480"/>
      <c r="B296" s="2174" t="s">
        <v>1384</v>
      </c>
      <c r="C296" s="1191"/>
      <c r="D296" s="1471"/>
      <c r="E296" s="1206">
        <v>1</v>
      </c>
      <c r="F296" s="1207" t="s">
        <v>1104</v>
      </c>
      <c r="G296" s="2175">
        <f>SUM(H293:H295)*15%</f>
        <v>1680</v>
      </c>
      <c r="H296" s="1264">
        <f>ROUND(E296*G296,)</f>
        <v>1680</v>
      </c>
      <c r="I296" s="1265">
        <f>G296*0.3</f>
        <v>504</v>
      </c>
      <c r="J296" s="1264">
        <f>ROUND(I296*E296,)</f>
        <v>504</v>
      </c>
      <c r="K296" s="1265">
        <f>H296+I296</f>
        <v>2184</v>
      </c>
      <c r="L296" s="1473"/>
      <c r="M296" s="1214"/>
      <c r="N296" s="1214"/>
      <c r="O296" s="1214"/>
      <c r="P296" s="1214"/>
      <c r="Q296" s="1214"/>
      <c r="R296" s="1214"/>
      <c r="S296" s="1214"/>
      <c r="T296" s="1214"/>
      <c r="U296" s="1214"/>
    </row>
    <row r="297" spans="1:21" s="1199" customFormat="1" ht="24" customHeight="1">
      <c r="A297" s="1480" t="s">
        <v>1363</v>
      </c>
      <c r="B297" s="2174" t="s">
        <v>1381</v>
      </c>
      <c r="C297" s="1191"/>
      <c r="D297" s="1471"/>
      <c r="E297" s="1206"/>
      <c r="F297" s="1207" t="s">
        <v>1104</v>
      </c>
      <c r="G297" s="2175"/>
      <c r="H297" s="1264"/>
      <c r="I297" s="1265"/>
      <c r="J297" s="1264"/>
      <c r="K297" s="1265"/>
      <c r="L297" s="1473"/>
      <c r="M297" s="1214"/>
      <c r="N297" s="1214"/>
      <c r="O297" s="1214"/>
      <c r="P297" s="1214"/>
      <c r="Q297" s="1214"/>
      <c r="R297" s="1214"/>
      <c r="S297" s="1214"/>
      <c r="T297" s="1214"/>
      <c r="U297" s="1214"/>
    </row>
    <row r="298" spans="1:21" s="1199" customFormat="1" ht="24" customHeight="1">
      <c r="A298" s="1245"/>
      <c r="B298" s="2257" t="str">
        <f>"รวมราคารายการที่ "&amp;A281</f>
        <v>รวมราคารายการที่ 3.11</v>
      </c>
      <c r="C298" s="2258"/>
      <c r="D298" s="2259"/>
      <c r="E298" s="1481"/>
      <c r="F298" s="1245"/>
      <c r="G298" s="1246"/>
      <c r="H298" s="1247">
        <f>SUM(H282:H297)</f>
        <v>326100</v>
      </c>
      <c r="I298" s="1246"/>
      <c r="J298" s="1247">
        <f>SUM(J282:J297)</f>
        <v>10056</v>
      </c>
      <c r="K298" s="1247">
        <f>SUM(K282:K297)</f>
        <v>336156</v>
      </c>
      <c r="L298" s="1245"/>
      <c r="M298" s="1214"/>
      <c r="N298" s="1214"/>
      <c r="O298" s="1214"/>
      <c r="P298" s="1214"/>
      <c r="Q298" s="1214"/>
      <c r="R298" s="1214"/>
      <c r="S298" s="1214"/>
      <c r="T298" s="1214"/>
      <c r="U298" s="1214"/>
    </row>
    <row r="299" spans="1:21" s="1199" customFormat="1" ht="21.3">
      <c r="A299" s="1427"/>
      <c r="E299" s="1363"/>
    </row>
    <row r="300" spans="1:21" s="1199" customFormat="1" ht="21.3">
      <c r="A300" s="1427"/>
      <c r="E300" s="1363"/>
    </row>
    <row r="301" spans="1:21" s="1199" customFormat="1" ht="21.3">
      <c r="A301" s="1427"/>
      <c r="E301" s="1363"/>
    </row>
    <row r="302" spans="1:21" s="1199" customFormat="1" ht="21.3">
      <c r="A302" s="1427"/>
      <c r="E302" s="1363"/>
    </row>
    <row r="303" spans="1:21">
      <c r="A303" s="1427"/>
      <c r="B303" s="1199"/>
      <c r="C303" s="1199"/>
      <c r="D303" s="1199"/>
      <c r="E303" s="1363"/>
      <c r="F303" s="1199"/>
      <c r="G303" s="1199"/>
      <c r="H303" s="1199"/>
      <c r="I303" s="1199"/>
      <c r="J303" s="1199"/>
      <c r="K303" s="1199"/>
      <c r="L303" s="1199"/>
    </row>
    <row r="304" spans="1:21">
      <c r="A304" s="1427"/>
      <c r="B304" s="1199"/>
      <c r="C304" s="1199"/>
      <c r="D304" s="1199"/>
      <c r="E304" s="1363"/>
      <c r="F304" s="1199"/>
      <c r="G304" s="1199"/>
      <c r="H304" s="1199"/>
      <c r="I304" s="1199"/>
      <c r="J304" s="1199"/>
      <c r="K304" s="1199"/>
      <c r="L304" s="1199"/>
    </row>
    <row r="305" spans="1:12">
      <c r="A305" s="1427"/>
      <c r="B305" s="1199"/>
      <c r="C305" s="1199"/>
      <c r="D305" s="1199"/>
      <c r="E305" s="1363"/>
      <c r="F305" s="1199"/>
      <c r="G305" s="1199"/>
      <c r="H305" s="1199"/>
      <c r="I305" s="1199"/>
      <c r="J305" s="1199"/>
      <c r="K305" s="1199"/>
      <c r="L305" s="1199"/>
    </row>
    <row r="306" spans="1:12">
      <c r="A306" s="1427"/>
      <c r="B306" s="1199"/>
      <c r="C306" s="1199"/>
      <c r="D306" s="1199"/>
      <c r="E306" s="1363"/>
      <c r="F306" s="1199"/>
      <c r="G306" s="1199"/>
      <c r="H306" s="1199"/>
      <c r="I306" s="1199"/>
      <c r="J306" s="1199"/>
      <c r="K306" s="1199"/>
      <c r="L306" s="1199"/>
    </row>
    <row r="307" spans="1:12">
      <c r="A307" s="1427"/>
      <c r="B307" s="1199"/>
      <c r="C307" s="1199"/>
      <c r="D307" s="1199"/>
      <c r="E307" s="1363"/>
      <c r="F307" s="1199"/>
      <c r="G307" s="1199"/>
      <c r="H307" s="1199"/>
      <c r="I307" s="1199"/>
      <c r="J307" s="1199"/>
      <c r="K307" s="1199"/>
      <c r="L307" s="1199"/>
    </row>
  </sheetData>
  <mergeCells count="20">
    <mergeCell ref="L7:L8"/>
    <mergeCell ref="A9:A10"/>
    <mergeCell ref="B9:D10"/>
    <mergeCell ref="E9:E10"/>
    <mergeCell ref="F9:F10"/>
    <mergeCell ref="G9:H9"/>
    <mergeCell ref="I9:J9"/>
    <mergeCell ref="L9:L10"/>
    <mergeCell ref="B298:D298"/>
    <mergeCell ref="B34:D34"/>
    <mergeCell ref="B82:D82"/>
    <mergeCell ref="B93:D93"/>
    <mergeCell ref="B106:D106"/>
    <mergeCell ref="B122:D122"/>
    <mergeCell ref="B130:D130"/>
    <mergeCell ref="B161:D161"/>
    <mergeCell ref="B202:D202"/>
    <mergeCell ref="B226:D226"/>
    <mergeCell ref="B250:D250"/>
    <mergeCell ref="B280:D280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B2-อาคารทิศตะวันตก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3B314-3883-4F4D-B90D-341C6BA69B3F}">
  <sheetPr>
    <tabColor rgb="FF92D050"/>
  </sheetPr>
  <dimension ref="A1:T245"/>
  <sheetViews>
    <sheetView showGridLines="0" view="pageBreakPreview" topLeftCell="A211" zoomScale="70" zoomScaleNormal="60" zoomScaleSheetLayoutView="70" workbookViewId="0">
      <selection activeCell="D180" sqref="D180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7.703125" style="1" customWidth="1"/>
    <col min="14" max="14" width="11" style="1" customWidth="1"/>
    <col min="15" max="15" width="10.29296875" style="1" customWidth="1"/>
    <col min="16" max="16" width="11.703125" style="1" customWidth="1"/>
    <col min="17" max="17" width="10.29296875" style="1" customWidth="1"/>
    <col min="18" max="18" width="10.703125" style="1" customWidth="1"/>
    <col min="19" max="19" width="10.5859375" style="1" customWidth="1"/>
    <col min="20" max="20" width="10.29296875" style="1" customWidth="1"/>
    <col min="21" max="21" width="10.5859375" style="1" customWidth="1"/>
    <col min="22" max="78" width="7.703125" style="1" customWidth="1"/>
    <col min="7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03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04" t="s">
        <v>18</v>
      </c>
      <c r="L10" s="2225"/>
    </row>
    <row r="11" spans="1:12" ht="24" customHeight="1">
      <c r="A11" s="1560" t="s">
        <v>24</v>
      </c>
      <c r="B11" s="1561" t="s">
        <v>2844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H49</f>
        <v>2506950</v>
      </c>
      <c r="I12" s="1197"/>
      <c r="J12" s="1196">
        <f>J49</f>
        <v>129546</v>
      </c>
      <c r="K12" s="1196">
        <f t="shared" ref="K12:K15" si="0">SUM(H12:J12)</f>
        <v>2636496</v>
      </c>
      <c r="L12" s="1531"/>
    </row>
    <row r="13" spans="1:12" s="1199" customFormat="1" ht="24" customHeight="1">
      <c r="A13" s="1564">
        <f>A50</f>
        <v>7.2</v>
      </c>
      <c r="B13" s="1538" t="str">
        <f>B50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330000</v>
      </c>
      <c r="I13" s="1197"/>
      <c r="J13" s="1196">
        <f>J59</f>
        <v>3000</v>
      </c>
      <c r="K13" s="1196">
        <f t="shared" si="0"/>
        <v>333000</v>
      </c>
      <c r="L13" s="1531"/>
    </row>
    <row r="14" spans="1:12" s="1199" customFormat="1" ht="24" customHeight="1">
      <c r="A14" s="1564" t="str">
        <f>A60</f>
        <v>7.3</v>
      </c>
      <c r="B14" s="1538" t="str">
        <f>B60</f>
        <v>ระบบกรองอากาศ (Air Filtration System)</v>
      </c>
      <c r="C14" s="1533"/>
      <c r="D14" s="1534"/>
      <c r="E14" s="1753">
        <v>1</v>
      </c>
      <c r="F14" s="1567" t="s">
        <v>19</v>
      </c>
      <c r="G14" s="1195"/>
      <c r="H14" s="1196">
        <f>H70</f>
        <v>27600</v>
      </c>
      <c r="I14" s="1197"/>
      <c r="J14" s="1196">
        <f>J70</f>
        <v>1800</v>
      </c>
      <c r="K14" s="1196">
        <f t="shared" si="0"/>
        <v>29400</v>
      </c>
      <c r="L14" s="1531"/>
    </row>
    <row r="15" spans="1:12" s="1199" customFormat="1" ht="24" customHeight="1">
      <c r="A15" s="1564">
        <f>A71</f>
        <v>7.4</v>
      </c>
      <c r="B15" s="1538" t="str">
        <f>B71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H98</f>
        <v>380706</v>
      </c>
      <c r="I15" s="1197"/>
      <c r="J15" s="1196">
        <f>J98</f>
        <v>140570</v>
      </c>
      <c r="K15" s="1196">
        <f t="shared" si="0"/>
        <v>521276</v>
      </c>
      <c r="L15" s="1531"/>
    </row>
    <row r="16" spans="1:12" s="1199" customFormat="1" ht="24" customHeight="1">
      <c r="A16" s="1755" t="str">
        <f>A99</f>
        <v>7.5</v>
      </c>
      <c r="B16" s="1816" t="str">
        <f>B99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H122</f>
        <v>134456</v>
      </c>
      <c r="I16" s="1197"/>
      <c r="J16" s="1196">
        <f>J122</f>
        <v>35776</v>
      </c>
      <c r="K16" s="1196">
        <f t="shared" ref="K16:K18" si="1">SUM(H16:J16)</f>
        <v>170232</v>
      </c>
      <c r="L16" s="1531"/>
    </row>
    <row r="17" spans="1:12" s="1199" customFormat="1" ht="24" customHeight="1">
      <c r="A17" s="1756">
        <f>A123</f>
        <v>7.6</v>
      </c>
      <c r="B17" s="1840" t="str">
        <f>B123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H159</f>
        <v>155646</v>
      </c>
      <c r="I17" s="1197"/>
      <c r="J17" s="1196">
        <f>J159</f>
        <v>22800</v>
      </c>
      <c r="K17" s="1196">
        <f t="shared" si="1"/>
        <v>178446</v>
      </c>
      <c r="L17" s="1531"/>
    </row>
    <row r="18" spans="1:12" s="1199" customFormat="1" ht="24" customHeight="1">
      <c r="A18" s="1537" t="str">
        <f>A160</f>
        <v>7.7</v>
      </c>
      <c r="B18" s="1840" t="str">
        <f>B160</f>
        <v>ระบบไฟฟ้าและควบคุม (Electrical &amp; Control System)</v>
      </c>
      <c r="C18" s="1533"/>
      <c r="D18" s="1534"/>
      <c r="E18" s="1753">
        <v>1</v>
      </c>
      <c r="F18" s="1567" t="s">
        <v>19</v>
      </c>
      <c r="G18" s="1195"/>
      <c r="H18" s="1196">
        <f>H184</f>
        <v>553665</v>
      </c>
      <c r="I18" s="1197"/>
      <c r="J18" s="1196">
        <f>J184</f>
        <v>61208</v>
      </c>
      <c r="K18" s="1196">
        <f t="shared" si="1"/>
        <v>614873</v>
      </c>
      <c r="L18" s="1531"/>
    </row>
    <row r="19" spans="1:12" s="1199" customFormat="1" ht="24" customHeight="1">
      <c r="A19" s="1537" t="str">
        <f>A185</f>
        <v>7.8</v>
      </c>
      <c r="B19" s="1840" t="str">
        <f>B185</f>
        <v>หมวดงานเชื่อมต่อกับระบบ BAS</v>
      </c>
      <c r="C19" s="1533"/>
      <c r="D19" s="1534"/>
      <c r="E19" s="1753"/>
      <c r="F19" s="1567" t="s">
        <v>19</v>
      </c>
      <c r="G19" s="1195"/>
      <c r="H19" s="1196">
        <f>H209</f>
        <v>129245</v>
      </c>
      <c r="I19" s="1197"/>
      <c r="J19" s="1196">
        <f>J209</f>
        <v>106299</v>
      </c>
      <c r="K19" s="1196">
        <f>K209</f>
        <v>235544</v>
      </c>
      <c r="L19" s="1531"/>
    </row>
    <row r="20" spans="1:12" s="1199" customFormat="1" ht="24" customHeight="1">
      <c r="A20" s="1537"/>
      <c r="B20" s="2139"/>
      <c r="C20" s="1533"/>
      <c r="D20" s="1534"/>
      <c r="E20" s="1753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7</v>
      </c>
      <c r="C34" s="2258"/>
      <c r="D34" s="2259"/>
      <c r="E34" s="1579"/>
      <c r="F34" s="1579"/>
      <c r="G34" s="1580"/>
      <c r="H34" s="1581">
        <f>SUM(H11:H33)</f>
        <v>4218268</v>
      </c>
      <c r="I34" s="1582"/>
      <c r="J34" s="1581">
        <f>SUM(J11:J33)</f>
        <v>500999</v>
      </c>
      <c r="K34" s="1581">
        <f>SUM(K11:K33)</f>
        <v>4719267</v>
      </c>
      <c r="L34" s="1583"/>
    </row>
    <row r="35" spans="1:20" s="1765" customFormat="1" ht="24" customHeight="1">
      <c r="A35" s="2105" t="s">
        <v>2246</v>
      </c>
      <c r="B35" s="2148" t="s">
        <v>2247</v>
      </c>
      <c r="C35" s="2106"/>
      <c r="D35" s="2111"/>
      <c r="E35" s="1802"/>
      <c r="F35" s="1356"/>
      <c r="G35" s="1803"/>
      <c r="H35" s="1369"/>
      <c r="I35" s="1370"/>
      <c r="J35" s="1369"/>
      <c r="K35" s="1356"/>
      <c r="L35" s="1356"/>
    </row>
    <row r="36" spans="1:20" s="1765" customFormat="1" ht="24" customHeight="1">
      <c r="A36" s="2113" t="s">
        <v>1984</v>
      </c>
      <c r="B36" s="2164" t="s">
        <v>2782</v>
      </c>
      <c r="C36" s="2115"/>
      <c r="D36" s="2115"/>
      <c r="E36" s="1802"/>
      <c r="F36" s="1356"/>
      <c r="G36" s="1803"/>
      <c r="H36" s="1369"/>
      <c r="I36" s="1370"/>
      <c r="J36" s="1369"/>
      <c r="K36" s="1356"/>
      <c r="L36" s="1356"/>
    </row>
    <row r="37" spans="1:20" s="2116" customFormat="1" ht="24" customHeight="1">
      <c r="A37" s="2112"/>
      <c r="B37" s="2164" t="s">
        <v>2795</v>
      </c>
      <c r="C37" s="2111"/>
      <c r="D37" s="2165"/>
      <c r="E37" s="825">
        <v>1</v>
      </c>
      <c r="F37" s="1457" t="s">
        <v>363</v>
      </c>
      <c r="G37" s="1769">
        <v>409425</v>
      </c>
      <c r="H37" s="1413">
        <f t="shared" ref="H37:H42" si="2">ROUND(E37*G37,)</f>
        <v>409425</v>
      </c>
      <c r="I37" s="1455">
        <f>G37*0.05</f>
        <v>20471.25</v>
      </c>
      <c r="J37" s="1413">
        <f t="shared" ref="J37:J42" si="3">ROUND(E37*I37,)</f>
        <v>20471</v>
      </c>
      <c r="K37" s="1415">
        <f t="shared" ref="K37:K42" si="4">H37+J37</f>
        <v>429896</v>
      </c>
      <c r="L37" s="1457"/>
      <c r="M37" s="2120"/>
      <c r="N37" s="2120"/>
      <c r="O37" s="2120"/>
      <c r="P37" s="2120"/>
      <c r="Q37" s="2120"/>
      <c r="R37" s="2120"/>
      <c r="S37" s="2120"/>
      <c r="T37" s="2120"/>
    </row>
    <row r="38" spans="1:20" s="2116" customFormat="1" ht="24" customHeight="1">
      <c r="A38" s="2112"/>
      <c r="B38" s="2164" t="s">
        <v>2796</v>
      </c>
      <c r="C38" s="2111"/>
      <c r="D38" s="2165"/>
      <c r="E38" s="825">
        <v>1</v>
      </c>
      <c r="F38" s="1457" t="s">
        <v>363</v>
      </c>
      <c r="G38" s="1769">
        <v>409425</v>
      </c>
      <c r="H38" s="1413">
        <f t="shared" si="2"/>
        <v>409425</v>
      </c>
      <c r="I38" s="1455">
        <f t="shared" ref="I38:I39" si="5">G38*0.05</f>
        <v>20471.25</v>
      </c>
      <c r="J38" s="1413">
        <f t="shared" si="3"/>
        <v>20471</v>
      </c>
      <c r="K38" s="1415">
        <f t="shared" si="4"/>
        <v>429896</v>
      </c>
      <c r="L38" s="1457"/>
      <c r="M38" s="2120"/>
      <c r="N38" s="2120"/>
      <c r="O38" s="2120"/>
      <c r="P38" s="2120"/>
      <c r="Q38" s="2120"/>
      <c r="R38" s="2120"/>
      <c r="S38" s="2120"/>
      <c r="T38" s="2120"/>
    </row>
    <row r="39" spans="1:20" s="2116" customFormat="1" ht="24" customHeight="1">
      <c r="A39" s="2112"/>
      <c r="B39" s="2164" t="s">
        <v>2797</v>
      </c>
      <c r="C39" s="2111"/>
      <c r="D39" s="2165"/>
      <c r="E39" s="825">
        <v>1</v>
      </c>
      <c r="F39" s="1457" t="s">
        <v>363</v>
      </c>
      <c r="G39" s="1769">
        <v>409425</v>
      </c>
      <c r="H39" s="1413">
        <f t="shared" si="2"/>
        <v>409425</v>
      </c>
      <c r="I39" s="1455">
        <f t="shared" si="5"/>
        <v>20471.25</v>
      </c>
      <c r="J39" s="1413">
        <f t="shared" si="3"/>
        <v>20471</v>
      </c>
      <c r="K39" s="1415">
        <f t="shared" si="4"/>
        <v>429896</v>
      </c>
      <c r="L39" s="1457"/>
      <c r="M39" s="2120"/>
      <c r="N39" s="2120"/>
      <c r="O39" s="2120"/>
      <c r="P39" s="2120"/>
      <c r="Q39" s="2120"/>
      <c r="R39" s="2120"/>
      <c r="S39" s="2120"/>
      <c r="T39" s="2120"/>
    </row>
    <row r="40" spans="1:20" s="2116" customFormat="1" ht="24" customHeight="1">
      <c r="A40" s="2112"/>
      <c r="B40" s="2164" t="s">
        <v>2818</v>
      </c>
      <c r="C40" s="2111"/>
      <c r="D40" s="2165"/>
      <c r="E40" s="825">
        <v>1</v>
      </c>
      <c r="F40" s="1457" t="s">
        <v>363</v>
      </c>
      <c r="G40" s="1769">
        <v>409425</v>
      </c>
      <c r="H40" s="1413">
        <f t="shared" si="2"/>
        <v>409425</v>
      </c>
      <c r="I40" s="1455">
        <f>G40*0.05</f>
        <v>20471.25</v>
      </c>
      <c r="J40" s="1413">
        <f t="shared" si="3"/>
        <v>20471</v>
      </c>
      <c r="K40" s="1415">
        <f t="shared" si="4"/>
        <v>429896</v>
      </c>
      <c r="L40" s="1457"/>
      <c r="M40" s="2120"/>
      <c r="N40" s="2120"/>
      <c r="O40" s="2120"/>
      <c r="P40" s="2120"/>
      <c r="Q40" s="2120"/>
      <c r="R40" s="2120"/>
      <c r="S40" s="2120"/>
      <c r="T40" s="2120"/>
    </row>
    <row r="41" spans="1:20" s="2116" customFormat="1" ht="24" customHeight="1">
      <c r="A41" s="2112"/>
      <c r="B41" s="2164" t="s">
        <v>2819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2"/>
        <v>409425</v>
      </c>
      <c r="I41" s="1455">
        <f t="shared" ref="I41:I42" si="6">G41*0.05</f>
        <v>20471.25</v>
      </c>
      <c r="J41" s="1413">
        <f t="shared" si="3"/>
        <v>20471</v>
      </c>
      <c r="K41" s="1415">
        <f t="shared" si="4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2116" customFormat="1" ht="24" customHeight="1">
      <c r="A42" s="2112"/>
      <c r="B42" s="2164" t="s">
        <v>2820</v>
      </c>
      <c r="C42" s="2111"/>
      <c r="D42" s="2165"/>
      <c r="E42" s="825">
        <v>1</v>
      </c>
      <c r="F42" s="1457" t="s">
        <v>363</v>
      </c>
      <c r="G42" s="1769">
        <v>409425</v>
      </c>
      <c r="H42" s="1413">
        <f t="shared" si="2"/>
        <v>409425</v>
      </c>
      <c r="I42" s="1455">
        <f t="shared" si="6"/>
        <v>20471.25</v>
      </c>
      <c r="J42" s="1413">
        <f t="shared" si="3"/>
        <v>20471</v>
      </c>
      <c r="K42" s="1415">
        <f t="shared" si="4"/>
        <v>429896</v>
      </c>
      <c r="L42" s="1457"/>
      <c r="M42" s="2120"/>
      <c r="N42" s="2120"/>
      <c r="O42" s="2120"/>
      <c r="P42" s="2120"/>
      <c r="Q42" s="2120"/>
      <c r="R42" s="2120"/>
      <c r="S42" s="2120"/>
      <c r="T42" s="2120"/>
    </row>
    <row r="43" spans="1:20" s="1765" customFormat="1" ht="24" customHeight="1">
      <c r="A43" s="2112"/>
      <c r="B43" s="2114"/>
      <c r="C43" s="2106"/>
      <c r="D43" s="2106"/>
      <c r="E43" s="1802"/>
      <c r="F43" s="1356"/>
      <c r="G43" s="1803"/>
      <c r="H43" s="1369"/>
      <c r="I43" s="1370"/>
      <c r="J43" s="1369"/>
      <c r="K43" s="1356"/>
      <c r="L43" s="1356"/>
    </row>
    <row r="44" spans="1:20" s="1765" customFormat="1" ht="24" customHeight="1">
      <c r="A44" s="2112"/>
      <c r="B44" s="2107" t="s">
        <v>2253</v>
      </c>
      <c r="C44" s="2106"/>
      <c r="D44" s="2165"/>
      <c r="E44" s="825">
        <f>SUM(E37:E43)</f>
        <v>6</v>
      </c>
      <c r="F44" s="1457" t="s">
        <v>363</v>
      </c>
      <c r="G44" s="1769">
        <v>2000</v>
      </c>
      <c r="H44" s="1343">
        <f t="shared" ref="H44:H46" si="7">ROUND(E44*G44,)</f>
        <v>12000</v>
      </c>
      <c r="I44" s="1856" t="s">
        <v>1683</v>
      </c>
      <c r="J44" s="1343"/>
      <c r="K44" s="1801">
        <f t="shared" ref="K44:K46" si="8">H44+J44</f>
        <v>12000</v>
      </c>
      <c r="L44" s="715"/>
    </row>
    <row r="45" spans="1:20" s="1765" customFormat="1" ht="24" customHeight="1">
      <c r="A45" s="2113" t="s">
        <v>1986</v>
      </c>
      <c r="B45" s="2114" t="s">
        <v>2041</v>
      </c>
      <c r="C45" s="2115"/>
      <c r="D45" s="2150"/>
      <c r="E45" s="825">
        <f>E44</f>
        <v>6</v>
      </c>
      <c r="F45" s="1457" t="s">
        <v>363</v>
      </c>
      <c r="G45" s="1769">
        <v>2400</v>
      </c>
      <c r="H45" s="1343">
        <f t="shared" si="7"/>
        <v>14400</v>
      </c>
      <c r="I45" s="1455">
        <v>720</v>
      </c>
      <c r="J45" s="1343">
        <f t="shared" ref="J45:J46" si="9">ROUND(E45*I45,)</f>
        <v>4320</v>
      </c>
      <c r="K45" s="1801">
        <f t="shared" si="8"/>
        <v>18720</v>
      </c>
      <c r="L45" s="1356"/>
    </row>
    <row r="46" spans="1:20" s="2116" customFormat="1" ht="24" customHeight="1">
      <c r="A46" s="2112" t="s">
        <v>1988</v>
      </c>
      <c r="B46" s="2164" t="s">
        <v>2331</v>
      </c>
      <c r="C46" s="2111"/>
      <c r="D46" s="2165"/>
      <c r="E46" s="825">
        <f>E44</f>
        <v>6</v>
      </c>
      <c r="F46" s="1457" t="s">
        <v>363</v>
      </c>
      <c r="G46" s="1769">
        <v>4000</v>
      </c>
      <c r="H46" s="1413">
        <f t="shared" si="7"/>
        <v>24000</v>
      </c>
      <c r="I46" s="1455">
        <f t="shared" ref="I46" si="10">G46*0.1</f>
        <v>400</v>
      </c>
      <c r="J46" s="1413">
        <f t="shared" si="9"/>
        <v>2400</v>
      </c>
      <c r="K46" s="1415">
        <f t="shared" si="8"/>
        <v>26400</v>
      </c>
      <c r="L46" s="1457"/>
      <c r="M46" s="2120"/>
      <c r="N46" s="2120"/>
      <c r="O46" s="2120"/>
      <c r="P46" s="2120"/>
      <c r="Q46" s="2120"/>
      <c r="R46" s="2120"/>
      <c r="S46" s="2120"/>
      <c r="T46" s="2120"/>
    </row>
    <row r="47" spans="1:20" s="1765" customFormat="1" ht="24" customHeight="1">
      <c r="A47" s="2113"/>
      <c r="B47" s="2114" t="s">
        <v>1117</v>
      </c>
      <c r="C47" s="2115"/>
      <c r="D47" s="2150"/>
      <c r="E47" s="1801"/>
      <c r="F47" s="1356"/>
      <c r="G47" s="1515"/>
      <c r="H47" s="820"/>
      <c r="I47" s="1370"/>
      <c r="J47" s="820"/>
      <c r="K47" s="1457"/>
      <c r="L47" s="1356"/>
    </row>
    <row r="48" spans="1:20" s="1765" customFormat="1" ht="24" customHeight="1">
      <c r="A48" s="2113"/>
      <c r="B48" s="2114"/>
      <c r="C48" s="2115"/>
      <c r="D48" s="2150"/>
      <c r="E48" s="1801"/>
      <c r="F48" s="1356"/>
      <c r="G48" s="1344"/>
      <c r="H48" s="820"/>
      <c r="I48" s="1370"/>
      <c r="J48" s="820"/>
      <c r="K48" s="1457"/>
      <c r="L48" s="1356"/>
    </row>
    <row r="49" spans="1:20" s="1765" customFormat="1" ht="24" customHeight="1">
      <c r="A49" s="1857"/>
      <c r="B49" s="2257" t="str">
        <f>"รวมราคารายการที่ "&amp;A35</f>
        <v>รวมราคารายการที่ 7.1</v>
      </c>
      <c r="C49" s="2258"/>
      <c r="D49" s="2259"/>
      <c r="E49" s="1858"/>
      <c r="F49" s="1858"/>
      <c r="G49" s="1859"/>
      <c r="H49" s="1860">
        <f>SUM(H36:H48)</f>
        <v>2506950</v>
      </c>
      <c r="I49" s="1861"/>
      <c r="J49" s="1860">
        <f>SUM(J36:J48)</f>
        <v>129546</v>
      </c>
      <c r="K49" s="1862">
        <f>SUM(K36:K48)</f>
        <v>2636496</v>
      </c>
      <c r="L49" s="1862"/>
    </row>
    <row r="50" spans="1:20" s="1765" customFormat="1" ht="24" customHeight="1">
      <c r="A50" s="1757">
        <v>7.2</v>
      </c>
      <c r="B50" s="1758" t="s">
        <v>1983</v>
      </c>
      <c r="C50" s="1294"/>
      <c r="D50" s="1777"/>
      <c r="E50" s="1686"/>
      <c r="F50" s="1402"/>
      <c r="G50" s="1661"/>
      <c r="H50" s="1588"/>
      <c r="I50" s="1589"/>
      <c r="J50" s="1588"/>
      <c r="K50" s="1770"/>
      <c r="L50" s="1770"/>
    </row>
    <row r="51" spans="1:20" s="1765" customFormat="1" ht="24" customHeight="1">
      <c r="A51" s="1258" t="s">
        <v>1992</v>
      </c>
      <c r="B51" s="1538" t="s">
        <v>2138</v>
      </c>
      <c r="C51" s="1275"/>
      <c r="D51" s="1767"/>
      <c r="E51" s="1771"/>
      <c r="F51" s="1385"/>
      <c r="G51" s="1778"/>
      <c r="H51" s="1594"/>
      <c r="I51" s="1595"/>
      <c r="J51" s="1594"/>
      <c r="K51" s="1632"/>
      <c r="L51" s="1632"/>
    </row>
    <row r="52" spans="1:20" s="1765" customFormat="1" ht="24" customHeight="1">
      <c r="A52" s="1766" t="s">
        <v>2139</v>
      </c>
      <c r="B52" s="1538" t="s">
        <v>2140</v>
      </c>
      <c r="C52" s="1275"/>
      <c r="D52" s="1767"/>
      <c r="E52" s="1686"/>
      <c r="F52" s="1402"/>
      <c r="G52" s="1661"/>
      <c r="H52" s="1588"/>
      <c r="I52" s="1589"/>
      <c r="J52" s="1588"/>
      <c r="K52" s="1770"/>
      <c r="L52" s="1770"/>
    </row>
    <row r="53" spans="1:20" s="1765" customFormat="1" ht="24" customHeight="1">
      <c r="A53" s="1766"/>
      <c r="B53" s="1538" t="s">
        <v>1821</v>
      </c>
      <c r="C53" s="1275"/>
      <c r="D53" s="1767"/>
      <c r="E53" s="1813"/>
      <c r="F53" s="1389" t="s">
        <v>363</v>
      </c>
      <c r="G53" s="1814">
        <v>3300</v>
      </c>
      <c r="H53" s="1773">
        <f t="shared" ref="H53:H56" si="11">ROUND(E53*G53,)</f>
        <v>0</v>
      </c>
      <c r="I53" s="1815">
        <v>150</v>
      </c>
      <c r="J53" s="1773">
        <f t="shared" ref="J53:J56" si="12">ROUND(E53*I53,)</f>
        <v>0</v>
      </c>
      <c r="K53" s="1774">
        <f t="shared" ref="K53:K56" si="13">H53+J53</f>
        <v>0</v>
      </c>
      <c r="L53" s="1770"/>
    </row>
    <row r="54" spans="1:20" s="1765" customFormat="1" ht="24" customHeight="1">
      <c r="A54" s="2166"/>
      <c r="B54" s="2114" t="s">
        <v>1836</v>
      </c>
      <c r="C54" s="2108"/>
      <c r="D54" s="2109"/>
      <c r="E54" s="715"/>
      <c r="F54" s="1415" t="s">
        <v>363</v>
      </c>
      <c r="G54" s="1772">
        <v>4596</v>
      </c>
      <c r="H54" s="1343">
        <f t="shared" si="11"/>
        <v>0</v>
      </c>
      <c r="I54" s="1386">
        <v>200</v>
      </c>
      <c r="J54" s="1343">
        <f t="shared" si="12"/>
        <v>0</v>
      </c>
      <c r="K54" s="1801">
        <f t="shared" si="13"/>
        <v>0</v>
      </c>
      <c r="L54" s="1457"/>
    </row>
    <row r="55" spans="1:20" s="2116" customFormat="1" ht="24" customHeight="1">
      <c r="A55" s="2113"/>
      <c r="B55" s="2114" t="s">
        <v>1715</v>
      </c>
      <c r="C55" s="2108"/>
      <c r="D55" s="2109"/>
      <c r="E55" s="1834">
        <v>6</v>
      </c>
      <c r="F55" s="1466" t="s">
        <v>363</v>
      </c>
      <c r="G55" s="2161">
        <v>55000</v>
      </c>
      <c r="H55" s="2156">
        <f t="shared" si="11"/>
        <v>330000</v>
      </c>
      <c r="I55" s="2162">
        <v>500</v>
      </c>
      <c r="J55" s="2156">
        <f t="shared" si="12"/>
        <v>3000</v>
      </c>
      <c r="K55" s="1853">
        <f t="shared" si="13"/>
        <v>333000</v>
      </c>
      <c r="L55" s="1415"/>
      <c r="M55" s="2120"/>
      <c r="N55" s="2120"/>
      <c r="O55" s="2120"/>
      <c r="P55" s="2120"/>
      <c r="Q55" s="2120"/>
      <c r="R55" s="2120"/>
      <c r="S55" s="2120"/>
      <c r="T55" s="2120"/>
    </row>
    <row r="56" spans="1:20" s="2116" customFormat="1" ht="24" customHeight="1">
      <c r="A56" s="2113" t="s">
        <v>2036</v>
      </c>
      <c r="B56" s="2114" t="s">
        <v>2727</v>
      </c>
      <c r="C56" s="2108"/>
      <c r="D56" s="2109"/>
      <c r="E56" s="715"/>
      <c r="F56" s="1466" t="s">
        <v>363</v>
      </c>
      <c r="G56" s="2161">
        <v>16150</v>
      </c>
      <c r="H56" s="2156">
        <f t="shared" si="11"/>
        <v>0</v>
      </c>
      <c r="I56" s="2162">
        <v>500</v>
      </c>
      <c r="J56" s="2156">
        <f t="shared" si="12"/>
        <v>0</v>
      </c>
      <c r="K56" s="1853">
        <f t="shared" si="13"/>
        <v>0</v>
      </c>
      <c r="L56" s="1415"/>
      <c r="M56" s="2120"/>
      <c r="N56" s="2120"/>
      <c r="O56" s="2120"/>
      <c r="P56" s="2120"/>
      <c r="Q56" s="2120"/>
      <c r="R56" s="2120"/>
      <c r="S56" s="2120"/>
      <c r="T56" s="2120"/>
    </row>
    <row r="57" spans="1:20" s="1765" customFormat="1" ht="24" customHeight="1">
      <c r="A57" s="2166"/>
      <c r="B57" s="2114" t="s">
        <v>1117</v>
      </c>
      <c r="C57" s="2108"/>
      <c r="D57" s="2109"/>
      <c r="E57" s="825"/>
      <c r="F57" s="1457"/>
      <c r="G57" s="1769"/>
      <c r="H57" s="820"/>
      <c r="I57" s="1455"/>
      <c r="J57" s="820"/>
      <c r="K57" s="1457"/>
      <c r="L57" s="1457"/>
    </row>
    <row r="58" spans="1:20" s="1765" customFormat="1" ht="24" customHeight="1">
      <c r="A58" s="2166"/>
      <c r="B58" s="2114" t="s">
        <v>1118</v>
      </c>
      <c r="C58" s="2108"/>
      <c r="D58" s="2109"/>
      <c r="E58" s="825"/>
      <c r="F58" s="1457"/>
      <c r="G58" s="1769"/>
      <c r="H58" s="820"/>
      <c r="I58" s="1455"/>
      <c r="J58" s="820"/>
      <c r="K58" s="1457"/>
      <c r="L58" s="1457"/>
    </row>
    <row r="59" spans="1:20" s="1199" customFormat="1" ht="24" customHeight="1">
      <c r="A59" s="1578"/>
      <c r="B59" s="2257" t="str">
        <f>"รวมราคารายการที่ "&amp;A50</f>
        <v>รวมราคารายการที่ 7.2</v>
      </c>
      <c r="C59" s="2258"/>
      <c r="D59" s="2259"/>
      <c r="E59" s="1579"/>
      <c r="F59" s="1579"/>
      <c r="G59" s="1580"/>
      <c r="H59" s="1581">
        <f>SUM(H50:H58)</f>
        <v>330000</v>
      </c>
      <c r="I59" s="1582"/>
      <c r="J59" s="1581">
        <f>SUM(J50:J58)</f>
        <v>3000</v>
      </c>
      <c r="K59" s="1581">
        <f>SUM(K50:K58)</f>
        <v>333000</v>
      </c>
      <c r="L59" s="1583"/>
    </row>
    <row r="60" spans="1:20" s="1765" customFormat="1" ht="24" customHeight="1">
      <c r="A60" s="1291" t="s">
        <v>2306</v>
      </c>
      <c r="B60" s="1852" t="s">
        <v>2255</v>
      </c>
      <c r="C60" s="1293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766" t="s">
        <v>2043</v>
      </c>
      <c r="B61" s="1538" t="s">
        <v>2256</v>
      </c>
      <c r="C61" s="1275"/>
      <c r="D61" s="1767"/>
      <c r="E61" s="1686"/>
      <c r="F61" s="1402"/>
      <c r="G61" s="1661"/>
      <c r="H61" s="1588"/>
      <c r="I61" s="1589"/>
      <c r="J61" s="1588"/>
      <c r="K61" s="1770"/>
      <c r="L61" s="1770"/>
    </row>
    <row r="62" spans="1:20" s="1765" customFormat="1" ht="24" customHeight="1">
      <c r="A62" s="1766"/>
      <c r="B62" s="1538" t="s">
        <v>2257</v>
      </c>
      <c r="C62" s="1275"/>
      <c r="D62" s="1767"/>
      <c r="E62" s="1686"/>
      <c r="F62" s="1402" t="s">
        <v>363</v>
      </c>
      <c r="G62" s="1661">
        <v>650</v>
      </c>
      <c r="H62" s="1588">
        <f t="shared" ref="H62:H65" si="14">ROUND(E62*G62,)</f>
        <v>0</v>
      </c>
      <c r="I62" s="1589">
        <v>150</v>
      </c>
      <c r="J62" s="1588">
        <f t="shared" ref="J62:J65" si="15">ROUND(E62*I62,)</f>
        <v>0</v>
      </c>
      <c r="K62" s="1770">
        <f t="shared" ref="K62:K65" si="16">H62+J62</f>
        <v>0</v>
      </c>
      <c r="L62" s="1770"/>
    </row>
    <row r="63" spans="1:20" s="1765" customFormat="1" ht="24" customHeight="1">
      <c r="A63" s="1766" t="s">
        <v>2047</v>
      </c>
      <c r="B63" s="1538" t="s">
        <v>2258</v>
      </c>
      <c r="C63" s="1275"/>
      <c r="D63" s="1767"/>
      <c r="E63" s="1686">
        <v>6</v>
      </c>
      <c r="F63" s="1402" t="s">
        <v>363</v>
      </c>
      <c r="G63" s="1661">
        <v>2400</v>
      </c>
      <c r="H63" s="1588">
        <f t="shared" si="14"/>
        <v>14400</v>
      </c>
      <c r="I63" s="1589">
        <v>150</v>
      </c>
      <c r="J63" s="1588">
        <f t="shared" si="15"/>
        <v>900</v>
      </c>
      <c r="K63" s="1770">
        <f t="shared" si="16"/>
        <v>15300</v>
      </c>
      <c r="L63" s="1770"/>
    </row>
    <row r="64" spans="1:20" s="1765" customFormat="1" ht="24" customHeight="1">
      <c r="A64" s="1766" t="s">
        <v>2155</v>
      </c>
      <c r="B64" s="1538" t="s">
        <v>2259</v>
      </c>
      <c r="C64" s="1275"/>
      <c r="D64" s="1767"/>
      <c r="E64" s="1686">
        <v>6</v>
      </c>
      <c r="F64" s="1402" t="s">
        <v>363</v>
      </c>
      <c r="G64" s="1661">
        <v>2200</v>
      </c>
      <c r="H64" s="1588">
        <f t="shared" si="14"/>
        <v>13200</v>
      </c>
      <c r="I64" s="1589">
        <v>150</v>
      </c>
      <c r="J64" s="1588">
        <f t="shared" si="15"/>
        <v>900</v>
      </c>
      <c r="K64" s="1770">
        <f t="shared" si="16"/>
        <v>14100</v>
      </c>
      <c r="L64" s="1770"/>
    </row>
    <row r="65" spans="1:12" s="1765" customFormat="1" ht="24" customHeight="1">
      <c r="A65" s="1766" t="s">
        <v>2165</v>
      </c>
      <c r="B65" s="1538" t="s">
        <v>2261</v>
      </c>
      <c r="C65" s="1275"/>
      <c r="D65" s="1767"/>
      <c r="E65" s="1686"/>
      <c r="F65" s="1402" t="s">
        <v>1104</v>
      </c>
      <c r="G65" s="1661">
        <f>15*2500</f>
        <v>37500</v>
      </c>
      <c r="H65" s="1588">
        <f t="shared" si="14"/>
        <v>0</v>
      </c>
      <c r="I65" s="1589">
        <f>G65*0.3</f>
        <v>11250</v>
      </c>
      <c r="J65" s="1588">
        <f t="shared" si="15"/>
        <v>0</v>
      </c>
      <c r="K65" s="1770">
        <f t="shared" si="16"/>
        <v>0</v>
      </c>
      <c r="L65" s="1770"/>
    </row>
    <row r="66" spans="1:12" s="1765" customFormat="1" ht="24" customHeight="1">
      <c r="A66" s="1766"/>
      <c r="B66" s="1538" t="s">
        <v>1117</v>
      </c>
      <c r="C66" s="1275"/>
      <c r="D66" s="1767"/>
      <c r="E66" s="1686"/>
      <c r="F66" s="1402"/>
      <c r="G66" s="1661"/>
      <c r="H66" s="1588"/>
      <c r="I66" s="1589"/>
      <c r="J66" s="1588"/>
      <c r="K66" s="1770"/>
      <c r="L66" s="1770"/>
    </row>
    <row r="67" spans="1:12" s="1765" customFormat="1" ht="24" customHeight="1">
      <c r="A67" s="1584"/>
      <c r="B67" s="1538" t="s">
        <v>1896</v>
      </c>
      <c r="C67" s="1275"/>
      <c r="D67" s="1767"/>
      <c r="E67" s="1686"/>
      <c r="F67" s="1402"/>
      <c r="G67" s="1661"/>
      <c r="H67" s="1588"/>
      <c r="I67" s="1589"/>
      <c r="J67" s="1588"/>
      <c r="K67" s="1770"/>
      <c r="L67" s="1770"/>
    </row>
    <row r="68" spans="1:12" s="1765" customFormat="1" ht="24" customHeight="1">
      <c r="A68" s="1584"/>
      <c r="B68" s="1538" t="s">
        <v>1896</v>
      </c>
      <c r="C68" s="1275"/>
      <c r="D68" s="1767"/>
      <c r="E68" s="1686"/>
      <c r="F68" s="1402"/>
      <c r="G68" s="1661"/>
      <c r="H68" s="1588"/>
      <c r="I68" s="1589"/>
      <c r="J68" s="1588"/>
      <c r="K68" s="1770"/>
      <c r="L68" s="1770"/>
    </row>
    <row r="69" spans="1:12" s="1765" customFormat="1" ht="24" customHeight="1">
      <c r="A69" s="1766"/>
      <c r="B69" s="1538"/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12" s="1765" customFormat="1" ht="24" customHeight="1">
      <c r="A70" s="1578"/>
      <c r="B70" s="2257" t="str">
        <f>"รวมราคารายการที่ "&amp;A60</f>
        <v>รวมราคารายการที่ 7.3</v>
      </c>
      <c r="C70" s="2258"/>
      <c r="D70" s="2259"/>
      <c r="E70" s="1579"/>
      <c r="F70" s="1579"/>
      <c r="G70" s="1580"/>
      <c r="H70" s="1581">
        <f>SUM(H61:H69)</f>
        <v>27600</v>
      </c>
      <c r="I70" s="1582"/>
      <c r="J70" s="1581">
        <f>SUM(J61:J69)</f>
        <v>1800</v>
      </c>
      <c r="K70" s="1581">
        <f>SUM(K61:K69)</f>
        <v>29400</v>
      </c>
      <c r="L70" s="1583"/>
    </row>
    <row r="71" spans="1:12" s="1765" customFormat="1" ht="24" customHeight="1">
      <c r="A71" s="1291">
        <v>7.4</v>
      </c>
      <c r="B71" s="1783" t="s">
        <v>2042</v>
      </c>
      <c r="C71" s="1294"/>
      <c r="D71" s="1777"/>
      <c r="E71" s="1686"/>
      <c r="F71" s="1402"/>
      <c r="G71" s="1661"/>
      <c r="H71" s="1588"/>
      <c r="I71" s="1589"/>
      <c r="J71" s="1588"/>
      <c r="K71" s="1770"/>
      <c r="L71" s="1770"/>
    </row>
    <row r="72" spans="1:12" s="1765" customFormat="1" ht="24" customHeight="1">
      <c r="A72" s="1258" t="s">
        <v>2054</v>
      </c>
      <c r="B72" s="1538" t="s">
        <v>2044</v>
      </c>
      <c r="C72" s="1275"/>
      <c r="D72" s="1767"/>
      <c r="E72" s="1771"/>
      <c r="F72" s="1385"/>
      <c r="G72" s="1778"/>
      <c r="H72" s="1594"/>
      <c r="I72" s="1595"/>
      <c r="J72" s="1594"/>
      <c r="K72" s="1632"/>
      <c r="L72" s="1632"/>
    </row>
    <row r="73" spans="1:12" s="1765" customFormat="1" ht="24" customHeight="1">
      <c r="A73" s="1189" t="s">
        <v>2166</v>
      </c>
      <c r="B73" s="1538" t="s">
        <v>2167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12" s="1765" customFormat="1" ht="24" customHeight="1">
      <c r="A74" s="1258"/>
      <c r="B74" s="1538" t="s">
        <v>2168</v>
      </c>
      <c r="C74" s="1275"/>
      <c r="D74" s="1767"/>
      <c r="E74" s="1834"/>
      <c r="F74" s="1788" t="s">
        <v>226</v>
      </c>
      <c r="G74" s="2020">
        <v>69.5</v>
      </c>
      <c r="H74" s="1773">
        <f>ROUND(E74*G74,)</f>
        <v>0</v>
      </c>
      <c r="I74" s="2011">
        <v>30</v>
      </c>
      <c r="J74" s="2008">
        <f>ROUND(E74*I74,)</f>
        <v>0</v>
      </c>
      <c r="K74" s="1774">
        <f t="shared" ref="K74:K84" si="17">H74+J74</f>
        <v>0</v>
      </c>
      <c r="L74" s="1632"/>
    </row>
    <row r="75" spans="1:12" s="1765" customFormat="1" ht="24" customHeight="1">
      <c r="A75" s="1258"/>
      <c r="B75" s="1538" t="s">
        <v>1901</v>
      </c>
      <c r="C75" s="1275"/>
      <c r="D75" s="1767"/>
      <c r="E75" s="1771"/>
      <c r="F75" s="1358" t="s">
        <v>226</v>
      </c>
      <c r="G75" s="1558">
        <v>103.5</v>
      </c>
      <c r="H75" s="1773">
        <f t="shared" ref="H75:H84" si="18">ROUND(E75*G75,)</f>
        <v>0</v>
      </c>
      <c r="I75" s="1332">
        <v>45</v>
      </c>
      <c r="J75" s="2008">
        <f t="shared" ref="J75:J84" si="19">ROUND(E75*I75,)</f>
        <v>0</v>
      </c>
      <c r="K75" s="1774">
        <f t="shared" si="17"/>
        <v>0</v>
      </c>
      <c r="L75" s="1632"/>
    </row>
    <row r="76" spans="1:12" s="1765" customFormat="1" ht="24" customHeight="1">
      <c r="A76" s="1258"/>
      <c r="B76" s="1538" t="s">
        <v>1338</v>
      </c>
      <c r="C76" s="1275"/>
      <c r="D76" s="1767"/>
      <c r="E76" s="1771"/>
      <c r="F76" s="1358" t="s">
        <v>226</v>
      </c>
      <c r="G76" s="1558">
        <v>140</v>
      </c>
      <c r="H76" s="1773">
        <f t="shared" si="18"/>
        <v>0</v>
      </c>
      <c r="I76" s="1332">
        <v>60</v>
      </c>
      <c r="J76" s="2008">
        <f t="shared" si="19"/>
        <v>0</v>
      </c>
      <c r="K76" s="1774">
        <f t="shared" si="17"/>
        <v>0</v>
      </c>
      <c r="L76" s="1632"/>
    </row>
    <row r="77" spans="1:12" s="1765" customFormat="1" ht="24" customHeight="1">
      <c r="A77" s="1258"/>
      <c r="B77" s="1538" t="s">
        <v>1339</v>
      </c>
      <c r="C77" s="1275"/>
      <c r="D77" s="2109"/>
      <c r="E77" s="715"/>
      <c r="F77" s="1262" t="s">
        <v>226</v>
      </c>
      <c r="G77" s="819">
        <v>167</v>
      </c>
      <c r="H77" s="1773">
        <f t="shared" si="18"/>
        <v>0</v>
      </c>
      <c r="I77" s="2007">
        <v>70</v>
      </c>
      <c r="J77" s="2008">
        <f t="shared" si="19"/>
        <v>0</v>
      </c>
      <c r="K77" s="1774">
        <f t="shared" si="17"/>
        <v>0</v>
      </c>
      <c r="L77" s="1632"/>
    </row>
    <row r="78" spans="1:12" s="1765" customFormat="1" ht="24" customHeight="1">
      <c r="A78" s="1258"/>
      <c r="B78" s="1538" t="s">
        <v>1340</v>
      </c>
      <c r="C78" s="1275"/>
      <c r="D78" s="2109"/>
      <c r="E78" s="715"/>
      <c r="F78" s="1262" t="s">
        <v>226</v>
      </c>
      <c r="G78" s="819">
        <v>225</v>
      </c>
      <c r="H78" s="1773">
        <f t="shared" si="18"/>
        <v>0</v>
      </c>
      <c r="I78" s="2007">
        <v>95</v>
      </c>
      <c r="J78" s="2008">
        <f t="shared" si="19"/>
        <v>0</v>
      </c>
      <c r="K78" s="1774">
        <f t="shared" si="17"/>
        <v>0</v>
      </c>
      <c r="L78" s="1632"/>
    </row>
    <row r="79" spans="1:12" s="1765" customFormat="1" ht="24" customHeight="1">
      <c r="A79" s="1804"/>
      <c r="B79" s="1780" t="s">
        <v>1341</v>
      </c>
      <c r="C79" s="1260"/>
      <c r="D79" s="2109"/>
      <c r="E79" s="825">
        <f>(78*2)</f>
        <v>156</v>
      </c>
      <c r="F79" s="1262" t="s">
        <v>226</v>
      </c>
      <c r="G79" s="2021">
        <v>357</v>
      </c>
      <c r="H79" s="1773">
        <f t="shared" si="18"/>
        <v>55692</v>
      </c>
      <c r="I79" s="819">
        <v>150</v>
      </c>
      <c r="J79" s="2008">
        <f t="shared" si="19"/>
        <v>23400</v>
      </c>
      <c r="K79" s="1774">
        <f t="shared" si="17"/>
        <v>79092</v>
      </c>
      <c r="L79" s="1415"/>
    </row>
    <row r="80" spans="1:12" s="1765" customFormat="1" ht="24" customHeight="1">
      <c r="A80" s="1804"/>
      <c r="B80" s="1780" t="s">
        <v>1342</v>
      </c>
      <c r="C80" s="1260"/>
      <c r="D80" s="2109"/>
      <c r="E80" s="825">
        <f>(78*2*1.1)</f>
        <v>171.60000000000002</v>
      </c>
      <c r="F80" s="1262" t="s">
        <v>226</v>
      </c>
      <c r="G80" s="2021">
        <v>467</v>
      </c>
      <c r="H80" s="1773">
        <f t="shared" si="18"/>
        <v>80137</v>
      </c>
      <c r="I80" s="819">
        <v>200</v>
      </c>
      <c r="J80" s="2008">
        <f t="shared" si="19"/>
        <v>34320</v>
      </c>
      <c r="K80" s="1774">
        <f t="shared" si="17"/>
        <v>114457</v>
      </c>
      <c r="L80" s="1415"/>
    </row>
    <row r="81" spans="1:15" s="1765" customFormat="1" ht="24" customHeight="1">
      <c r="A81" s="1804"/>
      <c r="B81" s="1780" t="s">
        <v>1111</v>
      </c>
      <c r="C81" s="1260"/>
      <c r="D81" s="2109"/>
      <c r="E81" s="825">
        <f>51.5*2*1.1</f>
        <v>113.30000000000001</v>
      </c>
      <c r="F81" s="1262" t="s">
        <v>226</v>
      </c>
      <c r="G81" s="2021">
        <v>665</v>
      </c>
      <c r="H81" s="1773">
        <f t="shared" si="18"/>
        <v>75345</v>
      </c>
      <c r="I81" s="819">
        <v>280</v>
      </c>
      <c r="J81" s="2008">
        <f t="shared" si="19"/>
        <v>31724</v>
      </c>
      <c r="K81" s="1774">
        <f t="shared" si="17"/>
        <v>107069</v>
      </c>
      <c r="L81" s="1415"/>
    </row>
    <row r="82" spans="1:15" s="1765" customFormat="1" ht="24" customHeight="1">
      <c r="A82" s="1258"/>
      <c r="B82" s="1538" t="s">
        <v>1719</v>
      </c>
      <c r="C82" s="1275"/>
      <c r="D82" s="2109"/>
      <c r="E82" s="715">
        <v>1</v>
      </c>
      <c r="F82" s="1415" t="s">
        <v>1104</v>
      </c>
      <c r="G82" s="1772">
        <f>ROUND(SUM(H74:H81)*50%,)</f>
        <v>105587</v>
      </c>
      <c r="H82" s="1264">
        <f t="shared" si="18"/>
        <v>105587</v>
      </c>
      <c r="I82" s="1595">
        <f>ROUND(G82*0.3,)</f>
        <v>31676</v>
      </c>
      <c r="J82" s="1264">
        <f t="shared" si="19"/>
        <v>31676</v>
      </c>
      <c r="K82" s="1273">
        <f t="shared" si="17"/>
        <v>137263</v>
      </c>
      <c r="L82" s="1632"/>
    </row>
    <row r="83" spans="1:15" s="1765" customFormat="1" ht="24" customHeight="1">
      <c r="A83" s="1258"/>
      <c r="B83" s="1538" t="s">
        <v>1720</v>
      </c>
      <c r="C83" s="1275"/>
      <c r="D83" s="2109"/>
      <c r="E83" s="715">
        <v>1</v>
      </c>
      <c r="F83" s="1415" t="s">
        <v>1104</v>
      </c>
      <c r="G83" s="1772">
        <f>ROUND(SUM(H73:H81)*20%,)</f>
        <v>42235</v>
      </c>
      <c r="H83" s="1264">
        <f t="shared" si="18"/>
        <v>42235</v>
      </c>
      <c r="I83" s="1595">
        <f>ROUND(G83*0.3,)</f>
        <v>12671</v>
      </c>
      <c r="J83" s="1264">
        <f t="shared" si="19"/>
        <v>12671</v>
      </c>
      <c r="K83" s="1273">
        <f t="shared" si="17"/>
        <v>54906</v>
      </c>
      <c r="L83" s="1632"/>
    </row>
    <row r="84" spans="1:15" s="1765" customFormat="1" ht="24" customHeight="1">
      <c r="A84" s="1258"/>
      <c r="B84" s="1538" t="s">
        <v>1721</v>
      </c>
      <c r="C84" s="1275"/>
      <c r="D84" s="2109"/>
      <c r="E84" s="715">
        <v>1</v>
      </c>
      <c r="F84" s="1415" t="s">
        <v>1104</v>
      </c>
      <c r="G84" s="1772">
        <f>ROUND(SUM(H73:H81)*10%,)</f>
        <v>21117</v>
      </c>
      <c r="H84" s="1264">
        <f t="shared" si="18"/>
        <v>21117</v>
      </c>
      <c r="I84" s="1595">
        <f>ROUND(G84*0.3,)</f>
        <v>6335</v>
      </c>
      <c r="J84" s="1264">
        <f t="shared" si="19"/>
        <v>6335</v>
      </c>
      <c r="K84" s="1273">
        <f t="shared" si="17"/>
        <v>27452</v>
      </c>
      <c r="L84" s="1632"/>
    </row>
    <row r="85" spans="1:15" s="1765" customFormat="1" ht="24" customHeight="1">
      <c r="A85" s="1258" t="s">
        <v>2056</v>
      </c>
      <c r="B85" s="1538" t="s">
        <v>2050</v>
      </c>
      <c r="C85" s="1275"/>
      <c r="D85" s="2109"/>
      <c r="E85" s="715"/>
      <c r="F85" s="1415"/>
      <c r="G85" s="1772"/>
      <c r="H85" s="1594"/>
      <c r="I85" s="1595"/>
      <c r="J85" s="1594"/>
      <c r="K85" s="1632"/>
      <c r="L85" s="1632"/>
    </row>
    <row r="86" spans="1:15" s="1765" customFormat="1" ht="24" customHeight="1">
      <c r="A86" s="1258"/>
      <c r="B86" s="1538" t="s">
        <v>2168</v>
      </c>
      <c r="C86" s="1275"/>
      <c r="D86" s="2109"/>
      <c r="E86" s="1834"/>
      <c r="F86" s="2154" t="s">
        <v>226</v>
      </c>
      <c r="G86" s="819">
        <v>12</v>
      </c>
      <c r="H86" s="1343">
        <f t="shared" ref="H86:H93" si="20">ROUND(E86*G86,)</f>
        <v>0</v>
      </c>
      <c r="I86" s="819">
        <v>30</v>
      </c>
      <c r="J86" s="2005">
        <f t="shared" ref="J86:J93" si="21">ROUND(E86*I86,)</f>
        <v>0</v>
      </c>
      <c r="K86" s="1801">
        <f t="shared" ref="K86:K93" si="22">H86+J86</f>
        <v>0</v>
      </c>
      <c r="L86" s="2082" t="s">
        <v>2667</v>
      </c>
      <c r="M86" s="2002"/>
      <c r="N86" s="2009">
        <v>48.23</v>
      </c>
      <c r="O86" s="1199">
        <f>ROUND(N86/4,)</f>
        <v>12</v>
      </c>
    </row>
    <row r="87" spans="1:15" s="1765" customFormat="1" ht="24" customHeight="1">
      <c r="A87" s="1258"/>
      <c r="B87" s="1538" t="s">
        <v>1901</v>
      </c>
      <c r="C87" s="1275"/>
      <c r="D87" s="2109"/>
      <c r="E87" s="715"/>
      <c r="F87" s="1262" t="s">
        <v>226</v>
      </c>
      <c r="G87" s="819">
        <v>16</v>
      </c>
      <c r="H87" s="1369">
        <f t="shared" si="20"/>
        <v>0</v>
      </c>
      <c r="I87" s="2007">
        <v>30</v>
      </c>
      <c r="J87" s="2008">
        <f t="shared" si="21"/>
        <v>0</v>
      </c>
      <c r="K87" s="1774">
        <f t="shared" si="22"/>
        <v>0</v>
      </c>
      <c r="L87" s="2082" t="s">
        <v>2667</v>
      </c>
      <c r="M87" s="2002"/>
      <c r="N87" s="1765">
        <v>63.7</v>
      </c>
      <c r="O87" s="1199">
        <f>ROUND(N87/4,)</f>
        <v>16</v>
      </c>
    </row>
    <row r="88" spans="1:15" s="1765" customFormat="1" ht="24" customHeight="1">
      <c r="A88" s="1258"/>
      <c r="B88" s="1538" t="s">
        <v>2263</v>
      </c>
      <c r="C88" s="1275"/>
      <c r="D88" s="2109"/>
      <c r="E88" s="715"/>
      <c r="F88" s="1262" t="s">
        <v>226</v>
      </c>
      <c r="G88" s="819">
        <v>20</v>
      </c>
      <c r="H88" s="1369">
        <f t="shared" si="20"/>
        <v>0</v>
      </c>
      <c r="I88" s="2007">
        <v>30</v>
      </c>
      <c r="J88" s="2008">
        <f t="shared" si="21"/>
        <v>0</v>
      </c>
      <c r="K88" s="1774">
        <f t="shared" si="22"/>
        <v>0</v>
      </c>
      <c r="L88" s="2082" t="s">
        <v>2667</v>
      </c>
      <c r="M88" s="2002"/>
      <c r="N88" s="2024">
        <v>79.17</v>
      </c>
      <c r="O88" s="1199">
        <f>ROUND(N88/4,)</f>
        <v>20</v>
      </c>
    </row>
    <row r="89" spans="1:15" s="1765" customFormat="1" ht="24" customHeight="1">
      <c r="A89" s="1258"/>
      <c r="B89" s="1538" t="s">
        <v>1339</v>
      </c>
      <c r="C89" s="1275"/>
      <c r="D89" s="2109"/>
      <c r="E89" s="715">
        <f>2*6</f>
        <v>12</v>
      </c>
      <c r="F89" s="1262" t="s">
        <v>226</v>
      </c>
      <c r="G89" s="819">
        <v>26</v>
      </c>
      <c r="H89" s="1369">
        <f t="shared" si="20"/>
        <v>312</v>
      </c>
      <c r="I89" s="2007">
        <v>30</v>
      </c>
      <c r="J89" s="2008">
        <f t="shared" si="21"/>
        <v>360</v>
      </c>
      <c r="K89" s="1774">
        <f t="shared" si="22"/>
        <v>672</v>
      </c>
      <c r="L89" s="2082" t="s">
        <v>2667</v>
      </c>
      <c r="M89" s="2002"/>
      <c r="N89" s="2024">
        <v>103.74</v>
      </c>
      <c r="O89" s="1199">
        <f>ROUND(N89/4,)</f>
        <v>26</v>
      </c>
    </row>
    <row r="90" spans="1:15" s="1765" customFormat="1" ht="24" customHeight="1">
      <c r="A90" s="1258"/>
      <c r="B90" s="1538" t="s">
        <v>1340</v>
      </c>
      <c r="C90" s="1275"/>
      <c r="D90" s="2109"/>
      <c r="E90" s="715"/>
      <c r="F90" s="1262" t="s">
        <v>226</v>
      </c>
      <c r="G90" s="819">
        <v>41</v>
      </c>
      <c r="H90" s="1369">
        <f t="shared" si="20"/>
        <v>0</v>
      </c>
      <c r="I90" s="2007">
        <v>40</v>
      </c>
      <c r="J90" s="2008">
        <f t="shared" si="21"/>
        <v>0</v>
      </c>
      <c r="K90" s="1774">
        <f t="shared" si="22"/>
        <v>0</v>
      </c>
      <c r="L90" s="2082" t="s">
        <v>2667</v>
      </c>
      <c r="M90" s="2002"/>
      <c r="N90" s="2024">
        <v>163.80000000000001</v>
      </c>
      <c r="O90" s="1199">
        <f>ROUND(N90/4,)</f>
        <v>41</v>
      </c>
    </row>
    <row r="91" spans="1:15" s="1765" customFormat="1" ht="24" customHeight="1">
      <c r="A91" s="1258"/>
      <c r="B91" s="1538" t="s">
        <v>1719</v>
      </c>
      <c r="C91" s="1275"/>
      <c r="D91" s="2109"/>
      <c r="E91" s="715">
        <v>1</v>
      </c>
      <c r="F91" s="1415" t="s">
        <v>1104</v>
      </c>
      <c r="G91" s="1772">
        <f>SUM(H86:H90)*50%</f>
        <v>156</v>
      </c>
      <c r="H91" s="1264">
        <f t="shared" si="20"/>
        <v>156</v>
      </c>
      <c r="I91" s="1595">
        <f>ROUND(G91*0.3,)</f>
        <v>47</v>
      </c>
      <c r="J91" s="1264">
        <f t="shared" si="21"/>
        <v>47</v>
      </c>
      <c r="K91" s="1273">
        <f t="shared" si="22"/>
        <v>203</v>
      </c>
      <c r="L91" s="1632"/>
    </row>
    <row r="92" spans="1:15" s="1765" customFormat="1" ht="24" customHeight="1">
      <c r="A92" s="1258"/>
      <c r="B92" s="1538" t="s">
        <v>1720</v>
      </c>
      <c r="C92" s="1275"/>
      <c r="D92" s="1767"/>
      <c r="E92" s="1771">
        <v>1</v>
      </c>
      <c r="F92" s="1385" t="s">
        <v>1104</v>
      </c>
      <c r="G92" s="1778">
        <f>ROUND(SUM(H86:H90)*30%,)</f>
        <v>94</v>
      </c>
      <c r="H92" s="1264">
        <f t="shared" si="20"/>
        <v>94</v>
      </c>
      <c r="I92" s="1595">
        <f>ROUND(G92*0.3,)</f>
        <v>28</v>
      </c>
      <c r="J92" s="1264">
        <f t="shared" si="21"/>
        <v>28</v>
      </c>
      <c r="K92" s="1273">
        <f t="shared" si="22"/>
        <v>122</v>
      </c>
      <c r="L92" s="1632"/>
    </row>
    <row r="93" spans="1:15" s="1765" customFormat="1" ht="24" customHeight="1">
      <c r="A93" s="1258"/>
      <c r="B93" s="1538" t="s">
        <v>1721</v>
      </c>
      <c r="C93" s="1275"/>
      <c r="D93" s="1767"/>
      <c r="E93" s="1771">
        <v>1</v>
      </c>
      <c r="F93" s="1385" t="s">
        <v>1104</v>
      </c>
      <c r="G93" s="1778">
        <f>ROUND(SUM(H86:H90)*10%,)</f>
        <v>31</v>
      </c>
      <c r="H93" s="1264">
        <f t="shared" si="20"/>
        <v>31</v>
      </c>
      <c r="I93" s="1595">
        <f>ROUND(G93*0.3,)</f>
        <v>9</v>
      </c>
      <c r="J93" s="1264">
        <f t="shared" si="21"/>
        <v>9</v>
      </c>
      <c r="K93" s="1273">
        <f t="shared" si="22"/>
        <v>40</v>
      </c>
      <c r="L93" s="1632"/>
    </row>
    <row r="94" spans="1:15" s="1765" customFormat="1" ht="24" customHeight="1">
      <c r="A94" s="1258"/>
      <c r="B94" s="1538" t="s">
        <v>1117</v>
      </c>
      <c r="C94" s="1275"/>
      <c r="D94" s="1767"/>
      <c r="E94" s="1771"/>
      <c r="F94" s="1385"/>
      <c r="G94" s="1778"/>
      <c r="H94" s="1594"/>
      <c r="I94" s="1595"/>
      <c r="J94" s="1594"/>
      <c r="K94" s="1632"/>
      <c r="L94" s="1632"/>
    </row>
    <row r="95" spans="1:15" s="1765" customFormat="1" ht="24" customHeight="1">
      <c r="A95" s="1258"/>
      <c r="B95" s="1538"/>
      <c r="C95" s="1275"/>
      <c r="D95" s="1767"/>
      <c r="E95" s="1771"/>
      <c r="F95" s="1385"/>
      <c r="G95" s="1778"/>
      <c r="H95" s="1594"/>
      <c r="I95" s="1595"/>
      <c r="J95" s="1594"/>
      <c r="K95" s="1632"/>
      <c r="L95" s="1632"/>
    </row>
    <row r="96" spans="1:15" s="1765" customFormat="1" ht="24" customHeight="1">
      <c r="A96" s="1258"/>
      <c r="B96" s="1538"/>
      <c r="C96" s="1275"/>
      <c r="D96" s="1767"/>
      <c r="E96" s="1771"/>
      <c r="F96" s="1385"/>
      <c r="G96" s="1778"/>
      <c r="H96" s="1594"/>
      <c r="I96" s="1595"/>
      <c r="J96" s="1594"/>
      <c r="K96" s="1632"/>
      <c r="L96" s="1632"/>
    </row>
    <row r="97" spans="1:12" s="1765" customFormat="1" ht="24" customHeight="1">
      <c r="A97" s="1791"/>
      <c r="B97" s="1792"/>
      <c r="C97" s="1486"/>
      <c r="D97" s="1822"/>
      <c r="E97" s="1823"/>
      <c r="F97" s="1500"/>
      <c r="G97" s="1824"/>
      <c r="H97" s="1825"/>
      <c r="I97" s="1826"/>
      <c r="J97" s="1825"/>
      <c r="K97" s="1833"/>
      <c r="L97" s="1833"/>
    </row>
    <row r="98" spans="1:12" s="1765" customFormat="1" ht="24" customHeight="1">
      <c r="A98" s="1578"/>
      <c r="B98" s="2257" t="str">
        <f>"รวมราคารายการที่ "&amp;A71</f>
        <v>รวมราคารายการที่ 7.4</v>
      </c>
      <c r="C98" s="2258"/>
      <c r="D98" s="2259"/>
      <c r="E98" s="1579"/>
      <c r="F98" s="1579"/>
      <c r="G98" s="1580"/>
      <c r="H98" s="1581">
        <f>SUM(H72:H97)</f>
        <v>380706</v>
      </c>
      <c r="I98" s="1582"/>
      <c r="J98" s="1581">
        <f>SUM(J72:J97)</f>
        <v>140570</v>
      </c>
      <c r="K98" s="1581">
        <f>SUM(K72:K97)</f>
        <v>521276</v>
      </c>
      <c r="L98" s="1583"/>
    </row>
    <row r="99" spans="1:12" s="1765" customFormat="1" ht="24" customHeight="1">
      <c r="A99" s="1863" t="s">
        <v>2307</v>
      </c>
      <c r="B99" s="1758" t="s">
        <v>2053</v>
      </c>
      <c r="C99" s="1250"/>
      <c r="D99" s="1251"/>
      <c r="E99" s="1794"/>
      <c r="F99" s="1253"/>
      <c r="G99" s="1721"/>
      <c r="H99" s="1255"/>
      <c r="I99" s="1256"/>
      <c r="J99" s="1255"/>
      <c r="K99" s="1502"/>
      <c r="L99" s="1502"/>
    </row>
    <row r="100" spans="1:12" s="1765" customFormat="1" ht="24" customHeight="1">
      <c r="A100" s="1258" t="s">
        <v>2062</v>
      </c>
      <c r="B100" s="1538" t="s">
        <v>2055</v>
      </c>
      <c r="C100" s="1437"/>
      <c r="D100" s="1275"/>
      <c r="E100" s="1768"/>
      <c r="F100" s="1358"/>
      <c r="G100" s="1516"/>
      <c r="H100" s="1264"/>
      <c r="I100" s="1265"/>
      <c r="J100" s="1264"/>
      <c r="K100" s="1273"/>
      <c r="L100" s="1273"/>
    </row>
    <row r="101" spans="1:12" s="1765" customFormat="1" ht="24" customHeight="1">
      <c r="A101" s="1258"/>
      <c r="B101" s="1538" t="s">
        <v>2168</v>
      </c>
      <c r="C101" s="1437"/>
      <c r="D101" s="1275"/>
      <c r="E101" s="1813">
        <f>E86</f>
        <v>0</v>
      </c>
      <c r="F101" s="1788" t="s">
        <v>226</v>
      </c>
      <c r="G101" s="1790">
        <v>59</v>
      </c>
      <c r="H101" s="1773">
        <f t="shared" ref="H101:H104" si="23">ROUND(E101*G101,)</f>
        <v>0</v>
      </c>
      <c r="I101" s="1789">
        <f>ROUND(20*0.75*1.3,)</f>
        <v>20</v>
      </c>
      <c r="J101" s="1773">
        <f t="shared" ref="J101:J104" si="24">ROUND(E101*I101,)</f>
        <v>0</v>
      </c>
      <c r="K101" s="1269">
        <f t="shared" ref="K101:K104" si="25">H101+J101</f>
        <v>0</v>
      </c>
      <c r="L101" s="1273"/>
    </row>
    <row r="102" spans="1:12" s="1765" customFormat="1" ht="24" customHeight="1">
      <c r="A102" s="1258"/>
      <c r="B102" s="1538" t="s">
        <v>1901</v>
      </c>
      <c r="C102" s="1437"/>
      <c r="D102" s="1275"/>
      <c r="E102" s="1813">
        <f>E87</f>
        <v>0</v>
      </c>
      <c r="F102" s="1358" t="s">
        <v>226</v>
      </c>
      <c r="G102" s="1516">
        <v>69</v>
      </c>
      <c r="H102" s="1264">
        <f t="shared" si="23"/>
        <v>0</v>
      </c>
      <c r="I102" s="1265">
        <f>ROUND(20*1*1.3,)</f>
        <v>26</v>
      </c>
      <c r="J102" s="1264">
        <f t="shared" si="24"/>
        <v>0</v>
      </c>
      <c r="K102" s="1273">
        <f t="shared" si="25"/>
        <v>0</v>
      </c>
      <c r="L102" s="1273"/>
    </row>
    <row r="103" spans="1:12" s="1765" customFormat="1" ht="24" customHeight="1">
      <c r="A103" s="1258"/>
      <c r="B103" s="1538" t="s">
        <v>1338</v>
      </c>
      <c r="C103" s="1437"/>
      <c r="D103" s="1275"/>
      <c r="E103" s="1813">
        <f>E88</f>
        <v>0</v>
      </c>
      <c r="F103" s="1358" t="s">
        <v>226</v>
      </c>
      <c r="G103" s="1516">
        <v>92</v>
      </c>
      <c r="H103" s="1264">
        <f t="shared" si="23"/>
        <v>0</v>
      </c>
      <c r="I103" s="1265">
        <f>ROUND(20*1.25*1.3,)</f>
        <v>33</v>
      </c>
      <c r="J103" s="1264">
        <f t="shared" si="24"/>
        <v>0</v>
      </c>
      <c r="K103" s="1273">
        <f t="shared" si="25"/>
        <v>0</v>
      </c>
      <c r="L103" s="1273"/>
    </row>
    <row r="104" spans="1:12" s="1765" customFormat="1" ht="24" customHeight="1">
      <c r="A104" s="1258"/>
      <c r="B104" s="1538" t="s">
        <v>1339</v>
      </c>
      <c r="C104" s="1437"/>
      <c r="D104" s="1275"/>
      <c r="E104" s="1813">
        <f>E89</f>
        <v>12</v>
      </c>
      <c r="F104" s="1358" t="s">
        <v>226</v>
      </c>
      <c r="G104" s="1516">
        <v>93</v>
      </c>
      <c r="H104" s="1264">
        <f t="shared" si="23"/>
        <v>1116</v>
      </c>
      <c r="I104" s="1265">
        <v>39</v>
      </c>
      <c r="J104" s="1264">
        <f t="shared" si="24"/>
        <v>468</v>
      </c>
      <c r="K104" s="1273">
        <f t="shared" si="25"/>
        <v>1584</v>
      </c>
      <c r="L104" s="1273"/>
    </row>
    <row r="105" spans="1:12" s="1765" customFormat="1" ht="24" customHeight="1">
      <c r="A105" s="1258" t="s">
        <v>2062</v>
      </c>
      <c r="B105" s="1538" t="s">
        <v>2169</v>
      </c>
      <c r="C105" s="1437"/>
      <c r="D105" s="1275"/>
      <c r="E105" s="1768"/>
      <c r="F105" s="1358"/>
      <c r="G105" s="1516"/>
      <c r="H105" s="1264"/>
      <c r="I105" s="1265"/>
      <c r="J105" s="1264"/>
      <c r="K105" s="1273"/>
      <c r="L105" s="1273"/>
    </row>
    <row r="106" spans="1:12" s="1765" customFormat="1" ht="24" customHeight="1">
      <c r="A106" s="1258"/>
      <c r="B106" s="1538" t="s">
        <v>2168</v>
      </c>
      <c r="C106" s="1437"/>
      <c r="D106" s="1275"/>
      <c r="E106" s="1813">
        <f>E74</f>
        <v>0</v>
      </c>
      <c r="F106" s="1788" t="s">
        <v>226</v>
      </c>
      <c r="G106" s="1790">
        <v>69</v>
      </c>
      <c r="H106" s="1773">
        <f t="shared" ref="H106:H109" si="26">ROUND(E106*G106,)</f>
        <v>0</v>
      </c>
      <c r="I106" s="1789">
        <f>ROUND(20*0.75*1.3,)</f>
        <v>20</v>
      </c>
      <c r="J106" s="1773">
        <f t="shared" ref="J106:J109" si="27">ROUND(E106*I106,)</f>
        <v>0</v>
      </c>
      <c r="K106" s="1269">
        <f t="shared" ref="K106:K109" si="28">H106+J106</f>
        <v>0</v>
      </c>
      <c r="L106" s="1269"/>
    </row>
    <row r="107" spans="1:12" s="1765" customFormat="1" ht="24" customHeight="1">
      <c r="A107" s="1258"/>
      <c r="B107" s="1538" t="s">
        <v>1901</v>
      </c>
      <c r="C107" s="1437"/>
      <c r="D107" s="1275"/>
      <c r="E107" s="1771">
        <f>E75</f>
        <v>0</v>
      </c>
      <c r="F107" s="1358" t="s">
        <v>226</v>
      </c>
      <c r="G107" s="1516">
        <v>85</v>
      </c>
      <c r="H107" s="1264">
        <f t="shared" si="26"/>
        <v>0</v>
      </c>
      <c r="I107" s="1265">
        <f>ROUND(20*1*1.3,)</f>
        <v>26</v>
      </c>
      <c r="J107" s="1264">
        <f t="shared" si="27"/>
        <v>0</v>
      </c>
      <c r="K107" s="1273">
        <f t="shared" si="28"/>
        <v>0</v>
      </c>
      <c r="L107" s="1273"/>
    </row>
    <row r="108" spans="1:12" s="1765" customFormat="1" ht="24" customHeight="1">
      <c r="A108" s="1258"/>
      <c r="B108" s="1538" t="s">
        <v>1338</v>
      </c>
      <c r="C108" s="1437"/>
      <c r="D108" s="1275"/>
      <c r="E108" s="1813">
        <f>E76</f>
        <v>0</v>
      </c>
      <c r="F108" s="1788" t="s">
        <v>226</v>
      </c>
      <c r="G108" s="1515">
        <v>96</v>
      </c>
      <c r="H108" s="1369">
        <f t="shared" si="26"/>
        <v>0</v>
      </c>
      <c r="I108" s="1370">
        <v>33</v>
      </c>
      <c r="J108" s="1369">
        <f t="shared" si="27"/>
        <v>0</v>
      </c>
      <c r="K108" s="1356">
        <f t="shared" si="28"/>
        <v>0</v>
      </c>
      <c r="L108" s="1269"/>
    </row>
    <row r="109" spans="1:12" s="1765" customFormat="1" ht="24" customHeight="1">
      <c r="A109" s="1258"/>
      <c r="B109" s="1538" t="s">
        <v>1339</v>
      </c>
      <c r="C109" s="1437"/>
      <c r="D109" s="1275"/>
      <c r="E109" s="1771">
        <f>E77</f>
        <v>0</v>
      </c>
      <c r="F109" s="1358" t="s">
        <v>226</v>
      </c>
      <c r="G109" s="1515">
        <v>108</v>
      </c>
      <c r="H109" s="1369">
        <f t="shared" si="26"/>
        <v>0</v>
      </c>
      <c r="I109" s="1370">
        <v>39</v>
      </c>
      <c r="J109" s="1369">
        <f t="shared" si="27"/>
        <v>0</v>
      </c>
      <c r="K109" s="1356">
        <f t="shared" si="28"/>
        <v>0</v>
      </c>
      <c r="L109" s="1273"/>
    </row>
    <row r="110" spans="1:12" s="1765" customFormat="1" ht="24" customHeight="1">
      <c r="A110" s="1804" t="s">
        <v>2064</v>
      </c>
      <c r="B110" s="1780" t="s">
        <v>2265</v>
      </c>
      <c r="C110" s="1800"/>
      <c r="D110" s="1260"/>
      <c r="E110" s="1801"/>
      <c r="F110" s="1262"/>
      <c r="G110" s="1515"/>
      <c r="H110" s="1343"/>
      <c r="I110" s="1344"/>
      <c r="J110" s="1343"/>
      <c r="K110" s="1262"/>
      <c r="L110" s="1262"/>
    </row>
    <row r="111" spans="1:12" s="1765" customFormat="1" ht="24" customHeight="1">
      <c r="A111" s="1804"/>
      <c r="B111" s="1780" t="s">
        <v>1338</v>
      </c>
      <c r="C111" s="1800"/>
      <c r="D111" s="1260"/>
      <c r="E111" s="715"/>
      <c r="F111" s="1262" t="s">
        <v>226</v>
      </c>
      <c r="G111" s="1515">
        <v>108</v>
      </c>
      <c r="H111" s="1343">
        <f t="shared" ref="H111:H116" si="29">ROUND(E111*G111,)</f>
        <v>0</v>
      </c>
      <c r="I111" s="1344">
        <v>33</v>
      </c>
      <c r="J111" s="1343">
        <f t="shared" ref="J111:J116" si="30">ROUND(E111*I111,)</f>
        <v>0</v>
      </c>
      <c r="K111" s="1262">
        <f t="shared" ref="K111:K116" si="31">H111+J111</f>
        <v>0</v>
      </c>
      <c r="L111" s="1262"/>
    </row>
    <row r="112" spans="1:12" s="1765" customFormat="1" ht="24" customHeight="1">
      <c r="A112" s="1804"/>
      <c r="B112" s="1780" t="s">
        <v>1339</v>
      </c>
      <c r="C112" s="1260"/>
      <c r="D112" s="1781"/>
      <c r="E112" s="715"/>
      <c r="F112" s="1262" t="s">
        <v>226</v>
      </c>
      <c r="G112" s="1515">
        <v>164</v>
      </c>
      <c r="H112" s="1343">
        <f t="shared" si="29"/>
        <v>0</v>
      </c>
      <c r="I112" s="1344">
        <v>39</v>
      </c>
      <c r="J112" s="1343">
        <f t="shared" si="30"/>
        <v>0</v>
      </c>
      <c r="K112" s="1262">
        <f t="shared" si="31"/>
        <v>0</v>
      </c>
      <c r="L112" s="1415"/>
    </row>
    <row r="113" spans="1:12" s="1765" customFormat="1" ht="24" customHeight="1">
      <c r="A113" s="1784"/>
      <c r="B113" s="1780" t="s">
        <v>1340</v>
      </c>
      <c r="C113" s="1260"/>
      <c r="D113" s="1781"/>
      <c r="E113" s="825">
        <f>E78</f>
        <v>0</v>
      </c>
      <c r="F113" s="1356" t="s">
        <v>226</v>
      </c>
      <c r="G113" s="1515">
        <v>200</v>
      </c>
      <c r="H113" s="1369">
        <f t="shared" si="29"/>
        <v>0</v>
      </c>
      <c r="I113" s="1370">
        <v>52</v>
      </c>
      <c r="J113" s="1369">
        <f t="shared" si="30"/>
        <v>0</v>
      </c>
      <c r="K113" s="1356">
        <f t="shared" si="31"/>
        <v>0</v>
      </c>
      <c r="L113" s="1457"/>
    </row>
    <row r="114" spans="1:12" s="1765" customFormat="1" ht="24" customHeight="1">
      <c r="A114" s="1784"/>
      <c r="B114" s="1780" t="s">
        <v>1341</v>
      </c>
      <c r="C114" s="1260"/>
      <c r="D114" s="1781"/>
      <c r="E114" s="825">
        <f>E79</f>
        <v>156</v>
      </c>
      <c r="F114" s="1356" t="s">
        <v>226</v>
      </c>
      <c r="G114" s="1515">
        <v>256</v>
      </c>
      <c r="H114" s="1369">
        <f t="shared" si="29"/>
        <v>39936</v>
      </c>
      <c r="I114" s="1370">
        <v>65</v>
      </c>
      <c r="J114" s="1369">
        <f t="shared" si="30"/>
        <v>10140</v>
      </c>
      <c r="K114" s="1356">
        <f t="shared" si="31"/>
        <v>50076</v>
      </c>
      <c r="L114" s="1457"/>
    </row>
    <row r="115" spans="1:12" s="1765" customFormat="1" ht="24" customHeight="1">
      <c r="A115" s="1784"/>
      <c r="B115" s="1780" t="s">
        <v>1342</v>
      </c>
      <c r="C115" s="1260"/>
      <c r="D115" s="1781"/>
      <c r="E115" s="825">
        <f>E80</f>
        <v>171.60000000000002</v>
      </c>
      <c r="F115" s="1356" t="s">
        <v>226</v>
      </c>
      <c r="G115" s="1515">
        <v>302</v>
      </c>
      <c r="H115" s="1369">
        <f t="shared" si="29"/>
        <v>51823</v>
      </c>
      <c r="I115" s="1370">
        <v>78</v>
      </c>
      <c r="J115" s="1369">
        <f t="shared" si="30"/>
        <v>13385</v>
      </c>
      <c r="K115" s="1356">
        <f t="shared" si="31"/>
        <v>65208</v>
      </c>
      <c r="L115" s="1457"/>
    </row>
    <row r="116" spans="1:12" s="1765" customFormat="1" ht="24" customHeight="1">
      <c r="A116" s="1784"/>
      <c r="B116" s="1780" t="s">
        <v>1111</v>
      </c>
      <c r="C116" s="1260"/>
      <c r="D116" s="1781"/>
      <c r="E116" s="825">
        <f>E81</f>
        <v>113.30000000000001</v>
      </c>
      <c r="F116" s="1356" t="s">
        <v>226</v>
      </c>
      <c r="G116" s="1515">
        <v>367</v>
      </c>
      <c r="H116" s="1369">
        <f t="shared" si="29"/>
        <v>41581</v>
      </c>
      <c r="I116" s="1370">
        <v>104</v>
      </c>
      <c r="J116" s="1369">
        <f t="shared" si="30"/>
        <v>11783</v>
      </c>
      <c r="K116" s="1356">
        <f t="shared" si="31"/>
        <v>53364</v>
      </c>
      <c r="L116" s="1457"/>
    </row>
    <row r="117" spans="1:12" s="1765" customFormat="1" ht="24" customHeight="1">
      <c r="A117" s="1258"/>
      <c r="B117" s="1538" t="s">
        <v>1117</v>
      </c>
      <c r="C117" s="1437"/>
      <c r="D117" s="1275"/>
      <c r="E117" s="1768"/>
      <c r="F117" s="1358"/>
      <c r="G117" s="1516"/>
      <c r="H117" s="1264"/>
      <c r="I117" s="1265"/>
      <c r="J117" s="1264"/>
      <c r="K117" s="1273"/>
      <c r="L117" s="1273"/>
    </row>
    <row r="118" spans="1:12" s="1765" customFormat="1" ht="24" customHeight="1">
      <c r="A118" s="1258"/>
      <c r="B118" s="1538" t="s">
        <v>1118</v>
      </c>
      <c r="C118" s="1437"/>
      <c r="D118" s="1275"/>
      <c r="E118" s="1768"/>
      <c r="F118" s="1358"/>
      <c r="G118" s="1516"/>
      <c r="H118" s="1264"/>
      <c r="I118" s="1265"/>
      <c r="J118" s="1264"/>
      <c r="K118" s="1273"/>
      <c r="L118" s="1273"/>
    </row>
    <row r="119" spans="1:12" s="1765" customFormat="1" ht="24" customHeight="1">
      <c r="A119" s="1258"/>
      <c r="B119" s="1538"/>
      <c r="C119" s="1437"/>
      <c r="D119" s="1275"/>
      <c r="E119" s="1768"/>
      <c r="F119" s="1358"/>
      <c r="G119" s="1516"/>
      <c r="H119" s="1264"/>
      <c r="I119" s="1265"/>
      <c r="J119" s="1264"/>
      <c r="K119" s="1273"/>
      <c r="L119" s="1273"/>
    </row>
    <row r="120" spans="1:12" s="1765" customFormat="1" ht="24" customHeight="1">
      <c r="A120" s="1258"/>
      <c r="B120" s="1538"/>
      <c r="C120" s="1437"/>
      <c r="D120" s="1275"/>
      <c r="E120" s="1768"/>
      <c r="F120" s="1358"/>
      <c r="G120" s="1516"/>
      <c r="H120" s="1264"/>
      <c r="I120" s="1265"/>
      <c r="J120" s="1264"/>
      <c r="K120" s="1273"/>
      <c r="L120" s="1273"/>
    </row>
    <row r="121" spans="1:12" s="1765" customFormat="1" ht="24" customHeight="1">
      <c r="A121" s="1791"/>
      <c r="B121" s="1792"/>
      <c r="C121" s="1702"/>
      <c r="D121" s="1486"/>
      <c r="E121" s="1793"/>
      <c r="F121" s="1487"/>
      <c r="G121" s="1735"/>
      <c r="H121" s="1425"/>
      <c r="I121" s="1488"/>
      <c r="J121" s="1425"/>
      <c r="K121" s="1426"/>
      <c r="L121" s="1426"/>
    </row>
    <row r="122" spans="1:12" s="1765" customFormat="1" ht="24" customHeight="1">
      <c r="A122" s="1578"/>
      <c r="B122" s="2257" t="str">
        <f>"รวมราคารายการที่ "&amp;A99</f>
        <v>รวมราคารายการที่ 7.5</v>
      </c>
      <c r="C122" s="2258"/>
      <c r="D122" s="2259"/>
      <c r="E122" s="1579"/>
      <c r="F122" s="1579"/>
      <c r="G122" s="1580"/>
      <c r="H122" s="1581">
        <f>SUM(H100:H121)</f>
        <v>134456</v>
      </c>
      <c r="I122" s="1582"/>
      <c r="J122" s="1581">
        <f>SUM(J100:J121)</f>
        <v>35776</v>
      </c>
      <c r="K122" s="1581">
        <f>SUM(K100:K121)</f>
        <v>170232</v>
      </c>
      <c r="L122" s="1583"/>
    </row>
    <row r="123" spans="1:12" s="1765" customFormat="1" ht="24" customHeight="1">
      <c r="A123" s="1291">
        <v>7.6</v>
      </c>
      <c r="B123" s="1776" t="s">
        <v>2061</v>
      </c>
      <c r="C123" s="1293"/>
      <c r="D123" s="1294"/>
      <c r="E123" s="1786"/>
      <c r="F123" s="1296"/>
      <c r="G123" s="1357"/>
      <c r="H123" s="1298"/>
      <c r="I123" s="1299"/>
      <c r="J123" s="1298"/>
      <c r="K123" s="1382"/>
      <c r="L123" s="1382"/>
    </row>
    <row r="124" spans="1:12" s="1765" customFormat="1" ht="24" customHeight="1">
      <c r="A124" s="1258" t="s">
        <v>2075</v>
      </c>
      <c r="B124" s="1538" t="s">
        <v>2063</v>
      </c>
      <c r="C124" s="1437"/>
      <c r="D124" s="1275"/>
      <c r="E124" s="1768"/>
      <c r="F124" s="1358"/>
      <c r="G124" s="1516"/>
      <c r="H124" s="1264"/>
      <c r="I124" s="1265"/>
      <c r="J124" s="1264"/>
      <c r="K124" s="1273"/>
      <c r="L124" s="1273"/>
    </row>
    <row r="125" spans="1:12" s="1765" customFormat="1" ht="24" customHeight="1">
      <c r="A125" s="1258"/>
      <c r="B125" s="1538" t="s">
        <v>1448</v>
      </c>
      <c r="C125" s="1437"/>
      <c r="D125" s="1275"/>
      <c r="E125" s="1787"/>
      <c r="F125" s="1788" t="s">
        <v>363</v>
      </c>
      <c r="G125" s="2010">
        <v>880</v>
      </c>
      <c r="H125" s="1773">
        <f t="shared" ref="H125:H129" si="32">ROUND(E125*G125,)</f>
        <v>0</v>
      </c>
      <c r="I125" s="2011">
        <v>150</v>
      </c>
      <c r="J125" s="2008">
        <f t="shared" ref="J125:J129" si="33">ROUND(E125*I125,)</f>
        <v>0</v>
      </c>
      <c r="K125" s="1774">
        <f t="shared" ref="K125:K129" si="34">H125+J125</f>
        <v>0</v>
      </c>
      <c r="L125" s="2082" t="s">
        <v>2667</v>
      </c>
    </row>
    <row r="126" spans="1:12" s="1765" customFormat="1" ht="24" customHeight="1">
      <c r="A126" s="1258"/>
      <c r="B126" s="1538" t="s">
        <v>1337</v>
      </c>
      <c r="C126" s="1437"/>
      <c r="D126" s="1275"/>
      <c r="E126" s="1768"/>
      <c r="F126" s="1358" t="s">
        <v>363</v>
      </c>
      <c r="G126" s="2012">
        <v>1316</v>
      </c>
      <c r="H126" s="1264">
        <f t="shared" si="32"/>
        <v>0</v>
      </c>
      <c r="I126" s="1332">
        <v>200</v>
      </c>
      <c r="J126" s="2013">
        <f t="shared" si="33"/>
        <v>0</v>
      </c>
      <c r="K126" s="1687">
        <f t="shared" si="34"/>
        <v>0</v>
      </c>
      <c r="L126" s="2082" t="s">
        <v>2667</v>
      </c>
    </row>
    <row r="127" spans="1:12" s="1765" customFormat="1" ht="24" customHeight="1">
      <c r="A127" s="1258"/>
      <c r="B127" s="1538" t="s">
        <v>1338</v>
      </c>
      <c r="C127" s="1437"/>
      <c r="D127" s="1275"/>
      <c r="E127" s="1787">
        <f>E54*2</f>
        <v>0</v>
      </c>
      <c r="F127" s="1358" t="s">
        <v>363</v>
      </c>
      <c r="G127" s="2012">
        <v>1984</v>
      </c>
      <c r="H127" s="1264">
        <f t="shared" si="32"/>
        <v>0</v>
      </c>
      <c r="I127" s="1332">
        <v>250</v>
      </c>
      <c r="J127" s="2013">
        <f t="shared" si="33"/>
        <v>0</v>
      </c>
      <c r="K127" s="1687">
        <f t="shared" si="34"/>
        <v>0</v>
      </c>
      <c r="L127" s="2082" t="s">
        <v>2667</v>
      </c>
    </row>
    <row r="128" spans="1:12" s="1765" customFormat="1" ht="24" customHeight="1">
      <c r="A128" s="1258"/>
      <c r="B128" s="1538" t="s">
        <v>1339</v>
      </c>
      <c r="C128" s="1437"/>
      <c r="D128" s="1275"/>
      <c r="E128" s="1787"/>
      <c r="F128" s="1358" t="s">
        <v>363</v>
      </c>
      <c r="G128" s="2012">
        <v>2610</v>
      </c>
      <c r="H128" s="1264">
        <f t="shared" si="32"/>
        <v>0</v>
      </c>
      <c r="I128" s="1332">
        <v>300</v>
      </c>
      <c r="J128" s="2013">
        <f t="shared" si="33"/>
        <v>0</v>
      </c>
      <c r="K128" s="1687">
        <f t="shared" si="34"/>
        <v>0</v>
      </c>
      <c r="L128" s="2082" t="s">
        <v>2667</v>
      </c>
    </row>
    <row r="129" spans="1:20" s="1765" customFormat="1" ht="24" customHeight="1">
      <c r="A129" s="2113"/>
      <c r="B129" s="2114" t="s">
        <v>1340</v>
      </c>
      <c r="C129" s="2115"/>
      <c r="D129" s="2108"/>
      <c r="E129" s="1801"/>
      <c r="F129" s="1262" t="s">
        <v>363</v>
      </c>
      <c r="G129" s="2003">
        <v>4040</v>
      </c>
      <c r="H129" s="1343">
        <f t="shared" si="32"/>
        <v>0</v>
      </c>
      <c r="I129" s="2004">
        <v>400</v>
      </c>
      <c r="J129" s="2005">
        <f t="shared" si="33"/>
        <v>0</v>
      </c>
      <c r="K129" s="1801">
        <f t="shared" si="34"/>
        <v>0</v>
      </c>
      <c r="L129" s="2152" t="s">
        <v>2667</v>
      </c>
    </row>
    <row r="130" spans="1:20" s="2116" customFormat="1" ht="24" customHeight="1">
      <c r="A130" s="2113" t="s">
        <v>2170</v>
      </c>
      <c r="B130" s="2114" t="s">
        <v>2065</v>
      </c>
      <c r="C130" s="2115"/>
      <c r="D130" s="2108"/>
      <c r="E130" s="1801"/>
      <c r="F130" s="1262"/>
      <c r="G130" s="1515"/>
      <c r="H130" s="1343"/>
      <c r="I130" s="1344"/>
      <c r="J130" s="1343"/>
      <c r="K130" s="1262"/>
      <c r="L130" s="1262"/>
    </row>
    <row r="131" spans="1:20" s="2116" customFormat="1" ht="24" customHeight="1">
      <c r="A131" s="2113"/>
      <c r="B131" s="2107" t="s">
        <v>1341</v>
      </c>
      <c r="C131" s="2115"/>
      <c r="D131" s="2108"/>
      <c r="E131" s="1801"/>
      <c r="F131" s="1262" t="s">
        <v>363</v>
      </c>
      <c r="G131" s="1836">
        <v>1862</v>
      </c>
      <c r="H131" s="1343">
        <f>ROUND(E131*G131,)</f>
        <v>0</v>
      </c>
      <c r="I131" s="1344">
        <v>500</v>
      </c>
      <c r="J131" s="1343">
        <f t="shared" ref="J131:J134" si="35">ROUND(E131*I131,)</f>
        <v>0</v>
      </c>
      <c r="K131" s="1262">
        <f t="shared" ref="K131:K134" si="36">H131+J131</f>
        <v>0</v>
      </c>
      <c r="L131" s="1262"/>
    </row>
    <row r="132" spans="1:20" s="2116" customFormat="1" ht="24" customHeight="1">
      <c r="A132" s="2113"/>
      <c r="B132" s="2107" t="s">
        <v>1342</v>
      </c>
      <c r="C132" s="2115"/>
      <c r="D132" s="2108"/>
      <c r="E132" s="2091">
        <v>12</v>
      </c>
      <c r="F132" s="1262" t="s">
        <v>363</v>
      </c>
      <c r="G132" s="1836">
        <v>2159</v>
      </c>
      <c r="H132" s="1343">
        <f>ROUND(E132*G132,)</f>
        <v>25908</v>
      </c>
      <c r="I132" s="1344">
        <v>600</v>
      </c>
      <c r="J132" s="1343">
        <f t="shared" si="35"/>
        <v>7200</v>
      </c>
      <c r="K132" s="1262">
        <f t="shared" si="36"/>
        <v>33108</v>
      </c>
      <c r="L132" s="1262"/>
    </row>
    <row r="133" spans="1:20" s="2116" customFormat="1" ht="24" customHeight="1">
      <c r="A133" s="2113"/>
      <c r="B133" s="2114" t="s">
        <v>1759</v>
      </c>
      <c r="C133" s="2115"/>
      <c r="D133" s="2108"/>
      <c r="E133" s="1801"/>
      <c r="F133" s="1262" t="s">
        <v>363</v>
      </c>
      <c r="G133" s="1836">
        <v>2811</v>
      </c>
      <c r="H133" s="1343">
        <f>ROUND(E133*G133,)</f>
        <v>0</v>
      </c>
      <c r="I133" s="1344">
        <v>800</v>
      </c>
      <c r="J133" s="1343">
        <f t="shared" si="35"/>
        <v>0</v>
      </c>
      <c r="K133" s="1262">
        <f t="shared" si="36"/>
        <v>0</v>
      </c>
      <c r="L133" s="1415"/>
    </row>
    <row r="134" spans="1:20" s="2116" customFormat="1" ht="24" customHeight="1">
      <c r="A134" s="2113"/>
      <c r="B134" s="2114" t="s">
        <v>1866</v>
      </c>
      <c r="C134" s="2115"/>
      <c r="D134" s="2108"/>
      <c r="E134" s="1801"/>
      <c r="F134" s="1262" t="s">
        <v>363</v>
      </c>
      <c r="G134" s="1836">
        <v>14327</v>
      </c>
      <c r="H134" s="1343">
        <f>ROUND(E134*G134,)</f>
        <v>0</v>
      </c>
      <c r="I134" s="1344">
        <v>2000</v>
      </c>
      <c r="J134" s="1343">
        <f t="shared" si="35"/>
        <v>0</v>
      </c>
      <c r="K134" s="1262">
        <f t="shared" si="36"/>
        <v>0</v>
      </c>
      <c r="L134" s="1262"/>
    </row>
    <row r="135" spans="1:20" s="1765" customFormat="1" ht="24" customHeight="1">
      <c r="A135" s="2113" t="s">
        <v>2226</v>
      </c>
      <c r="B135" s="2114" t="s">
        <v>2067</v>
      </c>
      <c r="C135" s="2115"/>
      <c r="D135" s="2108"/>
      <c r="E135" s="1801"/>
      <c r="F135" s="1262"/>
      <c r="G135" s="1515"/>
      <c r="H135" s="1343"/>
      <c r="I135" s="1344"/>
      <c r="J135" s="1343"/>
      <c r="K135" s="1262"/>
      <c r="L135" s="1262"/>
    </row>
    <row r="136" spans="1:20" s="1765" customFormat="1" ht="24" customHeight="1">
      <c r="A136" s="2113"/>
      <c r="B136" s="2114" t="s">
        <v>1448</v>
      </c>
      <c r="C136" s="2115"/>
      <c r="D136" s="2108"/>
      <c r="E136" s="1853">
        <f>E125/2</f>
        <v>0</v>
      </c>
      <c r="F136" s="2154" t="s">
        <v>363</v>
      </c>
      <c r="G136" s="2159">
        <v>350</v>
      </c>
      <c r="H136" s="2156">
        <f t="shared" ref="H136:H140" si="37">ROUND(E136*G136,)</f>
        <v>0</v>
      </c>
      <c r="I136" s="2160">
        <v>150</v>
      </c>
      <c r="J136" s="2156">
        <f t="shared" ref="J136:J140" si="38">ROUND(E136*I136,)</f>
        <v>0</v>
      </c>
      <c r="K136" s="2154">
        <f t="shared" ref="K136:K140" si="39">H136+J136</f>
        <v>0</v>
      </c>
      <c r="L136" s="1262"/>
    </row>
    <row r="137" spans="1:20" s="1765" customFormat="1" ht="24" customHeight="1">
      <c r="A137" s="2113"/>
      <c r="B137" s="2114" t="s">
        <v>1338</v>
      </c>
      <c r="C137" s="2115"/>
      <c r="D137" s="2108"/>
      <c r="E137" s="1801">
        <f>E127/2</f>
        <v>0</v>
      </c>
      <c r="F137" s="1262" t="s">
        <v>363</v>
      </c>
      <c r="G137" s="1515">
        <v>1084</v>
      </c>
      <c r="H137" s="1343">
        <f t="shared" si="37"/>
        <v>0</v>
      </c>
      <c r="I137" s="1344">
        <v>250</v>
      </c>
      <c r="J137" s="1343">
        <f t="shared" si="38"/>
        <v>0</v>
      </c>
      <c r="K137" s="1262">
        <f t="shared" si="39"/>
        <v>0</v>
      </c>
      <c r="L137" s="1262"/>
    </row>
    <row r="138" spans="1:20" s="1765" customFormat="1" ht="24" customHeight="1">
      <c r="A138" s="2113"/>
      <c r="B138" s="2114" t="s">
        <v>1339</v>
      </c>
      <c r="C138" s="2115"/>
      <c r="D138" s="2108"/>
      <c r="E138" s="1801">
        <f>E128/2</f>
        <v>0</v>
      </c>
      <c r="F138" s="1262" t="s">
        <v>363</v>
      </c>
      <c r="G138" s="1515">
        <v>1710</v>
      </c>
      <c r="H138" s="1343">
        <f t="shared" si="37"/>
        <v>0</v>
      </c>
      <c r="I138" s="1344">
        <v>300</v>
      </c>
      <c r="J138" s="1343">
        <f t="shared" si="38"/>
        <v>0</v>
      </c>
      <c r="K138" s="1262">
        <f t="shared" si="39"/>
        <v>0</v>
      </c>
      <c r="L138" s="1262"/>
    </row>
    <row r="139" spans="1:20" s="1765" customFormat="1" ht="24" customHeight="1">
      <c r="A139" s="2113"/>
      <c r="B139" s="2114" t="s">
        <v>1340</v>
      </c>
      <c r="C139" s="2115"/>
      <c r="D139" s="2108"/>
      <c r="E139" s="1801"/>
      <c r="F139" s="1262" t="s">
        <v>363</v>
      </c>
      <c r="G139" s="1836">
        <v>2839</v>
      </c>
      <c r="H139" s="1343">
        <f t="shared" si="37"/>
        <v>0</v>
      </c>
      <c r="I139" s="1344">
        <v>400</v>
      </c>
      <c r="J139" s="1343">
        <f t="shared" si="38"/>
        <v>0</v>
      </c>
      <c r="K139" s="1262">
        <f t="shared" si="39"/>
        <v>0</v>
      </c>
      <c r="L139" s="1262"/>
    </row>
    <row r="140" spans="1:20" s="2116" customFormat="1" ht="24" customHeight="1">
      <c r="A140" s="2113"/>
      <c r="B140" s="2114" t="s">
        <v>1341</v>
      </c>
      <c r="C140" s="2115"/>
      <c r="D140" s="2108"/>
      <c r="E140" s="1801"/>
      <c r="F140" s="1262" t="s">
        <v>363</v>
      </c>
      <c r="G140" s="1836">
        <v>4375</v>
      </c>
      <c r="H140" s="1343">
        <f t="shared" si="37"/>
        <v>0</v>
      </c>
      <c r="I140" s="1344">
        <v>500</v>
      </c>
      <c r="J140" s="1343">
        <f t="shared" si="38"/>
        <v>0</v>
      </c>
      <c r="K140" s="1262">
        <f t="shared" si="39"/>
        <v>0</v>
      </c>
      <c r="L140" s="1262"/>
      <c r="M140" s="2144"/>
      <c r="N140" s="2144"/>
      <c r="O140" s="2144"/>
      <c r="P140" s="2144"/>
      <c r="Q140" s="2144"/>
      <c r="R140" s="2144"/>
      <c r="S140" s="2144"/>
      <c r="T140" s="2144"/>
    </row>
    <row r="141" spans="1:20" s="2116" customFormat="1" ht="24" customHeight="1">
      <c r="A141" s="2113"/>
      <c r="B141" s="2153" t="s">
        <v>1834</v>
      </c>
      <c r="C141" s="2115"/>
      <c r="D141" s="2108"/>
      <c r="E141" s="2091">
        <v>6</v>
      </c>
      <c r="F141" s="1262" t="s">
        <v>363</v>
      </c>
      <c r="G141" s="1836">
        <v>4489</v>
      </c>
      <c r="H141" s="1343">
        <f>ROUND(E141*G141,)</f>
        <v>26934</v>
      </c>
      <c r="I141" s="1344">
        <v>600</v>
      </c>
      <c r="J141" s="1343">
        <f>ROUND(E141*I141,)</f>
        <v>3600</v>
      </c>
      <c r="K141" s="1262">
        <f>H141+J141</f>
        <v>30534</v>
      </c>
      <c r="L141" s="1262"/>
    </row>
    <row r="142" spans="1:20" s="2116" customFormat="1" ht="24" customHeight="1">
      <c r="A142" s="2113"/>
      <c r="B142" s="2114" t="s">
        <v>1759</v>
      </c>
      <c r="C142" s="2115"/>
      <c r="D142" s="2108"/>
      <c r="E142" s="1801"/>
      <c r="F142" s="1262" t="s">
        <v>363</v>
      </c>
      <c r="G142" s="1836">
        <v>6528</v>
      </c>
      <c r="H142" s="1343">
        <f>ROUND(E142*G142,)</f>
        <v>0</v>
      </c>
      <c r="I142" s="1344">
        <v>800</v>
      </c>
      <c r="J142" s="1343">
        <f>ROUND(E142*I142,)</f>
        <v>0</v>
      </c>
      <c r="K142" s="1262">
        <f>H142+J142</f>
        <v>0</v>
      </c>
      <c r="L142" s="1262"/>
    </row>
    <row r="143" spans="1:20" s="1765" customFormat="1" ht="24" customHeight="1">
      <c r="A143" s="2113" t="s">
        <v>2227</v>
      </c>
      <c r="B143" s="2114" t="s">
        <v>2069</v>
      </c>
      <c r="C143" s="2115"/>
      <c r="D143" s="2108"/>
      <c r="E143" s="1801"/>
      <c r="F143" s="1262"/>
      <c r="G143" s="1836"/>
      <c r="H143" s="1343"/>
      <c r="I143" s="1344"/>
      <c r="J143" s="1343"/>
      <c r="K143" s="1262"/>
      <c r="L143" s="1262"/>
    </row>
    <row r="144" spans="1:20" s="1765" customFormat="1" ht="24" customHeight="1">
      <c r="A144" s="2113"/>
      <c r="B144" s="2114" t="s">
        <v>1338</v>
      </c>
      <c r="C144" s="2115"/>
      <c r="D144" s="2108"/>
      <c r="E144" s="1801"/>
      <c r="F144" s="1262" t="s">
        <v>363</v>
      </c>
      <c r="G144" s="1515">
        <v>1863</v>
      </c>
      <c r="H144" s="1343">
        <f t="shared" ref="H144:H145" si="40">ROUND(E144*G144,)</f>
        <v>0</v>
      </c>
      <c r="I144" s="1344">
        <v>250</v>
      </c>
      <c r="J144" s="1343">
        <f t="shared" ref="J144:J145" si="41">ROUND(E144*I144,)</f>
        <v>0</v>
      </c>
      <c r="K144" s="1262">
        <f t="shared" ref="K144:K145" si="42">H144+J144</f>
        <v>0</v>
      </c>
      <c r="L144" s="1262"/>
    </row>
    <row r="145" spans="1:12" s="1765" customFormat="1" ht="24" customHeight="1">
      <c r="A145" s="2113"/>
      <c r="B145" s="2114" t="s">
        <v>1339</v>
      </c>
      <c r="C145" s="2115"/>
      <c r="D145" s="2108"/>
      <c r="E145" s="1801"/>
      <c r="F145" s="1262" t="s">
        <v>363</v>
      </c>
      <c r="G145" s="1515">
        <v>2130</v>
      </c>
      <c r="H145" s="1343">
        <f t="shared" si="40"/>
        <v>0</v>
      </c>
      <c r="I145" s="1344">
        <v>300</v>
      </c>
      <c r="J145" s="1343">
        <f t="shared" si="41"/>
        <v>0</v>
      </c>
      <c r="K145" s="1262">
        <f t="shared" si="42"/>
        <v>0</v>
      </c>
      <c r="L145" s="1262"/>
    </row>
    <row r="146" spans="1:12" s="2116" customFormat="1" ht="24" customHeight="1">
      <c r="A146" s="2113"/>
      <c r="B146" s="2153" t="s">
        <v>1856</v>
      </c>
      <c r="C146" s="2115"/>
      <c r="D146" s="2108"/>
      <c r="E146" s="2091"/>
      <c r="F146" s="1262" t="s">
        <v>363</v>
      </c>
      <c r="G146" s="1515">
        <v>3876</v>
      </c>
      <c r="H146" s="1343">
        <f>ROUND(E146*G146,)</f>
        <v>0</v>
      </c>
      <c r="I146" s="1344">
        <v>500</v>
      </c>
      <c r="J146" s="1343">
        <f>ROUND(E146*I146,)</f>
        <v>0</v>
      </c>
      <c r="K146" s="1262">
        <f>H146+J146</f>
        <v>0</v>
      </c>
      <c r="L146" s="1262"/>
    </row>
    <row r="147" spans="1:12" s="2116" customFormat="1" ht="24" customHeight="1">
      <c r="A147" s="2113"/>
      <c r="B147" s="2153" t="s">
        <v>1834</v>
      </c>
      <c r="C147" s="2115"/>
      <c r="D147" s="2108"/>
      <c r="E147" s="2091">
        <v>12</v>
      </c>
      <c r="F147" s="1262" t="s">
        <v>363</v>
      </c>
      <c r="G147" s="1515">
        <v>4175</v>
      </c>
      <c r="H147" s="1343">
        <f>ROUND(E147*G147,)</f>
        <v>50100</v>
      </c>
      <c r="I147" s="1344">
        <v>600</v>
      </c>
      <c r="J147" s="1343">
        <f>ROUND(E147*I147,)</f>
        <v>7200</v>
      </c>
      <c r="K147" s="1262">
        <f>H147+J147</f>
        <v>57300</v>
      </c>
      <c r="L147" s="1262"/>
    </row>
    <row r="148" spans="1:12" s="2116" customFormat="1" ht="24" customHeight="1">
      <c r="A148" s="2113"/>
      <c r="B148" s="2114" t="s">
        <v>1759</v>
      </c>
      <c r="C148" s="2115"/>
      <c r="D148" s="2108"/>
      <c r="E148" s="1801"/>
      <c r="F148" s="1262" t="s">
        <v>363</v>
      </c>
      <c r="G148" s="1836">
        <v>5541</v>
      </c>
      <c r="H148" s="1343">
        <f>ROUND(E148*G148,)</f>
        <v>0</v>
      </c>
      <c r="I148" s="1344">
        <v>800</v>
      </c>
      <c r="J148" s="1343">
        <f t="shared" ref="J148:J149" si="43">ROUND(E148*I148,)</f>
        <v>0</v>
      </c>
      <c r="K148" s="1262">
        <f t="shared" ref="K148:K149" si="44">H148+J148</f>
        <v>0</v>
      </c>
      <c r="L148" s="1262"/>
    </row>
    <row r="149" spans="1:12" s="2116" customFormat="1" ht="24" customHeight="1">
      <c r="A149" s="2113"/>
      <c r="B149" s="2114" t="s">
        <v>1866</v>
      </c>
      <c r="C149" s="2115"/>
      <c r="D149" s="2108"/>
      <c r="E149" s="1801"/>
      <c r="F149" s="1262"/>
      <c r="G149" s="1836">
        <v>18915</v>
      </c>
      <c r="H149" s="1343">
        <f>ROUND(E149*G149,)</f>
        <v>0</v>
      </c>
      <c r="I149" s="1344">
        <v>2000</v>
      </c>
      <c r="J149" s="1343">
        <f t="shared" si="43"/>
        <v>0</v>
      </c>
      <c r="K149" s="1262">
        <f t="shared" si="44"/>
        <v>0</v>
      </c>
      <c r="L149" s="1262"/>
    </row>
    <row r="150" spans="1:12" s="2116" customFormat="1" ht="24" customHeight="1">
      <c r="A150" s="2113" t="s">
        <v>2883</v>
      </c>
      <c r="B150" s="2114" t="s">
        <v>2728</v>
      </c>
      <c r="C150" s="2115"/>
      <c r="D150" s="2108"/>
      <c r="E150" s="1801"/>
      <c r="F150" s="1262"/>
      <c r="G150" s="1515"/>
      <c r="H150" s="1343"/>
      <c r="I150" s="1344"/>
      <c r="J150" s="1343"/>
      <c r="K150" s="1262"/>
      <c r="L150" s="1262"/>
    </row>
    <row r="151" spans="1:12" s="2116" customFormat="1" ht="24" customHeight="1">
      <c r="A151" s="2113"/>
      <c r="B151" s="2153" t="s">
        <v>1865</v>
      </c>
      <c r="C151" s="2115"/>
      <c r="D151" s="2108"/>
      <c r="E151" s="2091">
        <v>6</v>
      </c>
      <c r="F151" s="1262" t="s">
        <v>363</v>
      </c>
      <c r="G151" s="1515">
        <v>300</v>
      </c>
      <c r="H151" s="1343">
        <f>ROUND(E151*G151,)</f>
        <v>1800</v>
      </c>
      <c r="I151" s="1344">
        <v>200</v>
      </c>
      <c r="J151" s="1343">
        <f>ROUND(E151*I151,)</f>
        <v>1200</v>
      </c>
      <c r="K151" s="1262">
        <f>H151+J151</f>
        <v>3000</v>
      </c>
      <c r="L151" s="1262"/>
    </row>
    <row r="152" spans="1:12" s="1765" customFormat="1" ht="24" customHeight="1">
      <c r="A152" s="2113" t="s">
        <v>2884</v>
      </c>
      <c r="B152" s="2114" t="s">
        <v>1730</v>
      </c>
      <c r="C152" s="2115"/>
      <c r="D152" s="2108"/>
      <c r="E152" s="1801"/>
      <c r="F152" s="1262"/>
      <c r="G152" s="1515"/>
      <c r="H152" s="1343"/>
      <c r="I152" s="1344"/>
      <c r="J152" s="1343"/>
      <c r="K152" s="1262"/>
      <c r="L152" s="1262"/>
    </row>
    <row r="153" spans="1:12" s="2116" customFormat="1" ht="24" customHeight="1">
      <c r="A153" s="2113"/>
      <c r="B153" s="2114" t="s">
        <v>1337</v>
      </c>
      <c r="C153" s="2115"/>
      <c r="D153" s="2108"/>
      <c r="E153" s="1801">
        <v>6</v>
      </c>
      <c r="F153" s="1262" t="s">
        <v>363</v>
      </c>
      <c r="G153" s="1515">
        <v>2400</v>
      </c>
      <c r="H153" s="1343">
        <f t="shared" ref="H153:H155" si="45">ROUND(E153*G153,)</f>
        <v>14400</v>
      </c>
      <c r="I153" s="1344">
        <v>200</v>
      </c>
      <c r="J153" s="1343">
        <f t="shared" ref="J153:J155" si="46">ROUND(E153*I153,)</f>
        <v>1200</v>
      </c>
      <c r="K153" s="1262">
        <f t="shared" ref="K153:K155" si="47">H153+J153</f>
        <v>15600</v>
      </c>
      <c r="L153" s="1415"/>
    </row>
    <row r="154" spans="1:12" s="2116" customFormat="1" ht="24" customHeight="1">
      <c r="A154" s="2113" t="s">
        <v>2885</v>
      </c>
      <c r="B154" s="2114" t="s">
        <v>1741</v>
      </c>
      <c r="C154" s="2115"/>
      <c r="D154" s="2108"/>
      <c r="E154" s="1801">
        <v>12</v>
      </c>
      <c r="F154" s="1262" t="s">
        <v>363</v>
      </c>
      <c r="G154" s="1515">
        <v>1452</v>
      </c>
      <c r="H154" s="1343">
        <f t="shared" si="45"/>
        <v>17424</v>
      </c>
      <c r="I154" s="1344">
        <v>100</v>
      </c>
      <c r="J154" s="1343">
        <f t="shared" si="46"/>
        <v>1200</v>
      </c>
      <c r="K154" s="1262">
        <f t="shared" si="47"/>
        <v>18624</v>
      </c>
      <c r="L154" s="1262"/>
    </row>
    <row r="155" spans="1:12" s="2116" customFormat="1" ht="24" customHeight="1">
      <c r="A155" s="2113" t="s">
        <v>2886</v>
      </c>
      <c r="B155" s="2114" t="s">
        <v>1987</v>
      </c>
      <c r="C155" s="2115"/>
      <c r="D155" s="2108"/>
      <c r="E155" s="1801">
        <v>12</v>
      </c>
      <c r="F155" s="1262" t="s">
        <v>363</v>
      </c>
      <c r="G155" s="1515">
        <v>1590</v>
      </c>
      <c r="H155" s="1343">
        <f t="shared" si="45"/>
        <v>19080</v>
      </c>
      <c r="I155" s="1344">
        <v>100</v>
      </c>
      <c r="J155" s="1343">
        <f t="shared" si="46"/>
        <v>1200</v>
      </c>
      <c r="K155" s="1262">
        <f t="shared" si="47"/>
        <v>20280</v>
      </c>
      <c r="L155" s="1262"/>
    </row>
    <row r="156" spans="1:12" s="1765" customFormat="1" ht="24" customHeight="1">
      <c r="A156" s="2113"/>
      <c r="B156" s="2114" t="s">
        <v>1117</v>
      </c>
      <c r="C156" s="2115"/>
      <c r="D156" s="2108"/>
      <c r="E156" s="1801"/>
      <c r="F156" s="1262"/>
      <c r="G156" s="1515"/>
      <c r="H156" s="1343"/>
      <c r="I156" s="1344"/>
      <c r="J156" s="1343"/>
      <c r="K156" s="1262"/>
      <c r="L156" s="1262"/>
    </row>
    <row r="157" spans="1:12" s="1765" customFormat="1" ht="24" customHeight="1">
      <c r="A157" s="1258"/>
      <c r="B157" s="1538" t="s">
        <v>1118</v>
      </c>
      <c r="C157" s="1437"/>
      <c r="D157" s="1275"/>
      <c r="E157" s="1768"/>
      <c r="F157" s="1358"/>
      <c r="G157" s="1516"/>
      <c r="H157" s="1264"/>
      <c r="I157" s="1265"/>
      <c r="J157" s="1264"/>
      <c r="K157" s="1273"/>
      <c r="L157" s="1273"/>
    </row>
    <row r="158" spans="1:12" s="1765" customFormat="1" ht="24" customHeight="1">
      <c r="A158" s="1791"/>
      <c r="B158" s="1792"/>
      <c r="C158" s="1702"/>
      <c r="D158" s="1486"/>
      <c r="E158" s="1793"/>
      <c r="F158" s="1487"/>
      <c r="G158" s="1864"/>
      <c r="H158" s="1425"/>
      <c r="I158" s="1488"/>
      <c r="J158" s="1425"/>
      <c r="K158" s="1426"/>
      <c r="L158" s="1426"/>
    </row>
    <row r="159" spans="1:12" s="1765" customFormat="1" ht="24" customHeight="1">
      <c r="A159" s="1578"/>
      <c r="B159" s="2257" t="str">
        <f>"รวมราคารายการที่ "&amp;A123</f>
        <v>รวมราคารายการที่ 7.6</v>
      </c>
      <c r="C159" s="2258"/>
      <c r="D159" s="2259"/>
      <c r="E159" s="1579"/>
      <c r="F159" s="1579"/>
      <c r="G159" s="1580"/>
      <c r="H159" s="1581">
        <f>SUM(H125:H158)</f>
        <v>155646</v>
      </c>
      <c r="I159" s="1582"/>
      <c r="J159" s="1581">
        <f>SUM(J125:J158)</f>
        <v>22800</v>
      </c>
      <c r="K159" s="1581">
        <f>SUM(K125:K158)</f>
        <v>178446</v>
      </c>
      <c r="L159" s="1583"/>
    </row>
    <row r="160" spans="1:12" s="1765" customFormat="1" ht="24" customHeight="1">
      <c r="A160" s="1847" t="s">
        <v>2308</v>
      </c>
      <c r="B160" s="1848" t="s">
        <v>2177</v>
      </c>
      <c r="C160" s="1849"/>
      <c r="D160" s="1354"/>
      <c r="E160" s="1802"/>
      <c r="F160" s="1356"/>
      <c r="G160" s="1803"/>
      <c r="H160" s="1369"/>
      <c r="I160" s="1370"/>
      <c r="J160" s="1369"/>
      <c r="K160" s="1356"/>
      <c r="L160" s="1356"/>
    </row>
    <row r="161" spans="1:16" s="1765" customFormat="1" ht="24" customHeight="1">
      <c r="A161" s="2113" t="s">
        <v>2084</v>
      </c>
      <c r="B161" s="2149" t="s">
        <v>2729</v>
      </c>
      <c r="C161" s="2115"/>
      <c r="D161" s="2150"/>
      <c r="E161" s="1802"/>
      <c r="F161" s="1356"/>
      <c r="G161" s="1803"/>
      <c r="H161" s="1369"/>
      <c r="I161" s="1370"/>
      <c r="J161" s="1369"/>
      <c r="K161" s="1356"/>
      <c r="L161" s="1356"/>
    </row>
    <row r="162" spans="1:16" s="2116" customFormat="1" ht="24" customHeight="1">
      <c r="A162" s="2113"/>
      <c r="B162" s="2107" t="s">
        <v>2742</v>
      </c>
      <c r="C162" s="2115"/>
      <c r="D162" s="2108"/>
      <c r="E162" s="1801">
        <v>1</v>
      </c>
      <c r="F162" s="1262" t="s">
        <v>363</v>
      </c>
      <c r="G162" s="1515">
        <v>89000</v>
      </c>
      <c r="H162" s="1413">
        <f t="shared" ref="H162:H168" si="48">ROUND(E162*G162,)</f>
        <v>89000</v>
      </c>
      <c r="I162" s="1515">
        <f>G162*0.1</f>
        <v>8900</v>
      </c>
      <c r="J162" s="1413">
        <f t="shared" ref="J162:J168" si="49">ROUND(E162*I162,)</f>
        <v>8900</v>
      </c>
      <c r="K162" s="1415">
        <f t="shared" ref="K162:K168" si="50">H162+J162</f>
        <v>97900</v>
      </c>
      <c r="L162" s="1262"/>
    </row>
    <row r="163" spans="1:16" s="2116" customFormat="1" ht="24" customHeight="1">
      <c r="A163" s="2113"/>
      <c r="B163" s="2107" t="s">
        <v>2743</v>
      </c>
      <c r="C163" s="2115"/>
      <c r="D163" s="2108"/>
      <c r="E163" s="1801">
        <v>1</v>
      </c>
      <c r="F163" s="1262" t="s">
        <v>363</v>
      </c>
      <c r="G163" s="1515">
        <v>89000</v>
      </c>
      <c r="H163" s="1413">
        <f t="shared" si="48"/>
        <v>89000</v>
      </c>
      <c r="I163" s="1515">
        <f t="shared" ref="I163:I167" si="51">G163*0.1</f>
        <v>8900</v>
      </c>
      <c r="J163" s="1413">
        <f t="shared" si="49"/>
        <v>8900</v>
      </c>
      <c r="K163" s="1415">
        <f t="shared" si="50"/>
        <v>97900</v>
      </c>
      <c r="L163" s="1262"/>
    </row>
    <row r="164" spans="1:16" s="2116" customFormat="1" ht="24" customHeight="1">
      <c r="A164" s="2113"/>
      <c r="B164" s="2107" t="s">
        <v>2744</v>
      </c>
      <c r="C164" s="2115"/>
      <c r="D164" s="2108"/>
      <c r="E164" s="1801">
        <v>1</v>
      </c>
      <c r="F164" s="1262" t="s">
        <v>363</v>
      </c>
      <c r="G164" s="1515">
        <v>89000</v>
      </c>
      <c r="H164" s="1413">
        <f t="shared" si="48"/>
        <v>89000</v>
      </c>
      <c r="I164" s="1515">
        <f t="shared" si="51"/>
        <v>8900</v>
      </c>
      <c r="J164" s="1413">
        <f t="shared" si="49"/>
        <v>8900</v>
      </c>
      <c r="K164" s="1415">
        <f t="shared" si="50"/>
        <v>97900</v>
      </c>
      <c r="L164" s="1262"/>
    </row>
    <row r="165" spans="1:16" s="2116" customFormat="1" ht="24" customHeight="1">
      <c r="A165" s="2113"/>
      <c r="B165" s="2107" t="s">
        <v>2765</v>
      </c>
      <c r="C165" s="2115"/>
      <c r="D165" s="2108"/>
      <c r="E165" s="1801">
        <v>1</v>
      </c>
      <c r="F165" s="1262" t="s">
        <v>363</v>
      </c>
      <c r="G165" s="1515">
        <v>89000</v>
      </c>
      <c r="H165" s="1413">
        <f t="shared" si="48"/>
        <v>89000</v>
      </c>
      <c r="I165" s="1515">
        <f t="shared" si="51"/>
        <v>8900</v>
      </c>
      <c r="J165" s="1413">
        <f t="shared" si="49"/>
        <v>8900</v>
      </c>
      <c r="K165" s="1415">
        <f t="shared" si="50"/>
        <v>97900</v>
      </c>
      <c r="L165" s="1262"/>
    </row>
    <row r="166" spans="1:16" s="2116" customFormat="1" ht="24" customHeight="1">
      <c r="A166" s="2113"/>
      <c r="B166" s="2107" t="s">
        <v>2766</v>
      </c>
      <c r="C166" s="2115"/>
      <c r="D166" s="2108"/>
      <c r="E166" s="1801">
        <v>1</v>
      </c>
      <c r="F166" s="1262" t="s">
        <v>363</v>
      </c>
      <c r="G166" s="1515">
        <v>89000</v>
      </c>
      <c r="H166" s="1413">
        <f t="shared" si="48"/>
        <v>89000</v>
      </c>
      <c r="I166" s="1515">
        <f t="shared" si="51"/>
        <v>8900</v>
      </c>
      <c r="J166" s="1413">
        <f t="shared" si="49"/>
        <v>8900</v>
      </c>
      <c r="K166" s="1415">
        <f t="shared" si="50"/>
        <v>97900</v>
      </c>
      <c r="L166" s="1262"/>
    </row>
    <row r="167" spans="1:16" s="2116" customFormat="1" ht="24" customHeight="1">
      <c r="A167" s="2113"/>
      <c r="B167" s="2107" t="s">
        <v>2767</v>
      </c>
      <c r="C167" s="2115"/>
      <c r="D167" s="2108"/>
      <c r="E167" s="1801">
        <v>1</v>
      </c>
      <c r="F167" s="1262" t="s">
        <v>363</v>
      </c>
      <c r="G167" s="1515">
        <v>89000</v>
      </c>
      <c r="H167" s="1413">
        <f t="shared" si="48"/>
        <v>89000</v>
      </c>
      <c r="I167" s="1515">
        <f t="shared" si="51"/>
        <v>8900</v>
      </c>
      <c r="J167" s="1413">
        <f t="shared" si="49"/>
        <v>8900</v>
      </c>
      <c r="K167" s="1415">
        <f t="shared" si="50"/>
        <v>97900</v>
      </c>
      <c r="L167" s="1262"/>
    </row>
    <row r="168" spans="1:16" s="1765" customFormat="1" ht="24" customHeight="1">
      <c r="A168" s="2113"/>
      <c r="B168" s="2149"/>
      <c r="C168" s="2115"/>
      <c r="D168" s="2150"/>
      <c r="E168" s="1801"/>
      <c r="F168" s="1356" t="s">
        <v>363</v>
      </c>
      <c r="G168" s="1515">
        <v>33000</v>
      </c>
      <c r="H168" s="820">
        <f t="shared" si="48"/>
        <v>0</v>
      </c>
      <c r="I168" s="1515">
        <v>1500</v>
      </c>
      <c r="J168" s="820">
        <f t="shared" si="49"/>
        <v>0</v>
      </c>
      <c r="K168" s="1457">
        <f t="shared" si="50"/>
        <v>0</v>
      </c>
      <c r="L168" s="1356"/>
    </row>
    <row r="169" spans="1:16" s="1765" customFormat="1" ht="24" customHeight="1">
      <c r="A169" s="2113" t="s">
        <v>2089</v>
      </c>
      <c r="B169" s="2149" t="s">
        <v>1355</v>
      </c>
      <c r="C169" s="2115"/>
      <c r="D169" s="2150"/>
      <c r="E169" s="1801"/>
      <c r="F169" s="1356"/>
      <c r="G169" s="1515"/>
      <c r="H169" s="1369"/>
      <c r="I169" s="1370"/>
      <c r="J169" s="1369"/>
      <c r="K169" s="1356"/>
      <c r="L169" s="1356"/>
    </row>
    <row r="170" spans="1:16" s="1765" customFormat="1" ht="24" customHeight="1">
      <c r="A170" s="2113"/>
      <c r="B170" s="2149" t="s">
        <v>1811</v>
      </c>
      <c r="C170" s="2115"/>
      <c r="D170" s="2150"/>
      <c r="E170" s="1801"/>
      <c r="F170" s="1356" t="s">
        <v>226</v>
      </c>
      <c r="G170" s="1386">
        <v>9</v>
      </c>
      <c r="H170" s="1343">
        <f t="shared" ref="H170:H171" si="52">ROUND(E170*G170,)</f>
        <v>0</v>
      </c>
      <c r="I170" s="1344">
        <v>7</v>
      </c>
      <c r="J170" s="1413">
        <f t="shared" ref="J170:J171" si="53">ROUND(E170*I170,)</f>
        <v>0</v>
      </c>
      <c r="K170" s="1415">
        <f t="shared" ref="K170:K171" si="54">H170+J170</f>
        <v>0</v>
      </c>
      <c r="L170" s="2151" t="s">
        <v>2667</v>
      </c>
      <c r="N170" s="1854">
        <v>912.1</v>
      </c>
      <c r="O170" s="1854">
        <f t="shared" ref="O170:O171" si="55">ROUND(N170/100,)</f>
        <v>9</v>
      </c>
    </row>
    <row r="171" spans="1:16" s="2116" customFormat="1" ht="24" customHeight="1">
      <c r="A171" s="2113"/>
      <c r="B171" s="2107" t="s">
        <v>1317</v>
      </c>
      <c r="C171" s="2115"/>
      <c r="D171" s="2108"/>
      <c r="E171" s="1801">
        <f>4*5*1.5*6</f>
        <v>180</v>
      </c>
      <c r="F171" s="1262" t="s">
        <v>226</v>
      </c>
      <c r="G171" s="1386">
        <v>23</v>
      </c>
      <c r="H171" s="1343">
        <f t="shared" si="52"/>
        <v>4140</v>
      </c>
      <c r="I171" s="1344">
        <v>12</v>
      </c>
      <c r="J171" s="1343">
        <f t="shared" si="53"/>
        <v>2160</v>
      </c>
      <c r="K171" s="1262">
        <f t="shared" si="54"/>
        <v>6300</v>
      </c>
      <c r="L171" s="2151" t="s">
        <v>2667</v>
      </c>
      <c r="N171" s="2117">
        <v>2264.1999999999998</v>
      </c>
      <c r="O171" s="2117">
        <f t="shared" si="55"/>
        <v>23</v>
      </c>
      <c r="P171" s="2117"/>
    </row>
    <row r="172" spans="1:16" s="1765" customFormat="1" ht="24" customHeight="1">
      <c r="A172" s="2113" t="s">
        <v>2266</v>
      </c>
      <c r="B172" s="2149" t="s">
        <v>1110</v>
      </c>
      <c r="C172" s="2115"/>
      <c r="D172" s="2150"/>
      <c r="E172" s="1801"/>
      <c r="F172" s="1356"/>
      <c r="G172" s="1515"/>
      <c r="H172" s="1369"/>
      <c r="I172" s="1370"/>
      <c r="J172" s="1369"/>
      <c r="K172" s="1356"/>
      <c r="L172" s="1356"/>
    </row>
    <row r="173" spans="1:16" s="1765" customFormat="1" ht="24" customHeight="1">
      <c r="A173" s="2113"/>
      <c r="B173" s="2149" t="s">
        <v>1350</v>
      </c>
      <c r="C173" s="2115"/>
      <c r="D173" s="2150"/>
      <c r="E173" s="1801"/>
      <c r="F173" s="1356" t="s">
        <v>226</v>
      </c>
      <c r="G173" s="1515">
        <v>56</v>
      </c>
      <c r="H173" s="1343">
        <f t="shared" ref="H173:H175" si="56">ROUND(E173*G173,)</f>
        <v>0</v>
      </c>
      <c r="I173" s="1344">
        <v>26</v>
      </c>
      <c r="J173" s="1413">
        <f t="shared" ref="J173:J175" si="57">ROUND(E173*I173,)</f>
        <v>0</v>
      </c>
      <c r="K173" s="1415">
        <f t="shared" ref="K173:K175" si="58">H173+J173</f>
        <v>0</v>
      </c>
      <c r="L173" s="2152" t="s">
        <v>2667</v>
      </c>
      <c r="M173" s="2002"/>
      <c r="N173" s="1765">
        <v>169.2</v>
      </c>
      <c r="O173" s="1765">
        <f t="shared" ref="O173:O174" si="59">ROUND(N173/3,)</f>
        <v>56</v>
      </c>
    </row>
    <row r="174" spans="1:16" s="2116" customFormat="1" ht="24" customHeight="1">
      <c r="A174" s="2113"/>
      <c r="B174" s="2107" t="s">
        <v>1448</v>
      </c>
      <c r="C174" s="2115"/>
      <c r="D174" s="2108"/>
      <c r="E174" s="1801">
        <f>E171</f>
        <v>180</v>
      </c>
      <c r="F174" s="1262" t="s">
        <v>226</v>
      </c>
      <c r="G174" s="1515">
        <v>75</v>
      </c>
      <c r="H174" s="1343">
        <f t="shared" si="56"/>
        <v>13500</v>
      </c>
      <c r="I174" s="1344">
        <v>28</v>
      </c>
      <c r="J174" s="1413">
        <f t="shared" si="57"/>
        <v>5040</v>
      </c>
      <c r="K174" s="1415">
        <f t="shared" si="58"/>
        <v>18540</v>
      </c>
      <c r="L174" s="2152" t="s">
        <v>2667</v>
      </c>
      <c r="M174" s="2118"/>
      <c r="N174" s="2116">
        <v>225</v>
      </c>
      <c r="O174" s="2116">
        <f t="shared" si="59"/>
        <v>75</v>
      </c>
      <c r="P174" s="2117"/>
    </row>
    <row r="175" spans="1:16" s="1765" customFormat="1" ht="24" customHeight="1">
      <c r="A175" s="2113"/>
      <c r="B175" s="2149" t="s">
        <v>1384</v>
      </c>
      <c r="C175" s="2115"/>
      <c r="D175" s="2150"/>
      <c r="E175" s="1801">
        <v>1</v>
      </c>
      <c r="F175" s="1356" t="s">
        <v>1104</v>
      </c>
      <c r="G175" s="1515">
        <f>SUM(H173:H174)*15%</f>
        <v>2025</v>
      </c>
      <c r="H175" s="820">
        <f t="shared" si="56"/>
        <v>2025</v>
      </c>
      <c r="I175" s="1414">
        <f>G175*0.3</f>
        <v>607.5</v>
      </c>
      <c r="J175" s="820">
        <f t="shared" si="57"/>
        <v>608</v>
      </c>
      <c r="K175" s="1457">
        <f t="shared" si="58"/>
        <v>2633</v>
      </c>
      <c r="L175" s="1356"/>
    </row>
    <row r="176" spans="1:16" s="1765" customFormat="1" ht="24" customHeight="1">
      <c r="A176" s="2113"/>
      <c r="B176" s="2107" t="s">
        <v>1117</v>
      </c>
      <c r="C176" s="2115"/>
      <c r="D176" s="2108"/>
      <c r="E176" s="1801"/>
      <c r="F176" s="1262"/>
      <c r="G176" s="1515"/>
      <c r="H176" s="1343"/>
      <c r="I176" s="1344"/>
      <c r="J176" s="1343"/>
      <c r="K176" s="1262"/>
      <c r="L176" s="1262"/>
    </row>
    <row r="177" spans="1:12" s="1765" customFormat="1" ht="24" customHeight="1">
      <c r="A177" s="2113"/>
      <c r="B177" s="2107"/>
      <c r="C177" s="2115"/>
      <c r="D177" s="2108"/>
      <c r="E177" s="1801"/>
      <c r="F177" s="1262"/>
      <c r="G177" s="1515"/>
      <c r="H177" s="1343"/>
      <c r="I177" s="1344"/>
      <c r="J177" s="1343"/>
      <c r="K177" s="1262"/>
      <c r="L177" s="1262"/>
    </row>
    <row r="178" spans="1:12" s="1765" customFormat="1" ht="24" customHeight="1">
      <c r="A178" s="2113"/>
      <c r="B178" s="2107"/>
      <c r="C178" s="2115"/>
      <c r="D178" s="2108"/>
      <c r="E178" s="1801"/>
      <c r="F178" s="1262"/>
      <c r="G178" s="1515"/>
      <c r="H178" s="1343"/>
      <c r="I178" s="1344"/>
      <c r="J178" s="1343"/>
      <c r="K178" s="1262"/>
      <c r="L178" s="1262"/>
    </row>
    <row r="179" spans="1:12" s="1765" customFormat="1" ht="24" customHeight="1">
      <c r="A179" s="2113"/>
      <c r="B179" s="2107"/>
      <c r="C179" s="2115"/>
      <c r="D179" s="2108"/>
      <c r="E179" s="1801"/>
      <c r="F179" s="1262"/>
      <c r="G179" s="1515"/>
      <c r="H179" s="1343"/>
      <c r="I179" s="1344"/>
      <c r="J179" s="1343"/>
      <c r="K179" s="1262"/>
      <c r="L179" s="1262"/>
    </row>
    <row r="180" spans="1:12" s="1765" customFormat="1" ht="24" customHeight="1">
      <c r="A180" s="2113"/>
      <c r="B180" s="2107"/>
      <c r="C180" s="2115"/>
      <c r="D180" s="2108"/>
      <c r="E180" s="1801"/>
      <c r="F180" s="1262"/>
      <c r="G180" s="1515"/>
      <c r="H180" s="1343"/>
      <c r="I180" s="1344"/>
      <c r="J180" s="1343"/>
      <c r="K180" s="1262"/>
      <c r="L180" s="1262"/>
    </row>
    <row r="181" spans="1:12" s="1765" customFormat="1" ht="24" customHeight="1">
      <c r="A181" s="2113"/>
      <c r="B181" s="2107"/>
      <c r="C181" s="2115"/>
      <c r="D181" s="2108"/>
      <c r="E181" s="1801"/>
      <c r="F181" s="1262"/>
      <c r="G181" s="1515"/>
      <c r="H181" s="1343"/>
      <c r="I181" s="1344"/>
      <c r="J181" s="1343"/>
      <c r="K181" s="1262"/>
      <c r="L181" s="1262"/>
    </row>
    <row r="182" spans="1:12" s="1765" customFormat="1" ht="24" customHeight="1">
      <c r="A182" s="1804"/>
      <c r="B182" s="1780"/>
      <c r="C182" s="1800"/>
      <c r="D182" s="1260"/>
      <c r="E182" s="1801"/>
      <c r="F182" s="1262"/>
      <c r="G182" s="1515"/>
      <c r="H182" s="1343"/>
      <c r="I182" s="1344"/>
      <c r="J182" s="1343"/>
      <c r="K182" s="1262"/>
      <c r="L182" s="1262"/>
    </row>
    <row r="183" spans="1:12" s="1765" customFormat="1" ht="24" customHeight="1">
      <c r="A183" s="1865"/>
      <c r="B183" s="1799"/>
      <c r="C183" s="1866"/>
      <c r="D183" s="1375"/>
      <c r="E183" s="1867"/>
      <c r="F183" s="1377"/>
      <c r="G183" s="1868"/>
      <c r="H183" s="1379"/>
      <c r="I183" s="1380"/>
      <c r="J183" s="1379"/>
      <c r="K183" s="1377"/>
      <c r="L183" s="1377"/>
    </row>
    <row r="184" spans="1:12" s="1765" customFormat="1" ht="24" customHeight="1">
      <c r="A184" s="1578"/>
      <c r="B184" s="2257" t="str">
        <f>"รวมราคารายการที่ "&amp;A160</f>
        <v>รวมราคารายการที่ 7.7</v>
      </c>
      <c r="C184" s="2258"/>
      <c r="D184" s="2259"/>
      <c r="E184" s="1579"/>
      <c r="F184" s="1579"/>
      <c r="G184" s="1580"/>
      <c r="H184" s="1581">
        <f>SUM(H160:H183)</f>
        <v>553665</v>
      </c>
      <c r="I184" s="1582"/>
      <c r="J184" s="1581">
        <f>SUM(J160:J183)</f>
        <v>61208</v>
      </c>
      <c r="K184" s="1581">
        <f>SUM(K160:K183)</f>
        <v>614873</v>
      </c>
      <c r="L184" s="1583"/>
    </row>
    <row r="185" spans="1:12" s="1765" customFormat="1" ht="24" customHeight="1">
      <c r="A185" s="1291" t="s">
        <v>2091</v>
      </c>
      <c r="B185" s="1776" t="s">
        <v>2109</v>
      </c>
      <c r="C185" s="1293"/>
      <c r="D185" s="1294"/>
      <c r="E185" s="1786"/>
      <c r="F185" s="1296"/>
      <c r="G185" s="1357"/>
      <c r="H185" s="1298"/>
      <c r="I185" s="1299"/>
      <c r="J185" s="1298"/>
      <c r="K185" s="1382"/>
      <c r="L185" s="1382"/>
    </row>
    <row r="186" spans="1:12" s="1765" customFormat="1" ht="24" customHeight="1">
      <c r="A186" s="1766" t="s">
        <v>2093</v>
      </c>
      <c r="B186" s="1799" t="s">
        <v>2111</v>
      </c>
      <c r="C186" s="1800"/>
      <c r="D186" s="1375"/>
      <c r="E186" s="1802"/>
      <c r="F186" s="1356" t="s">
        <v>363</v>
      </c>
      <c r="G186" s="1803">
        <v>690000</v>
      </c>
      <c r="H186" s="1343">
        <f t="shared" ref="H186" si="60">ROUND(E186*G186,)</f>
        <v>0</v>
      </c>
      <c r="I186" s="1370">
        <v>17250</v>
      </c>
      <c r="J186" s="1343">
        <f t="shared" ref="J186:J193" si="61">ROUND(E186*I186,)</f>
        <v>0</v>
      </c>
      <c r="K186" s="1262">
        <f t="shared" ref="K186:K193" si="62">H186+J186</f>
        <v>0</v>
      </c>
      <c r="L186" s="1356"/>
    </row>
    <row r="187" spans="1:12" s="1765" customFormat="1" ht="24" customHeight="1">
      <c r="A187" s="1766" t="s">
        <v>2096</v>
      </c>
      <c r="B187" s="1799" t="s">
        <v>2113</v>
      </c>
      <c r="C187" s="1800"/>
      <c r="D187" s="1375"/>
      <c r="E187" s="1802"/>
      <c r="F187" s="1356" t="s">
        <v>363</v>
      </c>
      <c r="G187" s="1803">
        <v>80000</v>
      </c>
      <c r="H187" s="1343">
        <f>ROUND(E187*G187,)</f>
        <v>0</v>
      </c>
      <c r="I187" s="1370">
        <v>2000</v>
      </c>
      <c r="J187" s="1343">
        <f t="shared" si="61"/>
        <v>0</v>
      </c>
      <c r="K187" s="1262">
        <f t="shared" si="62"/>
        <v>0</v>
      </c>
      <c r="L187" s="1356"/>
    </row>
    <row r="188" spans="1:12" s="1765" customFormat="1" ht="24" customHeight="1">
      <c r="A188" s="1766" t="s">
        <v>2099</v>
      </c>
      <c r="B188" s="1538" t="s">
        <v>1816</v>
      </c>
      <c r="C188" s="1437"/>
      <c r="D188" s="1275"/>
      <c r="E188" s="1768"/>
      <c r="F188" s="1358"/>
      <c r="G188" s="1516">
        <v>950000</v>
      </c>
      <c r="H188" s="1264">
        <f t="shared" ref="H188:H193" si="63">ROUND(E188*G188,)</f>
        <v>0</v>
      </c>
      <c r="I188" s="1265">
        <f>G188*0.015</f>
        <v>14250</v>
      </c>
      <c r="J188" s="1264">
        <f t="shared" si="61"/>
        <v>0</v>
      </c>
      <c r="K188" s="1273">
        <f t="shared" si="62"/>
        <v>0</v>
      </c>
      <c r="L188" s="1273"/>
    </row>
    <row r="189" spans="1:12" s="1765" customFormat="1" ht="24" customHeight="1">
      <c r="A189" s="1766"/>
      <c r="B189" s="1538" t="s">
        <v>2115</v>
      </c>
      <c r="C189" s="1437"/>
      <c r="D189" s="1275"/>
      <c r="E189" s="1768">
        <v>6</v>
      </c>
      <c r="F189" s="1358" t="s">
        <v>363</v>
      </c>
      <c r="G189" s="1515">
        <v>2650</v>
      </c>
      <c r="H189" s="1343">
        <f t="shared" si="63"/>
        <v>15900</v>
      </c>
      <c r="I189" s="1370">
        <v>500</v>
      </c>
      <c r="J189" s="1343">
        <f t="shared" si="61"/>
        <v>3000</v>
      </c>
      <c r="K189" s="1262">
        <f t="shared" si="62"/>
        <v>18900</v>
      </c>
      <c r="L189" s="1273"/>
    </row>
    <row r="190" spans="1:12" s="1765" customFormat="1" ht="24" customHeight="1">
      <c r="A190" s="1766"/>
      <c r="B190" s="1538" t="s">
        <v>2116</v>
      </c>
      <c r="C190" s="1437"/>
      <c r="D190" s="1275"/>
      <c r="E190" s="1768">
        <v>6</v>
      </c>
      <c r="F190" s="1358" t="s">
        <v>363</v>
      </c>
      <c r="G190" s="1515">
        <v>560</v>
      </c>
      <c r="H190" s="1343">
        <f t="shared" si="63"/>
        <v>3360</v>
      </c>
      <c r="I190" s="1370">
        <v>500</v>
      </c>
      <c r="J190" s="1343">
        <f t="shared" si="61"/>
        <v>3000</v>
      </c>
      <c r="K190" s="1262">
        <f t="shared" si="62"/>
        <v>6360</v>
      </c>
      <c r="L190" s="1273"/>
    </row>
    <row r="191" spans="1:12" s="1765" customFormat="1" ht="24" customHeight="1">
      <c r="A191" s="1258"/>
      <c r="B191" s="1538" t="s">
        <v>2117</v>
      </c>
      <c r="C191" s="1437"/>
      <c r="D191" s="1275"/>
      <c r="E191" s="1768"/>
      <c r="F191" s="1358" t="s">
        <v>363</v>
      </c>
      <c r="G191" s="1515">
        <v>1340</v>
      </c>
      <c r="H191" s="1343">
        <f t="shared" si="63"/>
        <v>0</v>
      </c>
      <c r="I191" s="1370">
        <v>500</v>
      </c>
      <c r="J191" s="1343">
        <f t="shared" si="61"/>
        <v>0</v>
      </c>
      <c r="K191" s="1262">
        <f t="shared" si="62"/>
        <v>0</v>
      </c>
      <c r="L191" s="1273"/>
    </row>
    <row r="192" spans="1:12" s="1765" customFormat="1" ht="24" customHeight="1">
      <c r="A192" s="1258"/>
      <c r="B192" s="1538" t="s">
        <v>2118</v>
      </c>
      <c r="C192" s="1437"/>
      <c r="D192" s="1275"/>
      <c r="E192" s="1768"/>
      <c r="F192" s="1358" t="s">
        <v>363</v>
      </c>
      <c r="G192" s="1515">
        <v>760</v>
      </c>
      <c r="H192" s="1343">
        <f t="shared" si="63"/>
        <v>0</v>
      </c>
      <c r="I192" s="1370">
        <v>500</v>
      </c>
      <c r="J192" s="1343">
        <f t="shared" si="61"/>
        <v>0</v>
      </c>
      <c r="K192" s="1262">
        <f t="shared" si="62"/>
        <v>0</v>
      </c>
      <c r="L192" s="1273"/>
    </row>
    <row r="193" spans="1:15" s="1765" customFormat="1" ht="24" customHeight="1">
      <c r="A193" s="1258"/>
      <c r="B193" s="1538" t="s">
        <v>2119</v>
      </c>
      <c r="C193" s="1437"/>
      <c r="D193" s="1275"/>
      <c r="E193" s="1768">
        <v>6</v>
      </c>
      <c r="F193" s="1358" t="s">
        <v>363</v>
      </c>
      <c r="G193" s="1515">
        <v>1340</v>
      </c>
      <c r="H193" s="1343">
        <f t="shared" si="63"/>
        <v>8040</v>
      </c>
      <c r="I193" s="1370">
        <v>500</v>
      </c>
      <c r="J193" s="1343">
        <f t="shared" si="61"/>
        <v>3000</v>
      </c>
      <c r="K193" s="1262">
        <f t="shared" si="62"/>
        <v>11040</v>
      </c>
      <c r="L193" s="1273"/>
    </row>
    <row r="194" spans="1:15" s="1765" customFormat="1" ht="24" customHeight="1">
      <c r="A194" s="1258"/>
      <c r="B194" s="1538" t="s">
        <v>2120</v>
      </c>
      <c r="C194" s="1437"/>
      <c r="D194" s="1275"/>
      <c r="E194" s="1768"/>
      <c r="F194" s="1358" t="s">
        <v>363</v>
      </c>
      <c r="G194" s="1515"/>
      <c r="H194" s="1369"/>
      <c r="I194" s="1370"/>
      <c r="J194" s="1369"/>
      <c r="K194" s="1356"/>
      <c r="L194" s="1273"/>
    </row>
    <row r="195" spans="1:15" s="1765" customFormat="1" ht="24" customHeight="1">
      <c r="A195" s="1258"/>
      <c r="B195" s="1538" t="s">
        <v>2121</v>
      </c>
      <c r="C195" s="1437"/>
      <c r="D195" s="1275"/>
      <c r="E195" s="1768">
        <v>6</v>
      </c>
      <c r="F195" s="1358" t="s">
        <v>363</v>
      </c>
      <c r="G195" s="1515">
        <v>4550</v>
      </c>
      <c r="H195" s="1343">
        <f t="shared" ref="H195" si="64">ROUND(E195*G195,)</f>
        <v>27300</v>
      </c>
      <c r="I195" s="1370">
        <v>1365</v>
      </c>
      <c r="J195" s="1343">
        <f t="shared" ref="J195" si="65">ROUND(E195*I195,)</f>
        <v>8190</v>
      </c>
      <c r="K195" s="1262">
        <f t="shared" ref="K195" si="66">H195+J195</f>
        <v>35490</v>
      </c>
      <c r="L195" s="1273"/>
    </row>
    <row r="196" spans="1:15" s="1765" customFormat="1" ht="24" customHeight="1">
      <c r="A196" s="1766" t="s">
        <v>2104</v>
      </c>
      <c r="B196" s="1538" t="s">
        <v>2122</v>
      </c>
      <c r="C196" s="1437"/>
      <c r="D196" s="1275"/>
      <c r="E196" s="1768"/>
      <c r="F196" s="1358"/>
      <c r="G196" s="1516"/>
      <c r="H196" s="1264"/>
      <c r="I196" s="1265"/>
      <c r="J196" s="1264"/>
      <c r="K196" s="1273"/>
      <c r="L196" s="1273"/>
    </row>
    <row r="197" spans="1:15" s="1765" customFormat="1" ht="24" customHeight="1">
      <c r="A197" s="1258"/>
      <c r="B197" s="1538" t="s">
        <v>2123</v>
      </c>
      <c r="C197" s="1437"/>
      <c r="D197" s="1275"/>
      <c r="E197" s="1801">
        <f>(7*5*5*1*2)*1</f>
        <v>350</v>
      </c>
      <c r="F197" s="1356" t="s">
        <v>226</v>
      </c>
      <c r="G197" s="1515">
        <v>139</v>
      </c>
      <c r="H197" s="1343">
        <f t="shared" ref="H197:H198" si="67">ROUND(E197*G197,)</f>
        <v>48650</v>
      </c>
      <c r="I197" s="1370">
        <v>21</v>
      </c>
      <c r="J197" s="1343">
        <f t="shared" ref="J197:J198" si="68">ROUND(E197*I197,)</f>
        <v>7350</v>
      </c>
      <c r="K197" s="1262">
        <f t="shared" ref="K197:K198" si="69">H197+J197</f>
        <v>56000</v>
      </c>
      <c r="L197" s="1273"/>
    </row>
    <row r="198" spans="1:15" s="1765" customFormat="1" ht="24" customHeight="1">
      <c r="A198" s="1258"/>
      <c r="B198" s="1538" t="s">
        <v>2124</v>
      </c>
      <c r="C198" s="1437"/>
      <c r="D198" s="1275"/>
      <c r="E198" s="1801">
        <f>(4*5*5*2*1)*1</f>
        <v>200</v>
      </c>
      <c r="F198" s="1356" t="s">
        <v>226</v>
      </c>
      <c r="G198" s="1515">
        <v>103</v>
      </c>
      <c r="H198" s="1343">
        <f t="shared" si="67"/>
        <v>20600</v>
      </c>
      <c r="I198" s="1370">
        <v>15</v>
      </c>
      <c r="J198" s="1343">
        <f t="shared" si="68"/>
        <v>3000</v>
      </c>
      <c r="K198" s="1262">
        <f t="shared" si="69"/>
        <v>23600</v>
      </c>
      <c r="L198" s="1273"/>
    </row>
    <row r="199" spans="1:15" s="1765" customFormat="1" ht="24" customHeight="1">
      <c r="A199" s="1258"/>
      <c r="B199" s="1538" t="s">
        <v>1548</v>
      </c>
      <c r="C199" s="1437"/>
      <c r="D199" s="1275"/>
      <c r="E199" s="1768"/>
      <c r="F199" s="1358" t="s">
        <v>226</v>
      </c>
      <c r="G199" s="1516"/>
      <c r="H199" s="1264"/>
      <c r="I199" s="1265"/>
      <c r="J199" s="1264"/>
      <c r="K199" s="1273"/>
      <c r="L199" s="1273"/>
    </row>
    <row r="200" spans="1:15" s="1765" customFormat="1" ht="24" customHeight="1">
      <c r="A200" s="1804"/>
      <c r="B200" s="1799" t="s">
        <v>2125</v>
      </c>
      <c r="C200" s="1800"/>
      <c r="D200" s="1375"/>
      <c r="E200" s="1801"/>
      <c r="F200" s="1356" t="s">
        <v>226</v>
      </c>
      <c r="G200" s="1515">
        <v>24</v>
      </c>
      <c r="H200" s="1343">
        <f t="shared" ref="H200:H202" si="70">ROUND(E200*G200,)</f>
        <v>0</v>
      </c>
      <c r="I200" s="1370">
        <v>8</v>
      </c>
      <c r="J200" s="1343">
        <f t="shared" ref="J200:J202" si="71">ROUND(E200*I200,)</f>
        <v>0</v>
      </c>
      <c r="K200" s="1262">
        <f t="shared" ref="K200:K202" si="72">H200+J200</f>
        <v>0</v>
      </c>
      <c r="L200" s="1356"/>
    </row>
    <row r="201" spans="1:15" s="1765" customFormat="1" ht="24" customHeight="1">
      <c r="A201" s="1804"/>
      <c r="B201" s="1799" t="s">
        <v>2126</v>
      </c>
      <c r="C201" s="1800"/>
      <c r="D201" s="1375"/>
      <c r="E201" s="1801"/>
      <c r="F201" s="1356" t="s">
        <v>226</v>
      </c>
      <c r="G201" s="1515">
        <v>15</v>
      </c>
      <c r="H201" s="1343">
        <f t="shared" si="70"/>
        <v>0</v>
      </c>
      <c r="I201" s="1370">
        <v>5</v>
      </c>
      <c r="J201" s="1343">
        <f t="shared" si="71"/>
        <v>0</v>
      </c>
      <c r="K201" s="1262">
        <f t="shared" si="72"/>
        <v>0</v>
      </c>
      <c r="L201" s="1356"/>
    </row>
    <row r="202" spans="1:15" s="1765" customFormat="1" ht="24" customHeight="1">
      <c r="A202" s="1804"/>
      <c r="B202" s="1799" t="s">
        <v>2127</v>
      </c>
      <c r="C202" s="1800"/>
      <c r="D202" s="1375"/>
      <c r="E202" s="1801">
        <v>1</v>
      </c>
      <c r="F202" s="1356" t="s">
        <v>1104</v>
      </c>
      <c r="G202" s="1515">
        <f>SUM(H197:H201)*5%</f>
        <v>3462.5</v>
      </c>
      <c r="H202" s="1343">
        <f t="shared" si="70"/>
        <v>3463</v>
      </c>
      <c r="I202" s="1370">
        <v>19745</v>
      </c>
      <c r="J202" s="1343">
        <f t="shared" si="71"/>
        <v>19745</v>
      </c>
      <c r="K202" s="1262">
        <f t="shared" si="72"/>
        <v>23208</v>
      </c>
      <c r="L202" s="1356"/>
    </row>
    <row r="203" spans="1:15" s="1765" customFormat="1" ht="24" customHeight="1">
      <c r="A203" s="1766" t="s">
        <v>2581</v>
      </c>
      <c r="B203" s="1538" t="s">
        <v>1110</v>
      </c>
      <c r="C203" s="1437"/>
      <c r="D203" s="1275"/>
      <c r="E203" s="1768"/>
      <c r="F203" s="1358"/>
      <c r="G203" s="1515"/>
      <c r="H203" s="1264"/>
      <c r="I203" s="1265"/>
      <c r="J203" s="1264"/>
      <c r="K203" s="1273"/>
      <c r="L203" s="1273"/>
    </row>
    <row r="204" spans="1:15" s="1765" customFormat="1" ht="24" customHeight="1">
      <c r="A204" s="1766"/>
      <c r="B204" s="1538" t="s">
        <v>1350</v>
      </c>
      <c r="C204" s="1437"/>
      <c r="D204" s="1275"/>
      <c r="E204" s="1768">
        <f>(3*5*2*1)*1</f>
        <v>30</v>
      </c>
      <c r="F204" s="1358" t="s">
        <v>226</v>
      </c>
      <c r="G204" s="2004">
        <v>56</v>
      </c>
      <c r="H204" s="1413">
        <f t="shared" ref="H204:H205" si="73">ROUND(E204*G204,)</f>
        <v>1680</v>
      </c>
      <c r="I204" s="1541">
        <v>28</v>
      </c>
      <c r="J204" s="2006">
        <f t="shared" ref="J204:J205" si="74">ROUND(E204*I204,)</f>
        <v>840</v>
      </c>
      <c r="K204" s="715">
        <f t="shared" ref="K204:K205" si="75">H204+J204</f>
        <v>2520</v>
      </c>
      <c r="L204" s="2082" t="s">
        <v>2667</v>
      </c>
      <c r="M204" s="2002"/>
      <c r="N204" s="1199">
        <v>169.2</v>
      </c>
      <c r="O204" s="1199">
        <f>ROUND(N204/3,)</f>
        <v>56</v>
      </c>
    </row>
    <row r="205" spans="1:15" s="1765" customFormat="1" ht="24" customHeight="1">
      <c r="A205" s="1804"/>
      <c r="B205" s="1799" t="s">
        <v>2128</v>
      </c>
      <c r="C205" s="1800"/>
      <c r="D205" s="1375"/>
      <c r="E205" s="1801">
        <v>1</v>
      </c>
      <c r="F205" s="1356" t="s">
        <v>1104</v>
      </c>
      <c r="G205" s="1515">
        <f>H204*15%</f>
        <v>252</v>
      </c>
      <c r="H205" s="1343">
        <f t="shared" si="73"/>
        <v>252</v>
      </c>
      <c r="I205" s="1370">
        <v>58174</v>
      </c>
      <c r="J205" s="1343">
        <f t="shared" si="74"/>
        <v>58174</v>
      </c>
      <c r="K205" s="1262">
        <f t="shared" si="75"/>
        <v>58426</v>
      </c>
      <c r="L205" s="1356"/>
    </row>
    <row r="206" spans="1:15" s="1765" customFormat="1" ht="24" customHeight="1">
      <c r="A206" s="1766" t="s">
        <v>2582</v>
      </c>
      <c r="B206" s="1538" t="s">
        <v>1343</v>
      </c>
      <c r="C206" s="1437"/>
      <c r="D206" s="1275"/>
      <c r="E206" s="1768"/>
      <c r="F206" s="1358"/>
      <c r="G206" s="1515"/>
      <c r="H206" s="1264"/>
      <c r="I206" s="1265"/>
      <c r="J206" s="1264"/>
      <c r="K206" s="1273"/>
      <c r="L206" s="1273"/>
    </row>
    <row r="207" spans="1:15" s="1765" customFormat="1" ht="24" customHeight="1">
      <c r="A207" s="1258"/>
      <c r="B207" s="1538" t="s">
        <v>2129</v>
      </c>
      <c r="C207" s="1437"/>
      <c r="D207" s="1275"/>
      <c r="E207" s="1801"/>
      <c r="F207" s="1356" t="s">
        <v>226</v>
      </c>
      <c r="G207" s="1386">
        <v>316</v>
      </c>
      <c r="H207" s="1343">
        <f t="shared" ref="H207:H208" si="76">ROUND(E207*G207,)</f>
        <v>0</v>
      </c>
      <c r="I207" s="1414">
        <v>50</v>
      </c>
      <c r="J207" s="1343">
        <f t="shared" ref="J207:J208" si="77">ROUND(E207*I207,)</f>
        <v>0</v>
      </c>
      <c r="K207" s="1262">
        <f t="shared" ref="K207:K208" si="78">H207+J207</f>
        <v>0</v>
      </c>
      <c r="L207" s="1273"/>
    </row>
    <row r="208" spans="1:15" s="1765" customFormat="1" ht="24" customHeight="1">
      <c r="A208" s="1258"/>
      <c r="B208" s="1538" t="s">
        <v>2128</v>
      </c>
      <c r="C208" s="1437"/>
      <c r="D208" s="1275"/>
      <c r="E208" s="1801"/>
      <c r="F208" s="1356" t="s">
        <v>1104</v>
      </c>
      <c r="G208" s="1515">
        <f>H207*15%</f>
        <v>0</v>
      </c>
      <c r="H208" s="1343">
        <f t="shared" si="76"/>
        <v>0</v>
      </c>
      <c r="I208" s="1370">
        <v>16637</v>
      </c>
      <c r="J208" s="1343">
        <f t="shared" si="77"/>
        <v>0</v>
      </c>
      <c r="K208" s="1262">
        <f t="shared" si="78"/>
        <v>0</v>
      </c>
      <c r="L208" s="1273"/>
    </row>
    <row r="209" spans="1:12" s="1199" customFormat="1" ht="22.15" customHeight="1">
      <c r="A209" s="1578"/>
      <c r="B209" s="2257" t="str">
        <f>"รวมราคารายการที่ "&amp;A185</f>
        <v>รวมราคารายการที่ 7.8</v>
      </c>
      <c r="C209" s="2258"/>
      <c r="D209" s="2259"/>
      <c r="E209" s="1579"/>
      <c r="F209" s="1579"/>
      <c r="G209" s="1580"/>
      <c r="H209" s="1581">
        <f>SUM(H185:H208)</f>
        <v>129245</v>
      </c>
      <c r="I209" s="1582"/>
      <c r="J209" s="1581">
        <f>SUM(J185:J208)</f>
        <v>106299</v>
      </c>
      <c r="K209" s="1581">
        <f>SUM(K185:K208)</f>
        <v>235544</v>
      </c>
      <c r="L209" s="1583"/>
    </row>
    <row r="210" spans="1:12" s="1765" customFormat="1" ht="24" customHeight="1">
      <c r="A210" s="1291" t="s">
        <v>2091</v>
      </c>
      <c r="B210" s="1776" t="s">
        <v>2109</v>
      </c>
      <c r="C210" s="1293"/>
      <c r="D210" s="1294"/>
      <c r="E210" s="1786"/>
      <c r="F210" s="1296"/>
      <c r="G210" s="1357"/>
      <c r="H210" s="1298"/>
      <c r="I210" s="1299"/>
      <c r="J210" s="1298"/>
      <c r="K210" s="1382"/>
      <c r="L210" s="1382"/>
    </row>
    <row r="211" spans="1:12" s="1765" customFormat="1" ht="24" customHeight="1">
      <c r="A211" s="1766" t="s">
        <v>2093</v>
      </c>
      <c r="B211" s="1799" t="s">
        <v>2111</v>
      </c>
      <c r="C211" s="1800"/>
      <c r="D211" s="1375"/>
      <c r="E211" s="1802"/>
      <c r="F211" s="1356" t="s">
        <v>363</v>
      </c>
      <c r="G211" s="1803">
        <v>690000</v>
      </c>
      <c r="H211" s="1343">
        <f t="shared" ref="H211" si="79">ROUND(E211*G211,)</f>
        <v>0</v>
      </c>
      <c r="I211" s="1370">
        <v>17250</v>
      </c>
      <c r="J211" s="1343">
        <f t="shared" ref="J211:J218" si="80">ROUND(E211*I211,)</f>
        <v>0</v>
      </c>
      <c r="K211" s="1262">
        <f t="shared" ref="K211:K218" si="81">H211+J211</f>
        <v>0</v>
      </c>
      <c r="L211" s="1356"/>
    </row>
    <row r="212" spans="1:12" s="1765" customFormat="1" ht="24" customHeight="1">
      <c r="A212" s="1766" t="s">
        <v>2096</v>
      </c>
      <c r="B212" s="1799" t="s">
        <v>2113</v>
      </c>
      <c r="C212" s="1800"/>
      <c r="D212" s="1375"/>
      <c r="E212" s="1802"/>
      <c r="F212" s="1356" t="s">
        <v>363</v>
      </c>
      <c r="G212" s="1803">
        <v>80000</v>
      </c>
      <c r="H212" s="1343">
        <f>ROUND(E212*G212,)</f>
        <v>0</v>
      </c>
      <c r="I212" s="1370">
        <v>2000</v>
      </c>
      <c r="J212" s="1343">
        <f t="shared" si="80"/>
        <v>0</v>
      </c>
      <c r="K212" s="1262">
        <f t="shared" si="81"/>
        <v>0</v>
      </c>
      <c r="L212" s="1356"/>
    </row>
    <row r="213" spans="1:12" s="1765" customFormat="1" ht="24" customHeight="1">
      <c r="A213" s="1766" t="s">
        <v>2099</v>
      </c>
      <c r="B213" s="1538" t="s">
        <v>1816</v>
      </c>
      <c r="C213" s="1437"/>
      <c r="D213" s="1275"/>
      <c r="E213" s="1768"/>
      <c r="F213" s="1358"/>
      <c r="G213" s="1516">
        <v>950000</v>
      </c>
      <c r="H213" s="1264">
        <f t="shared" ref="H213:H218" si="82">ROUND(E213*G213,)</f>
        <v>0</v>
      </c>
      <c r="I213" s="1265">
        <f>G213*0.015</f>
        <v>14250</v>
      </c>
      <c r="J213" s="1264">
        <f t="shared" si="80"/>
        <v>0</v>
      </c>
      <c r="K213" s="1273">
        <f t="shared" si="81"/>
        <v>0</v>
      </c>
      <c r="L213" s="1273"/>
    </row>
    <row r="214" spans="1:12" s="1765" customFormat="1" ht="24" customHeight="1">
      <c r="A214" s="1766"/>
      <c r="B214" s="1538" t="s">
        <v>2115</v>
      </c>
      <c r="C214" s="1437"/>
      <c r="D214" s="1275"/>
      <c r="E214" s="1768">
        <v>6</v>
      </c>
      <c r="F214" s="1358" t="s">
        <v>363</v>
      </c>
      <c r="G214" s="1515">
        <v>2650</v>
      </c>
      <c r="H214" s="1343">
        <f t="shared" si="82"/>
        <v>15900</v>
      </c>
      <c r="I214" s="1370">
        <v>500</v>
      </c>
      <c r="J214" s="1343">
        <f t="shared" si="80"/>
        <v>3000</v>
      </c>
      <c r="K214" s="1262">
        <f t="shared" si="81"/>
        <v>18900</v>
      </c>
      <c r="L214" s="1273"/>
    </row>
    <row r="215" spans="1:12" s="1765" customFormat="1" ht="24" customHeight="1">
      <c r="A215" s="1766"/>
      <c r="B215" s="1538" t="s">
        <v>2116</v>
      </c>
      <c r="C215" s="1437"/>
      <c r="D215" s="1275"/>
      <c r="E215" s="1768">
        <v>6</v>
      </c>
      <c r="F215" s="1358" t="s">
        <v>363</v>
      </c>
      <c r="G215" s="1515">
        <v>560</v>
      </c>
      <c r="H215" s="1343">
        <f t="shared" si="82"/>
        <v>3360</v>
      </c>
      <c r="I215" s="1370">
        <v>500</v>
      </c>
      <c r="J215" s="1343">
        <f t="shared" si="80"/>
        <v>3000</v>
      </c>
      <c r="K215" s="1262">
        <f t="shared" si="81"/>
        <v>6360</v>
      </c>
      <c r="L215" s="1273"/>
    </row>
    <row r="216" spans="1:12" s="1765" customFormat="1" ht="24" customHeight="1">
      <c r="A216" s="1258"/>
      <c r="B216" s="1538" t="s">
        <v>2117</v>
      </c>
      <c r="C216" s="1437"/>
      <c r="D216" s="1275"/>
      <c r="E216" s="1768"/>
      <c r="F216" s="1358" t="s">
        <v>363</v>
      </c>
      <c r="G216" s="1515">
        <v>1340</v>
      </c>
      <c r="H216" s="1343">
        <f t="shared" si="82"/>
        <v>0</v>
      </c>
      <c r="I216" s="1370">
        <v>500</v>
      </c>
      <c r="J216" s="1343">
        <f t="shared" si="80"/>
        <v>0</v>
      </c>
      <c r="K216" s="1262">
        <f t="shared" si="81"/>
        <v>0</v>
      </c>
      <c r="L216" s="1273"/>
    </row>
    <row r="217" spans="1:12" s="1765" customFormat="1" ht="24" customHeight="1">
      <c r="A217" s="1258"/>
      <c r="B217" s="1538" t="s">
        <v>2118</v>
      </c>
      <c r="C217" s="1437"/>
      <c r="D217" s="1275"/>
      <c r="E217" s="1768"/>
      <c r="F217" s="1358" t="s">
        <v>363</v>
      </c>
      <c r="G217" s="1515">
        <v>760</v>
      </c>
      <c r="H217" s="1343">
        <f t="shared" si="82"/>
        <v>0</v>
      </c>
      <c r="I217" s="1370">
        <v>500</v>
      </c>
      <c r="J217" s="1343">
        <f t="shared" si="80"/>
        <v>0</v>
      </c>
      <c r="K217" s="1262">
        <f t="shared" si="81"/>
        <v>0</v>
      </c>
      <c r="L217" s="1273"/>
    </row>
    <row r="218" spans="1:12" s="1765" customFormat="1" ht="24" customHeight="1">
      <c r="A218" s="1258"/>
      <c r="B218" s="1538" t="s">
        <v>2119</v>
      </c>
      <c r="C218" s="1437"/>
      <c r="D218" s="1275"/>
      <c r="E218" s="1768">
        <v>6</v>
      </c>
      <c r="F218" s="1358" t="s">
        <v>363</v>
      </c>
      <c r="G218" s="1515">
        <v>1340</v>
      </c>
      <c r="H218" s="1343">
        <f t="shared" si="82"/>
        <v>8040</v>
      </c>
      <c r="I218" s="1370">
        <v>500</v>
      </c>
      <c r="J218" s="1343">
        <f t="shared" si="80"/>
        <v>3000</v>
      </c>
      <c r="K218" s="1262">
        <f t="shared" si="81"/>
        <v>11040</v>
      </c>
      <c r="L218" s="1273"/>
    </row>
    <row r="219" spans="1:12" s="1765" customFormat="1" ht="24" customHeight="1">
      <c r="A219" s="1258"/>
      <c r="B219" s="1538" t="s">
        <v>2120</v>
      </c>
      <c r="C219" s="1437"/>
      <c r="D219" s="1275"/>
      <c r="E219" s="1768"/>
      <c r="F219" s="1358" t="s">
        <v>363</v>
      </c>
      <c r="G219" s="1515"/>
      <c r="H219" s="1369"/>
      <c r="I219" s="1370"/>
      <c r="J219" s="1369"/>
      <c r="K219" s="1356"/>
      <c r="L219" s="1273"/>
    </row>
    <row r="220" spans="1:12" s="1765" customFormat="1" ht="24" customHeight="1">
      <c r="A220" s="1258"/>
      <c r="B220" s="1538" t="s">
        <v>2121</v>
      </c>
      <c r="C220" s="1437"/>
      <c r="D220" s="1275"/>
      <c r="E220" s="1768">
        <v>6</v>
      </c>
      <c r="F220" s="1358" t="s">
        <v>363</v>
      </c>
      <c r="G220" s="1515">
        <v>4550</v>
      </c>
      <c r="H220" s="1343">
        <f t="shared" ref="H220" si="83">ROUND(E220*G220,)</f>
        <v>27300</v>
      </c>
      <c r="I220" s="1370">
        <v>1365</v>
      </c>
      <c r="J220" s="1343">
        <f t="shared" ref="J220" si="84">ROUND(E220*I220,)</f>
        <v>8190</v>
      </c>
      <c r="K220" s="1262">
        <f t="shared" ref="K220" si="85">H220+J220</f>
        <v>35490</v>
      </c>
      <c r="L220" s="1273"/>
    </row>
    <row r="221" spans="1:12" s="1765" customFormat="1" ht="24" customHeight="1">
      <c r="A221" s="1766" t="s">
        <v>2104</v>
      </c>
      <c r="B221" s="1538" t="s">
        <v>2122</v>
      </c>
      <c r="C221" s="1437"/>
      <c r="D221" s="1275"/>
      <c r="E221" s="1768"/>
      <c r="F221" s="1358"/>
      <c r="G221" s="1516"/>
      <c r="H221" s="1264"/>
      <c r="I221" s="1265"/>
      <c r="J221" s="1264"/>
      <c r="K221" s="1273"/>
      <c r="L221" s="1273"/>
    </row>
    <row r="222" spans="1:12" s="1765" customFormat="1" ht="24" customHeight="1">
      <c r="A222" s="1258"/>
      <c r="B222" s="1538" t="s">
        <v>2123</v>
      </c>
      <c r="C222" s="1437"/>
      <c r="D222" s="1275"/>
      <c r="E222" s="1801">
        <f>(7*5*5*1*2)*1</f>
        <v>350</v>
      </c>
      <c r="F222" s="1356" t="s">
        <v>226</v>
      </c>
      <c r="G222" s="1515">
        <v>139</v>
      </c>
      <c r="H222" s="1343">
        <f t="shared" ref="H222:H223" si="86">ROUND(E222*G222,)</f>
        <v>48650</v>
      </c>
      <c r="I222" s="1370">
        <v>21</v>
      </c>
      <c r="J222" s="1343">
        <f t="shared" ref="J222:J223" si="87">ROUND(E222*I222,)</f>
        <v>7350</v>
      </c>
      <c r="K222" s="1262">
        <f t="shared" ref="K222:K223" si="88">H222+J222</f>
        <v>56000</v>
      </c>
      <c r="L222" s="1273"/>
    </row>
    <row r="223" spans="1:12" s="1765" customFormat="1" ht="24" customHeight="1">
      <c r="A223" s="1258"/>
      <c r="B223" s="1538" t="s">
        <v>2124</v>
      </c>
      <c r="C223" s="1437"/>
      <c r="D223" s="1275"/>
      <c r="E223" s="1801">
        <f>(4*5*5*2*1)*1</f>
        <v>200</v>
      </c>
      <c r="F223" s="1356" t="s">
        <v>226</v>
      </c>
      <c r="G223" s="1515">
        <v>103</v>
      </c>
      <c r="H223" s="1343">
        <f t="shared" si="86"/>
        <v>20600</v>
      </c>
      <c r="I223" s="1370">
        <v>15</v>
      </c>
      <c r="J223" s="1343">
        <f t="shared" si="87"/>
        <v>3000</v>
      </c>
      <c r="K223" s="1262">
        <f t="shared" si="88"/>
        <v>23600</v>
      </c>
      <c r="L223" s="1273"/>
    </row>
    <row r="224" spans="1:12" s="1765" customFormat="1" ht="24" customHeight="1">
      <c r="A224" s="1258"/>
      <c r="B224" s="1538" t="s">
        <v>1548</v>
      </c>
      <c r="C224" s="1437"/>
      <c r="D224" s="1275"/>
      <c r="E224" s="1768"/>
      <c r="F224" s="1358" t="s">
        <v>226</v>
      </c>
      <c r="G224" s="1516"/>
      <c r="H224" s="1264"/>
      <c r="I224" s="1265"/>
      <c r="J224" s="1264"/>
      <c r="K224" s="1273"/>
      <c r="L224" s="1273"/>
    </row>
    <row r="225" spans="1:15" s="1765" customFormat="1" ht="24" customHeight="1">
      <c r="A225" s="1804"/>
      <c r="B225" s="1799" t="s">
        <v>2125</v>
      </c>
      <c r="C225" s="1800"/>
      <c r="D225" s="1375"/>
      <c r="E225" s="1801"/>
      <c r="F225" s="1356" t="s">
        <v>226</v>
      </c>
      <c r="G225" s="1515">
        <v>24</v>
      </c>
      <c r="H225" s="1343">
        <f t="shared" ref="H225:H227" si="89">ROUND(E225*G225,)</f>
        <v>0</v>
      </c>
      <c r="I225" s="1370">
        <v>8</v>
      </c>
      <c r="J225" s="1343">
        <f t="shared" ref="J225:J227" si="90">ROUND(E225*I225,)</f>
        <v>0</v>
      </c>
      <c r="K225" s="1262">
        <f t="shared" ref="K225:K227" si="91">H225+J225</f>
        <v>0</v>
      </c>
      <c r="L225" s="1356"/>
    </row>
    <row r="226" spans="1:15" s="1765" customFormat="1" ht="24" customHeight="1">
      <c r="A226" s="1804"/>
      <c r="B226" s="1799" t="s">
        <v>2126</v>
      </c>
      <c r="C226" s="1800"/>
      <c r="D226" s="1375"/>
      <c r="E226" s="1801"/>
      <c r="F226" s="1356" t="s">
        <v>226</v>
      </c>
      <c r="G226" s="1515">
        <v>15</v>
      </c>
      <c r="H226" s="1343">
        <f t="shared" si="89"/>
        <v>0</v>
      </c>
      <c r="I226" s="1370">
        <v>5</v>
      </c>
      <c r="J226" s="1343">
        <f t="shared" si="90"/>
        <v>0</v>
      </c>
      <c r="K226" s="1262">
        <f t="shared" si="91"/>
        <v>0</v>
      </c>
      <c r="L226" s="1356"/>
    </row>
    <row r="227" spans="1:15" s="1765" customFormat="1" ht="24" customHeight="1">
      <c r="A227" s="1804"/>
      <c r="B227" s="1799" t="s">
        <v>2127</v>
      </c>
      <c r="C227" s="1800"/>
      <c r="D227" s="1375"/>
      <c r="E227" s="1801">
        <v>1</v>
      </c>
      <c r="F227" s="1356" t="s">
        <v>1104</v>
      </c>
      <c r="G227" s="1515">
        <f>SUM(H222:H226)*5%</f>
        <v>3462.5</v>
      </c>
      <c r="H227" s="1343">
        <f t="shared" si="89"/>
        <v>3463</v>
      </c>
      <c r="I227" s="1370">
        <v>19745</v>
      </c>
      <c r="J227" s="1343">
        <f t="shared" si="90"/>
        <v>19745</v>
      </c>
      <c r="K227" s="1262">
        <f t="shared" si="91"/>
        <v>23208</v>
      </c>
      <c r="L227" s="1356"/>
    </row>
    <row r="228" spans="1:15" s="1765" customFormat="1" ht="24" customHeight="1">
      <c r="A228" s="1766" t="s">
        <v>2581</v>
      </c>
      <c r="B228" s="1538" t="s">
        <v>1110</v>
      </c>
      <c r="C228" s="1437"/>
      <c r="D228" s="1275"/>
      <c r="E228" s="1768"/>
      <c r="F228" s="1358"/>
      <c r="G228" s="1515"/>
      <c r="H228" s="1264"/>
      <c r="I228" s="1265"/>
      <c r="J228" s="1264"/>
      <c r="K228" s="1273"/>
      <c r="L228" s="1273"/>
    </row>
    <row r="229" spans="1:15" s="1765" customFormat="1" ht="24" customHeight="1">
      <c r="A229" s="1766"/>
      <c r="B229" s="1538" t="s">
        <v>1350</v>
      </c>
      <c r="C229" s="1437"/>
      <c r="D229" s="1275"/>
      <c r="E229" s="1768">
        <f>(3*5*2*1)*1</f>
        <v>30</v>
      </c>
      <c r="F229" s="1358" t="s">
        <v>226</v>
      </c>
      <c r="G229" s="2004">
        <v>56</v>
      </c>
      <c r="H229" s="1413">
        <f t="shared" ref="H229:H230" si="92">ROUND(E229*G229,)</f>
        <v>1680</v>
      </c>
      <c r="I229" s="1541">
        <v>28</v>
      </c>
      <c r="J229" s="2006">
        <f t="shared" ref="J229:J230" si="93">ROUND(E229*I229,)</f>
        <v>840</v>
      </c>
      <c r="K229" s="715">
        <f t="shared" ref="K229:K230" si="94">H229+J229</f>
        <v>2520</v>
      </c>
      <c r="L229" s="2082" t="s">
        <v>2667</v>
      </c>
      <c r="M229" s="2002"/>
      <c r="N229" s="1199">
        <v>169.2</v>
      </c>
      <c r="O229" s="1199">
        <f>ROUND(N229/3,)</f>
        <v>56</v>
      </c>
    </row>
    <row r="230" spans="1:15" s="1765" customFormat="1" ht="24" customHeight="1">
      <c r="A230" s="1804"/>
      <c r="B230" s="1799" t="s">
        <v>2128</v>
      </c>
      <c r="C230" s="1800"/>
      <c r="D230" s="1375"/>
      <c r="E230" s="1801">
        <v>1</v>
      </c>
      <c r="F230" s="1356" t="s">
        <v>1104</v>
      </c>
      <c r="G230" s="1515">
        <f>H229*15%</f>
        <v>252</v>
      </c>
      <c r="H230" s="1343">
        <f t="shared" si="92"/>
        <v>252</v>
      </c>
      <c r="I230" s="1370">
        <v>58174</v>
      </c>
      <c r="J230" s="1343">
        <f t="shared" si="93"/>
        <v>58174</v>
      </c>
      <c r="K230" s="1262">
        <f t="shared" si="94"/>
        <v>58426</v>
      </c>
      <c r="L230" s="1356"/>
    </row>
    <row r="231" spans="1:15" s="1765" customFormat="1" ht="24" customHeight="1">
      <c r="A231" s="1766" t="s">
        <v>2582</v>
      </c>
      <c r="B231" s="1538" t="s">
        <v>1343</v>
      </c>
      <c r="C231" s="1437"/>
      <c r="D231" s="1275"/>
      <c r="E231" s="1768"/>
      <c r="F231" s="1358"/>
      <c r="G231" s="1515"/>
      <c r="H231" s="1264"/>
      <c r="I231" s="1265"/>
      <c r="J231" s="1264"/>
      <c r="K231" s="1273"/>
      <c r="L231" s="1273"/>
    </row>
    <row r="232" spans="1:15" s="1765" customFormat="1" ht="24" customHeight="1">
      <c r="A232" s="1258"/>
      <c r="B232" s="1538" t="s">
        <v>2129</v>
      </c>
      <c r="C232" s="1437"/>
      <c r="D232" s="1275"/>
      <c r="E232" s="1801"/>
      <c r="F232" s="1356" t="s">
        <v>226</v>
      </c>
      <c r="G232" s="1386">
        <v>316</v>
      </c>
      <c r="H232" s="1343">
        <f t="shared" ref="H232:H233" si="95">ROUND(E232*G232,)</f>
        <v>0</v>
      </c>
      <c r="I232" s="1414">
        <v>50</v>
      </c>
      <c r="J232" s="1343">
        <f t="shared" ref="J232:J233" si="96">ROUND(E232*I232,)</f>
        <v>0</v>
      </c>
      <c r="K232" s="1262">
        <f t="shared" ref="K232:K233" si="97">H232+J232</f>
        <v>0</v>
      </c>
      <c r="L232" s="1273"/>
    </row>
    <row r="233" spans="1:15" s="1765" customFormat="1" ht="24" customHeight="1">
      <c r="A233" s="1258"/>
      <c r="B233" s="1538" t="s">
        <v>2128</v>
      </c>
      <c r="C233" s="1437"/>
      <c r="D233" s="1275"/>
      <c r="E233" s="1801"/>
      <c r="F233" s="1356" t="s">
        <v>1104</v>
      </c>
      <c r="G233" s="1515">
        <f>H232*15%</f>
        <v>0</v>
      </c>
      <c r="H233" s="1343">
        <f t="shared" si="95"/>
        <v>0</v>
      </c>
      <c r="I233" s="1370">
        <v>16637</v>
      </c>
      <c r="J233" s="1343">
        <f t="shared" si="96"/>
        <v>0</v>
      </c>
      <c r="K233" s="1262">
        <f t="shared" si="97"/>
        <v>0</v>
      </c>
      <c r="L233" s="1273"/>
    </row>
    <row r="234" spans="1:15" s="1199" customFormat="1" ht="22.15" customHeight="1">
      <c r="A234" s="1578"/>
      <c r="B234" s="2257" t="str">
        <f>"รวมราคารายการที่ "&amp;A210</f>
        <v>รวมราคารายการที่ 7.8</v>
      </c>
      <c r="C234" s="2258"/>
      <c r="D234" s="2259"/>
      <c r="E234" s="1579"/>
      <c r="F234" s="1579"/>
      <c r="G234" s="1580"/>
      <c r="H234" s="1581">
        <f>SUM(H210:H233)</f>
        <v>129245</v>
      </c>
      <c r="I234" s="1582"/>
      <c r="J234" s="1581">
        <f>SUM(J210:J233)</f>
        <v>106299</v>
      </c>
      <c r="K234" s="1581">
        <f>SUM(K210:K233)</f>
        <v>235544</v>
      </c>
      <c r="L234" s="1583"/>
    </row>
    <row r="235" spans="1:15">
      <c r="A235" s="1427"/>
      <c r="B235" s="1199"/>
      <c r="C235" s="1199"/>
      <c r="D235" s="1199"/>
      <c r="E235" s="1199"/>
      <c r="F235" s="1199"/>
      <c r="G235" s="1199"/>
      <c r="H235" s="1199"/>
      <c r="I235" s="1199"/>
      <c r="J235" s="1199"/>
      <c r="K235" s="1199"/>
      <c r="L235" s="1199"/>
    </row>
    <row r="236" spans="1:15">
      <c r="A236" s="1427"/>
      <c r="B236" s="1199"/>
      <c r="C236" s="1199"/>
      <c r="D236" s="1199"/>
      <c r="E236" s="1199"/>
      <c r="F236" s="1199"/>
      <c r="G236" s="1199"/>
      <c r="H236" s="1199"/>
      <c r="I236" s="1199"/>
      <c r="J236" s="1199"/>
      <c r="K236" s="1199"/>
      <c r="L236" s="1199"/>
    </row>
    <row r="237" spans="1:15">
      <c r="A237" s="1427"/>
      <c r="B237" s="1199"/>
      <c r="C237" s="1199"/>
      <c r="D237" s="1199"/>
      <c r="E237" s="1199"/>
      <c r="F237" s="1199"/>
      <c r="G237" s="1199"/>
      <c r="H237" s="1199"/>
      <c r="I237" s="1199"/>
      <c r="J237" s="1199"/>
      <c r="K237" s="1199"/>
      <c r="L237" s="1199"/>
    </row>
    <row r="244" spans="2:2">
      <c r="B244" s="1805"/>
    </row>
    <row r="245" spans="2:2">
      <c r="B245" s="1805"/>
    </row>
  </sheetData>
  <mergeCells count="18">
    <mergeCell ref="L7:L8"/>
    <mergeCell ref="A9:A10"/>
    <mergeCell ref="B9:D10"/>
    <mergeCell ref="E9:E10"/>
    <mergeCell ref="F9:F10"/>
    <mergeCell ref="G9:H9"/>
    <mergeCell ref="I9:J9"/>
    <mergeCell ref="L9:L10"/>
    <mergeCell ref="B159:D159"/>
    <mergeCell ref="B184:D184"/>
    <mergeCell ref="B209:D209"/>
    <mergeCell ref="B234:D234"/>
    <mergeCell ref="B34:D34"/>
    <mergeCell ref="B49:D49"/>
    <mergeCell ref="B59:D59"/>
    <mergeCell ref="B70:D70"/>
    <mergeCell ref="B98:D98"/>
    <mergeCell ref="B122:D122"/>
  </mergeCells>
  <conditionalFormatting sqref="A160:L161 A169:L169 A172:L172 A170:F170 A176:L183 A173:F173 G168:L168 A168:B168 A175:F175 H175:L175">
    <cfRule type="expression" dxfId="135" priority="24">
      <formula>SUMPRODUCT(--(ROW()=$O$12:$O$18))&gt;0</formula>
    </cfRule>
  </conditionalFormatting>
  <conditionalFormatting sqref="A79:D81 L79:L81 F79:F81">
    <cfRule type="expression" dxfId="134" priority="23">
      <formula>SUMPRODUCT(--(ROW()=$O$12:$O$18))&gt;0</formula>
    </cfRule>
  </conditionalFormatting>
  <conditionalFormatting sqref="A110:L116">
    <cfRule type="expression" dxfId="133" priority="22">
      <formula>SUMPRODUCT(--(ROW()=$O$12:$O$18))&gt;0</formula>
    </cfRule>
  </conditionalFormatting>
  <conditionalFormatting sqref="C168:F168">
    <cfRule type="expression" dxfId="132" priority="15">
      <formula>SUMPRODUCT(--(ROW()=$O$12:$O$18))&gt;0</formula>
    </cfRule>
  </conditionalFormatting>
  <conditionalFormatting sqref="C47:L48 C45:D45 L45 E49:L49 A35:L35 F44:L44 A36 C36:L36 C43:L43 A43:A45 A47:A49">
    <cfRule type="expression" dxfId="131" priority="13">
      <formula>SUMPRODUCT(--(ROW()=$O$12:$O$18))&gt;0</formula>
    </cfRule>
  </conditionalFormatting>
  <conditionalFormatting sqref="G108:K109">
    <cfRule type="expression" dxfId="130" priority="12">
      <formula>SUMPRODUCT(--(ROW()=$R$12:$R$22))&gt;0</formula>
    </cfRule>
  </conditionalFormatting>
  <conditionalFormatting sqref="I79:I81">
    <cfRule type="expression" dxfId="129" priority="11">
      <formula>SUMPRODUCT(--(ROW()=$O$12:$O$22))&gt;0</formula>
    </cfRule>
  </conditionalFormatting>
  <conditionalFormatting sqref="G79:G80">
    <cfRule type="expression" dxfId="128" priority="10">
      <formula>SUMPRODUCT(--(ROW()=$O$14:$O$24))&gt;0</formula>
    </cfRule>
  </conditionalFormatting>
  <conditionalFormatting sqref="H87:H90">
    <cfRule type="expression" dxfId="127" priority="9">
      <formula>SUMPRODUCT(--(ROW()=$O$14:$O$24))&gt;0</formula>
    </cfRule>
  </conditionalFormatting>
  <conditionalFormatting sqref="G81">
    <cfRule type="expression" dxfId="126" priority="8">
      <formula>SUMPRODUCT(--(ROW()=$O$14:$O$24))&gt;0</formula>
    </cfRule>
  </conditionalFormatting>
  <conditionalFormatting sqref="A171:K171">
    <cfRule type="expression" dxfId="125" priority="3">
      <formula>SUMPRODUCT(--(ROW()=$O$12:$O$24))&gt;0</formula>
    </cfRule>
  </conditionalFormatting>
  <conditionalFormatting sqref="A174:F174">
    <cfRule type="expression" dxfId="124" priority="2">
      <formula>SUMPRODUCT(--(ROW()=$O$12:$O$24))&gt;0</formula>
    </cfRule>
  </conditionalFormatting>
  <conditionalFormatting sqref="E79:E80">
    <cfRule type="expression" dxfId="123" priority="1">
      <formula>SUMPRODUCT(--(ROW()=$W$12:$W$21))&gt;0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4-อาคารด้านทิศตะวันตก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9FA5-AB1B-4AD4-9DA3-801D0A9BD9C3}">
  <sheetPr>
    <tabColor rgb="FF92D050"/>
  </sheetPr>
  <dimension ref="A1:T245"/>
  <sheetViews>
    <sheetView showGridLines="0" view="pageBreakPreview" topLeftCell="A190" zoomScale="70" zoomScaleNormal="60" zoomScaleSheetLayoutView="70" workbookViewId="0">
      <selection activeCell="D189" sqref="D189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7.703125" style="1" customWidth="1"/>
    <col min="14" max="14" width="11" style="1" customWidth="1"/>
    <col min="15" max="15" width="10.29296875" style="1" customWidth="1"/>
    <col min="16" max="16" width="11.703125" style="1" customWidth="1"/>
    <col min="17" max="17" width="10.29296875" style="1" customWidth="1"/>
    <col min="18" max="18" width="10.703125" style="1" customWidth="1"/>
    <col min="19" max="19" width="10.5859375" style="1" customWidth="1"/>
    <col min="20" max="20" width="10.29296875" style="1" customWidth="1"/>
    <col min="21" max="21" width="10.5859375" style="1" customWidth="1"/>
    <col min="22" max="78" width="7.703125" style="1" customWidth="1"/>
    <col min="7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03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04" t="s">
        <v>18</v>
      </c>
      <c r="L10" s="2225"/>
    </row>
    <row r="11" spans="1:12" ht="24" customHeight="1">
      <c r="A11" s="1560" t="s">
        <v>24</v>
      </c>
      <c r="B11" s="1561" t="s">
        <v>2845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H49</f>
        <v>2506950</v>
      </c>
      <c r="I12" s="1197"/>
      <c r="J12" s="1196">
        <f>J49</f>
        <v>129546</v>
      </c>
      <c r="K12" s="1196">
        <f t="shared" ref="K12:K15" si="0">SUM(H12:J12)</f>
        <v>2636496</v>
      </c>
      <c r="L12" s="1531"/>
    </row>
    <row r="13" spans="1:12" s="1199" customFormat="1" ht="24" customHeight="1">
      <c r="A13" s="1564">
        <f>A50</f>
        <v>7.2</v>
      </c>
      <c r="B13" s="1538" t="str">
        <f>B50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330000</v>
      </c>
      <c r="I13" s="1197"/>
      <c r="J13" s="1196">
        <f>J59</f>
        <v>3000</v>
      </c>
      <c r="K13" s="1196">
        <f t="shared" si="0"/>
        <v>333000</v>
      </c>
      <c r="L13" s="1531"/>
    </row>
    <row r="14" spans="1:12" s="1199" customFormat="1" ht="24" customHeight="1">
      <c r="A14" s="1564" t="str">
        <f>A60</f>
        <v>7.3</v>
      </c>
      <c r="B14" s="1538" t="str">
        <f>B60</f>
        <v>ระบบกรองอากาศ (Air Filtration System)</v>
      </c>
      <c r="C14" s="1533"/>
      <c r="D14" s="1534"/>
      <c r="E14" s="1753">
        <v>1</v>
      </c>
      <c r="F14" s="1567" t="s">
        <v>19</v>
      </c>
      <c r="G14" s="1195"/>
      <c r="H14" s="1196">
        <f>H70</f>
        <v>27600</v>
      </c>
      <c r="I14" s="1197"/>
      <c r="J14" s="1196">
        <f>J70</f>
        <v>1800</v>
      </c>
      <c r="K14" s="1196">
        <f t="shared" si="0"/>
        <v>29400</v>
      </c>
      <c r="L14" s="1531"/>
    </row>
    <row r="15" spans="1:12" s="1199" customFormat="1" ht="24" customHeight="1">
      <c r="A15" s="1564">
        <f>A71</f>
        <v>7.4</v>
      </c>
      <c r="B15" s="1538" t="str">
        <f>B71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H98</f>
        <v>380706</v>
      </c>
      <c r="I15" s="1197"/>
      <c r="J15" s="1196">
        <f>J98</f>
        <v>140570</v>
      </c>
      <c r="K15" s="1196">
        <f t="shared" si="0"/>
        <v>521276</v>
      </c>
      <c r="L15" s="1531"/>
    </row>
    <row r="16" spans="1:12" s="1199" customFormat="1" ht="24" customHeight="1">
      <c r="A16" s="1755" t="str">
        <f>A99</f>
        <v>7.5</v>
      </c>
      <c r="B16" s="1816" t="str">
        <f>B99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H122</f>
        <v>134456</v>
      </c>
      <c r="I16" s="1197"/>
      <c r="J16" s="1196">
        <f>J122</f>
        <v>35776</v>
      </c>
      <c r="K16" s="1196">
        <f t="shared" ref="K16:K18" si="1">SUM(H16:J16)</f>
        <v>170232</v>
      </c>
      <c r="L16" s="1531"/>
    </row>
    <row r="17" spans="1:12" s="1199" customFormat="1" ht="24" customHeight="1">
      <c r="A17" s="1756">
        <f>A123</f>
        <v>7.6</v>
      </c>
      <c r="B17" s="1840" t="str">
        <f>B123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H159</f>
        <v>155646</v>
      </c>
      <c r="I17" s="1197"/>
      <c r="J17" s="1196">
        <f>J159</f>
        <v>22800</v>
      </c>
      <c r="K17" s="1196">
        <f t="shared" si="1"/>
        <v>178446</v>
      </c>
      <c r="L17" s="1531"/>
    </row>
    <row r="18" spans="1:12" s="1199" customFormat="1" ht="24" customHeight="1">
      <c r="A18" s="1537" t="str">
        <f>A160</f>
        <v>7.7</v>
      </c>
      <c r="B18" s="1840" t="str">
        <f>B160</f>
        <v>ระบบไฟฟ้าและควบคุม (Electrical &amp; Control System)</v>
      </c>
      <c r="C18" s="1533"/>
      <c r="D18" s="1534"/>
      <c r="E18" s="1753">
        <v>1</v>
      </c>
      <c r="F18" s="1567" t="s">
        <v>19</v>
      </c>
      <c r="G18" s="1195"/>
      <c r="H18" s="1196">
        <f>H184</f>
        <v>553665</v>
      </c>
      <c r="I18" s="1197"/>
      <c r="J18" s="1196">
        <f>J184</f>
        <v>61208</v>
      </c>
      <c r="K18" s="1196">
        <f t="shared" si="1"/>
        <v>614873</v>
      </c>
      <c r="L18" s="1531"/>
    </row>
    <row r="19" spans="1:12" s="1199" customFormat="1" ht="24" customHeight="1">
      <c r="A19" s="1537">
        <f>A210</f>
        <v>0</v>
      </c>
      <c r="B19" s="1840">
        <f>B210</f>
        <v>0</v>
      </c>
      <c r="C19" s="1533"/>
      <c r="D19" s="1534"/>
      <c r="E19" s="1753"/>
      <c r="F19" s="1567" t="s">
        <v>19</v>
      </c>
      <c r="G19" s="1195"/>
      <c r="H19" s="1196">
        <f>H234</f>
        <v>0</v>
      </c>
      <c r="I19" s="1197"/>
      <c r="J19" s="1196">
        <f>J234</f>
        <v>0</v>
      </c>
      <c r="K19" s="1196">
        <f>K234</f>
        <v>0</v>
      </c>
      <c r="L19" s="1531"/>
    </row>
    <row r="20" spans="1:12" s="1199" customFormat="1" ht="24" customHeight="1">
      <c r="A20" s="1537"/>
      <c r="B20" s="2139"/>
      <c r="C20" s="1533"/>
      <c r="D20" s="1534"/>
      <c r="E20" s="1753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8</v>
      </c>
      <c r="C34" s="2258"/>
      <c r="D34" s="2259"/>
      <c r="E34" s="1579"/>
      <c r="F34" s="1579"/>
      <c r="G34" s="1580"/>
      <c r="H34" s="1581">
        <f>SUM(H11:H33)</f>
        <v>4089023</v>
      </c>
      <c r="I34" s="1582"/>
      <c r="J34" s="1581">
        <f>SUM(J11:J33)</f>
        <v>394700</v>
      </c>
      <c r="K34" s="1581">
        <f>SUM(K11:K33)</f>
        <v>4483723</v>
      </c>
      <c r="L34" s="1583"/>
    </row>
    <row r="35" spans="1:20" s="1765" customFormat="1" ht="24" customHeight="1">
      <c r="A35" s="1847" t="s">
        <v>2246</v>
      </c>
      <c r="B35" s="1848" t="s">
        <v>2247</v>
      </c>
      <c r="C35" s="1849"/>
      <c r="D35" s="1354"/>
      <c r="E35" s="1802"/>
      <c r="F35" s="1356"/>
      <c r="G35" s="1803"/>
      <c r="H35" s="1369"/>
      <c r="I35" s="1370"/>
      <c r="J35" s="1369"/>
      <c r="K35" s="1356"/>
      <c r="L35" s="1356"/>
    </row>
    <row r="36" spans="1:20" s="1765" customFormat="1" ht="24" customHeight="1">
      <c r="A36" s="2113" t="s">
        <v>1984</v>
      </c>
      <c r="B36" s="2164" t="s">
        <v>2782</v>
      </c>
      <c r="C36" s="2115"/>
      <c r="D36" s="2115"/>
      <c r="E36" s="1802"/>
      <c r="F36" s="1356"/>
      <c r="G36" s="1803"/>
      <c r="H36" s="1369"/>
      <c r="I36" s="1370"/>
      <c r="J36" s="1369"/>
      <c r="K36" s="1356"/>
      <c r="L36" s="1356"/>
    </row>
    <row r="37" spans="1:20" s="2116" customFormat="1" ht="24" customHeight="1">
      <c r="A37" s="2112"/>
      <c r="B37" s="2164" t="s">
        <v>2798</v>
      </c>
      <c r="C37" s="2111"/>
      <c r="D37" s="2165"/>
      <c r="E37" s="825">
        <v>1</v>
      </c>
      <c r="F37" s="1457" t="s">
        <v>363</v>
      </c>
      <c r="G37" s="1769">
        <v>409425</v>
      </c>
      <c r="H37" s="1413">
        <f t="shared" ref="H37:H42" si="2">ROUND(E37*G37,)</f>
        <v>409425</v>
      </c>
      <c r="I37" s="1455">
        <f>G37*0.05</f>
        <v>20471.25</v>
      </c>
      <c r="J37" s="1413">
        <f t="shared" ref="J37:J42" si="3">ROUND(E37*I37,)</f>
        <v>20471</v>
      </c>
      <c r="K37" s="1415">
        <f t="shared" ref="K37:K42" si="4">H37+J37</f>
        <v>429896</v>
      </c>
      <c r="L37" s="1457"/>
      <c r="M37" s="2120"/>
      <c r="N37" s="2120"/>
      <c r="O37" s="2120"/>
      <c r="P37" s="2120"/>
      <c r="Q37" s="2120"/>
      <c r="R37" s="2120"/>
      <c r="S37" s="2120"/>
      <c r="T37" s="2120"/>
    </row>
    <row r="38" spans="1:20" s="2116" customFormat="1" ht="24" customHeight="1">
      <c r="A38" s="2112"/>
      <c r="B38" s="2164" t="s">
        <v>2799</v>
      </c>
      <c r="C38" s="2111"/>
      <c r="D38" s="2165"/>
      <c r="E38" s="825">
        <v>1</v>
      </c>
      <c r="F38" s="1457" t="s">
        <v>363</v>
      </c>
      <c r="G38" s="1769">
        <v>409425</v>
      </c>
      <c r="H38" s="1413">
        <f t="shared" si="2"/>
        <v>409425</v>
      </c>
      <c r="I38" s="1455">
        <f t="shared" ref="I38:I39" si="5">G38*0.05</f>
        <v>20471.25</v>
      </c>
      <c r="J38" s="1413">
        <f t="shared" si="3"/>
        <v>20471</v>
      </c>
      <c r="K38" s="1415">
        <f t="shared" si="4"/>
        <v>429896</v>
      </c>
      <c r="L38" s="1457"/>
      <c r="M38" s="2120"/>
      <c r="N38" s="2120"/>
      <c r="O38" s="2120"/>
      <c r="P38" s="2120"/>
      <c r="Q38" s="2120"/>
      <c r="R38" s="2120"/>
      <c r="S38" s="2120"/>
      <c r="T38" s="2120"/>
    </row>
    <row r="39" spans="1:20" s="2116" customFormat="1" ht="24" customHeight="1">
      <c r="A39" s="2112"/>
      <c r="B39" s="2164" t="s">
        <v>2800</v>
      </c>
      <c r="C39" s="2111"/>
      <c r="D39" s="2165"/>
      <c r="E39" s="825">
        <v>1</v>
      </c>
      <c r="F39" s="1457" t="s">
        <v>363</v>
      </c>
      <c r="G39" s="1769">
        <v>409425</v>
      </c>
      <c r="H39" s="1413">
        <f t="shared" si="2"/>
        <v>409425</v>
      </c>
      <c r="I39" s="1455">
        <f t="shared" si="5"/>
        <v>20471.25</v>
      </c>
      <c r="J39" s="1413">
        <f t="shared" si="3"/>
        <v>20471</v>
      </c>
      <c r="K39" s="1415">
        <f t="shared" si="4"/>
        <v>429896</v>
      </c>
      <c r="L39" s="1457"/>
      <c r="M39" s="2120"/>
      <c r="N39" s="2120"/>
      <c r="O39" s="2120"/>
      <c r="P39" s="2120"/>
      <c r="Q39" s="2120"/>
      <c r="R39" s="2120"/>
      <c r="S39" s="2120"/>
      <c r="T39" s="2120"/>
    </row>
    <row r="40" spans="1:20" s="2116" customFormat="1" ht="24" customHeight="1">
      <c r="A40" s="2112"/>
      <c r="B40" s="2164" t="s">
        <v>2821</v>
      </c>
      <c r="C40" s="2111"/>
      <c r="D40" s="2165"/>
      <c r="E40" s="825">
        <v>1</v>
      </c>
      <c r="F40" s="1457" t="s">
        <v>363</v>
      </c>
      <c r="G40" s="1769">
        <v>409425</v>
      </c>
      <c r="H40" s="1413">
        <f t="shared" si="2"/>
        <v>409425</v>
      </c>
      <c r="I40" s="1455">
        <f>G40*0.05</f>
        <v>20471.25</v>
      </c>
      <c r="J40" s="1413">
        <f t="shared" si="3"/>
        <v>20471</v>
      </c>
      <c r="K40" s="1415">
        <f t="shared" si="4"/>
        <v>429896</v>
      </c>
      <c r="L40" s="1457"/>
      <c r="M40" s="2120"/>
      <c r="N40" s="2120"/>
      <c r="O40" s="2120"/>
      <c r="P40" s="2120"/>
      <c r="Q40" s="2120"/>
      <c r="R40" s="2120"/>
      <c r="S40" s="2120"/>
      <c r="T40" s="2120"/>
    </row>
    <row r="41" spans="1:20" s="2116" customFormat="1" ht="24" customHeight="1">
      <c r="A41" s="2112"/>
      <c r="B41" s="2164" t="s">
        <v>2822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2"/>
        <v>409425</v>
      </c>
      <c r="I41" s="1455">
        <f t="shared" ref="I41:I42" si="6">G41*0.05</f>
        <v>20471.25</v>
      </c>
      <c r="J41" s="1413">
        <f t="shared" si="3"/>
        <v>20471</v>
      </c>
      <c r="K41" s="1415">
        <f t="shared" si="4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2116" customFormat="1" ht="24" customHeight="1">
      <c r="A42" s="2112"/>
      <c r="B42" s="2164" t="s">
        <v>2823</v>
      </c>
      <c r="C42" s="2111"/>
      <c r="D42" s="2165"/>
      <c r="E42" s="825">
        <v>1</v>
      </c>
      <c r="F42" s="1457" t="s">
        <v>363</v>
      </c>
      <c r="G42" s="1769">
        <v>409425</v>
      </c>
      <c r="H42" s="1413">
        <f t="shared" si="2"/>
        <v>409425</v>
      </c>
      <c r="I42" s="1455">
        <f t="shared" si="6"/>
        <v>20471.25</v>
      </c>
      <c r="J42" s="1413">
        <f t="shared" si="3"/>
        <v>20471</v>
      </c>
      <c r="K42" s="1415">
        <f t="shared" si="4"/>
        <v>429896</v>
      </c>
      <c r="L42" s="1457"/>
      <c r="M42" s="2120"/>
      <c r="N42" s="2120"/>
      <c r="O42" s="2120"/>
      <c r="P42" s="2120"/>
      <c r="Q42" s="2120"/>
      <c r="R42" s="2120"/>
      <c r="S42" s="2120"/>
      <c r="T42" s="2120"/>
    </row>
    <row r="43" spans="1:20" s="1765" customFormat="1" ht="24" customHeight="1">
      <c r="A43" s="2112"/>
      <c r="B43" s="2114"/>
      <c r="C43" s="2106"/>
      <c r="D43" s="2106"/>
      <c r="E43" s="1802"/>
      <c r="F43" s="1356"/>
      <c r="G43" s="1803"/>
      <c r="H43" s="1369"/>
      <c r="I43" s="1370"/>
      <c r="J43" s="1369"/>
      <c r="K43" s="1356"/>
      <c r="L43" s="1356"/>
    </row>
    <row r="44" spans="1:20" s="1765" customFormat="1" ht="24" customHeight="1">
      <c r="A44" s="2112"/>
      <c r="B44" s="2107" t="s">
        <v>2253</v>
      </c>
      <c r="C44" s="2106"/>
      <c r="D44" s="2165"/>
      <c r="E44" s="825">
        <f>SUM(E37:E43)</f>
        <v>6</v>
      </c>
      <c r="F44" s="1457" t="s">
        <v>363</v>
      </c>
      <c r="G44" s="1769">
        <v>2000</v>
      </c>
      <c r="H44" s="1343">
        <f t="shared" ref="H44:H46" si="7">ROUND(E44*G44,)</f>
        <v>12000</v>
      </c>
      <c r="I44" s="1856" t="s">
        <v>1683</v>
      </c>
      <c r="J44" s="1343"/>
      <c r="K44" s="1801">
        <f t="shared" ref="K44:K46" si="8">H44+J44</f>
        <v>12000</v>
      </c>
      <c r="L44" s="715"/>
    </row>
    <row r="45" spans="1:20" s="1765" customFormat="1" ht="24" customHeight="1">
      <c r="A45" s="2113" t="s">
        <v>1986</v>
      </c>
      <c r="B45" s="2114" t="s">
        <v>2041</v>
      </c>
      <c r="C45" s="2115"/>
      <c r="D45" s="2150"/>
      <c r="E45" s="825">
        <f>E44</f>
        <v>6</v>
      </c>
      <c r="F45" s="1457" t="s">
        <v>363</v>
      </c>
      <c r="G45" s="1769">
        <v>2400</v>
      </c>
      <c r="H45" s="1343">
        <f t="shared" si="7"/>
        <v>14400</v>
      </c>
      <c r="I45" s="1455">
        <v>720</v>
      </c>
      <c r="J45" s="1343">
        <f t="shared" ref="J45:J46" si="9">ROUND(E45*I45,)</f>
        <v>4320</v>
      </c>
      <c r="K45" s="1801">
        <f t="shared" si="8"/>
        <v>18720</v>
      </c>
      <c r="L45" s="1356"/>
    </row>
    <row r="46" spans="1:20" s="2116" customFormat="1" ht="24" customHeight="1">
      <c r="A46" s="2112" t="s">
        <v>1988</v>
      </c>
      <c r="B46" s="2164" t="s">
        <v>2331</v>
      </c>
      <c r="C46" s="2111"/>
      <c r="D46" s="2165"/>
      <c r="E46" s="825">
        <f>E44</f>
        <v>6</v>
      </c>
      <c r="F46" s="1457" t="s">
        <v>363</v>
      </c>
      <c r="G46" s="1769">
        <v>4000</v>
      </c>
      <c r="H46" s="1413">
        <f t="shared" si="7"/>
        <v>24000</v>
      </c>
      <c r="I46" s="1455">
        <f t="shared" ref="I46" si="10">G46*0.1</f>
        <v>400</v>
      </c>
      <c r="J46" s="1413">
        <f t="shared" si="9"/>
        <v>2400</v>
      </c>
      <c r="K46" s="1415">
        <f t="shared" si="8"/>
        <v>26400</v>
      </c>
      <c r="L46" s="1457"/>
      <c r="M46" s="2120"/>
      <c r="N46" s="2120"/>
      <c r="O46" s="2120"/>
      <c r="P46" s="2120"/>
      <c r="Q46" s="2120"/>
      <c r="R46" s="2120"/>
      <c r="S46" s="2120"/>
      <c r="T46" s="2120"/>
    </row>
    <row r="47" spans="1:20" s="1765" customFormat="1" ht="24" customHeight="1">
      <c r="A47" s="2113"/>
      <c r="B47" s="2114" t="s">
        <v>1117</v>
      </c>
      <c r="C47" s="2115"/>
      <c r="D47" s="2150"/>
      <c r="E47" s="1801"/>
      <c r="F47" s="1356"/>
      <c r="G47" s="1515"/>
      <c r="H47" s="820"/>
      <c r="I47" s="1370"/>
      <c r="J47" s="820"/>
      <c r="K47" s="1457"/>
      <c r="L47" s="1356"/>
    </row>
    <row r="48" spans="1:20" s="1765" customFormat="1" ht="24" customHeight="1">
      <c r="A48" s="2113"/>
      <c r="B48" s="2114"/>
      <c r="C48" s="2115"/>
      <c r="D48" s="2150"/>
      <c r="E48" s="1801"/>
      <c r="F48" s="1356"/>
      <c r="G48" s="1344"/>
      <c r="H48" s="820"/>
      <c r="I48" s="1370"/>
      <c r="J48" s="820"/>
      <c r="K48" s="1457"/>
      <c r="L48" s="1356"/>
    </row>
    <row r="49" spans="1:20" s="1765" customFormat="1" ht="24" customHeight="1">
      <c r="A49" s="1857"/>
      <c r="B49" s="2257" t="str">
        <f>"รวมราคารายการที่ "&amp;A35</f>
        <v>รวมราคารายการที่ 7.1</v>
      </c>
      <c r="C49" s="2258"/>
      <c r="D49" s="2259"/>
      <c r="E49" s="1858"/>
      <c r="F49" s="1858"/>
      <c r="G49" s="1859"/>
      <c r="H49" s="1860">
        <f>SUM(H36:H48)</f>
        <v>2506950</v>
      </c>
      <c r="I49" s="1861"/>
      <c r="J49" s="1860">
        <f>SUM(J36:J48)</f>
        <v>129546</v>
      </c>
      <c r="K49" s="1862">
        <f>SUM(K36:K48)</f>
        <v>2636496</v>
      </c>
      <c r="L49" s="1862"/>
    </row>
    <row r="50" spans="1:20" s="1765" customFormat="1" ht="24" customHeight="1">
      <c r="A50" s="1757">
        <v>7.2</v>
      </c>
      <c r="B50" s="1758" t="s">
        <v>1983</v>
      </c>
      <c r="C50" s="1294"/>
      <c r="D50" s="1777"/>
      <c r="E50" s="1686"/>
      <c r="F50" s="1402"/>
      <c r="G50" s="1661"/>
      <c r="H50" s="1588"/>
      <c r="I50" s="1589"/>
      <c r="J50" s="1588"/>
      <c r="K50" s="1770"/>
      <c r="L50" s="1770"/>
    </row>
    <row r="51" spans="1:20" s="1765" customFormat="1" ht="24" customHeight="1">
      <c r="A51" s="1258" t="s">
        <v>1992</v>
      </c>
      <c r="B51" s="1538" t="s">
        <v>2138</v>
      </c>
      <c r="C51" s="1275"/>
      <c r="D51" s="1767"/>
      <c r="E51" s="1771"/>
      <c r="F51" s="1385"/>
      <c r="G51" s="1778"/>
      <c r="H51" s="1594"/>
      <c r="I51" s="1595"/>
      <c r="J51" s="1594"/>
      <c r="K51" s="1632"/>
      <c r="L51" s="1632"/>
    </row>
    <row r="52" spans="1:20" s="1765" customFormat="1" ht="24" customHeight="1">
      <c r="A52" s="1766" t="s">
        <v>2139</v>
      </c>
      <c r="B52" s="1538" t="s">
        <v>2140</v>
      </c>
      <c r="C52" s="1275"/>
      <c r="D52" s="1767"/>
      <c r="E52" s="1686"/>
      <c r="F52" s="1402"/>
      <c r="G52" s="1661"/>
      <c r="H52" s="1588"/>
      <c r="I52" s="1589"/>
      <c r="J52" s="1588"/>
      <c r="K52" s="1770"/>
      <c r="L52" s="1770"/>
    </row>
    <row r="53" spans="1:20" s="1765" customFormat="1" ht="24" customHeight="1">
      <c r="A53" s="1766"/>
      <c r="B53" s="1538" t="s">
        <v>1821</v>
      </c>
      <c r="C53" s="1275"/>
      <c r="D53" s="1767"/>
      <c r="E53" s="1813"/>
      <c r="F53" s="1389" t="s">
        <v>363</v>
      </c>
      <c r="G53" s="1814">
        <v>3300</v>
      </c>
      <c r="H53" s="1773">
        <f t="shared" ref="H53:H56" si="11">ROUND(E53*G53,)</f>
        <v>0</v>
      </c>
      <c r="I53" s="1815">
        <v>150</v>
      </c>
      <c r="J53" s="1773">
        <f t="shared" ref="J53:J56" si="12">ROUND(E53*I53,)</f>
        <v>0</v>
      </c>
      <c r="K53" s="1774">
        <f t="shared" ref="K53:K56" si="13">H53+J53</f>
        <v>0</v>
      </c>
      <c r="L53" s="1770"/>
    </row>
    <row r="54" spans="1:20" s="1765" customFormat="1" ht="24" customHeight="1">
      <c r="A54" s="2166"/>
      <c r="B54" s="2114" t="s">
        <v>1836</v>
      </c>
      <c r="C54" s="2108"/>
      <c r="D54" s="2109"/>
      <c r="E54" s="715"/>
      <c r="F54" s="1415" t="s">
        <v>363</v>
      </c>
      <c r="G54" s="1772">
        <v>4596</v>
      </c>
      <c r="H54" s="1343">
        <f t="shared" si="11"/>
        <v>0</v>
      </c>
      <c r="I54" s="1386">
        <v>200</v>
      </c>
      <c r="J54" s="1343">
        <f t="shared" si="12"/>
        <v>0</v>
      </c>
      <c r="K54" s="1801">
        <f t="shared" si="13"/>
        <v>0</v>
      </c>
      <c r="L54" s="1457"/>
    </row>
    <row r="55" spans="1:20" s="2116" customFormat="1" ht="24" customHeight="1">
      <c r="A55" s="2113"/>
      <c r="B55" s="2114" t="s">
        <v>1715</v>
      </c>
      <c r="C55" s="2108"/>
      <c r="D55" s="2109"/>
      <c r="E55" s="1834">
        <v>6</v>
      </c>
      <c r="F55" s="1466" t="s">
        <v>363</v>
      </c>
      <c r="G55" s="2161">
        <v>55000</v>
      </c>
      <c r="H55" s="2156">
        <f t="shared" si="11"/>
        <v>330000</v>
      </c>
      <c r="I55" s="2162">
        <v>500</v>
      </c>
      <c r="J55" s="2156">
        <f t="shared" si="12"/>
        <v>3000</v>
      </c>
      <c r="K55" s="1853">
        <f t="shared" si="13"/>
        <v>333000</v>
      </c>
      <c r="L55" s="1415"/>
      <c r="M55" s="2120"/>
      <c r="N55" s="2120"/>
      <c r="O55" s="2120"/>
      <c r="P55" s="2120"/>
      <c r="Q55" s="2120"/>
      <c r="R55" s="2120"/>
      <c r="S55" s="2120"/>
      <c r="T55" s="2120"/>
    </row>
    <row r="56" spans="1:20" s="2116" customFormat="1" ht="24" customHeight="1">
      <c r="A56" s="2113" t="s">
        <v>2036</v>
      </c>
      <c r="B56" s="2114" t="s">
        <v>2727</v>
      </c>
      <c r="C56" s="2108"/>
      <c r="D56" s="2109"/>
      <c r="E56" s="715"/>
      <c r="F56" s="1466" t="s">
        <v>363</v>
      </c>
      <c r="G56" s="2161">
        <v>16150</v>
      </c>
      <c r="H56" s="2156">
        <f t="shared" si="11"/>
        <v>0</v>
      </c>
      <c r="I56" s="2162">
        <v>500</v>
      </c>
      <c r="J56" s="2156">
        <f t="shared" si="12"/>
        <v>0</v>
      </c>
      <c r="K56" s="1853">
        <f t="shared" si="13"/>
        <v>0</v>
      </c>
      <c r="L56" s="1415"/>
      <c r="M56" s="2120"/>
      <c r="N56" s="2120"/>
      <c r="O56" s="2120"/>
      <c r="P56" s="2120"/>
      <c r="Q56" s="2120"/>
      <c r="R56" s="2120"/>
      <c r="S56" s="2120"/>
      <c r="T56" s="2120"/>
    </row>
    <row r="57" spans="1:20" s="1765" customFormat="1" ht="24" customHeight="1">
      <c r="A57" s="2166"/>
      <c r="B57" s="2114" t="s">
        <v>1117</v>
      </c>
      <c r="C57" s="2108"/>
      <c r="D57" s="2109"/>
      <c r="E57" s="825"/>
      <c r="F57" s="1457"/>
      <c r="G57" s="1769"/>
      <c r="H57" s="820"/>
      <c r="I57" s="1455"/>
      <c r="J57" s="820"/>
      <c r="K57" s="1457"/>
      <c r="L57" s="1457"/>
    </row>
    <row r="58" spans="1:20" s="1765" customFormat="1" ht="24" customHeight="1">
      <c r="A58" s="1584"/>
      <c r="B58" s="1538" t="s">
        <v>1118</v>
      </c>
      <c r="C58" s="1275"/>
      <c r="D58" s="1767"/>
      <c r="E58" s="1686"/>
      <c r="F58" s="1402"/>
      <c r="G58" s="1661"/>
      <c r="H58" s="1588"/>
      <c r="I58" s="1589"/>
      <c r="J58" s="1588"/>
      <c r="K58" s="1770"/>
      <c r="L58" s="1770"/>
    </row>
    <row r="59" spans="1:20" s="1199" customFormat="1" ht="24" customHeight="1">
      <c r="A59" s="1578"/>
      <c r="B59" s="2257" t="str">
        <f>"รวมราคารายการที่ "&amp;A50</f>
        <v>รวมราคารายการที่ 7.2</v>
      </c>
      <c r="C59" s="2258"/>
      <c r="D59" s="2259"/>
      <c r="E59" s="1579"/>
      <c r="F59" s="1579"/>
      <c r="G59" s="1580"/>
      <c r="H59" s="1581">
        <f>SUM(H50:H58)</f>
        <v>330000</v>
      </c>
      <c r="I59" s="1582"/>
      <c r="J59" s="1581">
        <f>SUM(J50:J58)</f>
        <v>3000</v>
      </c>
      <c r="K59" s="1581">
        <f>SUM(K50:K58)</f>
        <v>333000</v>
      </c>
      <c r="L59" s="1583"/>
    </row>
    <row r="60" spans="1:20" s="1765" customFormat="1" ht="24" customHeight="1">
      <c r="A60" s="1291" t="s">
        <v>2306</v>
      </c>
      <c r="B60" s="1852" t="s">
        <v>2255</v>
      </c>
      <c r="C60" s="1293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766" t="s">
        <v>2043</v>
      </c>
      <c r="B61" s="1538" t="s">
        <v>2256</v>
      </c>
      <c r="C61" s="1275"/>
      <c r="D61" s="1767"/>
      <c r="E61" s="1686"/>
      <c r="F61" s="1402"/>
      <c r="G61" s="1661"/>
      <c r="H61" s="1588"/>
      <c r="I61" s="1589"/>
      <c r="J61" s="1588"/>
      <c r="K61" s="1770"/>
      <c r="L61" s="1770"/>
    </row>
    <row r="62" spans="1:20" s="1765" customFormat="1" ht="24" customHeight="1">
      <c r="A62" s="1766"/>
      <c r="B62" s="1538" t="s">
        <v>2257</v>
      </c>
      <c r="C62" s="1275"/>
      <c r="D62" s="1767"/>
      <c r="E62" s="1686"/>
      <c r="F62" s="1402" t="s">
        <v>363</v>
      </c>
      <c r="G62" s="1661">
        <v>650</v>
      </c>
      <c r="H62" s="1588">
        <f t="shared" ref="H62:H65" si="14">ROUND(E62*G62,)</f>
        <v>0</v>
      </c>
      <c r="I62" s="1589">
        <v>150</v>
      </c>
      <c r="J62" s="1588">
        <f t="shared" ref="J62:J65" si="15">ROUND(E62*I62,)</f>
        <v>0</v>
      </c>
      <c r="K62" s="1770">
        <f t="shared" ref="K62:K65" si="16">H62+J62</f>
        <v>0</v>
      </c>
      <c r="L62" s="1770"/>
    </row>
    <row r="63" spans="1:20" s="1765" customFormat="1" ht="24" customHeight="1">
      <c r="A63" s="1766" t="s">
        <v>2047</v>
      </c>
      <c r="B63" s="1538" t="s">
        <v>2258</v>
      </c>
      <c r="C63" s="1275"/>
      <c r="D63" s="1767"/>
      <c r="E63" s="1686">
        <v>6</v>
      </c>
      <c r="F63" s="1402" t="s">
        <v>363</v>
      </c>
      <c r="G63" s="1661">
        <v>2400</v>
      </c>
      <c r="H63" s="1588">
        <f t="shared" si="14"/>
        <v>14400</v>
      </c>
      <c r="I63" s="1589">
        <v>150</v>
      </c>
      <c r="J63" s="1588">
        <f t="shared" si="15"/>
        <v>900</v>
      </c>
      <c r="K63" s="1770">
        <f t="shared" si="16"/>
        <v>15300</v>
      </c>
      <c r="L63" s="1770"/>
    </row>
    <row r="64" spans="1:20" s="1765" customFormat="1" ht="24" customHeight="1">
      <c r="A64" s="1766" t="s">
        <v>2155</v>
      </c>
      <c r="B64" s="1538" t="s">
        <v>2259</v>
      </c>
      <c r="C64" s="1275"/>
      <c r="D64" s="1767"/>
      <c r="E64" s="1686">
        <v>6</v>
      </c>
      <c r="F64" s="1402" t="s">
        <v>363</v>
      </c>
      <c r="G64" s="1661">
        <v>2200</v>
      </c>
      <c r="H64" s="1588">
        <f t="shared" si="14"/>
        <v>13200</v>
      </c>
      <c r="I64" s="1589">
        <v>150</v>
      </c>
      <c r="J64" s="1588">
        <f t="shared" si="15"/>
        <v>900</v>
      </c>
      <c r="K64" s="1770">
        <f t="shared" si="16"/>
        <v>14100</v>
      </c>
      <c r="L64" s="1770"/>
    </row>
    <row r="65" spans="1:12" s="1765" customFormat="1" ht="24" customHeight="1">
      <c r="A65" s="1766" t="s">
        <v>2165</v>
      </c>
      <c r="B65" s="1538" t="s">
        <v>2261</v>
      </c>
      <c r="C65" s="1275"/>
      <c r="D65" s="1767"/>
      <c r="E65" s="1686"/>
      <c r="F65" s="1402" t="s">
        <v>1104</v>
      </c>
      <c r="G65" s="1661">
        <f>15*2500</f>
        <v>37500</v>
      </c>
      <c r="H65" s="1588">
        <f t="shared" si="14"/>
        <v>0</v>
      </c>
      <c r="I65" s="1589">
        <f>G65*0.3</f>
        <v>11250</v>
      </c>
      <c r="J65" s="1588">
        <f t="shared" si="15"/>
        <v>0</v>
      </c>
      <c r="K65" s="1770">
        <f t="shared" si="16"/>
        <v>0</v>
      </c>
      <c r="L65" s="1770"/>
    </row>
    <row r="66" spans="1:12" s="1765" customFormat="1" ht="24" customHeight="1">
      <c r="A66" s="1766"/>
      <c r="B66" s="1538" t="s">
        <v>1117</v>
      </c>
      <c r="C66" s="1275"/>
      <c r="D66" s="1767"/>
      <c r="E66" s="1686"/>
      <c r="F66" s="1402"/>
      <c r="G66" s="1661"/>
      <c r="H66" s="1588"/>
      <c r="I66" s="1589"/>
      <c r="J66" s="1588"/>
      <c r="K66" s="1770"/>
      <c r="L66" s="1770"/>
    </row>
    <row r="67" spans="1:12" s="1765" customFormat="1" ht="24" customHeight="1">
      <c r="A67" s="1584"/>
      <c r="B67" s="1538" t="s">
        <v>1896</v>
      </c>
      <c r="C67" s="1275"/>
      <c r="D67" s="1767"/>
      <c r="E67" s="1686"/>
      <c r="F67" s="1402"/>
      <c r="G67" s="1661"/>
      <c r="H67" s="1588"/>
      <c r="I67" s="1589"/>
      <c r="J67" s="1588"/>
      <c r="K67" s="1770"/>
      <c r="L67" s="1770"/>
    </row>
    <row r="68" spans="1:12" s="1765" customFormat="1" ht="24" customHeight="1">
      <c r="A68" s="1584"/>
      <c r="B68" s="1538" t="s">
        <v>1896</v>
      </c>
      <c r="C68" s="1275"/>
      <c r="D68" s="1767"/>
      <c r="E68" s="1686"/>
      <c r="F68" s="1402"/>
      <c r="G68" s="1661"/>
      <c r="H68" s="1588"/>
      <c r="I68" s="1589"/>
      <c r="J68" s="1588"/>
      <c r="K68" s="1770"/>
      <c r="L68" s="1770"/>
    </row>
    <row r="69" spans="1:12" s="1765" customFormat="1" ht="24" customHeight="1">
      <c r="A69" s="1766"/>
      <c r="B69" s="1538"/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12" s="1765" customFormat="1" ht="24" customHeight="1">
      <c r="A70" s="1578"/>
      <c r="B70" s="2257" t="str">
        <f>"รวมราคารายการที่ "&amp;A60</f>
        <v>รวมราคารายการที่ 7.3</v>
      </c>
      <c r="C70" s="2258"/>
      <c r="D70" s="2259"/>
      <c r="E70" s="1579"/>
      <c r="F70" s="1579"/>
      <c r="G70" s="1580"/>
      <c r="H70" s="1581">
        <f>SUM(H61:H69)</f>
        <v>27600</v>
      </c>
      <c r="I70" s="1582"/>
      <c r="J70" s="1581">
        <f>SUM(J61:J69)</f>
        <v>1800</v>
      </c>
      <c r="K70" s="1581">
        <f>SUM(K61:K69)</f>
        <v>29400</v>
      </c>
      <c r="L70" s="1583"/>
    </row>
    <row r="71" spans="1:12" s="1765" customFormat="1" ht="24" customHeight="1">
      <c r="A71" s="1291">
        <v>7.4</v>
      </c>
      <c r="B71" s="1783" t="s">
        <v>2042</v>
      </c>
      <c r="C71" s="1294"/>
      <c r="D71" s="1777"/>
      <c r="E71" s="1686"/>
      <c r="F71" s="1402"/>
      <c r="G71" s="1661"/>
      <c r="H71" s="1588"/>
      <c r="I71" s="1589"/>
      <c r="J71" s="1588"/>
      <c r="K71" s="1770"/>
      <c r="L71" s="1770"/>
    </row>
    <row r="72" spans="1:12" s="1765" customFormat="1" ht="24" customHeight="1">
      <c r="A72" s="1258" t="s">
        <v>2054</v>
      </c>
      <c r="B72" s="1538" t="s">
        <v>2044</v>
      </c>
      <c r="C72" s="1275"/>
      <c r="D72" s="1767"/>
      <c r="E72" s="1771"/>
      <c r="F72" s="1385"/>
      <c r="G72" s="1778"/>
      <c r="H72" s="1594"/>
      <c r="I72" s="1595"/>
      <c r="J72" s="1594"/>
      <c r="K72" s="1632"/>
      <c r="L72" s="1632"/>
    </row>
    <row r="73" spans="1:12" s="1765" customFormat="1" ht="24" customHeight="1">
      <c r="A73" s="1189" t="s">
        <v>2166</v>
      </c>
      <c r="B73" s="1538" t="s">
        <v>2167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12" s="1765" customFormat="1" ht="24" customHeight="1">
      <c r="A74" s="1258"/>
      <c r="B74" s="1538" t="s">
        <v>2168</v>
      </c>
      <c r="C74" s="1275"/>
      <c r="D74" s="1767"/>
      <c r="E74" s="1834"/>
      <c r="F74" s="1788" t="s">
        <v>226</v>
      </c>
      <c r="G74" s="2020">
        <v>69.5</v>
      </c>
      <c r="H74" s="1773">
        <f>ROUND(E74*G74,)</f>
        <v>0</v>
      </c>
      <c r="I74" s="2011">
        <v>30</v>
      </c>
      <c r="J74" s="2008">
        <f>ROUND(E74*I74,)</f>
        <v>0</v>
      </c>
      <c r="K74" s="1774">
        <f t="shared" ref="K74:K84" si="17">H74+J74</f>
        <v>0</v>
      </c>
      <c r="L74" s="1632"/>
    </row>
    <row r="75" spans="1:12" s="1765" customFormat="1" ht="24" customHeight="1">
      <c r="A75" s="1258"/>
      <c r="B75" s="1538" t="s">
        <v>1901</v>
      </c>
      <c r="C75" s="1275"/>
      <c r="D75" s="1767"/>
      <c r="E75" s="1771"/>
      <c r="F75" s="1358" t="s">
        <v>226</v>
      </c>
      <c r="G75" s="1558">
        <v>103.5</v>
      </c>
      <c r="H75" s="1773">
        <f t="shared" ref="H75:H84" si="18">ROUND(E75*G75,)</f>
        <v>0</v>
      </c>
      <c r="I75" s="1332">
        <v>45</v>
      </c>
      <c r="J75" s="2008">
        <f t="shared" ref="J75:J84" si="19">ROUND(E75*I75,)</f>
        <v>0</v>
      </c>
      <c r="K75" s="1774">
        <f t="shared" si="17"/>
        <v>0</v>
      </c>
      <c r="L75" s="1632"/>
    </row>
    <row r="76" spans="1:12" s="1765" customFormat="1" ht="24" customHeight="1">
      <c r="A76" s="1258"/>
      <c r="B76" s="1538" t="s">
        <v>1338</v>
      </c>
      <c r="C76" s="1275"/>
      <c r="D76" s="1767"/>
      <c r="E76" s="1771"/>
      <c r="F76" s="1358" t="s">
        <v>226</v>
      </c>
      <c r="G76" s="1558">
        <v>140</v>
      </c>
      <c r="H76" s="1773">
        <f t="shared" si="18"/>
        <v>0</v>
      </c>
      <c r="I76" s="1332">
        <v>60</v>
      </c>
      <c r="J76" s="2008">
        <f t="shared" si="19"/>
        <v>0</v>
      </c>
      <c r="K76" s="1774">
        <f t="shared" si="17"/>
        <v>0</v>
      </c>
      <c r="L76" s="1632"/>
    </row>
    <row r="77" spans="1:12" s="1765" customFormat="1" ht="24" customHeight="1">
      <c r="A77" s="1258"/>
      <c r="B77" s="1538" t="s">
        <v>1339</v>
      </c>
      <c r="C77" s="1275"/>
      <c r="D77" s="2109"/>
      <c r="E77" s="715"/>
      <c r="F77" s="1262" t="s">
        <v>226</v>
      </c>
      <c r="G77" s="819">
        <v>167</v>
      </c>
      <c r="H77" s="1773">
        <f t="shared" si="18"/>
        <v>0</v>
      </c>
      <c r="I77" s="2007">
        <v>70</v>
      </c>
      <c r="J77" s="2008">
        <f t="shared" si="19"/>
        <v>0</v>
      </c>
      <c r="K77" s="1774">
        <f t="shared" si="17"/>
        <v>0</v>
      </c>
      <c r="L77" s="1632"/>
    </row>
    <row r="78" spans="1:12" s="1765" customFormat="1" ht="24" customHeight="1">
      <c r="A78" s="1258"/>
      <c r="B78" s="1538" t="s">
        <v>1340</v>
      </c>
      <c r="C78" s="1275"/>
      <c r="D78" s="2109"/>
      <c r="E78" s="715"/>
      <c r="F78" s="1262" t="s">
        <v>226</v>
      </c>
      <c r="G78" s="819">
        <v>225</v>
      </c>
      <c r="H78" s="1773">
        <f t="shared" si="18"/>
        <v>0</v>
      </c>
      <c r="I78" s="2007">
        <v>95</v>
      </c>
      <c r="J78" s="2008">
        <f t="shared" si="19"/>
        <v>0</v>
      </c>
      <c r="K78" s="1774">
        <f t="shared" si="17"/>
        <v>0</v>
      </c>
      <c r="L78" s="1632"/>
    </row>
    <row r="79" spans="1:12" s="1765" customFormat="1" ht="24" customHeight="1">
      <c r="A79" s="1804"/>
      <c r="B79" s="1780" t="s">
        <v>1341</v>
      </c>
      <c r="C79" s="1260"/>
      <c r="D79" s="2109"/>
      <c r="E79" s="825">
        <f>(78*2)</f>
        <v>156</v>
      </c>
      <c r="F79" s="1262" t="s">
        <v>226</v>
      </c>
      <c r="G79" s="2021">
        <v>357</v>
      </c>
      <c r="H79" s="1773">
        <f t="shared" si="18"/>
        <v>55692</v>
      </c>
      <c r="I79" s="819">
        <v>150</v>
      </c>
      <c r="J79" s="2008">
        <f t="shared" si="19"/>
        <v>23400</v>
      </c>
      <c r="K79" s="1774">
        <f t="shared" si="17"/>
        <v>79092</v>
      </c>
      <c r="L79" s="1415"/>
    </row>
    <row r="80" spans="1:12" s="1765" customFormat="1" ht="24" customHeight="1">
      <c r="A80" s="1804"/>
      <c r="B80" s="1780" t="s">
        <v>1342</v>
      </c>
      <c r="C80" s="1260"/>
      <c r="D80" s="2109"/>
      <c r="E80" s="825">
        <f>(78*2*1.1)</f>
        <v>171.60000000000002</v>
      </c>
      <c r="F80" s="1262" t="s">
        <v>226</v>
      </c>
      <c r="G80" s="2021">
        <v>467</v>
      </c>
      <c r="H80" s="1773">
        <f t="shared" si="18"/>
        <v>80137</v>
      </c>
      <c r="I80" s="819">
        <v>200</v>
      </c>
      <c r="J80" s="2008">
        <f t="shared" si="19"/>
        <v>34320</v>
      </c>
      <c r="K80" s="1774">
        <f t="shared" si="17"/>
        <v>114457</v>
      </c>
      <c r="L80" s="1415"/>
    </row>
    <row r="81" spans="1:15" s="1765" customFormat="1" ht="24" customHeight="1">
      <c r="A81" s="1804"/>
      <c r="B81" s="1780" t="s">
        <v>1111</v>
      </c>
      <c r="C81" s="1260"/>
      <c r="D81" s="2109"/>
      <c r="E81" s="825">
        <f>51.5*2*1.1</f>
        <v>113.30000000000001</v>
      </c>
      <c r="F81" s="1262" t="s">
        <v>226</v>
      </c>
      <c r="G81" s="2021">
        <v>665</v>
      </c>
      <c r="H81" s="1773">
        <f t="shared" si="18"/>
        <v>75345</v>
      </c>
      <c r="I81" s="819">
        <v>280</v>
      </c>
      <c r="J81" s="2008">
        <f t="shared" si="19"/>
        <v>31724</v>
      </c>
      <c r="K81" s="1774">
        <f t="shared" si="17"/>
        <v>107069</v>
      </c>
      <c r="L81" s="1415"/>
    </row>
    <row r="82" spans="1:15" s="1765" customFormat="1" ht="24" customHeight="1">
      <c r="A82" s="1258"/>
      <c r="B82" s="1538" t="s">
        <v>1719</v>
      </c>
      <c r="C82" s="1275"/>
      <c r="D82" s="2109"/>
      <c r="E82" s="715">
        <v>1</v>
      </c>
      <c r="F82" s="1415" t="s">
        <v>1104</v>
      </c>
      <c r="G82" s="1772">
        <f>ROUND(SUM(H74:H81)*50%,)</f>
        <v>105587</v>
      </c>
      <c r="H82" s="1264">
        <f t="shared" si="18"/>
        <v>105587</v>
      </c>
      <c r="I82" s="1595">
        <f>ROUND(G82*0.3,)</f>
        <v>31676</v>
      </c>
      <c r="J82" s="1264">
        <f t="shared" si="19"/>
        <v>31676</v>
      </c>
      <c r="K82" s="1273">
        <f t="shared" si="17"/>
        <v>137263</v>
      </c>
      <c r="L82" s="1632"/>
    </row>
    <row r="83" spans="1:15" s="1765" customFormat="1" ht="24" customHeight="1">
      <c r="A83" s="1258"/>
      <c r="B83" s="1538" t="s">
        <v>1720</v>
      </c>
      <c r="C83" s="1275"/>
      <c r="D83" s="2109"/>
      <c r="E83" s="715">
        <v>1</v>
      </c>
      <c r="F83" s="1415" t="s">
        <v>1104</v>
      </c>
      <c r="G83" s="1772">
        <f>ROUND(SUM(H73:H81)*20%,)</f>
        <v>42235</v>
      </c>
      <c r="H83" s="1264">
        <f t="shared" si="18"/>
        <v>42235</v>
      </c>
      <c r="I83" s="1595">
        <f>ROUND(G83*0.3,)</f>
        <v>12671</v>
      </c>
      <c r="J83" s="1264">
        <f t="shared" si="19"/>
        <v>12671</v>
      </c>
      <c r="K83" s="1273">
        <f t="shared" si="17"/>
        <v>54906</v>
      </c>
      <c r="L83" s="1632"/>
    </row>
    <row r="84" spans="1:15" s="1765" customFormat="1" ht="24" customHeight="1">
      <c r="A84" s="1258"/>
      <c r="B84" s="1538" t="s">
        <v>1721</v>
      </c>
      <c r="C84" s="1275"/>
      <c r="D84" s="2109"/>
      <c r="E84" s="715">
        <v>1</v>
      </c>
      <c r="F84" s="1415" t="s">
        <v>1104</v>
      </c>
      <c r="G84" s="1772">
        <f>ROUND(SUM(H73:H81)*10%,)</f>
        <v>21117</v>
      </c>
      <c r="H84" s="1264">
        <f t="shared" si="18"/>
        <v>21117</v>
      </c>
      <c r="I84" s="1595">
        <f>ROUND(G84*0.3,)</f>
        <v>6335</v>
      </c>
      <c r="J84" s="1264">
        <f t="shared" si="19"/>
        <v>6335</v>
      </c>
      <c r="K84" s="1273">
        <f t="shared" si="17"/>
        <v>27452</v>
      </c>
      <c r="L84" s="1632"/>
    </row>
    <row r="85" spans="1:15" s="1765" customFormat="1" ht="24" customHeight="1">
      <c r="A85" s="1258" t="s">
        <v>2056</v>
      </c>
      <c r="B85" s="1538" t="s">
        <v>2050</v>
      </c>
      <c r="C85" s="1275"/>
      <c r="D85" s="2109"/>
      <c r="E85" s="715"/>
      <c r="F85" s="1415"/>
      <c r="G85" s="1772"/>
      <c r="H85" s="1594"/>
      <c r="I85" s="1595"/>
      <c r="J85" s="1594"/>
      <c r="K85" s="1632"/>
      <c r="L85" s="1632"/>
    </row>
    <row r="86" spans="1:15" s="1765" customFormat="1" ht="24" customHeight="1">
      <c r="A86" s="1258"/>
      <c r="B86" s="1538" t="s">
        <v>2168</v>
      </c>
      <c r="C86" s="1275"/>
      <c r="D86" s="2109"/>
      <c r="E86" s="1834"/>
      <c r="F86" s="2154" t="s">
        <v>226</v>
      </c>
      <c r="G86" s="819">
        <v>12</v>
      </c>
      <c r="H86" s="1343">
        <f t="shared" ref="H86:H93" si="20">ROUND(E86*G86,)</f>
        <v>0</v>
      </c>
      <c r="I86" s="819">
        <v>30</v>
      </c>
      <c r="J86" s="2005">
        <f t="shared" ref="J86:J93" si="21">ROUND(E86*I86,)</f>
        <v>0</v>
      </c>
      <c r="K86" s="1801">
        <f t="shared" ref="K86:K93" si="22">H86+J86</f>
        <v>0</v>
      </c>
      <c r="L86" s="2082" t="s">
        <v>2667</v>
      </c>
      <c r="M86" s="2002"/>
      <c r="N86" s="2009">
        <v>48.23</v>
      </c>
      <c r="O86" s="1199">
        <f>ROUND(N86/4,)</f>
        <v>12</v>
      </c>
    </row>
    <row r="87" spans="1:15" s="1765" customFormat="1" ht="24" customHeight="1">
      <c r="A87" s="1258"/>
      <c r="B87" s="1538" t="s">
        <v>1901</v>
      </c>
      <c r="C87" s="1275"/>
      <c r="D87" s="2109"/>
      <c r="E87" s="715"/>
      <c r="F87" s="1262" t="s">
        <v>226</v>
      </c>
      <c r="G87" s="819">
        <v>16</v>
      </c>
      <c r="H87" s="1369">
        <f t="shared" si="20"/>
        <v>0</v>
      </c>
      <c r="I87" s="2007">
        <v>30</v>
      </c>
      <c r="J87" s="2008">
        <f t="shared" si="21"/>
        <v>0</v>
      </c>
      <c r="K87" s="1774">
        <f t="shared" si="22"/>
        <v>0</v>
      </c>
      <c r="L87" s="2082" t="s">
        <v>2667</v>
      </c>
      <c r="M87" s="2002"/>
      <c r="N87" s="1765">
        <v>63.7</v>
      </c>
      <c r="O87" s="1199">
        <f>ROUND(N87/4,)</f>
        <v>16</v>
      </c>
    </row>
    <row r="88" spans="1:15" s="1765" customFormat="1" ht="24" customHeight="1">
      <c r="A88" s="1258"/>
      <c r="B88" s="1538" t="s">
        <v>2263</v>
      </c>
      <c r="C88" s="1275"/>
      <c r="D88" s="2109"/>
      <c r="E88" s="715"/>
      <c r="F88" s="1262" t="s">
        <v>226</v>
      </c>
      <c r="G88" s="819">
        <v>20</v>
      </c>
      <c r="H88" s="1369">
        <f t="shared" si="20"/>
        <v>0</v>
      </c>
      <c r="I88" s="2007">
        <v>30</v>
      </c>
      <c r="J88" s="2008">
        <f t="shared" si="21"/>
        <v>0</v>
      </c>
      <c r="K88" s="1774">
        <f t="shared" si="22"/>
        <v>0</v>
      </c>
      <c r="L88" s="2082" t="s">
        <v>2667</v>
      </c>
      <c r="M88" s="2002"/>
      <c r="N88" s="2024">
        <v>79.17</v>
      </c>
      <c r="O88" s="1199">
        <f>ROUND(N88/4,)</f>
        <v>20</v>
      </c>
    </row>
    <row r="89" spans="1:15" s="1765" customFormat="1" ht="24" customHeight="1">
      <c r="A89" s="1258"/>
      <c r="B89" s="1538" t="s">
        <v>1339</v>
      </c>
      <c r="C89" s="1275"/>
      <c r="D89" s="2109"/>
      <c r="E89" s="715">
        <f>2*6</f>
        <v>12</v>
      </c>
      <c r="F89" s="1262" t="s">
        <v>226</v>
      </c>
      <c r="G89" s="819">
        <v>26</v>
      </c>
      <c r="H89" s="1369">
        <f t="shared" si="20"/>
        <v>312</v>
      </c>
      <c r="I89" s="2007">
        <v>30</v>
      </c>
      <c r="J89" s="2008">
        <f t="shared" si="21"/>
        <v>360</v>
      </c>
      <c r="K89" s="1774">
        <f t="shared" si="22"/>
        <v>672</v>
      </c>
      <c r="L89" s="2082" t="s">
        <v>2667</v>
      </c>
      <c r="M89" s="2002"/>
      <c r="N89" s="2024">
        <v>103.74</v>
      </c>
      <c r="O89" s="1199">
        <f>ROUND(N89/4,)</f>
        <v>26</v>
      </c>
    </row>
    <row r="90" spans="1:15" s="1765" customFormat="1" ht="24" customHeight="1">
      <c r="A90" s="1258"/>
      <c r="B90" s="1538" t="s">
        <v>1340</v>
      </c>
      <c r="C90" s="1275"/>
      <c r="D90" s="2109"/>
      <c r="E90" s="715"/>
      <c r="F90" s="1262" t="s">
        <v>226</v>
      </c>
      <c r="G90" s="819">
        <v>41</v>
      </c>
      <c r="H90" s="1369">
        <f t="shared" si="20"/>
        <v>0</v>
      </c>
      <c r="I90" s="2007">
        <v>40</v>
      </c>
      <c r="J90" s="2008">
        <f t="shared" si="21"/>
        <v>0</v>
      </c>
      <c r="K90" s="1774">
        <f t="shared" si="22"/>
        <v>0</v>
      </c>
      <c r="L90" s="2082" t="s">
        <v>2667</v>
      </c>
      <c r="M90" s="2002"/>
      <c r="N90" s="2024">
        <v>163.80000000000001</v>
      </c>
      <c r="O90" s="1199">
        <f>ROUND(N90/4,)</f>
        <v>41</v>
      </c>
    </row>
    <row r="91" spans="1:15" s="1765" customFormat="1" ht="24" customHeight="1">
      <c r="A91" s="1258"/>
      <c r="B91" s="1538" t="s">
        <v>1719</v>
      </c>
      <c r="C91" s="1275"/>
      <c r="D91" s="2109"/>
      <c r="E91" s="715">
        <v>1</v>
      </c>
      <c r="F91" s="1415" t="s">
        <v>1104</v>
      </c>
      <c r="G91" s="1772">
        <f>SUM(H86:H90)*50%</f>
        <v>156</v>
      </c>
      <c r="H91" s="1264">
        <f t="shared" si="20"/>
        <v>156</v>
      </c>
      <c r="I91" s="1595">
        <f>ROUND(G91*0.3,)</f>
        <v>47</v>
      </c>
      <c r="J91" s="1264">
        <f t="shared" si="21"/>
        <v>47</v>
      </c>
      <c r="K91" s="1273">
        <f t="shared" si="22"/>
        <v>203</v>
      </c>
      <c r="L91" s="1632"/>
    </row>
    <row r="92" spans="1:15" s="1765" customFormat="1" ht="24" customHeight="1">
      <c r="A92" s="1258"/>
      <c r="B92" s="1538" t="s">
        <v>1720</v>
      </c>
      <c r="C92" s="1275"/>
      <c r="D92" s="2109"/>
      <c r="E92" s="715">
        <v>1</v>
      </c>
      <c r="F92" s="1415" t="s">
        <v>1104</v>
      </c>
      <c r="G92" s="1772">
        <f>ROUND(SUM(H86:H90)*30%,)</f>
        <v>94</v>
      </c>
      <c r="H92" s="1264">
        <f t="shared" si="20"/>
        <v>94</v>
      </c>
      <c r="I92" s="1595">
        <f>ROUND(G92*0.3,)</f>
        <v>28</v>
      </c>
      <c r="J92" s="1264">
        <f t="shared" si="21"/>
        <v>28</v>
      </c>
      <c r="K92" s="1273">
        <f t="shared" si="22"/>
        <v>122</v>
      </c>
      <c r="L92" s="1632"/>
    </row>
    <row r="93" spans="1:15" s="1765" customFormat="1" ht="24" customHeight="1">
      <c r="A93" s="1258"/>
      <c r="B93" s="1538" t="s">
        <v>1721</v>
      </c>
      <c r="C93" s="1275"/>
      <c r="D93" s="1767"/>
      <c r="E93" s="1771">
        <v>1</v>
      </c>
      <c r="F93" s="1385" t="s">
        <v>1104</v>
      </c>
      <c r="G93" s="1778">
        <f>ROUND(SUM(H86:H90)*10%,)</f>
        <v>31</v>
      </c>
      <c r="H93" s="1264">
        <f t="shared" si="20"/>
        <v>31</v>
      </c>
      <c r="I93" s="1595">
        <f>ROUND(G93*0.3,)</f>
        <v>9</v>
      </c>
      <c r="J93" s="1264">
        <f t="shared" si="21"/>
        <v>9</v>
      </c>
      <c r="K93" s="1273">
        <f t="shared" si="22"/>
        <v>40</v>
      </c>
      <c r="L93" s="1632"/>
    </row>
    <row r="94" spans="1:15" s="1765" customFormat="1" ht="24" customHeight="1">
      <c r="A94" s="1258"/>
      <c r="B94" s="1538" t="s">
        <v>1117</v>
      </c>
      <c r="C94" s="1275"/>
      <c r="D94" s="1767"/>
      <c r="E94" s="1771"/>
      <c r="F94" s="1385"/>
      <c r="G94" s="1778"/>
      <c r="H94" s="1594"/>
      <c r="I94" s="1595"/>
      <c r="J94" s="1594"/>
      <c r="K94" s="1632"/>
      <c r="L94" s="1632"/>
    </row>
    <row r="95" spans="1:15" s="1765" customFormat="1" ht="24" customHeight="1">
      <c r="A95" s="1258"/>
      <c r="B95" s="1538"/>
      <c r="C95" s="1275"/>
      <c r="D95" s="1767"/>
      <c r="E95" s="1771"/>
      <c r="F95" s="1385"/>
      <c r="G95" s="1778"/>
      <c r="H95" s="1594"/>
      <c r="I95" s="1595"/>
      <c r="J95" s="1594"/>
      <c r="K95" s="1632"/>
      <c r="L95" s="1632"/>
    </row>
    <row r="96" spans="1:15" s="1765" customFormat="1" ht="24" customHeight="1">
      <c r="A96" s="1258"/>
      <c r="B96" s="1538"/>
      <c r="C96" s="1275"/>
      <c r="D96" s="1767"/>
      <c r="E96" s="1771"/>
      <c r="F96" s="1385"/>
      <c r="G96" s="1778"/>
      <c r="H96" s="1594"/>
      <c r="I96" s="1595"/>
      <c r="J96" s="1594"/>
      <c r="K96" s="1632"/>
      <c r="L96" s="1632"/>
    </row>
    <row r="97" spans="1:12" s="1765" customFormat="1" ht="24" customHeight="1">
      <c r="A97" s="1791"/>
      <c r="B97" s="1792"/>
      <c r="C97" s="1486"/>
      <c r="D97" s="1822"/>
      <c r="E97" s="1823"/>
      <c r="F97" s="1500"/>
      <c r="G97" s="1824"/>
      <c r="H97" s="1825"/>
      <c r="I97" s="1826"/>
      <c r="J97" s="1825"/>
      <c r="K97" s="1833"/>
      <c r="L97" s="1833"/>
    </row>
    <row r="98" spans="1:12" s="1765" customFormat="1" ht="24" customHeight="1">
      <c r="A98" s="1578"/>
      <c r="B98" s="2257" t="str">
        <f>"รวมราคารายการที่ "&amp;A71</f>
        <v>รวมราคารายการที่ 7.4</v>
      </c>
      <c r="C98" s="2258"/>
      <c r="D98" s="2259"/>
      <c r="E98" s="1579"/>
      <c r="F98" s="1579"/>
      <c r="G98" s="1580"/>
      <c r="H98" s="1581">
        <f>SUM(H72:H97)</f>
        <v>380706</v>
      </c>
      <c r="I98" s="1582"/>
      <c r="J98" s="1581">
        <f>SUM(J72:J97)</f>
        <v>140570</v>
      </c>
      <c r="K98" s="1581">
        <f>SUM(K72:K97)</f>
        <v>521276</v>
      </c>
      <c r="L98" s="1583"/>
    </row>
    <row r="99" spans="1:12" s="1765" customFormat="1" ht="24" customHeight="1">
      <c r="A99" s="1863" t="s">
        <v>2307</v>
      </c>
      <c r="B99" s="1758" t="s">
        <v>2053</v>
      </c>
      <c r="C99" s="1250"/>
      <c r="D99" s="1251"/>
      <c r="E99" s="1794"/>
      <c r="F99" s="1253"/>
      <c r="G99" s="1721"/>
      <c r="H99" s="1255"/>
      <c r="I99" s="1256"/>
      <c r="J99" s="1255"/>
      <c r="K99" s="1502"/>
      <c r="L99" s="1502"/>
    </row>
    <row r="100" spans="1:12" s="1765" customFormat="1" ht="24" customHeight="1">
      <c r="A100" s="1258" t="s">
        <v>2062</v>
      </c>
      <c r="B100" s="1538" t="s">
        <v>2055</v>
      </c>
      <c r="C100" s="1437"/>
      <c r="D100" s="1275"/>
      <c r="E100" s="1768"/>
      <c r="F100" s="1358"/>
      <c r="G100" s="1516"/>
      <c r="H100" s="1264"/>
      <c r="I100" s="1265"/>
      <c r="J100" s="1264"/>
      <c r="K100" s="1273"/>
      <c r="L100" s="1273"/>
    </row>
    <row r="101" spans="1:12" s="1765" customFormat="1" ht="24" customHeight="1">
      <c r="A101" s="1258"/>
      <c r="B101" s="1538" t="s">
        <v>2168</v>
      </c>
      <c r="C101" s="1437"/>
      <c r="D101" s="1275"/>
      <c r="E101" s="1813">
        <f>E86</f>
        <v>0</v>
      </c>
      <c r="F101" s="1788" t="s">
        <v>226</v>
      </c>
      <c r="G101" s="1790">
        <v>59</v>
      </c>
      <c r="H101" s="1773">
        <f t="shared" ref="H101:H104" si="23">ROUND(E101*G101,)</f>
        <v>0</v>
      </c>
      <c r="I101" s="1789">
        <f>ROUND(20*0.75*1.3,)</f>
        <v>20</v>
      </c>
      <c r="J101" s="1773">
        <f t="shared" ref="J101:J104" si="24">ROUND(E101*I101,)</f>
        <v>0</v>
      </c>
      <c r="K101" s="1269">
        <f t="shared" ref="K101:K104" si="25">H101+J101</f>
        <v>0</v>
      </c>
      <c r="L101" s="1273"/>
    </row>
    <row r="102" spans="1:12" s="1765" customFormat="1" ht="24" customHeight="1">
      <c r="A102" s="1258"/>
      <c r="B102" s="1538" t="s">
        <v>1901</v>
      </c>
      <c r="C102" s="1437"/>
      <c r="D102" s="1275"/>
      <c r="E102" s="1813">
        <f>E87</f>
        <v>0</v>
      </c>
      <c r="F102" s="1358" t="s">
        <v>226</v>
      </c>
      <c r="G102" s="1516">
        <v>69</v>
      </c>
      <c r="H102" s="1264">
        <f t="shared" si="23"/>
        <v>0</v>
      </c>
      <c r="I102" s="1265">
        <f>ROUND(20*1*1.3,)</f>
        <v>26</v>
      </c>
      <c r="J102" s="1264">
        <f t="shared" si="24"/>
        <v>0</v>
      </c>
      <c r="K102" s="1273">
        <f t="shared" si="25"/>
        <v>0</v>
      </c>
      <c r="L102" s="1273"/>
    </row>
    <row r="103" spans="1:12" s="1765" customFormat="1" ht="24" customHeight="1">
      <c r="A103" s="1258"/>
      <c r="B103" s="1538" t="s">
        <v>1338</v>
      </c>
      <c r="C103" s="1437"/>
      <c r="D103" s="1275"/>
      <c r="E103" s="1813">
        <f>E88</f>
        <v>0</v>
      </c>
      <c r="F103" s="1358" t="s">
        <v>226</v>
      </c>
      <c r="G103" s="1516">
        <v>92</v>
      </c>
      <c r="H103" s="1264">
        <f t="shared" si="23"/>
        <v>0</v>
      </c>
      <c r="I103" s="1265">
        <f>ROUND(20*1.25*1.3,)</f>
        <v>33</v>
      </c>
      <c r="J103" s="1264">
        <f t="shared" si="24"/>
        <v>0</v>
      </c>
      <c r="K103" s="1273">
        <f t="shared" si="25"/>
        <v>0</v>
      </c>
      <c r="L103" s="1273"/>
    </row>
    <row r="104" spans="1:12" s="1765" customFormat="1" ht="24" customHeight="1">
      <c r="A104" s="1258"/>
      <c r="B104" s="1538" t="s">
        <v>1339</v>
      </c>
      <c r="C104" s="1437"/>
      <c r="D104" s="1275"/>
      <c r="E104" s="1813">
        <f>E89</f>
        <v>12</v>
      </c>
      <c r="F104" s="1358" t="s">
        <v>226</v>
      </c>
      <c r="G104" s="1516">
        <v>93</v>
      </c>
      <c r="H104" s="1264">
        <f t="shared" si="23"/>
        <v>1116</v>
      </c>
      <c r="I104" s="1265">
        <v>39</v>
      </c>
      <c r="J104" s="1264">
        <f t="shared" si="24"/>
        <v>468</v>
      </c>
      <c r="K104" s="1273">
        <f t="shared" si="25"/>
        <v>1584</v>
      </c>
      <c r="L104" s="1273"/>
    </row>
    <row r="105" spans="1:12" s="1765" customFormat="1" ht="24" customHeight="1">
      <c r="A105" s="1258" t="s">
        <v>2062</v>
      </c>
      <c r="B105" s="1538" t="s">
        <v>2169</v>
      </c>
      <c r="C105" s="1437"/>
      <c r="D105" s="1275"/>
      <c r="E105" s="1768"/>
      <c r="F105" s="1358"/>
      <c r="G105" s="1516"/>
      <c r="H105" s="1264"/>
      <c r="I105" s="1265"/>
      <c r="J105" s="1264"/>
      <c r="K105" s="1273"/>
      <c r="L105" s="1273"/>
    </row>
    <row r="106" spans="1:12" s="1765" customFormat="1" ht="24" customHeight="1">
      <c r="A106" s="1258"/>
      <c r="B106" s="1538" t="s">
        <v>2168</v>
      </c>
      <c r="C106" s="1437"/>
      <c r="D106" s="1275"/>
      <c r="E106" s="1813">
        <f>E74</f>
        <v>0</v>
      </c>
      <c r="F106" s="1788" t="s">
        <v>226</v>
      </c>
      <c r="G106" s="1790">
        <v>69</v>
      </c>
      <c r="H106" s="1773">
        <f t="shared" ref="H106:H109" si="26">ROUND(E106*G106,)</f>
        <v>0</v>
      </c>
      <c r="I106" s="1789">
        <f>ROUND(20*0.75*1.3,)</f>
        <v>20</v>
      </c>
      <c r="J106" s="1773">
        <f t="shared" ref="J106:J109" si="27">ROUND(E106*I106,)</f>
        <v>0</v>
      </c>
      <c r="K106" s="1269">
        <f t="shared" ref="K106:K109" si="28">H106+J106</f>
        <v>0</v>
      </c>
      <c r="L106" s="1269"/>
    </row>
    <row r="107" spans="1:12" s="1765" customFormat="1" ht="24" customHeight="1">
      <c r="A107" s="1258"/>
      <c r="B107" s="1538" t="s">
        <v>1901</v>
      </c>
      <c r="C107" s="1437"/>
      <c r="D107" s="1275"/>
      <c r="E107" s="1771">
        <f>E75</f>
        <v>0</v>
      </c>
      <c r="F107" s="1358" t="s">
        <v>226</v>
      </c>
      <c r="G107" s="1516">
        <v>85</v>
      </c>
      <c r="H107" s="1264">
        <f t="shared" si="26"/>
        <v>0</v>
      </c>
      <c r="I107" s="1265">
        <f>ROUND(20*1*1.3,)</f>
        <v>26</v>
      </c>
      <c r="J107" s="1264">
        <f t="shared" si="27"/>
        <v>0</v>
      </c>
      <c r="K107" s="1273">
        <f t="shared" si="28"/>
        <v>0</v>
      </c>
      <c r="L107" s="1273"/>
    </row>
    <row r="108" spans="1:12" s="1765" customFormat="1" ht="24" customHeight="1">
      <c r="A108" s="1258"/>
      <c r="B108" s="1538" t="s">
        <v>1338</v>
      </c>
      <c r="C108" s="1437"/>
      <c r="D108" s="1275"/>
      <c r="E108" s="1813">
        <f>E76</f>
        <v>0</v>
      </c>
      <c r="F108" s="1788" t="s">
        <v>226</v>
      </c>
      <c r="G108" s="1515">
        <v>96</v>
      </c>
      <c r="H108" s="1369">
        <f t="shared" si="26"/>
        <v>0</v>
      </c>
      <c r="I108" s="1370">
        <v>33</v>
      </c>
      <c r="J108" s="1369">
        <f t="shared" si="27"/>
        <v>0</v>
      </c>
      <c r="K108" s="1356">
        <f t="shared" si="28"/>
        <v>0</v>
      </c>
      <c r="L108" s="1269"/>
    </row>
    <row r="109" spans="1:12" s="1765" customFormat="1" ht="24" customHeight="1">
      <c r="A109" s="1258"/>
      <c r="B109" s="1538" t="s">
        <v>1339</v>
      </c>
      <c r="C109" s="1437"/>
      <c r="D109" s="1275"/>
      <c r="E109" s="1771">
        <f>E77</f>
        <v>0</v>
      </c>
      <c r="F109" s="1358" t="s">
        <v>226</v>
      </c>
      <c r="G109" s="1515">
        <v>108</v>
      </c>
      <c r="H109" s="1369">
        <f t="shared" si="26"/>
        <v>0</v>
      </c>
      <c r="I109" s="1370">
        <v>39</v>
      </c>
      <c r="J109" s="1369">
        <f t="shared" si="27"/>
        <v>0</v>
      </c>
      <c r="K109" s="1356">
        <f t="shared" si="28"/>
        <v>0</v>
      </c>
      <c r="L109" s="1273"/>
    </row>
    <row r="110" spans="1:12" s="1765" customFormat="1" ht="24" customHeight="1">
      <c r="A110" s="1804" t="s">
        <v>2064</v>
      </c>
      <c r="B110" s="1780" t="s">
        <v>2265</v>
      </c>
      <c r="C110" s="1800"/>
      <c r="D110" s="1260"/>
      <c r="E110" s="1801"/>
      <c r="F110" s="1262"/>
      <c r="G110" s="1515"/>
      <c r="H110" s="1343"/>
      <c r="I110" s="1344"/>
      <c r="J110" s="1343"/>
      <c r="K110" s="1262"/>
      <c r="L110" s="1262"/>
    </row>
    <row r="111" spans="1:12" s="1765" customFormat="1" ht="24" customHeight="1">
      <c r="A111" s="1804"/>
      <c r="B111" s="1780" t="s">
        <v>1338</v>
      </c>
      <c r="C111" s="1800"/>
      <c r="D111" s="1260"/>
      <c r="E111" s="715"/>
      <c r="F111" s="1262" t="s">
        <v>226</v>
      </c>
      <c r="G111" s="1515">
        <v>108</v>
      </c>
      <c r="H111" s="1343">
        <f t="shared" ref="H111:H116" si="29">ROUND(E111*G111,)</f>
        <v>0</v>
      </c>
      <c r="I111" s="1344">
        <v>33</v>
      </c>
      <c r="J111" s="1343">
        <f t="shared" ref="J111:J116" si="30">ROUND(E111*I111,)</f>
        <v>0</v>
      </c>
      <c r="K111" s="1262">
        <f t="shared" ref="K111:K116" si="31">H111+J111</f>
        <v>0</v>
      </c>
      <c r="L111" s="1262"/>
    </row>
    <row r="112" spans="1:12" s="1765" customFormat="1" ht="24" customHeight="1">
      <c r="A112" s="1804"/>
      <c r="B112" s="1780" t="s">
        <v>1339</v>
      </c>
      <c r="C112" s="1260"/>
      <c r="D112" s="1781"/>
      <c r="E112" s="715"/>
      <c r="F112" s="1262" t="s">
        <v>226</v>
      </c>
      <c r="G112" s="1515">
        <v>164</v>
      </c>
      <c r="H112" s="1343">
        <f t="shared" si="29"/>
        <v>0</v>
      </c>
      <c r="I112" s="1344">
        <v>39</v>
      </c>
      <c r="J112" s="1343">
        <f t="shared" si="30"/>
        <v>0</v>
      </c>
      <c r="K112" s="1262">
        <f t="shared" si="31"/>
        <v>0</v>
      </c>
      <c r="L112" s="1415"/>
    </row>
    <row r="113" spans="1:12" s="1765" customFormat="1" ht="24" customHeight="1">
      <c r="A113" s="1784"/>
      <c r="B113" s="1780" t="s">
        <v>1340</v>
      </c>
      <c r="C113" s="1260"/>
      <c r="D113" s="1781"/>
      <c r="E113" s="825">
        <f>E78</f>
        <v>0</v>
      </c>
      <c r="F113" s="1356" t="s">
        <v>226</v>
      </c>
      <c r="G113" s="1515">
        <v>200</v>
      </c>
      <c r="H113" s="1369">
        <f t="shared" si="29"/>
        <v>0</v>
      </c>
      <c r="I113" s="1370">
        <v>52</v>
      </c>
      <c r="J113" s="1369">
        <f t="shared" si="30"/>
        <v>0</v>
      </c>
      <c r="K113" s="1356">
        <f t="shared" si="31"/>
        <v>0</v>
      </c>
      <c r="L113" s="1457"/>
    </row>
    <row r="114" spans="1:12" s="1765" customFormat="1" ht="24" customHeight="1">
      <c r="A114" s="1784"/>
      <c r="B114" s="1780" t="s">
        <v>1341</v>
      </c>
      <c r="C114" s="1260"/>
      <c r="D114" s="1781"/>
      <c r="E114" s="825">
        <f>E79</f>
        <v>156</v>
      </c>
      <c r="F114" s="1356" t="s">
        <v>226</v>
      </c>
      <c r="G114" s="1515">
        <v>256</v>
      </c>
      <c r="H114" s="1369">
        <f t="shared" si="29"/>
        <v>39936</v>
      </c>
      <c r="I114" s="1370">
        <v>65</v>
      </c>
      <c r="J114" s="1369">
        <f t="shared" si="30"/>
        <v>10140</v>
      </c>
      <c r="K114" s="1356">
        <f t="shared" si="31"/>
        <v>50076</v>
      </c>
      <c r="L114" s="1457"/>
    </row>
    <row r="115" spans="1:12" s="1765" customFormat="1" ht="24" customHeight="1">
      <c r="A115" s="1784"/>
      <c r="B115" s="1780" t="s">
        <v>1342</v>
      </c>
      <c r="C115" s="1260"/>
      <c r="D115" s="1781"/>
      <c r="E115" s="825">
        <f>E80</f>
        <v>171.60000000000002</v>
      </c>
      <c r="F115" s="1356" t="s">
        <v>226</v>
      </c>
      <c r="G115" s="1515">
        <v>302</v>
      </c>
      <c r="H115" s="1369">
        <f t="shared" si="29"/>
        <v>51823</v>
      </c>
      <c r="I115" s="1370">
        <v>78</v>
      </c>
      <c r="J115" s="1369">
        <f t="shared" si="30"/>
        <v>13385</v>
      </c>
      <c r="K115" s="1356">
        <f t="shared" si="31"/>
        <v>65208</v>
      </c>
      <c r="L115" s="1457"/>
    </row>
    <row r="116" spans="1:12" s="1765" customFormat="1" ht="24" customHeight="1">
      <c r="A116" s="1784"/>
      <c r="B116" s="1780" t="s">
        <v>1111</v>
      </c>
      <c r="C116" s="1260"/>
      <c r="D116" s="1781"/>
      <c r="E116" s="825">
        <f>E81</f>
        <v>113.30000000000001</v>
      </c>
      <c r="F116" s="1356" t="s">
        <v>226</v>
      </c>
      <c r="G116" s="1515">
        <v>367</v>
      </c>
      <c r="H116" s="1369">
        <f t="shared" si="29"/>
        <v>41581</v>
      </c>
      <c r="I116" s="1370">
        <v>104</v>
      </c>
      <c r="J116" s="1369">
        <f t="shared" si="30"/>
        <v>11783</v>
      </c>
      <c r="K116" s="1356">
        <f t="shared" si="31"/>
        <v>53364</v>
      </c>
      <c r="L116" s="1457"/>
    </row>
    <row r="117" spans="1:12" s="1765" customFormat="1" ht="24" customHeight="1">
      <c r="A117" s="1258"/>
      <c r="B117" s="1538" t="s">
        <v>1117</v>
      </c>
      <c r="C117" s="1437"/>
      <c r="D117" s="1275"/>
      <c r="E117" s="1768"/>
      <c r="F117" s="1358"/>
      <c r="G117" s="1516"/>
      <c r="H117" s="1264"/>
      <c r="I117" s="1265"/>
      <c r="J117" s="1264"/>
      <c r="K117" s="1273"/>
      <c r="L117" s="1273"/>
    </row>
    <row r="118" spans="1:12" s="1765" customFormat="1" ht="24" customHeight="1">
      <c r="A118" s="1258"/>
      <c r="B118" s="1538" t="s">
        <v>1118</v>
      </c>
      <c r="C118" s="1437"/>
      <c r="D118" s="1275"/>
      <c r="E118" s="1768"/>
      <c r="F118" s="1358"/>
      <c r="G118" s="1516"/>
      <c r="H118" s="1264"/>
      <c r="I118" s="1265"/>
      <c r="J118" s="1264"/>
      <c r="K118" s="1273"/>
      <c r="L118" s="1273"/>
    </row>
    <row r="119" spans="1:12" s="1765" customFormat="1" ht="24" customHeight="1">
      <c r="A119" s="1258"/>
      <c r="B119" s="1538"/>
      <c r="C119" s="1437"/>
      <c r="D119" s="1275"/>
      <c r="E119" s="1768"/>
      <c r="F119" s="1358"/>
      <c r="G119" s="1516"/>
      <c r="H119" s="1264"/>
      <c r="I119" s="1265"/>
      <c r="J119" s="1264"/>
      <c r="K119" s="1273"/>
      <c r="L119" s="1273"/>
    </row>
    <row r="120" spans="1:12" s="1765" customFormat="1" ht="24" customHeight="1">
      <c r="A120" s="1258"/>
      <c r="B120" s="1538"/>
      <c r="C120" s="1437"/>
      <c r="D120" s="1275"/>
      <c r="E120" s="1768"/>
      <c r="F120" s="1358"/>
      <c r="G120" s="1516"/>
      <c r="H120" s="1264"/>
      <c r="I120" s="1265"/>
      <c r="J120" s="1264"/>
      <c r="K120" s="1273"/>
      <c r="L120" s="1273"/>
    </row>
    <row r="121" spans="1:12" s="1765" customFormat="1" ht="24" customHeight="1">
      <c r="A121" s="1791"/>
      <c r="B121" s="1792"/>
      <c r="C121" s="1702"/>
      <c r="D121" s="1486"/>
      <c r="E121" s="1793"/>
      <c r="F121" s="1487"/>
      <c r="G121" s="1735"/>
      <c r="H121" s="1425"/>
      <c r="I121" s="1488"/>
      <c r="J121" s="1425"/>
      <c r="K121" s="1426"/>
      <c r="L121" s="1426"/>
    </row>
    <row r="122" spans="1:12" s="1765" customFormat="1" ht="24" customHeight="1">
      <c r="A122" s="1578"/>
      <c r="B122" s="2257" t="str">
        <f>"รวมราคารายการที่ "&amp;A99</f>
        <v>รวมราคารายการที่ 7.5</v>
      </c>
      <c r="C122" s="2258"/>
      <c r="D122" s="2259"/>
      <c r="E122" s="1579"/>
      <c r="F122" s="1579"/>
      <c r="G122" s="1580"/>
      <c r="H122" s="1581">
        <f>SUM(H100:H121)</f>
        <v>134456</v>
      </c>
      <c r="I122" s="1582"/>
      <c r="J122" s="1581">
        <f>SUM(J100:J121)</f>
        <v>35776</v>
      </c>
      <c r="K122" s="1581">
        <f>SUM(K100:K121)</f>
        <v>170232</v>
      </c>
      <c r="L122" s="1583"/>
    </row>
    <row r="123" spans="1:12" s="1765" customFormat="1" ht="24" customHeight="1">
      <c r="A123" s="1291">
        <v>7.6</v>
      </c>
      <c r="B123" s="1776" t="s">
        <v>2061</v>
      </c>
      <c r="C123" s="1293"/>
      <c r="D123" s="1294"/>
      <c r="E123" s="1786"/>
      <c r="F123" s="1296"/>
      <c r="G123" s="1357"/>
      <c r="H123" s="1298"/>
      <c r="I123" s="1299"/>
      <c r="J123" s="1298"/>
      <c r="K123" s="1382"/>
      <c r="L123" s="1382"/>
    </row>
    <row r="124" spans="1:12" s="1765" customFormat="1" ht="24" customHeight="1">
      <c r="A124" s="1258" t="s">
        <v>2075</v>
      </c>
      <c r="B124" s="1538" t="s">
        <v>2063</v>
      </c>
      <c r="C124" s="1437"/>
      <c r="D124" s="1275"/>
      <c r="E124" s="1768"/>
      <c r="F124" s="1358"/>
      <c r="G124" s="1516"/>
      <c r="H124" s="1264"/>
      <c r="I124" s="1265"/>
      <c r="J124" s="1264"/>
      <c r="K124" s="1273"/>
      <c r="L124" s="1273"/>
    </row>
    <row r="125" spans="1:12" s="1765" customFormat="1" ht="24" customHeight="1">
      <c r="A125" s="1258"/>
      <c r="B125" s="1538" t="s">
        <v>1448</v>
      </c>
      <c r="C125" s="1437"/>
      <c r="D125" s="1275"/>
      <c r="E125" s="1787"/>
      <c r="F125" s="1788" t="s">
        <v>363</v>
      </c>
      <c r="G125" s="2010">
        <v>880</v>
      </c>
      <c r="H125" s="1773">
        <f t="shared" ref="H125:H129" si="32">ROUND(E125*G125,)</f>
        <v>0</v>
      </c>
      <c r="I125" s="2011">
        <v>150</v>
      </c>
      <c r="J125" s="2008">
        <f t="shared" ref="J125:J129" si="33">ROUND(E125*I125,)</f>
        <v>0</v>
      </c>
      <c r="K125" s="1774">
        <f t="shared" ref="K125:K129" si="34">H125+J125</f>
        <v>0</v>
      </c>
      <c r="L125" s="2082" t="s">
        <v>2667</v>
      </c>
    </row>
    <row r="126" spans="1:12" s="1765" customFormat="1" ht="24" customHeight="1">
      <c r="A126" s="1258"/>
      <c r="B126" s="1538" t="s">
        <v>1337</v>
      </c>
      <c r="C126" s="1437"/>
      <c r="D126" s="1275"/>
      <c r="E126" s="1768"/>
      <c r="F126" s="1358" t="s">
        <v>363</v>
      </c>
      <c r="G126" s="2012">
        <v>1316</v>
      </c>
      <c r="H126" s="1264">
        <f t="shared" si="32"/>
        <v>0</v>
      </c>
      <c r="I126" s="1332">
        <v>200</v>
      </c>
      <c r="J126" s="2013">
        <f t="shared" si="33"/>
        <v>0</v>
      </c>
      <c r="K126" s="1687">
        <f t="shared" si="34"/>
        <v>0</v>
      </c>
      <c r="L126" s="2082" t="s">
        <v>2667</v>
      </c>
    </row>
    <row r="127" spans="1:12" s="1765" customFormat="1" ht="24" customHeight="1">
      <c r="A127" s="1258"/>
      <c r="B127" s="1538" t="s">
        <v>1338</v>
      </c>
      <c r="C127" s="1437"/>
      <c r="D127" s="1275"/>
      <c r="E127" s="1787">
        <f>E54*2</f>
        <v>0</v>
      </c>
      <c r="F127" s="1358" t="s">
        <v>363</v>
      </c>
      <c r="G127" s="2012">
        <v>1984</v>
      </c>
      <c r="H127" s="1264">
        <f t="shared" si="32"/>
        <v>0</v>
      </c>
      <c r="I127" s="1332">
        <v>250</v>
      </c>
      <c r="J127" s="2013">
        <f t="shared" si="33"/>
        <v>0</v>
      </c>
      <c r="K127" s="1687">
        <f t="shared" si="34"/>
        <v>0</v>
      </c>
      <c r="L127" s="2082" t="s">
        <v>2667</v>
      </c>
    </row>
    <row r="128" spans="1:12" s="1765" customFormat="1" ht="24" customHeight="1">
      <c r="A128" s="1258"/>
      <c r="B128" s="1538" t="s">
        <v>1339</v>
      </c>
      <c r="C128" s="1437"/>
      <c r="D128" s="1275"/>
      <c r="E128" s="1787"/>
      <c r="F128" s="1358" t="s">
        <v>363</v>
      </c>
      <c r="G128" s="2012">
        <v>2610</v>
      </c>
      <c r="H128" s="1264">
        <f t="shared" si="32"/>
        <v>0</v>
      </c>
      <c r="I128" s="1332">
        <v>300</v>
      </c>
      <c r="J128" s="2013">
        <f t="shared" si="33"/>
        <v>0</v>
      </c>
      <c r="K128" s="1687">
        <f t="shared" si="34"/>
        <v>0</v>
      </c>
      <c r="L128" s="2082" t="s">
        <v>2667</v>
      </c>
    </row>
    <row r="129" spans="1:20" s="1765" customFormat="1" ht="24" customHeight="1">
      <c r="A129" s="2113"/>
      <c r="B129" s="2114" t="s">
        <v>1340</v>
      </c>
      <c r="C129" s="2115"/>
      <c r="D129" s="2108"/>
      <c r="E129" s="1801"/>
      <c r="F129" s="1262" t="s">
        <v>363</v>
      </c>
      <c r="G129" s="2003">
        <v>4040</v>
      </c>
      <c r="H129" s="1343">
        <f t="shared" si="32"/>
        <v>0</v>
      </c>
      <c r="I129" s="2004">
        <v>400</v>
      </c>
      <c r="J129" s="2005">
        <f t="shared" si="33"/>
        <v>0</v>
      </c>
      <c r="K129" s="1801">
        <f t="shared" si="34"/>
        <v>0</v>
      </c>
      <c r="L129" s="2152" t="s">
        <v>2667</v>
      </c>
    </row>
    <row r="130" spans="1:20" s="2116" customFormat="1" ht="24" customHeight="1">
      <c r="A130" s="2113" t="s">
        <v>2170</v>
      </c>
      <c r="B130" s="2114" t="s">
        <v>2065</v>
      </c>
      <c r="C130" s="2115"/>
      <c r="D130" s="2108"/>
      <c r="E130" s="1801"/>
      <c r="F130" s="1262"/>
      <c r="G130" s="1515"/>
      <c r="H130" s="1343"/>
      <c r="I130" s="1344"/>
      <c r="J130" s="1343"/>
      <c r="K130" s="1262"/>
      <c r="L130" s="1262"/>
    </row>
    <row r="131" spans="1:20" s="2116" customFormat="1" ht="24" customHeight="1">
      <c r="A131" s="2113"/>
      <c r="B131" s="2107" t="s">
        <v>1341</v>
      </c>
      <c r="C131" s="2115"/>
      <c r="D131" s="2108"/>
      <c r="E131" s="1801"/>
      <c r="F131" s="1262" t="s">
        <v>363</v>
      </c>
      <c r="G131" s="1836">
        <v>1862</v>
      </c>
      <c r="H131" s="1343">
        <f>ROUND(E131*G131,)</f>
        <v>0</v>
      </c>
      <c r="I131" s="1344">
        <v>500</v>
      </c>
      <c r="J131" s="1343">
        <f t="shared" ref="J131:J134" si="35">ROUND(E131*I131,)</f>
        <v>0</v>
      </c>
      <c r="K131" s="1262">
        <f t="shared" ref="K131:K134" si="36">H131+J131</f>
        <v>0</v>
      </c>
      <c r="L131" s="1262"/>
    </row>
    <row r="132" spans="1:20" s="2116" customFormat="1" ht="24" customHeight="1">
      <c r="A132" s="2113"/>
      <c r="B132" s="2107" t="s">
        <v>1342</v>
      </c>
      <c r="C132" s="2115"/>
      <c r="D132" s="2108"/>
      <c r="E132" s="2091">
        <v>12</v>
      </c>
      <c r="F132" s="1262" t="s">
        <v>363</v>
      </c>
      <c r="G132" s="1836">
        <v>2159</v>
      </c>
      <c r="H132" s="1343">
        <f>ROUND(E132*G132,)</f>
        <v>25908</v>
      </c>
      <c r="I132" s="1344">
        <v>600</v>
      </c>
      <c r="J132" s="1343">
        <f t="shared" si="35"/>
        <v>7200</v>
      </c>
      <c r="K132" s="1262">
        <f t="shared" si="36"/>
        <v>33108</v>
      </c>
      <c r="L132" s="1262"/>
    </row>
    <row r="133" spans="1:20" s="2116" customFormat="1" ht="24" customHeight="1">
      <c r="A133" s="2113"/>
      <c r="B133" s="2114" t="s">
        <v>1759</v>
      </c>
      <c r="C133" s="2115"/>
      <c r="D133" s="2108"/>
      <c r="E133" s="1801"/>
      <c r="F133" s="1262" t="s">
        <v>363</v>
      </c>
      <c r="G133" s="1836">
        <v>2811</v>
      </c>
      <c r="H133" s="1343">
        <f>ROUND(E133*G133,)</f>
        <v>0</v>
      </c>
      <c r="I133" s="1344">
        <v>800</v>
      </c>
      <c r="J133" s="1343">
        <f t="shared" si="35"/>
        <v>0</v>
      </c>
      <c r="K133" s="1262">
        <f t="shared" si="36"/>
        <v>0</v>
      </c>
      <c r="L133" s="1415"/>
    </row>
    <row r="134" spans="1:20" s="2116" customFormat="1" ht="24" customHeight="1">
      <c r="A134" s="2113"/>
      <c r="B134" s="2114" t="s">
        <v>1866</v>
      </c>
      <c r="C134" s="2115"/>
      <c r="D134" s="2108"/>
      <c r="E134" s="1801"/>
      <c r="F134" s="1262" t="s">
        <v>363</v>
      </c>
      <c r="G134" s="1836">
        <v>14327</v>
      </c>
      <c r="H134" s="1343">
        <f>ROUND(E134*G134,)</f>
        <v>0</v>
      </c>
      <c r="I134" s="1344">
        <v>2000</v>
      </c>
      <c r="J134" s="1343">
        <f t="shared" si="35"/>
        <v>0</v>
      </c>
      <c r="K134" s="1262">
        <f t="shared" si="36"/>
        <v>0</v>
      </c>
      <c r="L134" s="1262"/>
    </row>
    <row r="135" spans="1:20" s="1765" customFormat="1" ht="24" customHeight="1">
      <c r="A135" s="2113" t="s">
        <v>2226</v>
      </c>
      <c r="B135" s="2114" t="s">
        <v>2067</v>
      </c>
      <c r="C135" s="2115"/>
      <c r="D135" s="2108"/>
      <c r="E135" s="1801"/>
      <c r="F135" s="1262"/>
      <c r="G135" s="1515"/>
      <c r="H135" s="1343"/>
      <c r="I135" s="1344"/>
      <c r="J135" s="1343"/>
      <c r="K135" s="1262"/>
      <c r="L135" s="1262"/>
    </row>
    <row r="136" spans="1:20" s="1765" customFormat="1" ht="24" customHeight="1">
      <c r="A136" s="2113"/>
      <c r="B136" s="2114" t="s">
        <v>1448</v>
      </c>
      <c r="C136" s="2115"/>
      <c r="D136" s="2108"/>
      <c r="E136" s="1853">
        <f>E125/2</f>
        <v>0</v>
      </c>
      <c r="F136" s="2154" t="s">
        <v>363</v>
      </c>
      <c r="G136" s="2159">
        <v>350</v>
      </c>
      <c r="H136" s="2156">
        <f t="shared" ref="H136:H140" si="37">ROUND(E136*G136,)</f>
        <v>0</v>
      </c>
      <c r="I136" s="2160">
        <v>150</v>
      </c>
      <c r="J136" s="2156">
        <f t="shared" ref="J136:J140" si="38">ROUND(E136*I136,)</f>
        <v>0</v>
      </c>
      <c r="K136" s="2154">
        <f t="shared" ref="K136:K140" si="39">H136+J136</f>
        <v>0</v>
      </c>
      <c r="L136" s="1262"/>
    </row>
    <row r="137" spans="1:20" s="1765" customFormat="1" ht="24" customHeight="1">
      <c r="A137" s="2113"/>
      <c r="B137" s="2114" t="s">
        <v>1338</v>
      </c>
      <c r="C137" s="2115"/>
      <c r="D137" s="2108"/>
      <c r="E137" s="1801">
        <f>E127/2</f>
        <v>0</v>
      </c>
      <c r="F137" s="1262" t="s">
        <v>363</v>
      </c>
      <c r="G137" s="1515">
        <v>1084</v>
      </c>
      <c r="H137" s="1343">
        <f t="shared" si="37"/>
        <v>0</v>
      </c>
      <c r="I137" s="1344">
        <v>250</v>
      </c>
      <c r="J137" s="1343">
        <f t="shared" si="38"/>
        <v>0</v>
      </c>
      <c r="K137" s="1262">
        <f t="shared" si="39"/>
        <v>0</v>
      </c>
      <c r="L137" s="1262"/>
    </row>
    <row r="138" spans="1:20" s="1765" customFormat="1" ht="24" customHeight="1">
      <c r="A138" s="2113"/>
      <c r="B138" s="2114" t="s">
        <v>1339</v>
      </c>
      <c r="C138" s="2115"/>
      <c r="D138" s="2108"/>
      <c r="E138" s="1801">
        <f>E128/2</f>
        <v>0</v>
      </c>
      <c r="F138" s="1262" t="s">
        <v>363</v>
      </c>
      <c r="G138" s="1515">
        <v>1710</v>
      </c>
      <c r="H138" s="1343">
        <f t="shared" si="37"/>
        <v>0</v>
      </c>
      <c r="I138" s="1344">
        <v>300</v>
      </c>
      <c r="J138" s="1343">
        <f t="shared" si="38"/>
        <v>0</v>
      </c>
      <c r="K138" s="1262">
        <f t="shared" si="39"/>
        <v>0</v>
      </c>
      <c r="L138" s="1262"/>
    </row>
    <row r="139" spans="1:20" s="1765" customFormat="1" ht="24" customHeight="1">
      <c r="A139" s="2113"/>
      <c r="B139" s="2114" t="s">
        <v>1340</v>
      </c>
      <c r="C139" s="2115"/>
      <c r="D139" s="2108"/>
      <c r="E139" s="1801"/>
      <c r="F139" s="1262" t="s">
        <v>363</v>
      </c>
      <c r="G139" s="1836">
        <v>2839</v>
      </c>
      <c r="H139" s="1343">
        <f t="shared" si="37"/>
        <v>0</v>
      </c>
      <c r="I139" s="1344">
        <v>400</v>
      </c>
      <c r="J139" s="1343">
        <f t="shared" si="38"/>
        <v>0</v>
      </c>
      <c r="K139" s="1262">
        <f t="shared" si="39"/>
        <v>0</v>
      </c>
      <c r="L139" s="1262"/>
    </row>
    <row r="140" spans="1:20" s="2116" customFormat="1" ht="24" customHeight="1">
      <c r="A140" s="2113"/>
      <c r="B140" s="2114" t="s">
        <v>1341</v>
      </c>
      <c r="C140" s="2115"/>
      <c r="D140" s="2108"/>
      <c r="E140" s="1801"/>
      <c r="F140" s="1262" t="s">
        <v>363</v>
      </c>
      <c r="G140" s="1836">
        <v>4375</v>
      </c>
      <c r="H140" s="1343">
        <f t="shared" si="37"/>
        <v>0</v>
      </c>
      <c r="I140" s="1344">
        <v>500</v>
      </c>
      <c r="J140" s="1343">
        <f t="shared" si="38"/>
        <v>0</v>
      </c>
      <c r="K140" s="1262">
        <f t="shared" si="39"/>
        <v>0</v>
      </c>
      <c r="L140" s="1262"/>
      <c r="M140" s="2144"/>
      <c r="N140" s="2144"/>
      <c r="O140" s="2144"/>
      <c r="P140" s="2144"/>
      <c r="Q140" s="2144"/>
      <c r="R140" s="2144"/>
      <c r="S140" s="2144"/>
      <c r="T140" s="2144"/>
    </row>
    <row r="141" spans="1:20" s="2116" customFormat="1" ht="24" customHeight="1">
      <c r="A141" s="2113"/>
      <c r="B141" s="2153" t="s">
        <v>1834</v>
      </c>
      <c r="C141" s="2115"/>
      <c r="D141" s="2108"/>
      <c r="E141" s="2091">
        <v>6</v>
      </c>
      <c r="F141" s="1262" t="s">
        <v>363</v>
      </c>
      <c r="G141" s="1836">
        <v>4489</v>
      </c>
      <c r="H141" s="1343">
        <f>ROUND(E141*G141,)</f>
        <v>26934</v>
      </c>
      <c r="I141" s="1344">
        <v>600</v>
      </c>
      <c r="J141" s="1343">
        <f>ROUND(E141*I141,)</f>
        <v>3600</v>
      </c>
      <c r="K141" s="1262">
        <f>H141+J141</f>
        <v>30534</v>
      </c>
      <c r="L141" s="1262"/>
    </row>
    <row r="142" spans="1:20" s="2116" customFormat="1" ht="24" customHeight="1">
      <c r="A142" s="2113"/>
      <c r="B142" s="2114" t="s">
        <v>1759</v>
      </c>
      <c r="C142" s="2115"/>
      <c r="D142" s="2108"/>
      <c r="E142" s="1801"/>
      <c r="F142" s="1262" t="s">
        <v>363</v>
      </c>
      <c r="G142" s="1836">
        <v>6528</v>
      </c>
      <c r="H142" s="1343">
        <f>ROUND(E142*G142,)</f>
        <v>0</v>
      </c>
      <c r="I142" s="1344">
        <v>800</v>
      </c>
      <c r="J142" s="1343">
        <f>ROUND(E142*I142,)</f>
        <v>0</v>
      </c>
      <c r="K142" s="1262">
        <f>H142+J142</f>
        <v>0</v>
      </c>
      <c r="L142" s="1262"/>
    </row>
    <row r="143" spans="1:20" s="1765" customFormat="1" ht="24" customHeight="1">
      <c r="A143" s="2113" t="s">
        <v>2227</v>
      </c>
      <c r="B143" s="2114" t="s">
        <v>2069</v>
      </c>
      <c r="C143" s="2115"/>
      <c r="D143" s="2108"/>
      <c r="E143" s="1801"/>
      <c r="F143" s="1262"/>
      <c r="G143" s="1836"/>
      <c r="H143" s="1343"/>
      <c r="I143" s="1344"/>
      <c r="J143" s="1343"/>
      <c r="K143" s="1262"/>
      <c r="L143" s="1262"/>
    </row>
    <row r="144" spans="1:20" s="1765" customFormat="1" ht="24" customHeight="1">
      <c r="A144" s="2113"/>
      <c r="B144" s="2114" t="s">
        <v>1338</v>
      </c>
      <c r="C144" s="2115"/>
      <c r="D144" s="2108"/>
      <c r="E144" s="1801"/>
      <c r="F144" s="1262" t="s">
        <v>363</v>
      </c>
      <c r="G144" s="1515">
        <v>1863</v>
      </c>
      <c r="H144" s="1343">
        <f t="shared" ref="H144:H145" si="40">ROUND(E144*G144,)</f>
        <v>0</v>
      </c>
      <c r="I144" s="1344">
        <v>250</v>
      </c>
      <c r="J144" s="1343">
        <f t="shared" ref="J144:J145" si="41">ROUND(E144*I144,)</f>
        <v>0</v>
      </c>
      <c r="K144" s="1262">
        <f t="shared" ref="K144:K145" si="42">H144+J144</f>
        <v>0</v>
      </c>
      <c r="L144" s="1262"/>
    </row>
    <row r="145" spans="1:12" s="1765" customFormat="1" ht="24" customHeight="1">
      <c r="A145" s="2113"/>
      <c r="B145" s="2114" t="s">
        <v>1339</v>
      </c>
      <c r="C145" s="2115"/>
      <c r="D145" s="2108"/>
      <c r="E145" s="1801"/>
      <c r="F145" s="1262" t="s">
        <v>363</v>
      </c>
      <c r="G145" s="1515">
        <v>2130</v>
      </c>
      <c r="H145" s="1343">
        <f t="shared" si="40"/>
        <v>0</v>
      </c>
      <c r="I145" s="1344">
        <v>300</v>
      </c>
      <c r="J145" s="1343">
        <f t="shared" si="41"/>
        <v>0</v>
      </c>
      <c r="K145" s="1262">
        <f t="shared" si="42"/>
        <v>0</v>
      </c>
      <c r="L145" s="1262"/>
    </row>
    <row r="146" spans="1:12" s="2116" customFormat="1" ht="24" customHeight="1">
      <c r="A146" s="2113"/>
      <c r="B146" s="2153" t="s">
        <v>1856</v>
      </c>
      <c r="C146" s="2115"/>
      <c r="D146" s="2108"/>
      <c r="E146" s="2091"/>
      <c r="F146" s="1262" t="s">
        <v>363</v>
      </c>
      <c r="G146" s="1515">
        <v>3876</v>
      </c>
      <c r="H146" s="1343">
        <f>ROUND(E146*G146,)</f>
        <v>0</v>
      </c>
      <c r="I146" s="1344">
        <v>500</v>
      </c>
      <c r="J146" s="1343">
        <f>ROUND(E146*I146,)</f>
        <v>0</v>
      </c>
      <c r="K146" s="1262">
        <f>H146+J146</f>
        <v>0</v>
      </c>
      <c r="L146" s="1262"/>
    </row>
    <row r="147" spans="1:12" s="2116" customFormat="1" ht="24" customHeight="1">
      <c r="A147" s="2113"/>
      <c r="B147" s="2153" t="s">
        <v>1834</v>
      </c>
      <c r="C147" s="2115"/>
      <c r="D147" s="2108"/>
      <c r="E147" s="2091">
        <v>12</v>
      </c>
      <c r="F147" s="1262" t="s">
        <v>363</v>
      </c>
      <c r="G147" s="1515">
        <v>4175</v>
      </c>
      <c r="H147" s="1343">
        <f>ROUND(E147*G147,)</f>
        <v>50100</v>
      </c>
      <c r="I147" s="1344">
        <v>600</v>
      </c>
      <c r="J147" s="1343">
        <f>ROUND(E147*I147,)</f>
        <v>7200</v>
      </c>
      <c r="K147" s="1262">
        <f>H147+J147</f>
        <v>57300</v>
      </c>
      <c r="L147" s="1262"/>
    </row>
    <row r="148" spans="1:12" s="2116" customFormat="1" ht="24" customHeight="1">
      <c r="A148" s="2113"/>
      <c r="B148" s="2114" t="s">
        <v>1759</v>
      </c>
      <c r="C148" s="2115"/>
      <c r="D148" s="2108"/>
      <c r="E148" s="1801"/>
      <c r="F148" s="1262" t="s">
        <v>363</v>
      </c>
      <c r="G148" s="1836">
        <v>5541</v>
      </c>
      <c r="H148" s="1343">
        <f>ROUND(E148*G148,)</f>
        <v>0</v>
      </c>
      <c r="I148" s="1344">
        <v>800</v>
      </c>
      <c r="J148" s="1343">
        <f t="shared" ref="J148:J149" si="43">ROUND(E148*I148,)</f>
        <v>0</v>
      </c>
      <c r="K148" s="1262">
        <f t="shared" ref="K148:K149" si="44">H148+J148</f>
        <v>0</v>
      </c>
      <c r="L148" s="1262"/>
    </row>
    <row r="149" spans="1:12" s="2116" customFormat="1" ht="24" customHeight="1">
      <c r="A149" s="2113"/>
      <c r="B149" s="2114" t="s">
        <v>1866</v>
      </c>
      <c r="C149" s="2115"/>
      <c r="D149" s="2108"/>
      <c r="E149" s="1801"/>
      <c r="F149" s="1262"/>
      <c r="G149" s="1836">
        <v>18915</v>
      </c>
      <c r="H149" s="1343">
        <f>ROUND(E149*G149,)</f>
        <v>0</v>
      </c>
      <c r="I149" s="1344">
        <v>2000</v>
      </c>
      <c r="J149" s="1343">
        <f t="shared" si="43"/>
        <v>0</v>
      </c>
      <c r="K149" s="1262">
        <f t="shared" si="44"/>
        <v>0</v>
      </c>
      <c r="L149" s="1262"/>
    </row>
    <row r="150" spans="1:12" s="2116" customFormat="1" ht="24" customHeight="1">
      <c r="A150" s="2113" t="s">
        <v>2883</v>
      </c>
      <c r="B150" s="2114" t="s">
        <v>2728</v>
      </c>
      <c r="C150" s="2115"/>
      <c r="D150" s="2108"/>
      <c r="E150" s="1801"/>
      <c r="F150" s="1262"/>
      <c r="G150" s="1515"/>
      <c r="H150" s="1343"/>
      <c r="I150" s="1344"/>
      <c r="J150" s="1343"/>
      <c r="K150" s="1262"/>
      <c r="L150" s="1262"/>
    </row>
    <row r="151" spans="1:12" s="2116" customFormat="1" ht="24" customHeight="1">
      <c r="A151" s="2113"/>
      <c r="B151" s="2153" t="s">
        <v>1865</v>
      </c>
      <c r="C151" s="2115"/>
      <c r="D151" s="2108"/>
      <c r="E151" s="2091">
        <v>6</v>
      </c>
      <c r="F151" s="1262" t="s">
        <v>363</v>
      </c>
      <c r="G151" s="1515">
        <v>300</v>
      </c>
      <c r="H151" s="1343">
        <f>ROUND(E151*G151,)</f>
        <v>1800</v>
      </c>
      <c r="I151" s="1344">
        <v>200</v>
      </c>
      <c r="J151" s="1343">
        <f>ROUND(E151*I151,)</f>
        <v>1200</v>
      </c>
      <c r="K151" s="1262">
        <f>H151+J151</f>
        <v>3000</v>
      </c>
      <c r="L151" s="1262"/>
    </row>
    <row r="152" spans="1:12" s="1765" customFormat="1" ht="24" customHeight="1">
      <c r="A152" s="2113" t="s">
        <v>2884</v>
      </c>
      <c r="B152" s="2114" t="s">
        <v>1730</v>
      </c>
      <c r="C152" s="2115"/>
      <c r="D152" s="2108"/>
      <c r="E152" s="1801"/>
      <c r="F152" s="1262"/>
      <c r="G152" s="1515"/>
      <c r="H152" s="1343"/>
      <c r="I152" s="1344"/>
      <c r="J152" s="1343"/>
      <c r="K152" s="1262"/>
      <c r="L152" s="1262"/>
    </row>
    <row r="153" spans="1:12" s="2116" customFormat="1" ht="24" customHeight="1">
      <c r="A153" s="2113"/>
      <c r="B153" s="2114" t="s">
        <v>1337</v>
      </c>
      <c r="C153" s="2115"/>
      <c r="D153" s="2108"/>
      <c r="E153" s="1801">
        <v>6</v>
      </c>
      <c r="F153" s="1262" t="s">
        <v>363</v>
      </c>
      <c r="G153" s="1515">
        <v>2400</v>
      </c>
      <c r="H153" s="1343">
        <f t="shared" ref="H153:H155" si="45">ROUND(E153*G153,)</f>
        <v>14400</v>
      </c>
      <c r="I153" s="1344">
        <v>200</v>
      </c>
      <c r="J153" s="1343">
        <f t="shared" ref="J153:J155" si="46">ROUND(E153*I153,)</f>
        <v>1200</v>
      </c>
      <c r="K153" s="1262">
        <f t="shared" ref="K153:K155" si="47">H153+J153</f>
        <v>15600</v>
      </c>
      <c r="L153" s="1415"/>
    </row>
    <row r="154" spans="1:12" s="2116" customFormat="1" ht="24" customHeight="1">
      <c r="A154" s="2113" t="s">
        <v>2885</v>
      </c>
      <c r="B154" s="2114" t="s">
        <v>1741</v>
      </c>
      <c r="C154" s="2115"/>
      <c r="D154" s="2108"/>
      <c r="E154" s="1801">
        <v>12</v>
      </c>
      <c r="F154" s="1262" t="s">
        <v>363</v>
      </c>
      <c r="G154" s="1515">
        <v>1452</v>
      </c>
      <c r="H154" s="1343">
        <f t="shared" si="45"/>
        <v>17424</v>
      </c>
      <c r="I154" s="1344">
        <v>100</v>
      </c>
      <c r="J154" s="1343">
        <f t="shared" si="46"/>
        <v>1200</v>
      </c>
      <c r="K154" s="1262">
        <f t="shared" si="47"/>
        <v>18624</v>
      </c>
      <c r="L154" s="1262"/>
    </row>
    <row r="155" spans="1:12" s="2116" customFormat="1" ht="24" customHeight="1">
      <c r="A155" s="2113" t="s">
        <v>2886</v>
      </c>
      <c r="B155" s="2114" t="s">
        <v>1987</v>
      </c>
      <c r="C155" s="2115"/>
      <c r="D155" s="2108"/>
      <c r="E155" s="1801">
        <v>12</v>
      </c>
      <c r="F155" s="1262" t="s">
        <v>363</v>
      </c>
      <c r="G155" s="1515">
        <v>1590</v>
      </c>
      <c r="H155" s="1343">
        <f t="shared" si="45"/>
        <v>19080</v>
      </c>
      <c r="I155" s="1344">
        <v>100</v>
      </c>
      <c r="J155" s="1343">
        <f t="shared" si="46"/>
        <v>1200</v>
      </c>
      <c r="K155" s="1262">
        <f t="shared" si="47"/>
        <v>20280</v>
      </c>
      <c r="L155" s="1262"/>
    </row>
    <row r="156" spans="1:12" s="1765" customFormat="1" ht="24" customHeight="1">
      <c r="A156" s="2113"/>
      <c r="B156" s="2114" t="s">
        <v>1117</v>
      </c>
      <c r="C156" s="2115"/>
      <c r="D156" s="2108"/>
      <c r="E156" s="1801"/>
      <c r="F156" s="1262"/>
      <c r="G156" s="1515"/>
      <c r="H156" s="1343"/>
      <c r="I156" s="1344"/>
      <c r="J156" s="1343"/>
      <c r="K156" s="1262"/>
      <c r="L156" s="1262"/>
    </row>
    <row r="157" spans="1:12" s="1765" customFormat="1" ht="24" customHeight="1">
      <c r="A157" s="2113"/>
      <c r="B157" s="2114" t="s">
        <v>1118</v>
      </c>
      <c r="C157" s="2115"/>
      <c r="D157" s="2108"/>
      <c r="E157" s="1801"/>
      <c r="F157" s="1262"/>
      <c r="G157" s="1515"/>
      <c r="H157" s="1343"/>
      <c r="I157" s="1344"/>
      <c r="J157" s="1343"/>
      <c r="K157" s="1262"/>
      <c r="L157" s="1262"/>
    </row>
    <row r="158" spans="1:12" s="1765" customFormat="1" ht="24" customHeight="1">
      <c r="A158" s="1791"/>
      <c r="B158" s="1792"/>
      <c r="C158" s="1702"/>
      <c r="D158" s="1486"/>
      <c r="E158" s="1793"/>
      <c r="F158" s="1487"/>
      <c r="G158" s="1864"/>
      <c r="H158" s="1425"/>
      <c r="I158" s="1488"/>
      <c r="J158" s="1425"/>
      <c r="K158" s="1426"/>
      <c r="L158" s="1426"/>
    </row>
    <row r="159" spans="1:12" s="1765" customFormat="1" ht="24" customHeight="1">
      <c r="A159" s="1578"/>
      <c r="B159" s="2257" t="str">
        <f>"รวมราคารายการที่ "&amp;A123</f>
        <v>รวมราคารายการที่ 7.6</v>
      </c>
      <c r="C159" s="2258"/>
      <c r="D159" s="2259"/>
      <c r="E159" s="1579"/>
      <c r="F159" s="1579"/>
      <c r="G159" s="1580"/>
      <c r="H159" s="1581">
        <f>SUM(H125:H158)</f>
        <v>155646</v>
      </c>
      <c r="I159" s="1582"/>
      <c r="J159" s="1581">
        <f>SUM(J125:J158)</f>
        <v>22800</v>
      </c>
      <c r="K159" s="1581">
        <f>SUM(K125:K158)</f>
        <v>178446</v>
      </c>
      <c r="L159" s="1583"/>
    </row>
    <row r="160" spans="1:12" s="1765" customFormat="1" ht="24" customHeight="1">
      <c r="A160" s="1847" t="s">
        <v>2308</v>
      </c>
      <c r="B160" s="1848" t="s">
        <v>2177</v>
      </c>
      <c r="C160" s="1849"/>
      <c r="D160" s="1354"/>
      <c r="E160" s="1802"/>
      <c r="F160" s="1356"/>
      <c r="G160" s="1803"/>
      <c r="H160" s="1369"/>
      <c r="I160" s="1370"/>
      <c r="J160" s="1369"/>
      <c r="K160" s="1356"/>
      <c r="L160" s="1356"/>
    </row>
    <row r="161" spans="1:16" s="1765" customFormat="1" ht="24" customHeight="1">
      <c r="A161" s="2113" t="s">
        <v>2084</v>
      </c>
      <c r="B161" s="2149" t="s">
        <v>2729</v>
      </c>
      <c r="C161" s="2115"/>
      <c r="D161" s="2150"/>
      <c r="E161" s="1802"/>
      <c r="F161" s="1356"/>
      <c r="G161" s="1803"/>
      <c r="H161" s="1369"/>
      <c r="I161" s="1370"/>
      <c r="J161" s="1369"/>
      <c r="K161" s="1356"/>
      <c r="L161" s="1356"/>
    </row>
    <row r="162" spans="1:16" s="2116" customFormat="1" ht="24" customHeight="1">
      <c r="A162" s="2113"/>
      <c r="B162" s="2107" t="s">
        <v>2745</v>
      </c>
      <c r="C162" s="2115"/>
      <c r="D162" s="2108"/>
      <c r="E162" s="1801">
        <v>1</v>
      </c>
      <c r="F162" s="1262" t="s">
        <v>363</v>
      </c>
      <c r="G162" s="1515">
        <v>89000</v>
      </c>
      <c r="H162" s="1413">
        <f t="shared" ref="H162:H168" si="48">ROUND(E162*G162,)</f>
        <v>89000</v>
      </c>
      <c r="I162" s="1515">
        <f>G162*0.1</f>
        <v>8900</v>
      </c>
      <c r="J162" s="1413">
        <f t="shared" ref="J162:J168" si="49">ROUND(E162*I162,)</f>
        <v>8900</v>
      </c>
      <c r="K162" s="1415">
        <f t="shared" ref="K162:K168" si="50">H162+J162</f>
        <v>97900</v>
      </c>
      <c r="L162" s="1262"/>
    </row>
    <row r="163" spans="1:16" s="2116" customFormat="1" ht="24" customHeight="1">
      <c r="A163" s="2113"/>
      <c r="B163" s="2107" t="s">
        <v>2746</v>
      </c>
      <c r="C163" s="2115"/>
      <c r="D163" s="2108"/>
      <c r="E163" s="1801">
        <v>1</v>
      </c>
      <c r="F163" s="1262" t="s">
        <v>363</v>
      </c>
      <c r="G163" s="1515">
        <v>89000</v>
      </c>
      <c r="H163" s="1413">
        <f t="shared" si="48"/>
        <v>89000</v>
      </c>
      <c r="I163" s="1515">
        <f t="shared" ref="I163:I167" si="51">G163*0.1</f>
        <v>8900</v>
      </c>
      <c r="J163" s="1413">
        <f t="shared" si="49"/>
        <v>8900</v>
      </c>
      <c r="K163" s="1415">
        <f t="shared" si="50"/>
        <v>97900</v>
      </c>
      <c r="L163" s="1262"/>
    </row>
    <row r="164" spans="1:16" s="2116" customFormat="1" ht="24" customHeight="1">
      <c r="A164" s="2113"/>
      <c r="B164" s="2107" t="s">
        <v>2747</v>
      </c>
      <c r="C164" s="2115"/>
      <c r="D164" s="2108"/>
      <c r="E164" s="1801">
        <v>1</v>
      </c>
      <c r="F164" s="1262" t="s">
        <v>363</v>
      </c>
      <c r="G164" s="1515">
        <v>89000</v>
      </c>
      <c r="H164" s="1413">
        <f t="shared" si="48"/>
        <v>89000</v>
      </c>
      <c r="I164" s="1515">
        <f t="shared" si="51"/>
        <v>8900</v>
      </c>
      <c r="J164" s="1413">
        <f t="shared" si="49"/>
        <v>8900</v>
      </c>
      <c r="K164" s="1415">
        <f t="shared" si="50"/>
        <v>97900</v>
      </c>
      <c r="L164" s="1262"/>
    </row>
    <row r="165" spans="1:16" s="2116" customFormat="1" ht="24" customHeight="1">
      <c r="A165" s="2113"/>
      <c r="B165" s="2107" t="s">
        <v>2768</v>
      </c>
      <c r="C165" s="2115"/>
      <c r="D165" s="2108"/>
      <c r="E165" s="1801">
        <v>1</v>
      </c>
      <c r="F165" s="1262" t="s">
        <v>363</v>
      </c>
      <c r="G165" s="1515">
        <v>89000</v>
      </c>
      <c r="H165" s="1413">
        <f t="shared" si="48"/>
        <v>89000</v>
      </c>
      <c r="I165" s="1515">
        <f t="shared" si="51"/>
        <v>8900</v>
      </c>
      <c r="J165" s="1413">
        <f t="shared" si="49"/>
        <v>8900</v>
      </c>
      <c r="K165" s="1415">
        <f t="shared" si="50"/>
        <v>97900</v>
      </c>
      <c r="L165" s="1262"/>
    </row>
    <row r="166" spans="1:16" s="2116" customFormat="1" ht="24" customHeight="1">
      <c r="A166" s="2113"/>
      <c r="B166" s="2107" t="s">
        <v>2769</v>
      </c>
      <c r="C166" s="2115"/>
      <c r="D166" s="2108"/>
      <c r="E166" s="1801">
        <v>1</v>
      </c>
      <c r="F166" s="1262" t="s">
        <v>363</v>
      </c>
      <c r="G166" s="1515">
        <v>89000</v>
      </c>
      <c r="H166" s="1413">
        <f t="shared" si="48"/>
        <v>89000</v>
      </c>
      <c r="I166" s="1515">
        <f t="shared" si="51"/>
        <v>8900</v>
      </c>
      <c r="J166" s="1413">
        <f t="shared" si="49"/>
        <v>8900</v>
      </c>
      <c r="K166" s="1415">
        <f t="shared" si="50"/>
        <v>97900</v>
      </c>
      <c r="L166" s="1262"/>
    </row>
    <row r="167" spans="1:16" s="2116" customFormat="1" ht="24" customHeight="1">
      <c r="A167" s="2113"/>
      <c r="B167" s="2107" t="s">
        <v>2770</v>
      </c>
      <c r="C167" s="2115"/>
      <c r="D167" s="2108"/>
      <c r="E167" s="1801">
        <v>1</v>
      </c>
      <c r="F167" s="1262" t="s">
        <v>363</v>
      </c>
      <c r="G167" s="1515">
        <v>89000</v>
      </c>
      <c r="H167" s="1413">
        <f t="shared" si="48"/>
        <v>89000</v>
      </c>
      <c r="I167" s="1515">
        <f t="shared" si="51"/>
        <v>8900</v>
      </c>
      <c r="J167" s="1413">
        <f t="shared" si="49"/>
        <v>8900</v>
      </c>
      <c r="K167" s="1415">
        <f t="shared" si="50"/>
        <v>97900</v>
      </c>
      <c r="L167" s="1262"/>
    </row>
    <row r="168" spans="1:16" s="1765" customFormat="1" ht="24" customHeight="1">
      <c r="A168" s="2113"/>
      <c r="B168" s="2149"/>
      <c r="C168" s="2115"/>
      <c r="D168" s="2150"/>
      <c r="E168" s="1801"/>
      <c r="F168" s="1356" t="s">
        <v>363</v>
      </c>
      <c r="G168" s="1515">
        <v>33000</v>
      </c>
      <c r="H168" s="820">
        <f t="shared" si="48"/>
        <v>0</v>
      </c>
      <c r="I168" s="1515">
        <v>1500</v>
      </c>
      <c r="J168" s="820">
        <f t="shared" si="49"/>
        <v>0</v>
      </c>
      <c r="K168" s="1457">
        <f t="shared" si="50"/>
        <v>0</v>
      </c>
      <c r="L168" s="1356"/>
    </row>
    <row r="169" spans="1:16" s="1765" customFormat="1" ht="24" customHeight="1">
      <c r="A169" s="2113" t="s">
        <v>2089</v>
      </c>
      <c r="B169" s="2149" t="s">
        <v>1355</v>
      </c>
      <c r="C169" s="2115"/>
      <c r="D169" s="2150"/>
      <c r="E169" s="1801"/>
      <c r="F169" s="1356"/>
      <c r="G169" s="1515"/>
      <c r="H169" s="1369"/>
      <c r="I169" s="1370"/>
      <c r="J169" s="1369"/>
      <c r="K169" s="1356"/>
      <c r="L169" s="1356"/>
    </row>
    <row r="170" spans="1:16" s="1765" customFormat="1" ht="24" customHeight="1">
      <c r="A170" s="2113"/>
      <c r="B170" s="2149" t="s">
        <v>1811</v>
      </c>
      <c r="C170" s="2115"/>
      <c r="D170" s="2150"/>
      <c r="E170" s="1801"/>
      <c r="F170" s="1356" t="s">
        <v>226</v>
      </c>
      <c r="G170" s="1386">
        <v>9</v>
      </c>
      <c r="H170" s="1343">
        <f t="shared" ref="H170:H171" si="52">ROUND(E170*G170,)</f>
        <v>0</v>
      </c>
      <c r="I170" s="1344">
        <v>7</v>
      </c>
      <c r="J170" s="1413">
        <f t="shared" ref="J170:J171" si="53">ROUND(E170*I170,)</f>
        <v>0</v>
      </c>
      <c r="K170" s="1415">
        <f t="shared" ref="K170:K171" si="54">H170+J170</f>
        <v>0</v>
      </c>
      <c r="L170" s="2151" t="s">
        <v>2667</v>
      </c>
      <c r="N170" s="1854">
        <v>912.1</v>
      </c>
      <c r="O170" s="1854">
        <f t="shared" ref="O170:O171" si="55">ROUND(N170/100,)</f>
        <v>9</v>
      </c>
    </row>
    <row r="171" spans="1:16" s="2116" customFormat="1" ht="24" customHeight="1">
      <c r="A171" s="2113"/>
      <c r="B171" s="2107" t="s">
        <v>1317</v>
      </c>
      <c r="C171" s="2115"/>
      <c r="D171" s="2108"/>
      <c r="E171" s="1801">
        <f>4*5*1.5*6</f>
        <v>180</v>
      </c>
      <c r="F171" s="1262" t="s">
        <v>226</v>
      </c>
      <c r="G171" s="1386">
        <v>23</v>
      </c>
      <c r="H171" s="1343">
        <f t="shared" si="52"/>
        <v>4140</v>
      </c>
      <c r="I171" s="1344">
        <v>12</v>
      </c>
      <c r="J171" s="1343">
        <f t="shared" si="53"/>
        <v>2160</v>
      </c>
      <c r="K171" s="1262">
        <f t="shared" si="54"/>
        <v>6300</v>
      </c>
      <c r="L171" s="2151" t="s">
        <v>2667</v>
      </c>
      <c r="N171" s="2117">
        <v>2264.1999999999998</v>
      </c>
      <c r="O171" s="2117">
        <f t="shared" si="55"/>
        <v>23</v>
      </c>
      <c r="P171" s="2117"/>
    </row>
    <row r="172" spans="1:16" s="1765" customFormat="1" ht="24" customHeight="1">
      <c r="A172" s="2113" t="s">
        <v>2266</v>
      </c>
      <c r="B172" s="2149" t="s">
        <v>1110</v>
      </c>
      <c r="C172" s="2115"/>
      <c r="D172" s="2150"/>
      <c r="E172" s="1801"/>
      <c r="F172" s="1356"/>
      <c r="G172" s="1515"/>
      <c r="H172" s="1369"/>
      <c r="I172" s="1370"/>
      <c r="J172" s="1369"/>
      <c r="K172" s="1356"/>
      <c r="L172" s="1356"/>
    </row>
    <row r="173" spans="1:16" s="1765" customFormat="1" ht="24" customHeight="1">
      <c r="A173" s="2113"/>
      <c r="B173" s="2149" t="s">
        <v>1350</v>
      </c>
      <c r="C173" s="2115"/>
      <c r="D173" s="2150"/>
      <c r="E173" s="1801"/>
      <c r="F173" s="1356" t="s">
        <v>226</v>
      </c>
      <c r="G173" s="1515">
        <v>56</v>
      </c>
      <c r="H173" s="1343">
        <f t="shared" ref="H173:H175" si="56">ROUND(E173*G173,)</f>
        <v>0</v>
      </c>
      <c r="I173" s="1344">
        <v>26</v>
      </c>
      <c r="J173" s="1413">
        <f t="shared" ref="J173:J175" si="57">ROUND(E173*I173,)</f>
        <v>0</v>
      </c>
      <c r="K173" s="1415">
        <f t="shared" ref="K173:K175" si="58">H173+J173</f>
        <v>0</v>
      </c>
      <c r="L173" s="2152" t="s">
        <v>2667</v>
      </c>
      <c r="M173" s="2002"/>
      <c r="N173" s="1765">
        <v>169.2</v>
      </c>
      <c r="O173" s="1765">
        <f t="shared" ref="O173:O174" si="59">ROUND(N173/3,)</f>
        <v>56</v>
      </c>
    </row>
    <row r="174" spans="1:16" s="2116" customFormat="1" ht="24" customHeight="1">
      <c r="A174" s="2113"/>
      <c r="B174" s="2107" t="s">
        <v>1448</v>
      </c>
      <c r="C174" s="2115"/>
      <c r="D174" s="2108"/>
      <c r="E174" s="1801">
        <f>E171</f>
        <v>180</v>
      </c>
      <c r="F174" s="1262" t="s">
        <v>226</v>
      </c>
      <c r="G174" s="1515">
        <v>75</v>
      </c>
      <c r="H174" s="1343">
        <f t="shared" si="56"/>
        <v>13500</v>
      </c>
      <c r="I174" s="1344">
        <v>28</v>
      </c>
      <c r="J174" s="1413">
        <f t="shared" si="57"/>
        <v>5040</v>
      </c>
      <c r="K174" s="1415">
        <f t="shared" si="58"/>
        <v>18540</v>
      </c>
      <c r="L174" s="2152" t="s">
        <v>2667</v>
      </c>
      <c r="M174" s="2118"/>
      <c r="N174" s="2116">
        <v>225</v>
      </c>
      <c r="O174" s="2116">
        <f t="shared" si="59"/>
        <v>75</v>
      </c>
      <c r="P174" s="2117"/>
    </row>
    <row r="175" spans="1:16" s="1765" customFormat="1" ht="24" customHeight="1">
      <c r="A175" s="2113"/>
      <c r="B175" s="2149" t="s">
        <v>1384</v>
      </c>
      <c r="C175" s="2115"/>
      <c r="D175" s="2150"/>
      <c r="E175" s="1801">
        <v>1</v>
      </c>
      <c r="F175" s="1356" t="s">
        <v>1104</v>
      </c>
      <c r="G175" s="1515">
        <f>SUM(H173:H174)*15%</f>
        <v>2025</v>
      </c>
      <c r="H175" s="820">
        <f t="shared" si="56"/>
        <v>2025</v>
      </c>
      <c r="I175" s="1414">
        <f>G175*0.3</f>
        <v>607.5</v>
      </c>
      <c r="J175" s="820">
        <f t="shared" si="57"/>
        <v>608</v>
      </c>
      <c r="K175" s="1457">
        <f t="shared" si="58"/>
        <v>2633</v>
      </c>
      <c r="L175" s="1356"/>
    </row>
    <row r="176" spans="1:16" s="1765" customFormat="1" ht="24" customHeight="1">
      <c r="A176" s="2113"/>
      <c r="B176" s="2107" t="s">
        <v>1117</v>
      </c>
      <c r="C176" s="2115"/>
      <c r="D176" s="2108"/>
      <c r="E176" s="1801"/>
      <c r="F176" s="1262"/>
      <c r="G176" s="1515"/>
      <c r="H176" s="1343"/>
      <c r="I176" s="1344"/>
      <c r="J176" s="1343"/>
      <c r="K176" s="1262"/>
      <c r="L176" s="1262"/>
    </row>
    <row r="177" spans="1:12" s="1765" customFormat="1" ht="24" customHeight="1">
      <c r="A177" s="2113"/>
      <c r="B177" s="2107"/>
      <c r="C177" s="2115"/>
      <c r="D177" s="2108"/>
      <c r="E177" s="1801"/>
      <c r="F177" s="1262"/>
      <c r="G177" s="1515"/>
      <c r="H177" s="1343"/>
      <c r="I177" s="1344"/>
      <c r="J177" s="1343"/>
      <c r="K177" s="1262"/>
      <c r="L177" s="1262"/>
    </row>
    <row r="178" spans="1:12" s="1765" customFormat="1" ht="24" customHeight="1">
      <c r="A178" s="2113"/>
      <c r="B178" s="2107"/>
      <c r="C178" s="2115"/>
      <c r="D178" s="2108"/>
      <c r="E178" s="1801"/>
      <c r="F178" s="1262"/>
      <c r="G178" s="1515"/>
      <c r="H178" s="1343"/>
      <c r="I178" s="1344"/>
      <c r="J178" s="1343"/>
      <c r="K178" s="1262"/>
      <c r="L178" s="1262"/>
    </row>
    <row r="179" spans="1:12" s="1765" customFormat="1" ht="24" customHeight="1">
      <c r="A179" s="2113"/>
      <c r="B179" s="2107"/>
      <c r="C179" s="2115"/>
      <c r="D179" s="2108"/>
      <c r="E179" s="1801"/>
      <c r="F179" s="1262"/>
      <c r="G179" s="1515"/>
      <c r="H179" s="1343"/>
      <c r="I179" s="1344"/>
      <c r="J179" s="1343"/>
      <c r="K179" s="1262"/>
      <c r="L179" s="1262"/>
    </row>
    <row r="180" spans="1:12" s="1765" customFormat="1" ht="24" customHeight="1">
      <c r="A180" s="2113"/>
      <c r="B180" s="2107"/>
      <c r="C180" s="2115"/>
      <c r="D180" s="2108"/>
      <c r="E180" s="1801"/>
      <c r="F180" s="1262"/>
      <c r="G180" s="1515"/>
      <c r="H180" s="1343"/>
      <c r="I180" s="1344"/>
      <c r="J180" s="1343"/>
      <c r="K180" s="1262"/>
      <c r="L180" s="1262"/>
    </row>
    <row r="181" spans="1:12" s="1765" customFormat="1" ht="24" customHeight="1">
      <c r="A181" s="2113"/>
      <c r="B181" s="2107"/>
      <c r="C181" s="2115"/>
      <c r="D181" s="2108"/>
      <c r="E181" s="1801"/>
      <c r="F181" s="1262"/>
      <c r="G181" s="1515"/>
      <c r="H181" s="1343"/>
      <c r="I181" s="1344"/>
      <c r="J181" s="1343"/>
      <c r="K181" s="1262"/>
      <c r="L181" s="1262"/>
    </row>
    <row r="182" spans="1:12" s="1765" customFormat="1" ht="24" customHeight="1">
      <c r="A182" s="1804"/>
      <c r="B182" s="1780"/>
      <c r="C182" s="1800"/>
      <c r="D182" s="1260"/>
      <c r="E182" s="1801"/>
      <c r="F182" s="1262"/>
      <c r="G182" s="1515"/>
      <c r="H182" s="1343"/>
      <c r="I182" s="1344"/>
      <c r="J182" s="1343"/>
      <c r="K182" s="1262"/>
      <c r="L182" s="1262"/>
    </row>
    <row r="183" spans="1:12" s="1765" customFormat="1" ht="24" customHeight="1">
      <c r="A183" s="1865"/>
      <c r="B183" s="1799"/>
      <c r="C183" s="1866"/>
      <c r="D183" s="1375"/>
      <c r="E183" s="1867"/>
      <c r="F183" s="1377"/>
      <c r="G183" s="1868"/>
      <c r="H183" s="1379"/>
      <c r="I183" s="1380"/>
      <c r="J183" s="1379"/>
      <c r="K183" s="1377"/>
      <c r="L183" s="1377"/>
    </row>
    <row r="184" spans="1:12" s="1765" customFormat="1" ht="24" customHeight="1">
      <c r="A184" s="1578"/>
      <c r="B184" s="2257" t="str">
        <f>"รวมราคารายการที่ "&amp;A160</f>
        <v>รวมราคารายการที่ 7.7</v>
      </c>
      <c r="C184" s="2258"/>
      <c r="D184" s="2259"/>
      <c r="E184" s="1579"/>
      <c r="F184" s="1579"/>
      <c r="G184" s="1580"/>
      <c r="H184" s="1581">
        <f>SUM(H160:H183)</f>
        <v>553665</v>
      </c>
      <c r="I184" s="1582"/>
      <c r="J184" s="1581">
        <f>SUM(J160:J183)</f>
        <v>61208</v>
      </c>
      <c r="K184" s="1581">
        <f>SUM(K160:K183)</f>
        <v>614873</v>
      </c>
      <c r="L184" s="1583"/>
    </row>
    <row r="185" spans="1:12" s="1765" customFormat="1" ht="24" customHeight="1">
      <c r="A185" s="1291" t="s">
        <v>2091</v>
      </c>
      <c r="B185" s="1776" t="s">
        <v>2109</v>
      </c>
      <c r="C185" s="1293"/>
      <c r="D185" s="1294"/>
      <c r="E185" s="1786"/>
      <c r="F185" s="1296"/>
      <c r="G185" s="1357"/>
      <c r="H185" s="1298"/>
      <c r="I185" s="1299"/>
      <c r="J185" s="1298"/>
      <c r="K185" s="1382"/>
      <c r="L185" s="1382"/>
    </row>
    <row r="186" spans="1:12" s="1765" customFormat="1" ht="24" customHeight="1">
      <c r="A186" s="1766" t="s">
        <v>2093</v>
      </c>
      <c r="B186" s="1799" t="s">
        <v>2111</v>
      </c>
      <c r="C186" s="1800"/>
      <c r="D186" s="1375"/>
      <c r="E186" s="1802"/>
      <c r="F186" s="1356" t="s">
        <v>363</v>
      </c>
      <c r="G186" s="1803">
        <v>690000</v>
      </c>
      <c r="H186" s="1343">
        <f t="shared" ref="H186" si="60">ROUND(E186*G186,)</f>
        <v>0</v>
      </c>
      <c r="I186" s="1370">
        <v>17250</v>
      </c>
      <c r="J186" s="1343">
        <f t="shared" ref="J186:J193" si="61">ROUND(E186*I186,)</f>
        <v>0</v>
      </c>
      <c r="K186" s="1262">
        <f t="shared" ref="K186:K193" si="62">H186+J186</f>
        <v>0</v>
      </c>
      <c r="L186" s="1356"/>
    </row>
    <row r="187" spans="1:12" s="1765" customFormat="1" ht="24" customHeight="1">
      <c r="A187" s="1766" t="s">
        <v>2096</v>
      </c>
      <c r="B187" s="1799" t="s">
        <v>2113</v>
      </c>
      <c r="C187" s="1800"/>
      <c r="D187" s="1375"/>
      <c r="E187" s="1802"/>
      <c r="F187" s="1356" t="s">
        <v>363</v>
      </c>
      <c r="G187" s="1803">
        <v>80000</v>
      </c>
      <c r="H187" s="1343">
        <f>ROUND(E187*G187,)</f>
        <v>0</v>
      </c>
      <c r="I187" s="1370">
        <v>2000</v>
      </c>
      <c r="J187" s="1343">
        <f t="shared" si="61"/>
        <v>0</v>
      </c>
      <c r="K187" s="1262">
        <f t="shared" si="62"/>
        <v>0</v>
      </c>
      <c r="L187" s="1356"/>
    </row>
    <row r="188" spans="1:12" s="1765" customFormat="1" ht="24" customHeight="1">
      <c r="A188" s="1766" t="s">
        <v>2099</v>
      </c>
      <c r="B188" s="1538" t="s">
        <v>1816</v>
      </c>
      <c r="C188" s="1437"/>
      <c r="D188" s="1275"/>
      <c r="E188" s="1768"/>
      <c r="F188" s="1358"/>
      <c r="G188" s="1516">
        <v>950000</v>
      </c>
      <c r="H188" s="1264">
        <f t="shared" ref="H188:H193" si="63">ROUND(E188*G188,)</f>
        <v>0</v>
      </c>
      <c r="I188" s="1265">
        <f>G188*0.015</f>
        <v>14250</v>
      </c>
      <c r="J188" s="1264">
        <f t="shared" si="61"/>
        <v>0</v>
      </c>
      <c r="K188" s="1273">
        <f t="shared" si="62"/>
        <v>0</v>
      </c>
      <c r="L188" s="1273"/>
    </row>
    <row r="189" spans="1:12" s="1765" customFormat="1" ht="24" customHeight="1">
      <c r="A189" s="1766"/>
      <c r="B189" s="1538" t="s">
        <v>2115</v>
      </c>
      <c r="C189" s="1437"/>
      <c r="D189" s="1275"/>
      <c r="E189" s="1768">
        <v>6</v>
      </c>
      <c r="F189" s="1358" t="s">
        <v>363</v>
      </c>
      <c r="G189" s="1515">
        <v>2650</v>
      </c>
      <c r="H189" s="1343">
        <f t="shared" si="63"/>
        <v>15900</v>
      </c>
      <c r="I189" s="1370">
        <v>500</v>
      </c>
      <c r="J189" s="1343">
        <f t="shared" si="61"/>
        <v>3000</v>
      </c>
      <c r="K189" s="1262">
        <f t="shared" si="62"/>
        <v>18900</v>
      </c>
      <c r="L189" s="1273"/>
    </row>
    <row r="190" spans="1:12" s="1765" customFormat="1" ht="24" customHeight="1">
      <c r="A190" s="1766"/>
      <c r="B190" s="1538" t="s">
        <v>2116</v>
      </c>
      <c r="C190" s="1437"/>
      <c r="D190" s="1275"/>
      <c r="E190" s="1768">
        <v>6</v>
      </c>
      <c r="F190" s="1358" t="s">
        <v>363</v>
      </c>
      <c r="G190" s="1515">
        <v>560</v>
      </c>
      <c r="H190" s="1343">
        <f t="shared" si="63"/>
        <v>3360</v>
      </c>
      <c r="I190" s="1370">
        <v>500</v>
      </c>
      <c r="J190" s="1343">
        <f t="shared" si="61"/>
        <v>3000</v>
      </c>
      <c r="K190" s="1262">
        <f t="shared" si="62"/>
        <v>6360</v>
      </c>
      <c r="L190" s="1273"/>
    </row>
    <row r="191" spans="1:12" s="1765" customFormat="1" ht="24" customHeight="1">
      <c r="A191" s="1258"/>
      <c r="B191" s="1538" t="s">
        <v>2117</v>
      </c>
      <c r="C191" s="1437"/>
      <c r="D191" s="1275"/>
      <c r="E191" s="1768"/>
      <c r="F191" s="1358" t="s">
        <v>363</v>
      </c>
      <c r="G191" s="1515">
        <v>1340</v>
      </c>
      <c r="H191" s="1343">
        <f t="shared" si="63"/>
        <v>0</v>
      </c>
      <c r="I191" s="1370">
        <v>500</v>
      </c>
      <c r="J191" s="1343">
        <f t="shared" si="61"/>
        <v>0</v>
      </c>
      <c r="K191" s="1262">
        <f t="shared" si="62"/>
        <v>0</v>
      </c>
      <c r="L191" s="1273"/>
    </row>
    <row r="192" spans="1:12" s="1765" customFormat="1" ht="24" customHeight="1">
      <c r="A192" s="1258"/>
      <c r="B192" s="1538" t="s">
        <v>2118</v>
      </c>
      <c r="C192" s="1437"/>
      <c r="D192" s="1275"/>
      <c r="E192" s="1768"/>
      <c r="F192" s="1358" t="s">
        <v>363</v>
      </c>
      <c r="G192" s="1515">
        <v>760</v>
      </c>
      <c r="H192" s="1343">
        <f t="shared" si="63"/>
        <v>0</v>
      </c>
      <c r="I192" s="1370">
        <v>500</v>
      </c>
      <c r="J192" s="1343">
        <f t="shared" si="61"/>
        <v>0</v>
      </c>
      <c r="K192" s="1262">
        <f t="shared" si="62"/>
        <v>0</v>
      </c>
      <c r="L192" s="1273"/>
    </row>
    <row r="193" spans="1:15" s="1765" customFormat="1" ht="24" customHeight="1">
      <c r="A193" s="1258"/>
      <c r="B193" s="1538" t="s">
        <v>2119</v>
      </c>
      <c r="C193" s="1437"/>
      <c r="D193" s="1275"/>
      <c r="E193" s="1768">
        <v>6</v>
      </c>
      <c r="F193" s="1358" t="s">
        <v>363</v>
      </c>
      <c r="G193" s="1515">
        <v>1340</v>
      </c>
      <c r="H193" s="1343">
        <f t="shared" si="63"/>
        <v>8040</v>
      </c>
      <c r="I193" s="1370">
        <v>500</v>
      </c>
      <c r="J193" s="1343">
        <f t="shared" si="61"/>
        <v>3000</v>
      </c>
      <c r="K193" s="1262">
        <f t="shared" si="62"/>
        <v>11040</v>
      </c>
      <c r="L193" s="1273"/>
    </row>
    <row r="194" spans="1:15" s="1765" customFormat="1" ht="24" customHeight="1">
      <c r="A194" s="1258"/>
      <c r="B194" s="1538" t="s">
        <v>2120</v>
      </c>
      <c r="C194" s="1437"/>
      <c r="D194" s="1275"/>
      <c r="E194" s="1768"/>
      <c r="F194" s="1358" t="s">
        <v>363</v>
      </c>
      <c r="G194" s="1515"/>
      <c r="H194" s="1369"/>
      <c r="I194" s="1370"/>
      <c r="J194" s="1369"/>
      <c r="K194" s="1356"/>
      <c r="L194" s="1273"/>
    </row>
    <row r="195" spans="1:15" s="1765" customFormat="1" ht="24" customHeight="1">
      <c r="A195" s="1258"/>
      <c r="B195" s="1538" t="s">
        <v>2121</v>
      </c>
      <c r="C195" s="1437"/>
      <c r="D195" s="1275"/>
      <c r="E195" s="1768">
        <v>6</v>
      </c>
      <c r="F195" s="1358" t="s">
        <v>363</v>
      </c>
      <c r="G195" s="1515">
        <v>4550</v>
      </c>
      <c r="H195" s="1343">
        <f t="shared" ref="H195" si="64">ROUND(E195*G195,)</f>
        <v>27300</v>
      </c>
      <c r="I195" s="1370">
        <v>1365</v>
      </c>
      <c r="J195" s="1343">
        <f t="shared" ref="J195" si="65">ROUND(E195*I195,)</f>
        <v>8190</v>
      </c>
      <c r="K195" s="1262">
        <f t="shared" ref="K195" si="66">H195+J195</f>
        <v>35490</v>
      </c>
      <c r="L195" s="1273"/>
    </row>
    <row r="196" spans="1:15" s="1765" customFormat="1" ht="24" customHeight="1">
      <c r="A196" s="1766" t="s">
        <v>2104</v>
      </c>
      <c r="B196" s="1538" t="s">
        <v>2122</v>
      </c>
      <c r="C196" s="1437"/>
      <c r="D196" s="1275"/>
      <c r="E196" s="1768"/>
      <c r="F196" s="1358"/>
      <c r="G196" s="1516"/>
      <c r="H196" s="1264"/>
      <c r="I196" s="1265"/>
      <c r="J196" s="1264"/>
      <c r="K196" s="1273"/>
      <c r="L196" s="1273"/>
    </row>
    <row r="197" spans="1:15" s="1765" customFormat="1" ht="24" customHeight="1">
      <c r="A197" s="1258"/>
      <c r="B197" s="1538" t="s">
        <v>2123</v>
      </c>
      <c r="C197" s="1437"/>
      <c r="D197" s="1275"/>
      <c r="E197" s="1801">
        <f>(7*5*5*1*2)*1</f>
        <v>350</v>
      </c>
      <c r="F197" s="1356" t="s">
        <v>226</v>
      </c>
      <c r="G197" s="1515">
        <v>139</v>
      </c>
      <c r="H197" s="1343">
        <f t="shared" ref="H197:H198" si="67">ROUND(E197*G197,)</f>
        <v>48650</v>
      </c>
      <c r="I197" s="1370">
        <v>21</v>
      </c>
      <c r="J197" s="1343">
        <f t="shared" ref="J197:J198" si="68">ROUND(E197*I197,)</f>
        <v>7350</v>
      </c>
      <c r="K197" s="1262">
        <f t="shared" ref="K197:K198" si="69">H197+J197</f>
        <v>56000</v>
      </c>
      <c r="L197" s="1273"/>
    </row>
    <row r="198" spans="1:15" s="1765" customFormat="1" ht="24" customHeight="1">
      <c r="A198" s="1258"/>
      <c r="B198" s="1538" t="s">
        <v>2124</v>
      </c>
      <c r="C198" s="1437"/>
      <c r="D198" s="1275"/>
      <c r="E198" s="1801">
        <f>(4*5*5*2*1)*1</f>
        <v>200</v>
      </c>
      <c r="F198" s="1356" t="s">
        <v>226</v>
      </c>
      <c r="G198" s="1515">
        <v>103</v>
      </c>
      <c r="H198" s="1343">
        <f t="shared" si="67"/>
        <v>20600</v>
      </c>
      <c r="I198" s="1370">
        <v>15</v>
      </c>
      <c r="J198" s="1343">
        <f t="shared" si="68"/>
        <v>3000</v>
      </c>
      <c r="K198" s="1262">
        <f t="shared" si="69"/>
        <v>23600</v>
      </c>
      <c r="L198" s="1273"/>
    </row>
    <row r="199" spans="1:15" s="1765" customFormat="1" ht="24" customHeight="1">
      <c r="A199" s="1258"/>
      <c r="B199" s="1538" t="s">
        <v>1548</v>
      </c>
      <c r="C199" s="1437"/>
      <c r="D199" s="1275"/>
      <c r="E199" s="1768"/>
      <c r="F199" s="1358" t="s">
        <v>226</v>
      </c>
      <c r="G199" s="1516"/>
      <c r="H199" s="1264"/>
      <c r="I199" s="1265"/>
      <c r="J199" s="1264"/>
      <c r="K199" s="1273"/>
      <c r="L199" s="1273"/>
    </row>
    <row r="200" spans="1:15" s="1765" customFormat="1" ht="24" customHeight="1">
      <c r="A200" s="1804"/>
      <c r="B200" s="1799" t="s">
        <v>2125</v>
      </c>
      <c r="C200" s="1800"/>
      <c r="D200" s="1375"/>
      <c r="E200" s="1801"/>
      <c r="F200" s="1356" t="s">
        <v>226</v>
      </c>
      <c r="G200" s="1515">
        <v>24</v>
      </c>
      <c r="H200" s="1343">
        <f t="shared" ref="H200:H202" si="70">ROUND(E200*G200,)</f>
        <v>0</v>
      </c>
      <c r="I200" s="1370">
        <v>8</v>
      </c>
      <c r="J200" s="1343">
        <f t="shared" ref="J200:J202" si="71">ROUND(E200*I200,)</f>
        <v>0</v>
      </c>
      <c r="K200" s="1262">
        <f t="shared" ref="K200:K202" si="72">H200+J200</f>
        <v>0</v>
      </c>
      <c r="L200" s="1356"/>
    </row>
    <row r="201" spans="1:15" s="1765" customFormat="1" ht="24" customHeight="1">
      <c r="A201" s="1804"/>
      <c r="B201" s="1799" t="s">
        <v>2126</v>
      </c>
      <c r="C201" s="1800"/>
      <c r="D201" s="1375"/>
      <c r="E201" s="1801"/>
      <c r="F201" s="1356" t="s">
        <v>226</v>
      </c>
      <c r="G201" s="1515">
        <v>15</v>
      </c>
      <c r="H201" s="1343">
        <f t="shared" si="70"/>
        <v>0</v>
      </c>
      <c r="I201" s="1370">
        <v>5</v>
      </c>
      <c r="J201" s="1343">
        <f t="shared" si="71"/>
        <v>0</v>
      </c>
      <c r="K201" s="1262">
        <f t="shared" si="72"/>
        <v>0</v>
      </c>
      <c r="L201" s="1356"/>
    </row>
    <row r="202" spans="1:15" s="1765" customFormat="1" ht="24" customHeight="1">
      <c r="A202" s="1804"/>
      <c r="B202" s="1799" t="s">
        <v>2127</v>
      </c>
      <c r="C202" s="1800"/>
      <c r="D202" s="1375"/>
      <c r="E202" s="1801">
        <v>1</v>
      </c>
      <c r="F202" s="1356" t="s">
        <v>1104</v>
      </c>
      <c r="G202" s="1515">
        <f>SUM(H197:H201)*5%</f>
        <v>3462.5</v>
      </c>
      <c r="H202" s="1343">
        <f t="shared" si="70"/>
        <v>3463</v>
      </c>
      <c r="I202" s="1370">
        <v>19745</v>
      </c>
      <c r="J202" s="1343">
        <f t="shared" si="71"/>
        <v>19745</v>
      </c>
      <c r="K202" s="1262">
        <f t="shared" si="72"/>
        <v>23208</v>
      </c>
      <c r="L202" s="1356"/>
    </row>
    <row r="203" spans="1:15" s="1765" customFormat="1" ht="24" customHeight="1">
      <c r="A203" s="1766" t="s">
        <v>2581</v>
      </c>
      <c r="B203" s="1538" t="s">
        <v>1110</v>
      </c>
      <c r="C203" s="1437"/>
      <c r="D203" s="1275"/>
      <c r="E203" s="1768"/>
      <c r="F203" s="1358"/>
      <c r="G203" s="1515"/>
      <c r="H203" s="1264"/>
      <c r="I203" s="1265"/>
      <c r="J203" s="1264"/>
      <c r="K203" s="1273"/>
      <c r="L203" s="1273"/>
    </row>
    <row r="204" spans="1:15" s="1765" customFormat="1" ht="24" customHeight="1">
      <c r="A204" s="1766"/>
      <c r="B204" s="1538" t="s">
        <v>1350</v>
      </c>
      <c r="C204" s="1437"/>
      <c r="D204" s="1275"/>
      <c r="E204" s="1768">
        <f>(3*5*2*1)*1</f>
        <v>30</v>
      </c>
      <c r="F204" s="1358" t="s">
        <v>226</v>
      </c>
      <c r="G204" s="2004">
        <v>56</v>
      </c>
      <c r="H204" s="1413">
        <f t="shared" ref="H204:H205" si="73">ROUND(E204*G204,)</f>
        <v>1680</v>
      </c>
      <c r="I204" s="1541">
        <v>28</v>
      </c>
      <c r="J204" s="2006">
        <f t="shared" ref="J204:J205" si="74">ROUND(E204*I204,)</f>
        <v>840</v>
      </c>
      <c r="K204" s="715">
        <f t="shared" ref="K204:K205" si="75">H204+J204</f>
        <v>2520</v>
      </c>
      <c r="L204" s="2082" t="s">
        <v>2667</v>
      </c>
      <c r="M204" s="2002"/>
      <c r="N204" s="1199">
        <v>169.2</v>
      </c>
      <c r="O204" s="1199">
        <f>ROUND(N204/3,)</f>
        <v>56</v>
      </c>
    </row>
    <row r="205" spans="1:15" s="1765" customFormat="1" ht="24" customHeight="1">
      <c r="A205" s="1804"/>
      <c r="B205" s="1799" t="s">
        <v>2128</v>
      </c>
      <c r="C205" s="1800"/>
      <c r="D205" s="1375"/>
      <c r="E205" s="1801">
        <v>1</v>
      </c>
      <c r="F205" s="1356" t="s">
        <v>1104</v>
      </c>
      <c r="G205" s="1515">
        <f>H204*15%</f>
        <v>252</v>
      </c>
      <c r="H205" s="1343">
        <f t="shared" si="73"/>
        <v>252</v>
      </c>
      <c r="I205" s="1370">
        <v>58174</v>
      </c>
      <c r="J205" s="1343">
        <f t="shared" si="74"/>
        <v>58174</v>
      </c>
      <c r="K205" s="1262">
        <f t="shared" si="75"/>
        <v>58426</v>
      </c>
      <c r="L205" s="1356"/>
    </row>
    <row r="206" spans="1:15" s="1765" customFormat="1" ht="24" customHeight="1">
      <c r="A206" s="1766" t="s">
        <v>2582</v>
      </c>
      <c r="B206" s="1538" t="s">
        <v>1343</v>
      </c>
      <c r="C206" s="1437"/>
      <c r="D206" s="1275"/>
      <c r="E206" s="1768"/>
      <c r="F206" s="1358"/>
      <c r="G206" s="1515"/>
      <c r="H206" s="1264"/>
      <c r="I206" s="1265"/>
      <c r="J206" s="1264"/>
      <c r="K206" s="1273"/>
      <c r="L206" s="1273"/>
    </row>
    <row r="207" spans="1:15" s="1765" customFormat="1" ht="24" customHeight="1">
      <c r="A207" s="1258"/>
      <c r="B207" s="1538" t="s">
        <v>2129</v>
      </c>
      <c r="C207" s="1437"/>
      <c r="D207" s="1275"/>
      <c r="E207" s="1801"/>
      <c r="F207" s="1356" t="s">
        <v>226</v>
      </c>
      <c r="G207" s="1386">
        <v>316</v>
      </c>
      <c r="H207" s="1343">
        <f t="shared" ref="H207:H208" si="76">ROUND(E207*G207,)</f>
        <v>0</v>
      </c>
      <c r="I207" s="1414">
        <v>50</v>
      </c>
      <c r="J207" s="1343">
        <f t="shared" ref="J207:J208" si="77">ROUND(E207*I207,)</f>
        <v>0</v>
      </c>
      <c r="K207" s="1262">
        <f t="shared" ref="K207:K208" si="78">H207+J207</f>
        <v>0</v>
      </c>
      <c r="L207" s="1273"/>
    </row>
    <row r="208" spans="1:15" s="1765" customFormat="1" ht="24" customHeight="1">
      <c r="A208" s="1258"/>
      <c r="B208" s="1538" t="s">
        <v>2128</v>
      </c>
      <c r="C208" s="1437"/>
      <c r="D208" s="1275"/>
      <c r="E208" s="1801"/>
      <c r="F208" s="1356" t="s">
        <v>1104</v>
      </c>
      <c r="G208" s="1515">
        <f>H207*15%</f>
        <v>0</v>
      </c>
      <c r="H208" s="1343">
        <f t="shared" si="76"/>
        <v>0</v>
      </c>
      <c r="I208" s="1370">
        <v>16637</v>
      </c>
      <c r="J208" s="1343">
        <f t="shared" si="77"/>
        <v>0</v>
      </c>
      <c r="K208" s="1262">
        <f t="shared" si="78"/>
        <v>0</v>
      </c>
      <c r="L208" s="1273"/>
    </row>
    <row r="209" spans="1:12" s="1199" customFormat="1" ht="22.15" customHeight="1">
      <c r="A209" s="1578"/>
      <c r="B209" s="2257" t="str">
        <f>"รวมราคารายการที่ "&amp;A185</f>
        <v>รวมราคารายการที่ 7.8</v>
      </c>
      <c r="C209" s="2258"/>
      <c r="D209" s="2259"/>
      <c r="E209" s="1579"/>
      <c r="F209" s="1579"/>
      <c r="G209" s="1580"/>
      <c r="H209" s="1581">
        <f>SUM(H185:H208)</f>
        <v>129245</v>
      </c>
      <c r="I209" s="1582"/>
      <c r="J209" s="1581">
        <f>SUM(J185:J208)</f>
        <v>106299</v>
      </c>
      <c r="K209" s="1581">
        <f>SUM(K185:K208)</f>
        <v>235544</v>
      </c>
      <c r="L209" s="1583"/>
    </row>
    <row r="210" spans="1:12" s="1199" customFormat="1" ht="22.15" customHeight="1">
      <c r="A210" s="1427"/>
    </row>
    <row r="211" spans="1:12" s="1199" customFormat="1" ht="22.15" customHeight="1">
      <c r="A211" s="1427"/>
    </row>
    <row r="212" spans="1:12" s="1199" customFormat="1" ht="22.15" customHeight="1">
      <c r="A212" s="1427"/>
    </row>
    <row r="213" spans="1:12" s="1199" customFormat="1" ht="22.15" customHeight="1">
      <c r="A213" s="1427"/>
    </row>
    <row r="214" spans="1:12" s="1199" customFormat="1" ht="22.15" customHeight="1">
      <c r="A214" s="1427"/>
    </row>
    <row r="215" spans="1:12" s="1199" customFormat="1" ht="22.15" customHeight="1">
      <c r="A215" s="1427"/>
    </row>
    <row r="216" spans="1:12" s="1199" customFormat="1" ht="22.15" customHeight="1">
      <c r="A216" s="1427"/>
    </row>
    <row r="217" spans="1:12" s="1199" customFormat="1" ht="22.15" customHeight="1">
      <c r="A217" s="1427"/>
    </row>
    <row r="218" spans="1:12" s="1199" customFormat="1" ht="22.15" customHeight="1">
      <c r="A218" s="1427"/>
    </row>
    <row r="219" spans="1:12" s="1199" customFormat="1" ht="22.15" customHeight="1">
      <c r="A219" s="1427"/>
    </row>
    <row r="220" spans="1:12" s="1199" customFormat="1" ht="22.15" customHeight="1">
      <c r="A220" s="1427"/>
    </row>
    <row r="221" spans="1:12" s="1199" customFormat="1" ht="21.3">
      <c r="A221" s="1427"/>
    </row>
    <row r="222" spans="1:12" s="1199" customFormat="1" ht="21.3">
      <c r="A222" s="1427"/>
    </row>
    <row r="223" spans="1:12" s="1199" customFormat="1" ht="21.3">
      <c r="A223" s="1427"/>
    </row>
    <row r="224" spans="1:12" s="1199" customFormat="1" ht="21.3">
      <c r="A224" s="1427"/>
    </row>
    <row r="225" spans="1:12" s="1199" customFormat="1" ht="21.3">
      <c r="A225" s="1427"/>
    </row>
    <row r="226" spans="1:12" s="1199" customFormat="1" ht="21.3">
      <c r="A226" s="1427"/>
    </row>
    <row r="227" spans="1:12" s="1199" customFormat="1" ht="21.3">
      <c r="A227" s="1427"/>
    </row>
    <row r="228" spans="1:12" s="1199" customFormat="1" ht="21.3">
      <c r="A228" s="1427"/>
    </row>
    <row r="229" spans="1:12" s="1199" customFormat="1" ht="21.3">
      <c r="A229" s="1427"/>
    </row>
    <row r="230" spans="1:12" s="1199" customFormat="1" ht="21.3">
      <c r="A230" s="1427"/>
    </row>
    <row r="231" spans="1:12" s="1199" customFormat="1" ht="21.3">
      <c r="A231" s="1427"/>
    </row>
    <row r="232" spans="1:12" s="1199" customFormat="1" ht="21.3">
      <c r="A232" s="1427"/>
    </row>
    <row r="233" spans="1:12" s="1199" customFormat="1" ht="21.3">
      <c r="A233" s="1427"/>
    </row>
    <row r="234" spans="1:12" s="1199" customFormat="1" ht="21.3">
      <c r="A234" s="1427"/>
    </row>
    <row r="235" spans="1:12">
      <c r="A235" s="1427"/>
      <c r="B235" s="1199"/>
      <c r="C235" s="1199"/>
      <c r="D235" s="1199"/>
      <c r="E235" s="1199"/>
      <c r="F235" s="1199"/>
      <c r="G235" s="1199"/>
      <c r="H235" s="1199"/>
      <c r="I235" s="1199"/>
      <c r="J235" s="1199"/>
      <c r="K235" s="1199"/>
      <c r="L235" s="1199"/>
    </row>
    <row r="236" spans="1:12">
      <c r="A236" s="1427"/>
      <c r="B236" s="1199"/>
      <c r="C236" s="1199"/>
      <c r="D236" s="1199"/>
      <c r="E236" s="1199"/>
      <c r="F236" s="1199"/>
      <c r="G236" s="1199"/>
      <c r="H236" s="1199"/>
      <c r="I236" s="1199"/>
      <c r="J236" s="1199"/>
      <c r="K236" s="1199"/>
      <c r="L236" s="1199"/>
    </row>
    <row r="237" spans="1:12">
      <c r="A237" s="1427"/>
      <c r="B237" s="1199"/>
      <c r="C237" s="1199"/>
      <c r="D237" s="1199"/>
      <c r="E237" s="1199"/>
      <c r="F237" s="1199"/>
      <c r="G237" s="1199"/>
      <c r="H237" s="1199"/>
      <c r="I237" s="1199"/>
      <c r="J237" s="1199"/>
      <c r="K237" s="1199"/>
      <c r="L237" s="1199"/>
    </row>
    <row r="244" spans="2:2">
      <c r="B244" s="1805"/>
    </row>
    <row r="245" spans="2:2">
      <c r="B245" s="1805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159:D159"/>
    <mergeCell ref="B184:D184"/>
    <mergeCell ref="B209:D209"/>
    <mergeCell ref="B34:D34"/>
    <mergeCell ref="B49:D49"/>
    <mergeCell ref="B59:D59"/>
    <mergeCell ref="B70:D70"/>
    <mergeCell ref="B98:D98"/>
    <mergeCell ref="B122:D122"/>
  </mergeCells>
  <conditionalFormatting sqref="A160:L161 A169:L169 A172:L172 A170:F170 A176:L183 A173:F173 G168:L168 A168:B168 A175:F175 H175:L175">
    <cfRule type="expression" dxfId="122" priority="24">
      <formula>SUMPRODUCT(--(ROW()=$O$12:$O$18))&gt;0</formula>
    </cfRule>
  </conditionalFormatting>
  <conditionalFormatting sqref="A79:D81 L79:L81 F79:F81">
    <cfRule type="expression" dxfId="121" priority="23">
      <formula>SUMPRODUCT(--(ROW()=$O$12:$O$18))&gt;0</formula>
    </cfRule>
  </conditionalFormatting>
  <conditionalFormatting sqref="A110:L116">
    <cfRule type="expression" dxfId="120" priority="22">
      <formula>SUMPRODUCT(--(ROW()=$O$12:$O$18))&gt;0</formula>
    </cfRule>
  </conditionalFormatting>
  <conditionalFormatting sqref="C168:F168">
    <cfRule type="expression" dxfId="119" priority="15">
      <formula>SUMPRODUCT(--(ROW()=$O$12:$O$18))&gt;0</formula>
    </cfRule>
  </conditionalFormatting>
  <conditionalFormatting sqref="C47:L48 C45:D45 L45 E49:L49 A35:L35 F44:L44 A36 C36:L36 C43:L43 A43:A45 A47:A49">
    <cfRule type="expression" dxfId="118" priority="13">
      <formula>SUMPRODUCT(--(ROW()=$O$12:$O$18))&gt;0</formula>
    </cfRule>
  </conditionalFormatting>
  <conditionalFormatting sqref="G108:K109">
    <cfRule type="expression" dxfId="117" priority="12">
      <formula>SUMPRODUCT(--(ROW()=$R$12:$R$22))&gt;0</formula>
    </cfRule>
  </conditionalFormatting>
  <conditionalFormatting sqref="I79:I81">
    <cfRule type="expression" dxfId="116" priority="11">
      <formula>SUMPRODUCT(--(ROW()=$O$12:$O$22))&gt;0</formula>
    </cfRule>
  </conditionalFormatting>
  <conditionalFormatting sqref="G79:G80">
    <cfRule type="expression" dxfId="115" priority="10">
      <formula>SUMPRODUCT(--(ROW()=$O$14:$O$24))&gt;0</formula>
    </cfRule>
  </conditionalFormatting>
  <conditionalFormatting sqref="H87:H90">
    <cfRule type="expression" dxfId="114" priority="9">
      <formula>SUMPRODUCT(--(ROW()=$O$14:$O$24))&gt;0</formula>
    </cfRule>
  </conditionalFormatting>
  <conditionalFormatting sqref="G81">
    <cfRule type="expression" dxfId="113" priority="8">
      <formula>SUMPRODUCT(--(ROW()=$O$14:$O$24))&gt;0</formula>
    </cfRule>
  </conditionalFormatting>
  <conditionalFormatting sqref="A171:K171">
    <cfRule type="expression" dxfId="112" priority="3">
      <formula>SUMPRODUCT(--(ROW()=$O$12:$O$24))&gt;0</formula>
    </cfRule>
  </conditionalFormatting>
  <conditionalFormatting sqref="A174:F174">
    <cfRule type="expression" dxfId="111" priority="2">
      <formula>SUMPRODUCT(--(ROW()=$O$12:$O$24))&gt;0</formula>
    </cfRule>
  </conditionalFormatting>
  <conditionalFormatting sqref="E79:E80">
    <cfRule type="expression" dxfId="110" priority="1">
      <formula>SUMPRODUCT(--(ROW()=$W$12:$W$21))&gt;0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4-อาคารด้านทิศตะวันตก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97492-D8FF-4619-91A8-FDFE28BB4520}">
  <sheetPr>
    <tabColor rgb="FF92D050"/>
  </sheetPr>
  <dimension ref="A1:T245"/>
  <sheetViews>
    <sheetView showGridLines="0" view="pageBreakPreview" topLeftCell="A190" zoomScale="70" zoomScaleNormal="60" zoomScaleSheetLayoutView="70" workbookViewId="0">
      <selection activeCell="D182" sqref="D182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7.703125" style="1" customWidth="1"/>
    <col min="14" max="14" width="11" style="1" customWidth="1"/>
    <col min="15" max="15" width="10.29296875" style="1" customWidth="1"/>
    <col min="16" max="16" width="11.703125" style="1" customWidth="1"/>
    <col min="17" max="17" width="10.29296875" style="1" customWidth="1"/>
    <col min="18" max="18" width="10.703125" style="1" customWidth="1"/>
    <col min="19" max="19" width="10.5859375" style="1" customWidth="1"/>
    <col min="20" max="20" width="10.29296875" style="1" customWidth="1"/>
    <col min="21" max="21" width="10.5859375" style="1" customWidth="1"/>
    <col min="22" max="78" width="7.703125" style="1" customWidth="1"/>
    <col min="7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03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04" t="s">
        <v>18</v>
      </c>
      <c r="L10" s="2225"/>
    </row>
    <row r="11" spans="1:12" ht="24" customHeight="1">
      <c r="A11" s="1560" t="s">
        <v>24</v>
      </c>
      <c r="B11" s="1561" t="s">
        <v>2846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H49</f>
        <v>2506950</v>
      </c>
      <c r="I12" s="1197"/>
      <c r="J12" s="1196">
        <f>J49</f>
        <v>129546</v>
      </c>
      <c r="K12" s="1196">
        <f t="shared" ref="K12:K15" si="0">SUM(H12:J12)</f>
        <v>2636496</v>
      </c>
      <c r="L12" s="1531"/>
    </row>
    <row r="13" spans="1:12" s="1199" customFormat="1" ht="24" customHeight="1">
      <c r="A13" s="1564">
        <f>A50</f>
        <v>7.2</v>
      </c>
      <c r="B13" s="1538" t="str">
        <f>B50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330000</v>
      </c>
      <c r="I13" s="1197"/>
      <c r="J13" s="1196">
        <f>J59</f>
        <v>3000</v>
      </c>
      <c r="K13" s="1196">
        <f t="shared" si="0"/>
        <v>333000</v>
      </c>
      <c r="L13" s="1531"/>
    </row>
    <row r="14" spans="1:12" s="1199" customFormat="1" ht="24" customHeight="1">
      <c r="A14" s="1564" t="str">
        <f>A60</f>
        <v>7.3</v>
      </c>
      <c r="B14" s="1538" t="str">
        <f>B60</f>
        <v>ระบบกรองอากาศ (Air Filtration System)</v>
      </c>
      <c r="C14" s="1533"/>
      <c r="D14" s="1534"/>
      <c r="E14" s="1753">
        <v>1</v>
      </c>
      <c r="F14" s="1567" t="s">
        <v>19</v>
      </c>
      <c r="G14" s="1195"/>
      <c r="H14" s="1196">
        <f>H70</f>
        <v>27600</v>
      </c>
      <c r="I14" s="1197"/>
      <c r="J14" s="1196">
        <f>J70</f>
        <v>1800</v>
      </c>
      <c r="K14" s="1196">
        <f t="shared" si="0"/>
        <v>29400</v>
      </c>
      <c r="L14" s="1531"/>
    </row>
    <row r="15" spans="1:12" s="1199" customFormat="1" ht="24" customHeight="1">
      <c r="A15" s="1564">
        <f>A71</f>
        <v>7.4</v>
      </c>
      <c r="B15" s="1538" t="str">
        <f>B71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H98</f>
        <v>380706</v>
      </c>
      <c r="I15" s="1197"/>
      <c r="J15" s="1196">
        <f>J98</f>
        <v>140570</v>
      </c>
      <c r="K15" s="1196">
        <f t="shared" si="0"/>
        <v>521276</v>
      </c>
      <c r="L15" s="1531"/>
    </row>
    <row r="16" spans="1:12" s="1199" customFormat="1" ht="24" customHeight="1">
      <c r="A16" s="1755" t="str">
        <f>A99</f>
        <v>7.5</v>
      </c>
      <c r="B16" s="1816" t="str">
        <f>B99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H122</f>
        <v>134456</v>
      </c>
      <c r="I16" s="1197"/>
      <c r="J16" s="1196">
        <f>J122</f>
        <v>35776</v>
      </c>
      <c r="K16" s="1196">
        <f t="shared" ref="K16:K18" si="1">SUM(H16:J16)</f>
        <v>170232</v>
      </c>
      <c r="L16" s="1531"/>
    </row>
    <row r="17" spans="1:12" s="1199" customFormat="1" ht="24" customHeight="1">
      <c r="A17" s="1756">
        <f>A123</f>
        <v>7.6</v>
      </c>
      <c r="B17" s="1840" t="str">
        <f>B123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H159</f>
        <v>155646</v>
      </c>
      <c r="I17" s="1197"/>
      <c r="J17" s="1196">
        <f>J159</f>
        <v>22800</v>
      </c>
      <c r="K17" s="1196">
        <f t="shared" si="1"/>
        <v>178446</v>
      </c>
      <c r="L17" s="1531"/>
    </row>
    <row r="18" spans="1:12" s="1199" customFormat="1" ht="24" customHeight="1">
      <c r="A18" s="1537" t="str">
        <f>A160</f>
        <v>7.7</v>
      </c>
      <c r="B18" s="1840" t="str">
        <f>B160</f>
        <v>ระบบไฟฟ้าและควบคุม (Electrical &amp; Control System)</v>
      </c>
      <c r="C18" s="1533"/>
      <c r="D18" s="1534"/>
      <c r="E18" s="1753">
        <v>1</v>
      </c>
      <c r="F18" s="1567" t="s">
        <v>19</v>
      </c>
      <c r="G18" s="1195"/>
      <c r="H18" s="1196">
        <f>H184</f>
        <v>553665</v>
      </c>
      <c r="I18" s="1197"/>
      <c r="J18" s="1196">
        <f>J184</f>
        <v>61208</v>
      </c>
      <c r="K18" s="1196">
        <f t="shared" si="1"/>
        <v>614873</v>
      </c>
      <c r="L18" s="1531"/>
    </row>
    <row r="19" spans="1:12" s="1199" customFormat="1" ht="24" customHeight="1">
      <c r="A19" s="1537">
        <f>A210</f>
        <v>0</v>
      </c>
      <c r="B19" s="1840">
        <f>B210</f>
        <v>0</v>
      </c>
      <c r="C19" s="1533"/>
      <c r="D19" s="1534"/>
      <c r="E19" s="1753"/>
      <c r="F19" s="1567" t="s">
        <v>19</v>
      </c>
      <c r="G19" s="1195"/>
      <c r="H19" s="1196">
        <f>H234</f>
        <v>0</v>
      </c>
      <c r="I19" s="1197"/>
      <c r="J19" s="1196">
        <f>J234</f>
        <v>0</v>
      </c>
      <c r="K19" s="1196">
        <f>K234</f>
        <v>0</v>
      </c>
      <c r="L19" s="1531"/>
    </row>
    <row r="20" spans="1:12" s="1199" customFormat="1" ht="24" customHeight="1">
      <c r="A20" s="1537"/>
      <c r="B20" s="2139"/>
      <c r="C20" s="1533"/>
      <c r="D20" s="1534"/>
      <c r="E20" s="1753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9</v>
      </c>
      <c r="C34" s="2258"/>
      <c r="D34" s="2259"/>
      <c r="E34" s="1579"/>
      <c r="F34" s="1579"/>
      <c r="G34" s="1580"/>
      <c r="H34" s="1581">
        <f>SUM(H11:H33)</f>
        <v>4089023</v>
      </c>
      <c r="I34" s="1582"/>
      <c r="J34" s="1581">
        <f>SUM(J11:J33)</f>
        <v>394700</v>
      </c>
      <c r="K34" s="1581">
        <f>SUM(K11:K33)</f>
        <v>4483723</v>
      </c>
      <c r="L34" s="1583"/>
    </row>
    <row r="35" spans="1:20" s="1765" customFormat="1" ht="24" customHeight="1">
      <c r="A35" s="1847" t="s">
        <v>2246</v>
      </c>
      <c r="B35" s="1848" t="s">
        <v>2247</v>
      </c>
      <c r="C35" s="1849"/>
      <c r="D35" s="1354"/>
      <c r="E35" s="1802"/>
      <c r="F35" s="1356"/>
      <c r="G35" s="1803"/>
      <c r="H35" s="1369"/>
      <c r="I35" s="1370"/>
      <c r="J35" s="1369"/>
      <c r="K35" s="1356"/>
      <c r="L35" s="1356"/>
    </row>
    <row r="36" spans="1:20" s="1765" customFormat="1" ht="24" customHeight="1">
      <c r="A36" s="2113" t="s">
        <v>1984</v>
      </c>
      <c r="B36" s="2164" t="s">
        <v>2782</v>
      </c>
      <c r="C36" s="2115"/>
      <c r="D36" s="2115"/>
      <c r="E36" s="1802"/>
      <c r="F36" s="1356"/>
      <c r="G36" s="1803"/>
      <c r="H36" s="1369"/>
      <c r="I36" s="1370"/>
      <c r="J36" s="1369"/>
      <c r="K36" s="1356"/>
      <c r="L36" s="1356"/>
    </row>
    <row r="37" spans="1:20" s="2116" customFormat="1" ht="24" customHeight="1">
      <c r="A37" s="2112"/>
      <c r="B37" s="2164" t="s">
        <v>2801</v>
      </c>
      <c r="C37" s="2111"/>
      <c r="D37" s="2165"/>
      <c r="E37" s="825">
        <v>1</v>
      </c>
      <c r="F37" s="1457" t="s">
        <v>363</v>
      </c>
      <c r="G37" s="1769">
        <v>409425</v>
      </c>
      <c r="H37" s="1413">
        <f t="shared" ref="H37:H42" si="2">ROUND(E37*G37,)</f>
        <v>409425</v>
      </c>
      <c r="I37" s="1455">
        <f>G37*0.05</f>
        <v>20471.25</v>
      </c>
      <c r="J37" s="1413">
        <f t="shared" ref="J37:J42" si="3">ROUND(E37*I37,)</f>
        <v>20471</v>
      </c>
      <c r="K37" s="1415">
        <f t="shared" ref="K37:K42" si="4">H37+J37</f>
        <v>429896</v>
      </c>
      <c r="L37" s="1457"/>
      <c r="M37" s="2120"/>
      <c r="N37" s="2120"/>
      <c r="O37" s="2120"/>
      <c r="P37" s="2120"/>
      <c r="Q37" s="2120"/>
      <c r="R37" s="2120"/>
      <c r="S37" s="2120"/>
      <c r="T37" s="2120"/>
    </row>
    <row r="38" spans="1:20" s="2116" customFormat="1" ht="24" customHeight="1">
      <c r="A38" s="2112"/>
      <c r="B38" s="2164" t="s">
        <v>2802</v>
      </c>
      <c r="C38" s="2111"/>
      <c r="D38" s="2165"/>
      <c r="E38" s="825">
        <v>1</v>
      </c>
      <c r="F38" s="1457" t="s">
        <v>363</v>
      </c>
      <c r="G38" s="1769">
        <v>409425</v>
      </c>
      <c r="H38" s="1413">
        <f t="shared" si="2"/>
        <v>409425</v>
      </c>
      <c r="I38" s="1455">
        <f t="shared" ref="I38:I39" si="5">G38*0.05</f>
        <v>20471.25</v>
      </c>
      <c r="J38" s="1413">
        <f t="shared" si="3"/>
        <v>20471</v>
      </c>
      <c r="K38" s="1415">
        <f t="shared" si="4"/>
        <v>429896</v>
      </c>
      <c r="L38" s="1457"/>
      <c r="M38" s="2120"/>
      <c r="N38" s="2120"/>
      <c r="O38" s="2120"/>
      <c r="P38" s="2120"/>
      <c r="Q38" s="2120"/>
      <c r="R38" s="2120"/>
      <c r="S38" s="2120"/>
      <c r="T38" s="2120"/>
    </row>
    <row r="39" spans="1:20" s="2116" customFormat="1" ht="24" customHeight="1">
      <c r="A39" s="2112"/>
      <c r="B39" s="2164" t="s">
        <v>2803</v>
      </c>
      <c r="C39" s="2111"/>
      <c r="D39" s="2165"/>
      <c r="E39" s="825">
        <v>1</v>
      </c>
      <c r="F39" s="1457" t="s">
        <v>363</v>
      </c>
      <c r="G39" s="1769">
        <v>409425</v>
      </c>
      <c r="H39" s="1413">
        <f t="shared" si="2"/>
        <v>409425</v>
      </c>
      <c r="I39" s="1455">
        <f t="shared" si="5"/>
        <v>20471.25</v>
      </c>
      <c r="J39" s="1413">
        <f t="shared" si="3"/>
        <v>20471</v>
      </c>
      <c r="K39" s="1415">
        <f t="shared" si="4"/>
        <v>429896</v>
      </c>
      <c r="L39" s="1457"/>
      <c r="M39" s="2120"/>
      <c r="N39" s="2120"/>
      <c r="O39" s="2120"/>
      <c r="P39" s="2120"/>
      <c r="Q39" s="2120"/>
      <c r="R39" s="2120"/>
      <c r="S39" s="2120"/>
      <c r="T39" s="2120"/>
    </row>
    <row r="40" spans="1:20" s="2116" customFormat="1" ht="24" customHeight="1">
      <c r="A40" s="2112"/>
      <c r="B40" s="2164" t="s">
        <v>2824</v>
      </c>
      <c r="C40" s="2111"/>
      <c r="D40" s="2165"/>
      <c r="E40" s="825">
        <v>1</v>
      </c>
      <c r="F40" s="1457" t="s">
        <v>363</v>
      </c>
      <c r="G40" s="1769">
        <v>409425</v>
      </c>
      <c r="H40" s="1413">
        <f t="shared" si="2"/>
        <v>409425</v>
      </c>
      <c r="I40" s="1455">
        <f>G40*0.05</f>
        <v>20471.25</v>
      </c>
      <c r="J40" s="1413">
        <f t="shared" si="3"/>
        <v>20471</v>
      </c>
      <c r="K40" s="1415">
        <f t="shared" si="4"/>
        <v>429896</v>
      </c>
      <c r="L40" s="1457"/>
      <c r="M40" s="2120"/>
      <c r="N40" s="2120"/>
      <c r="O40" s="2120"/>
      <c r="P40" s="2120"/>
      <c r="Q40" s="2120"/>
      <c r="R40" s="2120"/>
      <c r="S40" s="2120"/>
      <c r="T40" s="2120"/>
    </row>
    <row r="41" spans="1:20" s="2116" customFormat="1" ht="24" customHeight="1">
      <c r="A41" s="2112"/>
      <c r="B41" s="2164" t="s">
        <v>2825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2"/>
        <v>409425</v>
      </c>
      <c r="I41" s="1455">
        <f t="shared" ref="I41:I42" si="6">G41*0.05</f>
        <v>20471.25</v>
      </c>
      <c r="J41" s="1413">
        <f t="shared" si="3"/>
        <v>20471</v>
      </c>
      <c r="K41" s="1415">
        <f t="shared" si="4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2116" customFormat="1" ht="24" customHeight="1">
      <c r="A42" s="2112"/>
      <c r="B42" s="2164" t="s">
        <v>2826</v>
      </c>
      <c r="C42" s="2111"/>
      <c r="D42" s="2165"/>
      <c r="E42" s="825">
        <v>1</v>
      </c>
      <c r="F42" s="1457" t="s">
        <v>363</v>
      </c>
      <c r="G42" s="1769">
        <v>409425</v>
      </c>
      <c r="H42" s="1413">
        <f t="shared" si="2"/>
        <v>409425</v>
      </c>
      <c r="I42" s="1455">
        <f t="shared" si="6"/>
        <v>20471.25</v>
      </c>
      <c r="J42" s="1413">
        <f t="shared" si="3"/>
        <v>20471</v>
      </c>
      <c r="K42" s="1415">
        <f t="shared" si="4"/>
        <v>429896</v>
      </c>
      <c r="L42" s="1457"/>
      <c r="M42" s="2120"/>
      <c r="N42" s="2120"/>
      <c r="O42" s="2120"/>
      <c r="P42" s="2120"/>
      <c r="Q42" s="2120"/>
      <c r="R42" s="2120"/>
      <c r="S42" s="2120"/>
      <c r="T42" s="2120"/>
    </row>
    <row r="43" spans="1:20" s="1765" customFormat="1" ht="24" customHeight="1">
      <c r="A43" s="2112"/>
      <c r="B43" s="2114"/>
      <c r="C43" s="2106"/>
      <c r="D43" s="2106"/>
      <c r="E43" s="1802"/>
      <c r="F43" s="1356"/>
      <c r="G43" s="1803"/>
      <c r="H43" s="1369"/>
      <c r="I43" s="1370"/>
      <c r="J43" s="1369"/>
      <c r="K43" s="1356"/>
      <c r="L43" s="1356"/>
    </row>
    <row r="44" spans="1:20" s="1765" customFormat="1" ht="24" customHeight="1">
      <c r="A44" s="2112"/>
      <c r="B44" s="2107" t="s">
        <v>2253</v>
      </c>
      <c r="C44" s="2106"/>
      <c r="D44" s="2165"/>
      <c r="E44" s="825">
        <f>SUM(E37:E42)</f>
        <v>6</v>
      </c>
      <c r="F44" s="1457" t="s">
        <v>363</v>
      </c>
      <c r="G44" s="1769">
        <v>2000</v>
      </c>
      <c r="H44" s="1343">
        <f t="shared" ref="H44:H46" si="7">ROUND(E44*G44,)</f>
        <v>12000</v>
      </c>
      <c r="I44" s="1856" t="s">
        <v>1683</v>
      </c>
      <c r="J44" s="1343"/>
      <c r="K44" s="1801">
        <f t="shared" ref="K44:K46" si="8">H44+J44</f>
        <v>12000</v>
      </c>
      <c r="L44" s="715"/>
    </row>
    <row r="45" spans="1:20" s="1765" customFormat="1" ht="24" customHeight="1">
      <c r="A45" s="2113" t="s">
        <v>1986</v>
      </c>
      <c r="B45" s="2114" t="s">
        <v>2041</v>
      </c>
      <c r="C45" s="2115"/>
      <c r="D45" s="2150"/>
      <c r="E45" s="825">
        <f>E44</f>
        <v>6</v>
      </c>
      <c r="F45" s="1457" t="s">
        <v>363</v>
      </c>
      <c r="G45" s="1769">
        <v>2400</v>
      </c>
      <c r="H45" s="1343">
        <f t="shared" si="7"/>
        <v>14400</v>
      </c>
      <c r="I45" s="1455">
        <v>720</v>
      </c>
      <c r="J45" s="1343">
        <f t="shared" ref="J45:J46" si="9">ROUND(E45*I45,)</f>
        <v>4320</v>
      </c>
      <c r="K45" s="1801">
        <f t="shared" si="8"/>
        <v>18720</v>
      </c>
      <c r="L45" s="1356"/>
    </row>
    <row r="46" spans="1:20" s="2116" customFormat="1" ht="24" customHeight="1">
      <c r="A46" s="2112" t="s">
        <v>1988</v>
      </c>
      <c r="B46" s="2164" t="s">
        <v>2331</v>
      </c>
      <c r="C46" s="2111"/>
      <c r="D46" s="2165"/>
      <c r="E46" s="825">
        <f>E44</f>
        <v>6</v>
      </c>
      <c r="F46" s="1457" t="s">
        <v>363</v>
      </c>
      <c r="G46" s="1769">
        <v>4000</v>
      </c>
      <c r="H46" s="1413">
        <f t="shared" si="7"/>
        <v>24000</v>
      </c>
      <c r="I46" s="1455">
        <f t="shared" ref="I46" si="10">G46*0.1</f>
        <v>400</v>
      </c>
      <c r="J46" s="1413">
        <f t="shared" si="9"/>
        <v>2400</v>
      </c>
      <c r="K46" s="1415">
        <f t="shared" si="8"/>
        <v>26400</v>
      </c>
      <c r="L46" s="1457"/>
      <c r="M46" s="2120"/>
      <c r="N46" s="2120"/>
      <c r="O46" s="2120"/>
      <c r="P46" s="2120"/>
      <c r="Q46" s="2120"/>
      <c r="R46" s="2120"/>
      <c r="S46" s="2120"/>
      <c r="T46" s="2120"/>
    </row>
    <row r="47" spans="1:20" s="1765" customFormat="1" ht="24" customHeight="1">
      <c r="A47" s="2113"/>
      <c r="B47" s="2114" t="s">
        <v>1117</v>
      </c>
      <c r="C47" s="2115"/>
      <c r="D47" s="2150"/>
      <c r="E47" s="1801"/>
      <c r="F47" s="1356"/>
      <c r="G47" s="1515"/>
      <c r="H47" s="820"/>
      <c r="I47" s="1370"/>
      <c r="J47" s="820"/>
      <c r="K47" s="1457"/>
      <c r="L47" s="1356"/>
    </row>
    <row r="48" spans="1:20" s="1765" customFormat="1" ht="24" customHeight="1">
      <c r="A48" s="2113"/>
      <c r="B48" s="2114"/>
      <c r="C48" s="2115"/>
      <c r="D48" s="2150"/>
      <c r="E48" s="1801"/>
      <c r="F48" s="1356"/>
      <c r="G48" s="1344"/>
      <c r="H48" s="820"/>
      <c r="I48" s="1370"/>
      <c r="J48" s="820"/>
      <c r="K48" s="1457"/>
      <c r="L48" s="1356"/>
    </row>
    <row r="49" spans="1:20" s="1765" customFormat="1" ht="24" customHeight="1">
      <c r="A49" s="1857"/>
      <c r="B49" s="2257" t="str">
        <f>"รวมราคารายการที่ "&amp;A35</f>
        <v>รวมราคารายการที่ 7.1</v>
      </c>
      <c r="C49" s="2258"/>
      <c r="D49" s="2259"/>
      <c r="E49" s="1858"/>
      <c r="F49" s="1858"/>
      <c r="G49" s="1859"/>
      <c r="H49" s="1860">
        <f>SUM(H36:H48)</f>
        <v>2506950</v>
      </c>
      <c r="I49" s="1861"/>
      <c r="J49" s="1860">
        <f>SUM(J36:J48)</f>
        <v>129546</v>
      </c>
      <c r="K49" s="1862">
        <f>SUM(K36:K48)</f>
        <v>2636496</v>
      </c>
      <c r="L49" s="1862"/>
    </row>
    <row r="50" spans="1:20" s="1765" customFormat="1" ht="24" customHeight="1">
      <c r="A50" s="1757">
        <v>7.2</v>
      </c>
      <c r="B50" s="1758" t="s">
        <v>1983</v>
      </c>
      <c r="C50" s="1294"/>
      <c r="D50" s="1777"/>
      <c r="E50" s="1686"/>
      <c r="F50" s="1402"/>
      <c r="G50" s="1661"/>
      <c r="H50" s="1588"/>
      <c r="I50" s="1589"/>
      <c r="J50" s="1588"/>
      <c r="K50" s="1770"/>
      <c r="L50" s="1770"/>
    </row>
    <row r="51" spans="1:20" s="1765" customFormat="1" ht="24" customHeight="1">
      <c r="A51" s="1258" t="s">
        <v>1992</v>
      </c>
      <c r="B51" s="1538" t="s">
        <v>2138</v>
      </c>
      <c r="C51" s="1275"/>
      <c r="D51" s="1767"/>
      <c r="E51" s="1771"/>
      <c r="F51" s="1385"/>
      <c r="G51" s="1778"/>
      <c r="H51" s="1594"/>
      <c r="I51" s="1595"/>
      <c r="J51" s="1594"/>
      <c r="K51" s="1632"/>
      <c r="L51" s="1632"/>
    </row>
    <row r="52" spans="1:20" s="1765" customFormat="1" ht="24" customHeight="1">
      <c r="A52" s="1766" t="s">
        <v>2139</v>
      </c>
      <c r="B52" s="1538" t="s">
        <v>2140</v>
      </c>
      <c r="C52" s="1275"/>
      <c r="D52" s="1767"/>
      <c r="E52" s="1686"/>
      <c r="F52" s="1402"/>
      <c r="G52" s="1661"/>
      <c r="H52" s="1588"/>
      <c r="I52" s="1589"/>
      <c r="J52" s="1588"/>
      <c r="K52" s="1770"/>
      <c r="L52" s="1770"/>
    </row>
    <row r="53" spans="1:20" s="1765" customFormat="1" ht="24" customHeight="1">
      <c r="A53" s="1766"/>
      <c r="B53" s="1538" t="s">
        <v>1821</v>
      </c>
      <c r="C53" s="1275"/>
      <c r="D53" s="1767"/>
      <c r="E53" s="1813"/>
      <c r="F53" s="1389" t="s">
        <v>363</v>
      </c>
      <c r="G53" s="1814">
        <v>3300</v>
      </c>
      <c r="H53" s="1773">
        <f t="shared" ref="H53:H56" si="11">ROUND(E53*G53,)</f>
        <v>0</v>
      </c>
      <c r="I53" s="1815">
        <v>150</v>
      </c>
      <c r="J53" s="1773">
        <f t="shared" ref="J53:J56" si="12">ROUND(E53*I53,)</f>
        <v>0</v>
      </c>
      <c r="K53" s="1774">
        <f t="shared" ref="K53:K56" si="13">H53+J53</f>
        <v>0</v>
      </c>
      <c r="L53" s="1770"/>
    </row>
    <row r="54" spans="1:20" s="1765" customFormat="1" ht="24" customHeight="1">
      <c r="A54" s="2166"/>
      <c r="B54" s="2114" t="s">
        <v>1836</v>
      </c>
      <c r="C54" s="2108"/>
      <c r="D54" s="2109"/>
      <c r="E54" s="715"/>
      <c r="F54" s="1415" t="s">
        <v>363</v>
      </c>
      <c r="G54" s="1772">
        <v>4596</v>
      </c>
      <c r="H54" s="1343">
        <f t="shared" si="11"/>
        <v>0</v>
      </c>
      <c r="I54" s="1386">
        <v>200</v>
      </c>
      <c r="J54" s="1343">
        <f t="shared" si="12"/>
        <v>0</v>
      </c>
      <c r="K54" s="1801">
        <f t="shared" si="13"/>
        <v>0</v>
      </c>
      <c r="L54" s="1457"/>
    </row>
    <row r="55" spans="1:20" s="2116" customFormat="1" ht="24" customHeight="1">
      <c r="A55" s="2113"/>
      <c r="B55" s="2114" t="s">
        <v>1715</v>
      </c>
      <c r="C55" s="2108"/>
      <c r="D55" s="2109"/>
      <c r="E55" s="1834">
        <v>6</v>
      </c>
      <c r="F55" s="1466" t="s">
        <v>363</v>
      </c>
      <c r="G55" s="2161">
        <v>55000</v>
      </c>
      <c r="H55" s="2156">
        <f t="shared" si="11"/>
        <v>330000</v>
      </c>
      <c r="I55" s="2162">
        <v>500</v>
      </c>
      <c r="J55" s="2156">
        <f t="shared" si="12"/>
        <v>3000</v>
      </c>
      <c r="K55" s="1853">
        <f t="shared" si="13"/>
        <v>333000</v>
      </c>
      <c r="L55" s="1415"/>
      <c r="M55" s="2120"/>
      <c r="N55" s="2120"/>
      <c r="O55" s="2120"/>
      <c r="P55" s="2120"/>
      <c r="Q55" s="2120"/>
      <c r="R55" s="2120"/>
      <c r="S55" s="2120"/>
      <c r="T55" s="2120"/>
    </row>
    <row r="56" spans="1:20" s="2116" customFormat="1" ht="24" customHeight="1">
      <c r="A56" s="2113" t="s">
        <v>2036</v>
      </c>
      <c r="B56" s="2114" t="s">
        <v>2727</v>
      </c>
      <c r="C56" s="2108"/>
      <c r="D56" s="2109"/>
      <c r="E56" s="715"/>
      <c r="F56" s="1466" t="s">
        <v>363</v>
      </c>
      <c r="G56" s="2161">
        <v>16150</v>
      </c>
      <c r="H56" s="2156">
        <f t="shared" si="11"/>
        <v>0</v>
      </c>
      <c r="I56" s="2162">
        <v>500</v>
      </c>
      <c r="J56" s="2156">
        <f t="shared" si="12"/>
        <v>0</v>
      </c>
      <c r="K56" s="1853">
        <f t="shared" si="13"/>
        <v>0</v>
      </c>
      <c r="L56" s="1415"/>
      <c r="M56" s="2120"/>
      <c r="N56" s="2120"/>
      <c r="O56" s="2120"/>
      <c r="P56" s="2120"/>
      <c r="Q56" s="2120"/>
      <c r="R56" s="2120"/>
      <c r="S56" s="2120"/>
      <c r="T56" s="2120"/>
    </row>
    <row r="57" spans="1:20" s="1765" customFormat="1" ht="24" customHeight="1">
      <c r="A57" s="2166"/>
      <c r="B57" s="2114" t="s">
        <v>1117</v>
      </c>
      <c r="C57" s="2108"/>
      <c r="D57" s="2109"/>
      <c r="E57" s="825"/>
      <c r="F57" s="1457"/>
      <c r="G57" s="1769"/>
      <c r="H57" s="820"/>
      <c r="I57" s="1455"/>
      <c r="J57" s="820"/>
      <c r="K57" s="1457"/>
      <c r="L57" s="1457"/>
    </row>
    <row r="58" spans="1:20" s="1765" customFormat="1" ht="24" customHeight="1">
      <c r="A58" s="2166"/>
      <c r="B58" s="2114" t="s">
        <v>1118</v>
      </c>
      <c r="C58" s="2108"/>
      <c r="D58" s="2109"/>
      <c r="E58" s="825"/>
      <c r="F58" s="1457"/>
      <c r="G58" s="1769"/>
      <c r="H58" s="820"/>
      <c r="I58" s="1455"/>
      <c r="J58" s="820"/>
      <c r="K58" s="1457"/>
      <c r="L58" s="1457"/>
    </row>
    <row r="59" spans="1:20" s="1199" customFormat="1" ht="24" customHeight="1">
      <c r="A59" s="1578"/>
      <c r="B59" s="2257" t="str">
        <f>"รวมราคารายการที่ "&amp;A50</f>
        <v>รวมราคารายการที่ 7.2</v>
      </c>
      <c r="C59" s="2258"/>
      <c r="D59" s="2259"/>
      <c r="E59" s="1579"/>
      <c r="F59" s="1579"/>
      <c r="G59" s="1580"/>
      <c r="H59" s="1581">
        <f>SUM(H50:H58)</f>
        <v>330000</v>
      </c>
      <c r="I59" s="1582"/>
      <c r="J59" s="1581">
        <f>SUM(J50:J58)</f>
        <v>3000</v>
      </c>
      <c r="K59" s="1581">
        <f>SUM(K50:K58)</f>
        <v>333000</v>
      </c>
      <c r="L59" s="1583"/>
    </row>
    <row r="60" spans="1:20" s="1765" customFormat="1" ht="24" customHeight="1">
      <c r="A60" s="1291" t="s">
        <v>2306</v>
      </c>
      <c r="B60" s="1852" t="s">
        <v>2255</v>
      </c>
      <c r="C60" s="1293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766" t="s">
        <v>2043</v>
      </c>
      <c r="B61" s="1538" t="s">
        <v>2256</v>
      </c>
      <c r="C61" s="1275"/>
      <c r="D61" s="1767"/>
      <c r="E61" s="1686"/>
      <c r="F61" s="1402"/>
      <c r="G61" s="1661"/>
      <c r="H61" s="1588"/>
      <c r="I61" s="1589"/>
      <c r="J61" s="1588"/>
      <c r="K61" s="1770"/>
      <c r="L61" s="1770"/>
    </row>
    <row r="62" spans="1:20" s="1765" customFormat="1" ht="24" customHeight="1">
      <c r="A62" s="1766"/>
      <c r="B62" s="1538" t="s">
        <v>2257</v>
      </c>
      <c r="C62" s="1275"/>
      <c r="D62" s="1767"/>
      <c r="E62" s="1686"/>
      <c r="F62" s="1402" t="s">
        <v>363</v>
      </c>
      <c r="G62" s="1661">
        <v>650</v>
      </c>
      <c r="H62" s="1588">
        <f t="shared" ref="H62:H65" si="14">ROUND(E62*G62,)</f>
        <v>0</v>
      </c>
      <c r="I62" s="1589">
        <v>150</v>
      </c>
      <c r="J62" s="1588">
        <f t="shared" ref="J62:J65" si="15">ROUND(E62*I62,)</f>
        <v>0</v>
      </c>
      <c r="K62" s="1770">
        <f t="shared" ref="K62:K65" si="16">H62+J62</f>
        <v>0</v>
      </c>
      <c r="L62" s="1770"/>
    </row>
    <row r="63" spans="1:20" s="1765" customFormat="1" ht="24" customHeight="1">
      <c r="A63" s="1766" t="s">
        <v>2047</v>
      </c>
      <c r="B63" s="1538" t="s">
        <v>2258</v>
      </c>
      <c r="C63" s="1275"/>
      <c r="D63" s="1767"/>
      <c r="E63" s="1686">
        <v>6</v>
      </c>
      <c r="F63" s="1402" t="s">
        <v>363</v>
      </c>
      <c r="G63" s="1661">
        <v>2400</v>
      </c>
      <c r="H63" s="1588">
        <f t="shared" si="14"/>
        <v>14400</v>
      </c>
      <c r="I63" s="1589">
        <v>150</v>
      </c>
      <c r="J63" s="1588">
        <f t="shared" si="15"/>
        <v>900</v>
      </c>
      <c r="K63" s="1770">
        <f t="shared" si="16"/>
        <v>15300</v>
      </c>
      <c r="L63" s="1770"/>
    </row>
    <row r="64" spans="1:20" s="1765" customFormat="1" ht="24" customHeight="1">
      <c r="A64" s="1766" t="s">
        <v>2155</v>
      </c>
      <c r="B64" s="1538" t="s">
        <v>2259</v>
      </c>
      <c r="C64" s="1275"/>
      <c r="D64" s="1767"/>
      <c r="E64" s="1686">
        <v>6</v>
      </c>
      <c r="F64" s="1402" t="s">
        <v>363</v>
      </c>
      <c r="G64" s="1661">
        <v>2200</v>
      </c>
      <c r="H64" s="1588">
        <f t="shared" si="14"/>
        <v>13200</v>
      </c>
      <c r="I64" s="1589">
        <v>150</v>
      </c>
      <c r="J64" s="1588">
        <f t="shared" si="15"/>
        <v>900</v>
      </c>
      <c r="K64" s="1770">
        <f t="shared" si="16"/>
        <v>14100</v>
      </c>
      <c r="L64" s="1770"/>
    </row>
    <row r="65" spans="1:12" s="1765" customFormat="1" ht="24" customHeight="1">
      <c r="A65" s="1766" t="s">
        <v>2165</v>
      </c>
      <c r="B65" s="1538" t="s">
        <v>2261</v>
      </c>
      <c r="C65" s="1275"/>
      <c r="D65" s="1767"/>
      <c r="E65" s="1686"/>
      <c r="F65" s="1402" t="s">
        <v>1104</v>
      </c>
      <c r="G65" s="1661">
        <f>15*2500</f>
        <v>37500</v>
      </c>
      <c r="H65" s="1588">
        <f t="shared" si="14"/>
        <v>0</v>
      </c>
      <c r="I65" s="1589">
        <f>G65*0.3</f>
        <v>11250</v>
      </c>
      <c r="J65" s="1588">
        <f t="shared" si="15"/>
        <v>0</v>
      </c>
      <c r="K65" s="1770">
        <f t="shared" si="16"/>
        <v>0</v>
      </c>
      <c r="L65" s="1770"/>
    </row>
    <row r="66" spans="1:12" s="1765" customFormat="1" ht="24" customHeight="1">
      <c r="A66" s="1766"/>
      <c r="B66" s="1538" t="s">
        <v>1117</v>
      </c>
      <c r="C66" s="1275"/>
      <c r="D66" s="1767"/>
      <c r="E66" s="1686"/>
      <c r="F66" s="1402"/>
      <c r="G66" s="1661"/>
      <c r="H66" s="1588"/>
      <c r="I66" s="1589"/>
      <c r="J66" s="1588"/>
      <c r="K66" s="1770"/>
      <c r="L66" s="1770"/>
    </row>
    <row r="67" spans="1:12" s="1765" customFormat="1" ht="24" customHeight="1">
      <c r="A67" s="1584"/>
      <c r="B67" s="1538" t="s">
        <v>1896</v>
      </c>
      <c r="C67" s="1275"/>
      <c r="D67" s="1767"/>
      <c r="E67" s="1686"/>
      <c r="F67" s="1402"/>
      <c r="G67" s="1661"/>
      <c r="H67" s="1588"/>
      <c r="I67" s="1589"/>
      <c r="J67" s="1588"/>
      <c r="K67" s="1770"/>
      <c r="L67" s="1770"/>
    </row>
    <row r="68" spans="1:12" s="1765" customFormat="1" ht="24" customHeight="1">
      <c r="A68" s="1584"/>
      <c r="B68" s="1538" t="s">
        <v>1896</v>
      </c>
      <c r="C68" s="1275"/>
      <c r="D68" s="1767"/>
      <c r="E68" s="1686"/>
      <c r="F68" s="1402"/>
      <c r="G68" s="1661"/>
      <c r="H68" s="1588"/>
      <c r="I68" s="1589"/>
      <c r="J68" s="1588"/>
      <c r="K68" s="1770"/>
      <c r="L68" s="1770"/>
    </row>
    <row r="69" spans="1:12" s="1765" customFormat="1" ht="24" customHeight="1">
      <c r="A69" s="1766"/>
      <c r="B69" s="1538"/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12" s="1765" customFormat="1" ht="24" customHeight="1">
      <c r="A70" s="1578"/>
      <c r="B70" s="2257" t="str">
        <f>"รวมราคารายการที่ "&amp;A60</f>
        <v>รวมราคารายการที่ 7.3</v>
      </c>
      <c r="C70" s="2258"/>
      <c r="D70" s="2259"/>
      <c r="E70" s="1579"/>
      <c r="F70" s="1579"/>
      <c r="G70" s="1580"/>
      <c r="H70" s="1581">
        <f>SUM(H61:H69)</f>
        <v>27600</v>
      </c>
      <c r="I70" s="1582"/>
      <c r="J70" s="1581">
        <f>SUM(J61:J69)</f>
        <v>1800</v>
      </c>
      <c r="K70" s="1581">
        <f>SUM(K61:K69)</f>
        <v>29400</v>
      </c>
      <c r="L70" s="1583"/>
    </row>
    <row r="71" spans="1:12" s="1765" customFormat="1" ht="24" customHeight="1">
      <c r="A71" s="1291">
        <v>7.4</v>
      </c>
      <c r="B71" s="1783" t="s">
        <v>2042</v>
      </c>
      <c r="C71" s="1294"/>
      <c r="D71" s="1777"/>
      <c r="E71" s="1686"/>
      <c r="F71" s="1402"/>
      <c r="G71" s="1661"/>
      <c r="H71" s="1588"/>
      <c r="I71" s="1589"/>
      <c r="J71" s="1588"/>
      <c r="K71" s="1770"/>
      <c r="L71" s="1770"/>
    </row>
    <row r="72" spans="1:12" s="1765" customFormat="1" ht="24" customHeight="1">
      <c r="A72" s="1258" t="s">
        <v>2054</v>
      </c>
      <c r="B72" s="1538" t="s">
        <v>2044</v>
      </c>
      <c r="C72" s="1275"/>
      <c r="D72" s="1767"/>
      <c r="E72" s="1771"/>
      <c r="F72" s="1385"/>
      <c r="G72" s="1778"/>
      <c r="H72" s="1594"/>
      <c r="I72" s="1595"/>
      <c r="J72" s="1594"/>
      <c r="K72" s="1632"/>
      <c r="L72" s="1632"/>
    </row>
    <row r="73" spans="1:12" s="1765" customFormat="1" ht="24" customHeight="1">
      <c r="A73" s="1189" t="s">
        <v>2166</v>
      </c>
      <c r="B73" s="1538" t="s">
        <v>2167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12" s="1765" customFormat="1" ht="24" customHeight="1">
      <c r="A74" s="1258"/>
      <c r="B74" s="1538" t="s">
        <v>2168</v>
      </c>
      <c r="C74" s="1275"/>
      <c r="D74" s="1767"/>
      <c r="E74" s="1834"/>
      <c r="F74" s="1788" t="s">
        <v>226</v>
      </c>
      <c r="G74" s="2020">
        <v>69.5</v>
      </c>
      <c r="H74" s="1773">
        <f>ROUND(E74*G74,)</f>
        <v>0</v>
      </c>
      <c r="I74" s="2011">
        <v>30</v>
      </c>
      <c r="J74" s="2008">
        <f>ROUND(E74*I74,)</f>
        <v>0</v>
      </c>
      <c r="K74" s="1774">
        <f t="shared" ref="K74:K84" si="17">H74+J74</f>
        <v>0</v>
      </c>
      <c r="L74" s="1632"/>
    </row>
    <row r="75" spans="1:12" s="1765" customFormat="1" ht="24" customHeight="1">
      <c r="A75" s="1258"/>
      <c r="B75" s="1538" t="s">
        <v>1901</v>
      </c>
      <c r="C75" s="1275"/>
      <c r="D75" s="1767"/>
      <c r="E75" s="1771"/>
      <c r="F75" s="1358" t="s">
        <v>226</v>
      </c>
      <c r="G75" s="1558">
        <v>103.5</v>
      </c>
      <c r="H75" s="1773">
        <f t="shared" ref="H75:H84" si="18">ROUND(E75*G75,)</f>
        <v>0</v>
      </c>
      <c r="I75" s="1332">
        <v>45</v>
      </c>
      <c r="J75" s="2008">
        <f t="shared" ref="J75:J84" si="19">ROUND(E75*I75,)</f>
        <v>0</v>
      </c>
      <c r="K75" s="1774">
        <f t="shared" si="17"/>
        <v>0</v>
      </c>
      <c r="L75" s="1632"/>
    </row>
    <row r="76" spans="1:12" s="1765" customFormat="1" ht="24" customHeight="1">
      <c r="A76" s="1258"/>
      <c r="B76" s="1538" t="s">
        <v>1338</v>
      </c>
      <c r="C76" s="1275"/>
      <c r="D76" s="1767"/>
      <c r="E76" s="1771"/>
      <c r="F76" s="1358" t="s">
        <v>226</v>
      </c>
      <c r="G76" s="1558">
        <v>140</v>
      </c>
      <c r="H76" s="1773">
        <f t="shared" si="18"/>
        <v>0</v>
      </c>
      <c r="I76" s="1332">
        <v>60</v>
      </c>
      <c r="J76" s="2008">
        <f t="shared" si="19"/>
        <v>0</v>
      </c>
      <c r="K76" s="1774">
        <f t="shared" si="17"/>
        <v>0</v>
      </c>
      <c r="L76" s="1632"/>
    </row>
    <row r="77" spans="1:12" s="1765" customFormat="1" ht="24" customHeight="1">
      <c r="A77" s="1258"/>
      <c r="B77" s="1538" t="s">
        <v>1339</v>
      </c>
      <c r="C77" s="1275"/>
      <c r="D77" s="2109"/>
      <c r="E77" s="715"/>
      <c r="F77" s="1262" t="s">
        <v>226</v>
      </c>
      <c r="G77" s="819">
        <v>167</v>
      </c>
      <c r="H77" s="1773">
        <f t="shared" si="18"/>
        <v>0</v>
      </c>
      <c r="I77" s="2007">
        <v>70</v>
      </c>
      <c r="J77" s="2008">
        <f t="shared" si="19"/>
        <v>0</v>
      </c>
      <c r="K77" s="1774">
        <f t="shared" si="17"/>
        <v>0</v>
      </c>
      <c r="L77" s="1632"/>
    </row>
    <row r="78" spans="1:12" s="1765" customFormat="1" ht="24" customHeight="1">
      <c r="A78" s="1258"/>
      <c r="B78" s="1538" t="s">
        <v>1340</v>
      </c>
      <c r="C78" s="1275"/>
      <c r="D78" s="2109"/>
      <c r="E78" s="715"/>
      <c r="F78" s="1262" t="s">
        <v>226</v>
      </c>
      <c r="G78" s="819">
        <v>225</v>
      </c>
      <c r="H78" s="1773">
        <f t="shared" si="18"/>
        <v>0</v>
      </c>
      <c r="I78" s="2007">
        <v>95</v>
      </c>
      <c r="J78" s="2008">
        <f t="shared" si="19"/>
        <v>0</v>
      </c>
      <c r="K78" s="1774">
        <f t="shared" si="17"/>
        <v>0</v>
      </c>
      <c r="L78" s="1632"/>
    </row>
    <row r="79" spans="1:12" s="1765" customFormat="1" ht="24" customHeight="1">
      <c r="A79" s="1804"/>
      <c r="B79" s="1780" t="s">
        <v>1341</v>
      </c>
      <c r="C79" s="1260"/>
      <c r="D79" s="2109"/>
      <c r="E79" s="825">
        <f>(78*2)</f>
        <v>156</v>
      </c>
      <c r="F79" s="1262" t="s">
        <v>226</v>
      </c>
      <c r="G79" s="2021">
        <v>357</v>
      </c>
      <c r="H79" s="1773">
        <f t="shared" si="18"/>
        <v>55692</v>
      </c>
      <c r="I79" s="819">
        <v>150</v>
      </c>
      <c r="J79" s="2008">
        <f t="shared" si="19"/>
        <v>23400</v>
      </c>
      <c r="K79" s="1774">
        <f t="shared" si="17"/>
        <v>79092</v>
      </c>
      <c r="L79" s="1415"/>
    </row>
    <row r="80" spans="1:12" s="1765" customFormat="1" ht="24" customHeight="1">
      <c r="A80" s="1804"/>
      <c r="B80" s="1780" t="s">
        <v>1342</v>
      </c>
      <c r="C80" s="1260"/>
      <c r="D80" s="2109"/>
      <c r="E80" s="825">
        <f>(78*2*1.1)</f>
        <v>171.60000000000002</v>
      </c>
      <c r="F80" s="1262" t="s">
        <v>226</v>
      </c>
      <c r="G80" s="2021">
        <v>467</v>
      </c>
      <c r="H80" s="1773">
        <f t="shared" si="18"/>
        <v>80137</v>
      </c>
      <c r="I80" s="819">
        <v>200</v>
      </c>
      <c r="J80" s="2008">
        <f t="shared" si="19"/>
        <v>34320</v>
      </c>
      <c r="K80" s="1774">
        <f t="shared" si="17"/>
        <v>114457</v>
      </c>
      <c r="L80" s="1415"/>
    </row>
    <row r="81" spans="1:15" s="1765" customFormat="1" ht="24" customHeight="1">
      <c r="A81" s="1804"/>
      <c r="B81" s="1780" t="s">
        <v>1111</v>
      </c>
      <c r="C81" s="1260"/>
      <c r="D81" s="2109"/>
      <c r="E81" s="825">
        <f>51.5*2*1.1</f>
        <v>113.30000000000001</v>
      </c>
      <c r="F81" s="1262" t="s">
        <v>226</v>
      </c>
      <c r="G81" s="2021">
        <v>665</v>
      </c>
      <c r="H81" s="1773">
        <f t="shared" si="18"/>
        <v>75345</v>
      </c>
      <c r="I81" s="819">
        <v>280</v>
      </c>
      <c r="J81" s="2008">
        <f t="shared" si="19"/>
        <v>31724</v>
      </c>
      <c r="K81" s="1774">
        <f t="shared" si="17"/>
        <v>107069</v>
      </c>
      <c r="L81" s="1415"/>
    </row>
    <row r="82" spans="1:15" s="1765" customFormat="1" ht="24" customHeight="1">
      <c r="A82" s="1258"/>
      <c r="B82" s="1538" t="s">
        <v>1719</v>
      </c>
      <c r="C82" s="1275"/>
      <c r="D82" s="2109"/>
      <c r="E82" s="715">
        <v>1</v>
      </c>
      <c r="F82" s="1415" t="s">
        <v>1104</v>
      </c>
      <c r="G82" s="1772">
        <f>ROUND(SUM(H74:H81)*50%,)</f>
        <v>105587</v>
      </c>
      <c r="H82" s="1264">
        <f t="shared" si="18"/>
        <v>105587</v>
      </c>
      <c r="I82" s="1595">
        <f>ROUND(G82*0.3,)</f>
        <v>31676</v>
      </c>
      <c r="J82" s="1264">
        <f t="shared" si="19"/>
        <v>31676</v>
      </c>
      <c r="K82" s="1273">
        <f t="shared" si="17"/>
        <v>137263</v>
      </c>
      <c r="L82" s="1632"/>
    </row>
    <row r="83" spans="1:15" s="1765" customFormat="1" ht="24" customHeight="1">
      <c r="A83" s="1258"/>
      <c r="B83" s="1538" t="s">
        <v>1720</v>
      </c>
      <c r="C83" s="1275"/>
      <c r="D83" s="2109"/>
      <c r="E83" s="715">
        <v>1</v>
      </c>
      <c r="F83" s="1415" t="s">
        <v>1104</v>
      </c>
      <c r="G83" s="1772">
        <f>ROUND(SUM(H73:H81)*20%,)</f>
        <v>42235</v>
      </c>
      <c r="H83" s="1264">
        <f t="shared" si="18"/>
        <v>42235</v>
      </c>
      <c r="I83" s="1595">
        <f>ROUND(G83*0.3,)</f>
        <v>12671</v>
      </c>
      <c r="J83" s="1264">
        <f t="shared" si="19"/>
        <v>12671</v>
      </c>
      <c r="K83" s="1273">
        <f t="shared" si="17"/>
        <v>54906</v>
      </c>
      <c r="L83" s="1632"/>
    </row>
    <row r="84" spans="1:15" s="1765" customFormat="1" ht="24" customHeight="1">
      <c r="A84" s="1258"/>
      <c r="B84" s="1538" t="s">
        <v>1721</v>
      </c>
      <c r="C84" s="1275"/>
      <c r="D84" s="2109"/>
      <c r="E84" s="715">
        <v>1</v>
      </c>
      <c r="F84" s="1415" t="s">
        <v>1104</v>
      </c>
      <c r="G84" s="1772">
        <f>ROUND(SUM(H73:H81)*10%,)</f>
        <v>21117</v>
      </c>
      <c r="H84" s="1264">
        <f t="shared" si="18"/>
        <v>21117</v>
      </c>
      <c r="I84" s="1595">
        <f>ROUND(G84*0.3,)</f>
        <v>6335</v>
      </c>
      <c r="J84" s="1264">
        <f t="shared" si="19"/>
        <v>6335</v>
      </c>
      <c r="K84" s="1273">
        <f t="shared" si="17"/>
        <v>27452</v>
      </c>
      <c r="L84" s="1632"/>
    </row>
    <row r="85" spans="1:15" s="1765" customFormat="1" ht="24" customHeight="1">
      <c r="A85" s="1258" t="s">
        <v>2056</v>
      </c>
      <c r="B85" s="1538" t="s">
        <v>2050</v>
      </c>
      <c r="C85" s="1275"/>
      <c r="D85" s="2109"/>
      <c r="E85" s="715"/>
      <c r="F85" s="1415"/>
      <c r="G85" s="1772"/>
      <c r="H85" s="1594"/>
      <c r="I85" s="1595"/>
      <c r="J85" s="1594"/>
      <c r="K85" s="1632"/>
      <c r="L85" s="1632"/>
    </row>
    <row r="86" spans="1:15" s="1765" customFormat="1" ht="24" customHeight="1">
      <c r="A86" s="1258"/>
      <c r="B86" s="1538" t="s">
        <v>2168</v>
      </c>
      <c r="C86" s="1275"/>
      <c r="D86" s="2109"/>
      <c r="E86" s="1834"/>
      <c r="F86" s="2154" t="s">
        <v>226</v>
      </c>
      <c r="G86" s="819">
        <v>12</v>
      </c>
      <c r="H86" s="1343">
        <f t="shared" ref="H86:H93" si="20">ROUND(E86*G86,)</f>
        <v>0</v>
      </c>
      <c r="I86" s="819">
        <v>30</v>
      </c>
      <c r="J86" s="2005">
        <f t="shared" ref="J86:J93" si="21">ROUND(E86*I86,)</f>
        <v>0</v>
      </c>
      <c r="K86" s="1801">
        <f t="shared" ref="K86:K93" si="22">H86+J86</f>
        <v>0</v>
      </c>
      <c r="L86" s="2082" t="s">
        <v>2667</v>
      </c>
      <c r="M86" s="2002"/>
      <c r="N86" s="2009">
        <v>48.23</v>
      </c>
      <c r="O86" s="1199">
        <f>ROUND(N86/4,)</f>
        <v>12</v>
      </c>
    </row>
    <row r="87" spans="1:15" s="1765" customFormat="1" ht="24" customHeight="1">
      <c r="A87" s="1258"/>
      <c r="B87" s="1538" t="s">
        <v>1901</v>
      </c>
      <c r="C87" s="1275"/>
      <c r="D87" s="2109"/>
      <c r="E87" s="715"/>
      <c r="F87" s="1262" t="s">
        <v>226</v>
      </c>
      <c r="G87" s="819">
        <v>16</v>
      </c>
      <c r="H87" s="1369">
        <f t="shared" si="20"/>
        <v>0</v>
      </c>
      <c r="I87" s="2007">
        <v>30</v>
      </c>
      <c r="J87" s="2008">
        <f t="shared" si="21"/>
        <v>0</v>
      </c>
      <c r="K87" s="1774">
        <f t="shared" si="22"/>
        <v>0</v>
      </c>
      <c r="L87" s="2082" t="s">
        <v>2667</v>
      </c>
      <c r="M87" s="2002"/>
      <c r="N87" s="1765">
        <v>63.7</v>
      </c>
      <c r="O87" s="1199">
        <f>ROUND(N87/4,)</f>
        <v>16</v>
      </c>
    </row>
    <row r="88" spans="1:15" s="1765" customFormat="1" ht="24" customHeight="1">
      <c r="A88" s="1258"/>
      <c r="B88" s="1538" t="s">
        <v>2263</v>
      </c>
      <c r="C88" s="1275"/>
      <c r="D88" s="2109"/>
      <c r="E88" s="715"/>
      <c r="F88" s="1262" t="s">
        <v>226</v>
      </c>
      <c r="G88" s="819">
        <v>20</v>
      </c>
      <c r="H88" s="1369">
        <f t="shared" si="20"/>
        <v>0</v>
      </c>
      <c r="I88" s="2007">
        <v>30</v>
      </c>
      <c r="J88" s="2008">
        <f t="shared" si="21"/>
        <v>0</v>
      </c>
      <c r="K88" s="1774">
        <f t="shared" si="22"/>
        <v>0</v>
      </c>
      <c r="L88" s="2082" t="s">
        <v>2667</v>
      </c>
      <c r="M88" s="2002"/>
      <c r="N88" s="2024">
        <v>79.17</v>
      </c>
      <c r="O88" s="1199">
        <f>ROUND(N88/4,)</f>
        <v>20</v>
      </c>
    </row>
    <row r="89" spans="1:15" s="1765" customFormat="1" ht="24" customHeight="1">
      <c r="A89" s="1258"/>
      <c r="B89" s="1538" t="s">
        <v>1339</v>
      </c>
      <c r="C89" s="1275"/>
      <c r="D89" s="2109"/>
      <c r="E89" s="715">
        <f>2*6</f>
        <v>12</v>
      </c>
      <c r="F89" s="1262" t="s">
        <v>226</v>
      </c>
      <c r="G89" s="819">
        <v>26</v>
      </c>
      <c r="H89" s="1369">
        <f t="shared" si="20"/>
        <v>312</v>
      </c>
      <c r="I89" s="2007">
        <v>30</v>
      </c>
      <c r="J89" s="2008">
        <f t="shared" si="21"/>
        <v>360</v>
      </c>
      <c r="K89" s="1774">
        <f t="shared" si="22"/>
        <v>672</v>
      </c>
      <c r="L89" s="2082" t="s">
        <v>2667</v>
      </c>
      <c r="M89" s="2002"/>
      <c r="N89" s="2024">
        <v>103.74</v>
      </c>
      <c r="O89" s="1199">
        <f>ROUND(N89/4,)</f>
        <v>26</v>
      </c>
    </row>
    <row r="90" spans="1:15" s="1765" customFormat="1" ht="24" customHeight="1">
      <c r="A90" s="1258"/>
      <c r="B90" s="1538" t="s">
        <v>1340</v>
      </c>
      <c r="C90" s="1275"/>
      <c r="D90" s="2109"/>
      <c r="E90" s="715"/>
      <c r="F90" s="1262" t="s">
        <v>226</v>
      </c>
      <c r="G90" s="819">
        <v>41</v>
      </c>
      <c r="H90" s="1369">
        <f t="shared" si="20"/>
        <v>0</v>
      </c>
      <c r="I90" s="2007">
        <v>40</v>
      </c>
      <c r="J90" s="2008">
        <f t="shared" si="21"/>
        <v>0</v>
      </c>
      <c r="K90" s="1774">
        <f t="shared" si="22"/>
        <v>0</v>
      </c>
      <c r="L90" s="2082" t="s">
        <v>2667</v>
      </c>
      <c r="M90" s="2002"/>
      <c r="N90" s="2024">
        <v>163.80000000000001</v>
      </c>
      <c r="O90" s="1199">
        <f>ROUND(N90/4,)</f>
        <v>41</v>
      </c>
    </row>
    <row r="91" spans="1:15" s="1765" customFormat="1" ht="24" customHeight="1">
      <c r="A91" s="1258"/>
      <c r="B91" s="1538" t="s">
        <v>1719</v>
      </c>
      <c r="C91" s="1275"/>
      <c r="D91" s="2109"/>
      <c r="E91" s="715">
        <v>1</v>
      </c>
      <c r="F91" s="1415" t="s">
        <v>1104</v>
      </c>
      <c r="G91" s="1772">
        <f>SUM(H86:H90)*50%</f>
        <v>156</v>
      </c>
      <c r="H91" s="1264">
        <f t="shared" si="20"/>
        <v>156</v>
      </c>
      <c r="I91" s="1595">
        <f>ROUND(G91*0.3,)</f>
        <v>47</v>
      </c>
      <c r="J91" s="1264">
        <f t="shared" si="21"/>
        <v>47</v>
      </c>
      <c r="K91" s="1273">
        <f t="shared" si="22"/>
        <v>203</v>
      </c>
      <c r="L91" s="1632"/>
    </row>
    <row r="92" spans="1:15" s="1765" customFormat="1" ht="24" customHeight="1">
      <c r="A92" s="1258"/>
      <c r="B92" s="1538" t="s">
        <v>1720</v>
      </c>
      <c r="C92" s="1275"/>
      <c r="D92" s="1767"/>
      <c r="E92" s="1771">
        <v>1</v>
      </c>
      <c r="F92" s="1385" t="s">
        <v>1104</v>
      </c>
      <c r="G92" s="1778">
        <f>ROUND(SUM(H86:H90)*30%,)</f>
        <v>94</v>
      </c>
      <c r="H92" s="1264">
        <f t="shared" si="20"/>
        <v>94</v>
      </c>
      <c r="I92" s="1595">
        <f>ROUND(G92*0.3,)</f>
        <v>28</v>
      </c>
      <c r="J92" s="1264">
        <f t="shared" si="21"/>
        <v>28</v>
      </c>
      <c r="K92" s="1273">
        <f t="shared" si="22"/>
        <v>122</v>
      </c>
      <c r="L92" s="1632"/>
    </row>
    <row r="93" spans="1:15" s="1765" customFormat="1" ht="24" customHeight="1">
      <c r="A93" s="1258"/>
      <c r="B93" s="1538" t="s">
        <v>1721</v>
      </c>
      <c r="C93" s="1275"/>
      <c r="D93" s="1767"/>
      <c r="E93" s="1771">
        <v>1</v>
      </c>
      <c r="F93" s="1385" t="s">
        <v>1104</v>
      </c>
      <c r="G93" s="1778">
        <f>ROUND(SUM(H86:H90)*10%,)</f>
        <v>31</v>
      </c>
      <c r="H93" s="1264">
        <f t="shared" si="20"/>
        <v>31</v>
      </c>
      <c r="I93" s="1595">
        <f>ROUND(G93*0.3,)</f>
        <v>9</v>
      </c>
      <c r="J93" s="1264">
        <f t="shared" si="21"/>
        <v>9</v>
      </c>
      <c r="K93" s="1273">
        <f t="shared" si="22"/>
        <v>40</v>
      </c>
      <c r="L93" s="1632"/>
    </row>
    <row r="94" spans="1:15" s="1765" customFormat="1" ht="24" customHeight="1">
      <c r="A94" s="1258"/>
      <c r="B94" s="1538" t="s">
        <v>1117</v>
      </c>
      <c r="C94" s="1275"/>
      <c r="D94" s="1767"/>
      <c r="E94" s="1771"/>
      <c r="F94" s="1385"/>
      <c r="G94" s="1778"/>
      <c r="H94" s="1594"/>
      <c r="I94" s="1595"/>
      <c r="J94" s="1594"/>
      <c r="K94" s="1632"/>
      <c r="L94" s="1632"/>
    </row>
    <row r="95" spans="1:15" s="1765" customFormat="1" ht="24" customHeight="1">
      <c r="A95" s="1258"/>
      <c r="B95" s="1538"/>
      <c r="C95" s="1275"/>
      <c r="D95" s="1767"/>
      <c r="E95" s="1771"/>
      <c r="F95" s="1385"/>
      <c r="G95" s="1778"/>
      <c r="H95" s="1594"/>
      <c r="I95" s="1595"/>
      <c r="J95" s="1594"/>
      <c r="K95" s="1632"/>
      <c r="L95" s="1632"/>
    </row>
    <row r="96" spans="1:15" s="1765" customFormat="1" ht="24" customHeight="1">
      <c r="A96" s="1258"/>
      <c r="B96" s="1538"/>
      <c r="C96" s="1275"/>
      <c r="D96" s="1767"/>
      <c r="E96" s="1771"/>
      <c r="F96" s="1385"/>
      <c r="G96" s="1778"/>
      <c r="H96" s="1594"/>
      <c r="I96" s="1595"/>
      <c r="J96" s="1594"/>
      <c r="K96" s="1632"/>
      <c r="L96" s="1632"/>
    </row>
    <row r="97" spans="1:12" s="1765" customFormat="1" ht="24" customHeight="1">
      <c r="A97" s="1791"/>
      <c r="B97" s="1792"/>
      <c r="C97" s="1486"/>
      <c r="D97" s="1822"/>
      <c r="E97" s="1823"/>
      <c r="F97" s="1500"/>
      <c r="G97" s="1824"/>
      <c r="H97" s="1825"/>
      <c r="I97" s="1826"/>
      <c r="J97" s="1825"/>
      <c r="K97" s="1833"/>
      <c r="L97" s="1833"/>
    </row>
    <row r="98" spans="1:12" s="1765" customFormat="1" ht="24" customHeight="1">
      <c r="A98" s="1578"/>
      <c r="B98" s="2257" t="str">
        <f>"รวมราคารายการที่ "&amp;A71</f>
        <v>รวมราคารายการที่ 7.4</v>
      </c>
      <c r="C98" s="2258"/>
      <c r="D98" s="2259"/>
      <c r="E98" s="1579"/>
      <c r="F98" s="1579"/>
      <c r="G98" s="1580"/>
      <c r="H98" s="1581">
        <f>SUM(H72:H97)</f>
        <v>380706</v>
      </c>
      <c r="I98" s="1582"/>
      <c r="J98" s="1581">
        <f>SUM(J72:J97)</f>
        <v>140570</v>
      </c>
      <c r="K98" s="1581">
        <f>SUM(K72:K97)</f>
        <v>521276</v>
      </c>
      <c r="L98" s="1583"/>
    </row>
    <row r="99" spans="1:12" s="1765" customFormat="1" ht="24" customHeight="1">
      <c r="A99" s="1863" t="s">
        <v>2307</v>
      </c>
      <c r="B99" s="1758" t="s">
        <v>2053</v>
      </c>
      <c r="C99" s="1250"/>
      <c r="D99" s="1251"/>
      <c r="E99" s="1794"/>
      <c r="F99" s="1253"/>
      <c r="G99" s="1721"/>
      <c r="H99" s="1255"/>
      <c r="I99" s="1256"/>
      <c r="J99" s="1255"/>
      <c r="K99" s="1502"/>
      <c r="L99" s="1502"/>
    </row>
    <row r="100" spans="1:12" s="1765" customFormat="1" ht="24" customHeight="1">
      <c r="A100" s="1258" t="s">
        <v>2062</v>
      </c>
      <c r="B100" s="1538" t="s">
        <v>2055</v>
      </c>
      <c r="C100" s="1437"/>
      <c r="D100" s="1275"/>
      <c r="E100" s="1768"/>
      <c r="F100" s="1358"/>
      <c r="G100" s="1516"/>
      <c r="H100" s="1264"/>
      <c r="I100" s="1265"/>
      <c r="J100" s="1264"/>
      <c r="K100" s="1273"/>
      <c r="L100" s="1273"/>
    </row>
    <row r="101" spans="1:12" s="1765" customFormat="1" ht="24" customHeight="1">
      <c r="A101" s="1258"/>
      <c r="B101" s="1538" t="s">
        <v>2168</v>
      </c>
      <c r="C101" s="1437"/>
      <c r="D101" s="1275"/>
      <c r="E101" s="1813">
        <f>E86</f>
        <v>0</v>
      </c>
      <c r="F101" s="1788" t="s">
        <v>226</v>
      </c>
      <c r="G101" s="1790">
        <v>59</v>
      </c>
      <c r="H101" s="1773">
        <f t="shared" ref="H101:H104" si="23">ROUND(E101*G101,)</f>
        <v>0</v>
      </c>
      <c r="I101" s="1789">
        <f>ROUND(20*0.75*1.3,)</f>
        <v>20</v>
      </c>
      <c r="J101" s="1773">
        <f t="shared" ref="J101:J104" si="24">ROUND(E101*I101,)</f>
        <v>0</v>
      </c>
      <c r="K101" s="1269">
        <f t="shared" ref="K101:K104" si="25">H101+J101</f>
        <v>0</v>
      </c>
      <c r="L101" s="1273"/>
    </row>
    <row r="102" spans="1:12" s="1765" customFormat="1" ht="24" customHeight="1">
      <c r="A102" s="1258"/>
      <c r="B102" s="1538" t="s">
        <v>1901</v>
      </c>
      <c r="C102" s="1437"/>
      <c r="D102" s="1275"/>
      <c r="E102" s="1813">
        <f>E87</f>
        <v>0</v>
      </c>
      <c r="F102" s="1358" t="s">
        <v>226</v>
      </c>
      <c r="G102" s="1516">
        <v>69</v>
      </c>
      <c r="H102" s="1264">
        <f t="shared" si="23"/>
        <v>0</v>
      </c>
      <c r="I102" s="1265">
        <f>ROUND(20*1*1.3,)</f>
        <v>26</v>
      </c>
      <c r="J102" s="1264">
        <f t="shared" si="24"/>
        <v>0</v>
      </c>
      <c r="K102" s="1273">
        <f t="shared" si="25"/>
        <v>0</v>
      </c>
      <c r="L102" s="1273"/>
    </row>
    <row r="103" spans="1:12" s="1765" customFormat="1" ht="24" customHeight="1">
      <c r="A103" s="1258"/>
      <c r="B103" s="1538" t="s">
        <v>1338</v>
      </c>
      <c r="C103" s="1437"/>
      <c r="D103" s="1275"/>
      <c r="E103" s="1813">
        <f>E88</f>
        <v>0</v>
      </c>
      <c r="F103" s="1358" t="s">
        <v>226</v>
      </c>
      <c r="G103" s="1516">
        <v>92</v>
      </c>
      <c r="H103" s="1264">
        <f t="shared" si="23"/>
        <v>0</v>
      </c>
      <c r="I103" s="1265">
        <f>ROUND(20*1.25*1.3,)</f>
        <v>33</v>
      </c>
      <c r="J103" s="1264">
        <f t="shared" si="24"/>
        <v>0</v>
      </c>
      <c r="K103" s="1273">
        <f t="shared" si="25"/>
        <v>0</v>
      </c>
      <c r="L103" s="1273"/>
    </row>
    <row r="104" spans="1:12" s="1765" customFormat="1" ht="24" customHeight="1">
      <c r="A104" s="1258"/>
      <c r="B104" s="1538" t="s">
        <v>1339</v>
      </c>
      <c r="C104" s="1437"/>
      <c r="D104" s="1275"/>
      <c r="E104" s="1813">
        <f>E89</f>
        <v>12</v>
      </c>
      <c r="F104" s="1358" t="s">
        <v>226</v>
      </c>
      <c r="G104" s="1516">
        <v>93</v>
      </c>
      <c r="H104" s="1264">
        <f t="shared" si="23"/>
        <v>1116</v>
      </c>
      <c r="I104" s="1265">
        <v>39</v>
      </c>
      <c r="J104" s="1264">
        <f t="shared" si="24"/>
        <v>468</v>
      </c>
      <c r="K104" s="1273">
        <f t="shared" si="25"/>
        <v>1584</v>
      </c>
      <c r="L104" s="1273"/>
    </row>
    <row r="105" spans="1:12" s="1765" customFormat="1" ht="24" customHeight="1">
      <c r="A105" s="1258" t="s">
        <v>2062</v>
      </c>
      <c r="B105" s="1538" t="s">
        <v>2169</v>
      </c>
      <c r="C105" s="1437"/>
      <c r="D105" s="1275"/>
      <c r="E105" s="1768"/>
      <c r="F105" s="1358"/>
      <c r="G105" s="1516"/>
      <c r="H105" s="1264"/>
      <c r="I105" s="1265"/>
      <c r="J105" s="1264"/>
      <c r="K105" s="1273"/>
      <c r="L105" s="1273"/>
    </row>
    <row r="106" spans="1:12" s="1765" customFormat="1" ht="24" customHeight="1">
      <c r="A106" s="1258"/>
      <c r="B106" s="1538" t="s">
        <v>2168</v>
      </c>
      <c r="C106" s="1437"/>
      <c r="D106" s="1275"/>
      <c r="E106" s="1813">
        <f>E74</f>
        <v>0</v>
      </c>
      <c r="F106" s="1788" t="s">
        <v>226</v>
      </c>
      <c r="G106" s="1790">
        <v>69</v>
      </c>
      <c r="H106" s="1773">
        <f t="shared" ref="H106:H109" si="26">ROUND(E106*G106,)</f>
        <v>0</v>
      </c>
      <c r="I106" s="1789">
        <f>ROUND(20*0.75*1.3,)</f>
        <v>20</v>
      </c>
      <c r="J106" s="1773">
        <f t="shared" ref="J106:J109" si="27">ROUND(E106*I106,)</f>
        <v>0</v>
      </c>
      <c r="K106" s="1269">
        <f t="shared" ref="K106:K109" si="28">H106+J106</f>
        <v>0</v>
      </c>
      <c r="L106" s="1269"/>
    </row>
    <row r="107" spans="1:12" s="1765" customFormat="1" ht="24" customHeight="1">
      <c r="A107" s="1258"/>
      <c r="B107" s="1538" t="s">
        <v>1901</v>
      </c>
      <c r="C107" s="1437"/>
      <c r="D107" s="1275"/>
      <c r="E107" s="1771">
        <f>E75</f>
        <v>0</v>
      </c>
      <c r="F107" s="1358" t="s">
        <v>226</v>
      </c>
      <c r="G107" s="1516">
        <v>85</v>
      </c>
      <c r="H107" s="1264">
        <f t="shared" si="26"/>
        <v>0</v>
      </c>
      <c r="I107" s="1265">
        <f>ROUND(20*1*1.3,)</f>
        <v>26</v>
      </c>
      <c r="J107" s="1264">
        <f t="shared" si="27"/>
        <v>0</v>
      </c>
      <c r="K107" s="1273">
        <f t="shared" si="28"/>
        <v>0</v>
      </c>
      <c r="L107" s="1273"/>
    </row>
    <row r="108" spans="1:12" s="1765" customFormat="1" ht="24" customHeight="1">
      <c r="A108" s="1258"/>
      <c r="B108" s="1538" t="s">
        <v>1338</v>
      </c>
      <c r="C108" s="1437"/>
      <c r="D108" s="1275"/>
      <c r="E108" s="1813">
        <f>E76</f>
        <v>0</v>
      </c>
      <c r="F108" s="1788" t="s">
        <v>226</v>
      </c>
      <c r="G108" s="1515">
        <v>96</v>
      </c>
      <c r="H108" s="1369">
        <f t="shared" si="26"/>
        <v>0</v>
      </c>
      <c r="I108" s="1370">
        <v>33</v>
      </c>
      <c r="J108" s="1369">
        <f t="shared" si="27"/>
        <v>0</v>
      </c>
      <c r="K108" s="1356">
        <f t="shared" si="28"/>
        <v>0</v>
      </c>
      <c r="L108" s="1269"/>
    </row>
    <row r="109" spans="1:12" s="1765" customFormat="1" ht="24" customHeight="1">
      <c r="A109" s="1258"/>
      <c r="B109" s="1538" t="s">
        <v>1339</v>
      </c>
      <c r="C109" s="1437"/>
      <c r="D109" s="1275"/>
      <c r="E109" s="1771">
        <f>E77</f>
        <v>0</v>
      </c>
      <c r="F109" s="1358" t="s">
        <v>226</v>
      </c>
      <c r="G109" s="1515">
        <v>108</v>
      </c>
      <c r="H109" s="1369">
        <f t="shared" si="26"/>
        <v>0</v>
      </c>
      <c r="I109" s="1370">
        <v>39</v>
      </c>
      <c r="J109" s="1369">
        <f t="shared" si="27"/>
        <v>0</v>
      </c>
      <c r="K109" s="1356">
        <f t="shared" si="28"/>
        <v>0</v>
      </c>
      <c r="L109" s="1273"/>
    </row>
    <row r="110" spans="1:12" s="1765" customFormat="1" ht="24" customHeight="1">
      <c r="A110" s="1804" t="s">
        <v>2064</v>
      </c>
      <c r="B110" s="1780" t="s">
        <v>2265</v>
      </c>
      <c r="C110" s="1800"/>
      <c r="D110" s="1260"/>
      <c r="E110" s="1801"/>
      <c r="F110" s="1262"/>
      <c r="G110" s="1515"/>
      <c r="H110" s="1343"/>
      <c r="I110" s="1344"/>
      <c r="J110" s="1343"/>
      <c r="K110" s="1262"/>
      <c r="L110" s="1262"/>
    </row>
    <row r="111" spans="1:12" s="1765" customFormat="1" ht="24" customHeight="1">
      <c r="A111" s="1804"/>
      <c r="B111" s="1780" t="s">
        <v>1338</v>
      </c>
      <c r="C111" s="1800"/>
      <c r="D111" s="1260"/>
      <c r="E111" s="715"/>
      <c r="F111" s="1262" t="s">
        <v>226</v>
      </c>
      <c r="G111" s="1515">
        <v>108</v>
      </c>
      <c r="H111" s="1343">
        <f t="shared" ref="H111:H116" si="29">ROUND(E111*G111,)</f>
        <v>0</v>
      </c>
      <c r="I111" s="1344">
        <v>33</v>
      </c>
      <c r="J111" s="1343">
        <f t="shared" ref="J111:J116" si="30">ROUND(E111*I111,)</f>
        <v>0</v>
      </c>
      <c r="K111" s="1262">
        <f t="shared" ref="K111:K116" si="31">H111+J111</f>
        <v>0</v>
      </c>
      <c r="L111" s="1262"/>
    </row>
    <row r="112" spans="1:12" s="1765" customFormat="1" ht="24" customHeight="1">
      <c r="A112" s="1804"/>
      <c r="B112" s="1780" t="s">
        <v>1339</v>
      </c>
      <c r="C112" s="1260"/>
      <c r="D112" s="1781"/>
      <c r="E112" s="715"/>
      <c r="F112" s="1262" t="s">
        <v>226</v>
      </c>
      <c r="G112" s="1515">
        <v>164</v>
      </c>
      <c r="H112" s="1343">
        <f t="shared" si="29"/>
        <v>0</v>
      </c>
      <c r="I112" s="1344">
        <v>39</v>
      </c>
      <c r="J112" s="1343">
        <f t="shared" si="30"/>
        <v>0</v>
      </c>
      <c r="K112" s="1262">
        <f t="shared" si="31"/>
        <v>0</v>
      </c>
      <c r="L112" s="1415"/>
    </row>
    <row r="113" spans="1:12" s="1765" customFormat="1" ht="24" customHeight="1">
      <c r="A113" s="1784"/>
      <c r="B113" s="1780" t="s">
        <v>1340</v>
      </c>
      <c r="C113" s="1260"/>
      <c r="D113" s="1781"/>
      <c r="E113" s="825">
        <f>E78</f>
        <v>0</v>
      </c>
      <c r="F113" s="1356" t="s">
        <v>226</v>
      </c>
      <c r="G113" s="1515">
        <v>200</v>
      </c>
      <c r="H113" s="1369">
        <f t="shared" si="29"/>
        <v>0</v>
      </c>
      <c r="I113" s="1370">
        <v>52</v>
      </c>
      <c r="J113" s="1369">
        <f t="shared" si="30"/>
        <v>0</v>
      </c>
      <c r="K113" s="1356">
        <f t="shared" si="31"/>
        <v>0</v>
      </c>
      <c r="L113" s="1457"/>
    </row>
    <row r="114" spans="1:12" s="1765" customFormat="1" ht="24" customHeight="1">
      <c r="A114" s="1784"/>
      <c r="B114" s="1780" t="s">
        <v>1341</v>
      </c>
      <c r="C114" s="1260"/>
      <c r="D114" s="1781"/>
      <c r="E114" s="825">
        <f>E79</f>
        <v>156</v>
      </c>
      <c r="F114" s="1356" t="s">
        <v>226</v>
      </c>
      <c r="G114" s="1515">
        <v>256</v>
      </c>
      <c r="H114" s="1369">
        <f t="shared" si="29"/>
        <v>39936</v>
      </c>
      <c r="I114" s="1370">
        <v>65</v>
      </c>
      <c r="J114" s="1369">
        <f t="shared" si="30"/>
        <v>10140</v>
      </c>
      <c r="K114" s="1356">
        <f t="shared" si="31"/>
        <v>50076</v>
      </c>
      <c r="L114" s="1457"/>
    </row>
    <row r="115" spans="1:12" s="1765" customFormat="1" ht="24" customHeight="1">
      <c r="A115" s="1784"/>
      <c r="B115" s="1780" t="s">
        <v>1342</v>
      </c>
      <c r="C115" s="1260"/>
      <c r="D115" s="1781"/>
      <c r="E115" s="825">
        <f>E80</f>
        <v>171.60000000000002</v>
      </c>
      <c r="F115" s="1356" t="s">
        <v>226</v>
      </c>
      <c r="G115" s="1515">
        <v>302</v>
      </c>
      <c r="H115" s="1369">
        <f t="shared" si="29"/>
        <v>51823</v>
      </c>
      <c r="I115" s="1370">
        <v>78</v>
      </c>
      <c r="J115" s="1369">
        <f t="shared" si="30"/>
        <v>13385</v>
      </c>
      <c r="K115" s="1356">
        <f t="shared" si="31"/>
        <v>65208</v>
      </c>
      <c r="L115" s="1457"/>
    </row>
    <row r="116" spans="1:12" s="1765" customFormat="1" ht="24" customHeight="1">
      <c r="A116" s="1784"/>
      <c r="B116" s="1780" t="s">
        <v>1111</v>
      </c>
      <c r="C116" s="1260"/>
      <c r="D116" s="1781"/>
      <c r="E116" s="825">
        <f>E81</f>
        <v>113.30000000000001</v>
      </c>
      <c r="F116" s="1356" t="s">
        <v>226</v>
      </c>
      <c r="G116" s="1515">
        <v>367</v>
      </c>
      <c r="H116" s="1369">
        <f t="shared" si="29"/>
        <v>41581</v>
      </c>
      <c r="I116" s="1370">
        <v>104</v>
      </c>
      <c r="J116" s="1369">
        <f t="shared" si="30"/>
        <v>11783</v>
      </c>
      <c r="K116" s="1356">
        <f t="shared" si="31"/>
        <v>53364</v>
      </c>
      <c r="L116" s="1457"/>
    </row>
    <row r="117" spans="1:12" s="1765" customFormat="1" ht="24" customHeight="1">
      <c r="A117" s="1258"/>
      <c r="B117" s="1538" t="s">
        <v>1117</v>
      </c>
      <c r="C117" s="1437"/>
      <c r="D117" s="1275"/>
      <c r="E117" s="1768"/>
      <c r="F117" s="1358"/>
      <c r="G117" s="1516"/>
      <c r="H117" s="1264"/>
      <c r="I117" s="1265"/>
      <c r="J117" s="1264"/>
      <c r="K117" s="1273"/>
      <c r="L117" s="1273"/>
    </row>
    <row r="118" spans="1:12" s="1765" customFormat="1" ht="24" customHeight="1">
      <c r="A118" s="1258"/>
      <c r="B118" s="1538" t="s">
        <v>1118</v>
      </c>
      <c r="C118" s="1437"/>
      <c r="D118" s="1275"/>
      <c r="E118" s="1768"/>
      <c r="F118" s="1358"/>
      <c r="G118" s="1516"/>
      <c r="H118" s="1264"/>
      <c r="I118" s="1265"/>
      <c r="J118" s="1264"/>
      <c r="K118" s="1273"/>
      <c r="L118" s="1273"/>
    </row>
    <row r="119" spans="1:12" s="1765" customFormat="1" ht="24" customHeight="1">
      <c r="A119" s="1258"/>
      <c r="B119" s="1538"/>
      <c r="C119" s="1437"/>
      <c r="D119" s="1275"/>
      <c r="E119" s="1768"/>
      <c r="F119" s="1358"/>
      <c r="G119" s="1516"/>
      <c r="H119" s="1264"/>
      <c r="I119" s="1265"/>
      <c r="J119" s="1264"/>
      <c r="K119" s="1273"/>
      <c r="L119" s="1273"/>
    </row>
    <row r="120" spans="1:12" s="1765" customFormat="1" ht="24" customHeight="1">
      <c r="A120" s="1258"/>
      <c r="B120" s="1538"/>
      <c r="C120" s="1437"/>
      <c r="D120" s="1275"/>
      <c r="E120" s="1768"/>
      <c r="F120" s="1358"/>
      <c r="G120" s="1516"/>
      <c r="H120" s="1264"/>
      <c r="I120" s="1265"/>
      <c r="J120" s="1264"/>
      <c r="K120" s="1273"/>
      <c r="L120" s="1273"/>
    </row>
    <row r="121" spans="1:12" s="1765" customFormat="1" ht="24" customHeight="1">
      <c r="A121" s="1791"/>
      <c r="B121" s="1792"/>
      <c r="C121" s="1702"/>
      <c r="D121" s="1486"/>
      <c r="E121" s="1793"/>
      <c r="F121" s="1487"/>
      <c r="G121" s="1735"/>
      <c r="H121" s="1425"/>
      <c r="I121" s="1488"/>
      <c r="J121" s="1425"/>
      <c r="K121" s="1426"/>
      <c r="L121" s="1426"/>
    </row>
    <row r="122" spans="1:12" s="1765" customFormat="1" ht="24" customHeight="1">
      <c r="A122" s="1578"/>
      <c r="B122" s="2257" t="str">
        <f>"รวมราคารายการที่ "&amp;A99</f>
        <v>รวมราคารายการที่ 7.5</v>
      </c>
      <c r="C122" s="2258"/>
      <c r="D122" s="2259"/>
      <c r="E122" s="1579"/>
      <c r="F122" s="1579"/>
      <c r="G122" s="1580"/>
      <c r="H122" s="1581">
        <f>SUM(H100:H121)</f>
        <v>134456</v>
      </c>
      <c r="I122" s="1582"/>
      <c r="J122" s="1581">
        <f>SUM(J100:J121)</f>
        <v>35776</v>
      </c>
      <c r="K122" s="1581">
        <f>SUM(K100:K121)</f>
        <v>170232</v>
      </c>
      <c r="L122" s="1583"/>
    </row>
    <row r="123" spans="1:12" s="1765" customFormat="1" ht="24" customHeight="1">
      <c r="A123" s="1291">
        <v>7.6</v>
      </c>
      <c r="B123" s="1776" t="s">
        <v>2061</v>
      </c>
      <c r="C123" s="1293"/>
      <c r="D123" s="1294"/>
      <c r="E123" s="1786"/>
      <c r="F123" s="1296"/>
      <c r="G123" s="1357"/>
      <c r="H123" s="1298"/>
      <c r="I123" s="1299"/>
      <c r="J123" s="1298"/>
      <c r="K123" s="1382"/>
      <c r="L123" s="1382"/>
    </row>
    <row r="124" spans="1:12" s="1765" customFormat="1" ht="24" customHeight="1">
      <c r="A124" s="1258" t="s">
        <v>2075</v>
      </c>
      <c r="B124" s="1538" t="s">
        <v>2063</v>
      </c>
      <c r="C124" s="1437"/>
      <c r="D124" s="1275"/>
      <c r="E124" s="1768"/>
      <c r="F124" s="1358"/>
      <c r="G124" s="1516"/>
      <c r="H124" s="1264"/>
      <c r="I124" s="1265"/>
      <c r="J124" s="1264"/>
      <c r="K124" s="1273"/>
      <c r="L124" s="1273"/>
    </row>
    <row r="125" spans="1:12" s="1765" customFormat="1" ht="24" customHeight="1">
      <c r="A125" s="1258"/>
      <c r="B125" s="1538" t="s">
        <v>1448</v>
      </c>
      <c r="C125" s="1437"/>
      <c r="D125" s="1275"/>
      <c r="E125" s="1787"/>
      <c r="F125" s="1788" t="s">
        <v>363</v>
      </c>
      <c r="G125" s="2010">
        <v>880</v>
      </c>
      <c r="H125" s="1773">
        <f t="shared" ref="H125:H129" si="32">ROUND(E125*G125,)</f>
        <v>0</v>
      </c>
      <c r="I125" s="2011">
        <v>150</v>
      </c>
      <c r="J125" s="2008">
        <f t="shared" ref="J125:J129" si="33">ROUND(E125*I125,)</f>
        <v>0</v>
      </c>
      <c r="K125" s="1774">
        <f t="shared" ref="K125:K129" si="34">H125+J125</f>
        <v>0</v>
      </c>
      <c r="L125" s="2082" t="s">
        <v>2667</v>
      </c>
    </row>
    <row r="126" spans="1:12" s="1765" customFormat="1" ht="24" customHeight="1">
      <c r="A126" s="1258"/>
      <c r="B126" s="1538" t="s">
        <v>1337</v>
      </c>
      <c r="C126" s="1437"/>
      <c r="D126" s="1275"/>
      <c r="E126" s="1768"/>
      <c r="F126" s="1358" t="s">
        <v>363</v>
      </c>
      <c r="G126" s="2012">
        <v>1316</v>
      </c>
      <c r="H126" s="1264">
        <f t="shared" si="32"/>
        <v>0</v>
      </c>
      <c r="I126" s="1332">
        <v>200</v>
      </c>
      <c r="J126" s="2013">
        <f t="shared" si="33"/>
        <v>0</v>
      </c>
      <c r="K126" s="1687">
        <f t="shared" si="34"/>
        <v>0</v>
      </c>
      <c r="L126" s="2082" t="s">
        <v>2667</v>
      </c>
    </row>
    <row r="127" spans="1:12" s="1765" customFormat="1" ht="24" customHeight="1">
      <c r="A127" s="1258"/>
      <c r="B127" s="1538" t="s">
        <v>1338</v>
      </c>
      <c r="C127" s="1437"/>
      <c r="D127" s="1275"/>
      <c r="E127" s="1787">
        <f>E54*2</f>
        <v>0</v>
      </c>
      <c r="F127" s="1358" t="s">
        <v>363</v>
      </c>
      <c r="G127" s="2012">
        <v>1984</v>
      </c>
      <c r="H127" s="1264">
        <f t="shared" si="32"/>
        <v>0</v>
      </c>
      <c r="I127" s="1332">
        <v>250</v>
      </c>
      <c r="J127" s="2013">
        <f t="shared" si="33"/>
        <v>0</v>
      </c>
      <c r="K127" s="1687">
        <f t="shared" si="34"/>
        <v>0</v>
      </c>
      <c r="L127" s="2082" t="s">
        <v>2667</v>
      </c>
    </row>
    <row r="128" spans="1:12" s="1765" customFormat="1" ht="24" customHeight="1">
      <c r="A128" s="1258"/>
      <c r="B128" s="1538" t="s">
        <v>1339</v>
      </c>
      <c r="C128" s="1437"/>
      <c r="D128" s="1275"/>
      <c r="E128" s="1787"/>
      <c r="F128" s="1358" t="s">
        <v>363</v>
      </c>
      <c r="G128" s="2012">
        <v>2610</v>
      </c>
      <c r="H128" s="1264">
        <f t="shared" si="32"/>
        <v>0</v>
      </c>
      <c r="I128" s="1332">
        <v>300</v>
      </c>
      <c r="J128" s="2013">
        <f t="shared" si="33"/>
        <v>0</v>
      </c>
      <c r="K128" s="1687">
        <f t="shared" si="34"/>
        <v>0</v>
      </c>
      <c r="L128" s="2082" t="s">
        <v>2667</v>
      </c>
    </row>
    <row r="129" spans="1:20" s="1765" customFormat="1" ht="24" customHeight="1">
      <c r="A129" s="2113"/>
      <c r="B129" s="2114" t="s">
        <v>1340</v>
      </c>
      <c r="C129" s="2115"/>
      <c r="D129" s="2108"/>
      <c r="E129" s="1801"/>
      <c r="F129" s="1262" t="s">
        <v>363</v>
      </c>
      <c r="G129" s="2003">
        <v>4040</v>
      </c>
      <c r="H129" s="1343">
        <f t="shared" si="32"/>
        <v>0</v>
      </c>
      <c r="I129" s="2004">
        <v>400</v>
      </c>
      <c r="J129" s="2005">
        <f t="shared" si="33"/>
        <v>0</v>
      </c>
      <c r="K129" s="1801">
        <f t="shared" si="34"/>
        <v>0</v>
      </c>
      <c r="L129" s="2152" t="s">
        <v>2667</v>
      </c>
    </row>
    <row r="130" spans="1:20" s="2116" customFormat="1" ht="24" customHeight="1">
      <c r="A130" s="2113" t="s">
        <v>2170</v>
      </c>
      <c r="B130" s="2114" t="s">
        <v>2065</v>
      </c>
      <c r="C130" s="2115"/>
      <c r="D130" s="2108"/>
      <c r="E130" s="1801"/>
      <c r="F130" s="1262"/>
      <c r="G130" s="1515"/>
      <c r="H130" s="1343"/>
      <c r="I130" s="1344"/>
      <c r="J130" s="1343"/>
      <c r="K130" s="1262"/>
      <c r="L130" s="1262"/>
    </row>
    <row r="131" spans="1:20" s="2116" customFormat="1" ht="24" customHeight="1">
      <c r="A131" s="2113"/>
      <c r="B131" s="2107" t="s">
        <v>1341</v>
      </c>
      <c r="C131" s="2115"/>
      <c r="D131" s="2108"/>
      <c r="E131" s="1801"/>
      <c r="F131" s="1262" t="s">
        <v>363</v>
      </c>
      <c r="G131" s="1836">
        <v>1862</v>
      </c>
      <c r="H131" s="1343">
        <f>ROUND(E131*G131,)</f>
        <v>0</v>
      </c>
      <c r="I131" s="1344">
        <v>500</v>
      </c>
      <c r="J131" s="1343">
        <f t="shared" ref="J131:J134" si="35">ROUND(E131*I131,)</f>
        <v>0</v>
      </c>
      <c r="K131" s="1262">
        <f t="shared" ref="K131:K134" si="36">H131+J131</f>
        <v>0</v>
      </c>
      <c r="L131" s="1262"/>
    </row>
    <row r="132" spans="1:20" s="2116" customFormat="1" ht="24" customHeight="1">
      <c r="A132" s="2113"/>
      <c r="B132" s="2107" t="s">
        <v>1342</v>
      </c>
      <c r="C132" s="2115"/>
      <c r="D132" s="2108"/>
      <c r="E132" s="2091">
        <v>12</v>
      </c>
      <c r="F132" s="1262" t="s">
        <v>363</v>
      </c>
      <c r="G132" s="1836">
        <v>2159</v>
      </c>
      <c r="H132" s="1343">
        <f>ROUND(E132*G132,)</f>
        <v>25908</v>
      </c>
      <c r="I132" s="1344">
        <v>600</v>
      </c>
      <c r="J132" s="1343">
        <f t="shared" si="35"/>
        <v>7200</v>
      </c>
      <c r="K132" s="1262">
        <f t="shared" si="36"/>
        <v>33108</v>
      </c>
      <c r="L132" s="1262"/>
    </row>
    <row r="133" spans="1:20" s="2116" customFormat="1" ht="24" customHeight="1">
      <c r="A133" s="2113"/>
      <c r="B133" s="2114" t="s">
        <v>1759</v>
      </c>
      <c r="C133" s="2115"/>
      <c r="D133" s="2108"/>
      <c r="E133" s="1801"/>
      <c r="F133" s="1262" t="s">
        <v>363</v>
      </c>
      <c r="G133" s="1836">
        <v>2811</v>
      </c>
      <c r="H133" s="1343">
        <f>ROUND(E133*G133,)</f>
        <v>0</v>
      </c>
      <c r="I133" s="1344">
        <v>800</v>
      </c>
      <c r="J133" s="1343">
        <f t="shared" si="35"/>
        <v>0</v>
      </c>
      <c r="K133" s="1262">
        <f t="shared" si="36"/>
        <v>0</v>
      </c>
      <c r="L133" s="1415"/>
    </row>
    <row r="134" spans="1:20" s="2116" customFormat="1" ht="24" customHeight="1">
      <c r="A134" s="2113"/>
      <c r="B134" s="2114" t="s">
        <v>1866</v>
      </c>
      <c r="C134" s="2115"/>
      <c r="D134" s="2108"/>
      <c r="E134" s="1801"/>
      <c r="F134" s="1262" t="s">
        <v>363</v>
      </c>
      <c r="G134" s="1836">
        <v>14327</v>
      </c>
      <c r="H134" s="1343">
        <f>ROUND(E134*G134,)</f>
        <v>0</v>
      </c>
      <c r="I134" s="1344">
        <v>2000</v>
      </c>
      <c r="J134" s="1343">
        <f t="shared" si="35"/>
        <v>0</v>
      </c>
      <c r="K134" s="1262">
        <f t="shared" si="36"/>
        <v>0</v>
      </c>
      <c r="L134" s="1262"/>
    </row>
    <row r="135" spans="1:20" s="1765" customFormat="1" ht="24" customHeight="1">
      <c r="A135" s="2113" t="s">
        <v>2226</v>
      </c>
      <c r="B135" s="2114" t="s">
        <v>2067</v>
      </c>
      <c r="C135" s="2115"/>
      <c r="D135" s="2108"/>
      <c r="E135" s="1801"/>
      <c r="F135" s="1262"/>
      <c r="G135" s="1515"/>
      <c r="H135" s="1343"/>
      <c r="I135" s="1344"/>
      <c r="J135" s="1343"/>
      <c r="K135" s="1262"/>
      <c r="L135" s="1262"/>
    </row>
    <row r="136" spans="1:20" s="1765" customFormat="1" ht="24" customHeight="1">
      <c r="A136" s="2113"/>
      <c r="B136" s="2114" t="s">
        <v>1448</v>
      </c>
      <c r="C136" s="2115"/>
      <c r="D136" s="2108"/>
      <c r="E136" s="1853">
        <f>E125/2</f>
        <v>0</v>
      </c>
      <c r="F136" s="2154" t="s">
        <v>363</v>
      </c>
      <c r="G136" s="2159">
        <v>350</v>
      </c>
      <c r="H136" s="2156">
        <f t="shared" ref="H136:H140" si="37">ROUND(E136*G136,)</f>
        <v>0</v>
      </c>
      <c r="I136" s="2160">
        <v>150</v>
      </c>
      <c r="J136" s="2156">
        <f t="shared" ref="J136:J140" si="38">ROUND(E136*I136,)</f>
        <v>0</v>
      </c>
      <c r="K136" s="2154">
        <f t="shared" ref="K136:K140" si="39">H136+J136</f>
        <v>0</v>
      </c>
      <c r="L136" s="1262"/>
    </row>
    <row r="137" spans="1:20" s="1765" customFormat="1" ht="24" customHeight="1">
      <c r="A137" s="2113"/>
      <c r="B137" s="2114" t="s">
        <v>1338</v>
      </c>
      <c r="C137" s="2115"/>
      <c r="D137" s="2108"/>
      <c r="E137" s="1801">
        <f>E127/2</f>
        <v>0</v>
      </c>
      <c r="F137" s="1262" t="s">
        <v>363</v>
      </c>
      <c r="G137" s="1515">
        <v>1084</v>
      </c>
      <c r="H137" s="1343">
        <f t="shared" si="37"/>
        <v>0</v>
      </c>
      <c r="I137" s="1344">
        <v>250</v>
      </c>
      <c r="J137" s="1343">
        <f t="shared" si="38"/>
        <v>0</v>
      </c>
      <c r="K137" s="1262">
        <f t="shared" si="39"/>
        <v>0</v>
      </c>
      <c r="L137" s="1262"/>
    </row>
    <row r="138" spans="1:20" s="1765" customFormat="1" ht="24" customHeight="1">
      <c r="A138" s="2113"/>
      <c r="B138" s="2114" t="s">
        <v>1339</v>
      </c>
      <c r="C138" s="2115"/>
      <c r="D138" s="2108"/>
      <c r="E138" s="1801">
        <f>E128/2</f>
        <v>0</v>
      </c>
      <c r="F138" s="1262" t="s">
        <v>363</v>
      </c>
      <c r="G138" s="1515">
        <v>1710</v>
      </c>
      <c r="H138" s="1343">
        <f t="shared" si="37"/>
        <v>0</v>
      </c>
      <c r="I138" s="1344">
        <v>300</v>
      </c>
      <c r="J138" s="1343">
        <f t="shared" si="38"/>
        <v>0</v>
      </c>
      <c r="K138" s="1262">
        <f t="shared" si="39"/>
        <v>0</v>
      </c>
      <c r="L138" s="1262"/>
    </row>
    <row r="139" spans="1:20" s="1765" customFormat="1" ht="24" customHeight="1">
      <c r="A139" s="2113"/>
      <c r="B139" s="2114" t="s">
        <v>1340</v>
      </c>
      <c r="C139" s="2115"/>
      <c r="D139" s="2108"/>
      <c r="E139" s="1801"/>
      <c r="F139" s="1262" t="s">
        <v>363</v>
      </c>
      <c r="G139" s="1836">
        <v>2839</v>
      </c>
      <c r="H139" s="1343">
        <f t="shared" si="37"/>
        <v>0</v>
      </c>
      <c r="I139" s="1344">
        <v>400</v>
      </c>
      <c r="J139" s="1343">
        <f t="shared" si="38"/>
        <v>0</v>
      </c>
      <c r="K139" s="1262">
        <f t="shared" si="39"/>
        <v>0</v>
      </c>
      <c r="L139" s="1262"/>
    </row>
    <row r="140" spans="1:20" s="2116" customFormat="1" ht="24" customHeight="1">
      <c r="A140" s="2113"/>
      <c r="B140" s="2114" t="s">
        <v>1341</v>
      </c>
      <c r="C140" s="2115"/>
      <c r="D140" s="2108"/>
      <c r="E140" s="1801"/>
      <c r="F140" s="1262" t="s">
        <v>363</v>
      </c>
      <c r="G140" s="1836">
        <v>4375</v>
      </c>
      <c r="H140" s="1343">
        <f t="shared" si="37"/>
        <v>0</v>
      </c>
      <c r="I140" s="1344">
        <v>500</v>
      </c>
      <c r="J140" s="1343">
        <f t="shared" si="38"/>
        <v>0</v>
      </c>
      <c r="K140" s="1262">
        <f t="shared" si="39"/>
        <v>0</v>
      </c>
      <c r="L140" s="1262"/>
      <c r="M140" s="2144"/>
      <c r="N140" s="2144"/>
      <c r="O140" s="2144"/>
      <c r="P140" s="2144"/>
      <c r="Q140" s="2144"/>
      <c r="R140" s="2144"/>
      <c r="S140" s="2144"/>
      <c r="T140" s="2144"/>
    </row>
    <row r="141" spans="1:20" s="2116" customFormat="1" ht="24" customHeight="1">
      <c r="A141" s="2113"/>
      <c r="B141" s="2153" t="s">
        <v>1834</v>
      </c>
      <c r="C141" s="2115"/>
      <c r="D141" s="2108"/>
      <c r="E141" s="2091">
        <v>6</v>
      </c>
      <c r="F141" s="1262" t="s">
        <v>363</v>
      </c>
      <c r="G141" s="1836">
        <v>4489</v>
      </c>
      <c r="H141" s="1343">
        <f>ROUND(E141*G141,)</f>
        <v>26934</v>
      </c>
      <c r="I141" s="1344">
        <v>600</v>
      </c>
      <c r="J141" s="1343">
        <f>ROUND(E141*I141,)</f>
        <v>3600</v>
      </c>
      <c r="K141" s="1262">
        <f>H141+J141</f>
        <v>30534</v>
      </c>
      <c r="L141" s="1262"/>
    </row>
    <row r="142" spans="1:20" s="2116" customFormat="1" ht="24" customHeight="1">
      <c r="A142" s="2113"/>
      <c r="B142" s="2114" t="s">
        <v>1759</v>
      </c>
      <c r="C142" s="2115"/>
      <c r="D142" s="2108"/>
      <c r="E142" s="1801"/>
      <c r="F142" s="1262" t="s">
        <v>363</v>
      </c>
      <c r="G142" s="1836">
        <v>6528</v>
      </c>
      <c r="H142" s="1343">
        <f>ROUND(E142*G142,)</f>
        <v>0</v>
      </c>
      <c r="I142" s="1344">
        <v>800</v>
      </c>
      <c r="J142" s="1343">
        <f>ROUND(E142*I142,)</f>
        <v>0</v>
      </c>
      <c r="K142" s="1262">
        <f>H142+J142</f>
        <v>0</v>
      </c>
      <c r="L142" s="1262"/>
    </row>
    <row r="143" spans="1:20" s="1765" customFormat="1" ht="24" customHeight="1">
      <c r="A143" s="2113" t="s">
        <v>2227</v>
      </c>
      <c r="B143" s="2114" t="s">
        <v>2069</v>
      </c>
      <c r="C143" s="2115"/>
      <c r="D143" s="2108"/>
      <c r="E143" s="1801"/>
      <c r="F143" s="1262"/>
      <c r="G143" s="1836"/>
      <c r="H143" s="1343"/>
      <c r="I143" s="1344"/>
      <c r="J143" s="1343"/>
      <c r="K143" s="1262"/>
      <c r="L143" s="1262"/>
    </row>
    <row r="144" spans="1:20" s="1765" customFormat="1" ht="24" customHeight="1">
      <c r="A144" s="2113"/>
      <c r="B144" s="2114" t="s">
        <v>1338</v>
      </c>
      <c r="C144" s="2115"/>
      <c r="D144" s="2108"/>
      <c r="E144" s="1801"/>
      <c r="F144" s="1262" t="s">
        <v>363</v>
      </c>
      <c r="G144" s="1515">
        <v>1863</v>
      </c>
      <c r="H144" s="1343">
        <f t="shared" ref="H144:H145" si="40">ROUND(E144*G144,)</f>
        <v>0</v>
      </c>
      <c r="I144" s="1344">
        <v>250</v>
      </c>
      <c r="J144" s="1343">
        <f t="shared" ref="J144:J145" si="41">ROUND(E144*I144,)</f>
        <v>0</v>
      </c>
      <c r="K144" s="1262">
        <f t="shared" ref="K144:K145" si="42">H144+J144</f>
        <v>0</v>
      </c>
      <c r="L144" s="1262"/>
    </row>
    <row r="145" spans="1:12" s="1765" customFormat="1" ht="24" customHeight="1">
      <c r="A145" s="2113"/>
      <c r="B145" s="2114" t="s">
        <v>1339</v>
      </c>
      <c r="C145" s="2115"/>
      <c r="D145" s="2108"/>
      <c r="E145" s="1801"/>
      <c r="F145" s="1262" t="s">
        <v>363</v>
      </c>
      <c r="G145" s="1515">
        <v>2130</v>
      </c>
      <c r="H145" s="1343">
        <f t="shared" si="40"/>
        <v>0</v>
      </c>
      <c r="I145" s="1344">
        <v>300</v>
      </c>
      <c r="J145" s="1343">
        <f t="shared" si="41"/>
        <v>0</v>
      </c>
      <c r="K145" s="1262">
        <f t="shared" si="42"/>
        <v>0</v>
      </c>
      <c r="L145" s="1262"/>
    </row>
    <row r="146" spans="1:12" s="2116" customFormat="1" ht="24" customHeight="1">
      <c r="A146" s="2113"/>
      <c r="B146" s="2153" t="s">
        <v>1856</v>
      </c>
      <c r="C146" s="2115"/>
      <c r="D146" s="2108"/>
      <c r="E146" s="2091"/>
      <c r="F146" s="1262" t="s">
        <v>363</v>
      </c>
      <c r="G146" s="1515">
        <v>3876</v>
      </c>
      <c r="H146" s="1343">
        <f>ROUND(E146*G146,)</f>
        <v>0</v>
      </c>
      <c r="I146" s="1344">
        <v>500</v>
      </c>
      <c r="J146" s="1343">
        <f>ROUND(E146*I146,)</f>
        <v>0</v>
      </c>
      <c r="K146" s="1262">
        <f>H146+J146</f>
        <v>0</v>
      </c>
      <c r="L146" s="1262"/>
    </row>
    <row r="147" spans="1:12" s="2116" customFormat="1" ht="24" customHeight="1">
      <c r="A147" s="2113"/>
      <c r="B147" s="2153" t="s">
        <v>1834</v>
      </c>
      <c r="C147" s="2115"/>
      <c r="D147" s="2108"/>
      <c r="E147" s="2091">
        <v>12</v>
      </c>
      <c r="F147" s="1262" t="s">
        <v>363</v>
      </c>
      <c r="G147" s="1515">
        <v>4175</v>
      </c>
      <c r="H147" s="1343">
        <f>ROUND(E147*G147,)</f>
        <v>50100</v>
      </c>
      <c r="I147" s="1344">
        <v>600</v>
      </c>
      <c r="J147" s="1343">
        <f>ROUND(E147*I147,)</f>
        <v>7200</v>
      </c>
      <c r="K147" s="1262">
        <f>H147+J147</f>
        <v>57300</v>
      </c>
      <c r="L147" s="1262"/>
    </row>
    <row r="148" spans="1:12" s="2116" customFormat="1" ht="24" customHeight="1">
      <c r="A148" s="2113"/>
      <c r="B148" s="2114" t="s">
        <v>1759</v>
      </c>
      <c r="C148" s="2115"/>
      <c r="D148" s="2108"/>
      <c r="E148" s="1801"/>
      <c r="F148" s="1262" t="s">
        <v>363</v>
      </c>
      <c r="G148" s="1836">
        <v>5541</v>
      </c>
      <c r="H148" s="1343">
        <f>ROUND(E148*G148,)</f>
        <v>0</v>
      </c>
      <c r="I148" s="1344">
        <v>800</v>
      </c>
      <c r="J148" s="1343">
        <f t="shared" ref="J148:J149" si="43">ROUND(E148*I148,)</f>
        <v>0</v>
      </c>
      <c r="K148" s="1262">
        <f t="shared" ref="K148:K149" si="44">H148+J148</f>
        <v>0</v>
      </c>
      <c r="L148" s="1262"/>
    </row>
    <row r="149" spans="1:12" s="2116" customFormat="1" ht="24" customHeight="1">
      <c r="A149" s="2113"/>
      <c r="B149" s="2114" t="s">
        <v>1866</v>
      </c>
      <c r="C149" s="2115"/>
      <c r="D149" s="2108"/>
      <c r="E149" s="1801"/>
      <c r="F149" s="1262"/>
      <c r="G149" s="1836">
        <v>18915</v>
      </c>
      <c r="H149" s="1343">
        <f>ROUND(E149*G149,)</f>
        <v>0</v>
      </c>
      <c r="I149" s="1344">
        <v>2000</v>
      </c>
      <c r="J149" s="1343">
        <f t="shared" si="43"/>
        <v>0</v>
      </c>
      <c r="K149" s="1262">
        <f t="shared" si="44"/>
        <v>0</v>
      </c>
      <c r="L149" s="1262"/>
    </row>
    <row r="150" spans="1:12" s="2116" customFormat="1" ht="24" customHeight="1">
      <c r="A150" s="2113" t="s">
        <v>2883</v>
      </c>
      <c r="B150" s="2114" t="s">
        <v>2728</v>
      </c>
      <c r="C150" s="2115"/>
      <c r="D150" s="2108"/>
      <c r="E150" s="1801"/>
      <c r="F150" s="1262"/>
      <c r="G150" s="1515"/>
      <c r="H150" s="1343"/>
      <c r="I150" s="1344"/>
      <c r="J150" s="1343"/>
      <c r="K150" s="1262"/>
      <c r="L150" s="1262"/>
    </row>
    <row r="151" spans="1:12" s="2116" customFormat="1" ht="24" customHeight="1">
      <c r="A151" s="2113"/>
      <c r="B151" s="2153" t="s">
        <v>1865</v>
      </c>
      <c r="C151" s="2115"/>
      <c r="D151" s="2108"/>
      <c r="E151" s="2091">
        <v>6</v>
      </c>
      <c r="F151" s="1262" t="s">
        <v>363</v>
      </c>
      <c r="G151" s="1515">
        <v>300</v>
      </c>
      <c r="H151" s="1343">
        <f>ROUND(E151*G151,)</f>
        <v>1800</v>
      </c>
      <c r="I151" s="1344">
        <v>200</v>
      </c>
      <c r="J151" s="1343">
        <f>ROUND(E151*I151,)</f>
        <v>1200</v>
      </c>
      <c r="K151" s="1262">
        <f>H151+J151</f>
        <v>3000</v>
      </c>
      <c r="L151" s="1262"/>
    </row>
    <row r="152" spans="1:12" s="1765" customFormat="1" ht="24" customHeight="1">
      <c r="A152" s="2113" t="s">
        <v>2884</v>
      </c>
      <c r="B152" s="2114" t="s">
        <v>1730</v>
      </c>
      <c r="C152" s="2115"/>
      <c r="D152" s="2108"/>
      <c r="E152" s="1801"/>
      <c r="F152" s="1262"/>
      <c r="G152" s="1515"/>
      <c r="H152" s="1343"/>
      <c r="I152" s="1344"/>
      <c r="J152" s="1343"/>
      <c r="K152" s="1262"/>
      <c r="L152" s="1262"/>
    </row>
    <row r="153" spans="1:12" s="2116" customFormat="1" ht="24" customHeight="1">
      <c r="A153" s="2113"/>
      <c r="B153" s="2114" t="s">
        <v>1337</v>
      </c>
      <c r="C153" s="2115"/>
      <c r="D153" s="2108"/>
      <c r="E153" s="1801">
        <v>6</v>
      </c>
      <c r="F153" s="1262" t="s">
        <v>363</v>
      </c>
      <c r="G153" s="1515">
        <v>2400</v>
      </c>
      <c r="H153" s="1343">
        <f t="shared" ref="H153:H155" si="45">ROUND(E153*G153,)</f>
        <v>14400</v>
      </c>
      <c r="I153" s="1344">
        <v>200</v>
      </c>
      <c r="J153" s="1343">
        <f t="shared" ref="J153:J155" si="46">ROUND(E153*I153,)</f>
        <v>1200</v>
      </c>
      <c r="K153" s="1262">
        <f t="shared" ref="K153:K155" si="47">H153+J153</f>
        <v>15600</v>
      </c>
      <c r="L153" s="1415"/>
    </row>
    <row r="154" spans="1:12" s="2116" customFormat="1" ht="24" customHeight="1">
      <c r="A154" s="2113" t="s">
        <v>2885</v>
      </c>
      <c r="B154" s="2114" t="s">
        <v>1741</v>
      </c>
      <c r="C154" s="2115"/>
      <c r="D154" s="2108"/>
      <c r="E154" s="1801">
        <v>12</v>
      </c>
      <c r="F154" s="1262" t="s">
        <v>363</v>
      </c>
      <c r="G154" s="1515">
        <v>1452</v>
      </c>
      <c r="H154" s="1343">
        <f t="shared" si="45"/>
        <v>17424</v>
      </c>
      <c r="I154" s="1344">
        <v>100</v>
      </c>
      <c r="J154" s="1343">
        <f t="shared" si="46"/>
        <v>1200</v>
      </c>
      <c r="K154" s="1262">
        <f t="shared" si="47"/>
        <v>18624</v>
      </c>
      <c r="L154" s="1262"/>
    </row>
    <row r="155" spans="1:12" s="2116" customFormat="1" ht="24" customHeight="1">
      <c r="A155" s="2113" t="s">
        <v>2886</v>
      </c>
      <c r="B155" s="2114" t="s">
        <v>1987</v>
      </c>
      <c r="C155" s="2115"/>
      <c r="D155" s="2108"/>
      <c r="E155" s="1801">
        <v>12</v>
      </c>
      <c r="F155" s="1262" t="s">
        <v>363</v>
      </c>
      <c r="G155" s="1515">
        <v>1590</v>
      </c>
      <c r="H155" s="1343">
        <f t="shared" si="45"/>
        <v>19080</v>
      </c>
      <c r="I155" s="1344">
        <v>100</v>
      </c>
      <c r="J155" s="1343">
        <f t="shared" si="46"/>
        <v>1200</v>
      </c>
      <c r="K155" s="1262">
        <f t="shared" si="47"/>
        <v>20280</v>
      </c>
      <c r="L155" s="1262"/>
    </row>
    <row r="156" spans="1:12" s="1765" customFormat="1" ht="24" customHeight="1">
      <c r="A156" s="2113"/>
      <c r="B156" s="2114" t="s">
        <v>1117</v>
      </c>
      <c r="C156" s="2115"/>
      <c r="D156" s="2108"/>
      <c r="E156" s="1801"/>
      <c r="F156" s="1262"/>
      <c r="G156" s="1515"/>
      <c r="H156" s="1343"/>
      <c r="I156" s="1344"/>
      <c r="J156" s="1343"/>
      <c r="K156" s="1262"/>
      <c r="L156" s="1262"/>
    </row>
    <row r="157" spans="1:12" s="1765" customFormat="1" ht="24" customHeight="1">
      <c r="A157" s="1258"/>
      <c r="B157" s="1538" t="s">
        <v>1118</v>
      </c>
      <c r="C157" s="1437"/>
      <c r="D157" s="1275"/>
      <c r="E157" s="1768"/>
      <c r="F157" s="1358"/>
      <c r="G157" s="1516"/>
      <c r="H157" s="1264"/>
      <c r="I157" s="1265"/>
      <c r="J157" s="1264"/>
      <c r="K157" s="1273"/>
      <c r="L157" s="1273"/>
    </row>
    <row r="158" spans="1:12" s="1765" customFormat="1" ht="24" customHeight="1">
      <c r="A158" s="1791"/>
      <c r="B158" s="1792"/>
      <c r="C158" s="1702"/>
      <c r="D158" s="1486"/>
      <c r="E158" s="1793"/>
      <c r="F158" s="1487"/>
      <c r="G158" s="1864"/>
      <c r="H158" s="1425"/>
      <c r="I158" s="1488"/>
      <c r="J158" s="1425"/>
      <c r="K158" s="1426"/>
      <c r="L158" s="1426"/>
    </row>
    <row r="159" spans="1:12" s="1765" customFormat="1" ht="24" customHeight="1">
      <c r="A159" s="1578"/>
      <c r="B159" s="2257" t="str">
        <f>"รวมราคารายการที่ "&amp;A123</f>
        <v>รวมราคารายการที่ 7.6</v>
      </c>
      <c r="C159" s="2258"/>
      <c r="D159" s="2259"/>
      <c r="E159" s="1579"/>
      <c r="F159" s="1579"/>
      <c r="G159" s="1580"/>
      <c r="H159" s="1581">
        <f>SUM(H125:H158)</f>
        <v>155646</v>
      </c>
      <c r="I159" s="1582"/>
      <c r="J159" s="1581">
        <f>SUM(J125:J158)</f>
        <v>22800</v>
      </c>
      <c r="K159" s="1581">
        <f>SUM(K125:K158)</f>
        <v>178446</v>
      </c>
      <c r="L159" s="1583"/>
    </row>
    <row r="160" spans="1:12" s="1765" customFormat="1" ht="24" customHeight="1">
      <c r="A160" s="1847" t="s">
        <v>2308</v>
      </c>
      <c r="B160" s="1848" t="s">
        <v>2177</v>
      </c>
      <c r="C160" s="1849"/>
      <c r="D160" s="1354"/>
      <c r="E160" s="1802"/>
      <c r="F160" s="1356"/>
      <c r="G160" s="1803"/>
      <c r="H160" s="1369"/>
      <c r="I160" s="1370"/>
      <c r="J160" s="1369"/>
      <c r="K160" s="1356"/>
      <c r="L160" s="1356"/>
    </row>
    <row r="161" spans="1:16" s="1765" customFormat="1" ht="24" customHeight="1">
      <c r="A161" s="2113" t="s">
        <v>2084</v>
      </c>
      <c r="B161" s="2149" t="s">
        <v>2729</v>
      </c>
      <c r="C161" s="2115"/>
      <c r="D161" s="2150"/>
      <c r="E161" s="1802"/>
      <c r="F161" s="1356"/>
      <c r="G161" s="1803"/>
      <c r="H161" s="1369"/>
      <c r="I161" s="1370"/>
      <c r="J161" s="1369"/>
      <c r="K161" s="1356"/>
      <c r="L161" s="1356"/>
    </row>
    <row r="162" spans="1:16" s="2116" customFormat="1" ht="24" customHeight="1">
      <c r="A162" s="2113"/>
      <c r="B162" s="2107" t="s">
        <v>2748</v>
      </c>
      <c r="C162" s="2115"/>
      <c r="D162" s="2108"/>
      <c r="E162" s="1801">
        <v>1</v>
      </c>
      <c r="F162" s="1262" t="s">
        <v>363</v>
      </c>
      <c r="G162" s="1515">
        <v>89000</v>
      </c>
      <c r="H162" s="1413">
        <f t="shared" ref="H162:H168" si="48">ROUND(E162*G162,)</f>
        <v>89000</v>
      </c>
      <c r="I162" s="1515">
        <f>G162*0.1</f>
        <v>8900</v>
      </c>
      <c r="J162" s="1413">
        <f t="shared" ref="J162:J168" si="49">ROUND(E162*I162,)</f>
        <v>8900</v>
      </c>
      <c r="K162" s="1415">
        <f t="shared" ref="K162:K168" si="50">H162+J162</f>
        <v>97900</v>
      </c>
      <c r="L162" s="1262"/>
    </row>
    <row r="163" spans="1:16" s="2116" customFormat="1" ht="24" customHeight="1">
      <c r="A163" s="2113"/>
      <c r="B163" s="2107" t="s">
        <v>2749</v>
      </c>
      <c r="C163" s="2115"/>
      <c r="D163" s="2108"/>
      <c r="E163" s="1801">
        <v>1</v>
      </c>
      <c r="F163" s="1262" t="s">
        <v>363</v>
      </c>
      <c r="G163" s="1515">
        <v>89000</v>
      </c>
      <c r="H163" s="1413">
        <f t="shared" si="48"/>
        <v>89000</v>
      </c>
      <c r="I163" s="1515">
        <f t="shared" ref="I163:I167" si="51">G163*0.1</f>
        <v>8900</v>
      </c>
      <c r="J163" s="1413">
        <f t="shared" si="49"/>
        <v>8900</v>
      </c>
      <c r="K163" s="1415">
        <f t="shared" si="50"/>
        <v>97900</v>
      </c>
      <c r="L163" s="1262"/>
    </row>
    <row r="164" spans="1:16" s="2116" customFormat="1" ht="24" customHeight="1">
      <c r="A164" s="2113"/>
      <c r="B164" s="2107" t="s">
        <v>2750</v>
      </c>
      <c r="C164" s="2115"/>
      <c r="D164" s="2108"/>
      <c r="E164" s="1801">
        <v>1</v>
      </c>
      <c r="F164" s="1262" t="s">
        <v>363</v>
      </c>
      <c r="G164" s="1515">
        <v>89000</v>
      </c>
      <c r="H164" s="1413">
        <f t="shared" si="48"/>
        <v>89000</v>
      </c>
      <c r="I164" s="1515">
        <f t="shared" si="51"/>
        <v>8900</v>
      </c>
      <c r="J164" s="1413">
        <f t="shared" si="49"/>
        <v>8900</v>
      </c>
      <c r="K164" s="1415">
        <f t="shared" si="50"/>
        <v>97900</v>
      </c>
      <c r="L164" s="1262"/>
    </row>
    <row r="165" spans="1:16" s="2116" customFormat="1" ht="24" customHeight="1">
      <c r="A165" s="2113"/>
      <c r="B165" s="2107" t="s">
        <v>2771</v>
      </c>
      <c r="C165" s="2115"/>
      <c r="D165" s="2108"/>
      <c r="E165" s="1801">
        <v>1</v>
      </c>
      <c r="F165" s="1262" t="s">
        <v>363</v>
      </c>
      <c r="G165" s="1515">
        <v>89000</v>
      </c>
      <c r="H165" s="1413">
        <f t="shared" si="48"/>
        <v>89000</v>
      </c>
      <c r="I165" s="1515">
        <f t="shared" si="51"/>
        <v>8900</v>
      </c>
      <c r="J165" s="1413">
        <f t="shared" si="49"/>
        <v>8900</v>
      </c>
      <c r="K165" s="1415">
        <f t="shared" si="50"/>
        <v>97900</v>
      </c>
      <c r="L165" s="1262"/>
    </row>
    <row r="166" spans="1:16" s="2116" customFormat="1" ht="24" customHeight="1">
      <c r="A166" s="2113"/>
      <c r="B166" s="2107" t="s">
        <v>2772</v>
      </c>
      <c r="C166" s="2115"/>
      <c r="D166" s="2108"/>
      <c r="E166" s="1801">
        <v>1</v>
      </c>
      <c r="F166" s="1262" t="s">
        <v>363</v>
      </c>
      <c r="G166" s="1515">
        <v>89000</v>
      </c>
      <c r="H166" s="1413">
        <f t="shared" si="48"/>
        <v>89000</v>
      </c>
      <c r="I166" s="1515">
        <f t="shared" si="51"/>
        <v>8900</v>
      </c>
      <c r="J166" s="1413">
        <f t="shared" si="49"/>
        <v>8900</v>
      </c>
      <c r="K166" s="1415">
        <f t="shared" si="50"/>
        <v>97900</v>
      </c>
      <c r="L166" s="1262"/>
    </row>
    <row r="167" spans="1:16" s="2116" customFormat="1" ht="24" customHeight="1">
      <c r="A167" s="2113"/>
      <c r="B167" s="2107" t="s">
        <v>2773</v>
      </c>
      <c r="C167" s="2115"/>
      <c r="D167" s="2108"/>
      <c r="E167" s="1801">
        <v>1</v>
      </c>
      <c r="F167" s="1262" t="s">
        <v>363</v>
      </c>
      <c r="G167" s="1515">
        <v>89000</v>
      </c>
      <c r="H167" s="1413">
        <f t="shared" si="48"/>
        <v>89000</v>
      </c>
      <c r="I167" s="1515">
        <f t="shared" si="51"/>
        <v>8900</v>
      </c>
      <c r="J167" s="1413">
        <f t="shared" si="49"/>
        <v>8900</v>
      </c>
      <c r="K167" s="1415">
        <f t="shared" si="50"/>
        <v>97900</v>
      </c>
      <c r="L167" s="1262"/>
    </row>
    <row r="168" spans="1:16" s="1765" customFormat="1" ht="24" customHeight="1">
      <c r="A168" s="2113"/>
      <c r="B168" s="2149"/>
      <c r="C168" s="2115"/>
      <c r="D168" s="2150"/>
      <c r="E168" s="1801"/>
      <c r="F168" s="1356" t="s">
        <v>363</v>
      </c>
      <c r="G168" s="1515">
        <v>33000</v>
      </c>
      <c r="H168" s="820">
        <f t="shared" si="48"/>
        <v>0</v>
      </c>
      <c r="I168" s="1515">
        <v>1500</v>
      </c>
      <c r="J168" s="820">
        <f t="shared" si="49"/>
        <v>0</v>
      </c>
      <c r="K168" s="1457">
        <f t="shared" si="50"/>
        <v>0</v>
      </c>
      <c r="L168" s="1356"/>
    </row>
    <row r="169" spans="1:16" s="1765" customFormat="1" ht="24" customHeight="1">
      <c r="A169" s="2113" t="s">
        <v>2089</v>
      </c>
      <c r="B169" s="2149" t="s">
        <v>1355</v>
      </c>
      <c r="C169" s="2115"/>
      <c r="D169" s="2150"/>
      <c r="E169" s="1801"/>
      <c r="F169" s="1356"/>
      <c r="G169" s="1515"/>
      <c r="H169" s="1369"/>
      <c r="I169" s="1370"/>
      <c r="J169" s="1369"/>
      <c r="K169" s="1356"/>
      <c r="L169" s="1356"/>
    </row>
    <row r="170" spans="1:16" s="1765" customFormat="1" ht="24" customHeight="1">
      <c r="A170" s="2113"/>
      <c r="B170" s="2149" t="s">
        <v>1811</v>
      </c>
      <c r="C170" s="2115"/>
      <c r="D170" s="2150"/>
      <c r="E170" s="1801"/>
      <c r="F170" s="1356" t="s">
        <v>226</v>
      </c>
      <c r="G170" s="1386">
        <v>9</v>
      </c>
      <c r="H170" s="1343">
        <f t="shared" ref="H170:H171" si="52">ROUND(E170*G170,)</f>
        <v>0</v>
      </c>
      <c r="I170" s="1344">
        <v>7</v>
      </c>
      <c r="J170" s="1413">
        <f t="shared" ref="J170:J171" si="53">ROUND(E170*I170,)</f>
        <v>0</v>
      </c>
      <c r="K170" s="1415">
        <f t="shared" ref="K170:K171" si="54">H170+J170</f>
        <v>0</v>
      </c>
      <c r="L170" s="2151" t="s">
        <v>2667</v>
      </c>
      <c r="N170" s="1854">
        <v>912.1</v>
      </c>
      <c r="O170" s="1854">
        <f t="shared" ref="O170:O171" si="55">ROUND(N170/100,)</f>
        <v>9</v>
      </c>
    </row>
    <row r="171" spans="1:16" s="2116" customFormat="1" ht="24" customHeight="1">
      <c r="A171" s="2113"/>
      <c r="B171" s="2107" t="s">
        <v>1317</v>
      </c>
      <c r="C171" s="2115"/>
      <c r="D171" s="2108"/>
      <c r="E171" s="1801">
        <f>4*5*1.5*6</f>
        <v>180</v>
      </c>
      <c r="F171" s="1262" t="s">
        <v>226</v>
      </c>
      <c r="G171" s="1386">
        <v>23</v>
      </c>
      <c r="H171" s="1343">
        <f t="shared" si="52"/>
        <v>4140</v>
      </c>
      <c r="I171" s="1344">
        <v>12</v>
      </c>
      <c r="J171" s="1343">
        <f t="shared" si="53"/>
        <v>2160</v>
      </c>
      <c r="K171" s="1262">
        <f t="shared" si="54"/>
        <v>6300</v>
      </c>
      <c r="L171" s="2151" t="s">
        <v>2667</v>
      </c>
      <c r="N171" s="2117">
        <v>2264.1999999999998</v>
      </c>
      <c r="O171" s="2117">
        <f t="shared" si="55"/>
        <v>23</v>
      </c>
      <c r="P171" s="2117"/>
    </row>
    <row r="172" spans="1:16" s="1765" customFormat="1" ht="24" customHeight="1">
      <c r="A172" s="2113" t="s">
        <v>2266</v>
      </c>
      <c r="B172" s="2149" t="s">
        <v>1110</v>
      </c>
      <c r="C172" s="2115"/>
      <c r="D172" s="2150"/>
      <c r="E172" s="1801"/>
      <c r="F172" s="1356"/>
      <c r="G172" s="1515"/>
      <c r="H172" s="1369"/>
      <c r="I172" s="1370"/>
      <c r="J172" s="1369"/>
      <c r="K172" s="1356"/>
      <c r="L172" s="1356"/>
    </row>
    <row r="173" spans="1:16" s="1765" customFormat="1" ht="24" customHeight="1">
      <c r="A173" s="2113"/>
      <c r="B173" s="2149" t="s">
        <v>1350</v>
      </c>
      <c r="C173" s="2115"/>
      <c r="D173" s="2150"/>
      <c r="E173" s="1801"/>
      <c r="F173" s="1356" t="s">
        <v>226</v>
      </c>
      <c r="G173" s="1515">
        <v>56</v>
      </c>
      <c r="H173" s="1343">
        <f t="shared" ref="H173:H175" si="56">ROUND(E173*G173,)</f>
        <v>0</v>
      </c>
      <c r="I173" s="1344">
        <v>26</v>
      </c>
      <c r="J173" s="1413">
        <f t="shared" ref="J173:J175" si="57">ROUND(E173*I173,)</f>
        <v>0</v>
      </c>
      <c r="K173" s="1415">
        <f t="shared" ref="K173:K175" si="58">H173+J173</f>
        <v>0</v>
      </c>
      <c r="L173" s="2152" t="s">
        <v>2667</v>
      </c>
      <c r="M173" s="2002"/>
      <c r="N173" s="1765">
        <v>169.2</v>
      </c>
      <c r="O173" s="1765">
        <f t="shared" ref="O173:O174" si="59">ROUND(N173/3,)</f>
        <v>56</v>
      </c>
    </row>
    <row r="174" spans="1:16" s="2116" customFormat="1" ht="24" customHeight="1">
      <c r="A174" s="2113"/>
      <c r="B174" s="2107" t="s">
        <v>1448</v>
      </c>
      <c r="C174" s="2115"/>
      <c r="D174" s="2108"/>
      <c r="E174" s="1801">
        <f>E171</f>
        <v>180</v>
      </c>
      <c r="F174" s="1262" t="s">
        <v>226</v>
      </c>
      <c r="G174" s="1515">
        <v>75</v>
      </c>
      <c r="H174" s="1343">
        <f t="shared" si="56"/>
        <v>13500</v>
      </c>
      <c r="I174" s="1344">
        <v>28</v>
      </c>
      <c r="J174" s="1413">
        <f t="shared" si="57"/>
        <v>5040</v>
      </c>
      <c r="K174" s="1415">
        <f t="shared" si="58"/>
        <v>18540</v>
      </c>
      <c r="L174" s="2152" t="s">
        <v>2667</v>
      </c>
      <c r="M174" s="2118"/>
      <c r="N174" s="2116">
        <v>225</v>
      </c>
      <c r="O174" s="2116">
        <f t="shared" si="59"/>
        <v>75</v>
      </c>
      <c r="P174" s="2117"/>
    </row>
    <row r="175" spans="1:16" s="1765" customFormat="1" ht="24" customHeight="1">
      <c r="A175" s="2113"/>
      <c r="B175" s="2149" t="s">
        <v>1384</v>
      </c>
      <c r="C175" s="2115"/>
      <c r="D175" s="2150"/>
      <c r="E175" s="1801">
        <v>1</v>
      </c>
      <c r="F175" s="1356" t="s">
        <v>1104</v>
      </c>
      <c r="G175" s="1515">
        <f>SUM(H173:H174)*15%</f>
        <v>2025</v>
      </c>
      <c r="H175" s="820">
        <f t="shared" si="56"/>
        <v>2025</v>
      </c>
      <c r="I175" s="1414">
        <f>G175*0.3</f>
        <v>607.5</v>
      </c>
      <c r="J175" s="820">
        <f t="shared" si="57"/>
        <v>608</v>
      </c>
      <c r="K175" s="1457">
        <f t="shared" si="58"/>
        <v>2633</v>
      </c>
      <c r="L175" s="1356"/>
    </row>
    <row r="176" spans="1:16" s="1765" customFormat="1" ht="24" customHeight="1">
      <c r="A176" s="2113"/>
      <c r="B176" s="2107" t="s">
        <v>1117</v>
      </c>
      <c r="C176" s="2115"/>
      <c r="D176" s="2108"/>
      <c r="E176" s="1801"/>
      <c r="F176" s="1262"/>
      <c r="G176" s="1515"/>
      <c r="H176" s="1343"/>
      <c r="I176" s="1344"/>
      <c r="J176" s="1343"/>
      <c r="K176" s="1262"/>
      <c r="L176" s="1262"/>
    </row>
    <row r="177" spans="1:12" s="1765" customFormat="1" ht="24" customHeight="1">
      <c r="A177" s="2113"/>
      <c r="B177" s="2107"/>
      <c r="C177" s="2115"/>
      <c r="D177" s="2108"/>
      <c r="E177" s="1801"/>
      <c r="F177" s="1262"/>
      <c r="G177" s="1515"/>
      <c r="H177" s="1343"/>
      <c r="I177" s="1344"/>
      <c r="J177" s="1343"/>
      <c r="K177" s="1262"/>
      <c r="L177" s="1262"/>
    </row>
    <row r="178" spans="1:12" s="1765" customFormat="1" ht="24" customHeight="1">
      <c r="A178" s="2113"/>
      <c r="B178" s="2107"/>
      <c r="C178" s="2115"/>
      <c r="D178" s="2108"/>
      <c r="E178" s="1801"/>
      <c r="F178" s="1262"/>
      <c r="G178" s="1515"/>
      <c r="H178" s="1343"/>
      <c r="I178" s="1344"/>
      <c r="J178" s="1343"/>
      <c r="K178" s="1262"/>
      <c r="L178" s="1262"/>
    </row>
    <row r="179" spans="1:12" s="1765" customFormat="1" ht="24" customHeight="1">
      <c r="A179" s="2113"/>
      <c r="B179" s="2107"/>
      <c r="C179" s="2115"/>
      <c r="D179" s="2108"/>
      <c r="E179" s="1801"/>
      <c r="F179" s="1262"/>
      <c r="G179" s="1515"/>
      <c r="H179" s="1343"/>
      <c r="I179" s="1344"/>
      <c r="J179" s="1343"/>
      <c r="K179" s="1262"/>
      <c r="L179" s="1262"/>
    </row>
    <row r="180" spans="1:12" s="1765" customFormat="1" ht="24" customHeight="1">
      <c r="A180" s="2113"/>
      <c r="B180" s="2107"/>
      <c r="C180" s="2115"/>
      <c r="D180" s="2108"/>
      <c r="E180" s="1801"/>
      <c r="F180" s="1262"/>
      <c r="G180" s="1515"/>
      <c r="H180" s="1343"/>
      <c r="I180" s="1344"/>
      <c r="J180" s="1343"/>
      <c r="K180" s="1262"/>
      <c r="L180" s="1262"/>
    </row>
    <row r="181" spans="1:12" s="1765" customFormat="1" ht="24" customHeight="1">
      <c r="A181" s="2113"/>
      <c r="B181" s="2107"/>
      <c r="C181" s="2115"/>
      <c r="D181" s="2108"/>
      <c r="E181" s="1801"/>
      <c r="F181" s="1262"/>
      <c r="G181" s="1515"/>
      <c r="H181" s="1343"/>
      <c r="I181" s="1344"/>
      <c r="J181" s="1343"/>
      <c r="K181" s="1262"/>
      <c r="L181" s="1262"/>
    </row>
    <row r="182" spans="1:12" s="1765" customFormat="1" ht="24" customHeight="1">
      <c r="A182" s="1804"/>
      <c r="B182" s="1780"/>
      <c r="C182" s="1800"/>
      <c r="D182" s="1260"/>
      <c r="E182" s="1801"/>
      <c r="F182" s="1262"/>
      <c r="G182" s="1515"/>
      <c r="H182" s="1343"/>
      <c r="I182" s="1344"/>
      <c r="J182" s="1343"/>
      <c r="K182" s="1262"/>
      <c r="L182" s="1262"/>
    </row>
    <row r="183" spans="1:12" s="1765" customFormat="1" ht="24" customHeight="1">
      <c r="A183" s="1865"/>
      <c r="B183" s="1799"/>
      <c r="C183" s="1866"/>
      <c r="D183" s="1375"/>
      <c r="E183" s="1867"/>
      <c r="F183" s="1377"/>
      <c r="G183" s="1868"/>
      <c r="H183" s="1379"/>
      <c r="I183" s="1380"/>
      <c r="J183" s="1379"/>
      <c r="K183" s="1377"/>
      <c r="L183" s="1377"/>
    </row>
    <row r="184" spans="1:12" s="1765" customFormat="1" ht="24" customHeight="1">
      <c r="A184" s="1578"/>
      <c r="B184" s="2257" t="str">
        <f>"รวมราคารายการที่ "&amp;A160</f>
        <v>รวมราคารายการที่ 7.7</v>
      </c>
      <c r="C184" s="2258"/>
      <c r="D184" s="2259"/>
      <c r="E184" s="1579"/>
      <c r="F184" s="1579"/>
      <c r="G184" s="1580"/>
      <c r="H184" s="1581">
        <f>SUM(H160:H183)</f>
        <v>553665</v>
      </c>
      <c r="I184" s="1582"/>
      <c r="J184" s="1581">
        <f>SUM(J160:J183)</f>
        <v>61208</v>
      </c>
      <c r="K184" s="1581">
        <f>SUM(K160:K183)</f>
        <v>614873</v>
      </c>
      <c r="L184" s="1583"/>
    </row>
    <row r="185" spans="1:12" s="1765" customFormat="1" ht="24" customHeight="1">
      <c r="A185" s="1291" t="s">
        <v>2091</v>
      </c>
      <c r="B185" s="1776" t="s">
        <v>2109</v>
      </c>
      <c r="C185" s="1293"/>
      <c r="D185" s="1294"/>
      <c r="E185" s="1786"/>
      <c r="F185" s="1296"/>
      <c r="G185" s="1357"/>
      <c r="H185" s="1298"/>
      <c r="I185" s="1299"/>
      <c r="J185" s="1298"/>
      <c r="K185" s="1382"/>
      <c r="L185" s="1382"/>
    </row>
    <row r="186" spans="1:12" s="1765" customFormat="1" ht="24" customHeight="1">
      <c r="A186" s="1766" t="s">
        <v>2093</v>
      </c>
      <c r="B186" s="1799" t="s">
        <v>2111</v>
      </c>
      <c r="C186" s="1800"/>
      <c r="D186" s="1375"/>
      <c r="E186" s="1802"/>
      <c r="F186" s="1356" t="s">
        <v>363</v>
      </c>
      <c r="G186" s="1803">
        <v>690000</v>
      </c>
      <c r="H186" s="1343">
        <f t="shared" ref="H186" si="60">ROUND(E186*G186,)</f>
        <v>0</v>
      </c>
      <c r="I186" s="1370">
        <v>17250</v>
      </c>
      <c r="J186" s="1343">
        <f t="shared" ref="J186:J193" si="61">ROUND(E186*I186,)</f>
        <v>0</v>
      </c>
      <c r="K186" s="1262">
        <f t="shared" ref="K186:K193" si="62">H186+J186</f>
        <v>0</v>
      </c>
      <c r="L186" s="1356"/>
    </row>
    <row r="187" spans="1:12" s="1765" customFormat="1" ht="24" customHeight="1">
      <c r="A187" s="1766" t="s">
        <v>2096</v>
      </c>
      <c r="B187" s="1799" t="s">
        <v>2113</v>
      </c>
      <c r="C187" s="1800"/>
      <c r="D187" s="1375"/>
      <c r="E187" s="1802"/>
      <c r="F187" s="1356" t="s">
        <v>363</v>
      </c>
      <c r="G187" s="1803">
        <v>80000</v>
      </c>
      <c r="H187" s="1343">
        <f>ROUND(E187*G187,)</f>
        <v>0</v>
      </c>
      <c r="I187" s="1370">
        <v>2000</v>
      </c>
      <c r="J187" s="1343">
        <f t="shared" si="61"/>
        <v>0</v>
      </c>
      <c r="K187" s="1262">
        <f t="shared" si="62"/>
        <v>0</v>
      </c>
      <c r="L187" s="1356"/>
    </row>
    <row r="188" spans="1:12" s="1765" customFormat="1" ht="24" customHeight="1">
      <c r="A188" s="1766" t="s">
        <v>2099</v>
      </c>
      <c r="B188" s="1538" t="s">
        <v>1816</v>
      </c>
      <c r="C188" s="1437"/>
      <c r="D188" s="1275"/>
      <c r="E188" s="1768"/>
      <c r="F188" s="1358"/>
      <c r="G188" s="1516">
        <v>950000</v>
      </c>
      <c r="H188" s="1264">
        <f t="shared" ref="H188:H193" si="63">ROUND(E188*G188,)</f>
        <v>0</v>
      </c>
      <c r="I188" s="1265">
        <f>G188*0.015</f>
        <v>14250</v>
      </c>
      <c r="J188" s="1264">
        <f t="shared" si="61"/>
        <v>0</v>
      </c>
      <c r="K188" s="1273">
        <f t="shared" si="62"/>
        <v>0</v>
      </c>
      <c r="L188" s="1273"/>
    </row>
    <row r="189" spans="1:12" s="1765" customFormat="1" ht="24" customHeight="1">
      <c r="A189" s="1766"/>
      <c r="B189" s="1538" t="s">
        <v>2115</v>
      </c>
      <c r="C189" s="1437"/>
      <c r="D189" s="1275"/>
      <c r="E189" s="1768">
        <v>6</v>
      </c>
      <c r="F189" s="1358" t="s">
        <v>363</v>
      </c>
      <c r="G189" s="1515">
        <v>2650</v>
      </c>
      <c r="H189" s="1343">
        <f t="shared" si="63"/>
        <v>15900</v>
      </c>
      <c r="I189" s="1370">
        <v>500</v>
      </c>
      <c r="J189" s="1343">
        <f t="shared" si="61"/>
        <v>3000</v>
      </c>
      <c r="K189" s="1262">
        <f t="shared" si="62"/>
        <v>18900</v>
      </c>
      <c r="L189" s="1273"/>
    </row>
    <row r="190" spans="1:12" s="1765" customFormat="1" ht="24" customHeight="1">
      <c r="A190" s="1766"/>
      <c r="B190" s="1538" t="s">
        <v>2116</v>
      </c>
      <c r="C190" s="1437"/>
      <c r="D190" s="1275"/>
      <c r="E190" s="1768">
        <v>6</v>
      </c>
      <c r="F190" s="1358" t="s">
        <v>363</v>
      </c>
      <c r="G190" s="1515">
        <v>560</v>
      </c>
      <c r="H190" s="1343">
        <f t="shared" si="63"/>
        <v>3360</v>
      </c>
      <c r="I190" s="1370">
        <v>500</v>
      </c>
      <c r="J190" s="1343">
        <f t="shared" si="61"/>
        <v>3000</v>
      </c>
      <c r="K190" s="1262">
        <f t="shared" si="62"/>
        <v>6360</v>
      </c>
      <c r="L190" s="1273"/>
    </row>
    <row r="191" spans="1:12" s="1765" customFormat="1" ht="24" customHeight="1">
      <c r="A191" s="1258"/>
      <c r="B191" s="1538" t="s">
        <v>2117</v>
      </c>
      <c r="C191" s="1437"/>
      <c r="D191" s="1275"/>
      <c r="E191" s="1768"/>
      <c r="F191" s="1358" t="s">
        <v>363</v>
      </c>
      <c r="G191" s="1515">
        <v>1340</v>
      </c>
      <c r="H191" s="1343">
        <f t="shared" si="63"/>
        <v>0</v>
      </c>
      <c r="I191" s="1370">
        <v>500</v>
      </c>
      <c r="J191" s="1343">
        <f t="shared" si="61"/>
        <v>0</v>
      </c>
      <c r="K191" s="1262">
        <f t="shared" si="62"/>
        <v>0</v>
      </c>
      <c r="L191" s="1273"/>
    </row>
    <row r="192" spans="1:12" s="1765" customFormat="1" ht="24" customHeight="1">
      <c r="A192" s="1258"/>
      <c r="B192" s="1538" t="s">
        <v>2118</v>
      </c>
      <c r="C192" s="1437"/>
      <c r="D192" s="1275"/>
      <c r="E192" s="1768"/>
      <c r="F192" s="1358" t="s">
        <v>363</v>
      </c>
      <c r="G192" s="1515">
        <v>760</v>
      </c>
      <c r="H192" s="1343">
        <f t="shared" si="63"/>
        <v>0</v>
      </c>
      <c r="I192" s="1370">
        <v>500</v>
      </c>
      <c r="J192" s="1343">
        <f t="shared" si="61"/>
        <v>0</v>
      </c>
      <c r="K192" s="1262">
        <f t="shared" si="62"/>
        <v>0</v>
      </c>
      <c r="L192" s="1273"/>
    </row>
    <row r="193" spans="1:15" s="1765" customFormat="1" ht="24" customHeight="1">
      <c r="A193" s="1258"/>
      <c r="B193" s="1538" t="s">
        <v>2119</v>
      </c>
      <c r="C193" s="1437"/>
      <c r="D193" s="1275"/>
      <c r="E193" s="1768">
        <v>6</v>
      </c>
      <c r="F193" s="1358" t="s">
        <v>363</v>
      </c>
      <c r="G193" s="1515">
        <v>1340</v>
      </c>
      <c r="H193" s="1343">
        <f t="shared" si="63"/>
        <v>8040</v>
      </c>
      <c r="I193" s="1370">
        <v>500</v>
      </c>
      <c r="J193" s="1343">
        <f t="shared" si="61"/>
        <v>3000</v>
      </c>
      <c r="K193" s="1262">
        <f t="shared" si="62"/>
        <v>11040</v>
      </c>
      <c r="L193" s="1273"/>
    </row>
    <row r="194" spans="1:15" s="1765" customFormat="1" ht="24" customHeight="1">
      <c r="A194" s="1258"/>
      <c r="B194" s="1538" t="s">
        <v>2120</v>
      </c>
      <c r="C194" s="1437"/>
      <c r="D194" s="1275"/>
      <c r="E194" s="1768"/>
      <c r="F194" s="1358" t="s">
        <v>363</v>
      </c>
      <c r="G194" s="1515"/>
      <c r="H194" s="1369"/>
      <c r="I194" s="1370"/>
      <c r="J194" s="1369"/>
      <c r="K194" s="1356"/>
      <c r="L194" s="1273"/>
    </row>
    <row r="195" spans="1:15" s="1765" customFormat="1" ht="24" customHeight="1">
      <c r="A195" s="1258"/>
      <c r="B195" s="1538" t="s">
        <v>2121</v>
      </c>
      <c r="C195" s="1437"/>
      <c r="D195" s="1275"/>
      <c r="E195" s="1768">
        <v>6</v>
      </c>
      <c r="F195" s="1358" t="s">
        <v>363</v>
      </c>
      <c r="G195" s="1515">
        <v>4550</v>
      </c>
      <c r="H195" s="1343">
        <f t="shared" ref="H195" si="64">ROUND(E195*G195,)</f>
        <v>27300</v>
      </c>
      <c r="I195" s="1370">
        <v>1365</v>
      </c>
      <c r="J195" s="1343">
        <f t="shared" ref="J195" si="65">ROUND(E195*I195,)</f>
        <v>8190</v>
      </c>
      <c r="K195" s="1262">
        <f t="shared" ref="K195" si="66">H195+J195</f>
        <v>35490</v>
      </c>
      <c r="L195" s="1273"/>
    </row>
    <row r="196" spans="1:15" s="1765" customFormat="1" ht="24" customHeight="1">
      <c r="A196" s="1766" t="s">
        <v>2104</v>
      </c>
      <c r="B196" s="1538" t="s">
        <v>2122</v>
      </c>
      <c r="C196" s="1437"/>
      <c r="D196" s="1275"/>
      <c r="E196" s="1768"/>
      <c r="F196" s="1358"/>
      <c r="G196" s="1516"/>
      <c r="H196" s="1264"/>
      <c r="I196" s="1265"/>
      <c r="J196" s="1264"/>
      <c r="K196" s="1273"/>
      <c r="L196" s="1273"/>
    </row>
    <row r="197" spans="1:15" s="1765" customFormat="1" ht="24" customHeight="1">
      <c r="A197" s="1258"/>
      <c r="B197" s="1538" t="s">
        <v>2123</v>
      </c>
      <c r="C197" s="1437"/>
      <c r="D197" s="1275"/>
      <c r="E197" s="1801">
        <f>(7*5*5*1*2)*1</f>
        <v>350</v>
      </c>
      <c r="F197" s="1356" t="s">
        <v>226</v>
      </c>
      <c r="G197" s="1515">
        <v>139</v>
      </c>
      <c r="H197" s="1343">
        <f t="shared" ref="H197:H198" si="67">ROUND(E197*G197,)</f>
        <v>48650</v>
      </c>
      <c r="I197" s="1370">
        <v>21</v>
      </c>
      <c r="J197" s="1343">
        <f t="shared" ref="J197:J198" si="68">ROUND(E197*I197,)</f>
        <v>7350</v>
      </c>
      <c r="K197" s="1262">
        <f t="shared" ref="K197:K198" si="69">H197+J197</f>
        <v>56000</v>
      </c>
      <c r="L197" s="1273"/>
    </row>
    <row r="198" spans="1:15" s="1765" customFormat="1" ht="24" customHeight="1">
      <c r="A198" s="1258"/>
      <c r="B198" s="1538" t="s">
        <v>2124</v>
      </c>
      <c r="C198" s="1437"/>
      <c r="D198" s="1275"/>
      <c r="E198" s="1801">
        <f>(4*5*5*2*1)*1</f>
        <v>200</v>
      </c>
      <c r="F198" s="1356" t="s">
        <v>226</v>
      </c>
      <c r="G198" s="1515">
        <v>103</v>
      </c>
      <c r="H198" s="1343">
        <f t="shared" si="67"/>
        <v>20600</v>
      </c>
      <c r="I198" s="1370">
        <v>15</v>
      </c>
      <c r="J198" s="1343">
        <f t="shared" si="68"/>
        <v>3000</v>
      </c>
      <c r="K198" s="1262">
        <f t="shared" si="69"/>
        <v>23600</v>
      </c>
      <c r="L198" s="1273"/>
    </row>
    <row r="199" spans="1:15" s="1765" customFormat="1" ht="24" customHeight="1">
      <c r="A199" s="1258"/>
      <c r="B199" s="1538" t="s">
        <v>1548</v>
      </c>
      <c r="C199" s="1437"/>
      <c r="D199" s="1275"/>
      <c r="E199" s="1768"/>
      <c r="F199" s="1358" t="s">
        <v>226</v>
      </c>
      <c r="G199" s="1516"/>
      <c r="H199" s="1264"/>
      <c r="I199" s="1265"/>
      <c r="J199" s="1264"/>
      <c r="K199" s="1273"/>
      <c r="L199" s="1273"/>
    </row>
    <row r="200" spans="1:15" s="1765" customFormat="1" ht="24" customHeight="1">
      <c r="A200" s="1804"/>
      <c r="B200" s="1799" t="s">
        <v>2125</v>
      </c>
      <c r="C200" s="1800"/>
      <c r="D200" s="1375"/>
      <c r="E200" s="1801"/>
      <c r="F200" s="1356" t="s">
        <v>226</v>
      </c>
      <c r="G200" s="1515">
        <v>24</v>
      </c>
      <c r="H200" s="1343">
        <f t="shared" ref="H200:H202" si="70">ROUND(E200*G200,)</f>
        <v>0</v>
      </c>
      <c r="I200" s="1370">
        <v>8</v>
      </c>
      <c r="J200" s="1343">
        <f t="shared" ref="J200:J202" si="71">ROUND(E200*I200,)</f>
        <v>0</v>
      </c>
      <c r="K200" s="1262">
        <f t="shared" ref="K200:K202" si="72">H200+J200</f>
        <v>0</v>
      </c>
      <c r="L200" s="1356"/>
    </row>
    <row r="201" spans="1:15" s="1765" customFormat="1" ht="24" customHeight="1">
      <c r="A201" s="1804"/>
      <c r="B201" s="1799" t="s">
        <v>2126</v>
      </c>
      <c r="C201" s="1800"/>
      <c r="D201" s="1375"/>
      <c r="E201" s="1801"/>
      <c r="F201" s="1356" t="s">
        <v>226</v>
      </c>
      <c r="G201" s="1515">
        <v>15</v>
      </c>
      <c r="H201" s="1343">
        <f t="shared" si="70"/>
        <v>0</v>
      </c>
      <c r="I201" s="1370">
        <v>5</v>
      </c>
      <c r="J201" s="1343">
        <f t="shared" si="71"/>
        <v>0</v>
      </c>
      <c r="K201" s="1262">
        <f t="shared" si="72"/>
        <v>0</v>
      </c>
      <c r="L201" s="1356"/>
    </row>
    <row r="202" spans="1:15" s="1765" customFormat="1" ht="24" customHeight="1">
      <c r="A202" s="1804"/>
      <c r="B202" s="1799" t="s">
        <v>2127</v>
      </c>
      <c r="C202" s="1800"/>
      <c r="D202" s="1375"/>
      <c r="E202" s="1801">
        <v>1</v>
      </c>
      <c r="F202" s="1356" t="s">
        <v>1104</v>
      </c>
      <c r="G202" s="1515">
        <f>SUM(H197:H201)*5%</f>
        <v>3462.5</v>
      </c>
      <c r="H202" s="1343">
        <f t="shared" si="70"/>
        <v>3463</v>
      </c>
      <c r="I202" s="1370">
        <v>19745</v>
      </c>
      <c r="J202" s="1343">
        <f t="shared" si="71"/>
        <v>19745</v>
      </c>
      <c r="K202" s="1262">
        <f t="shared" si="72"/>
        <v>23208</v>
      </c>
      <c r="L202" s="1356"/>
    </row>
    <row r="203" spans="1:15" s="1765" customFormat="1" ht="24" customHeight="1">
      <c r="A203" s="1766" t="s">
        <v>2581</v>
      </c>
      <c r="B203" s="1538" t="s">
        <v>1110</v>
      </c>
      <c r="C203" s="1437"/>
      <c r="D203" s="1275"/>
      <c r="E203" s="1768"/>
      <c r="F203" s="1358"/>
      <c r="G203" s="1515"/>
      <c r="H203" s="1264"/>
      <c r="I203" s="1265"/>
      <c r="J203" s="1264"/>
      <c r="K203" s="1273"/>
      <c r="L203" s="1273"/>
    </row>
    <row r="204" spans="1:15" s="1765" customFormat="1" ht="24" customHeight="1">
      <c r="A204" s="1766"/>
      <c r="B204" s="1538" t="s">
        <v>1350</v>
      </c>
      <c r="C204" s="1437"/>
      <c r="D204" s="1275"/>
      <c r="E204" s="1768">
        <f>(3*5*2*1)*1</f>
        <v>30</v>
      </c>
      <c r="F204" s="1358" t="s">
        <v>226</v>
      </c>
      <c r="G204" s="2004">
        <v>56</v>
      </c>
      <c r="H204" s="1413">
        <f t="shared" ref="H204:H205" si="73">ROUND(E204*G204,)</f>
        <v>1680</v>
      </c>
      <c r="I204" s="1541">
        <v>28</v>
      </c>
      <c r="J204" s="2006">
        <f t="shared" ref="J204:J205" si="74">ROUND(E204*I204,)</f>
        <v>840</v>
      </c>
      <c r="K204" s="715">
        <f t="shared" ref="K204:K205" si="75">H204+J204</f>
        <v>2520</v>
      </c>
      <c r="L204" s="2082" t="s">
        <v>2667</v>
      </c>
      <c r="M204" s="2002"/>
      <c r="N204" s="1199">
        <v>169.2</v>
      </c>
      <c r="O204" s="1199">
        <f>ROUND(N204/3,)</f>
        <v>56</v>
      </c>
    </row>
    <row r="205" spans="1:15" s="1765" customFormat="1" ht="24" customHeight="1">
      <c r="A205" s="1804"/>
      <c r="B205" s="1799" t="s">
        <v>2128</v>
      </c>
      <c r="C205" s="1800"/>
      <c r="D205" s="1375"/>
      <c r="E205" s="1801">
        <v>1</v>
      </c>
      <c r="F205" s="1356" t="s">
        <v>1104</v>
      </c>
      <c r="G205" s="1515">
        <f>H204*15%</f>
        <v>252</v>
      </c>
      <c r="H205" s="1343">
        <f t="shared" si="73"/>
        <v>252</v>
      </c>
      <c r="I205" s="1370">
        <v>58174</v>
      </c>
      <c r="J205" s="1343">
        <f t="shared" si="74"/>
        <v>58174</v>
      </c>
      <c r="K205" s="1262">
        <f t="shared" si="75"/>
        <v>58426</v>
      </c>
      <c r="L205" s="1356"/>
    </row>
    <row r="206" spans="1:15" s="1765" customFormat="1" ht="24" customHeight="1">
      <c r="A206" s="1766" t="s">
        <v>2582</v>
      </c>
      <c r="B206" s="1538" t="s">
        <v>1343</v>
      </c>
      <c r="C206" s="1437"/>
      <c r="D206" s="1275"/>
      <c r="E206" s="1768"/>
      <c r="F206" s="1358"/>
      <c r="G206" s="1515"/>
      <c r="H206" s="1264"/>
      <c r="I206" s="1265"/>
      <c r="J206" s="1264"/>
      <c r="K206" s="1273"/>
      <c r="L206" s="1273"/>
    </row>
    <row r="207" spans="1:15" s="1765" customFormat="1" ht="24" customHeight="1">
      <c r="A207" s="1258"/>
      <c r="B207" s="1538" t="s">
        <v>2129</v>
      </c>
      <c r="C207" s="1437"/>
      <c r="D207" s="1275"/>
      <c r="E207" s="1801"/>
      <c r="F207" s="1356" t="s">
        <v>226</v>
      </c>
      <c r="G207" s="1386">
        <v>316</v>
      </c>
      <c r="H207" s="1343">
        <f t="shared" ref="H207:H208" si="76">ROUND(E207*G207,)</f>
        <v>0</v>
      </c>
      <c r="I207" s="1414">
        <v>50</v>
      </c>
      <c r="J207" s="1343">
        <f t="shared" ref="J207:J208" si="77">ROUND(E207*I207,)</f>
        <v>0</v>
      </c>
      <c r="K207" s="1262">
        <f t="shared" ref="K207:K208" si="78">H207+J207</f>
        <v>0</v>
      </c>
      <c r="L207" s="1273"/>
    </row>
    <row r="208" spans="1:15" s="1765" customFormat="1" ht="24" customHeight="1">
      <c r="A208" s="1258"/>
      <c r="B208" s="1538" t="s">
        <v>2128</v>
      </c>
      <c r="C208" s="1437"/>
      <c r="D208" s="1275"/>
      <c r="E208" s="1801"/>
      <c r="F208" s="1356" t="s">
        <v>1104</v>
      </c>
      <c r="G208" s="1515">
        <f>H207*15%</f>
        <v>0</v>
      </c>
      <c r="H208" s="1343">
        <f t="shared" si="76"/>
        <v>0</v>
      </c>
      <c r="I208" s="1370">
        <v>16637</v>
      </c>
      <c r="J208" s="1343">
        <f t="shared" si="77"/>
        <v>0</v>
      </c>
      <c r="K208" s="1262">
        <f t="shared" si="78"/>
        <v>0</v>
      </c>
      <c r="L208" s="1273"/>
    </row>
    <row r="209" spans="1:12" s="1199" customFormat="1" ht="22.15" customHeight="1">
      <c r="A209" s="1578"/>
      <c r="B209" s="2257" t="str">
        <f>"รวมราคารายการที่ "&amp;A185</f>
        <v>รวมราคารายการที่ 7.8</v>
      </c>
      <c r="C209" s="2258"/>
      <c r="D209" s="2259"/>
      <c r="E209" s="1579"/>
      <c r="F209" s="1579"/>
      <c r="G209" s="1580"/>
      <c r="H209" s="1581">
        <f>SUM(H185:H208)</f>
        <v>129245</v>
      </c>
      <c r="I209" s="1582"/>
      <c r="J209" s="1581">
        <f>SUM(J185:J208)</f>
        <v>106299</v>
      </c>
      <c r="K209" s="1581">
        <f>SUM(K185:K208)</f>
        <v>235544</v>
      </c>
      <c r="L209" s="1583"/>
    </row>
    <row r="210" spans="1:12" s="1199" customFormat="1" ht="22.15" customHeight="1">
      <c r="A210" s="1427"/>
    </row>
    <row r="211" spans="1:12" s="1199" customFormat="1" ht="22.15" customHeight="1">
      <c r="A211" s="1427"/>
    </row>
    <row r="212" spans="1:12" s="1199" customFormat="1" ht="22.15" customHeight="1">
      <c r="A212" s="1427"/>
    </row>
    <row r="213" spans="1:12" s="1199" customFormat="1" ht="22.15" customHeight="1">
      <c r="A213" s="1427"/>
    </row>
    <row r="214" spans="1:12" s="1199" customFormat="1" ht="22.15" customHeight="1">
      <c r="A214" s="1427"/>
    </row>
    <row r="215" spans="1:12" s="1199" customFormat="1" ht="22.15" customHeight="1">
      <c r="A215" s="1427"/>
    </row>
    <row r="216" spans="1:12" s="1199" customFormat="1" ht="22.15" customHeight="1">
      <c r="A216" s="1427"/>
    </row>
    <row r="217" spans="1:12" s="1199" customFormat="1" ht="22.15" customHeight="1">
      <c r="A217" s="1427"/>
    </row>
    <row r="218" spans="1:12" s="1199" customFormat="1" ht="22.15" customHeight="1">
      <c r="A218" s="1427"/>
    </row>
    <row r="219" spans="1:12" s="1199" customFormat="1" ht="22.15" customHeight="1">
      <c r="A219" s="1427"/>
    </row>
    <row r="220" spans="1:12" s="1199" customFormat="1" ht="22.15" customHeight="1">
      <c r="A220" s="1427"/>
    </row>
    <row r="221" spans="1:12" s="1199" customFormat="1" ht="21.3">
      <c r="A221" s="1427"/>
    </row>
    <row r="222" spans="1:12" s="1199" customFormat="1" ht="21.3">
      <c r="A222" s="1427"/>
    </row>
    <row r="223" spans="1:12" s="1199" customFormat="1" ht="21.3">
      <c r="A223" s="1427"/>
    </row>
    <row r="224" spans="1:12" s="1199" customFormat="1" ht="21.3">
      <c r="A224" s="1427"/>
    </row>
    <row r="225" spans="1:12" s="1199" customFormat="1" ht="21.3">
      <c r="A225" s="1427"/>
    </row>
    <row r="226" spans="1:12" s="1199" customFormat="1" ht="21.3">
      <c r="A226" s="1427"/>
    </row>
    <row r="227" spans="1:12" s="1199" customFormat="1" ht="21.3">
      <c r="A227" s="1427"/>
    </row>
    <row r="228" spans="1:12" s="1199" customFormat="1" ht="21.3">
      <c r="A228" s="1427"/>
    </row>
    <row r="229" spans="1:12" s="1199" customFormat="1" ht="21.3">
      <c r="A229" s="1427"/>
    </row>
    <row r="230" spans="1:12" s="1199" customFormat="1" ht="21.3">
      <c r="A230" s="1427"/>
    </row>
    <row r="231" spans="1:12" s="1199" customFormat="1" ht="21.3">
      <c r="A231" s="1427"/>
    </row>
    <row r="232" spans="1:12" s="1199" customFormat="1" ht="21.3">
      <c r="A232" s="1427"/>
    </row>
    <row r="233" spans="1:12" s="1199" customFormat="1" ht="21.3">
      <c r="A233" s="1427"/>
    </row>
    <row r="234" spans="1:12" s="1199" customFormat="1" ht="21.3">
      <c r="A234" s="1427"/>
    </row>
    <row r="235" spans="1:12">
      <c r="A235" s="1427"/>
      <c r="B235" s="1199"/>
      <c r="C235" s="1199"/>
      <c r="D235" s="1199"/>
      <c r="E235" s="1199"/>
      <c r="F235" s="1199"/>
      <c r="G235" s="1199"/>
      <c r="H235" s="1199"/>
      <c r="I235" s="1199"/>
      <c r="J235" s="1199"/>
      <c r="K235" s="1199"/>
      <c r="L235" s="1199"/>
    </row>
    <row r="236" spans="1:12">
      <c r="A236" s="1427"/>
      <c r="B236" s="1199"/>
      <c r="C236" s="1199"/>
      <c r="D236" s="1199"/>
      <c r="E236" s="1199"/>
      <c r="F236" s="1199"/>
      <c r="G236" s="1199"/>
      <c r="H236" s="1199"/>
      <c r="I236" s="1199"/>
      <c r="J236" s="1199"/>
      <c r="K236" s="1199"/>
      <c r="L236" s="1199"/>
    </row>
    <row r="237" spans="1:12">
      <c r="A237" s="1427"/>
      <c r="B237" s="1199"/>
      <c r="C237" s="1199"/>
      <c r="D237" s="1199"/>
      <c r="E237" s="1199"/>
      <c r="F237" s="1199"/>
      <c r="G237" s="1199"/>
      <c r="H237" s="1199"/>
      <c r="I237" s="1199"/>
      <c r="J237" s="1199"/>
      <c r="K237" s="1199"/>
      <c r="L237" s="1199"/>
    </row>
    <row r="244" spans="2:2">
      <c r="B244" s="1805"/>
    </row>
    <row r="245" spans="2:2">
      <c r="B245" s="1805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159:D159"/>
    <mergeCell ref="B184:D184"/>
    <mergeCell ref="B209:D209"/>
    <mergeCell ref="B34:D34"/>
    <mergeCell ref="B49:D49"/>
    <mergeCell ref="B59:D59"/>
    <mergeCell ref="B70:D70"/>
    <mergeCell ref="B98:D98"/>
    <mergeCell ref="B122:D122"/>
  </mergeCells>
  <conditionalFormatting sqref="A160:L161 A169:L169 A172:L172 A170:F170 A176:L183 A173:F173 G168:L168 A168:B168 A175:F175 H175:L175">
    <cfRule type="expression" dxfId="109" priority="24">
      <formula>SUMPRODUCT(--(ROW()=$O$12:$O$18))&gt;0</formula>
    </cfRule>
  </conditionalFormatting>
  <conditionalFormatting sqref="A79:D81 L79:L81 F79:F81">
    <cfRule type="expression" dxfId="108" priority="23">
      <formula>SUMPRODUCT(--(ROW()=$O$12:$O$18))&gt;0</formula>
    </cfRule>
  </conditionalFormatting>
  <conditionalFormatting sqref="A110:L116">
    <cfRule type="expression" dxfId="107" priority="22">
      <formula>SUMPRODUCT(--(ROW()=$O$12:$O$18))&gt;0</formula>
    </cfRule>
  </conditionalFormatting>
  <conditionalFormatting sqref="C168:F168">
    <cfRule type="expression" dxfId="106" priority="15">
      <formula>SUMPRODUCT(--(ROW()=$O$12:$O$18))&gt;0</formula>
    </cfRule>
  </conditionalFormatting>
  <conditionalFormatting sqref="C47:L48 C45:D45 L45 E49:L49 A35:L35 F44:L44 A36 C36:L36 C43:L43 A43:A45 A47:A49">
    <cfRule type="expression" dxfId="105" priority="13">
      <formula>SUMPRODUCT(--(ROW()=$O$12:$O$18))&gt;0</formula>
    </cfRule>
  </conditionalFormatting>
  <conditionalFormatting sqref="G108:K109">
    <cfRule type="expression" dxfId="104" priority="12">
      <formula>SUMPRODUCT(--(ROW()=$R$12:$R$22))&gt;0</formula>
    </cfRule>
  </conditionalFormatting>
  <conditionalFormatting sqref="I79:I81">
    <cfRule type="expression" dxfId="103" priority="11">
      <formula>SUMPRODUCT(--(ROW()=$O$12:$O$22))&gt;0</formula>
    </cfRule>
  </conditionalFormatting>
  <conditionalFormatting sqref="G79:G80">
    <cfRule type="expression" dxfId="102" priority="10">
      <formula>SUMPRODUCT(--(ROW()=$O$14:$O$24))&gt;0</formula>
    </cfRule>
  </conditionalFormatting>
  <conditionalFormatting sqref="H87:H90">
    <cfRule type="expression" dxfId="101" priority="9">
      <formula>SUMPRODUCT(--(ROW()=$O$14:$O$24))&gt;0</formula>
    </cfRule>
  </conditionalFormatting>
  <conditionalFormatting sqref="G81">
    <cfRule type="expression" dxfId="100" priority="8">
      <formula>SUMPRODUCT(--(ROW()=$O$14:$O$24))&gt;0</formula>
    </cfRule>
  </conditionalFormatting>
  <conditionalFormatting sqref="A171:K171">
    <cfRule type="expression" dxfId="99" priority="3">
      <formula>SUMPRODUCT(--(ROW()=$O$12:$O$24))&gt;0</formula>
    </cfRule>
  </conditionalFormatting>
  <conditionalFormatting sqref="A174:F174">
    <cfRule type="expression" dxfId="98" priority="2">
      <formula>SUMPRODUCT(--(ROW()=$O$12:$O$24))&gt;0</formula>
    </cfRule>
  </conditionalFormatting>
  <conditionalFormatting sqref="E79:E80">
    <cfRule type="expression" dxfId="97" priority="1">
      <formula>SUMPRODUCT(--(ROW()=$W$12:$W$21))&gt;0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4-อาคารด้านทิศตะวันตก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F2913-AE4D-4D31-98DE-608E65661478}">
  <sheetPr>
    <tabColor rgb="FF92D050"/>
  </sheetPr>
  <dimension ref="A1:T220"/>
  <sheetViews>
    <sheetView showGridLines="0" view="pageBreakPreview" topLeftCell="A193" zoomScale="70" zoomScaleNormal="60" zoomScaleSheetLayoutView="70" workbookViewId="0">
      <selection activeCell="D188" sqref="D188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" style="1" customWidth="1"/>
    <col min="13" max="13" width="7.703125" style="1" customWidth="1"/>
    <col min="14" max="14" width="11" style="1" customWidth="1"/>
    <col min="15" max="15" width="10.29296875" style="1" customWidth="1"/>
    <col min="16" max="16" width="11.703125" style="1" customWidth="1"/>
    <col min="17" max="17" width="10.29296875" style="1" customWidth="1"/>
    <col min="18" max="18" width="10.703125" style="1" customWidth="1"/>
    <col min="19" max="19" width="10.5859375" style="1" customWidth="1"/>
    <col min="20" max="20" width="10.29296875" style="1" customWidth="1"/>
    <col min="21" max="21" width="10.5859375" style="1" customWidth="1"/>
    <col min="22" max="78" width="7.703125" style="1" customWidth="1"/>
    <col min="79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03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04" t="s">
        <v>18</v>
      </c>
      <c r="L10" s="2225"/>
    </row>
    <row r="11" spans="1:12" ht="24" customHeight="1">
      <c r="A11" s="1560" t="s">
        <v>24</v>
      </c>
      <c r="B11" s="1561" t="s">
        <v>2847</v>
      </c>
      <c r="C11" s="1621"/>
      <c r="D11" s="1742"/>
      <c r="E11" s="1563"/>
      <c r="F11" s="1563"/>
      <c r="G11" s="1181"/>
      <c r="H11" s="1182"/>
      <c r="I11" s="1183"/>
      <c r="J11" s="1182"/>
      <c r="K11" s="1184"/>
      <c r="L11" s="1184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H49</f>
        <v>2506950</v>
      </c>
      <c r="I12" s="1197"/>
      <c r="J12" s="1196">
        <f>J49</f>
        <v>129546</v>
      </c>
      <c r="K12" s="1196">
        <f t="shared" ref="K12:K15" si="0">SUM(H12:J12)</f>
        <v>2636496</v>
      </c>
      <c r="L12" s="1531"/>
    </row>
    <row r="13" spans="1:12" s="1199" customFormat="1" ht="24" customHeight="1">
      <c r="A13" s="1564">
        <f>A50</f>
        <v>7.2</v>
      </c>
      <c r="B13" s="1538" t="str">
        <f>B50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330000</v>
      </c>
      <c r="I13" s="1197"/>
      <c r="J13" s="1196">
        <f>J59</f>
        <v>3000</v>
      </c>
      <c r="K13" s="1196">
        <f t="shared" si="0"/>
        <v>333000</v>
      </c>
      <c r="L13" s="1531"/>
    </row>
    <row r="14" spans="1:12" s="1199" customFormat="1" ht="24" customHeight="1">
      <c r="A14" s="1564" t="str">
        <f>A60</f>
        <v>7.3</v>
      </c>
      <c r="B14" s="1538" t="str">
        <f>B60</f>
        <v>ระบบกรองอากาศ (Air Filtration System)</v>
      </c>
      <c r="C14" s="1533"/>
      <c r="D14" s="1534"/>
      <c r="E14" s="1753">
        <v>1</v>
      </c>
      <c r="F14" s="1567" t="s">
        <v>19</v>
      </c>
      <c r="G14" s="1195"/>
      <c r="H14" s="1196">
        <f>H70</f>
        <v>27600</v>
      </c>
      <c r="I14" s="1197"/>
      <c r="J14" s="1196">
        <f>J70</f>
        <v>1800</v>
      </c>
      <c r="K14" s="1196">
        <f t="shared" si="0"/>
        <v>29400</v>
      </c>
      <c r="L14" s="1531"/>
    </row>
    <row r="15" spans="1:12" s="1199" customFormat="1" ht="24" customHeight="1">
      <c r="A15" s="1564">
        <f>A71</f>
        <v>7.4</v>
      </c>
      <c r="B15" s="1538" t="str">
        <f>B71</f>
        <v>งานท่อ (Piping Work)</v>
      </c>
      <c r="C15" s="1533"/>
      <c r="D15" s="1534"/>
      <c r="E15" s="1753">
        <v>1</v>
      </c>
      <c r="F15" s="1567" t="s">
        <v>19</v>
      </c>
      <c r="G15" s="1195"/>
      <c r="H15" s="1196">
        <f>H98</f>
        <v>380706</v>
      </c>
      <c r="I15" s="1197"/>
      <c r="J15" s="1196">
        <f>J98</f>
        <v>140570</v>
      </c>
      <c r="K15" s="1196">
        <f t="shared" si="0"/>
        <v>521276</v>
      </c>
      <c r="L15" s="1531"/>
    </row>
    <row r="16" spans="1:12" s="1199" customFormat="1" ht="24" customHeight="1">
      <c r="A16" s="1755" t="str">
        <f>A99</f>
        <v>7.5</v>
      </c>
      <c r="B16" s="1816" t="str">
        <f>B99</f>
        <v>ฉนวนหุ้มท่อ (Pipe Insulation)</v>
      </c>
      <c r="C16" s="1533"/>
      <c r="D16" s="1534"/>
      <c r="E16" s="1753">
        <v>1</v>
      </c>
      <c r="F16" s="1567" t="s">
        <v>19</v>
      </c>
      <c r="G16" s="1195"/>
      <c r="H16" s="1196">
        <f>H122</f>
        <v>134456</v>
      </c>
      <c r="I16" s="1197"/>
      <c r="J16" s="1196">
        <f>J122</f>
        <v>35776</v>
      </c>
      <c r="K16" s="1196">
        <f t="shared" ref="K16:K18" si="1">SUM(H16:J16)</f>
        <v>170232</v>
      </c>
      <c r="L16" s="1531"/>
    </row>
    <row r="17" spans="1:12" s="1199" customFormat="1" ht="24" customHeight="1">
      <c r="A17" s="1756">
        <f>A123</f>
        <v>7.6</v>
      </c>
      <c r="B17" s="1840" t="str">
        <f>B123</f>
        <v>วาล์วและอุปกรณ์ประกอบ  (Valve &amp; Pipe Accessories)</v>
      </c>
      <c r="C17" s="1533"/>
      <c r="D17" s="1534"/>
      <c r="E17" s="1753">
        <v>1</v>
      </c>
      <c r="F17" s="1567" t="s">
        <v>19</v>
      </c>
      <c r="G17" s="1195"/>
      <c r="H17" s="1196">
        <f>H159</f>
        <v>155646</v>
      </c>
      <c r="I17" s="1197"/>
      <c r="J17" s="1196">
        <f>J159</f>
        <v>22800</v>
      </c>
      <c r="K17" s="1196">
        <f t="shared" si="1"/>
        <v>178446</v>
      </c>
      <c r="L17" s="1531"/>
    </row>
    <row r="18" spans="1:12" s="1199" customFormat="1" ht="24" customHeight="1">
      <c r="A18" s="1537" t="str">
        <f>A160</f>
        <v>7.7</v>
      </c>
      <c r="B18" s="1840" t="str">
        <f>B160</f>
        <v>ระบบไฟฟ้าและควบคุม (Electrical &amp; Control System)</v>
      </c>
      <c r="C18" s="1533"/>
      <c r="D18" s="1534"/>
      <c r="E18" s="1753">
        <v>1</v>
      </c>
      <c r="F18" s="1567" t="s">
        <v>19</v>
      </c>
      <c r="G18" s="1195"/>
      <c r="H18" s="1196">
        <f>H184</f>
        <v>553665</v>
      </c>
      <c r="I18" s="1197"/>
      <c r="J18" s="1196">
        <f>J184</f>
        <v>61208</v>
      </c>
      <c r="K18" s="1196">
        <f t="shared" si="1"/>
        <v>614873</v>
      </c>
      <c r="L18" s="1531"/>
    </row>
    <row r="19" spans="1:12" s="1199" customFormat="1" ht="24" customHeight="1">
      <c r="A19" s="1537" t="str">
        <f>A185</f>
        <v>7.8</v>
      </c>
      <c r="B19" s="1840" t="str">
        <f>B185</f>
        <v>หมวดงานเชื่อมต่อกับระบบ BAS</v>
      </c>
      <c r="C19" s="1533"/>
      <c r="D19" s="1534"/>
      <c r="E19" s="1753"/>
      <c r="F19" s="1567" t="s">
        <v>19</v>
      </c>
      <c r="G19" s="1195"/>
      <c r="H19" s="1196">
        <f>H209</f>
        <v>129245</v>
      </c>
      <c r="I19" s="1197"/>
      <c r="J19" s="1196">
        <f>J209</f>
        <v>106299</v>
      </c>
      <c r="K19" s="1196">
        <f>K209</f>
        <v>235544</v>
      </c>
      <c r="L19" s="1531"/>
    </row>
    <row r="20" spans="1:12" s="1199" customFormat="1" ht="24" customHeight="1">
      <c r="A20" s="2133"/>
      <c r="B20" s="2138"/>
      <c r="C20" s="2134"/>
      <c r="D20" s="2135"/>
      <c r="E20" s="2136"/>
      <c r="F20" s="2137"/>
      <c r="G20" s="1195"/>
      <c r="H20" s="1196"/>
      <c r="I20" s="1197"/>
      <c r="J20" s="1196"/>
      <c r="K20" s="1196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537"/>
      <c r="B33" s="1538"/>
      <c r="C33" s="1533"/>
      <c r="D33" s="1534"/>
      <c r="E33" s="1567"/>
      <c r="F33" s="1567"/>
      <c r="G33" s="1195"/>
      <c r="H33" s="1196"/>
      <c r="I33" s="1197"/>
      <c r="J33" s="1196"/>
      <c r="K33" s="1553"/>
      <c r="L33" s="1531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10</v>
      </c>
      <c r="C34" s="2258"/>
      <c r="D34" s="2259"/>
      <c r="E34" s="1579"/>
      <c r="F34" s="1579"/>
      <c r="G34" s="1580"/>
      <c r="H34" s="1581">
        <f>SUM(H11:H33)</f>
        <v>4218268</v>
      </c>
      <c r="I34" s="1582"/>
      <c r="J34" s="1581">
        <f>SUM(J11:J33)</f>
        <v>500999</v>
      </c>
      <c r="K34" s="1581">
        <f>SUM(K11:K33)</f>
        <v>4719267</v>
      </c>
      <c r="L34" s="1583"/>
    </row>
    <row r="35" spans="1:20" s="1765" customFormat="1" ht="24" customHeight="1">
      <c r="A35" s="1847" t="s">
        <v>2246</v>
      </c>
      <c r="B35" s="1848" t="s">
        <v>2247</v>
      </c>
      <c r="C35" s="1849"/>
      <c r="D35" s="1354"/>
      <c r="E35" s="1802"/>
      <c r="F35" s="1356"/>
      <c r="G35" s="1803"/>
      <c r="H35" s="1369"/>
      <c r="I35" s="1370"/>
      <c r="J35" s="1369"/>
      <c r="K35" s="1356"/>
      <c r="L35" s="1356"/>
    </row>
    <row r="36" spans="1:20" s="1765" customFormat="1" ht="24" customHeight="1">
      <c r="A36" s="2113" t="s">
        <v>1984</v>
      </c>
      <c r="B36" s="2164" t="s">
        <v>2782</v>
      </c>
      <c r="C36" s="2115"/>
      <c r="D36" s="2115"/>
      <c r="E36" s="1802"/>
      <c r="F36" s="1356"/>
      <c r="G36" s="1803"/>
      <c r="H36" s="1369"/>
      <c r="I36" s="1370"/>
      <c r="J36" s="1369"/>
      <c r="K36" s="1356"/>
      <c r="L36" s="1356"/>
    </row>
    <row r="37" spans="1:20" s="2116" customFormat="1" ht="24" customHeight="1">
      <c r="A37" s="2112"/>
      <c r="B37" s="2164" t="s">
        <v>2804</v>
      </c>
      <c r="C37" s="2111"/>
      <c r="D37" s="2165"/>
      <c r="E37" s="825">
        <v>1</v>
      </c>
      <c r="F37" s="1457" t="s">
        <v>363</v>
      </c>
      <c r="G37" s="1769">
        <v>409425</v>
      </c>
      <c r="H37" s="1413">
        <f t="shared" ref="H37:H42" si="2">ROUND(E37*G37,)</f>
        <v>409425</v>
      </c>
      <c r="I37" s="1455">
        <f>G37*0.05</f>
        <v>20471.25</v>
      </c>
      <c r="J37" s="1413">
        <f t="shared" ref="J37:J42" si="3">ROUND(E37*I37,)</f>
        <v>20471</v>
      </c>
      <c r="K37" s="1415">
        <f t="shared" ref="K37:K42" si="4">H37+J37</f>
        <v>429896</v>
      </c>
      <c r="L37" s="1457"/>
      <c r="M37" s="2120"/>
      <c r="N37" s="2120"/>
      <c r="O37" s="2120"/>
      <c r="P37" s="2120"/>
      <c r="Q37" s="2120"/>
      <c r="R37" s="2120"/>
      <c r="S37" s="2120"/>
      <c r="T37" s="2120"/>
    </row>
    <row r="38" spans="1:20" s="2116" customFormat="1" ht="24" customHeight="1">
      <c r="A38" s="2112"/>
      <c r="B38" s="2164" t="s">
        <v>2805</v>
      </c>
      <c r="C38" s="2111"/>
      <c r="D38" s="2165"/>
      <c r="E38" s="825">
        <v>1</v>
      </c>
      <c r="F38" s="1457" t="s">
        <v>363</v>
      </c>
      <c r="G38" s="1769">
        <v>409425</v>
      </c>
      <c r="H38" s="1413">
        <f t="shared" si="2"/>
        <v>409425</v>
      </c>
      <c r="I38" s="1455">
        <f t="shared" ref="I38:I39" si="5">G38*0.05</f>
        <v>20471.25</v>
      </c>
      <c r="J38" s="1413">
        <f t="shared" si="3"/>
        <v>20471</v>
      </c>
      <c r="K38" s="1415">
        <f t="shared" si="4"/>
        <v>429896</v>
      </c>
      <c r="L38" s="1457"/>
      <c r="M38" s="2120"/>
      <c r="N38" s="2120"/>
      <c r="O38" s="2120"/>
      <c r="P38" s="2120"/>
      <c r="Q38" s="2120"/>
      <c r="R38" s="2120"/>
      <c r="S38" s="2120"/>
      <c r="T38" s="2120"/>
    </row>
    <row r="39" spans="1:20" s="2116" customFormat="1" ht="24" customHeight="1">
      <c r="A39" s="2112"/>
      <c r="B39" s="2164" t="s">
        <v>2806</v>
      </c>
      <c r="C39" s="2111"/>
      <c r="D39" s="2165"/>
      <c r="E39" s="825">
        <v>1</v>
      </c>
      <c r="F39" s="1457" t="s">
        <v>363</v>
      </c>
      <c r="G39" s="1769">
        <v>409425</v>
      </c>
      <c r="H39" s="1413">
        <f t="shared" si="2"/>
        <v>409425</v>
      </c>
      <c r="I39" s="1455">
        <f t="shared" si="5"/>
        <v>20471.25</v>
      </c>
      <c r="J39" s="1413">
        <f t="shared" si="3"/>
        <v>20471</v>
      </c>
      <c r="K39" s="1415">
        <f t="shared" si="4"/>
        <v>429896</v>
      </c>
      <c r="L39" s="1457"/>
      <c r="M39" s="2120"/>
      <c r="N39" s="2120"/>
      <c r="O39" s="2120"/>
      <c r="P39" s="2120"/>
      <c r="Q39" s="2120"/>
      <c r="R39" s="2120"/>
      <c r="S39" s="2120"/>
      <c r="T39" s="2120"/>
    </row>
    <row r="40" spans="1:20" s="2116" customFormat="1" ht="24" customHeight="1">
      <c r="A40" s="2112"/>
      <c r="B40" s="2164" t="s">
        <v>2827</v>
      </c>
      <c r="C40" s="2111"/>
      <c r="D40" s="2165"/>
      <c r="E40" s="825">
        <v>1</v>
      </c>
      <c r="F40" s="1457" t="s">
        <v>363</v>
      </c>
      <c r="G40" s="1769">
        <v>409425</v>
      </c>
      <c r="H40" s="1413">
        <f t="shared" si="2"/>
        <v>409425</v>
      </c>
      <c r="I40" s="1455">
        <f>G40*0.05</f>
        <v>20471.25</v>
      </c>
      <c r="J40" s="1413">
        <f t="shared" si="3"/>
        <v>20471</v>
      </c>
      <c r="K40" s="1415">
        <f t="shared" si="4"/>
        <v>429896</v>
      </c>
      <c r="L40" s="1457"/>
      <c r="M40" s="2120"/>
      <c r="N40" s="2120"/>
      <c r="O40" s="2120"/>
      <c r="P40" s="2120"/>
      <c r="Q40" s="2120"/>
      <c r="R40" s="2120"/>
      <c r="S40" s="2120"/>
      <c r="T40" s="2120"/>
    </row>
    <row r="41" spans="1:20" s="2116" customFormat="1" ht="24" customHeight="1">
      <c r="A41" s="2112"/>
      <c r="B41" s="2164" t="s">
        <v>2828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2"/>
        <v>409425</v>
      </c>
      <c r="I41" s="1455">
        <f t="shared" ref="I41:I42" si="6">G41*0.05</f>
        <v>20471.25</v>
      </c>
      <c r="J41" s="1413">
        <f t="shared" si="3"/>
        <v>20471</v>
      </c>
      <c r="K41" s="1415">
        <f t="shared" si="4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2116" customFormat="1" ht="24" customHeight="1">
      <c r="A42" s="2112"/>
      <c r="B42" s="2164" t="s">
        <v>2829</v>
      </c>
      <c r="C42" s="2111"/>
      <c r="D42" s="2165"/>
      <c r="E42" s="825">
        <v>1</v>
      </c>
      <c r="F42" s="1457" t="s">
        <v>363</v>
      </c>
      <c r="G42" s="1769">
        <v>409425</v>
      </c>
      <c r="H42" s="1413">
        <f t="shared" si="2"/>
        <v>409425</v>
      </c>
      <c r="I42" s="1455">
        <f t="shared" si="6"/>
        <v>20471.25</v>
      </c>
      <c r="J42" s="1413">
        <f t="shared" si="3"/>
        <v>20471</v>
      </c>
      <c r="K42" s="1415">
        <f t="shared" si="4"/>
        <v>429896</v>
      </c>
      <c r="L42" s="1457"/>
      <c r="M42" s="2120"/>
      <c r="N42" s="2120"/>
      <c r="O42" s="2120"/>
      <c r="P42" s="2120"/>
      <c r="Q42" s="2120"/>
      <c r="R42" s="2120"/>
      <c r="S42" s="2120"/>
      <c r="T42" s="2120"/>
    </row>
    <row r="43" spans="1:20" s="1765" customFormat="1" ht="24" customHeight="1">
      <c r="A43" s="2112"/>
      <c r="B43" s="2114"/>
      <c r="C43" s="2106"/>
      <c r="D43" s="2106"/>
      <c r="E43" s="1802"/>
      <c r="F43" s="1356"/>
      <c r="G43" s="1803"/>
      <c r="H43" s="1369"/>
      <c r="I43" s="1370"/>
      <c r="J43" s="1369"/>
      <c r="K43" s="1356"/>
      <c r="L43" s="1356"/>
    </row>
    <row r="44" spans="1:20" s="1765" customFormat="1" ht="24" customHeight="1">
      <c r="A44" s="2112"/>
      <c r="B44" s="2107" t="s">
        <v>2253</v>
      </c>
      <c r="C44" s="2106"/>
      <c r="D44" s="2165"/>
      <c r="E44" s="825">
        <f>SUM(E37:E42)</f>
        <v>6</v>
      </c>
      <c r="F44" s="1457" t="s">
        <v>363</v>
      </c>
      <c r="G44" s="1769">
        <v>2000</v>
      </c>
      <c r="H44" s="1343">
        <f t="shared" ref="H44:H46" si="7">ROUND(E44*G44,)</f>
        <v>12000</v>
      </c>
      <c r="I44" s="1856" t="s">
        <v>1683</v>
      </c>
      <c r="J44" s="1343"/>
      <c r="K44" s="1801">
        <f t="shared" ref="K44:K46" si="8">H44+J44</f>
        <v>12000</v>
      </c>
      <c r="L44" s="715"/>
    </row>
    <row r="45" spans="1:20" s="1765" customFormat="1" ht="24" customHeight="1">
      <c r="A45" s="2113" t="s">
        <v>1986</v>
      </c>
      <c r="B45" s="2114" t="s">
        <v>2041</v>
      </c>
      <c r="C45" s="2115"/>
      <c r="D45" s="2150"/>
      <c r="E45" s="825">
        <f>E44</f>
        <v>6</v>
      </c>
      <c r="F45" s="1457" t="s">
        <v>363</v>
      </c>
      <c r="G45" s="1769">
        <v>2400</v>
      </c>
      <c r="H45" s="1343">
        <f t="shared" si="7"/>
        <v>14400</v>
      </c>
      <c r="I45" s="1455">
        <v>720</v>
      </c>
      <c r="J45" s="1343">
        <f t="shared" ref="J45:J46" si="9">ROUND(E45*I45,)</f>
        <v>4320</v>
      </c>
      <c r="K45" s="1801">
        <f t="shared" si="8"/>
        <v>18720</v>
      </c>
      <c r="L45" s="1356"/>
    </row>
    <row r="46" spans="1:20" s="2116" customFormat="1" ht="24" customHeight="1">
      <c r="A46" s="2112" t="s">
        <v>1988</v>
      </c>
      <c r="B46" s="2164" t="s">
        <v>2331</v>
      </c>
      <c r="C46" s="2111"/>
      <c r="D46" s="2165"/>
      <c r="E46" s="825">
        <f>E44</f>
        <v>6</v>
      </c>
      <c r="F46" s="1457" t="s">
        <v>363</v>
      </c>
      <c r="G46" s="1769">
        <v>4000</v>
      </c>
      <c r="H46" s="1413">
        <f t="shared" si="7"/>
        <v>24000</v>
      </c>
      <c r="I46" s="1455">
        <f t="shared" ref="I46" si="10">G46*0.1</f>
        <v>400</v>
      </c>
      <c r="J46" s="1413">
        <f t="shared" si="9"/>
        <v>2400</v>
      </c>
      <c r="K46" s="1415">
        <f t="shared" si="8"/>
        <v>26400</v>
      </c>
      <c r="L46" s="1457"/>
      <c r="M46" s="2120"/>
      <c r="N46" s="2120"/>
      <c r="O46" s="2120"/>
      <c r="P46" s="2120"/>
      <c r="Q46" s="2120"/>
      <c r="R46" s="2120"/>
      <c r="S46" s="2120"/>
      <c r="T46" s="2120"/>
    </row>
    <row r="47" spans="1:20" s="1765" customFormat="1" ht="24" customHeight="1">
      <c r="A47" s="1804"/>
      <c r="B47" s="1538" t="s">
        <v>1117</v>
      </c>
      <c r="C47" s="1800"/>
      <c r="D47" s="1375"/>
      <c r="E47" s="1801"/>
      <c r="F47" s="1356"/>
      <c r="G47" s="1515"/>
      <c r="H47" s="820"/>
      <c r="I47" s="1370"/>
      <c r="J47" s="820"/>
      <c r="K47" s="1457"/>
      <c r="L47" s="1356"/>
    </row>
    <row r="48" spans="1:20" s="1765" customFormat="1" ht="24" customHeight="1">
      <c r="A48" s="1804"/>
      <c r="B48" s="1538"/>
      <c r="C48" s="1800"/>
      <c r="D48" s="1375"/>
      <c r="E48" s="1801"/>
      <c r="F48" s="1356"/>
      <c r="G48" s="1344"/>
      <c r="H48" s="820"/>
      <c r="I48" s="1370"/>
      <c r="J48" s="820"/>
      <c r="K48" s="1457"/>
      <c r="L48" s="1356"/>
    </row>
    <row r="49" spans="1:20" s="1765" customFormat="1" ht="24" customHeight="1">
      <c r="A49" s="1857"/>
      <c r="B49" s="2257" t="str">
        <f>"รวมราคารายการที่ "&amp;A35</f>
        <v>รวมราคารายการที่ 7.1</v>
      </c>
      <c r="C49" s="2258"/>
      <c r="D49" s="2259"/>
      <c r="E49" s="1858"/>
      <c r="F49" s="1858"/>
      <c r="G49" s="1859"/>
      <c r="H49" s="1860">
        <f>SUM(H36:H48)</f>
        <v>2506950</v>
      </c>
      <c r="I49" s="1861"/>
      <c r="J49" s="1860">
        <f>SUM(J36:J48)</f>
        <v>129546</v>
      </c>
      <c r="K49" s="1862">
        <f>SUM(K36:K48)</f>
        <v>2636496</v>
      </c>
      <c r="L49" s="1862"/>
    </row>
    <row r="50" spans="1:20" s="1765" customFormat="1" ht="24" customHeight="1">
      <c r="A50" s="1757">
        <v>7.2</v>
      </c>
      <c r="B50" s="1758" t="s">
        <v>1983</v>
      </c>
      <c r="C50" s="1294"/>
      <c r="D50" s="1777"/>
      <c r="E50" s="1686"/>
      <c r="F50" s="1402"/>
      <c r="G50" s="1661"/>
      <c r="H50" s="1588"/>
      <c r="I50" s="1589"/>
      <c r="J50" s="1588"/>
      <c r="K50" s="1770"/>
      <c r="L50" s="1770"/>
    </row>
    <row r="51" spans="1:20" s="1765" customFormat="1" ht="24" customHeight="1">
      <c r="A51" s="1258" t="s">
        <v>1992</v>
      </c>
      <c r="B51" s="1538" t="s">
        <v>2138</v>
      </c>
      <c r="C51" s="1275"/>
      <c r="D51" s="1767"/>
      <c r="E51" s="1771"/>
      <c r="F51" s="1385"/>
      <c r="G51" s="1778"/>
      <c r="H51" s="1594"/>
      <c r="I51" s="1595"/>
      <c r="J51" s="1594"/>
      <c r="K51" s="1632"/>
      <c r="L51" s="1632"/>
    </row>
    <row r="52" spans="1:20" s="1765" customFormat="1" ht="24" customHeight="1">
      <c r="A52" s="1766" t="s">
        <v>2139</v>
      </c>
      <c r="B52" s="1538" t="s">
        <v>2140</v>
      </c>
      <c r="C52" s="1275"/>
      <c r="D52" s="1767"/>
      <c r="E52" s="1686"/>
      <c r="F52" s="1402"/>
      <c r="G52" s="1661"/>
      <c r="H52" s="1588"/>
      <c r="I52" s="1589"/>
      <c r="J52" s="1588"/>
      <c r="K52" s="1770"/>
      <c r="L52" s="1770"/>
    </row>
    <row r="53" spans="1:20" s="1765" customFormat="1" ht="24" customHeight="1">
      <c r="A53" s="1766"/>
      <c r="B53" s="1538" t="s">
        <v>1821</v>
      </c>
      <c r="C53" s="1275"/>
      <c r="D53" s="1767"/>
      <c r="E53" s="1813"/>
      <c r="F53" s="1389" t="s">
        <v>363</v>
      </c>
      <c r="G53" s="1814">
        <v>3300</v>
      </c>
      <c r="H53" s="1773">
        <f t="shared" ref="H53:H56" si="11">ROUND(E53*G53,)</f>
        <v>0</v>
      </c>
      <c r="I53" s="1815">
        <v>150</v>
      </c>
      <c r="J53" s="1773">
        <f t="shared" ref="J53:J56" si="12">ROUND(E53*I53,)</f>
        <v>0</v>
      </c>
      <c r="K53" s="1774">
        <f t="shared" ref="K53:K56" si="13">H53+J53</f>
        <v>0</v>
      </c>
      <c r="L53" s="1770"/>
    </row>
    <row r="54" spans="1:20" s="1765" customFormat="1" ht="24" customHeight="1">
      <c r="A54" s="2166"/>
      <c r="B54" s="2114" t="s">
        <v>1836</v>
      </c>
      <c r="C54" s="2108"/>
      <c r="D54" s="2109"/>
      <c r="E54" s="715"/>
      <c r="F54" s="1415" t="s">
        <v>363</v>
      </c>
      <c r="G54" s="1772">
        <v>4596</v>
      </c>
      <c r="H54" s="1343">
        <f t="shared" si="11"/>
        <v>0</v>
      </c>
      <c r="I54" s="1386">
        <v>200</v>
      </c>
      <c r="J54" s="1343">
        <f t="shared" si="12"/>
        <v>0</v>
      </c>
      <c r="K54" s="1801">
        <f t="shared" si="13"/>
        <v>0</v>
      </c>
      <c r="L54" s="1457"/>
    </row>
    <row r="55" spans="1:20" s="2116" customFormat="1" ht="24" customHeight="1">
      <c r="A55" s="2113"/>
      <c r="B55" s="2114" t="s">
        <v>1715</v>
      </c>
      <c r="C55" s="2108"/>
      <c r="D55" s="2109"/>
      <c r="E55" s="1834">
        <v>6</v>
      </c>
      <c r="F55" s="1466" t="s">
        <v>363</v>
      </c>
      <c r="G55" s="2161">
        <v>55000</v>
      </c>
      <c r="H55" s="2156">
        <f t="shared" si="11"/>
        <v>330000</v>
      </c>
      <c r="I55" s="2162">
        <v>500</v>
      </c>
      <c r="J55" s="2156">
        <f t="shared" si="12"/>
        <v>3000</v>
      </c>
      <c r="K55" s="1853">
        <f t="shared" si="13"/>
        <v>333000</v>
      </c>
      <c r="L55" s="1415"/>
      <c r="M55" s="2120"/>
      <c r="N55" s="2120"/>
      <c r="O55" s="2120"/>
      <c r="P55" s="2120"/>
      <c r="Q55" s="2120"/>
      <c r="R55" s="2120"/>
      <c r="S55" s="2120"/>
      <c r="T55" s="2120"/>
    </row>
    <row r="56" spans="1:20" s="2116" customFormat="1" ht="24" customHeight="1">
      <c r="A56" s="2113" t="s">
        <v>2036</v>
      </c>
      <c r="B56" s="2114" t="s">
        <v>2727</v>
      </c>
      <c r="C56" s="2108"/>
      <c r="D56" s="2109"/>
      <c r="E56" s="715"/>
      <c r="F56" s="1466" t="s">
        <v>363</v>
      </c>
      <c r="G56" s="2161">
        <v>16150</v>
      </c>
      <c r="H56" s="2156">
        <f t="shared" si="11"/>
        <v>0</v>
      </c>
      <c r="I56" s="2162">
        <v>500</v>
      </c>
      <c r="J56" s="2156">
        <f t="shared" si="12"/>
        <v>0</v>
      </c>
      <c r="K56" s="1853">
        <f t="shared" si="13"/>
        <v>0</v>
      </c>
      <c r="L56" s="1415"/>
      <c r="M56" s="2120"/>
      <c r="N56" s="2120"/>
      <c r="O56" s="2120"/>
      <c r="P56" s="2120"/>
      <c r="Q56" s="2120"/>
      <c r="R56" s="2120"/>
      <c r="S56" s="2120"/>
      <c r="T56" s="2120"/>
    </row>
    <row r="57" spans="1:20" s="1765" customFormat="1" ht="24" customHeight="1">
      <c r="A57" s="2166"/>
      <c r="B57" s="2114" t="s">
        <v>1117</v>
      </c>
      <c r="C57" s="2108"/>
      <c r="D57" s="2109"/>
      <c r="E57" s="825"/>
      <c r="F57" s="1457"/>
      <c r="G57" s="1769"/>
      <c r="H57" s="820"/>
      <c r="I57" s="1455"/>
      <c r="J57" s="820"/>
      <c r="K57" s="1457"/>
      <c r="L57" s="1457"/>
    </row>
    <row r="58" spans="1:20" s="1765" customFormat="1" ht="24" customHeight="1">
      <c r="A58" s="2166"/>
      <c r="B58" s="2114" t="s">
        <v>1118</v>
      </c>
      <c r="C58" s="2108"/>
      <c r="D58" s="2109"/>
      <c r="E58" s="825"/>
      <c r="F58" s="1457"/>
      <c r="G58" s="1769"/>
      <c r="H58" s="820"/>
      <c r="I58" s="1455"/>
      <c r="J58" s="820"/>
      <c r="K58" s="1457"/>
      <c r="L58" s="1457"/>
    </row>
    <row r="59" spans="1:20" s="1199" customFormat="1" ht="24" customHeight="1">
      <c r="A59" s="1578"/>
      <c r="B59" s="2257" t="str">
        <f>"รวมราคารายการที่ "&amp;A50</f>
        <v>รวมราคารายการที่ 7.2</v>
      </c>
      <c r="C59" s="2258"/>
      <c r="D59" s="2259"/>
      <c r="E59" s="1579"/>
      <c r="F59" s="1579"/>
      <c r="G59" s="1580"/>
      <c r="H59" s="1581">
        <f>SUM(H50:H58)</f>
        <v>330000</v>
      </c>
      <c r="I59" s="1582"/>
      <c r="J59" s="1581">
        <f>SUM(J50:J58)</f>
        <v>3000</v>
      </c>
      <c r="K59" s="1581">
        <f>SUM(K50:K58)</f>
        <v>333000</v>
      </c>
      <c r="L59" s="1583"/>
    </row>
    <row r="60" spans="1:20" s="1765" customFormat="1" ht="24" customHeight="1">
      <c r="A60" s="1291" t="s">
        <v>2306</v>
      </c>
      <c r="B60" s="1852" t="s">
        <v>2255</v>
      </c>
      <c r="C60" s="1293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766" t="s">
        <v>2043</v>
      </c>
      <c r="B61" s="1538" t="s">
        <v>2256</v>
      </c>
      <c r="C61" s="1275"/>
      <c r="D61" s="1767"/>
      <c r="E61" s="1686"/>
      <c r="F61" s="1402"/>
      <c r="G61" s="1661"/>
      <c r="H61" s="1588"/>
      <c r="I61" s="1589"/>
      <c r="J61" s="1588"/>
      <c r="K61" s="1770"/>
      <c r="L61" s="1770"/>
    </row>
    <row r="62" spans="1:20" s="1765" customFormat="1" ht="24" customHeight="1">
      <c r="A62" s="1766"/>
      <c r="B62" s="1538" t="s">
        <v>2257</v>
      </c>
      <c r="C62" s="1275"/>
      <c r="D62" s="1767"/>
      <c r="E62" s="1686"/>
      <c r="F62" s="1402" t="s">
        <v>363</v>
      </c>
      <c r="G62" s="1661">
        <v>650</v>
      </c>
      <c r="H62" s="1588">
        <f t="shared" ref="H62:H65" si="14">ROUND(E62*G62,)</f>
        <v>0</v>
      </c>
      <c r="I62" s="1589">
        <v>150</v>
      </c>
      <c r="J62" s="1588">
        <f t="shared" ref="J62:J65" si="15">ROUND(E62*I62,)</f>
        <v>0</v>
      </c>
      <c r="K62" s="1770">
        <f t="shared" ref="K62:K65" si="16">H62+J62</f>
        <v>0</v>
      </c>
      <c r="L62" s="1770"/>
    </row>
    <row r="63" spans="1:20" s="1765" customFormat="1" ht="24" customHeight="1">
      <c r="A63" s="1766" t="s">
        <v>2047</v>
      </c>
      <c r="B63" s="1538" t="s">
        <v>2258</v>
      </c>
      <c r="C63" s="1275"/>
      <c r="D63" s="1767"/>
      <c r="E63" s="1686">
        <v>6</v>
      </c>
      <c r="F63" s="1402" t="s">
        <v>363</v>
      </c>
      <c r="G63" s="1661">
        <v>2400</v>
      </c>
      <c r="H63" s="1588">
        <f t="shared" si="14"/>
        <v>14400</v>
      </c>
      <c r="I63" s="1589">
        <v>150</v>
      </c>
      <c r="J63" s="1588">
        <f t="shared" si="15"/>
        <v>900</v>
      </c>
      <c r="K63" s="1770">
        <f t="shared" si="16"/>
        <v>15300</v>
      </c>
      <c r="L63" s="1770"/>
    </row>
    <row r="64" spans="1:20" s="1765" customFormat="1" ht="24" customHeight="1">
      <c r="A64" s="1766" t="s">
        <v>2155</v>
      </c>
      <c r="B64" s="1538" t="s">
        <v>2259</v>
      </c>
      <c r="C64" s="1275"/>
      <c r="D64" s="1767"/>
      <c r="E64" s="1686">
        <v>6</v>
      </c>
      <c r="F64" s="1402" t="s">
        <v>363</v>
      </c>
      <c r="G64" s="1661">
        <v>2200</v>
      </c>
      <c r="H64" s="1588">
        <f t="shared" si="14"/>
        <v>13200</v>
      </c>
      <c r="I64" s="1589">
        <v>150</v>
      </c>
      <c r="J64" s="1588">
        <f t="shared" si="15"/>
        <v>900</v>
      </c>
      <c r="K64" s="1770">
        <f t="shared" si="16"/>
        <v>14100</v>
      </c>
      <c r="L64" s="1770"/>
    </row>
    <row r="65" spans="1:12" s="1765" customFormat="1" ht="24" customHeight="1">
      <c r="A65" s="1766" t="s">
        <v>2165</v>
      </c>
      <c r="B65" s="1538" t="s">
        <v>2261</v>
      </c>
      <c r="C65" s="1275"/>
      <c r="D65" s="1767"/>
      <c r="E65" s="1686"/>
      <c r="F65" s="1402" t="s">
        <v>1104</v>
      </c>
      <c r="G65" s="1661">
        <f>15*2500</f>
        <v>37500</v>
      </c>
      <c r="H65" s="1588">
        <f t="shared" si="14"/>
        <v>0</v>
      </c>
      <c r="I65" s="1589">
        <f>G65*0.3</f>
        <v>11250</v>
      </c>
      <c r="J65" s="1588">
        <f t="shared" si="15"/>
        <v>0</v>
      </c>
      <c r="K65" s="1770">
        <f t="shared" si="16"/>
        <v>0</v>
      </c>
      <c r="L65" s="1770"/>
    </row>
    <row r="66" spans="1:12" s="1765" customFormat="1" ht="24" customHeight="1">
      <c r="A66" s="1766"/>
      <c r="B66" s="1538" t="s">
        <v>1117</v>
      </c>
      <c r="C66" s="1275"/>
      <c r="D66" s="1767"/>
      <c r="E66" s="1686"/>
      <c r="F66" s="1402"/>
      <c r="G66" s="1661"/>
      <c r="H66" s="1588"/>
      <c r="I66" s="1589"/>
      <c r="J66" s="1588"/>
      <c r="K66" s="1770"/>
      <c r="L66" s="1770"/>
    </row>
    <row r="67" spans="1:12" s="1765" customFormat="1" ht="24" customHeight="1">
      <c r="A67" s="1584"/>
      <c r="B67" s="1538" t="s">
        <v>1896</v>
      </c>
      <c r="C67" s="1275"/>
      <c r="D67" s="1767"/>
      <c r="E67" s="1686"/>
      <c r="F67" s="1402"/>
      <c r="G67" s="1661"/>
      <c r="H67" s="1588"/>
      <c r="I67" s="1589"/>
      <c r="J67" s="1588"/>
      <c r="K67" s="1770"/>
      <c r="L67" s="1770"/>
    </row>
    <row r="68" spans="1:12" s="1765" customFormat="1" ht="24" customHeight="1">
      <c r="A68" s="1584"/>
      <c r="B68" s="1538" t="s">
        <v>1896</v>
      </c>
      <c r="C68" s="1275"/>
      <c r="D68" s="1767"/>
      <c r="E68" s="1686"/>
      <c r="F68" s="1402"/>
      <c r="G68" s="1661"/>
      <c r="H68" s="1588"/>
      <c r="I68" s="1589"/>
      <c r="J68" s="1588"/>
      <c r="K68" s="1770"/>
      <c r="L68" s="1770"/>
    </row>
    <row r="69" spans="1:12" s="1765" customFormat="1" ht="24" customHeight="1">
      <c r="A69" s="1766"/>
      <c r="B69" s="1538"/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12" s="1765" customFormat="1" ht="24" customHeight="1">
      <c r="A70" s="1578"/>
      <c r="B70" s="2257" t="str">
        <f>"รวมราคารายการที่ "&amp;A60</f>
        <v>รวมราคารายการที่ 7.3</v>
      </c>
      <c r="C70" s="2258"/>
      <c r="D70" s="2259"/>
      <c r="E70" s="1579"/>
      <c r="F70" s="1579"/>
      <c r="G70" s="1580"/>
      <c r="H70" s="1581">
        <f>SUM(H61:H69)</f>
        <v>27600</v>
      </c>
      <c r="I70" s="1582"/>
      <c r="J70" s="1581">
        <f>SUM(J61:J69)</f>
        <v>1800</v>
      </c>
      <c r="K70" s="1581">
        <f>SUM(K61:K69)</f>
        <v>29400</v>
      </c>
      <c r="L70" s="1583"/>
    </row>
    <row r="71" spans="1:12" s="1765" customFormat="1" ht="24" customHeight="1">
      <c r="A71" s="1291">
        <v>7.4</v>
      </c>
      <c r="B71" s="1783" t="s">
        <v>2042</v>
      </c>
      <c r="C71" s="1294"/>
      <c r="D71" s="1777"/>
      <c r="E71" s="1686"/>
      <c r="F71" s="1402"/>
      <c r="G71" s="1661"/>
      <c r="H71" s="1588"/>
      <c r="I71" s="1589"/>
      <c r="J71" s="1588"/>
      <c r="K71" s="1770"/>
      <c r="L71" s="1770"/>
    </row>
    <row r="72" spans="1:12" s="1765" customFormat="1" ht="24" customHeight="1">
      <c r="A72" s="1258" t="s">
        <v>2054</v>
      </c>
      <c r="B72" s="1538" t="s">
        <v>2044</v>
      </c>
      <c r="C72" s="1275"/>
      <c r="D72" s="1767"/>
      <c r="E72" s="1771"/>
      <c r="F72" s="1385"/>
      <c r="G72" s="1778"/>
      <c r="H72" s="1594"/>
      <c r="I72" s="1595"/>
      <c r="J72" s="1594"/>
      <c r="K72" s="1632"/>
      <c r="L72" s="1632"/>
    </row>
    <row r="73" spans="1:12" s="1765" customFormat="1" ht="24" customHeight="1">
      <c r="A73" s="1189" t="s">
        <v>2166</v>
      </c>
      <c r="B73" s="1538" t="s">
        <v>2167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12" s="1765" customFormat="1" ht="24" customHeight="1">
      <c r="A74" s="1258"/>
      <c r="B74" s="1538" t="s">
        <v>2168</v>
      </c>
      <c r="C74" s="1275"/>
      <c r="D74" s="1767"/>
      <c r="E74" s="1834"/>
      <c r="F74" s="1788" t="s">
        <v>226</v>
      </c>
      <c r="G74" s="2020">
        <v>69.5</v>
      </c>
      <c r="H74" s="1773">
        <f>ROUND(E74*G74,)</f>
        <v>0</v>
      </c>
      <c r="I74" s="2011">
        <v>30</v>
      </c>
      <c r="J74" s="2008">
        <f>ROUND(E74*I74,)</f>
        <v>0</v>
      </c>
      <c r="K74" s="1774">
        <f t="shared" ref="K74:K84" si="17">H74+J74</f>
        <v>0</v>
      </c>
      <c r="L74" s="1632"/>
    </row>
    <row r="75" spans="1:12" s="1765" customFormat="1" ht="24" customHeight="1">
      <c r="A75" s="1258"/>
      <c r="B75" s="1538" t="s">
        <v>1901</v>
      </c>
      <c r="C75" s="1275"/>
      <c r="D75" s="1767"/>
      <c r="E75" s="1771"/>
      <c r="F75" s="1358" t="s">
        <v>226</v>
      </c>
      <c r="G75" s="1558">
        <v>103.5</v>
      </c>
      <c r="H75" s="1773">
        <f t="shared" ref="H75:H84" si="18">ROUND(E75*G75,)</f>
        <v>0</v>
      </c>
      <c r="I75" s="1332">
        <v>45</v>
      </c>
      <c r="J75" s="2008">
        <f t="shared" ref="J75:J84" si="19">ROUND(E75*I75,)</f>
        <v>0</v>
      </c>
      <c r="K75" s="1774">
        <f t="shared" si="17"/>
        <v>0</v>
      </c>
      <c r="L75" s="1632"/>
    </row>
    <row r="76" spans="1:12" s="1765" customFormat="1" ht="24" customHeight="1">
      <c r="A76" s="1258"/>
      <c r="B76" s="1538" t="s">
        <v>1338</v>
      </c>
      <c r="C76" s="1275"/>
      <c r="D76" s="1767"/>
      <c r="E76" s="1771"/>
      <c r="F76" s="1358" t="s">
        <v>226</v>
      </c>
      <c r="G76" s="1558">
        <v>140</v>
      </c>
      <c r="H76" s="1773">
        <f t="shared" si="18"/>
        <v>0</v>
      </c>
      <c r="I76" s="1332">
        <v>60</v>
      </c>
      <c r="J76" s="2008">
        <f t="shared" si="19"/>
        <v>0</v>
      </c>
      <c r="K76" s="1774">
        <f t="shared" si="17"/>
        <v>0</v>
      </c>
      <c r="L76" s="1632"/>
    </row>
    <row r="77" spans="1:12" s="1765" customFormat="1" ht="24" customHeight="1">
      <c r="A77" s="1258"/>
      <c r="B77" s="1538" t="s">
        <v>1339</v>
      </c>
      <c r="C77" s="1275"/>
      <c r="D77" s="2109"/>
      <c r="E77" s="715"/>
      <c r="F77" s="1262" t="s">
        <v>226</v>
      </c>
      <c r="G77" s="819">
        <v>167</v>
      </c>
      <c r="H77" s="1773">
        <f t="shared" si="18"/>
        <v>0</v>
      </c>
      <c r="I77" s="2007">
        <v>70</v>
      </c>
      <c r="J77" s="2008">
        <f t="shared" si="19"/>
        <v>0</v>
      </c>
      <c r="K77" s="1774">
        <f t="shared" si="17"/>
        <v>0</v>
      </c>
      <c r="L77" s="1632"/>
    </row>
    <row r="78" spans="1:12" s="1765" customFormat="1" ht="24" customHeight="1">
      <c r="A78" s="1258"/>
      <c r="B78" s="1538" t="s">
        <v>1340</v>
      </c>
      <c r="C78" s="1275"/>
      <c r="D78" s="2109"/>
      <c r="E78" s="715"/>
      <c r="F78" s="1262" t="s">
        <v>226</v>
      </c>
      <c r="G78" s="819">
        <v>225</v>
      </c>
      <c r="H78" s="1773">
        <f t="shared" si="18"/>
        <v>0</v>
      </c>
      <c r="I78" s="2007">
        <v>95</v>
      </c>
      <c r="J78" s="2008">
        <f t="shared" si="19"/>
        <v>0</v>
      </c>
      <c r="K78" s="1774">
        <f t="shared" si="17"/>
        <v>0</v>
      </c>
      <c r="L78" s="1632"/>
    </row>
    <row r="79" spans="1:12" s="1765" customFormat="1" ht="24" customHeight="1">
      <c r="A79" s="1804"/>
      <c r="B79" s="1780" t="s">
        <v>1341</v>
      </c>
      <c r="C79" s="1260"/>
      <c r="D79" s="2109"/>
      <c r="E79" s="825">
        <f>(78*2)</f>
        <v>156</v>
      </c>
      <c r="F79" s="1262" t="s">
        <v>226</v>
      </c>
      <c r="G79" s="2021">
        <v>357</v>
      </c>
      <c r="H79" s="1773">
        <f t="shared" si="18"/>
        <v>55692</v>
      </c>
      <c r="I79" s="819">
        <v>150</v>
      </c>
      <c r="J79" s="2008">
        <f t="shared" si="19"/>
        <v>23400</v>
      </c>
      <c r="K79" s="1774">
        <f t="shared" si="17"/>
        <v>79092</v>
      </c>
      <c r="L79" s="1415"/>
    </row>
    <row r="80" spans="1:12" s="1765" customFormat="1" ht="24" customHeight="1">
      <c r="A80" s="1804"/>
      <c r="B80" s="1780" t="s">
        <v>1342</v>
      </c>
      <c r="C80" s="1260"/>
      <c r="D80" s="2109"/>
      <c r="E80" s="825">
        <f>(78*2*1.1)</f>
        <v>171.60000000000002</v>
      </c>
      <c r="F80" s="1262" t="s">
        <v>226</v>
      </c>
      <c r="G80" s="2021">
        <v>467</v>
      </c>
      <c r="H80" s="1773">
        <f t="shared" si="18"/>
        <v>80137</v>
      </c>
      <c r="I80" s="819">
        <v>200</v>
      </c>
      <c r="J80" s="2008">
        <f t="shared" si="19"/>
        <v>34320</v>
      </c>
      <c r="K80" s="1774">
        <f t="shared" si="17"/>
        <v>114457</v>
      </c>
      <c r="L80" s="1415"/>
    </row>
    <row r="81" spans="1:15" s="1765" customFormat="1" ht="24" customHeight="1">
      <c r="A81" s="1804"/>
      <c r="B81" s="1780" t="s">
        <v>1111</v>
      </c>
      <c r="C81" s="1260"/>
      <c r="D81" s="2109"/>
      <c r="E81" s="825">
        <f>51.5*2*1.1</f>
        <v>113.30000000000001</v>
      </c>
      <c r="F81" s="1262" t="s">
        <v>226</v>
      </c>
      <c r="G81" s="2021">
        <v>665</v>
      </c>
      <c r="H81" s="1773">
        <f t="shared" si="18"/>
        <v>75345</v>
      </c>
      <c r="I81" s="819">
        <v>280</v>
      </c>
      <c r="J81" s="2008">
        <f t="shared" si="19"/>
        <v>31724</v>
      </c>
      <c r="K81" s="1774">
        <f t="shared" si="17"/>
        <v>107069</v>
      </c>
      <c r="L81" s="1415"/>
    </row>
    <row r="82" spans="1:15" s="1765" customFormat="1" ht="24" customHeight="1">
      <c r="A82" s="1258"/>
      <c r="B82" s="1538" t="s">
        <v>1719</v>
      </c>
      <c r="C82" s="1275"/>
      <c r="D82" s="2109"/>
      <c r="E82" s="715">
        <v>1</v>
      </c>
      <c r="F82" s="1415" t="s">
        <v>1104</v>
      </c>
      <c r="G82" s="1772">
        <f>ROUND(SUM(H74:H81)*50%,)</f>
        <v>105587</v>
      </c>
      <c r="H82" s="1264">
        <f t="shared" si="18"/>
        <v>105587</v>
      </c>
      <c r="I82" s="1595">
        <f>ROUND(G82*0.3,)</f>
        <v>31676</v>
      </c>
      <c r="J82" s="1264">
        <f t="shared" si="19"/>
        <v>31676</v>
      </c>
      <c r="K82" s="1273">
        <f t="shared" si="17"/>
        <v>137263</v>
      </c>
      <c r="L82" s="1632"/>
    </row>
    <row r="83" spans="1:15" s="1765" customFormat="1" ht="24" customHeight="1">
      <c r="A83" s="1258"/>
      <c r="B83" s="1538" t="s">
        <v>1720</v>
      </c>
      <c r="C83" s="1275"/>
      <c r="D83" s="2109"/>
      <c r="E83" s="715">
        <v>1</v>
      </c>
      <c r="F83" s="1415" t="s">
        <v>1104</v>
      </c>
      <c r="G83" s="1772">
        <f>ROUND(SUM(H73:H81)*20%,)</f>
        <v>42235</v>
      </c>
      <c r="H83" s="1264">
        <f t="shared" si="18"/>
        <v>42235</v>
      </c>
      <c r="I83" s="1595">
        <f>ROUND(G83*0.3,)</f>
        <v>12671</v>
      </c>
      <c r="J83" s="1264">
        <f t="shared" si="19"/>
        <v>12671</v>
      </c>
      <c r="K83" s="1273">
        <f t="shared" si="17"/>
        <v>54906</v>
      </c>
      <c r="L83" s="1632"/>
    </row>
    <row r="84" spans="1:15" s="1765" customFormat="1" ht="24" customHeight="1">
      <c r="A84" s="1258"/>
      <c r="B84" s="1538" t="s">
        <v>1721</v>
      </c>
      <c r="C84" s="1275"/>
      <c r="D84" s="2109"/>
      <c r="E84" s="715">
        <v>1</v>
      </c>
      <c r="F84" s="1415" t="s">
        <v>1104</v>
      </c>
      <c r="G84" s="1772">
        <f>ROUND(SUM(H73:H81)*10%,)</f>
        <v>21117</v>
      </c>
      <c r="H84" s="1264">
        <f t="shared" si="18"/>
        <v>21117</v>
      </c>
      <c r="I84" s="1595">
        <f>ROUND(G84*0.3,)</f>
        <v>6335</v>
      </c>
      <c r="J84" s="1264">
        <f t="shared" si="19"/>
        <v>6335</v>
      </c>
      <c r="K84" s="1273">
        <f t="shared" si="17"/>
        <v>27452</v>
      </c>
      <c r="L84" s="1632"/>
    </row>
    <row r="85" spans="1:15" s="1765" customFormat="1" ht="24" customHeight="1">
      <c r="A85" s="1258" t="s">
        <v>2056</v>
      </c>
      <c r="B85" s="1538" t="s">
        <v>2050</v>
      </c>
      <c r="C85" s="1275"/>
      <c r="D85" s="2109"/>
      <c r="E85" s="715"/>
      <c r="F85" s="1415"/>
      <c r="G85" s="1772"/>
      <c r="H85" s="1594"/>
      <c r="I85" s="1595"/>
      <c r="J85" s="1594"/>
      <c r="K85" s="1632"/>
      <c r="L85" s="1632"/>
    </row>
    <row r="86" spans="1:15" s="1765" customFormat="1" ht="24" customHeight="1">
      <c r="A86" s="1258"/>
      <c r="B86" s="1538" t="s">
        <v>2168</v>
      </c>
      <c r="C86" s="1275"/>
      <c r="D86" s="2109"/>
      <c r="E86" s="1834"/>
      <c r="F86" s="2154" t="s">
        <v>226</v>
      </c>
      <c r="G86" s="819">
        <v>12</v>
      </c>
      <c r="H86" s="1343">
        <f t="shared" ref="H86:H93" si="20">ROUND(E86*G86,)</f>
        <v>0</v>
      </c>
      <c r="I86" s="819">
        <v>30</v>
      </c>
      <c r="J86" s="2005">
        <f t="shared" ref="J86:J93" si="21">ROUND(E86*I86,)</f>
        <v>0</v>
      </c>
      <c r="K86" s="1801">
        <f t="shared" ref="K86:K93" si="22">H86+J86</f>
        <v>0</v>
      </c>
      <c r="L86" s="2082" t="s">
        <v>2667</v>
      </c>
      <c r="M86" s="2002"/>
      <c r="N86" s="2009">
        <v>48.23</v>
      </c>
      <c r="O86" s="1199">
        <f>ROUND(N86/4,)</f>
        <v>12</v>
      </c>
    </row>
    <row r="87" spans="1:15" s="1765" customFormat="1" ht="24" customHeight="1">
      <c r="A87" s="1258"/>
      <c r="B87" s="1538" t="s">
        <v>1901</v>
      </c>
      <c r="C87" s="1275"/>
      <c r="D87" s="2109"/>
      <c r="E87" s="715"/>
      <c r="F87" s="1262" t="s">
        <v>226</v>
      </c>
      <c r="G87" s="819">
        <v>16</v>
      </c>
      <c r="H87" s="1369">
        <f t="shared" si="20"/>
        <v>0</v>
      </c>
      <c r="I87" s="2007">
        <v>30</v>
      </c>
      <c r="J87" s="2008">
        <f t="shared" si="21"/>
        <v>0</v>
      </c>
      <c r="K87" s="1774">
        <f t="shared" si="22"/>
        <v>0</v>
      </c>
      <c r="L87" s="2082" t="s">
        <v>2667</v>
      </c>
      <c r="M87" s="2002"/>
      <c r="N87" s="1765">
        <v>63.7</v>
      </c>
      <c r="O87" s="1199">
        <f>ROUND(N87/4,)</f>
        <v>16</v>
      </c>
    </row>
    <row r="88" spans="1:15" s="1765" customFormat="1" ht="24" customHeight="1">
      <c r="A88" s="1258"/>
      <c r="B88" s="1538" t="s">
        <v>2263</v>
      </c>
      <c r="C88" s="1275"/>
      <c r="D88" s="2109"/>
      <c r="E88" s="715"/>
      <c r="F88" s="1262" t="s">
        <v>226</v>
      </c>
      <c r="G88" s="819">
        <v>20</v>
      </c>
      <c r="H88" s="1369">
        <f t="shared" si="20"/>
        <v>0</v>
      </c>
      <c r="I88" s="2007">
        <v>30</v>
      </c>
      <c r="J88" s="2008">
        <f t="shared" si="21"/>
        <v>0</v>
      </c>
      <c r="K88" s="1774">
        <f t="shared" si="22"/>
        <v>0</v>
      </c>
      <c r="L88" s="2082" t="s">
        <v>2667</v>
      </c>
      <c r="M88" s="2002"/>
      <c r="N88" s="2024">
        <v>79.17</v>
      </c>
      <c r="O88" s="1199">
        <f>ROUND(N88/4,)</f>
        <v>20</v>
      </c>
    </row>
    <row r="89" spans="1:15" s="1765" customFormat="1" ht="24" customHeight="1">
      <c r="A89" s="1258"/>
      <c r="B89" s="1538" t="s">
        <v>1339</v>
      </c>
      <c r="C89" s="1275"/>
      <c r="D89" s="2109"/>
      <c r="E89" s="715">
        <f>2*6</f>
        <v>12</v>
      </c>
      <c r="F89" s="1262" t="s">
        <v>226</v>
      </c>
      <c r="G89" s="819">
        <v>26</v>
      </c>
      <c r="H89" s="1369">
        <f t="shared" si="20"/>
        <v>312</v>
      </c>
      <c r="I89" s="2007">
        <v>30</v>
      </c>
      <c r="J89" s="2008">
        <f t="shared" si="21"/>
        <v>360</v>
      </c>
      <c r="K89" s="1774">
        <f t="shared" si="22"/>
        <v>672</v>
      </c>
      <c r="L89" s="2082" t="s">
        <v>2667</v>
      </c>
      <c r="M89" s="2002"/>
      <c r="N89" s="2024">
        <v>103.74</v>
      </c>
      <c r="O89" s="1199">
        <f>ROUND(N89/4,)</f>
        <v>26</v>
      </c>
    </row>
    <row r="90" spans="1:15" s="1765" customFormat="1" ht="24" customHeight="1">
      <c r="A90" s="1258"/>
      <c r="B90" s="1538" t="s">
        <v>1340</v>
      </c>
      <c r="C90" s="1275"/>
      <c r="D90" s="2109"/>
      <c r="E90" s="715"/>
      <c r="F90" s="1262" t="s">
        <v>226</v>
      </c>
      <c r="G90" s="819">
        <v>41</v>
      </c>
      <c r="H90" s="1369">
        <f t="shared" si="20"/>
        <v>0</v>
      </c>
      <c r="I90" s="2007">
        <v>40</v>
      </c>
      <c r="J90" s="2008">
        <f t="shared" si="21"/>
        <v>0</v>
      </c>
      <c r="K90" s="1774">
        <f t="shared" si="22"/>
        <v>0</v>
      </c>
      <c r="L90" s="2082" t="s">
        <v>2667</v>
      </c>
      <c r="M90" s="2002"/>
      <c r="N90" s="2024">
        <v>163.80000000000001</v>
      </c>
      <c r="O90" s="1199">
        <f>ROUND(N90/4,)</f>
        <v>41</v>
      </c>
    </row>
    <row r="91" spans="1:15" s="1765" customFormat="1" ht="24" customHeight="1">
      <c r="A91" s="1258"/>
      <c r="B91" s="1538" t="s">
        <v>1719</v>
      </c>
      <c r="C91" s="1275"/>
      <c r="D91" s="2109"/>
      <c r="E91" s="715">
        <v>1</v>
      </c>
      <c r="F91" s="1415" t="s">
        <v>1104</v>
      </c>
      <c r="G91" s="1772">
        <f>SUM(H86:H90)*50%</f>
        <v>156</v>
      </c>
      <c r="H91" s="1264">
        <f t="shared" si="20"/>
        <v>156</v>
      </c>
      <c r="I91" s="1595">
        <f>ROUND(G91*0.3,)</f>
        <v>47</v>
      </c>
      <c r="J91" s="1264">
        <f t="shared" si="21"/>
        <v>47</v>
      </c>
      <c r="K91" s="1273">
        <f t="shared" si="22"/>
        <v>203</v>
      </c>
      <c r="L91" s="1632"/>
    </row>
    <row r="92" spans="1:15" s="1765" customFormat="1" ht="24" customHeight="1">
      <c r="A92" s="1258"/>
      <c r="B92" s="1538" t="s">
        <v>1720</v>
      </c>
      <c r="C92" s="1275"/>
      <c r="D92" s="2109"/>
      <c r="E92" s="715">
        <v>1</v>
      </c>
      <c r="F92" s="1415" t="s">
        <v>1104</v>
      </c>
      <c r="G92" s="1772">
        <f>ROUND(SUM(H86:H90)*30%,)</f>
        <v>94</v>
      </c>
      <c r="H92" s="1264">
        <f t="shared" si="20"/>
        <v>94</v>
      </c>
      <c r="I92" s="1595">
        <f>ROUND(G92*0.3,)</f>
        <v>28</v>
      </c>
      <c r="J92" s="1264">
        <f t="shared" si="21"/>
        <v>28</v>
      </c>
      <c r="K92" s="1273">
        <f t="shared" si="22"/>
        <v>122</v>
      </c>
      <c r="L92" s="1632"/>
    </row>
    <row r="93" spans="1:15" s="1765" customFormat="1" ht="24" customHeight="1">
      <c r="A93" s="1258"/>
      <c r="B93" s="1538" t="s">
        <v>1721</v>
      </c>
      <c r="C93" s="1275"/>
      <c r="D93" s="1767"/>
      <c r="E93" s="1771">
        <v>1</v>
      </c>
      <c r="F93" s="1385" t="s">
        <v>1104</v>
      </c>
      <c r="G93" s="1778">
        <f>ROUND(SUM(H86:H90)*10%,)</f>
        <v>31</v>
      </c>
      <c r="H93" s="1264">
        <f t="shared" si="20"/>
        <v>31</v>
      </c>
      <c r="I93" s="1595">
        <f>ROUND(G93*0.3,)</f>
        <v>9</v>
      </c>
      <c r="J93" s="1264">
        <f t="shared" si="21"/>
        <v>9</v>
      </c>
      <c r="K93" s="1273">
        <f t="shared" si="22"/>
        <v>40</v>
      </c>
      <c r="L93" s="1632"/>
    </row>
    <row r="94" spans="1:15" s="1765" customFormat="1" ht="24" customHeight="1">
      <c r="A94" s="1258"/>
      <c r="B94" s="1538" t="s">
        <v>1117</v>
      </c>
      <c r="C94" s="1275"/>
      <c r="D94" s="1767"/>
      <c r="E94" s="1771"/>
      <c r="F94" s="1385"/>
      <c r="G94" s="1778"/>
      <c r="H94" s="1594"/>
      <c r="I94" s="1595"/>
      <c r="J94" s="1594"/>
      <c r="K94" s="1632"/>
      <c r="L94" s="1632"/>
    </row>
    <row r="95" spans="1:15" s="1765" customFormat="1" ht="24" customHeight="1">
      <c r="A95" s="1258"/>
      <c r="B95" s="1538"/>
      <c r="C95" s="1275"/>
      <c r="D95" s="1767"/>
      <c r="E95" s="1771"/>
      <c r="F95" s="1385"/>
      <c r="G95" s="1778"/>
      <c r="H95" s="1594"/>
      <c r="I95" s="1595"/>
      <c r="J95" s="1594"/>
      <c r="K95" s="1632"/>
      <c r="L95" s="1632"/>
    </row>
    <row r="96" spans="1:15" s="1765" customFormat="1" ht="24" customHeight="1">
      <c r="A96" s="1258"/>
      <c r="B96" s="1538"/>
      <c r="C96" s="1275"/>
      <c r="D96" s="1767"/>
      <c r="E96" s="1771"/>
      <c r="F96" s="1385"/>
      <c r="G96" s="1778"/>
      <c r="H96" s="1594"/>
      <c r="I96" s="1595"/>
      <c r="J96" s="1594"/>
      <c r="K96" s="1632"/>
      <c r="L96" s="1632"/>
    </row>
    <row r="97" spans="1:12" s="1765" customFormat="1" ht="24" customHeight="1">
      <c r="A97" s="1791"/>
      <c r="B97" s="1792"/>
      <c r="C97" s="1486"/>
      <c r="D97" s="1822"/>
      <c r="E97" s="1823"/>
      <c r="F97" s="1500"/>
      <c r="G97" s="1824"/>
      <c r="H97" s="1825"/>
      <c r="I97" s="1826"/>
      <c r="J97" s="1825"/>
      <c r="K97" s="1833"/>
      <c r="L97" s="1833"/>
    </row>
    <row r="98" spans="1:12" s="1765" customFormat="1" ht="24" customHeight="1">
      <c r="A98" s="1578"/>
      <c r="B98" s="2257" t="str">
        <f>"รวมราคารายการที่ "&amp;A71</f>
        <v>รวมราคารายการที่ 7.4</v>
      </c>
      <c r="C98" s="2258"/>
      <c r="D98" s="2259"/>
      <c r="E98" s="1579"/>
      <c r="F98" s="1579"/>
      <c r="G98" s="1580"/>
      <c r="H98" s="1581">
        <f>SUM(H72:H97)</f>
        <v>380706</v>
      </c>
      <c r="I98" s="1582"/>
      <c r="J98" s="1581">
        <f>SUM(J72:J97)</f>
        <v>140570</v>
      </c>
      <c r="K98" s="1581">
        <f>SUM(K72:K97)</f>
        <v>521276</v>
      </c>
      <c r="L98" s="1583"/>
    </row>
    <row r="99" spans="1:12" s="1765" customFormat="1" ht="24" customHeight="1">
      <c r="A99" s="1863" t="s">
        <v>2307</v>
      </c>
      <c r="B99" s="1758" t="s">
        <v>2053</v>
      </c>
      <c r="C99" s="1250"/>
      <c r="D99" s="1251"/>
      <c r="E99" s="1794"/>
      <c r="F99" s="1253"/>
      <c r="G99" s="1721"/>
      <c r="H99" s="1255"/>
      <c r="I99" s="1256"/>
      <c r="J99" s="1255"/>
      <c r="K99" s="1502"/>
      <c r="L99" s="1502"/>
    </row>
    <row r="100" spans="1:12" s="1765" customFormat="1" ht="24" customHeight="1">
      <c r="A100" s="1258" t="s">
        <v>2062</v>
      </c>
      <c r="B100" s="1538" t="s">
        <v>2055</v>
      </c>
      <c r="C100" s="1437"/>
      <c r="D100" s="1275"/>
      <c r="E100" s="1768"/>
      <c r="F100" s="1358"/>
      <c r="G100" s="1516"/>
      <c r="H100" s="1264"/>
      <c r="I100" s="1265"/>
      <c r="J100" s="1264"/>
      <c r="K100" s="1273"/>
      <c r="L100" s="1273"/>
    </row>
    <row r="101" spans="1:12" s="1765" customFormat="1" ht="24" customHeight="1">
      <c r="A101" s="1258"/>
      <c r="B101" s="1538" t="s">
        <v>2168</v>
      </c>
      <c r="C101" s="1437"/>
      <c r="D101" s="1275"/>
      <c r="E101" s="1813">
        <f>E86</f>
        <v>0</v>
      </c>
      <c r="F101" s="1788" t="s">
        <v>226</v>
      </c>
      <c r="G101" s="1790">
        <v>59</v>
      </c>
      <c r="H101" s="1773">
        <f t="shared" ref="H101:H104" si="23">ROUND(E101*G101,)</f>
        <v>0</v>
      </c>
      <c r="I101" s="1789">
        <f>ROUND(20*0.75*1.3,)</f>
        <v>20</v>
      </c>
      <c r="J101" s="1773">
        <f t="shared" ref="J101:J104" si="24">ROUND(E101*I101,)</f>
        <v>0</v>
      </c>
      <c r="K101" s="1269">
        <f t="shared" ref="K101:K104" si="25">H101+J101</f>
        <v>0</v>
      </c>
      <c r="L101" s="1273"/>
    </row>
    <row r="102" spans="1:12" s="1765" customFormat="1" ht="24" customHeight="1">
      <c r="A102" s="1258"/>
      <c r="B102" s="1538" t="s">
        <v>1901</v>
      </c>
      <c r="C102" s="1437"/>
      <c r="D102" s="1275"/>
      <c r="E102" s="1813">
        <f>E87</f>
        <v>0</v>
      </c>
      <c r="F102" s="1358" t="s">
        <v>226</v>
      </c>
      <c r="G102" s="1516">
        <v>69</v>
      </c>
      <c r="H102" s="1264">
        <f t="shared" si="23"/>
        <v>0</v>
      </c>
      <c r="I102" s="1265">
        <f>ROUND(20*1*1.3,)</f>
        <v>26</v>
      </c>
      <c r="J102" s="1264">
        <f t="shared" si="24"/>
        <v>0</v>
      </c>
      <c r="K102" s="1273">
        <f t="shared" si="25"/>
        <v>0</v>
      </c>
      <c r="L102" s="1273"/>
    </row>
    <row r="103" spans="1:12" s="1765" customFormat="1" ht="24" customHeight="1">
      <c r="A103" s="1258"/>
      <c r="B103" s="1538" t="s">
        <v>1338</v>
      </c>
      <c r="C103" s="1437"/>
      <c r="D103" s="1275"/>
      <c r="E103" s="1813">
        <f>E88</f>
        <v>0</v>
      </c>
      <c r="F103" s="1358" t="s">
        <v>226</v>
      </c>
      <c r="G103" s="1516">
        <v>92</v>
      </c>
      <c r="H103" s="1264">
        <f t="shared" si="23"/>
        <v>0</v>
      </c>
      <c r="I103" s="1265">
        <f>ROUND(20*1.25*1.3,)</f>
        <v>33</v>
      </c>
      <c r="J103" s="1264">
        <f t="shared" si="24"/>
        <v>0</v>
      </c>
      <c r="K103" s="1273">
        <f t="shared" si="25"/>
        <v>0</v>
      </c>
      <c r="L103" s="1273"/>
    </row>
    <row r="104" spans="1:12" s="1765" customFormat="1" ht="24" customHeight="1">
      <c r="A104" s="1258"/>
      <c r="B104" s="1538" t="s">
        <v>1339</v>
      </c>
      <c r="C104" s="1437"/>
      <c r="D104" s="1275"/>
      <c r="E104" s="1813">
        <f>E89</f>
        <v>12</v>
      </c>
      <c r="F104" s="1358" t="s">
        <v>226</v>
      </c>
      <c r="G104" s="1516">
        <v>93</v>
      </c>
      <c r="H104" s="1264">
        <f t="shared" si="23"/>
        <v>1116</v>
      </c>
      <c r="I104" s="1265">
        <v>39</v>
      </c>
      <c r="J104" s="1264">
        <f t="shared" si="24"/>
        <v>468</v>
      </c>
      <c r="K104" s="1273">
        <f t="shared" si="25"/>
        <v>1584</v>
      </c>
      <c r="L104" s="1273"/>
    </row>
    <row r="105" spans="1:12" s="1765" customFormat="1" ht="24" customHeight="1">
      <c r="A105" s="1258" t="s">
        <v>2062</v>
      </c>
      <c r="B105" s="1538" t="s">
        <v>2169</v>
      </c>
      <c r="C105" s="1437"/>
      <c r="D105" s="1275"/>
      <c r="E105" s="1768"/>
      <c r="F105" s="1358"/>
      <c r="G105" s="1516"/>
      <c r="H105" s="1264"/>
      <c r="I105" s="1265"/>
      <c r="J105" s="1264"/>
      <c r="K105" s="1273"/>
      <c r="L105" s="1273"/>
    </row>
    <row r="106" spans="1:12" s="1765" customFormat="1" ht="24" customHeight="1">
      <c r="A106" s="1258"/>
      <c r="B106" s="1538" t="s">
        <v>2168</v>
      </c>
      <c r="C106" s="1437"/>
      <c r="D106" s="1275"/>
      <c r="E106" s="1813">
        <f>E74</f>
        <v>0</v>
      </c>
      <c r="F106" s="1788" t="s">
        <v>226</v>
      </c>
      <c r="G106" s="1790">
        <v>69</v>
      </c>
      <c r="H106" s="1773">
        <f t="shared" ref="H106:H109" si="26">ROUND(E106*G106,)</f>
        <v>0</v>
      </c>
      <c r="I106" s="1789">
        <f>ROUND(20*0.75*1.3,)</f>
        <v>20</v>
      </c>
      <c r="J106" s="1773">
        <f t="shared" ref="J106:J109" si="27">ROUND(E106*I106,)</f>
        <v>0</v>
      </c>
      <c r="K106" s="1269">
        <f t="shared" ref="K106:K109" si="28">H106+J106</f>
        <v>0</v>
      </c>
      <c r="L106" s="1269"/>
    </row>
    <row r="107" spans="1:12" s="1765" customFormat="1" ht="24" customHeight="1">
      <c r="A107" s="1258"/>
      <c r="B107" s="1538" t="s">
        <v>1901</v>
      </c>
      <c r="C107" s="1437"/>
      <c r="D107" s="1275"/>
      <c r="E107" s="1771">
        <f>E75</f>
        <v>0</v>
      </c>
      <c r="F107" s="1358" t="s">
        <v>226</v>
      </c>
      <c r="G107" s="1516">
        <v>85</v>
      </c>
      <c r="H107" s="1264">
        <f t="shared" si="26"/>
        <v>0</v>
      </c>
      <c r="I107" s="1265">
        <f>ROUND(20*1*1.3,)</f>
        <v>26</v>
      </c>
      <c r="J107" s="1264">
        <f t="shared" si="27"/>
        <v>0</v>
      </c>
      <c r="K107" s="1273">
        <f t="shared" si="28"/>
        <v>0</v>
      </c>
      <c r="L107" s="1273"/>
    </row>
    <row r="108" spans="1:12" s="1765" customFormat="1" ht="24" customHeight="1">
      <c r="A108" s="1258"/>
      <c r="B108" s="1538" t="s">
        <v>1338</v>
      </c>
      <c r="C108" s="1437"/>
      <c r="D108" s="1275"/>
      <c r="E108" s="1813">
        <f>E76</f>
        <v>0</v>
      </c>
      <c r="F108" s="1788" t="s">
        <v>226</v>
      </c>
      <c r="G108" s="1515">
        <v>96</v>
      </c>
      <c r="H108" s="1369">
        <f t="shared" si="26"/>
        <v>0</v>
      </c>
      <c r="I108" s="1370">
        <v>33</v>
      </c>
      <c r="J108" s="1369">
        <f t="shared" si="27"/>
        <v>0</v>
      </c>
      <c r="K108" s="1356">
        <f t="shared" si="28"/>
        <v>0</v>
      </c>
      <c r="L108" s="1269"/>
    </row>
    <row r="109" spans="1:12" s="1765" customFormat="1" ht="24" customHeight="1">
      <c r="A109" s="1258"/>
      <c r="B109" s="1538" t="s">
        <v>1339</v>
      </c>
      <c r="C109" s="1437"/>
      <c r="D109" s="1275"/>
      <c r="E109" s="1771">
        <f>E77</f>
        <v>0</v>
      </c>
      <c r="F109" s="1358" t="s">
        <v>226</v>
      </c>
      <c r="G109" s="1515">
        <v>108</v>
      </c>
      <c r="H109" s="1369">
        <f t="shared" si="26"/>
        <v>0</v>
      </c>
      <c r="I109" s="1370">
        <v>39</v>
      </c>
      <c r="J109" s="1369">
        <f t="shared" si="27"/>
        <v>0</v>
      </c>
      <c r="K109" s="1356">
        <f t="shared" si="28"/>
        <v>0</v>
      </c>
      <c r="L109" s="1273"/>
    </row>
    <row r="110" spans="1:12" s="1765" customFormat="1" ht="24" customHeight="1">
      <c r="A110" s="1804" t="s">
        <v>2064</v>
      </c>
      <c r="B110" s="1780" t="s">
        <v>2265</v>
      </c>
      <c r="C110" s="1800"/>
      <c r="D110" s="1260"/>
      <c r="E110" s="1801"/>
      <c r="F110" s="1262"/>
      <c r="G110" s="1515"/>
      <c r="H110" s="1343"/>
      <c r="I110" s="1344"/>
      <c r="J110" s="1343"/>
      <c r="K110" s="1262"/>
      <c r="L110" s="1262"/>
    </row>
    <row r="111" spans="1:12" s="1765" customFormat="1" ht="24" customHeight="1">
      <c r="A111" s="1804"/>
      <c r="B111" s="1780" t="s">
        <v>1338</v>
      </c>
      <c r="C111" s="1800"/>
      <c r="D111" s="1260"/>
      <c r="E111" s="715"/>
      <c r="F111" s="1262" t="s">
        <v>226</v>
      </c>
      <c r="G111" s="1515">
        <v>108</v>
      </c>
      <c r="H111" s="1343">
        <f t="shared" ref="H111:H116" si="29">ROUND(E111*G111,)</f>
        <v>0</v>
      </c>
      <c r="I111" s="1344">
        <v>33</v>
      </c>
      <c r="J111" s="1343">
        <f t="shared" ref="J111:J116" si="30">ROUND(E111*I111,)</f>
        <v>0</v>
      </c>
      <c r="K111" s="1262">
        <f t="shared" ref="K111:K116" si="31">H111+J111</f>
        <v>0</v>
      </c>
      <c r="L111" s="1262"/>
    </row>
    <row r="112" spans="1:12" s="1765" customFormat="1" ht="24" customHeight="1">
      <c r="A112" s="1804"/>
      <c r="B112" s="1780" t="s">
        <v>1339</v>
      </c>
      <c r="C112" s="1260"/>
      <c r="D112" s="1781"/>
      <c r="E112" s="715"/>
      <c r="F112" s="1262" t="s">
        <v>226</v>
      </c>
      <c r="G112" s="1515">
        <v>164</v>
      </c>
      <c r="H112" s="1343">
        <f t="shared" si="29"/>
        <v>0</v>
      </c>
      <c r="I112" s="1344">
        <v>39</v>
      </c>
      <c r="J112" s="1343">
        <f t="shared" si="30"/>
        <v>0</v>
      </c>
      <c r="K112" s="1262">
        <f t="shared" si="31"/>
        <v>0</v>
      </c>
      <c r="L112" s="1415"/>
    </row>
    <row r="113" spans="1:12" s="1765" customFormat="1" ht="24" customHeight="1">
      <c r="A113" s="1784"/>
      <c r="B113" s="1780" t="s">
        <v>1340</v>
      </c>
      <c r="C113" s="1260"/>
      <c r="D113" s="1781"/>
      <c r="E113" s="825">
        <f>E78</f>
        <v>0</v>
      </c>
      <c r="F113" s="1356" t="s">
        <v>226</v>
      </c>
      <c r="G113" s="1515">
        <v>200</v>
      </c>
      <c r="H113" s="1369">
        <f t="shared" si="29"/>
        <v>0</v>
      </c>
      <c r="I113" s="1370">
        <v>52</v>
      </c>
      <c r="J113" s="1369">
        <f t="shared" si="30"/>
        <v>0</v>
      </c>
      <c r="K113" s="1356">
        <f t="shared" si="31"/>
        <v>0</v>
      </c>
      <c r="L113" s="1457"/>
    </row>
    <row r="114" spans="1:12" s="1765" customFormat="1" ht="24" customHeight="1">
      <c r="A114" s="1784"/>
      <c r="B114" s="1780" t="s">
        <v>1341</v>
      </c>
      <c r="C114" s="1260"/>
      <c r="D114" s="1781"/>
      <c r="E114" s="825">
        <f>E79</f>
        <v>156</v>
      </c>
      <c r="F114" s="1356" t="s">
        <v>226</v>
      </c>
      <c r="G114" s="1515">
        <v>256</v>
      </c>
      <c r="H114" s="1369">
        <f t="shared" si="29"/>
        <v>39936</v>
      </c>
      <c r="I114" s="1370">
        <v>65</v>
      </c>
      <c r="J114" s="1369">
        <f t="shared" si="30"/>
        <v>10140</v>
      </c>
      <c r="K114" s="1356">
        <f t="shared" si="31"/>
        <v>50076</v>
      </c>
      <c r="L114" s="1457"/>
    </row>
    <row r="115" spans="1:12" s="1765" customFormat="1" ht="24" customHeight="1">
      <c r="A115" s="1784"/>
      <c r="B115" s="1780" t="s">
        <v>1342</v>
      </c>
      <c r="C115" s="1260"/>
      <c r="D115" s="1781"/>
      <c r="E115" s="825">
        <f>E80</f>
        <v>171.60000000000002</v>
      </c>
      <c r="F115" s="1356" t="s">
        <v>226</v>
      </c>
      <c r="G115" s="1515">
        <v>302</v>
      </c>
      <c r="H115" s="1369">
        <f t="shared" si="29"/>
        <v>51823</v>
      </c>
      <c r="I115" s="1370">
        <v>78</v>
      </c>
      <c r="J115" s="1369">
        <f t="shared" si="30"/>
        <v>13385</v>
      </c>
      <c r="K115" s="1356">
        <f t="shared" si="31"/>
        <v>65208</v>
      </c>
      <c r="L115" s="1457"/>
    </row>
    <row r="116" spans="1:12" s="1765" customFormat="1" ht="24" customHeight="1">
      <c r="A116" s="1784"/>
      <c r="B116" s="1780" t="s">
        <v>1111</v>
      </c>
      <c r="C116" s="1260"/>
      <c r="D116" s="1781"/>
      <c r="E116" s="825">
        <f>E81</f>
        <v>113.30000000000001</v>
      </c>
      <c r="F116" s="1356" t="s">
        <v>226</v>
      </c>
      <c r="G116" s="1515">
        <v>367</v>
      </c>
      <c r="H116" s="1369">
        <f t="shared" si="29"/>
        <v>41581</v>
      </c>
      <c r="I116" s="1370">
        <v>104</v>
      </c>
      <c r="J116" s="1369">
        <f t="shared" si="30"/>
        <v>11783</v>
      </c>
      <c r="K116" s="1356">
        <f t="shared" si="31"/>
        <v>53364</v>
      </c>
      <c r="L116" s="1457"/>
    </row>
    <row r="117" spans="1:12" s="1765" customFormat="1" ht="24" customHeight="1">
      <c r="A117" s="1258"/>
      <c r="B117" s="1538" t="s">
        <v>1117</v>
      </c>
      <c r="C117" s="1437"/>
      <c r="D117" s="1275"/>
      <c r="E117" s="1768"/>
      <c r="F117" s="1358"/>
      <c r="G117" s="1516"/>
      <c r="H117" s="1264"/>
      <c r="I117" s="1265"/>
      <c r="J117" s="1264"/>
      <c r="K117" s="1273"/>
      <c r="L117" s="1273"/>
    </row>
    <row r="118" spans="1:12" s="1765" customFormat="1" ht="24" customHeight="1">
      <c r="A118" s="1258"/>
      <c r="B118" s="1538" t="s">
        <v>1118</v>
      </c>
      <c r="C118" s="1437"/>
      <c r="D118" s="1275"/>
      <c r="E118" s="1768"/>
      <c r="F118" s="1358"/>
      <c r="G118" s="1516"/>
      <c r="H118" s="1264"/>
      <c r="I118" s="1265"/>
      <c r="J118" s="1264"/>
      <c r="K118" s="1273"/>
      <c r="L118" s="1273"/>
    </row>
    <row r="119" spans="1:12" s="1765" customFormat="1" ht="24" customHeight="1">
      <c r="A119" s="1258"/>
      <c r="B119" s="1538"/>
      <c r="C119" s="1437"/>
      <c r="D119" s="1275"/>
      <c r="E119" s="1768"/>
      <c r="F119" s="1358"/>
      <c r="G119" s="1516"/>
      <c r="H119" s="1264"/>
      <c r="I119" s="1265"/>
      <c r="J119" s="1264"/>
      <c r="K119" s="1273"/>
      <c r="L119" s="1273"/>
    </row>
    <row r="120" spans="1:12" s="1765" customFormat="1" ht="24" customHeight="1">
      <c r="A120" s="1258"/>
      <c r="B120" s="1538"/>
      <c r="C120" s="1437"/>
      <c r="D120" s="1275"/>
      <c r="E120" s="1768"/>
      <c r="F120" s="1358"/>
      <c r="G120" s="1516"/>
      <c r="H120" s="1264"/>
      <c r="I120" s="1265"/>
      <c r="J120" s="1264"/>
      <c r="K120" s="1273"/>
      <c r="L120" s="1273"/>
    </row>
    <row r="121" spans="1:12" s="1765" customFormat="1" ht="24" customHeight="1">
      <c r="A121" s="1791"/>
      <c r="B121" s="1792"/>
      <c r="C121" s="1702"/>
      <c r="D121" s="1486"/>
      <c r="E121" s="1793"/>
      <c r="F121" s="1487"/>
      <c r="G121" s="1735"/>
      <c r="H121" s="1425"/>
      <c r="I121" s="1488"/>
      <c r="J121" s="1425"/>
      <c r="K121" s="1426"/>
      <c r="L121" s="1426"/>
    </row>
    <row r="122" spans="1:12" s="1765" customFormat="1" ht="24" customHeight="1">
      <c r="A122" s="1578"/>
      <c r="B122" s="2257" t="str">
        <f>"รวมราคารายการที่ "&amp;A99</f>
        <v>รวมราคารายการที่ 7.5</v>
      </c>
      <c r="C122" s="2258"/>
      <c r="D122" s="2259"/>
      <c r="E122" s="1579"/>
      <c r="F122" s="1579"/>
      <c r="G122" s="1580"/>
      <c r="H122" s="1581">
        <f>SUM(H100:H121)</f>
        <v>134456</v>
      </c>
      <c r="I122" s="1582"/>
      <c r="J122" s="1581">
        <f>SUM(J100:J121)</f>
        <v>35776</v>
      </c>
      <c r="K122" s="1581">
        <f>SUM(K100:K121)</f>
        <v>170232</v>
      </c>
      <c r="L122" s="1583"/>
    </row>
    <row r="123" spans="1:12" s="1765" customFormat="1" ht="24" customHeight="1">
      <c r="A123" s="1291">
        <v>7.6</v>
      </c>
      <c r="B123" s="1776" t="s">
        <v>2061</v>
      </c>
      <c r="C123" s="1293"/>
      <c r="D123" s="1294"/>
      <c r="E123" s="1786"/>
      <c r="F123" s="1296"/>
      <c r="G123" s="1357"/>
      <c r="H123" s="1298"/>
      <c r="I123" s="1299"/>
      <c r="J123" s="1298"/>
      <c r="K123" s="1382"/>
      <c r="L123" s="1382"/>
    </row>
    <row r="124" spans="1:12" s="1765" customFormat="1" ht="24" customHeight="1">
      <c r="A124" s="1258" t="s">
        <v>2075</v>
      </c>
      <c r="B124" s="1538" t="s">
        <v>2063</v>
      </c>
      <c r="C124" s="1437"/>
      <c r="D124" s="1275"/>
      <c r="E124" s="1768"/>
      <c r="F124" s="1358"/>
      <c r="G124" s="1516"/>
      <c r="H124" s="1264"/>
      <c r="I124" s="1265"/>
      <c r="J124" s="1264"/>
      <c r="K124" s="1273"/>
      <c r="L124" s="1273"/>
    </row>
    <row r="125" spans="1:12" s="1765" customFormat="1" ht="24" customHeight="1">
      <c r="A125" s="1258"/>
      <c r="B125" s="1538" t="s">
        <v>1448</v>
      </c>
      <c r="C125" s="1437"/>
      <c r="D125" s="1275"/>
      <c r="E125" s="1787"/>
      <c r="F125" s="1788" t="s">
        <v>363</v>
      </c>
      <c r="G125" s="2010">
        <v>880</v>
      </c>
      <c r="H125" s="1773">
        <f t="shared" ref="H125:H129" si="32">ROUND(E125*G125,)</f>
        <v>0</v>
      </c>
      <c r="I125" s="2011">
        <v>150</v>
      </c>
      <c r="J125" s="2008">
        <f t="shared" ref="J125:J129" si="33">ROUND(E125*I125,)</f>
        <v>0</v>
      </c>
      <c r="K125" s="1774">
        <f t="shared" ref="K125:K129" si="34">H125+J125</f>
        <v>0</v>
      </c>
      <c r="L125" s="2082" t="s">
        <v>2667</v>
      </c>
    </row>
    <row r="126" spans="1:12" s="1765" customFormat="1" ht="24" customHeight="1">
      <c r="A126" s="1258"/>
      <c r="B126" s="1538" t="s">
        <v>1337</v>
      </c>
      <c r="C126" s="1437"/>
      <c r="D126" s="1275"/>
      <c r="E126" s="1768"/>
      <c r="F126" s="1358" t="s">
        <v>363</v>
      </c>
      <c r="G126" s="2012">
        <v>1316</v>
      </c>
      <c r="H126" s="1264">
        <f t="shared" si="32"/>
        <v>0</v>
      </c>
      <c r="I126" s="1332">
        <v>200</v>
      </c>
      <c r="J126" s="2013">
        <f t="shared" si="33"/>
        <v>0</v>
      </c>
      <c r="K126" s="1687">
        <f t="shared" si="34"/>
        <v>0</v>
      </c>
      <c r="L126" s="2082" t="s">
        <v>2667</v>
      </c>
    </row>
    <row r="127" spans="1:12" s="1765" customFormat="1" ht="24" customHeight="1">
      <c r="A127" s="1258"/>
      <c r="B127" s="1538" t="s">
        <v>1338</v>
      </c>
      <c r="C127" s="1437"/>
      <c r="D127" s="1275"/>
      <c r="E127" s="1787">
        <f>E54*2</f>
        <v>0</v>
      </c>
      <c r="F127" s="1358" t="s">
        <v>363</v>
      </c>
      <c r="G127" s="2012">
        <v>1984</v>
      </c>
      <c r="H127" s="1264">
        <f t="shared" si="32"/>
        <v>0</v>
      </c>
      <c r="I127" s="1332">
        <v>250</v>
      </c>
      <c r="J127" s="2013">
        <f t="shared" si="33"/>
        <v>0</v>
      </c>
      <c r="K127" s="1687">
        <f t="shared" si="34"/>
        <v>0</v>
      </c>
      <c r="L127" s="2082" t="s">
        <v>2667</v>
      </c>
    </row>
    <row r="128" spans="1:12" s="1765" customFormat="1" ht="24" customHeight="1">
      <c r="A128" s="1258"/>
      <c r="B128" s="1538" t="s">
        <v>1339</v>
      </c>
      <c r="C128" s="1437"/>
      <c r="D128" s="1275"/>
      <c r="E128" s="1787"/>
      <c r="F128" s="1358" t="s">
        <v>363</v>
      </c>
      <c r="G128" s="2012">
        <v>2610</v>
      </c>
      <c r="H128" s="1264">
        <f t="shared" si="32"/>
        <v>0</v>
      </c>
      <c r="I128" s="1332">
        <v>300</v>
      </c>
      <c r="J128" s="2013">
        <f t="shared" si="33"/>
        <v>0</v>
      </c>
      <c r="K128" s="1687">
        <f t="shared" si="34"/>
        <v>0</v>
      </c>
      <c r="L128" s="2082" t="s">
        <v>2667</v>
      </c>
    </row>
    <row r="129" spans="1:20" s="1765" customFormat="1" ht="24" customHeight="1">
      <c r="A129" s="2113"/>
      <c r="B129" s="2114" t="s">
        <v>1340</v>
      </c>
      <c r="C129" s="2115"/>
      <c r="D129" s="2108"/>
      <c r="E129" s="1801"/>
      <c r="F129" s="1262" t="s">
        <v>363</v>
      </c>
      <c r="G129" s="2003">
        <v>4040</v>
      </c>
      <c r="H129" s="1343">
        <f t="shared" si="32"/>
        <v>0</v>
      </c>
      <c r="I129" s="2004">
        <v>400</v>
      </c>
      <c r="J129" s="2005">
        <f t="shared" si="33"/>
        <v>0</v>
      </c>
      <c r="K129" s="1801">
        <f t="shared" si="34"/>
        <v>0</v>
      </c>
      <c r="L129" s="2152" t="s">
        <v>2667</v>
      </c>
    </row>
    <row r="130" spans="1:20" s="2116" customFormat="1" ht="24" customHeight="1">
      <c r="A130" s="2113" t="s">
        <v>2170</v>
      </c>
      <c r="B130" s="2114" t="s">
        <v>2065</v>
      </c>
      <c r="C130" s="2115"/>
      <c r="D130" s="2108"/>
      <c r="E130" s="1801"/>
      <c r="F130" s="1262"/>
      <c r="G130" s="1515"/>
      <c r="H130" s="1343"/>
      <c r="I130" s="1344"/>
      <c r="J130" s="1343"/>
      <c r="K130" s="1262"/>
      <c r="L130" s="1262"/>
    </row>
    <row r="131" spans="1:20" s="2116" customFormat="1" ht="24" customHeight="1">
      <c r="A131" s="2113"/>
      <c r="B131" s="2107" t="s">
        <v>1341</v>
      </c>
      <c r="C131" s="2115"/>
      <c r="D131" s="2108"/>
      <c r="E131" s="1801"/>
      <c r="F131" s="1262" t="s">
        <v>363</v>
      </c>
      <c r="G131" s="1836">
        <v>1862</v>
      </c>
      <c r="H131" s="1343">
        <f>ROUND(E131*G131,)</f>
        <v>0</v>
      </c>
      <c r="I131" s="1344">
        <v>500</v>
      </c>
      <c r="J131" s="1343">
        <f t="shared" ref="J131:J134" si="35">ROUND(E131*I131,)</f>
        <v>0</v>
      </c>
      <c r="K131" s="1262">
        <f t="shared" ref="K131:K134" si="36">H131+J131</f>
        <v>0</v>
      </c>
      <c r="L131" s="1262"/>
    </row>
    <row r="132" spans="1:20" s="2116" customFormat="1" ht="24" customHeight="1">
      <c r="A132" s="2113"/>
      <c r="B132" s="2107" t="s">
        <v>1342</v>
      </c>
      <c r="C132" s="2115"/>
      <c r="D132" s="2108"/>
      <c r="E132" s="2091">
        <v>12</v>
      </c>
      <c r="F132" s="1262" t="s">
        <v>363</v>
      </c>
      <c r="G132" s="1836">
        <v>2159</v>
      </c>
      <c r="H132" s="1343">
        <f>ROUND(E132*G132,)</f>
        <v>25908</v>
      </c>
      <c r="I132" s="1344">
        <v>600</v>
      </c>
      <c r="J132" s="1343">
        <f t="shared" si="35"/>
        <v>7200</v>
      </c>
      <c r="K132" s="1262">
        <f t="shared" si="36"/>
        <v>33108</v>
      </c>
      <c r="L132" s="1262"/>
    </row>
    <row r="133" spans="1:20" s="2116" customFormat="1" ht="24" customHeight="1">
      <c r="A133" s="2113"/>
      <c r="B133" s="2114" t="s">
        <v>1759</v>
      </c>
      <c r="C133" s="2115"/>
      <c r="D133" s="2108"/>
      <c r="E133" s="1801"/>
      <c r="F133" s="1262" t="s">
        <v>363</v>
      </c>
      <c r="G133" s="1836">
        <v>2811</v>
      </c>
      <c r="H133" s="1343">
        <f>ROUND(E133*G133,)</f>
        <v>0</v>
      </c>
      <c r="I133" s="1344">
        <v>800</v>
      </c>
      <c r="J133" s="1343">
        <f t="shared" si="35"/>
        <v>0</v>
      </c>
      <c r="K133" s="1262">
        <f t="shared" si="36"/>
        <v>0</v>
      </c>
      <c r="L133" s="1415"/>
    </row>
    <row r="134" spans="1:20" s="2116" customFormat="1" ht="24" customHeight="1">
      <c r="A134" s="2113"/>
      <c r="B134" s="2114" t="s">
        <v>1866</v>
      </c>
      <c r="C134" s="2115"/>
      <c r="D134" s="2108"/>
      <c r="E134" s="1801"/>
      <c r="F134" s="1262" t="s">
        <v>363</v>
      </c>
      <c r="G134" s="1836">
        <v>14327</v>
      </c>
      <c r="H134" s="1343">
        <f>ROUND(E134*G134,)</f>
        <v>0</v>
      </c>
      <c r="I134" s="1344">
        <v>2000</v>
      </c>
      <c r="J134" s="1343">
        <f t="shared" si="35"/>
        <v>0</v>
      </c>
      <c r="K134" s="1262">
        <f t="shared" si="36"/>
        <v>0</v>
      </c>
      <c r="L134" s="1262"/>
    </row>
    <row r="135" spans="1:20" s="1765" customFormat="1" ht="24" customHeight="1">
      <c r="A135" s="2113" t="s">
        <v>2226</v>
      </c>
      <c r="B135" s="2114" t="s">
        <v>2067</v>
      </c>
      <c r="C135" s="2115"/>
      <c r="D135" s="2108"/>
      <c r="E135" s="1801"/>
      <c r="F135" s="1262"/>
      <c r="G135" s="1515"/>
      <c r="H135" s="1343"/>
      <c r="I135" s="1344"/>
      <c r="J135" s="1343"/>
      <c r="K135" s="1262"/>
      <c r="L135" s="1262"/>
    </row>
    <row r="136" spans="1:20" s="1765" customFormat="1" ht="24" customHeight="1">
      <c r="A136" s="2113"/>
      <c r="B136" s="2114" t="s">
        <v>1448</v>
      </c>
      <c r="C136" s="2115"/>
      <c r="D136" s="2108"/>
      <c r="E136" s="1853">
        <f>E125/2</f>
        <v>0</v>
      </c>
      <c r="F136" s="2154" t="s">
        <v>363</v>
      </c>
      <c r="G136" s="2159">
        <v>350</v>
      </c>
      <c r="H136" s="2156">
        <f t="shared" ref="H136:H140" si="37">ROUND(E136*G136,)</f>
        <v>0</v>
      </c>
      <c r="I136" s="2160">
        <v>150</v>
      </c>
      <c r="J136" s="2156">
        <f t="shared" ref="J136:J140" si="38">ROUND(E136*I136,)</f>
        <v>0</v>
      </c>
      <c r="K136" s="2154">
        <f t="shared" ref="K136:K140" si="39">H136+J136</f>
        <v>0</v>
      </c>
      <c r="L136" s="1262"/>
    </row>
    <row r="137" spans="1:20" s="1765" customFormat="1" ht="24" customHeight="1">
      <c r="A137" s="2113"/>
      <c r="B137" s="2114" t="s">
        <v>1338</v>
      </c>
      <c r="C137" s="2115"/>
      <c r="D137" s="2108"/>
      <c r="E137" s="1801">
        <f>E127/2</f>
        <v>0</v>
      </c>
      <c r="F137" s="1262" t="s">
        <v>363</v>
      </c>
      <c r="G137" s="1515">
        <v>1084</v>
      </c>
      <c r="H137" s="1343">
        <f t="shared" si="37"/>
        <v>0</v>
      </c>
      <c r="I137" s="1344">
        <v>250</v>
      </c>
      <c r="J137" s="1343">
        <f t="shared" si="38"/>
        <v>0</v>
      </c>
      <c r="K137" s="1262">
        <f t="shared" si="39"/>
        <v>0</v>
      </c>
      <c r="L137" s="1262"/>
    </row>
    <row r="138" spans="1:20" s="1765" customFormat="1" ht="24" customHeight="1">
      <c r="A138" s="2113"/>
      <c r="B138" s="2114" t="s">
        <v>1339</v>
      </c>
      <c r="C138" s="2115"/>
      <c r="D138" s="2108"/>
      <c r="E138" s="1801">
        <f>E128/2</f>
        <v>0</v>
      </c>
      <c r="F138" s="1262" t="s">
        <v>363</v>
      </c>
      <c r="G138" s="1515">
        <v>1710</v>
      </c>
      <c r="H138" s="1343">
        <f t="shared" si="37"/>
        <v>0</v>
      </c>
      <c r="I138" s="1344">
        <v>300</v>
      </c>
      <c r="J138" s="1343">
        <f t="shared" si="38"/>
        <v>0</v>
      </c>
      <c r="K138" s="1262">
        <f t="shared" si="39"/>
        <v>0</v>
      </c>
      <c r="L138" s="1262"/>
    </row>
    <row r="139" spans="1:20" s="1765" customFormat="1" ht="24" customHeight="1">
      <c r="A139" s="2113"/>
      <c r="B139" s="2114" t="s">
        <v>1340</v>
      </c>
      <c r="C139" s="2115"/>
      <c r="D139" s="2108"/>
      <c r="E139" s="1801"/>
      <c r="F139" s="1262" t="s">
        <v>363</v>
      </c>
      <c r="G139" s="1836">
        <v>2839</v>
      </c>
      <c r="H139" s="1343">
        <f t="shared" si="37"/>
        <v>0</v>
      </c>
      <c r="I139" s="1344">
        <v>400</v>
      </c>
      <c r="J139" s="1343">
        <f t="shared" si="38"/>
        <v>0</v>
      </c>
      <c r="K139" s="1262">
        <f t="shared" si="39"/>
        <v>0</v>
      </c>
      <c r="L139" s="1262"/>
    </row>
    <row r="140" spans="1:20" s="2116" customFormat="1" ht="24" customHeight="1">
      <c r="A140" s="2113"/>
      <c r="B140" s="2114" t="s">
        <v>1341</v>
      </c>
      <c r="C140" s="2115"/>
      <c r="D140" s="2108"/>
      <c r="E140" s="1801"/>
      <c r="F140" s="1262" t="s">
        <v>363</v>
      </c>
      <c r="G140" s="1836">
        <v>4375</v>
      </c>
      <c r="H140" s="1343">
        <f t="shared" si="37"/>
        <v>0</v>
      </c>
      <c r="I140" s="1344">
        <v>500</v>
      </c>
      <c r="J140" s="1343">
        <f t="shared" si="38"/>
        <v>0</v>
      </c>
      <c r="K140" s="1262">
        <f t="shared" si="39"/>
        <v>0</v>
      </c>
      <c r="L140" s="1262"/>
      <c r="M140" s="2144"/>
      <c r="N140" s="2144"/>
      <c r="O140" s="2144"/>
      <c r="P140" s="2144"/>
      <c r="Q140" s="2144"/>
      <c r="R140" s="2144"/>
      <c r="S140" s="2144"/>
      <c r="T140" s="2144"/>
    </row>
    <row r="141" spans="1:20" s="2116" customFormat="1" ht="24" customHeight="1">
      <c r="A141" s="2113"/>
      <c r="B141" s="2153" t="s">
        <v>1834</v>
      </c>
      <c r="C141" s="2115"/>
      <c r="D141" s="2108"/>
      <c r="E141" s="2091">
        <v>6</v>
      </c>
      <c r="F141" s="1262" t="s">
        <v>363</v>
      </c>
      <c r="G141" s="1836">
        <v>4489</v>
      </c>
      <c r="H141" s="1343">
        <f>ROUND(E141*G141,)</f>
        <v>26934</v>
      </c>
      <c r="I141" s="1344">
        <v>600</v>
      </c>
      <c r="J141" s="1343">
        <f>ROUND(E141*I141,)</f>
        <v>3600</v>
      </c>
      <c r="K141" s="1262">
        <f>H141+J141</f>
        <v>30534</v>
      </c>
      <c r="L141" s="1262"/>
    </row>
    <row r="142" spans="1:20" s="2116" customFormat="1" ht="24" customHeight="1">
      <c r="A142" s="2113"/>
      <c r="B142" s="2114" t="s">
        <v>1759</v>
      </c>
      <c r="C142" s="2115"/>
      <c r="D142" s="2108"/>
      <c r="E142" s="1801"/>
      <c r="F142" s="1262" t="s">
        <v>363</v>
      </c>
      <c r="G142" s="1836">
        <v>6528</v>
      </c>
      <c r="H142" s="1343">
        <f>ROUND(E142*G142,)</f>
        <v>0</v>
      </c>
      <c r="I142" s="1344">
        <v>800</v>
      </c>
      <c r="J142" s="1343">
        <f>ROUND(E142*I142,)</f>
        <v>0</v>
      </c>
      <c r="K142" s="1262">
        <f>H142+J142</f>
        <v>0</v>
      </c>
      <c r="L142" s="1262"/>
    </row>
    <row r="143" spans="1:20" s="1765" customFormat="1" ht="24" customHeight="1">
      <c r="A143" s="2113" t="s">
        <v>2227</v>
      </c>
      <c r="B143" s="2114" t="s">
        <v>2069</v>
      </c>
      <c r="C143" s="2115"/>
      <c r="D143" s="2108"/>
      <c r="E143" s="1801"/>
      <c r="F143" s="1262"/>
      <c r="G143" s="1836"/>
      <c r="H143" s="1343"/>
      <c r="I143" s="1344"/>
      <c r="J143" s="1343"/>
      <c r="K143" s="1262"/>
      <c r="L143" s="1262"/>
    </row>
    <row r="144" spans="1:20" s="1765" customFormat="1" ht="24" customHeight="1">
      <c r="A144" s="2113"/>
      <c r="B144" s="2114" t="s">
        <v>1338</v>
      </c>
      <c r="C144" s="2115"/>
      <c r="D144" s="2108"/>
      <c r="E144" s="1801"/>
      <c r="F144" s="1262" t="s">
        <v>363</v>
      </c>
      <c r="G144" s="1515">
        <v>1863</v>
      </c>
      <c r="H144" s="1343">
        <f t="shared" ref="H144:H145" si="40">ROUND(E144*G144,)</f>
        <v>0</v>
      </c>
      <c r="I144" s="1344">
        <v>250</v>
      </c>
      <c r="J144" s="1343">
        <f t="shared" ref="J144:J145" si="41">ROUND(E144*I144,)</f>
        <v>0</v>
      </c>
      <c r="K144" s="1262">
        <f t="shared" ref="K144:K145" si="42">H144+J144</f>
        <v>0</v>
      </c>
      <c r="L144" s="1262"/>
    </row>
    <row r="145" spans="1:12" s="1765" customFormat="1" ht="24" customHeight="1">
      <c r="A145" s="2113"/>
      <c r="B145" s="2114" t="s">
        <v>1339</v>
      </c>
      <c r="C145" s="2115"/>
      <c r="D145" s="2108"/>
      <c r="E145" s="1801"/>
      <c r="F145" s="1262" t="s">
        <v>363</v>
      </c>
      <c r="G145" s="1515">
        <v>2130</v>
      </c>
      <c r="H145" s="1343">
        <f t="shared" si="40"/>
        <v>0</v>
      </c>
      <c r="I145" s="1344">
        <v>300</v>
      </c>
      <c r="J145" s="1343">
        <f t="shared" si="41"/>
        <v>0</v>
      </c>
      <c r="K145" s="1262">
        <f t="shared" si="42"/>
        <v>0</v>
      </c>
      <c r="L145" s="1262"/>
    </row>
    <row r="146" spans="1:12" s="2116" customFormat="1" ht="24" customHeight="1">
      <c r="A146" s="2113"/>
      <c r="B146" s="2153" t="s">
        <v>1856</v>
      </c>
      <c r="C146" s="2115"/>
      <c r="D146" s="2108"/>
      <c r="E146" s="2091"/>
      <c r="F146" s="1262" t="s">
        <v>363</v>
      </c>
      <c r="G146" s="1515">
        <v>3876</v>
      </c>
      <c r="H146" s="1343">
        <f>ROUND(E146*G146,)</f>
        <v>0</v>
      </c>
      <c r="I146" s="1344">
        <v>500</v>
      </c>
      <c r="J146" s="1343">
        <f>ROUND(E146*I146,)</f>
        <v>0</v>
      </c>
      <c r="K146" s="1262">
        <f>H146+J146</f>
        <v>0</v>
      </c>
      <c r="L146" s="1262"/>
    </row>
    <row r="147" spans="1:12" s="2116" customFormat="1" ht="24" customHeight="1">
      <c r="A147" s="2113"/>
      <c r="B147" s="2153" t="s">
        <v>1834</v>
      </c>
      <c r="C147" s="2115"/>
      <c r="D147" s="2108"/>
      <c r="E147" s="2091">
        <v>12</v>
      </c>
      <c r="F147" s="1262" t="s">
        <v>363</v>
      </c>
      <c r="G147" s="1515">
        <v>4175</v>
      </c>
      <c r="H147" s="1343">
        <f>ROUND(E147*G147,)</f>
        <v>50100</v>
      </c>
      <c r="I147" s="1344">
        <v>600</v>
      </c>
      <c r="J147" s="1343">
        <f>ROUND(E147*I147,)</f>
        <v>7200</v>
      </c>
      <c r="K147" s="1262">
        <f>H147+J147</f>
        <v>57300</v>
      </c>
      <c r="L147" s="1262"/>
    </row>
    <row r="148" spans="1:12" s="2116" customFormat="1" ht="24" customHeight="1">
      <c r="A148" s="2113"/>
      <c r="B148" s="2114" t="s">
        <v>1759</v>
      </c>
      <c r="C148" s="2115"/>
      <c r="D148" s="2108"/>
      <c r="E148" s="1801"/>
      <c r="F148" s="1262" t="s">
        <v>363</v>
      </c>
      <c r="G148" s="1836">
        <v>5541</v>
      </c>
      <c r="H148" s="1343">
        <f>ROUND(E148*G148,)</f>
        <v>0</v>
      </c>
      <c r="I148" s="1344">
        <v>800</v>
      </c>
      <c r="J148" s="1343">
        <f t="shared" ref="J148:J149" si="43">ROUND(E148*I148,)</f>
        <v>0</v>
      </c>
      <c r="K148" s="1262">
        <f t="shared" ref="K148:K149" si="44">H148+J148</f>
        <v>0</v>
      </c>
      <c r="L148" s="1262"/>
    </row>
    <row r="149" spans="1:12" s="2116" customFormat="1" ht="24" customHeight="1">
      <c r="A149" s="2113"/>
      <c r="B149" s="2114" t="s">
        <v>1866</v>
      </c>
      <c r="C149" s="2115"/>
      <c r="D149" s="2108"/>
      <c r="E149" s="1801"/>
      <c r="F149" s="1262"/>
      <c r="G149" s="1836">
        <v>18915</v>
      </c>
      <c r="H149" s="1343">
        <f>ROUND(E149*G149,)</f>
        <v>0</v>
      </c>
      <c r="I149" s="1344">
        <v>2000</v>
      </c>
      <c r="J149" s="1343">
        <f t="shared" si="43"/>
        <v>0</v>
      </c>
      <c r="K149" s="1262">
        <f t="shared" si="44"/>
        <v>0</v>
      </c>
      <c r="L149" s="1262"/>
    </row>
    <row r="150" spans="1:12" s="2116" customFormat="1" ht="24" customHeight="1">
      <c r="A150" s="2113" t="s">
        <v>2883</v>
      </c>
      <c r="B150" s="2114" t="s">
        <v>2728</v>
      </c>
      <c r="C150" s="2115"/>
      <c r="D150" s="2108"/>
      <c r="E150" s="1801"/>
      <c r="F150" s="1262"/>
      <c r="G150" s="1515"/>
      <c r="H150" s="1343"/>
      <c r="I150" s="1344"/>
      <c r="J150" s="1343"/>
      <c r="K150" s="1262"/>
      <c r="L150" s="1262"/>
    </row>
    <row r="151" spans="1:12" s="2116" customFormat="1" ht="24" customHeight="1">
      <c r="A151" s="2113"/>
      <c r="B151" s="2153" t="s">
        <v>1865</v>
      </c>
      <c r="C151" s="2115"/>
      <c r="D151" s="2108"/>
      <c r="E151" s="2091">
        <v>6</v>
      </c>
      <c r="F151" s="1262" t="s">
        <v>363</v>
      </c>
      <c r="G151" s="1515">
        <v>300</v>
      </c>
      <c r="H151" s="1343">
        <f>ROUND(E151*G151,)</f>
        <v>1800</v>
      </c>
      <c r="I151" s="1344">
        <v>200</v>
      </c>
      <c r="J151" s="1343">
        <f>ROUND(E151*I151,)</f>
        <v>1200</v>
      </c>
      <c r="K151" s="1262">
        <f>H151+J151</f>
        <v>3000</v>
      </c>
      <c r="L151" s="1262"/>
    </row>
    <row r="152" spans="1:12" s="1765" customFormat="1" ht="24" customHeight="1">
      <c r="A152" s="2113" t="s">
        <v>2884</v>
      </c>
      <c r="B152" s="2114" t="s">
        <v>1730</v>
      </c>
      <c r="C152" s="2115"/>
      <c r="D152" s="2108"/>
      <c r="E152" s="1801"/>
      <c r="F152" s="1262"/>
      <c r="G152" s="1515"/>
      <c r="H152" s="1343"/>
      <c r="I152" s="1344"/>
      <c r="J152" s="1343"/>
      <c r="K152" s="1262"/>
      <c r="L152" s="1262"/>
    </row>
    <row r="153" spans="1:12" s="2116" customFormat="1" ht="24" customHeight="1">
      <c r="A153" s="2113"/>
      <c r="B153" s="2114" t="s">
        <v>1337</v>
      </c>
      <c r="C153" s="2115"/>
      <c r="D153" s="2108"/>
      <c r="E153" s="1801">
        <v>6</v>
      </c>
      <c r="F153" s="1262" t="s">
        <v>363</v>
      </c>
      <c r="G153" s="1515">
        <v>2400</v>
      </c>
      <c r="H153" s="1343">
        <f t="shared" ref="H153:H155" si="45">ROUND(E153*G153,)</f>
        <v>14400</v>
      </c>
      <c r="I153" s="1344">
        <v>200</v>
      </c>
      <c r="J153" s="1343">
        <f t="shared" ref="J153:J155" si="46">ROUND(E153*I153,)</f>
        <v>1200</v>
      </c>
      <c r="K153" s="1262">
        <f t="shared" ref="K153:K155" si="47">H153+J153</f>
        <v>15600</v>
      </c>
      <c r="L153" s="1415"/>
    </row>
    <row r="154" spans="1:12" s="2116" customFormat="1" ht="24" customHeight="1">
      <c r="A154" s="2113" t="s">
        <v>2885</v>
      </c>
      <c r="B154" s="2114" t="s">
        <v>1741</v>
      </c>
      <c r="C154" s="2115"/>
      <c r="D154" s="2108"/>
      <c r="E154" s="1801">
        <v>12</v>
      </c>
      <c r="F154" s="1262" t="s">
        <v>363</v>
      </c>
      <c r="G154" s="1515">
        <v>1452</v>
      </c>
      <c r="H154" s="1343">
        <f t="shared" si="45"/>
        <v>17424</v>
      </c>
      <c r="I154" s="1344">
        <v>100</v>
      </c>
      <c r="J154" s="1343">
        <f t="shared" si="46"/>
        <v>1200</v>
      </c>
      <c r="K154" s="1262">
        <f t="shared" si="47"/>
        <v>18624</v>
      </c>
      <c r="L154" s="1262"/>
    </row>
    <row r="155" spans="1:12" s="2116" customFormat="1" ht="24" customHeight="1">
      <c r="A155" s="2113" t="s">
        <v>2886</v>
      </c>
      <c r="B155" s="2114" t="s">
        <v>1987</v>
      </c>
      <c r="C155" s="2115"/>
      <c r="D155" s="2108"/>
      <c r="E155" s="1801">
        <v>12</v>
      </c>
      <c r="F155" s="1262" t="s">
        <v>363</v>
      </c>
      <c r="G155" s="1515">
        <v>1590</v>
      </c>
      <c r="H155" s="1343">
        <f t="shared" si="45"/>
        <v>19080</v>
      </c>
      <c r="I155" s="1344">
        <v>100</v>
      </c>
      <c r="J155" s="1343">
        <f t="shared" si="46"/>
        <v>1200</v>
      </c>
      <c r="K155" s="1262">
        <f t="shared" si="47"/>
        <v>20280</v>
      </c>
      <c r="L155" s="1262"/>
    </row>
    <row r="156" spans="1:12" s="1765" customFormat="1" ht="24" customHeight="1">
      <c r="A156" s="2113"/>
      <c r="B156" s="2114" t="s">
        <v>1117</v>
      </c>
      <c r="C156" s="2115"/>
      <c r="D156" s="2108"/>
      <c r="E156" s="1801"/>
      <c r="F156" s="1262"/>
      <c r="G156" s="1515"/>
      <c r="H156" s="1343"/>
      <c r="I156" s="1344"/>
      <c r="J156" s="1343"/>
      <c r="K156" s="1262"/>
      <c r="L156" s="1262"/>
    </row>
    <row r="157" spans="1:12" s="1765" customFormat="1" ht="24" customHeight="1">
      <c r="A157" s="1258"/>
      <c r="B157" s="1538" t="s">
        <v>1118</v>
      </c>
      <c r="C157" s="1437"/>
      <c r="D157" s="1275"/>
      <c r="E157" s="1768"/>
      <c r="F157" s="1358"/>
      <c r="G157" s="1516"/>
      <c r="H157" s="1264"/>
      <c r="I157" s="1265"/>
      <c r="J157" s="1264"/>
      <c r="K157" s="1273"/>
      <c r="L157" s="1273"/>
    </row>
    <row r="158" spans="1:12" s="1765" customFormat="1" ht="24" customHeight="1">
      <c r="A158" s="1791"/>
      <c r="B158" s="1792"/>
      <c r="C158" s="1702"/>
      <c r="D158" s="1486"/>
      <c r="E158" s="1793"/>
      <c r="F158" s="1487"/>
      <c r="G158" s="1864"/>
      <c r="H158" s="1425"/>
      <c r="I158" s="1488"/>
      <c r="J158" s="1425"/>
      <c r="K158" s="1426"/>
      <c r="L158" s="1426"/>
    </row>
    <row r="159" spans="1:12" s="1765" customFormat="1" ht="24" customHeight="1">
      <c r="A159" s="1578"/>
      <c r="B159" s="2257" t="str">
        <f>"รวมราคารายการที่ "&amp;A123</f>
        <v>รวมราคารายการที่ 7.6</v>
      </c>
      <c r="C159" s="2258"/>
      <c r="D159" s="2259"/>
      <c r="E159" s="1579"/>
      <c r="F159" s="1579"/>
      <c r="G159" s="1580"/>
      <c r="H159" s="1581">
        <f>SUM(H125:H158)</f>
        <v>155646</v>
      </c>
      <c r="I159" s="1582"/>
      <c r="J159" s="1581">
        <f>SUM(J125:J158)</f>
        <v>22800</v>
      </c>
      <c r="K159" s="1581">
        <f>SUM(K125:K158)</f>
        <v>178446</v>
      </c>
      <c r="L159" s="1583"/>
    </row>
    <row r="160" spans="1:12" s="1765" customFormat="1" ht="24" customHeight="1">
      <c r="A160" s="1847" t="s">
        <v>2308</v>
      </c>
      <c r="B160" s="1848" t="s">
        <v>2177</v>
      </c>
      <c r="C160" s="1849"/>
      <c r="D160" s="1354"/>
      <c r="E160" s="1802"/>
      <c r="F160" s="1356"/>
      <c r="G160" s="1803"/>
      <c r="H160" s="1369"/>
      <c r="I160" s="1370"/>
      <c r="J160" s="1369"/>
      <c r="K160" s="1356"/>
      <c r="L160" s="1356"/>
    </row>
    <row r="161" spans="1:16" s="1765" customFormat="1" ht="24" customHeight="1">
      <c r="A161" s="2113" t="s">
        <v>2084</v>
      </c>
      <c r="B161" s="2149" t="s">
        <v>2729</v>
      </c>
      <c r="C161" s="2115"/>
      <c r="D161" s="2150"/>
      <c r="E161" s="1802"/>
      <c r="F161" s="1356"/>
      <c r="G161" s="1803"/>
      <c r="H161" s="1369"/>
      <c r="I161" s="1370"/>
      <c r="J161" s="1369"/>
      <c r="K161" s="1356"/>
      <c r="L161" s="1356"/>
    </row>
    <row r="162" spans="1:16" s="2116" customFormat="1" ht="24" customHeight="1">
      <c r="A162" s="2113"/>
      <c r="B162" s="2107" t="s">
        <v>2751</v>
      </c>
      <c r="C162" s="2115"/>
      <c r="D162" s="2108"/>
      <c r="E162" s="1801">
        <v>1</v>
      </c>
      <c r="F162" s="1262" t="s">
        <v>363</v>
      </c>
      <c r="G162" s="1515">
        <v>89000</v>
      </c>
      <c r="H162" s="1413">
        <f t="shared" ref="H162:H168" si="48">ROUND(E162*G162,)</f>
        <v>89000</v>
      </c>
      <c r="I162" s="1515">
        <f>G162*0.1</f>
        <v>8900</v>
      </c>
      <c r="J162" s="1413">
        <f t="shared" ref="J162:J168" si="49">ROUND(E162*I162,)</f>
        <v>8900</v>
      </c>
      <c r="K162" s="1415">
        <f t="shared" ref="K162:K168" si="50">H162+J162</f>
        <v>97900</v>
      </c>
      <c r="L162" s="1262"/>
    </row>
    <row r="163" spans="1:16" s="2116" customFormat="1" ht="24" customHeight="1">
      <c r="A163" s="2113"/>
      <c r="B163" s="2107" t="s">
        <v>2752</v>
      </c>
      <c r="C163" s="2115"/>
      <c r="D163" s="2108"/>
      <c r="E163" s="1801">
        <v>1</v>
      </c>
      <c r="F163" s="1262" t="s">
        <v>363</v>
      </c>
      <c r="G163" s="1515">
        <v>89000</v>
      </c>
      <c r="H163" s="1413">
        <f t="shared" si="48"/>
        <v>89000</v>
      </c>
      <c r="I163" s="1515">
        <f t="shared" ref="I163:I167" si="51">G163*0.1</f>
        <v>8900</v>
      </c>
      <c r="J163" s="1413">
        <f t="shared" si="49"/>
        <v>8900</v>
      </c>
      <c r="K163" s="1415">
        <f t="shared" si="50"/>
        <v>97900</v>
      </c>
      <c r="L163" s="1262"/>
    </row>
    <row r="164" spans="1:16" s="2116" customFormat="1" ht="24" customHeight="1">
      <c r="A164" s="2113"/>
      <c r="B164" s="2107" t="s">
        <v>2753</v>
      </c>
      <c r="C164" s="2115"/>
      <c r="D164" s="2108"/>
      <c r="E164" s="1801">
        <v>1</v>
      </c>
      <c r="F164" s="1262" t="s">
        <v>363</v>
      </c>
      <c r="G164" s="1515">
        <v>89000</v>
      </c>
      <c r="H164" s="1413">
        <f t="shared" si="48"/>
        <v>89000</v>
      </c>
      <c r="I164" s="1515">
        <f t="shared" si="51"/>
        <v>8900</v>
      </c>
      <c r="J164" s="1413">
        <f t="shared" si="49"/>
        <v>8900</v>
      </c>
      <c r="K164" s="1415">
        <f t="shared" si="50"/>
        <v>97900</v>
      </c>
      <c r="L164" s="1262"/>
    </row>
    <row r="165" spans="1:16" s="2116" customFormat="1" ht="24" customHeight="1">
      <c r="A165" s="2113"/>
      <c r="B165" s="2107" t="s">
        <v>2774</v>
      </c>
      <c r="C165" s="2115"/>
      <c r="D165" s="2108"/>
      <c r="E165" s="1801">
        <v>1</v>
      </c>
      <c r="F165" s="1262" t="s">
        <v>363</v>
      </c>
      <c r="G165" s="1515">
        <v>89000</v>
      </c>
      <c r="H165" s="1413">
        <f t="shared" si="48"/>
        <v>89000</v>
      </c>
      <c r="I165" s="1515">
        <f t="shared" si="51"/>
        <v>8900</v>
      </c>
      <c r="J165" s="1413">
        <f t="shared" si="49"/>
        <v>8900</v>
      </c>
      <c r="K165" s="1415">
        <f t="shared" si="50"/>
        <v>97900</v>
      </c>
      <c r="L165" s="1262"/>
    </row>
    <row r="166" spans="1:16" s="2116" customFormat="1" ht="24" customHeight="1">
      <c r="A166" s="2113"/>
      <c r="B166" s="2107" t="s">
        <v>2775</v>
      </c>
      <c r="C166" s="2115"/>
      <c r="D166" s="2108"/>
      <c r="E166" s="1801">
        <v>1</v>
      </c>
      <c r="F166" s="1262" t="s">
        <v>363</v>
      </c>
      <c r="G166" s="1515">
        <v>89000</v>
      </c>
      <c r="H166" s="1413">
        <f t="shared" si="48"/>
        <v>89000</v>
      </c>
      <c r="I166" s="1515">
        <f t="shared" si="51"/>
        <v>8900</v>
      </c>
      <c r="J166" s="1413">
        <f t="shared" si="49"/>
        <v>8900</v>
      </c>
      <c r="K166" s="1415">
        <f t="shared" si="50"/>
        <v>97900</v>
      </c>
      <c r="L166" s="1262"/>
    </row>
    <row r="167" spans="1:16" s="2116" customFormat="1" ht="24" customHeight="1">
      <c r="A167" s="2113"/>
      <c r="B167" s="2107" t="s">
        <v>2776</v>
      </c>
      <c r="C167" s="2115"/>
      <c r="D167" s="2108"/>
      <c r="E167" s="1801">
        <v>1</v>
      </c>
      <c r="F167" s="1262" t="s">
        <v>363</v>
      </c>
      <c r="G167" s="1515">
        <v>89000</v>
      </c>
      <c r="H167" s="1413">
        <f t="shared" si="48"/>
        <v>89000</v>
      </c>
      <c r="I167" s="1515">
        <f t="shared" si="51"/>
        <v>8900</v>
      </c>
      <c r="J167" s="1413">
        <f t="shared" si="49"/>
        <v>8900</v>
      </c>
      <c r="K167" s="1415">
        <f t="shared" si="50"/>
        <v>97900</v>
      </c>
      <c r="L167" s="1262"/>
    </row>
    <row r="168" spans="1:16" s="1765" customFormat="1" ht="24" customHeight="1">
      <c r="A168" s="2113"/>
      <c r="B168" s="2149"/>
      <c r="C168" s="2115"/>
      <c r="D168" s="2150"/>
      <c r="E168" s="1801"/>
      <c r="F168" s="1356" t="s">
        <v>363</v>
      </c>
      <c r="G168" s="1515">
        <v>33000</v>
      </c>
      <c r="H168" s="820">
        <f t="shared" si="48"/>
        <v>0</v>
      </c>
      <c r="I168" s="1515">
        <v>1500</v>
      </c>
      <c r="J168" s="820">
        <f t="shared" si="49"/>
        <v>0</v>
      </c>
      <c r="K168" s="1457">
        <f t="shared" si="50"/>
        <v>0</v>
      </c>
      <c r="L168" s="1356"/>
    </row>
    <row r="169" spans="1:16" s="1765" customFormat="1" ht="24" customHeight="1">
      <c r="A169" s="2113" t="s">
        <v>2089</v>
      </c>
      <c r="B169" s="2149" t="s">
        <v>1355</v>
      </c>
      <c r="C169" s="2115"/>
      <c r="D169" s="2150"/>
      <c r="E169" s="1801"/>
      <c r="F169" s="1356"/>
      <c r="G169" s="1515"/>
      <c r="H169" s="1369"/>
      <c r="I169" s="1370"/>
      <c r="J169" s="1369"/>
      <c r="K169" s="1356"/>
      <c r="L169" s="1356"/>
    </row>
    <row r="170" spans="1:16" s="1765" customFormat="1" ht="24" customHeight="1">
      <c r="A170" s="2113"/>
      <c r="B170" s="2149" t="s">
        <v>1811</v>
      </c>
      <c r="C170" s="2115"/>
      <c r="D170" s="2150"/>
      <c r="E170" s="1801"/>
      <c r="F170" s="1356" t="s">
        <v>226</v>
      </c>
      <c r="G170" s="1386">
        <v>9</v>
      </c>
      <c r="H170" s="1343">
        <f t="shared" ref="H170:H171" si="52">ROUND(E170*G170,)</f>
        <v>0</v>
      </c>
      <c r="I170" s="1344">
        <v>7</v>
      </c>
      <c r="J170" s="1413">
        <f t="shared" ref="J170:J171" si="53">ROUND(E170*I170,)</f>
        <v>0</v>
      </c>
      <c r="K170" s="1415">
        <f t="shared" ref="K170:K171" si="54">H170+J170</f>
        <v>0</v>
      </c>
      <c r="L170" s="2151" t="s">
        <v>2667</v>
      </c>
      <c r="N170" s="1854">
        <v>912.1</v>
      </c>
      <c r="O170" s="1854">
        <f t="shared" ref="O170:O171" si="55">ROUND(N170/100,)</f>
        <v>9</v>
      </c>
    </row>
    <row r="171" spans="1:16" s="2116" customFormat="1" ht="24" customHeight="1">
      <c r="A171" s="2113"/>
      <c r="B171" s="2107" t="s">
        <v>1317</v>
      </c>
      <c r="C171" s="2115"/>
      <c r="D171" s="2108"/>
      <c r="E171" s="1801">
        <f>4*5*1.5*6</f>
        <v>180</v>
      </c>
      <c r="F171" s="1262" t="s">
        <v>226</v>
      </c>
      <c r="G171" s="1386">
        <v>23</v>
      </c>
      <c r="H171" s="1343">
        <f t="shared" si="52"/>
        <v>4140</v>
      </c>
      <c r="I171" s="1344">
        <v>12</v>
      </c>
      <c r="J171" s="1343">
        <f t="shared" si="53"/>
        <v>2160</v>
      </c>
      <c r="K171" s="1262">
        <f t="shared" si="54"/>
        <v>6300</v>
      </c>
      <c r="L171" s="2151" t="s">
        <v>2667</v>
      </c>
      <c r="N171" s="2117">
        <v>2264.1999999999998</v>
      </c>
      <c r="O171" s="2117">
        <f t="shared" si="55"/>
        <v>23</v>
      </c>
      <c r="P171" s="2117"/>
    </row>
    <row r="172" spans="1:16" s="1765" customFormat="1" ht="24" customHeight="1">
      <c r="A172" s="2113" t="s">
        <v>2266</v>
      </c>
      <c r="B172" s="2149" t="s">
        <v>1110</v>
      </c>
      <c r="C172" s="2115"/>
      <c r="D172" s="2150"/>
      <c r="E172" s="1801"/>
      <c r="F172" s="1356"/>
      <c r="G172" s="1515"/>
      <c r="H172" s="1369"/>
      <c r="I172" s="1370"/>
      <c r="J172" s="1369"/>
      <c r="K172" s="1356"/>
      <c r="L172" s="1356"/>
    </row>
    <row r="173" spans="1:16" s="1765" customFormat="1" ht="24" customHeight="1">
      <c r="A173" s="2113"/>
      <c r="B173" s="2149" t="s">
        <v>1350</v>
      </c>
      <c r="C173" s="2115"/>
      <c r="D173" s="2150"/>
      <c r="E173" s="1801"/>
      <c r="F173" s="1356" t="s">
        <v>226</v>
      </c>
      <c r="G173" s="1515">
        <v>56</v>
      </c>
      <c r="H173" s="1343">
        <f t="shared" ref="H173:H175" si="56">ROUND(E173*G173,)</f>
        <v>0</v>
      </c>
      <c r="I173" s="1344">
        <v>26</v>
      </c>
      <c r="J173" s="1413">
        <f t="shared" ref="J173:J175" si="57">ROUND(E173*I173,)</f>
        <v>0</v>
      </c>
      <c r="K173" s="1415">
        <f t="shared" ref="K173:K175" si="58">H173+J173</f>
        <v>0</v>
      </c>
      <c r="L173" s="2152" t="s">
        <v>2667</v>
      </c>
      <c r="M173" s="2002"/>
      <c r="N173" s="1765">
        <v>169.2</v>
      </c>
      <c r="O173" s="1765">
        <f t="shared" ref="O173:O174" si="59">ROUND(N173/3,)</f>
        <v>56</v>
      </c>
    </row>
    <row r="174" spans="1:16" s="2116" customFormat="1" ht="24" customHeight="1">
      <c r="A174" s="2113"/>
      <c r="B174" s="2107" t="s">
        <v>1448</v>
      </c>
      <c r="C174" s="2115"/>
      <c r="D174" s="2108"/>
      <c r="E174" s="1801">
        <f>E171</f>
        <v>180</v>
      </c>
      <c r="F174" s="1262" t="s">
        <v>226</v>
      </c>
      <c r="G174" s="1515">
        <v>75</v>
      </c>
      <c r="H174" s="1343">
        <f t="shared" si="56"/>
        <v>13500</v>
      </c>
      <c r="I174" s="1344">
        <v>28</v>
      </c>
      <c r="J174" s="1413">
        <f t="shared" si="57"/>
        <v>5040</v>
      </c>
      <c r="K174" s="1415">
        <f t="shared" si="58"/>
        <v>18540</v>
      </c>
      <c r="L174" s="2152" t="s">
        <v>2667</v>
      </c>
      <c r="M174" s="2118"/>
      <c r="N174" s="2116">
        <v>225</v>
      </c>
      <c r="O174" s="2116">
        <f t="shared" si="59"/>
        <v>75</v>
      </c>
      <c r="P174" s="2117"/>
    </row>
    <row r="175" spans="1:16" s="1765" customFormat="1" ht="24" customHeight="1">
      <c r="A175" s="2113"/>
      <c r="B175" s="2149" t="s">
        <v>1384</v>
      </c>
      <c r="C175" s="2115"/>
      <c r="D175" s="2150"/>
      <c r="E175" s="1801">
        <v>1</v>
      </c>
      <c r="F175" s="1356" t="s">
        <v>1104</v>
      </c>
      <c r="G175" s="1515">
        <f>SUM(H173:H174)*15%</f>
        <v>2025</v>
      </c>
      <c r="H175" s="820">
        <f t="shared" si="56"/>
        <v>2025</v>
      </c>
      <c r="I175" s="1414">
        <f>G175*0.3</f>
        <v>607.5</v>
      </c>
      <c r="J175" s="820">
        <f t="shared" si="57"/>
        <v>608</v>
      </c>
      <c r="K175" s="1457">
        <f t="shared" si="58"/>
        <v>2633</v>
      </c>
      <c r="L175" s="1356"/>
    </row>
    <row r="176" spans="1:16" s="1765" customFormat="1" ht="24" customHeight="1">
      <c r="A176" s="2113"/>
      <c r="B176" s="2107" t="s">
        <v>1117</v>
      </c>
      <c r="C176" s="2115"/>
      <c r="D176" s="2108"/>
      <c r="E176" s="1801"/>
      <c r="F176" s="1262"/>
      <c r="G176" s="1515"/>
      <c r="H176" s="1343"/>
      <c r="I176" s="1344"/>
      <c r="J176" s="1343"/>
      <c r="K176" s="1262"/>
      <c r="L176" s="1262"/>
    </row>
    <row r="177" spans="1:12" s="1765" customFormat="1" ht="24" customHeight="1">
      <c r="A177" s="1804"/>
      <c r="B177" s="1780"/>
      <c r="C177" s="1800"/>
      <c r="D177" s="1260"/>
      <c r="E177" s="1801"/>
      <c r="F177" s="1262"/>
      <c r="G177" s="1515"/>
      <c r="H177" s="1343"/>
      <c r="I177" s="1344"/>
      <c r="J177" s="1343"/>
      <c r="K177" s="1262"/>
      <c r="L177" s="1262"/>
    </row>
    <row r="178" spans="1:12" s="1765" customFormat="1" ht="24" customHeight="1">
      <c r="A178" s="1804"/>
      <c r="B178" s="1780"/>
      <c r="C178" s="1800"/>
      <c r="D178" s="1260"/>
      <c r="E178" s="1801"/>
      <c r="F178" s="1262"/>
      <c r="G178" s="1515"/>
      <c r="H178" s="1343"/>
      <c r="I178" s="1344"/>
      <c r="J178" s="1343"/>
      <c r="K178" s="1262"/>
      <c r="L178" s="1262"/>
    </row>
    <row r="179" spans="1:12" s="1765" customFormat="1" ht="24" customHeight="1">
      <c r="A179" s="1804"/>
      <c r="B179" s="1780"/>
      <c r="C179" s="1800"/>
      <c r="D179" s="1260"/>
      <c r="E179" s="1801"/>
      <c r="F179" s="1262"/>
      <c r="G179" s="1515"/>
      <c r="H179" s="1343"/>
      <c r="I179" s="1344"/>
      <c r="J179" s="1343"/>
      <c r="K179" s="1262"/>
      <c r="L179" s="1262"/>
    </row>
    <row r="180" spans="1:12" s="1765" customFormat="1" ht="24" customHeight="1">
      <c r="A180" s="1804"/>
      <c r="B180" s="1780"/>
      <c r="C180" s="1800"/>
      <c r="D180" s="1260"/>
      <c r="E180" s="1801"/>
      <c r="F180" s="1262"/>
      <c r="G180" s="1515"/>
      <c r="H180" s="1343"/>
      <c r="I180" s="1344"/>
      <c r="J180" s="1343"/>
      <c r="K180" s="1262"/>
      <c r="L180" s="1262"/>
    </row>
    <row r="181" spans="1:12" s="1765" customFormat="1" ht="24" customHeight="1">
      <c r="A181" s="1804"/>
      <c r="B181" s="1780"/>
      <c r="C181" s="1800"/>
      <c r="D181" s="1260"/>
      <c r="E181" s="1801"/>
      <c r="F181" s="1262"/>
      <c r="G181" s="1515"/>
      <c r="H181" s="1343"/>
      <c r="I181" s="1344"/>
      <c r="J181" s="1343"/>
      <c r="K181" s="1262"/>
      <c r="L181" s="1262"/>
    </row>
    <row r="182" spans="1:12" s="1765" customFormat="1" ht="24" customHeight="1">
      <c r="A182" s="1804"/>
      <c r="B182" s="1780"/>
      <c r="C182" s="1800"/>
      <c r="D182" s="1260"/>
      <c r="E182" s="1801"/>
      <c r="F182" s="1262"/>
      <c r="G182" s="1515"/>
      <c r="H182" s="1343"/>
      <c r="I182" s="1344"/>
      <c r="J182" s="1343"/>
      <c r="K182" s="1262"/>
      <c r="L182" s="1262"/>
    </row>
    <row r="183" spans="1:12" s="1765" customFormat="1" ht="24" customHeight="1">
      <c r="A183" s="1865"/>
      <c r="B183" s="1799"/>
      <c r="C183" s="1866"/>
      <c r="D183" s="1375"/>
      <c r="E183" s="1867"/>
      <c r="F183" s="1377"/>
      <c r="G183" s="1868"/>
      <c r="H183" s="1379"/>
      <c r="I183" s="1380"/>
      <c r="J183" s="1379"/>
      <c r="K183" s="1377"/>
      <c r="L183" s="1377"/>
    </row>
    <row r="184" spans="1:12" s="1765" customFormat="1" ht="24" customHeight="1">
      <c r="A184" s="1578"/>
      <c r="B184" s="2257" t="str">
        <f>"รวมราคารายการที่ "&amp;A160</f>
        <v>รวมราคารายการที่ 7.7</v>
      </c>
      <c r="C184" s="2258"/>
      <c r="D184" s="2259"/>
      <c r="E184" s="1579"/>
      <c r="F184" s="1579"/>
      <c r="G184" s="1580"/>
      <c r="H184" s="1581">
        <f>SUM(H160:H183)</f>
        <v>553665</v>
      </c>
      <c r="I184" s="1582"/>
      <c r="J184" s="1581">
        <f>SUM(J160:J183)</f>
        <v>61208</v>
      </c>
      <c r="K184" s="1581">
        <f>SUM(K160:K183)</f>
        <v>614873</v>
      </c>
      <c r="L184" s="1583"/>
    </row>
    <row r="185" spans="1:12" s="1765" customFormat="1" ht="24" customHeight="1">
      <c r="A185" s="1291" t="s">
        <v>2091</v>
      </c>
      <c r="B185" s="1776" t="s">
        <v>2109</v>
      </c>
      <c r="C185" s="1293"/>
      <c r="D185" s="1294"/>
      <c r="E185" s="1786"/>
      <c r="F185" s="1296"/>
      <c r="G185" s="1357"/>
      <c r="H185" s="1298"/>
      <c r="I185" s="1299"/>
      <c r="J185" s="1298"/>
      <c r="K185" s="1382"/>
      <c r="L185" s="1382"/>
    </row>
    <row r="186" spans="1:12" s="1765" customFormat="1" ht="24" customHeight="1">
      <c r="A186" s="1766" t="s">
        <v>2093</v>
      </c>
      <c r="B186" s="1799" t="s">
        <v>2111</v>
      </c>
      <c r="C186" s="1800"/>
      <c r="D186" s="1375"/>
      <c r="E186" s="1802"/>
      <c r="F186" s="1356" t="s">
        <v>363</v>
      </c>
      <c r="G186" s="1803">
        <v>690000</v>
      </c>
      <c r="H186" s="1343">
        <f t="shared" ref="H186" si="60">ROUND(E186*G186,)</f>
        <v>0</v>
      </c>
      <c r="I186" s="1370">
        <v>17250</v>
      </c>
      <c r="J186" s="1343">
        <f t="shared" ref="J186:J193" si="61">ROUND(E186*I186,)</f>
        <v>0</v>
      </c>
      <c r="K186" s="1262">
        <f t="shared" ref="K186:K193" si="62">H186+J186</f>
        <v>0</v>
      </c>
      <c r="L186" s="1356"/>
    </row>
    <row r="187" spans="1:12" s="1765" customFormat="1" ht="24" customHeight="1">
      <c r="A187" s="1766" t="s">
        <v>2096</v>
      </c>
      <c r="B187" s="1799" t="s">
        <v>2113</v>
      </c>
      <c r="C187" s="1800"/>
      <c r="D187" s="1375"/>
      <c r="E187" s="1802"/>
      <c r="F187" s="1356" t="s">
        <v>363</v>
      </c>
      <c r="G187" s="1803">
        <v>80000</v>
      </c>
      <c r="H187" s="1343">
        <f>ROUND(E187*G187,)</f>
        <v>0</v>
      </c>
      <c r="I187" s="1370">
        <v>2000</v>
      </c>
      <c r="J187" s="1343">
        <f t="shared" si="61"/>
        <v>0</v>
      </c>
      <c r="K187" s="1262">
        <f t="shared" si="62"/>
        <v>0</v>
      </c>
      <c r="L187" s="1356"/>
    </row>
    <row r="188" spans="1:12" s="1765" customFormat="1" ht="24" customHeight="1">
      <c r="A188" s="1766" t="s">
        <v>2099</v>
      </c>
      <c r="B188" s="1538" t="s">
        <v>1816</v>
      </c>
      <c r="C188" s="1437"/>
      <c r="D188" s="1275"/>
      <c r="E188" s="1768"/>
      <c r="F188" s="1358"/>
      <c r="G188" s="1516">
        <v>950000</v>
      </c>
      <c r="H188" s="1264">
        <f t="shared" ref="H188:H193" si="63">ROUND(E188*G188,)</f>
        <v>0</v>
      </c>
      <c r="I188" s="1265">
        <f>G188*0.015</f>
        <v>14250</v>
      </c>
      <c r="J188" s="1264">
        <f t="shared" si="61"/>
        <v>0</v>
      </c>
      <c r="K188" s="1273">
        <f t="shared" si="62"/>
        <v>0</v>
      </c>
      <c r="L188" s="1273"/>
    </row>
    <row r="189" spans="1:12" s="1765" customFormat="1" ht="24" customHeight="1">
      <c r="A189" s="1766"/>
      <c r="B189" s="1538" t="s">
        <v>2115</v>
      </c>
      <c r="C189" s="1437"/>
      <c r="D189" s="1275"/>
      <c r="E189" s="1768">
        <v>6</v>
      </c>
      <c r="F189" s="1358" t="s">
        <v>363</v>
      </c>
      <c r="G189" s="1515">
        <v>2650</v>
      </c>
      <c r="H189" s="1343">
        <f t="shared" si="63"/>
        <v>15900</v>
      </c>
      <c r="I189" s="1370">
        <v>500</v>
      </c>
      <c r="J189" s="1343">
        <f t="shared" si="61"/>
        <v>3000</v>
      </c>
      <c r="K189" s="1262">
        <f t="shared" si="62"/>
        <v>18900</v>
      </c>
      <c r="L189" s="1273"/>
    </row>
    <row r="190" spans="1:12" s="1765" customFormat="1" ht="24" customHeight="1">
      <c r="A190" s="1766"/>
      <c r="B190" s="1538" t="s">
        <v>2116</v>
      </c>
      <c r="C190" s="1437"/>
      <c r="D190" s="1275"/>
      <c r="E190" s="1768">
        <v>6</v>
      </c>
      <c r="F190" s="1358" t="s">
        <v>363</v>
      </c>
      <c r="G190" s="1515">
        <v>560</v>
      </c>
      <c r="H190" s="1343">
        <f t="shared" si="63"/>
        <v>3360</v>
      </c>
      <c r="I190" s="1370">
        <v>500</v>
      </c>
      <c r="J190" s="1343">
        <f t="shared" si="61"/>
        <v>3000</v>
      </c>
      <c r="K190" s="1262">
        <f t="shared" si="62"/>
        <v>6360</v>
      </c>
      <c r="L190" s="1273"/>
    </row>
    <row r="191" spans="1:12" s="1765" customFormat="1" ht="24" customHeight="1">
      <c r="A191" s="1258"/>
      <c r="B191" s="1538" t="s">
        <v>2117</v>
      </c>
      <c r="C191" s="1437"/>
      <c r="D191" s="1275"/>
      <c r="E191" s="1768"/>
      <c r="F191" s="1358" t="s">
        <v>363</v>
      </c>
      <c r="G191" s="1515">
        <v>1340</v>
      </c>
      <c r="H191" s="1343">
        <f t="shared" si="63"/>
        <v>0</v>
      </c>
      <c r="I191" s="1370">
        <v>500</v>
      </c>
      <c r="J191" s="1343">
        <f t="shared" si="61"/>
        <v>0</v>
      </c>
      <c r="K191" s="1262">
        <f t="shared" si="62"/>
        <v>0</v>
      </c>
      <c r="L191" s="1273"/>
    </row>
    <row r="192" spans="1:12" s="1765" customFormat="1" ht="24" customHeight="1">
      <c r="A192" s="1258"/>
      <c r="B192" s="1538" t="s">
        <v>2118</v>
      </c>
      <c r="C192" s="1437"/>
      <c r="D192" s="1275"/>
      <c r="E192" s="1768"/>
      <c r="F192" s="1358" t="s">
        <v>363</v>
      </c>
      <c r="G192" s="1515">
        <v>760</v>
      </c>
      <c r="H192" s="1343">
        <f t="shared" si="63"/>
        <v>0</v>
      </c>
      <c r="I192" s="1370">
        <v>500</v>
      </c>
      <c r="J192" s="1343">
        <f t="shared" si="61"/>
        <v>0</v>
      </c>
      <c r="K192" s="1262">
        <f t="shared" si="62"/>
        <v>0</v>
      </c>
      <c r="L192" s="1273"/>
    </row>
    <row r="193" spans="1:15" s="1765" customFormat="1" ht="24" customHeight="1">
      <c r="A193" s="1258"/>
      <c r="B193" s="1538" t="s">
        <v>2119</v>
      </c>
      <c r="C193" s="1437"/>
      <c r="D193" s="1275"/>
      <c r="E193" s="1768">
        <v>6</v>
      </c>
      <c r="F193" s="1358" t="s">
        <v>363</v>
      </c>
      <c r="G193" s="1515">
        <v>1340</v>
      </c>
      <c r="H193" s="1343">
        <f t="shared" si="63"/>
        <v>8040</v>
      </c>
      <c r="I193" s="1370">
        <v>500</v>
      </c>
      <c r="J193" s="1343">
        <f t="shared" si="61"/>
        <v>3000</v>
      </c>
      <c r="K193" s="1262">
        <f t="shared" si="62"/>
        <v>11040</v>
      </c>
      <c r="L193" s="1273"/>
    </row>
    <row r="194" spans="1:15" s="1765" customFormat="1" ht="24" customHeight="1">
      <c r="A194" s="1258"/>
      <c r="B194" s="1538" t="s">
        <v>2120</v>
      </c>
      <c r="C194" s="1437"/>
      <c r="D194" s="1275"/>
      <c r="E194" s="1768"/>
      <c r="F194" s="1358" t="s">
        <v>363</v>
      </c>
      <c r="G194" s="1515"/>
      <c r="H194" s="1369"/>
      <c r="I194" s="1370"/>
      <c r="J194" s="1369"/>
      <c r="K194" s="1356"/>
      <c r="L194" s="1273"/>
    </row>
    <row r="195" spans="1:15" s="1765" customFormat="1" ht="24" customHeight="1">
      <c r="A195" s="1258"/>
      <c r="B195" s="1538" t="s">
        <v>2121</v>
      </c>
      <c r="C195" s="1437"/>
      <c r="D195" s="1275"/>
      <c r="E195" s="1768">
        <v>6</v>
      </c>
      <c r="F195" s="1358" t="s">
        <v>363</v>
      </c>
      <c r="G195" s="1515">
        <v>4550</v>
      </c>
      <c r="H195" s="1343">
        <f t="shared" ref="H195" si="64">ROUND(E195*G195,)</f>
        <v>27300</v>
      </c>
      <c r="I195" s="1370">
        <v>1365</v>
      </c>
      <c r="J195" s="1343">
        <f t="shared" ref="J195" si="65">ROUND(E195*I195,)</f>
        <v>8190</v>
      </c>
      <c r="K195" s="1262">
        <f t="shared" ref="K195" si="66">H195+J195</f>
        <v>35490</v>
      </c>
      <c r="L195" s="1273"/>
    </row>
    <row r="196" spans="1:15" s="1765" customFormat="1" ht="24" customHeight="1">
      <c r="A196" s="1766" t="s">
        <v>2104</v>
      </c>
      <c r="B196" s="1538" t="s">
        <v>2122</v>
      </c>
      <c r="C196" s="1437"/>
      <c r="D196" s="1275"/>
      <c r="E196" s="1768"/>
      <c r="F196" s="1358"/>
      <c r="G196" s="1516"/>
      <c r="H196" s="1264"/>
      <c r="I196" s="1265"/>
      <c r="J196" s="1264"/>
      <c r="K196" s="1273"/>
      <c r="L196" s="1273"/>
    </row>
    <row r="197" spans="1:15" s="1765" customFormat="1" ht="24" customHeight="1">
      <c r="A197" s="1258"/>
      <c r="B197" s="1538" t="s">
        <v>2123</v>
      </c>
      <c r="C197" s="1437"/>
      <c r="D197" s="1275"/>
      <c r="E197" s="1801">
        <f>(7*5*5*1*2)*1</f>
        <v>350</v>
      </c>
      <c r="F197" s="1356" t="s">
        <v>226</v>
      </c>
      <c r="G197" s="1515">
        <v>139</v>
      </c>
      <c r="H197" s="1343">
        <f t="shared" ref="H197:H198" si="67">ROUND(E197*G197,)</f>
        <v>48650</v>
      </c>
      <c r="I197" s="1370">
        <v>21</v>
      </c>
      <c r="J197" s="1343">
        <f t="shared" ref="J197:J198" si="68">ROUND(E197*I197,)</f>
        <v>7350</v>
      </c>
      <c r="K197" s="1262">
        <f t="shared" ref="K197:K198" si="69">H197+J197</f>
        <v>56000</v>
      </c>
      <c r="L197" s="1273"/>
    </row>
    <row r="198" spans="1:15" s="1765" customFormat="1" ht="24" customHeight="1">
      <c r="A198" s="1258"/>
      <c r="B198" s="1538" t="s">
        <v>2124</v>
      </c>
      <c r="C198" s="1437"/>
      <c r="D198" s="1275"/>
      <c r="E198" s="1801">
        <f>(4*5*5*2*1)*1</f>
        <v>200</v>
      </c>
      <c r="F198" s="1356" t="s">
        <v>226</v>
      </c>
      <c r="G198" s="1515">
        <v>103</v>
      </c>
      <c r="H198" s="1343">
        <f t="shared" si="67"/>
        <v>20600</v>
      </c>
      <c r="I198" s="1370">
        <v>15</v>
      </c>
      <c r="J198" s="1343">
        <f t="shared" si="68"/>
        <v>3000</v>
      </c>
      <c r="K198" s="1262">
        <f t="shared" si="69"/>
        <v>23600</v>
      </c>
      <c r="L198" s="1273"/>
    </row>
    <row r="199" spans="1:15" s="1765" customFormat="1" ht="24" customHeight="1">
      <c r="A199" s="1258"/>
      <c r="B199" s="1538" t="s">
        <v>1548</v>
      </c>
      <c r="C199" s="1437"/>
      <c r="D199" s="1275"/>
      <c r="E199" s="1768"/>
      <c r="F199" s="1358" t="s">
        <v>226</v>
      </c>
      <c r="G199" s="1516"/>
      <c r="H199" s="1264"/>
      <c r="I199" s="1265"/>
      <c r="J199" s="1264"/>
      <c r="K199" s="1273"/>
      <c r="L199" s="1273"/>
    </row>
    <row r="200" spans="1:15" s="1765" customFormat="1" ht="24" customHeight="1">
      <c r="A200" s="1804"/>
      <c r="B200" s="1799" t="s">
        <v>2125</v>
      </c>
      <c r="C200" s="1800"/>
      <c r="D200" s="1375"/>
      <c r="E200" s="1801"/>
      <c r="F200" s="1356" t="s">
        <v>226</v>
      </c>
      <c r="G200" s="1515">
        <v>24</v>
      </c>
      <c r="H200" s="1343">
        <f t="shared" ref="H200:H202" si="70">ROUND(E200*G200,)</f>
        <v>0</v>
      </c>
      <c r="I200" s="1370">
        <v>8</v>
      </c>
      <c r="J200" s="1343">
        <f t="shared" ref="J200:J202" si="71">ROUND(E200*I200,)</f>
        <v>0</v>
      </c>
      <c r="K200" s="1262">
        <f t="shared" ref="K200:K202" si="72">H200+J200</f>
        <v>0</v>
      </c>
      <c r="L200" s="1356"/>
    </row>
    <row r="201" spans="1:15" s="1765" customFormat="1" ht="24" customHeight="1">
      <c r="A201" s="1804"/>
      <c r="B201" s="1799" t="s">
        <v>2126</v>
      </c>
      <c r="C201" s="1800"/>
      <c r="D201" s="1375"/>
      <c r="E201" s="1801"/>
      <c r="F201" s="1356" t="s">
        <v>226</v>
      </c>
      <c r="G201" s="1515">
        <v>15</v>
      </c>
      <c r="H201" s="1343">
        <f t="shared" si="70"/>
        <v>0</v>
      </c>
      <c r="I201" s="1370">
        <v>5</v>
      </c>
      <c r="J201" s="1343">
        <f t="shared" si="71"/>
        <v>0</v>
      </c>
      <c r="K201" s="1262">
        <f t="shared" si="72"/>
        <v>0</v>
      </c>
      <c r="L201" s="1356"/>
    </row>
    <row r="202" spans="1:15" s="1765" customFormat="1" ht="24" customHeight="1">
      <c r="A202" s="1804"/>
      <c r="B202" s="1799" t="s">
        <v>2127</v>
      </c>
      <c r="C202" s="1800"/>
      <c r="D202" s="1375"/>
      <c r="E202" s="1801">
        <v>1</v>
      </c>
      <c r="F202" s="1356" t="s">
        <v>1104</v>
      </c>
      <c r="G202" s="1515">
        <f>SUM(H197:H201)*5%</f>
        <v>3462.5</v>
      </c>
      <c r="H202" s="1343">
        <f t="shared" si="70"/>
        <v>3463</v>
      </c>
      <c r="I202" s="1370">
        <v>19745</v>
      </c>
      <c r="J202" s="1343">
        <f t="shared" si="71"/>
        <v>19745</v>
      </c>
      <c r="K202" s="1262">
        <f t="shared" si="72"/>
        <v>23208</v>
      </c>
      <c r="L202" s="1356"/>
    </row>
    <row r="203" spans="1:15" s="1765" customFormat="1" ht="24" customHeight="1">
      <c r="A203" s="1766" t="s">
        <v>2581</v>
      </c>
      <c r="B203" s="1538" t="s">
        <v>1110</v>
      </c>
      <c r="C203" s="1437"/>
      <c r="D203" s="1275"/>
      <c r="E203" s="1768"/>
      <c r="F203" s="1358"/>
      <c r="G203" s="1515"/>
      <c r="H203" s="1264"/>
      <c r="I203" s="1265"/>
      <c r="J203" s="1264"/>
      <c r="K203" s="1273"/>
      <c r="L203" s="1273"/>
    </row>
    <row r="204" spans="1:15" s="1765" customFormat="1" ht="24" customHeight="1">
      <c r="A204" s="1766"/>
      <c r="B204" s="1538" t="s">
        <v>1350</v>
      </c>
      <c r="C204" s="1437"/>
      <c r="D204" s="1275"/>
      <c r="E204" s="1768">
        <f>(3*5*2*1)*1</f>
        <v>30</v>
      </c>
      <c r="F204" s="1358" t="s">
        <v>226</v>
      </c>
      <c r="G204" s="2004">
        <v>56</v>
      </c>
      <c r="H204" s="1413">
        <f t="shared" ref="H204:H205" si="73">ROUND(E204*G204,)</f>
        <v>1680</v>
      </c>
      <c r="I204" s="1541">
        <v>28</v>
      </c>
      <c r="J204" s="2006">
        <f t="shared" ref="J204:J205" si="74">ROUND(E204*I204,)</f>
        <v>840</v>
      </c>
      <c r="K204" s="715">
        <f t="shared" ref="K204:K205" si="75">H204+J204</f>
        <v>2520</v>
      </c>
      <c r="L204" s="2082" t="s">
        <v>2667</v>
      </c>
      <c r="M204" s="2002"/>
      <c r="N204" s="1199">
        <v>169.2</v>
      </c>
      <c r="O204" s="1199">
        <f>ROUND(N204/3,)</f>
        <v>56</v>
      </c>
    </row>
    <row r="205" spans="1:15" s="1765" customFormat="1" ht="24" customHeight="1">
      <c r="A205" s="1804"/>
      <c r="B205" s="1799" t="s">
        <v>2128</v>
      </c>
      <c r="C205" s="1800"/>
      <c r="D205" s="1375"/>
      <c r="E205" s="1801">
        <v>1</v>
      </c>
      <c r="F205" s="1356" t="s">
        <v>1104</v>
      </c>
      <c r="G205" s="1515">
        <f>H204*15%</f>
        <v>252</v>
      </c>
      <c r="H205" s="1343">
        <f t="shared" si="73"/>
        <v>252</v>
      </c>
      <c r="I205" s="1370">
        <v>58174</v>
      </c>
      <c r="J205" s="1343">
        <f t="shared" si="74"/>
        <v>58174</v>
      </c>
      <c r="K205" s="1262">
        <f t="shared" si="75"/>
        <v>58426</v>
      </c>
      <c r="L205" s="1356"/>
    </row>
    <row r="206" spans="1:15" s="1765" customFormat="1" ht="24" customHeight="1">
      <c r="A206" s="1766" t="s">
        <v>2582</v>
      </c>
      <c r="B206" s="1538" t="s">
        <v>1343</v>
      </c>
      <c r="C206" s="1437"/>
      <c r="D206" s="1275"/>
      <c r="E206" s="1768"/>
      <c r="F206" s="1358"/>
      <c r="G206" s="1515"/>
      <c r="H206" s="1264"/>
      <c r="I206" s="1265"/>
      <c r="J206" s="1264"/>
      <c r="K206" s="1273"/>
      <c r="L206" s="1273"/>
    </row>
    <row r="207" spans="1:15" s="1765" customFormat="1" ht="24" customHeight="1">
      <c r="A207" s="1258"/>
      <c r="B207" s="1538" t="s">
        <v>2129</v>
      </c>
      <c r="C207" s="1437"/>
      <c r="D207" s="1275"/>
      <c r="E207" s="1801"/>
      <c r="F207" s="1356" t="s">
        <v>226</v>
      </c>
      <c r="G207" s="1386">
        <v>316</v>
      </c>
      <c r="H207" s="1343">
        <f t="shared" ref="H207:H208" si="76">ROUND(E207*G207,)</f>
        <v>0</v>
      </c>
      <c r="I207" s="1414">
        <v>50</v>
      </c>
      <c r="J207" s="1343">
        <f t="shared" ref="J207:J208" si="77">ROUND(E207*I207,)</f>
        <v>0</v>
      </c>
      <c r="K207" s="1262">
        <f t="shared" ref="K207:K208" si="78">H207+J207</f>
        <v>0</v>
      </c>
      <c r="L207" s="1273"/>
    </row>
    <row r="208" spans="1:15" s="1765" customFormat="1" ht="24" customHeight="1">
      <c r="A208" s="1258"/>
      <c r="B208" s="1538" t="s">
        <v>2128</v>
      </c>
      <c r="C208" s="1437"/>
      <c r="D208" s="1275"/>
      <c r="E208" s="1801"/>
      <c r="F208" s="1356" t="s">
        <v>1104</v>
      </c>
      <c r="G208" s="1515">
        <f>H207*15%</f>
        <v>0</v>
      </c>
      <c r="H208" s="1343">
        <f t="shared" si="76"/>
        <v>0</v>
      </c>
      <c r="I208" s="1370">
        <v>16637</v>
      </c>
      <c r="J208" s="1343">
        <f t="shared" si="77"/>
        <v>0</v>
      </c>
      <c r="K208" s="1262">
        <f t="shared" si="78"/>
        <v>0</v>
      </c>
      <c r="L208" s="1273"/>
    </row>
    <row r="209" spans="1:12" s="1199" customFormat="1" ht="22.15" customHeight="1">
      <c r="A209" s="1578"/>
      <c r="B209" s="2257" t="str">
        <f>"รวมราคารายการที่ "&amp;A185</f>
        <v>รวมราคารายการที่ 7.8</v>
      </c>
      <c r="C209" s="2258"/>
      <c r="D209" s="2259"/>
      <c r="E209" s="1579"/>
      <c r="F209" s="1579"/>
      <c r="G209" s="1580"/>
      <c r="H209" s="1581">
        <f>SUM(H185:H208)</f>
        <v>129245</v>
      </c>
      <c r="I209" s="1582"/>
      <c r="J209" s="1581">
        <f>SUM(J185:J208)</f>
        <v>106299</v>
      </c>
      <c r="K209" s="1581">
        <f>SUM(K185:K208)</f>
        <v>235544</v>
      </c>
      <c r="L209" s="1583"/>
    </row>
    <row r="210" spans="1:12">
      <c r="A210" s="1427"/>
      <c r="B210" s="1199"/>
      <c r="C210" s="1199"/>
      <c r="D210" s="1199"/>
      <c r="E210" s="1199"/>
      <c r="F210" s="1199"/>
      <c r="G210" s="1199"/>
      <c r="H210" s="1199"/>
      <c r="I210" s="1199"/>
      <c r="J210" s="1199"/>
      <c r="K210" s="1199"/>
      <c r="L210" s="1199"/>
    </row>
    <row r="211" spans="1:12">
      <c r="A211" s="1427"/>
      <c r="B211" s="1199"/>
      <c r="C211" s="1199"/>
      <c r="D211" s="1199"/>
      <c r="E211" s="1199"/>
      <c r="F211" s="1199"/>
      <c r="G211" s="1199"/>
      <c r="H211" s="1199"/>
      <c r="I211" s="1199"/>
      <c r="J211" s="1199"/>
      <c r="K211" s="1199"/>
      <c r="L211" s="1199"/>
    </row>
    <row r="212" spans="1:12">
      <c r="A212" s="1427"/>
      <c r="B212" s="1199"/>
      <c r="C212" s="1199"/>
      <c r="D212" s="1199"/>
      <c r="E212" s="1199"/>
      <c r="F212" s="1199"/>
      <c r="G212" s="1199"/>
      <c r="H212" s="1199"/>
      <c r="I212" s="1199"/>
      <c r="J212" s="1199"/>
      <c r="K212" s="1199"/>
      <c r="L212" s="1199"/>
    </row>
    <row r="219" spans="1:12">
      <c r="B219" s="1805"/>
    </row>
    <row r="220" spans="1:12">
      <c r="B220" s="1805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159:D159"/>
    <mergeCell ref="B184:D184"/>
    <mergeCell ref="B209:D209"/>
    <mergeCell ref="B34:D34"/>
    <mergeCell ref="B49:D49"/>
    <mergeCell ref="B59:D59"/>
    <mergeCell ref="B70:D70"/>
    <mergeCell ref="B98:D98"/>
    <mergeCell ref="B122:D122"/>
  </mergeCells>
  <conditionalFormatting sqref="A160:L161 A169:L169 A172:L172 A170:F170 A176:L183 A173:F173 G168:L168 A168:B168 A175:F175 H175:L175">
    <cfRule type="expression" dxfId="96" priority="24">
      <formula>SUMPRODUCT(--(ROW()=$O$12:$O$18))&gt;0</formula>
    </cfRule>
  </conditionalFormatting>
  <conditionalFormatting sqref="A79:D81 L79:L81 F79:F81">
    <cfRule type="expression" dxfId="95" priority="23">
      <formula>SUMPRODUCT(--(ROW()=$O$12:$O$18))&gt;0</formula>
    </cfRule>
  </conditionalFormatting>
  <conditionalFormatting sqref="A110:L116">
    <cfRule type="expression" dxfId="94" priority="22">
      <formula>SUMPRODUCT(--(ROW()=$O$12:$O$18))&gt;0</formula>
    </cfRule>
  </conditionalFormatting>
  <conditionalFormatting sqref="C168:F168">
    <cfRule type="expression" dxfId="93" priority="15">
      <formula>SUMPRODUCT(--(ROW()=$O$12:$O$18))&gt;0</formula>
    </cfRule>
  </conditionalFormatting>
  <conditionalFormatting sqref="C47:L48 C45:D45 L45 E49:L49 A35:L35 F44:L44 A36 C36:L36 C43:L43 A43:A45 A47:A49">
    <cfRule type="expression" dxfId="92" priority="13">
      <formula>SUMPRODUCT(--(ROW()=$O$12:$O$18))&gt;0</formula>
    </cfRule>
  </conditionalFormatting>
  <conditionalFormatting sqref="G108:K109">
    <cfRule type="expression" dxfId="91" priority="12">
      <formula>SUMPRODUCT(--(ROW()=$R$12:$R$22))&gt;0</formula>
    </cfRule>
  </conditionalFormatting>
  <conditionalFormatting sqref="I79:I81">
    <cfRule type="expression" dxfId="90" priority="11">
      <formula>SUMPRODUCT(--(ROW()=$O$12:$O$22))&gt;0</formula>
    </cfRule>
  </conditionalFormatting>
  <conditionalFormatting sqref="G79:G80">
    <cfRule type="expression" dxfId="89" priority="10">
      <formula>SUMPRODUCT(--(ROW()=$O$14:$O$24))&gt;0</formula>
    </cfRule>
  </conditionalFormatting>
  <conditionalFormatting sqref="H87:H90">
    <cfRule type="expression" dxfId="88" priority="9">
      <formula>SUMPRODUCT(--(ROW()=$O$14:$O$24))&gt;0</formula>
    </cfRule>
  </conditionalFormatting>
  <conditionalFormatting sqref="G81">
    <cfRule type="expression" dxfId="87" priority="8">
      <formula>SUMPRODUCT(--(ROW()=$O$14:$O$24))&gt;0</formula>
    </cfRule>
  </conditionalFormatting>
  <conditionalFormatting sqref="A171:K171">
    <cfRule type="expression" dxfId="86" priority="3">
      <formula>SUMPRODUCT(--(ROW()=$O$12:$O$24))&gt;0</formula>
    </cfRule>
  </conditionalFormatting>
  <conditionalFormatting sqref="A174:F174">
    <cfRule type="expression" dxfId="85" priority="2">
      <formula>SUMPRODUCT(--(ROW()=$O$12:$O$24))&gt;0</formula>
    </cfRule>
  </conditionalFormatting>
  <conditionalFormatting sqref="E79:E80">
    <cfRule type="expression" dxfId="84" priority="1">
      <formula>SUMPRODUCT(--(ROW()=$W$12:$W$21))&gt;0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4-อาคารด้านทิศตะวันตก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D5F9A-4843-4220-929B-F0CDBC040628}">
  <sheetPr>
    <tabColor rgb="FFFFFF00"/>
  </sheetPr>
  <dimension ref="A1:T245"/>
  <sheetViews>
    <sheetView showGridLines="0" view="pageBreakPreview" topLeftCell="A190" zoomScale="70" zoomScaleNormal="60" zoomScaleSheetLayoutView="70" workbookViewId="0">
      <selection activeCell="D187" sqref="D187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7.2929687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.29296875" style="1" customWidth="1"/>
    <col min="13" max="81" width="7.703125" style="1" customWidth="1"/>
    <col min="82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ht="24" customHeight="1">
      <c r="A11" s="1871" t="s">
        <v>24</v>
      </c>
      <c r="B11" s="1872" t="s">
        <v>2317</v>
      </c>
      <c r="C11" s="1716"/>
      <c r="D11" s="1873"/>
      <c r="E11" s="1874"/>
      <c r="F11" s="1874"/>
      <c r="G11" s="1875"/>
      <c r="H11" s="1549"/>
      <c r="I11" s="1876"/>
      <c r="J11" s="1549"/>
      <c r="K11" s="1877"/>
      <c r="L11" s="1877"/>
    </row>
    <row r="12" spans="1:12" s="1199" customFormat="1" ht="24" customHeight="1">
      <c r="A12" s="1564" t="str">
        <f>A35</f>
        <v>7.1</v>
      </c>
      <c r="B12" s="1538" t="str">
        <f>B35</f>
        <v>เครื่องส่งลมเย็นขนาดใหญ่ (Air Handling Unit)</v>
      </c>
      <c r="C12" s="1533"/>
      <c r="D12" s="1534"/>
      <c r="E12" s="1753">
        <v>1</v>
      </c>
      <c r="F12" s="1567" t="s">
        <v>19</v>
      </c>
      <c r="G12" s="1195"/>
      <c r="H12" s="1196">
        <f>H59</f>
        <v>2463075</v>
      </c>
      <c r="I12" s="1197"/>
      <c r="J12" s="1196">
        <f>J59</f>
        <v>128754</v>
      </c>
      <c r="K12" s="1196">
        <f t="shared" ref="K12:K17" si="0">SUM(H12:J12)</f>
        <v>2591829</v>
      </c>
      <c r="L12" s="1531"/>
    </row>
    <row r="13" spans="1:12" s="1199" customFormat="1" ht="24" customHeight="1">
      <c r="A13" s="1564">
        <f>A60</f>
        <v>7.2</v>
      </c>
      <c r="B13" s="1538" t="str">
        <f>B60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H70</f>
        <v>284900</v>
      </c>
      <c r="I13" s="1197"/>
      <c r="J13" s="1196">
        <f>J70</f>
        <v>2950</v>
      </c>
      <c r="K13" s="1196">
        <f t="shared" si="0"/>
        <v>287850</v>
      </c>
      <c r="L13" s="1531"/>
    </row>
    <row r="14" spans="1:12" s="1199" customFormat="1" ht="24" customHeight="1">
      <c r="A14" s="1564">
        <f>A71</f>
        <v>7.3</v>
      </c>
      <c r="B14" s="1816" t="str">
        <f>B71</f>
        <v>งานท่อ (Piping Work)</v>
      </c>
      <c r="C14" s="1533"/>
      <c r="D14" s="1534"/>
      <c r="E14" s="1753">
        <v>1</v>
      </c>
      <c r="F14" s="1567" t="s">
        <v>19</v>
      </c>
      <c r="G14" s="1195"/>
      <c r="H14" s="1196">
        <f>H95</f>
        <v>485807</v>
      </c>
      <c r="I14" s="1197"/>
      <c r="J14" s="1196">
        <f>J95</f>
        <v>179223</v>
      </c>
      <c r="K14" s="1196">
        <f t="shared" si="0"/>
        <v>665030</v>
      </c>
      <c r="L14" s="1531"/>
    </row>
    <row r="15" spans="1:12" s="1199" customFormat="1" ht="24" customHeight="1">
      <c r="A15" s="1755" t="str">
        <f>A96</f>
        <v>7.4</v>
      </c>
      <c r="B15" s="1816" t="str">
        <f>B96</f>
        <v>ฉนวนหุ้มท่อ (Pipe Insulation)</v>
      </c>
      <c r="C15" s="1533"/>
      <c r="D15" s="1534"/>
      <c r="E15" s="1753">
        <v>1</v>
      </c>
      <c r="F15" s="1567" t="s">
        <v>19</v>
      </c>
      <c r="G15" s="1195"/>
      <c r="H15" s="1196">
        <f>H113</f>
        <v>156588</v>
      </c>
      <c r="I15" s="1197"/>
      <c r="J15" s="1196">
        <f>J113</f>
        <v>41739</v>
      </c>
      <c r="K15" s="1196">
        <f t="shared" si="0"/>
        <v>198327</v>
      </c>
      <c r="L15" s="1531"/>
    </row>
    <row r="16" spans="1:12" s="1199" customFormat="1" ht="24" customHeight="1">
      <c r="A16" s="1537" t="str">
        <f>A114</f>
        <v>7.5</v>
      </c>
      <c r="B16" s="1840" t="str">
        <f>B114</f>
        <v>วาล์วและอุปกรณ์ประกอบ  (Valve &amp; Pipe Accessories)</v>
      </c>
      <c r="C16" s="1533"/>
      <c r="D16" s="1534"/>
      <c r="E16" s="1753">
        <v>1</v>
      </c>
      <c r="F16" s="1567" t="s">
        <v>19</v>
      </c>
      <c r="G16" s="1195"/>
      <c r="H16" s="1196">
        <f>H149</f>
        <v>168039</v>
      </c>
      <c r="I16" s="1197"/>
      <c r="J16" s="1196">
        <f>J149</f>
        <v>23050</v>
      </c>
      <c r="K16" s="1196">
        <f t="shared" si="0"/>
        <v>191089</v>
      </c>
      <c r="L16" s="1531"/>
    </row>
    <row r="17" spans="1:12" s="1199" customFormat="1" ht="24" customHeight="1">
      <c r="A17" s="1537" t="str">
        <f>A150</f>
        <v>7.6</v>
      </c>
      <c r="B17" s="1816" t="str">
        <f>B150</f>
        <v>ระบบไฟฟ้าและควบคุม (Electrical &amp; Control System)</v>
      </c>
      <c r="C17" s="1533"/>
      <c r="D17" s="1534"/>
      <c r="E17" s="1753">
        <v>1</v>
      </c>
      <c r="F17" s="1567" t="s">
        <v>19</v>
      </c>
      <c r="G17" s="1195"/>
      <c r="H17" s="1196">
        <f>H169</f>
        <v>567231</v>
      </c>
      <c r="I17" s="1197"/>
      <c r="J17" s="1196">
        <f>J169</f>
        <v>64118</v>
      </c>
      <c r="K17" s="1196">
        <f t="shared" si="0"/>
        <v>631349</v>
      </c>
      <c r="L17" s="1531"/>
    </row>
    <row r="18" spans="1:12" s="1199" customFormat="1" ht="24" customHeight="1">
      <c r="A18" s="1537" t="str">
        <f>A170</f>
        <v>7.7</v>
      </c>
      <c r="B18" s="1816" t="str">
        <f>B170</f>
        <v>ระบบกรองอากาศ (Air Filtration System)</v>
      </c>
      <c r="C18" s="1533"/>
      <c r="D18" s="1534"/>
      <c r="E18" s="1753">
        <v>1</v>
      </c>
      <c r="F18" s="1567" t="s">
        <v>19</v>
      </c>
      <c r="G18" s="1195"/>
      <c r="H18" s="1196">
        <f>H184</f>
        <v>46000</v>
      </c>
      <c r="I18" s="1197"/>
      <c r="J18" s="1196">
        <f>J184</f>
        <v>3000</v>
      </c>
      <c r="K18" s="1196">
        <f>K184</f>
        <v>49000</v>
      </c>
      <c r="L18" s="1531"/>
    </row>
    <row r="19" spans="1:12" s="1199" customFormat="1" ht="24" customHeight="1">
      <c r="A19" s="1537" t="str">
        <f>A185</f>
        <v>7.8</v>
      </c>
      <c r="B19" s="1840" t="str">
        <f>B185</f>
        <v>หมวดงานเชื่อมต่อกับระบบ BAS</v>
      </c>
      <c r="C19" s="1533"/>
      <c r="D19" s="1534"/>
      <c r="E19" s="1753">
        <v>1</v>
      </c>
      <c r="F19" s="1567" t="s">
        <v>19</v>
      </c>
      <c r="G19" s="1195"/>
      <c r="H19" s="1196">
        <f>H209</f>
        <v>120145</v>
      </c>
      <c r="I19" s="1197"/>
      <c r="J19" s="1196">
        <f>J209</f>
        <v>103434</v>
      </c>
      <c r="K19" s="1196">
        <f>K209</f>
        <v>223579</v>
      </c>
      <c r="L19" s="1531"/>
    </row>
    <row r="20" spans="1:12" s="1199" customFormat="1" ht="24" customHeight="1">
      <c r="A20" s="1537"/>
      <c r="B20" s="1538"/>
      <c r="C20" s="1533"/>
      <c r="D20" s="1534"/>
      <c r="E20" s="1567"/>
      <c r="F20" s="1567"/>
      <c r="G20" s="1195"/>
      <c r="H20" s="1196"/>
      <c r="I20" s="1197"/>
      <c r="J20" s="1196"/>
      <c r="K20" s="1553"/>
      <c r="L20" s="1531"/>
    </row>
    <row r="21" spans="1:12" s="1199" customFormat="1" ht="24" customHeight="1">
      <c r="A21" s="1537"/>
      <c r="B21" s="1538"/>
      <c r="C21" s="1533"/>
      <c r="D21" s="1534"/>
      <c r="E21" s="1567"/>
      <c r="F21" s="1567"/>
      <c r="G21" s="1195"/>
      <c r="H21" s="1196"/>
      <c r="I21" s="1197"/>
      <c r="J21" s="1196"/>
      <c r="K21" s="1553"/>
      <c r="L21" s="1531"/>
    </row>
    <row r="22" spans="1:12" s="1199" customFormat="1" ht="24" customHeight="1">
      <c r="A22" s="1537"/>
      <c r="B22" s="1538"/>
      <c r="C22" s="1533"/>
      <c r="D22" s="1534"/>
      <c r="E22" s="1567"/>
      <c r="F22" s="1567"/>
      <c r="G22" s="1195"/>
      <c r="H22" s="1196"/>
      <c r="I22" s="1197"/>
      <c r="J22" s="1196"/>
      <c r="K22" s="1553"/>
      <c r="L22" s="1531"/>
    </row>
    <row r="23" spans="1:12" s="1199" customFormat="1" ht="24" customHeight="1">
      <c r="A23" s="1537"/>
      <c r="B23" s="1538"/>
      <c r="C23" s="1533"/>
      <c r="D23" s="1534"/>
      <c r="E23" s="1567"/>
      <c r="F23" s="1567"/>
      <c r="G23" s="1195"/>
      <c r="H23" s="1196"/>
      <c r="I23" s="1197"/>
      <c r="J23" s="1196"/>
      <c r="K23" s="1553"/>
      <c r="L23" s="1531"/>
    </row>
    <row r="24" spans="1:12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553"/>
      <c r="L24" s="1531"/>
    </row>
    <row r="25" spans="1:12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</row>
    <row r="26" spans="1:12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</row>
    <row r="27" spans="1:12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</row>
    <row r="28" spans="1:12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</row>
    <row r="29" spans="1:12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</row>
    <row r="30" spans="1:12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</row>
    <row r="31" spans="1:12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</row>
    <row r="32" spans="1:12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</row>
    <row r="33" spans="1:20" s="1199" customFormat="1" ht="24" customHeight="1">
      <c r="A33" s="1841"/>
      <c r="B33" s="1792"/>
      <c r="C33" s="1731"/>
      <c r="D33" s="1732"/>
      <c r="E33" s="1734"/>
      <c r="F33" s="1734"/>
      <c r="G33" s="1842"/>
      <c r="H33" s="1843"/>
      <c r="I33" s="1844"/>
      <c r="J33" s="1843"/>
      <c r="K33" s="1845"/>
      <c r="L33" s="1846"/>
    </row>
    <row r="34" spans="1:20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11</v>
      </c>
      <c r="C34" s="2258"/>
      <c r="D34" s="2259"/>
      <c r="E34" s="1579"/>
      <c r="F34" s="1579"/>
      <c r="G34" s="1580"/>
      <c r="H34" s="1581">
        <f>SUM(H11:H33)</f>
        <v>4291785</v>
      </c>
      <c r="I34" s="1582"/>
      <c r="J34" s="1581">
        <f>SUM(J11:J33)</f>
        <v>546268</v>
      </c>
      <c r="K34" s="1583">
        <f>SUM(K11:K33)</f>
        <v>4838053</v>
      </c>
      <c r="L34" s="1583"/>
    </row>
    <row r="35" spans="1:20" s="1765" customFormat="1" ht="24" customHeight="1">
      <c r="A35" s="1291" t="s">
        <v>2246</v>
      </c>
      <c r="B35" s="1776" t="s">
        <v>2247</v>
      </c>
      <c r="C35" s="1293"/>
      <c r="D35" s="1294"/>
      <c r="E35" s="1768"/>
      <c r="F35" s="1296"/>
      <c r="G35" s="1708"/>
      <c r="H35" s="1298"/>
      <c r="I35" s="1299"/>
      <c r="J35" s="1298"/>
      <c r="K35" s="1382"/>
      <c r="L35" s="1382"/>
    </row>
    <row r="36" spans="1:20" s="1765" customFormat="1" ht="24" customHeight="1">
      <c r="A36" s="1766" t="s">
        <v>1984</v>
      </c>
      <c r="B36" s="1780" t="s">
        <v>2133</v>
      </c>
      <c r="C36" s="1260"/>
      <c r="D36" s="1781"/>
      <c r="E36" s="1768"/>
      <c r="F36" s="1296"/>
      <c r="G36" s="1708"/>
      <c r="H36" s="1298"/>
      <c r="I36" s="1299"/>
      <c r="J36" s="1298"/>
      <c r="K36" s="1382"/>
      <c r="L36" s="1382"/>
    </row>
    <row r="37" spans="1:20" s="1765" customFormat="1" ht="24" customHeight="1">
      <c r="A37" s="1766"/>
      <c r="B37" s="1780" t="s">
        <v>2318</v>
      </c>
      <c r="C37" s="1260"/>
      <c r="D37" s="1781"/>
      <c r="E37" s="1768">
        <v>1</v>
      </c>
      <c r="F37" s="1296" t="s">
        <v>363</v>
      </c>
      <c r="G37" s="1708">
        <f>155000*0.75</f>
        <v>116250</v>
      </c>
      <c r="H37" s="820">
        <f t="shared" ref="H37:H48" si="1">ROUND(E37*G37,)</f>
        <v>116250</v>
      </c>
      <c r="I37" s="1299">
        <f>ROUND(G37*0.05,)</f>
        <v>5813</v>
      </c>
      <c r="J37" s="820">
        <f t="shared" ref="J37:J48" si="2">ROUND(E37*I37,)</f>
        <v>5813</v>
      </c>
      <c r="K37" s="1457">
        <f t="shared" ref="K37:K48" si="3">H37+J37</f>
        <v>122063</v>
      </c>
      <c r="L37" s="1382"/>
    </row>
    <row r="38" spans="1:20" s="1765" customFormat="1" ht="24" customHeight="1">
      <c r="A38" s="1766"/>
      <c r="B38" s="1780" t="s">
        <v>2319</v>
      </c>
      <c r="C38" s="1260"/>
      <c r="D38" s="1781"/>
      <c r="E38" s="1768">
        <v>1</v>
      </c>
      <c r="F38" s="1296" t="s">
        <v>363</v>
      </c>
      <c r="G38" s="1708">
        <f>155000*0.75</f>
        <v>116250</v>
      </c>
      <c r="H38" s="820">
        <f t="shared" si="1"/>
        <v>116250</v>
      </c>
      <c r="I38" s="1299">
        <f>ROUND(G38*0.05,)</f>
        <v>5813</v>
      </c>
      <c r="J38" s="820">
        <f t="shared" si="2"/>
        <v>5813</v>
      </c>
      <c r="K38" s="1457">
        <f t="shared" si="3"/>
        <v>122063</v>
      </c>
      <c r="L38" s="1382"/>
    </row>
    <row r="39" spans="1:20" s="1765" customFormat="1" ht="24" customHeight="1">
      <c r="A39" s="2112"/>
      <c r="B39" s="2107" t="s">
        <v>2320</v>
      </c>
      <c r="C39" s="2108"/>
      <c r="D39" s="2109"/>
      <c r="E39" s="1801">
        <v>1</v>
      </c>
      <c r="F39" s="1356" t="s">
        <v>363</v>
      </c>
      <c r="G39" s="2168">
        <f>155000*0.75</f>
        <v>116250</v>
      </c>
      <c r="H39" s="820">
        <f t="shared" si="1"/>
        <v>116250</v>
      </c>
      <c r="I39" s="1370">
        <f>ROUND(G39*0.05,)</f>
        <v>5813</v>
      </c>
      <c r="J39" s="820">
        <f t="shared" si="2"/>
        <v>5813</v>
      </c>
      <c r="K39" s="1457">
        <f t="shared" si="3"/>
        <v>122063</v>
      </c>
      <c r="L39" s="1356"/>
    </row>
    <row r="40" spans="1:20" s="2116" customFormat="1" ht="24" customHeight="1">
      <c r="A40" s="2112"/>
      <c r="B40" s="2164" t="s">
        <v>2859</v>
      </c>
      <c r="C40" s="2111"/>
      <c r="D40" s="2165"/>
      <c r="E40" s="825">
        <v>1</v>
      </c>
      <c r="F40" s="1457" t="s">
        <v>363</v>
      </c>
      <c r="G40" s="1769">
        <v>409425</v>
      </c>
      <c r="H40" s="1413">
        <f t="shared" si="1"/>
        <v>409425</v>
      </c>
      <c r="I40" s="1455">
        <f>G40*0.05</f>
        <v>20471.25</v>
      </c>
      <c r="J40" s="1413">
        <f t="shared" si="2"/>
        <v>20471</v>
      </c>
      <c r="K40" s="1415">
        <f t="shared" si="3"/>
        <v>429896</v>
      </c>
      <c r="L40" s="1457"/>
      <c r="M40" s="2120"/>
      <c r="N40" s="2120"/>
      <c r="O40" s="2120"/>
      <c r="P40" s="2120"/>
      <c r="Q40" s="2120"/>
      <c r="R40" s="2120"/>
      <c r="S40" s="2120"/>
      <c r="T40" s="2120"/>
    </row>
    <row r="41" spans="1:20" s="2116" customFormat="1" ht="24" customHeight="1">
      <c r="A41" s="2112"/>
      <c r="B41" s="2164" t="s">
        <v>2860</v>
      </c>
      <c r="C41" s="2111"/>
      <c r="D41" s="2165"/>
      <c r="E41" s="825">
        <v>1</v>
      </c>
      <c r="F41" s="1457" t="s">
        <v>363</v>
      </c>
      <c r="G41" s="1769">
        <v>409425</v>
      </c>
      <c r="H41" s="1413">
        <f t="shared" si="1"/>
        <v>409425</v>
      </c>
      <c r="I41" s="1455">
        <f t="shared" ref="I41:I42" si="4">G41*0.05</f>
        <v>20471.25</v>
      </c>
      <c r="J41" s="1413">
        <f t="shared" si="2"/>
        <v>20471</v>
      </c>
      <c r="K41" s="1415">
        <f t="shared" si="3"/>
        <v>429896</v>
      </c>
      <c r="L41" s="1457"/>
      <c r="M41" s="2120"/>
      <c r="N41" s="2120"/>
      <c r="O41" s="2120"/>
      <c r="P41" s="2120"/>
      <c r="Q41" s="2120"/>
      <c r="R41" s="2120"/>
      <c r="S41" s="2120"/>
      <c r="T41" s="2120"/>
    </row>
    <row r="42" spans="1:20" s="2116" customFormat="1" ht="24" customHeight="1">
      <c r="A42" s="2112"/>
      <c r="B42" s="2164" t="s">
        <v>2861</v>
      </c>
      <c r="C42" s="2111"/>
      <c r="D42" s="2165"/>
      <c r="E42" s="825">
        <v>1</v>
      </c>
      <c r="F42" s="1457" t="s">
        <v>363</v>
      </c>
      <c r="G42" s="1769">
        <v>409425</v>
      </c>
      <c r="H42" s="1413">
        <f t="shared" si="1"/>
        <v>409425</v>
      </c>
      <c r="I42" s="1455">
        <f t="shared" si="4"/>
        <v>20471.25</v>
      </c>
      <c r="J42" s="1413">
        <f t="shared" si="2"/>
        <v>20471</v>
      </c>
      <c r="K42" s="1415">
        <f t="shared" si="3"/>
        <v>429896</v>
      </c>
      <c r="L42" s="1457"/>
      <c r="M42" s="2120"/>
      <c r="N42" s="2120"/>
      <c r="O42" s="2120"/>
      <c r="P42" s="2120"/>
      <c r="Q42" s="2120"/>
      <c r="R42" s="2120"/>
      <c r="S42" s="2120"/>
      <c r="T42" s="2120"/>
    </row>
    <row r="43" spans="1:20" s="2116" customFormat="1" ht="24" customHeight="1">
      <c r="A43" s="2112"/>
      <c r="B43" s="2164" t="s">
        <v>2862</v>
      </c>
      <c r="C43" s="2111"/>
      <c r="D43" s="2165"/>
      <c r="E43" s="825">
        <v>1</v>
      </c>
      <c r="F43" s="1457" t="s">
        <v>363</v>
      </c>
      <c r="G43" s="1769">
        <v>409425</v>
      </c>
      <c r="H43" s="1413">
        <f t="shared" si="1"/>
        <v>409425</v>
      </c>
      <c r="I43" s="1455">
        <f>G43*0.05</f>
        <v>20471.25</v>
      </c>
      <c r="J43" s="1413">
        <f t="shared" si="2"/>
        <v>20471</v>
      </c>
      <c r="K43" s="1415">
        <f t="shared" si="3"/>
        <v>429896</v>
      </c>
      <c r="L43" s="1457"/>
      <c r="M43" s="2120"/>
      <c r="N43" s="2120"/>
      <c r="O43" s="2120"/>
      <c r="P43" s="2120"/>
      <c r="Q43" s="2120"/>
      <c r="R43" s="2120"/>
      <c r="S43" s="2120"/>
      <c r="T43" s="2120"/>
    </row>
    <row r="44" spans="1:20" s="2116" customFormat="1" ht="24" customHeight="1">
      <c r="A44" s="2112"/>
      <c r="B44" s="2164" t="s">
        <v>2863</v>
      </c>
      <c r="C44" s="2111"/>
      <c r="D44" s="2165"/>
      <c r="E44" s="825">
        <v>1</v>
      </c>
      <c r="F44" s="1457" t="s">
        <v>363</v>
      </c>
      <c r="G44" s="1769">
        <v>409425</v>
      </c>
      <c r="H44" s="1413">
        <f t="shared" si="1"/>
        <v>409425</v>
      </c>
      <c r="I44" s="1455">
        <f t="shared" ref="I44" si="5">G44*0.05</f>
        <v>20471.25</v>
      </c>
      <c r="J44" s="1413">
        <f t="shared" si="2"/>
        <v>20471</v>
      </c>
      <c r="K44" s="1415">
        <f t="shared" si="3"/>
        <v>429896</v>
      </c>
      <c r="L44" s="1457"/>
      <c r="M44" s="2120"/>
      <c r="N44" s="2120"/>
      <c r="O44" s="2120"/>
      <c r="P44" s="2120"/>
      <c r="Q44" s="2120"/>
      <c r="R44" s="2120"/>
      <c r="S44" s="2120"/>
      <c r="T44" s="2120"/>
    </row>
    <row r="45" spans="1:20" s="1765" customFormat="1" ht="24" customHeight="1">
      <c r="A45" s="2112" t="s">
        <v>1986</v>
      </c>
      <c r="B45" s="2107" t="s">
        <v>2252</v>
      </c>
      <c r="C45" s="2108"/>
      <c r="D45" s="2109"/>
      <c r="E45" s="1801"/>
      <c r="F45" s="1356"/>
      <c r="G45" s="2168"/>
      <c r="H45" s="820">
        <f t="shared" si="1"/>
        <v>0</v>
      </c>
      <c r="I45" s="1370"/>
      <c r="J45" s="820">
        <f t="shared" si="2"/>
        <v>0</v>
      </c>
      <c r="K45" s="1457">
        <f t="shared" si="3"/>
        <v>0</v>
      </c>
      <c r="L45" s="1356"/>
    </row>
    <row r="46" spans="1:20" s="1765" customFormat="1" ht="24" customHeight="1">
      <c r="A46" s="2112"/>
      <c r="B46" s="2107" t="s">
        <v>2253</v>
      </c>
      <c r="C46" s="2108"/>
      <c r="D46" s="2109"/>
      <c r="E46" s="1801">
        <f>SUM(E37:E44)</f>
        <v>8</v>
      </c>
      <c r="F46" s="1356" t="s">
        <v>363</v>
      </c>
      <c r="G46" s="2168">
        <v>2000</v>
      </c>
      <c r="H46" s="820">
        <f t="shared" si="1"/>
        <v>16000</v>
      </c>
      <c r="I46" s="1370"/>
      <c r="J46" s="820">
        <f t="shared" si="2"/>
        <v>0</v>
      </c>
      <c r="K46" s="1457">
        <f t="shared" si="3"/>
        <v>16000</v>
      </c>
      <c r="L46" s="1356"/>
    </row>
    <row r="47" spans="1:20" s="1765" customFormat="1" ht="24" customHeight="1">
      <c r="A47" s="2112" t="s">
        <v>1988</v>
      </c>
      <c r="B47" s="2107" t="s">
        <v>2041</v>
      </c>
      <c r="C47" s="2108"/>
      <c r="D47" s="2109"/>
      <c r="E47" s="1801">
        <f>E46</f>
        <v>8</v>
      </c>
      <c r="F47" s="1356" t="s">
        <v>363</v>
      </c>
      <c r="G47" s="2168">
        <v>2400</v>
      </c>
      <c r="H47" s="820">
        <f t="shared" si="1"/>
        <v>19200</v>
      </c>
      <c r="I47" s="1370">
        <f>G47*0.3</f>
        <v>720</v>
      </c>
      <c r="J47" s="820">
        <f t="shared" si="2"/>
        <v>5760</v>
      </c>
      <c r="K47" s="1457">
        <f t="shared" si="3"/>
        <v>24960</v>
      </c>
      <c r="L47" s="1356"/>
    </row>
    <row r="48" spans="1:20" s="2116" customFormat="1" ht="24" customHeight="1">
      <c r="A48" s="2112" t="s">
        <v>2198</v>
      </c>
      <c r="B48" s="2164" t="s">
        <v>2331</v>
      </c>
      <c r="C48" s="2111"/>
      <c r="D48" s="2165"/>
      <c r="E48" s="825">
        <f>E46</f>
        <v>8</v>
      </c>
      <c r="F48" s="1457" t="s">
        <v>363</v>
      </c>
      <c r="G48" s="1769">
        <v>4000</v>
      </c>
      <c r="H48" s="1413">
        <f t="shared" si="1"/>
        <v>32000</v>
      </c>
      <c r="I48" s="1455">
        <f t="shared" ref="I48" si="6">G48*0.1</f>
        <v>400</v>
      </c>
      <c r="J48" s="1413">
        <f t="shared" si="2"/>
        <v>3200</v>
      </c>
      <c r="K48" s="1415">
        <f t="shared" si="3"/>
        <v>35200</v>
      </c>
      <c r="L48" s="1457"/>
      <c r="M48" s="2120"/>
      <c r="N48" s="2120"/>
      <c r="O48" s="2120"/>
      <c r="P48" s="2120"/>
      <c r="Q48" s="2120"/>
      <c r="R48" s="2120"/>
      <c r="S48" s="2120"/>
      <c r="T48" s="2120"/>
    </row>
    <row r="49" spans="1:20" s="1765" customFormat="1" ht="24" customHeight="1">
      <c r="A49" s="2113"/>
      <c r="B49" s="2107" t="s">
        <v>1117</v>
      </c>
      <c r="C49" s="2108"/>
      <c r="D49" s="2109"/>
      <c r="E49" s="1801"/>
      <c r="F49" s="1262"/>
      <c r="G49" s="2169"/>
      <c r="H49" s="1343"/>
      <c r="I49" s="1344"/>
      <c r="J49" s="1343"/>
      <c r="K49" s="1262"/>
      <c r="L49" s="1262"/>
    </row>
    <row r="50" spans="1:20" s="1765" customFormat="1" ht="24" customHeight="1">
      <c r="A50" s="2113"/>
      <c r="B50" s="2107"/>
      <c r="C50" s="2108"/>
      <c r="D50" s="2109"/>
      <c r="E50" s="1801"/>
      <c r="F50" s="1262"/>
      <c r="G50" s="2169"/>
      <c r="H50" s="1343"/>
      <c r="I50" s="1344"/>
      <c r="J50" s="1343"/>
      <c r="K50" s="1262"/>
      <c r="L50" s="1262"/>
    </row>
    <row r="51" spans="1:20" s="1765" customFormat="1" ht="24" customHeight="1">
      <c r="A51" s="2113"/>
      <c r="B51" s="2107"/>
      <c r="C51" s="2108"/>
      <c r="D51" s="2109"/>
      <c r="E51" s="1801"/>
      <c r="F51" s="1262"/>
      <c r="G51" s="2169"/>
      <c r="H51" s="1343"/>
      <c r="I51" s="1344"/>
      <c r="J51" s="1343"/>
      <c r="K51" s="1262"/>
      <c r="L51" s="1262"/>
    </row>
    <row r="52" spans="1:20" s="1765" customFormat="1" ht="24" customHeight="1">
      <c r="A52" s="2113"/>
      <c r="B52" s="2107"/>
      <c r="C52" s="2108"/>
      <c r="D52" s="2109"/>
      <c r="E52" s="1801"/>
      <c r="F52" s="1262"/>
      <c r="G52" s="2169"/>
      <c r="H52" s="1343"/>
      <c r="I52" s="1344"/>
      <c r="J52" s="1343"/>
      <c r="K52" s="1262"/>
      <c r="L52" s="1262"/>
    </row>
    <row r="53" spans="1:20" s="1765" customFormat="1" ht="24" customHeight="1">
      <c r="A53" s="2113"/>
      <c r="B53" s="2107"/>
      <c r="C53" s="2108"/>
      <c r="D53" s="2109"/>
      <c r="E53" s="1801"/>
      <c r="F53" s="1262"/>
      <c r="G53" s="2169"/>
      <c r="H53" s="1343"/>
      <c r="I53" s="1344"/>
      <c r="J53" s="1343"/>
      <c r="K53" s="1262"/>
      <c r="L53" s="1262"/>
    </row>
    <row r="54" spans="1:20" s="1765" customFormat="1" ht="24" customHeight="1">
      <c r="A54" s="2113"/>
      <c r="B54" s="2107"/>
      <c r="C54" s="2108"/>
      <c r="D54" s="2109"/>
      <c r="E54" s="1801"/>
      <c r="F54" s="1262"/>
      <c r="G54" s="2169"/>
      <c r="H54" s="1343"/>
      <c r="I54" s="1344"/>
      <c r="J54" s="1343"/>
      <c r="K54" s="1262"/>
      <c r="L54" s="1262"/>
    </row>
    <row r="55" spans="1:20" s="1765" customFormat="1" ht="24" customHeight="1">
      <c r="A55" s="1277"/>
      <c r="B55" s="1799"/>
      <c r="C55" s="1375"/>
      <c r="D55" s="1851"/>
      <c r="E55" s="1795"/>
      <c r="F55" s="1350"/>
      <c r="G55" s="1878"/>
      <c r="H55" s="1281"/>
      <c r="I55" s="1282"/>
      <c r="J55" s="1281"/>
      <c r="K55" s="1405"/>
      <c r="L55" s="1405"/>
    </row>
    <row r="56" spans="1:20" s="1765" customFormat="1" ht="24" customHeight="1">
      <c r="A56" s="1277"/>
      <c r="B56" s="1799"/>
      <c r="C56" s="1375"/>
      <c r="D56" s="1851"/>
      <c r="E56" s="1795"/>
      <c r="F56" s="1350"/>
      <c r="G56" s="1878"/>
      <c r="H56" s="1281"/>
      <c r="I56" s="1282"/>
      <c r="J56" s="1281"/>
      <c r="K56" s="1405"/>
      <c r="L56" s="1405"/>
    </row>
    <row r="57" spans="1:20" s="1765" customFormat="1" ht="24" customHeight="1">
      <c r="A57" s="1277"/>
      <c r="B57" s="1799"/>
      <c r="C57" s="1375"/>
      <c r="D57" s="1851"/>
      <c r="E57" s="1795"/>
      <c r="F57" s="1350"/>
      <c r="G57" s="1878"/>
      <c r="H57" s="1281"/>
      <c r="I57" s="1282"/>
      <c r="J57" s="1281"/>
      <c r="K57" s="1405"/>
      <c r="L57" s="1405"/>
    </row>
    <row r="58" spans="1:20" s="1765" customFormat="1" ht="24" customHeight="1">
      <c r="A58" s="1791"/>
      <c r="B58" s="1869"/>
      <c r="C58" s="1870"/>
      <c r="D58" s="1879"/>
      <c r="E58" s="1793"/>
      <c r="F58" s="1487"/>
      <c r="G58" s="1880"/>
      <c r="H58" s="1425"/>
      <c r="I58" s="1488"/>
      <c r="J58" s="1425"/>
      <c r="K58" s="1426"/>
      <c r="L58" s="1426"/>
    </row>
    <row r="59" spans="1:20" s="1765" customFormat="1" ht="24" customHeight="1">
      <c r="A59" s="1857"/>
      <c r="B59" s="2257" t="str">
        <f>"รวมราคารายการที่ "&amp;A35</f>
        <v>รวมราคารายการที่ 7.1</v>
      </c>
      <c r="C59" s="2258"/>
      <c r="D59" s="2259"/>
      <c r="E59" s="1858"/>
      <c r="F59" s="1858"/>
      <c r="G59" s="1859"/>
      <c r="H59" s="1860">
        <f>SUM(H36:H58)</f>
        <v>2463075</v>
      </c>
      <c r="I59" s="1861"/>
      <c r="J59" s="1860">
        <f>SUM(J36:J58)</f>
        <v>128754</v>
      </c>
      <c r="K59" s="1860">
        <f>SUM(K36:K58)</f>
        <v>2591829</v>
      </c>
      <c r="L59" s="1862"/>
    </row>
    <row r="60" spans="1:20" s="1765" customFormat="1" ht="24" customHeight="1">
      <c r="A60" s="1757">
        <v>7.2</v>
      </c>
      <c r="B60" s="1758" t="s">
        <v>1983</v>
      </c>
      <c r="C60" s="1294"/>
      <c r="D60" s="1777"/>
      <c r="E60" s="1686"/>
      <c r="F60" s="1402"/>
      <c r="G60" s="1661"/>
      <c r="H60" s="1588"/>
      <c r="I60" s="1589"/>
      <c r="J60" s="1588"/>
      <c r="K60" s="1770"/>
      <c r="L60" s="1770"/>
    </row>
    <row r="61" spans="1:20" s="1765" customFormat="1" ht="24" customHeight="1">
      <c r="A61" s="1258" t="s">
        <v>1992</v>
      </c>
      <c r="B61" s="1538" t="s">
        <v>2138</v>
      </c>
      <c r="C61" s="1275"/>
      <c r="D61" s="1767"/>
      <c r="E61" s="1771"/>
      <c r="F61" s="1385"/>
      <c r="G61" s="1778"/>
      <c r="H61" s="1594"/>
      <c r="I61" s="1595"/>
      <c r="J61" s="1594"/>
      <c r="K61" s="1632"/>
      <c r="L61" s="1632"/>
    </row>
    <row r="62" spans="1:20" s="1765" customFormat="1" ht="24" customHeight="1">
      <c r="A62" s="1766" t="s">
        <v>2139</v>
      </c>
      <c r="B62" s="1538" t="s">
        <v>2140</v>
      </c>
      <c r="C62" s="1275"/>
      <c r="D62" s="1767"/>
      <c r="E62" s="1686"/>
      <c r="F62" s="1402"/>
      <c r="G62" s="1661"/>
      <c r="H62" s="1588"/>
      <c r="I62" s="1589"/>
      <c r="J62" s="1588"/>
      <c r="K62" s="1770"/>
      <c r="L62" s="1770"/>
    </row>
    <row r="63" spans="1:20" s="1765" customFormat="1" ht="24" customHeight="1">
      <c r="A63" s="2112"/>
      <c r="B63" s="2114" t="s">
        <v>1836</v>
      </c>
      <c r="C63" s="2108"/>
      <c r="D63" s="2109"/>
      <c r="E63" s="1834">
        <v>3</v>
      </c>
      <c r="F63" s="1466" t="s">
        <v>363</v>
      </c>
      <c r="G63" s="2161">
        <v>3300</v>
      </c>
      <c r="H63" s="2156">
        <f t="shared" ref="H63:H65" si="7">ROUND(E63*G63,)</f>
        <v>9900</v>
      </c>
      <c r="I63" s="2162">
        <v>150</v>
      </c>
      <c r="J63" s="2156">
        <f t="shared" ref="J63:J65" si="8">ROUND(E63*I63,)</f>
        <v>450</v>
      </c>
      <c r="K63" s="1853">
        <f t="shared" ref="K63:K65" si="9">H63+J63</f>
        <v>10350</v>
      </c>
      <c r="L63" s="1457"/>
    </row>
    <row r="64" spans="1:20" s="2116" customFormat="1" ht="24" customHeight="1">
      <c r="A64" s="2113"/>
      <c r="B64" s="2114" t="s">
        <v>1715</v>
      </c>
      <c r="C64" s="2108"/>
      <c r="D64" s="2109"/>
      <c r="E64" s="1834">
        <v>5</v>
      </c>
      <c r="F64" s="1466" t="s">
        <v>363</v>
      </c>
      <c r="G64" s="2161">
        <v>55000</v>
      </c>
      <c r="H64" s="2156">
        <f t="shared" si="7"/>
        <v>275000</v>
      </c>
      <c r="I64" s="2162">
        <v>500</v>
      </c>
      <c r="J64" s="2156">
        <f t="shared" si="8"/>
        <v>2500</v>
      </c>
      <c r="K64" s="1853">
        <f t="shared" si="9"/>
        <v>277500</v>
      </c>
      <c r="L64" s="1415"/>
      <c r="M64" s="2120"/>
      <c r="N64" s="2120"/>
      <c r="O64" s="2120"/>
      <c r="P64" s="2120"/>
      <c r="Q64" s="2120"/>
      <c r="R64" s="2120"/>
      <c r="S64" s="2120"/>
      <c r="T64" s="2120"/>
    </row>
    <row r="65" spans="1:20" s="2116" customFormat="1" ht="24" customHeight="1">
      <c r="A65" s="2113" t="s">
        <v>2036</v>
      </c>
      <c r="B65" s="2114" t="s">
        <v>2727</v>
      </c>
      <c r="C65" s="2108"/>
      <c r="D65" s="2109"/>
      <c r="E65" s="715"/>
      <c r="F65" s="1466" t="s">
        <v>363</v>
      </c>
      <c r="G65" s="2161">
        <v>16150</v>
      </c>
      <c r="H65" s="2156">
        <f t="shared" si="7"/>
        <v>0</v>
      </c>
      <c r="I65" s="2162">
        <v>500</v>
      </c>
      <c r="J65" s="2156">
        <f t="shared" si="8"/>
        <v>0</v>
      </c>
      <c r="K65" s="1853">
        <f t="shared" si="9"/>
        <v>0</v>
      </c>
      <c r="L65" s="1415"/>
      <c r="M65" s="2120"/>
      <c r="N65" s="2120"/>
      <c r="O65" s="2120"/>
      <c r="P65" s="2120"/>
      <c r="Q65" s="2120"/>
      <c r="R65" s="2120"/>
      <c r="S65" s="2120"/>
      <c r="T65" s="2120"/>
    </row>
    <row r="66" spans="1:20" s="1765" customFormat="1" ht="24" customHeight="1">
      <c r="A66" s="2166"/>
      <c r="B66" s="2114" t="s">
        <v>1117</v>
      </c>
      <c r="C66" s="2108"/>
      <c r="D66" s="2109"/>
      <c r="E66" s="825"/>
      <c r="F66" s="1457"/>
      <c r="G66" s="1769"/>
      <c r="H66" s="820"/>
      <c r="I66" s="1455"/>
      <c r="J66" s="820"/>
      <c r="K66" s="1457"/>
      <c r="L66" s="1457"/>
    </row>
    <row r="67" spans="1:20" s="1765" customFormat="1" ht="24" customHeight="1">
      <c r="A67" s="2166"/>
      <c r="B67" s="2114" t="s">
        <v>1118</v>
      </c>
      <c r="C67" s="2108"/>
      <c r="D67" s="2109"/>
      <c r="E67" s="825"/>
      <c r="F67" s="1457"/>
      <c r="G67" s="1769"/>
      <c r="H67" s="820"/>
      <c r="I67" s="1455"/>
      <c r="J67" s="820"/>
      <c r="K67" s="1457"/>
      <c r="L67" s="1457"/>
    </row>
    <row r="68" spans="1:20" s="1765" customFormat="1" ht="24" customHeight="1">
      <c r="A68" s="2166"/>
      <c r="B68" s="2114"/>
      <c r="C68" s="2108"/>
      <c r="D68" s="2109"/>
      <c r="E68" s="825"/>
      <c r="F68" s="1457"/>
      <c r="G68" s="1769"/>
      <c r="H68" s="820"/>
      <c r="I68" s="1455"/>
      <c r="J68" s="820"/>
      <c r="K68" s="1457"/>
      <c r="L68" s="1457"/>
    </row>
    <row r="69" spans="1:20" s="1765" customFormat="1" ht="24" customHeight="1">
      <c r="A69" s="1584"/>
      <c r="B69" s="1538" t="s">
        <v>1118</v>
      </c>
      <c r="C69" s="1275"/>
      <c r="D69" s="1767"/>
      <c r="E69" s="1686"/>
      <c r="F69" s="1402"/>
      <c r="G69" s="1661"/>
      <c r="H69" s="1588"/>
      <c r="I69" s="1589"/>
      <c r="J69" s="1588"/>
      <c r="K69" s="1770"/>
      <c r="L69" s="1770"/>
    </row>
    <row r="70" spans="1:20" s="1199" customFormat="1" ht="24" customHeight="1">
      <c r="A70" s="1578"/>
      <c r="B70" s="2257" t="str">
        <f>"รวมราคารายการที่ "&amp;A60</f>
        <v>รวมราคารายการที่ 7.2</v>
      </c>
      <c r="C70" s="2258"/>
      <c r="D70" s="2259"/>
      <c r="E70" s="1579"/>
      <c r="F70" s="1579"/>
      <c r="G70" s="1580"/>
      <c r="H70" s="1581">
        <f>SUM(H61:H69)</f>
        <v>284900</v>
      </c>
      <c r="I70" s="1582"/>
      <c r="J70" s="1581">
        <f>SUM(J61:J69)</f>
        <v>2950</v>
      </c>
      <c r="K70" s="1583">
        <f>SUM(K61:K69)</f>
        <v>287850</v>
      </c>
      <c r="L70" s="1583"/>
    </row>
    <row r="71" spans="1:20" s="1765" customFormat="1" ht="24" customHeight="1">
      <c r="A71" s="1757">
        <v>7.3</v>
      </c>
      <c r="B71" s="1881" t="s">
        <v>2042</v>
      </c>
      <c r="C71" s="1251"/>
      <c r="D71" s="1759"/>
      <c r="E71" s="1760"/>
      <c r="F71" s="1498"/>
      <c r="G71" s="1761"/>
      <c r="H71" s="1762"/>
      <c r="I71" s="1763"/>
      <c r="J71" s="1762"/>
      <c r="K71" s="1764"/>
      <c r="L71" s="1764"/>
    </row>
    <row r="72" spans="1:20" s="1765" customFormat="1" ht="24" customHeight="1">
      <c r="A72" s="1258" t="s">
        <v>2043</v>
      </c>
      <c r="B72" s="1538" t="s">
        <v>2044</v>
      </c>
      <c r="C72" s="1275"/>
      <c r="D72" s="1767"/>
      <c r="E72" s="1771"/>
      <c r="F72" s="1385"/>
      <c r="G72" s="1778"/>
      <c r="H72" s="1594"/>
      <c r="I72" s="1595"/>
      <c r="J72" s="1594"/>
      <c r="K72" s="1632"/>
      <c r="L72" s="1632"/>
    </row>
    <row r="73" spans="1:20" s="1765" customFormat="1" ht="24" customHeight="1">
      <c r="A73" s="1189" t="s">
        <v>2045</v>
      </c>
      <c r="B73" s="1538" t="s">
        <v>2167</v>
      </c>
      <c r="C73" s="1275"/>
      <c r="D73" s="1767"/>
      <c r="E73" s="1771"/>
      <c r="F73" s="1385"/>
      <c r="G73" s="1778"/>
      <c r="H73" s="1594"/>
      <c r="I73" s="1595"/>
      <c r="J73" s="1594"/>
      <c r="K73" s="1632"/>
      <c r="L73" s="1632"/>
    </row>
    <row r="74" spans="1:20" s="1765" customFormat="1" ht="24" customHeight="1">
      <c r="A74" s="1258"/>
      <c r="B74" s="1538" t="s">
        <v>2168</v>
      </c>
      <c r="C74" s="1275"/>
      <c r="D74" s="1767"/>
      <c r="E74" s="1834"/>
      <c r="F74" s="1788" t="s">
        <v>226</v>
      </c>
      <c r="G74" s="2020">
        <v>69.5</v>
      </c>
      <c r="H74" s="1773">
        <f>ROUND(E74*G74,)</f>
        <v>0</v>
      </c>
      <c r="I74" s="2011">
        <v>30</v>
      </c>
      <c r="J74" s="2008">
        <f>ROUND(E74*I74,)</f>
        <v>0</v>
      </c>
      <c r="K74" s="1774">
        <f t="shared" ref="K74:K84" si="10">H74+J74</f>
        <v>0</v>
      </c>
      <c r="L74" s="1632"/>
    </row>
    <row r="75" spans="1:20" s="1765" customFormat="1" ht="24" customHeight="1">
      <c r="A75" s="1258"/>
      <c r="B75" s="1538" t="s">
        <v>1901</v>
      </c>
      <c r="C75" s="1275"/>
      <c r="D75" s="1767"/>
      <c r="E75" s="1771"/>
      <c r="F75" s="1358" t="s">
        <v>226</v>
      </c>
      <c r="G75" s="1558">
        <v>103.5</v>
      </c>
      <c r="H75" s="1773">
        <f t="shared" ref="H75:H84" si="11">ROUND(E75*G75,)</f>
        <v>0</v>
      </c>
      <c r="I75" s="1332">
        <v>45</v>
      </c>
      <c r="J75" s="2008">
        <f t="shared" ref="J75:J84" si="12">ROUND(E75*I75,)</f>
        <v>0</v>
      </c>
      <c r="K75" s="1774">
        <f t="shared" si="10"/>
        <v>0</v>
      </c>
      <c r="L75" s="1632"/>
    </row>
    <row r="76" spans="1:20" s="1765" customFormat="1" ht="24" customHeight="1">
      <c r="A76" s="1258"/>
      <c r="B76" s="1538" t="s">
        <v>1338</v>
      </c>
      <c r="C76" s="1275"/>
      <c r="D76" s="1767"/>
      <c r="E76" s="1771"/>
      <c r="F76" s="1358" t="s">
        <v>226</v>
      </c>
      <c r="G76" s="1558">
        <v>140</v>
      </c>
      <c r="H76" s="1773">
        <f t="shared" si="11"/>
        <v>0</v>
      </c>
      <c r="I76" s="1332">
        <v>60</v>
      </c>
      <c r="J76" s="2008">
        <f t="shared" si="12"/>
        <v>0</v>
      </c>
      <c r="K76" s="1774">
        <f t="shared" si="10"/>
        <v>0</v>
      </c>
      <c r="L76" s="1632"/>
    </row>
    <row r="77" spans="1:20" s="1765" customFormat="1" ht="24" customHeight="1">
      <c r="A77" s="1258"/>
      <c r="B77" s="1538" t="s">
        <v>1339</v>
      </c>
      <c r="C77" s="1275"/>
      <c r="D77" s="2109"/>
      <c r="E77" s="715"/>
      <c r="F77" s="1262" t="s">
        <v>226</v>
      </c>
      <c r="G77" s="1541">
        <v>167</v>
      </c>
      <c r="H77" s="1773">
        <f t="shared" si="11"/>
        <v>0</v>
      </c>
      <c r="I77" s="2007">
        <v>70</v>
      </c>
      <c r="J77" s="2008">
        <f t="shared" si="12"/>
        <v>0</v>
      </c>
      <c r="K77" s="1774">
        <f t="shared" si="10"/>
        <v>0</v>
      </c>
      <c r="L77" s="1632"/>
    </row>
    <row r="78" spans="1:20" s="1765" customFormat="1" ht="24" customHeight="1">
      <c r="A78" s="1258"/>
      <c r="B78" s="1538" t="s">
        <v>1340</v>
      </c>
      <c r="C78" s="1275"/>
      <c r="D78" s="2109"/>
      <c r="E78" s="715">
        <v>204</v>
      </c>
      <c r="F78" s="1262" t="s">
        <v>226</v>
      </c>
      <c r="G78" s="1541">
        <v>225</v>
      </c>
      <c r="H78" s="1773">
        <f t="shared" si="11"/>
        <v>45900</v>
      </c>
      <c r="I78" s="2007">
        <v>95</v>
      </c>
      <c r="J78" s="2008">
        <f t="shared" si="12"/>
        <v>19380</v>
      </c>
      <c r="K78" s="1774">
        <f t="shared" si="10"/>
        <v>65280</v>
      </c>
      <c r="L78" s="1632"/>
    </row>
    <row r="79" spans="1:20" s="1765" customFormat="1" ht="24" customHeight="1">
      <c r="A79" s="1804"/>
      <c r="B79" s="1780" t="s">
        <v>1341</v>
      </c>
      <c r="C79" s="1260"/>
      <c r="D79" s="2109"/>
      <c r="E79" s="825">
        <f>(78*2)+35</f>
        <v>191</v>
      </c>
      <c r="F79" s="1262" t="s">
        <v>226</v>
      </c>
      <c r="G79" s="2021">
        <v>357</v>
      </c>
      <c r="H79" s="1773">
        <f t="shared" si="11"/>
        <v>68187</v>
      </c>
      <c r="I79" s="819">
        <v>150</v>
      </c>
      <c r="J79" s="2008">
        <f t="shared" si="12"/>
        <v>28650</v>
      </c>
      <c r="K79" s="1774">
        <f t="shared" si="10"/>
        <v>96837</v>
      </c>
      <c r="L79" s="1415"/>
    </row>
    <row r="80" spans="1:20" s="1765" customFormat="1" ht="24" customHeight="1">
      <c r="A80" s="1804"/>
      <c r="B80" s="1780" t="s">
        <v>1342</v>
      </c>
      <c r="C80" s="1260"/>
      <c r="D80" s="2109"/>
      <c r="E80" s="825">
        <f>(78*2*1.1)</f>
        <v>171.60000000000002</v>
      </c>
      <c r="F80" s="1262" t="s">
        <v>226</v>
      </c>
      <c r="G80" s="2021">
        <v>467</v>
      </c>
      <c r="H80" s="1773">
        <f t="shared" si="11"/>
        <v>80137</v>
      </c>
      <c r="I80" s="819">
        <v>200</v>
      </c>
      <c r="J80" s="2008">
        <f t="shared" si="12"/>
        <v>34320</v>
      </c>
      <c r="K80" s="1774">
        <f t="shared" si="10"/>
        <v>114457</v>
      </c>
      <c r="L80" s="1415"/>
    </row>
    <row r="81" spans="1:15" s="1765" customFormat="1" ht="24" customHeight="1">
      <c r="A81" s="1804"/>
      <c r="B81" s="1780" t="s">
        <v>1111</v>
      </c>
      <c r="C81" s="1260"/>
      <c r="D81" s="2109"/>
      <c r="E81" s="825">
        <f>51.5*2*1.1</f>
        <v>113.30000000000001</v>
      </c>
      <c r="F81" s="1262" t="s">
        <v>226</v>
      </c>
      <c r="G81" s="2021">
        <v>665</v>
      </c>
      <c r="H81" s="1773">
        <f t="shared" si="11"/>
        <v>75345</v>
      </c>
      <c r="I81" s="819">
        <v>280</v>
      </c>
      <c r="J81" s="2008">
        <f t="shared" si="12"/>
        <v>31724</v>
      </c>
      <c r="K81" s="1774">
        <f t="shared" si="10"/>
        <v>107069</v>
      </c>
      <c r="L81" s="1415"/>
    </row>
    <row r="82" spans="1:15" s="1765" customFormat="1" ht="24" customHeight="1">
      <c r="A82" s="1258"/>
      <c r="B82" s="1538" t="s">
        <v>1719</v>
      </c>
      <c r="C82" s="1275"/>
      <c r="D82" s="2109"/>
      <c r="E82" s="715">
        <v>1</v>
      </c>
      <c r="F82" s="1415" t="s">
        <v>1104</v>
      </c>
      <c r="G82" s="1778">
        <f>ROUND(SUM(H74:H81)*50%,)</f>
        <v>134785</v>
      </c>
      <c r="H82" s="1264">
        <f t="shared" si="11"/>
        <v>134785</v>
      </c>
      <c r="I82" s="1595">
        <f>ROUND(G82*0.3,)</f>
        <v>40436</v>
      </c>
      <c r="J82" s="1264">
        <f t="shared" si="12"/>
        <v>40436</v>
      </c>
      <c r="K82" s="1273">
        <f t="shared" si="10"/>
        <v>175221</v>
      </c>
      <c r="L82" s="1632"/>
    </row>
    <row r="83" spans="1:15" s="1765" customFormat="1" ht="24" customHeight="1">
      <c r="A83" s="1258"/>
      <c r="B83" s="1538" t="s">
        <v>1720</v>
      </c>
      <c r="C83" s="1275"/>
      <c r="D83" s="2109"/>
      <c r="E83" s="715">
        <v>1</v>
      </c>
      <c r="F83" s="1415" t="s">
        <v>1104</v>
      </c>
      <c r="G83" s="1778">
        <f>ROUND(SUM(H73:H81)*20%,)</f>
        <v>53914</v>
      </c>
      <c r="H83" s="1264">
        <f t="shared" si="11"/>
        <v>53914</v>
      </c>
      <c r="I83" s="1595">
        <f>ROUND(G83*0.3,)</f>
        <v>16174</v>
      </c>
      <c r="J83" s="1264">
        <f t="shared" si="12"/>
        <v>16174</v>
      </c>
      <c r="K83" s="1273">
        <f t="shared" si="10"/>
        <v>70088</v>
      </c>
      <c r="L83" s="1632"/>
    </row>
    <row r="84" spans="1:15" s="1765" customFormat="1" ht="24" customHeight="1">
      <c r="A84" s="1258"/>
      <c r="B84" s="1538" t="s">
        <v>1721</v>
      </c>
      <c r="C84" s="1275"/>
      <c r="D84" s="2109"/>
      <c r="E84" s="715">
        <v>1</v>
      </c>
      <c r="F84" s="1415" t="s">
        <v>1104</v>
      </c>
      <c r="G84" s="1778">
        <f>ROUND(SUM(H73:H81)*10%,)</f>
        <v>26957</v>
      </c>
      <c r="H84" s="1264">
        <f t="shared" si="11"/>
        <v>26957</v>
      </c>
      <c r="I84" s="1595">
        <f>ROUND(G84*0.3,)</f>
        <v>8087</v>
      </c>
      <c r="J84" s="1264">
        <f t="shared" si="12"/>
        <v>8087</v>
      </c>
      <c r="K84" s="1273">
        <f t="shared" si="10"/>
        <v>35044</v>
      </c>
      <c r="L84" s="1632"/>
    </row>
    <row r="85" spans="1:15" s="1765" customFormat="1" ht="24" customHeight="1">
      <c r="A85" s="1258" t="s">
        <v>2047</v>
      </c>
      <c r="B85" s="1538" t="s">
        <v>2050</v>
      </c>
      <c r="C85" s="1275"/>
      <c r="D85" s="2109"/>
      <c r="E85" s="715"/>
      <c r="F85" s="1415"/>
      <c r="G85" s="1778"/>
      <c r="H85" s="1594"/>
      <c r="I85" s="1595"/>
      <c r="J85" s="1594"/>
      <c r="K85" s="1632"/>
      <c r="L85" s="1632"/>
    </row>
    <row r="86" spans="1:15" s="1765" customFormat="1" ht="24" customHeight="1">
      <c r="A86" s="1258"/>
      <c r="B86" s="1538" t="s">
        <v>2168</v>
      </c>
      <c r="C86" s="1275"/>
      <c r="D86" s="2109"/>
      <c r="E86" s="1834"/>
      <c r="F86" s="2154" t="s">
        <v>226</v>
      </c>
      <c r="G86" s="819">
        <v>12</v>
      </c>
      <c r="H86" s="1343">
        <f t="shared" ref="H86:H93" si="13">ROUND(E86*G86,)</f>
        <v>0</v>
      </c>
      <c r="I86" s="819">
        <v>30</v>
      </c>
      <c r="J86" s="2005">
        <f t="shared" ref="J86:J93" si="14">ROUND(E86*I86,)</f>
        <v>0</v>
      </c>
      <c r="K86" s="1801">
        <f t="shared" ref="K86:K93" si="15">H86+J86</f>
        <v>0</v>
      </c>
      <c r="L86" s="2082" t="s">
        <v>2667</v>
      </c>
      <c r="M86" s="2002"/>
      <c r="N86" s="2009">
        <v>48.23</v>
      </c>
      <c r="O86" s="1199">
        <f>ROUND(N86/4,)</f>
        <v>12</v>
      </c>
    </row>
    <row r="87" spans="1:15" s="1765" customFormat="1" ht="24" customHeight="1">
      <c r="A87" s="1258"/>
      <c r="B87" s="1538" t="s">
        <v>1901</v>
      </c>
      <c r="C87" s="1275"/>
      <c r="D87" s="2109"/>
      <c r="E87" s="715"/>
      <c r="F87" s="1262" t="s">
        <v>226</v>
      </c>
      <c r="G87" s="1541">
        <v>16</v>
      </c>
      <c r="H87" s="1369">
        <f t="shared" si="13"/>
        <v>0</v>
      </c>
      <c r="I87" s="2007">
        <v>30</v>
      </c>
      <c r="J87" s="2008">
        <f t="shared" si="14"/>
        <v>0</v>
      </c>
      <c r="K87" s="1774">
        <f t="shared" si="15"/>
        <v>0</v>
      </c>
      <c r="L87" s="2082" t="s">
        <v>2667</v>
      </c>
      <c r="M87" s="2002"/>
      <c r="N87" s="1765">
        <v>63.7</v>
      </c>
      <c r="O87" s="1199">
        <f>ROUND(N87/4,)</f>
        <v>16</v>
      </c>
    </row>
    <row r="88" spans="1:15" s="1765" customFormat="1" ht="24" customHeight="1">
      <c r="A88" s="1258"/>
      <c r="B88" s="1538" t="s">
        <v>2263</v>
      </c>
      <c r="C88" s="1275"/>
      <c r="D88" s="2109"/>
      <c r="E88" s="715">
        <v>2.2999999999999998</v>
      </c>
      <c r="F88" s="1262" t="s">
        <v>226</v>
      </c>
      <c r="G88" s="1541">
        <v>20</v>
      </c>
      <c r="H88" s="1369">
        <f t="shared" si="13"/>
        <v>46</v>
      </c>
      <c r="I88" s="2007">
        <v>30</v>
      </c>
      <c r="J88" s="2008">
        <f t="shared" si="14"/>
        <v>69</v>
      </c>
      <c r="K88" s="1774">
        <f t="shared" si="15"/>
        <v>115</v>
      </c>
      <c r="L88" s="2082" t="s">
        <v>2667</v>
      </c>
      <c r="M88" s="2002"/>
      <c r="N88" s="2024">
        <v>79.17</v>
      </c>
      <c r="O88" s="1199">
        <f>ROUND(N88/4,)</f>
        <v>20</v>
      </c>
    </row>
    <row r="89" spans="1:15" s="1765" customFormat="1" ht="24" customHeight="1">
      <c r="A89" s="1258"/>
      <c r="B89" s="1538" t="s">
        <v>1339</v>
      </c>
      <c r="C89" s="1275"/>
      <c r="D89" s="2109"/>
      <c r="E89" s="715">
        <f>2*5</f>
        <v>10</v>
      </c>
      <c r="F89" s="1262" t="s">
        <v>226</v>
      </c>
      <c r="G89" s="1541">
        <v>26</v>
      </c>
      <c r="H89" s="1369">
        <f t="shared" si="13"/>
        <v>260</v>
      </c>
      <c r="I89" s="2007">
        <v>30</v>
      </c>
      <c r="J89" s="2008">
        <f t="shared" si="14"/>
        <v>300</v>
      </c>
      <c r="K89" s="1774">
        <f t="shared" si="15"/>
        <v>560</v>
      </c>
      <c r="L89" s="2082" t="s">
        <v>2667</v>
      </c>
      <c r="M89" s="2002"/>
      <c r="N89" s="2024">
        <v>103.74</v>
      </c>
      <c r="O89" s="1199">
        <f>ROUND(N89/4,)</f>
        <v>26</v>
      </c>
    </row>
    <row r="90" spans="1:15" s="1765" customFormat="1" ht="24" customHeight="1">
      <c r="A90" s="1258"/>
      <c r="B90" s="1538" t="s">
        <v>1340</v>
      </c>
      <c r="C90" s="1275"/>
      <c r="D90" s="2109"/>
      <c r="E90" s="715"/>
      <c r="F90" s="1262" t="s">
        <v>226</v>
      </c>
      <c r="G90" s="1541">
        <v>41</v>
      </c>
      <c r="H90" s="1369">
        <f t="shared" si="13"/>
        <v>0</v>
      </c>
      <c r="I90" s="2007">
        <v>40</v>
      </c>
      <c r="J90" s="2008">
        <f t="shared" si="14"/>
        <v>0</v>
      </c>
      <c r="K90" s="1774">
        <f t="shared" si="15"/>
        <v>0</v>
      </c>
      <c r="L90" s="2082" t="s">
        <v>2667</v>
      </c>
      <c r="M90" s="2002"/>
      <c r="N90" s="2024">
        <v>163.80000000000001</v>
      </c>
      <c r="O90" s="1199">
        <f>ROUND(N90/4,)</f>
        <v>41</v>
      </c>
    </row>
    <row r="91" spans="1:15" s="1765" customFormat="1" ht="24" customHeight="1">
      <c r="A91" s="1258"/>
      <c r="B91" s="1538" t="s">
        <v>1719</v>
      </c>
      <c r="C91" s="1275"/>
      <c r="D91" s="1767"/>
      <c r="E91" s="1771">
        <v>1</v>
      </c>
      <c r="F91" s="1385" t="s">
        <v>1104</v>
      </c>
      <c r="G91" s="1778">
        <f>ROUND(SUM(H86:H90)*50%,)</f>
        <v>153</v>
      </c>
      <c r="H91" s="1264">
        <f t="shared" si="13"/>
        <v>153</v>
      </c>
      <c r="I91" s="1595">
        <f>ROUND(G91*0.3,)</f>
        <v>46</v>
      </c>
      <c r="J91" s="1264">
        <f t="shared" si="14"/>
        <v>46</v>
      </c>
      <c r="K91" s="1273">
        <f t="shared" si="15"/>
        <v>199</v>
      </c>
      <c r="L91" s="1632"/>
    </row>
    <row r="92" spans="1:15" s="1765" customFormat="1" ht="24" customHeight="1">
      <c r="A92" s="1258"/>
      <c r="B92" s="1538" t="s">
        <v>1720</v>
      </c>
      <c r="C92" s="1275"/>
      <c r="D92" s="1767"/>
      <c r="E92" s="1771">
        <v>1</v>
      </c>
      <c r="F92" s="1385" t="s">
        <v>1104</v>
      </c>
      <c r="G92" s="1778">
        <f>ROUND(SUM(H86:H90)*30%,)</f>
        <v>92</v>
      </c>
      <c r="H92" s="1264">
        <f t="shared" si="13"/>
        <v>92</v>
      </c>
      <c r="I92" s="1595">
        <f>ROUND(G92*0.3,)</f>
        <v>28</v>
      </c>
      <c r="J92" s="1264">
        <f t="shared" si="14"/>
        <v>28</v>
      </c>
      <c r="K92" s="1273">
        <f t="shared" si="15"/>
        <v>120</v>
      </c>
      <c r="L92" s="1632"/>
    </row>
    <row r="93" spans="1:15" s="1765" customFormat="1" ht="24" customHeight="1">
      <c r="A93" s="1258"/>
      <c r="B93" s="1538" t="s">
        <v>1721</v>
      </c>
      <c r="C93" s="1275"/>
      <c r="D93" s="1767"/>
      <c r="E93" s="1771">
        <v>1</v>
      </c>
      <c r="F93" s="1385" t="s">
        <v>1104</v>
      </c>
      <c r="G93" s="1778">
        <f>ROUND(SUM(H86:H90)*10%,)</f>
        <v>31</v>
      </c>
      <c r="H93" s="1264">
        <f t="shared" si="13"/>
        <v>31</v>
      </c>
      <c r="I93" s="1595">
        <f>ROUND(G93*0.3,)</f>
        <v>9</v>
      </c>
      <c r="J93" s="1264">
        <f t="shared" si="14"/>
        <v>9</v>
      </c>
      <c r="K93" s="1273">
        <f t="shared" si="15"/>
        <v>40</v>
      </c>
      <c r="L93" s="1632"/>
    </row>
    <row r="94" spans="1:15" s="1765" customFormat="1" ht="24" customHeight="1">
      <c r="A94" s="1258"/>
      <c r="B94" s="1538" t="s">
        <v>1117</v>
      </c>
      <c r="C94" s="1275"/>
      <c r="D94" s="1767"/>
      <c r="E94" s="1771"/>
      <c r="F94" s="1385"/>
      <c r="G94" s="1778"/>
      <c r="H94" s="1594"/>
      <c r="I94" s="1595"/>
      <c r="J94" s="1594"/>
      <c r="K94" s="1632"/>
      <c r="L94" s="1632"/>
    </row>
    <row r="95" spans="1:15" s="1765" customFormat="1" ht="24" customHeight="1">
      <c r="A95" s="1578"/>
      <c r="B95" s="2257" t="str">
        <f>"รวมราคารายการที่ "&amp;A71</f>
        <v>รวมราคารายการที่ 7.3</v>
      </c>
      <c r="C95" s="2258"/>
      <c r="D95" s="2259"/>
      <c r="E95" s="1579"/>
      <c r="F95" s="1579"/>
      <c r="G95" s="1580"/>
      <c r="H95" s="1581">
        <f>SUM(H72:H94)</f>
        <v>485807</v>
      </c>
      <c r="I95" s="1582"/>
      <c r="J95" s="1581">
        <f>SUM(J72:J94)</f>
        <v>179223</v>
      </c>
      <c r="K95" s="1583">
        <f>SUM(K72:K94)</f>
        <v>665030</v>
      </c>
      <c r="L95" s="1583"/>
    </row>
    <row r="96" spans="1:15" s="1765" customFormat="1" ht="24" customHeight="1">
      <c r="A96" s="1785" t="s">
        <v>2052</v>
      </c>
      <c r="B96" s="1776" t="s">
        <v>2053</v>
      </c>
      <c r="C96" s="1293"/>
      <c r="D96" s="1294"/>
      <c r="E96" s="1786"/>
      <c r="F96" s="1296"/>
      <c r="G96" s="1357"/>
      <c r="H96" s="1298"/>
      <c r="I96" s="1299"/>
      <c r="J96" s="1298"/>
      <c r="K96" s="1382"/>
      <c r="L96" s="1382"/>
    </row>
    <row r="97" spans="1:12" s="1765" customFormat="1" ht="24" customHeight="1">
      <c r="A97" s="1258" t="s">
        <v>2054</v>
      </c>
      <c r="B97" s="1538" t="s">
        <v>2055</v>
      </c>
      <c r="C97" s="1437"/>
      <c r="D97" s="1275"/>
      <c r="E97" s="1768"/>
      <c r="F97" s="1358"/>
      <c r="G97" s="1516"/>
      <c r="H97" s="1264"/>
      <c r="I97" s="1265"/>
      <c r="J97" s="1264"/>
      <c r="K97" s="1273"/>
      <c r="L97" s="1273"/>
    </row>
    <row r="98" spans="1:12" s="1765" customFormat="1" ht="24" customHeight="1">
      <c r="A98" s="1258"/>
      <c r="B98" s="1538" t="s">
        <v>2168</v>
      </c>
      <c r="C98" s="1437"/>
      <c r="D98" s="1275"/>
      <c r="E98" s="1813">
        <f>E86</f>
        <v>0</v>
      </c>
      <c r="F98" s="1788" t="s">
        <v>226</v>
      </c>
      <c r="G98" s="1790">
        <v>59</v>
      </c>
      <c r="H98" s="1773">
        <f t="shared" ref="H98:H100" si="16">ROUND(E98*G98,)</f>
        <v>0</v>
      </c>
      <c r="I98" s="1789">
        <f>ROUND(20*0.75*1.3,)</f>
        <v>20</v>
      </c>
      <c r="J98" s="1773">
        <f t="shared" ref="J98:J100" si="17">ROUND(E98*I98,)</f>
        <v>0</v>
      </c>
      <c r="K98" s="1269">
        <f t="shared" ref="K98:K100" si="18">H98+J98</f>
        <v>0</v>
      </c>
      <c r="L98" s="1273"/>
    </row>
    <row r="99" spans="1:12" s="1765" customFormat="1" ht="24" customHeight="1">
      <c r="A99" s="1258"/>
      <c r="B99" s="1538" t="s">
        <v>1901</v>
      </c>
      <c r="C99" s="1437"/>
      <c r="D99" s="1275"/>
      <c r="E99" s="1813">
        <f>E87</f>
        <v>0</v>
      </c>
      <c r="F99" s="1358" t="s">
        <v>226</v>
      </c>
      <c r="G99" s="1516">
        <v>69</v>
      </c>
      <c r="H99" s="1264">
        <f t="shared" si="16"/>
        <v>0</v>
      </c>
      <c r="I99" s="1265">
        <f>ROUND(20*1*1.3,)</f>
        <v>26</v>
      </c>
      <c r="J99" s="1264">
        <f t="shared" si="17"/>
        <v>0</v>
      </c>
      <c r="K99" s="1273">
        <f t="shared" si="18"/>
        <v>0</v>
      </c>
      <c r="L99" s="1273"/>
    </row>
    <row r="100" spans="1:12" s="1765" customFormat="1" ht="24" customHeight="1">
      <c r="A100" s="1258"/>
      <c r="B100" s="1538" t="s">
        <v>1338</v>
      </c>
      <c r="C100" s="1437"/>
      <c r="D100" s="1275"/>
      <c r="E100" s="1813">
        <f>E88</f>
        <v>2.2999999999999998</v>
      </c>
      <c r="F100" s="1358" t="s">
        <v>226</v>
      </c>
      <c r="G100" s="1516">
        <v>92</v>
      </c>
      <c r="H100" s="1264">
        <f t="shared" si="16"/>
        <v>212</v>
      </c>
      <c r="I100" s="1265">
        <f>ROUND(20*1.25*1.3,)</f>
        <v>33</v>
      </c>
      <c r="J100" s="1264">
        <f t="shared" si="17"/>
        <v>76</v>
      </c>
      <c r="K100" s="1273">
        <f t="shared" si="18"/>
        <v>288</v>
      </c>
      <c r="L100" s="1273"/>
    </row>
    <row r="101" spans="1:12" s="1765" customFormat="1" ht="24" customHeight="1">
      <c r="A101" s="1258" t="s">
        <v>2054</v>
      </c>
      <c r="B101" s="1538" t="s">
        <v>2169</v>
      </c>
      <c r="C101" s="1437"/>
      <c r="D101" s="1275"/>
      <c r="E101" s="1768"/>
      <c r="F101" s="1358"/>
      <c r="G101" s="1516"/>
      <c r="H101" s="1264"/>
      <c r="I101" s="1265"/>
      <c r="J101" s="1264"/>
      <c r="K101" s="1273"/>
      <c r="L101" s="1273"/>
    </row>
    <row r="102" spans="1:12" s="1765" customFormat="1" ht="24" customHeight="1">
      <c r="A102" s="1258"/>
      <c r="B102" s="1538" t="s">
        <v>1340</v>
      </c>
      <c r="C102" s="1437"/>
      <c r="D102" s="1275"/>
      <c r="E102" s="1813">
        <f>E78</f>
        <v>204</v>
      </c>
      <c r="F102" s="1788" t="s">
        <v>226</v>
      </c>
      <c r="G102" s="1790">
        <v>69</v>
      </c>
      <c r="H102" s="1773">
        <f t="shared" ref="H102" si="19">ROUND(E102*G102,)</f>
        <v>14076</v>
      </c>
      <c r="I102" s="1789">
        <f>ROUND(20*0.75*1.3,)</f>
        <v>20</v>
      </c>
      <c r="J102" s="1773">
        <f t="shared" ref="J102" si="20">ROUND(E102*I102,)</f>
        <v>4080</v>
      </c>
      <c r="K102" s="1269">
        <f t="shared" ref="K102" si="21">H102+J102</f>
        <v>18156</v>
      </c>
      <c r="L102" s="1269"/>
    </row>
    <row r="103" spans="1:12" s="1765" customFormat="1" ht="24" customHeight="1">
      <c r="A103" s="1804" t="s">
        <v>2056</v>
      </c>
      <c r="B103" s="1780" t="s">
        <v>2265</v>
      </c>
      <c r="C103" s="1800"/>
      <c r="D103" s="1260"/>
      <c r="E103" s="1801"/>
      <c r="F103" s="1262"/>
      <c r="G103" s="1515"/>
      <c r="H103" s="1343"/>
      <c r="I103" s="1344"/>
      <c r="J103" s="1343"/>
      <c r="K103" s="1262"/>
      <c r="L103" s="1262"/>
    </row>
    <row r="104" spans="1:12" s="1765" customFormat="1" ht="24" customHeight="1">
      <c r="A104" s="1804"/>
      <c r="B104" s="1780" t="s">
        <v>1338</v>
      </c>
      <c r="C104" s="1800"/>
      <c r="D104" s="1260"/>
      <c r="E104" s="825">
        <f>E76</f>
        <v>0</v>
      </c>
      <c r="F104" s="1262" t="s">
        <v>226</v>
      </c>
      <c r="G104" s="1515">
        <v>108</v>
      </c>
      <c r="H104" s="1369">
        <f t="shared" ref="H104:H111" si="22">ROUND(E104*G104,)</f>
        <v>0</v>
      </c>
      <c r="I104" s="1370">
        <v>33</v>
      </c>
      <c r="J104" s="1369">
        <f t="shared" ref="J104:J111" si="23">ROUND(E104*I104,)</f>
        <v>0</v>
      </c>
      <c r="K104" s="1356">
        <f t="shared" ref="K104:K111" si="24">H104+J104</f>
        <v>0</v>
      </c>
      <c r="L104" s="1356"/>
    </row>
    <row r="105" spans="1:12" s="1765" customFormat="1" ht="24" customHeight="1">
      <c r="A105" s="1784"/>
      <c r="B105" s="1780" t="s">
        <v>1339</v>
      </c>
      <c r="C105" s="1260"/>
      <c r="D105" s="1781"/>
      <c r="E105" s="825">
        <f>E77</f>
        <v>0</v>
      </c>
      <c r="F105" s="1356" t="s">
        <v>226</v>
      </c>
      <c r="G105" s="1515">
        <v>164</v>
      </c>
      <c r="H105" s="1369">
        <f t="shared" si="22"/>
        <v>0</v>
      </c>
      <c r="I105" s="1370">
        <v>39</v>
      </c>
      <c r="J105" s="1369">
        <f t="shared" si="23"/>
        <v>0</v>
      </c>
      <c r="K105" s="1356">
        <f t="shared" si="24"/>
        <v>0</v>
      </c>
      <c r="L105" s="1457"/>
    </row>
    <row r="106" spans="1:12" s="1765" customFormat="1" ht="24" customHeight="1">
      <c r="A106" s="1784"/>
      <c r="B106" s="1780" t="s">
        <v>1340</v>
      </c>
      <c r="C106" s="1260"/>
      <c r="D106" s="1781"/>
      <c r="E106" s="825"/>
      <c r="F106" s="1356" t="s">
        <v>226</v>
      </c>
      <c r="G106" s="1515">
        <v>200</v>
      </c>
      <c r="H106" s="1369">
        <f t="shared" si="22"/>
        <v>0</v>
      </c>
      <c r="I106" s="1370">
        <v>52</v>
      </c>
      <c r="J106" s="1369">
        <f t="shared" si="23"/>
        <v>0</v>
      </c>
      <c r="K106" s="1356">
        <f t="shared" si="24"/>
        <v>0</v>
      </c>
      <c r="L106" s="1457"/>
    </row>
    <row r="107" spans="1:12" s="1765" customFormat="1" ht="24" customHeight="1">
      <c r="A107" s="1784"/>
      <c r="B107" s="1780" t="s">
        <v>1341</v>
      </c>
      <c r="C107" s="1260"/>
      <c r="D107" s="1781"/>
      <c r="E107" s="825">
        <f>E79</f>
        <v>191</v>
      </c>
      <c r="F107" s="1356" t="s">
        <v>226</v>
      </c>
      <c r="G107" s="1515">
        <v>256</v>
      </c>
      <c r="H107" s="1369">
        <f t="shared" si="22"/>
        <v>48896</v>
      </c>
      <c r="I107" s="1370">
        <v>65</v>
      </c>
      <c r="J107" s="1369">
        <f t="shared" si="23"/>
        <v>12415</v>
      </c>
      <c r="K107" s="1356">
        <f t="shared" si="24"/>
        <v>61311</v>
      </c>
      <c r="L107" s="1457"/>
    </row>
    <row r="108" spans="1:12" s="1765" customFormat="1" ht="24" customHeight="1">
      <c r="A108" s="1784"/>
      <c r="B108" s="1780" t="s">
        <v>1342</v>
      </c>
      <c r="C108" s="1260"/>
      <c r="D108" s="1781"/>
      <c r="E108" s="825">
        <f>E80</f>
        <v>171.60000000000002</v>
      </c>
      <c r="F108" s="1356" t="s">
        <v>226</v>
      </c>
      <c r="G108" s="1515">
        <v>302</v>
      </c>
      <c r="H108" s="1369">
        <f t="shared" si="22"/>
        <v>51823</v>
      </c>
      <c r="I108" s="1370">
        <v>78</v>
      </c>
      <c r="J108" s="1369">
        <f t="shared" si="23"/>
        <v>13385</v>
      </c>
      <c r="K108" s="1356">
        <f t="shared" si="24"/>
        <v>65208</v>
      </c>
      <c r="L108" s="1457"/>
    </row>
    <row r="109" spans="1:12" s="1765" customFormat="1" ht="24" customHeight="1">
      <c r="A109" s="1784"/>
      <c r="B109" s="1780" t="s">
        <v>1111</v>
      </c>
      <c r="C109" s="1260"/>
      <c r="D109" s="1781"/>
      <c r="E109" s="825">
        <f>E81</f>
        <v>113.30000000000001</v>
      </c>
      <c r="F109" s="1356" t="s">
        <v>226</v>
      </c>
      <c r="G109" s="1515">
        <v>367</v>
      </c>
      <c r="H109" s="1369">
        <f t="shared" si="22"/>
        <v>41581</v>
      </c>
      <c r="I109" s="1370">
        <v>104</v>
      </c>
      <c r="J109" s="1369">
        <f t="shared" si="23"/>
        <v>11783</v>
      </c>
      <c r="K109" s="1356">
        <f t="shared" si="24"/>
        <v>53364</v>
      </c>
      <c r="L109" s="1457"/>
    </row>
    <row r="110" spans="1:12" s="1765" customFormat="1" ht="24" customHeight="1">
      <c r="A110" s="1804" t="s">
        <v>2059</v>
      </c>
      <c r="B110" s="1780" t="s">
        <v>2057</v>
      </c>
      <c r="C110" s="1800"/>
      <c r="D110" s="1375"/>
      <c r="E110" s="1801"/>
      <c r="F110" s="1356"/>
      <c r="G110" s="1515"/>
      <c r="H110" s="1369"/>
      <c r="I110" s="1370"/>
      <c r="J110" s="1369"/>
      <c r="K110" s="1356"/>
      <c r="L110" s="1356"/>
    </row>
    <row r="111" spans="1:12" s="1765" customFormat="1" ht="24" customHeight="1">
      <c r="A111" s="1784"/>
      <c r="B111" s="1780" t="s">
        <v>1885</v>
      </c>
      <c r="C111" s="1260"/>
      <c r="D111" s="1781"/>
      <c r="E111" s="825"/>
      <c r="F111" s="1356" t="s">
        <v>226</v>
      </c>
      <c r="G111" s="1769">
        <v>465</v>
      </c>
      <c r="H111" s="1369">
        <f t="shared" si="22"/>
        <v>0</v>
      </c>
      <c r="I111" s="1370">
        <v>156</v>
      </c>
      <c r="J111" s="1369">
        <f t="shared" si="23"/>
        <v>0</v>
      </c>
      <c r="K111" s="1356">
        <f t="shared" si="24"/>
        <v>0</v>
      </c>
      <c r="L111" s="1457"/>
    </row>
    <row r="112" spans="1:12" s="1765" customFormat="1" ht="24" customHeight="1">
      <c r="A112" s="1258"/>
      <c r="B112" s="1538" t="s">
        <v>1117</v>
      </c>
      <c r="C112" s="1437"/>
      <c r="D112" s="1275"/>
      <c r="E112" s="1768"/>
      <c r="F112" s="1358"/>
      <c r="G112" s="1516"/>
      <c r="H112" s="1264"/>
      <c r="I112" s="1265"/>
      <c r="J112" s="1264"/>
      <c r="K112" s="1273"/>
      <c r="L112" s="1273"/>
    </row>
    <row r="113" spans="1:12" s="1765" customFormat="1" ht="24" customHeight="1">
      <c r="A113" s="1578"/>
      <c r="B113" s="2257" t="str">
        <f>"รวมราคารายการที่ "&amp;A96</f>
        <v>รวมราคารายการที่ 7.4</v>
      </c>
      <c r="C113" s="2258"/>
      <c r="D113" s="2259"/>
      <c r="E113" s="1579"/>
      <c r="F113" s="1579"/>
      <c r="G113" s="1580"/>
      <c r="H113" s="1581">
        <f>SUM(H97:H112)</f>
        <v>156588</v>
      </c>
      <c r="I113" s="1582"/>
      <c r="J113" s="1581">
        <f>SUM(J97:J112)</f>
        <v>41739</v>
      </c>
      <c r="K113" s="1581">
        <f>SUM(K97:K112)</f>
        <v>198327</v>
      </c>
      <c r="L113" s="1583"/>
    </row>
    <row r="114" spans="1:12" s="1765" customFormat="1" ht="24" customHeight="1">
      <c r="A114" s="1291" t="s">
        <v>2307</v>
      </c>
      <c r="B114" s="1776" t="s">
        <v>2061</v>
      </c>
      <c r="C114" s="1293"/>
      <c r="D114" s="1294"/>
      <c r="E114" s="1786"/>
      <c r="F114" s="1296"/>
      <c r="G114" s="1357"/>
      <c r="H114" s="1298"/>
      <c r="I114" s="1299"/>
      <c r="J114" s="1298"/>
      <c r="K114" s="1382"/>
      <c r="L114" s="1382"/>
    </row>
    <row r="115" spans="1:12" s="1765" customFormat="1" ht="24" customHeight="1">
      <c r="A115" s="1258" t="s">
        <v>2062</v>
      </c>
      <c r="B115" s="1538" t="s">
        <v>2063</v>
      </c>
      <c r="C115" s="1437"/>
      <c r="D115" s="1275"/>
      <c r="E115" s="1768"/>
      <c r="F115" s="1358"/>
      <c r="G115" s="1516"/>
      <c r="H115" s="1264"/>
      <c r="I115" s="1265"/>
      <c r="J115" s="1264"/>
      <c r="K115" s="1273"/>
      <c r="L115" s="1273"/>
    </row>
    <row r="116" spans="1:12" s="1765" customFormat="1" ht="24" customHeight="1">
      <c r="A116" s="1258"/>
      <c r="B116" s="1538" t="s">
        <v>1448</v>
      </c>
      <c r="C116" s="1437"/>
      <c r="D116" s="1275"/>
      <c r="E116" s="1787"/>
      <c r="F116" s="1788" t="s">
        <v>363</v>
      </c>
      <c r="G116" s="2010">
        <v>880</v>
      </c>
      <c r="H116" s="1773">
        <f t="shared" ref="H116:H120" si="25">ROUND(E116*G116,)</f>
        <v>0</v>
      </c>
      <c r="I116" s="2011">
        <v>150</v>
      </c>
      <c r="J116" s="2008">
        <f t="shared" ref="J116:J120" si="26">ROUND(E116*I116,)</f>
        <v>0</v>
      </c>
      <c r="K116" s="1774">
        <f t="shared" ref="K116:K120" si="27">H116+J116</f>
        <v>0</v>
      </c>
      <c r="L116" s="2082" t="s">
        <v>2667</v>
      </c>
    </row>
    <row r="117" spans="1:12" s="1765" customFormat="1" ht="24" customHeight="1">
      <c r="A117" s="1258"/>
      <c r="B117" s="1538" t="s">
        <v>1337</v>
      </c>
      <c r="C117" s="1437"/>
      <c r="D117" s="1275"/>
      <c r="E117" s="1768"/>
      <c r="F117" s="1358" t="s">
        <v>363</v>
      </c>
      <c r="G117" s="2012">
        <v>1316</v>
      </c>
      <c r="H117" s="1264">
        <f t="shared" si="25"/>
        <v>0</v>
      </c>
      <c r="I117" s="1332">
        <v>200</v>
      </c>
      <c r="J117" s="2013">
        <f t="shared" si="26"/>
        <v>0</v>
      </c>
      <c r="K117" s="1687">
        <f t="shared" si="27"/>
        <v>0</v>
      </c>
      <c r="L117" s="2082" t="s">
        <v>2667</v>
      </c>
    </row>
    <row r="118" spans="1:12" s="1765" customFormat="1" ht="24" customHeight="1">
      <c r="A118" s="1258"/>
      <c r="B118" s="1538" t="s">
        <v>1338</v>
      </c>
      <c r="C118" s="1437"/>
      <c r="D118" s="1275"/>
      <c r="E118" s="1787">
        <f>E38*2</f>
        <v>2</v>
      </c>
      <c r="F118" s="1358" t="s">
        <v>363</v>
      </c>
      <c r="G118" s="2012">
        <v>1984</v>
      </c>
      <c r="H118" s="1264">
        <f t="shared" si="25"/>
        <v>3968</v>
      </c>
      <c r="I118" s="1332">
        <v>250</v>
      </c>
      <c r="J118" s="2013">
        <f t="shared" si="26"/>
        <v>500</v>
      </c>
      <c r="K118" s="1687">
        <f t="shared" si="27"/>
        <v>4468</v>
      </c>
      <c r="L118" s="2082" t="s">
        <v>2667</v>
      </c>
    </row>
    <row r="119" spans="1:12" s="1765" customFormat="1" ht="24" customHeight="1">
      <c r="A119" s="1258"/>
      <c r="B119" s="1538" t="s">
        <v>1339</v>
      </c>
      <c r="C119" s="1437"/>
      <c r="D119" s="1275"/>
      <c r="E119" s="1787">
        <f>E39*2</f>
        <v>2</v>
      </c>
      <c r="F119" s="1358" t="s">
        <v>363</v>
      </c>
      <c r="G119" s="2012">
        <v>2610</v>
      </c>
      <c r="H119" s="1264">
        <f t="shared" si="25"/>
        <v>5220</v>
      </c>
      <c r="I119" s="1332">
        <v>300</v>
      </c>
      <c r="J119" s="2013">
        <f t="shared" si="26"/>
        <v>600</v>
      </c>
      <c r="K119" s="1687">
        <f t="shared" si="27"/>
        <v>5820</v>
      </c>
      <c r="L119" s="2082" t="s">
        <v>2667</v>
      </c>
    </row>
    <row r="120" spans="1:12" s="1765" customFormat="1" ht="24" customHeight="1">
      <c r="A120" s="2113"/>
      <c r="B120" s="2114" t="s">
        <v>1340</v>
      </c>
      <c r="C120" s="2115"/>
      <c r="D120" s="2108"/>
      <c r="E120" s="1801"/>
      <c r="F120" s="1262" t="s">
        <v>363</v>
      </c>
      <c r="G120" s="2003">
        <v>4040</v>
      </c>
      <c r="H120" s="1343">
        <f t="shared" si="25"/>
        <v>0</v>
      </c>
      <c r="I120" s="2004">
        <v>400</v>
      </c>
      <c r="J120" s="2005">
        <f t="shared" si="26"/>
        <v>0</v>
      </c>
      <c r="K120" s="1801">
        <f t="shared" si="27"/>
        <v>0</v>
      </c>
      <c r="L120" s="2152" t="s">
        <v>2667</v>
      </c>
    </row>
    <row r="121" spans="1:12" s="2116" customFormat="1" ht="24" customHeight="1">
      <c r="A121" s="2113" t="s">
        <v>2064</v>
      </c>
      <c r="B121" s="2114" t="s">
        <v>2065</v>
      </c>
      <c r="C121" s="2115"/>
      <c r="D121" s="2108"/>
      <c r="E121" s="1801"/>
      <c r="F121" s="1262"/>
      <c r="G121" s="1515"/>
      <c r="H121" s="1343"/>
      <c r="I121" s="1344"/>
      <c r="J121" s="1343"/>
      <c r="K121" s="1262"/>
      <c r="L121" s="1262"/>
    </row>
    <row r="122" spans="1:12" s="2116" customFormat="1" ht="24" customHeight="1">
      <c r="A122" s="2113"/>
      <c r="B122" s="2107" t="s">
        <v>1341</v>
      </c>
      <c r="C122" s="2115"/>
      <c r="D122" s="2108"/>
      <c r="E122" s="1801"/>
      <c r="F122" s="1262" t="s">
        <v>363</v>
      </c>
      <c r="G122" s="1836">
        <v>1862</v>
      </c>
      <c r="H122" s="1343">
        <f>ROUND(E122*G122,)</f>
        <v>0</v>
      </c>
      <c r="I122" s="1344">
        <v>500</v>
      </c>
      <c r="J122" s="1343">
        <f t="shared" ref="J122:J125" si="28">ROUND(E122*I122,)</f>
        <v>0</v>
      </c>
      <c r="K122" s="1262">
        <f t="shared" ref="K122:K125" si="29">H122+J122</f>
        <v>0</v>
      </c>
      <c r="L122" s="1262"/>
    </row>
    <row r="123" spans="1:12" s="2116" customFormat="1" ht="24" customHeight="1">
      <c r="A123" s="2113"/>
      <c r="B123" s="2107" t="s">
        <v>1342</v>
      </c>
      <c r="C123" s="2115"/>
      <c r="D123" s="2108"/>
      <c r="E123" s="2091">
        <v>10</v>
      </c>
      <c r="F123" s="1262" t="s">
        <v>363</v>
      </c>
      <c r="G123" s="1836">
        <v>2159</v>
      </c>
      <c r="H123" s="1343">
        <f>ROUND(E123*G123,)</f>
        <v>21590</v>
      </c>
      <c r="I123" s="1344">
        <v>600</v>
      </c>
      <c r="J123" s="1343">
        <f t="shared" si="28"/>
        <v>6000</v>
      </c>
      <c r="K123" s="1262">
        <f t="shared" si="29"/>
        <v>27590</v>
      </c>
      <c r="L123" s="1262"/>
    </row>
    <row r="124" spans="1:12" s="2116" customFormat="1" ht="24" customHeight="1">
      <c r="A124" s="2113"/>
      <c r="B124" s="2114" t="s">
        <v>1759</v>
      </c>
      <c r="C124" s="2115"/>
      <c r="D124" s="2108"/>
      <c r="E124" s="1801"/>
      <c r="F124" s="1262" t="s">
        <v>363</v>
      </c>
      <c r="G124" s="1836">
        <v>2811</v>
      </c>
      <c r="H124" s="1343">
        <f>ROUND(E124*G124,)</f>
        <v>0</v>
      </c>
      <c r="I124" s="1344">
        <v>800</v>
      </c>
      <c r="J124" s="1343">
        <f t="shared" si="28"/>
        <v>0</v>
      </c>
      <c r="K124" s="1262">
        <f t="shared" si="29"/>
        <v>0</v>
      </c>
      <c r="L124" s="1415"/>
    </row>
    <row r="125" spans="1:12" s="2116" customFormat="1" ht="24" customHeight="1">
      <c r="A125" s="2113"/>
      <c r="B125" s="2114" t="s">
        <v>1866</v>
      </c>
      <c r="C125" s="2115"/>
      <c r="D125" s="2108"/>
      <c r="E125" s="1801"/>
      <c r="F125" s="1262" t="s">
        <v>363</v>
      </c>
      <c r="G125" s="1836">
        <v>14327</v>
      </c>
      <c r="H125" s="1343">
        <f>ROUND(E125*G125,)</f>
        <v>0</v>
      </c>
      <c r="I125" s="1344">
        <v>2000</v>
      </c>
      <c r="J125" s="1343">
        <f t="shared" si="28"/>
        <v>0</v>
      </c>
      <c r="K125" s="1262">
        <f t="shared" si="29"/>
        <v>0</v>
      </c>
      <c r="L125" s="1262"/>
    </row>
    <row r="126" spans="1:12" s="1765" customFormat="1" ht="24" customHeight="1">
      <c r="A126" s="2113" t="s">
        <v>2066</v>
      </c>
      <c r="B126" s="2114" t="s">
        <v>2067</v>
      </c>
      <c r="C126" s="2115"/>
      <c r="D126" s="2108"/>
      <c r="E126" s="1801"/>
      <c r="F126" s="1262"/>
      <c r="G126" s="1515"/>
      <c r="H126" s="1343"/>
      <c r="I126" s="1344"/>
      <c r="J126" s="1343"/>
      <c r="K126" s="1262"/>
      <c r="L126" s="1262"/>
    </row>
    <row r="127" spans="1:12" s="1765" customFormat="1" ht="24" customHeight="1">
      <c r="A127" s="2113"/>
      <c r="B127" s="2114" t="s">
        <v>1448</v>
      </c>
      <c r="C127" s="2115"/>
      <c r="D127" s="2108"/>
      <c r="E127" s="1853">
        <f>E116/2</f>
        <v>0</v>
      </c>
      <c r="F127" s="2154" t="s">
        <v>363</v>
      </c>
      <c r="G127" s="2159">
        <v>350</v>
      </c>
      <c r="H127" s="2156">
        <f t="shared" ref="H127:H131" si="30">ROUND(E127*G127,)</f>
        <v>0</v>
      </c>
      <c r="I127" s="2160">
        <v>150</v>
      </c>
      <c r="J127" s="2156">
        <f t="shared" ref="J127:J131" si="31">ROUND(E127*I127,)</f>
        <v>0</v>
      </c>
      <c r="K127" s="2154">
        <f t="shared" ref="K127:K131" si="32">H127+J127</f>
        <v>0</v>
      </c>
      <c r="L127" s="1262"/>
    </row>
    <row r="128" spans="1:12" s="1765" customFormat="1" ht="24" customHeight="1">
      <c r="A128" s="2113"/>
      <c r="B128" s="2114" t="s">
        <v>1338</v>
      </c>
      <c r="C128" s="2115"/>
      <c r="D128" s="2108"/>
      <c r="E128" s="1801">
        <f>E118/2</f>
        <v>1</v>
      </c>
      <c r="F128" s="1262" t="s">
        <v>363</v>
      </c>
      <c r="G128" s="1515">
        <v>1084</v>
      </c>
      <c r="H128" s="1343">
        <f t="shared" si="30"/>
        <v>1084</v>
      </c>
      <c r="I128" s="1344">
        <v>250</v>
      </c>
      <c r="J128" s="1343">
        <f t="shared" si="31"/>
        <v>250</v>
      </c>
      <c r="K128" s="1262">
        <f t="shared" si="32"/>
        <v>1334</v>
      </c>
      <c r="L128" s="1262"/>
    </row>
    <row r="129" spans="1:20" s="1765" customFormat="1" ht="24" customHeight="1">
      <c r="A129" s="2113"/>
      <c r="B129" s="2114" t="s">
        <v>1339</v>
      </c>
      <c r="C129" s="2115"/>
      <c r="D129" s="2108"/>
      <c r="E129" s="1801">
        <f>E119/2</f>
        <v>1</v>
      </c>
      <c r="F129" s="1262" t="s">
        <v>363</v>
      </c>
      <c r="G129" s="1515">
        <v>1710</v>
      </c>
      <c r="H129" s="1343">
        <f t="shared" si="30"/>
        <v>1710</v>
      </c>
      <c r="I129" s="1344">
        <v>300</v>
      </c>
      <c r="J129" s="1343">
        <f t="shared" si="31"/>
        <v>300</v>
      </c>
      <c r="K129" s="1262">
        <f t="shared" si="32"/>
        <v>2010</v>
      </c>
      <c r="L129" s="1262"/>
    </row>
    <row r="130" spans="1:20" s="1765" customFormat="1" ht="24" customHeight="1">
      <c r="A130" s="2113"/>
      <c r="B130" s="2114" t="s">
        <v>1340</v>
      </c>
      <c r="C130" s="2115"/>
      <c r="D130" s="2108"/>
      <c r="E130" s="1801"/>
      <c r="F130" s="1262" t="s">
        <v>363</v>
      </c>
      <c r="G130" s="1836">
        <v>2839</v>
      </c>
      <c r="H130" s="1343">
        <f t="shared" si="30"/>
        <v>0</v>
      </c>
      <c r="I130" s="1344">
        <v>400</v>
      </c>
      <c r="J130" s="1343">
        <f t="shared" si="31"/>
        <v>0</v>
      </c>
      <c r="K130" s="1262">
        <f t="shared" si="32"/>
        <v>0</v>
      </c>
      <c r="L130" s="1262"/>
    </row>
    <row r="131" spans="1:20" s="2116" customFormat="1" ht="24" customHeight="1">
      <c r="A131" s="2113"/>
      <c r="B131" s="2114" t="s">
        <v>1341</v>
      </c>
      <c r="C131" s="2115"/>
      <c r="D131" s="2108"/>
      <c r="E131" s="1801"/>
      <c r="F131" s="1262" t="s">
        <v>363</v>
      </c>
      <c r="G131" s="1836">
        <v>4375</v>
      </c>
      <c r="H131" s="1343">
        <f t="shared" si="30"/>
        <v>0</v>
      </c>
      <c r="I131" s="1344">
        <v>500</v>
      </c>
      <c r="J131" s="1343">
        <f t="shared" si="31"/>
        <v>0</v>
      </c>
      <c r="K131" s="1262">
        <f t="shared" si="32"/>
        <v>0</v>
      </c>
      <c r="L131" s="1262"/>
      <c r="M131" s="2144"/>
      <c r="N131" s="2144"/>
      <c r="O131" s="2144"/>
      <c r="P131" s="2144"/>
      <c r="Q131" s="2144"/>
      <c r="R131" s="2144"/>
      <c r="S131" s="2144"/>
      <c r="T131" s="2144"/>
    </row>
    <row r="132" spans="1:20" s="2116" customFormat="1" ht="24" customHeight="1">
      <c r="A132" s="2113"/>
      <c r="B132" s="2153" t="s">
        <v>1834</v>
      </c>
      <c r="C132" s="2115"/>
      <c r="D132" s="2108"/>
      <c r="E132" s="2091">
        <v>5</v>
      </c>
      <c r="F132" s="1262" t="s">
        <v>363</v>
      </c>
      <c r="G132" s="1836">
        <v>4489</v>
      </c>
      <c r="H132" s="1343">
        <f>ROUND(E132*G132,)</f>
        <v>22445</v>
      </c>
      <c r="I132" s="1344">
        <v>600</v>
      </c>
      <c r="J132" s="1343">
        <f>ROUND(E132*I132,)</f>
        <v>3000</v>
      </c>
      <c r="K132" s="1262">
        <f>H132+J132</f>
        <v>25445</v>
      </c>
      <c r="L132" s="1262"/>
    </row>
    <row r="133" spans="1:20" s="2116" customFormat="1" ht="24" customHeight="1">
      <c r="A133" s="2113"/>
      <c r="B133" s="2114" t="s">
        <v>1759</v>
      </c>
      <c r="C133" s="2115"/>
      <c r="D133" s="2108"/>
      <c r="E133" s="1801"/>
      <c r="F133" s="1262" t="s">
        <v>363</v>
      </c>
      <c r="G133" s="1836">
        <v>6528</v>
      </c>
      <c r="H133" s="1343">
        <f>ROUND(E133*G133,)</f>
        <v>0</v>
      </c>
      <c r="I133" s="1344">
        <v>800</v>
      </c>
      <c r="J133" s="1343">
        <f>ROUND(E133*I133,)</f>
        <v>0</v>
      </c>
      <c r="K133" s="1262">
        <f>H133+J133</f>
        <v>0</v>
      </c>
      <c r="L133" s="1262"/>
    </row>
    <row r="134" spans="1:20" s="2116" customFormat="1" ht="24" customHeight="1">
      <c r="A134" s="2113"/>
      <c r="B134" s="2114"/>
      <c r="C134" s="2115"/>
      <c r="D134" s="2108"/>
      <c r="E134" s="1801"/>
      <c r="F134" s="1262"/>
      <c r="G134" s="1836"/>
      <c r="H134" s="1343"/>
      <c r="I134" s="1344"/>
      <c r="J134" s="1343"/>
      <c r="K134" s="1262"/>
      <c r="L134" s="1262"/>
    </row>
    <row r="135" spans="1:20" s="1765" customFormat="1" ht="24" customHeight="1">
      <c r="A135" s="2113" t="s">
        <v>2068</v>
      </c>
      <c r="B135" s="2114" t="s">
        <v>2069</v>
      </c>
      <c r="C135" s="2115"/>
      <c r="D135" s="2108"/>
      <c r="E135" s="1801"/>
      <c r="F135" s="1262"/>
      <c r="G135" s="1836"/>
      <c r="H135" s="1343"/>
      <c r="I135" s="1344"/>
      <c r="J135" s="1343"/>
      <c r="K135" s="1262"/>
      <c r="L135" s="1262"/>
    </row>
    <row r="136" spans="1:20" s="1765" customFormat="1" ht="24" customHeight="1">
      <c r="A136" s="2113"/>
      <c r="B136" s="2114" t="s">
        <v>1338</v>
      </c>
      <c r="C136" s="2115"/>
      <c r="D136" s="2108"/>
      <c r="E136" s="1801"/>
      <c r="F136" s="1262" t="s">
        <v>363</v>
      </c>
      <c r="G136" s="1515">
        <v>1863</v>
      </c>
      <c r="H136" s="1343">
        <f t="shared" ref="H136:H137" si="33">ROUND(E136*G136,)</f>
        <v>0</v>
      </c>
      <c r="I136" s="1344">
        <v>250</v>
      </c>
      <c r="J136" s="1343">
        <f t="shared" ref="J136:J137" si="34">ROUND(E136*I136,)</f>
        <v>0</v>
      </c>
      <c r="K136" s="1262">
        <f t="shared" ref="K136:K137" si="35">H136+J136</f>
        <v>0</v>
      </c>
      <c r="L136" s="1262"/>
    </row>
    <row r="137" spans="1:20" s="1765" customFormat="1" ht="24" customHeight="1">
      <c r="A137" s="2113"/>
      <c r="B137" s="2114" t="s">
        <v>1339</v>
      </c>
      <c r="C137" s="2115"/>
      <c r="D137" s="2108"/>
      <c r="E137" s="1801"/>
      <c r="F137" s="1262" t="s">
        <v>363</v>
      </c>
      <c r="G137" s="1515">
        <v>2130</v>
      </c>
      <c r="H137" s="1343">
        <f t="shared" si="33"/>
        <v>0</v>
      </c>
      <c r="I137" s="1344">
        <v>300</v>
      </c>
      <c r="J137" s="1343">
        <f t="shared" si="34"/>
        <v>0</v>
      </c>
      <c r="K137" s="1262">
        <f t="shared" si="35"/>
        <v>0</v>
      </c>
      <c r="L137" s="1262"/>
    </row>
    <row r="138" spans="1:20" s="2116" customFormat="1" ht="24" customHeight="1">
      <c r="A138" s="2113"/>
      <c r="B138" s="2153" t="s">
        <v>1856</v>
      </c>
      <c r="C138" s="2115"/>
      <c r="D138" s="2108"/>
      <c r="E138" s="2091"/>
      <c r="F138" s="1262" t="s">
        <v>363</v>
      </c>
      <c r="G138" s="1515">
        <v>3876</v>
      </c>
      <c r="H138" s="1343">
        <f>ROUND(E138*G138,)</f>
        <v>0</v>
      </c>
      <c r="I138" s="1344">
        <v>500</v>
      </c>
      <c r="J138" s="1343">
        <f>ROUND(E138*I138,)</f>
        <v>0</v>
      </c>
      <c r="K138" s="1262">
        <f>H138+J138</f>
        <v>0</v>
      </c>
      <c r="L138" s="1262"/>
    </row>
    <row r="139" spans="1:20" s="2116" customFormat="1" ht="24" customHeight="1">
      <c r="A139" s="2113"/>
      <c r="B139" s="2153" t="s">
        <v>1834</v>
      </c>
      <c r="C139" s="2115"/>
      <c r="D139" s="2108"/>
      <c r="E139" s="2091">
        <v>10</v>
      </c>
      <c r="F139" s="1262" t="s">
        <v>363</v>
      </c>
      <c r="G139" s="1515">
        <v>4175</v>
      </c>
      <c r="H139" s="1343">
        <f>ROUND(E139*G139,)</f>
        <v>41750</v>
      </c>
      <c r="I139" s="1344">
        <v>600</v>
      </c>
      <c r="J139" s="1343">
        <f>ROUND(E139*I139,)</f>
        <v>6000</v>
      </c>
      <c r="K139" s="1262">
        <f>H139+J139</f>
        <v>47750</v>
      </c>
      <c r="L139" s="1262"/>
    </row>
    <row r="140" spans="1:20" s="2116" customFormat="1" ht="24" customHeight="1">
      <c r="A140" s="2113"/>
      <c r="B140" s="2114" t="s">
        <v>1759</v>
      </c>
      <c r="C140" s="2115"/>
      <c r="D140" s="2108"/>
      <c r="E140" s="1801"/>
      <c r="F140" s="1262" t="s">
        <v>363</v>
      </c>
      <c r="G140" s="1836">
        <v>5541</v>
      </c>
      <c r="H140" s="1343">
        <f>ROUND(E140*G140,)</f>
        <v>0</v>
      </c>
      <c r="I140" s="1344">
        <v>800</v>
      </c>
      <c r="J140" s="1343">
        <f t="shared" ref="J140:J141" si="36">ROUND(E140*I140,)</f>
        <v>0</v>
      </c>
      <c r="K140" s="1262">
        <f t="shared" ref="K140:K141" si="37">H140+J140</f>
        <v>0</v>
      </c>
      <c r="L140" s="1262"/>
    </row>
    <row r="141" spans="1:20" s="2116" customFormat="1" ht="24" customHeight="1">
      <c r="A141" s="2113"/>
      <c r="B141" s="2114" t="s">
        <v>1866</v>
      </c>
      <c r="C141" s="2115"/>
      <c r="D141" s="2108"/>
      <c r="E141" s="1801"/>
      <c r="F141" s="1262"/>
      <c r="G141" s="1836">
        <v>18915</v>
      </c>
      <c r="H141" s="1343">
        <f>ROUND(E141*G141,)</f>
        <v>0</v>
      </c>
      <c r="I141" s="1344">
        <v>2000</v>
      </c>
      <c r="J141" s="1343">
        <f t="shared" si="36"/>
        <v>0</v>
      </c>
      <c r="K141" s="1262">
        <f t="shared" si="37"/>
        <v>0</v>
      </c>
      <c r="L141" s="1262"/>
    </row>
    <row r="142" spans="1:20" s="2116" customFormat="1" ht="24" customHeight="1">
      <c r="A142" s="2113" t="s">
        <v>2070</v>
      </c>
      <c r="B142" s="2114" t="s">
        <v>2728</v>
      </c>
      <c r="C142" s="2115"/>
      <c r="D142" s="2108"/>
      <c r="E142" s="1801"/>
      <c r="F142" s="1262"/>
      <c r="G142" s="1515"/>
      <c r="H142" s="1343"/>
      <c r="I142" s="1344"/>
      <c r="J142" s="1343"/>
      <c r="K142" s="1262"/>
      <c r="L142" s="1262"/>
    </row>
    <row r="143" spans="1:20" s="2116" customFormat="1" ht="24" customHeight="1">
      <c r="A143" s="2113"/>
      <c r="B143" s="2153" t="s">
        <v>1865</v>
      </c>
      <c r="C143" s="2115"/>
      <c r="D143" s="2108"/>
      <c r="E143" s="2091">
        <v>8</v>
      </c>
      <c r="F143" s="1262" t="s">
        <v>363</v>
      </c>
      <c r="G143" s="1515">
        <v>300</v>
      </c>
      <c r="H143" s="1343">
        <f>ROUND(E143*G143,)</f>
        <v>2400</v>
      </c>
      <c r="I143" s="1344">
        <v>200</v>
      </c>
      <c r="J143" s="1343">
        <f>ROUND(E143*I143,)</f>
        <v>1600</v>
      </c>
      <c r="K143" s="1262">
        <f>H143+J143</f>
        <v>4000</v>
      </c>
      <c r="L143" s="1262"/>
    </row>
    <row r="144" spans="1:20" s="1765" customFormat="1" ht="24" customHeight="1">
      <c r="A144" s="2113" t="s">
        <v>2071</v>
      </c>
      <c r="B144" s="2114" t="s">
        <v>1730</v>
      </c>
      <c r="C144" s="2115"/>
      <c r="D144" s="2108"/>
      <c r="E144" s="1801"/>
      <c r="F144" s="1262"/>
      <c r="G144" s="1515"/>
      <c r="H144" s="1343"/>
      <c r="I144" s="1344"/>
      <c r="J144" s="1343"/>
      <c r="K144" s="1262"/>
      <c r="L144" s="1262"/>
    </row>
    <row r="145" spans="1:12" s="2116" customFormat="1" ht="24" customHeight="1">
      <c r="A145" s="2113"/>
      <c r="B145" s="2114" t="s">
        <v>1337</v>
      </c>
      <c r="C145" s="2115"/>
      <c r="D145" s="2108"/>
      <c r="E145" s="1801">
        <v>8</v>
      </c>
      <c r="F145" s="1262" t="s">
        <v>363</v>
      </c>
      <c r="G145" s="1515">
        <v>2400</v>
      </c>
      <c r="H145" s="1343">
        <f t="shared" ref="H145:H147" si="38">ROUND(E145*G145,)</f>
        <v>19200</v>
      </c>
      <c r="I145" s="1344">
        <v>200</v>
      </c>
      <c r="J145" s="1343">
        <f t="shared" ref="J145:J147" si="39">ROUND(E145*I145,)</f>
        <v>1600</v>
      </c>
      <c r="K145" s="1262">
        <f t="shared" ref="K145:K147" si="40">H145+J145</f>
        <v>20800</v>
      </c>
      <c r="L145" s="1415"/>
    </row>
    <row r="146" spans="1:12" s="2116" customFormat="1" ht="24" customHeight="1">
      <c r="A146" s="2113" t="s">
        <v>2072</v>
      </c>
      <c r="B146" s="2114" t="s">
        <v>1741</v>
      </c>
      <c r="C146" s="2115"/>
      <c r="D146" s="2108"/>
      <c r="E146" s="1801">
        <v>16</v>
      </c>
      <c r="F146" s="1262" t="s">
        <v>363</v>
      </c>
      <c r="G146" s="1515">
        <v>1452</v>
      </c>
      <c r="H146" s="1343">
        <f t="shared" si="38"/>
        <v>23232</v>
      </c>
      <c r="I146" s="1344">
        <v>100</v>
      </c>
      <c r="J146" s="1343">
        <f t="shared" si="39"/>
        <v>1600</v>
      </c>
      <c r="K146" s="1262">
        <f t="shared" si="40"/>
        <v>24832</v>
      </c>
      <c r="L146" s="1262"/>
    </row>
    <row r="147" spans="1:12" s="2116" customFormat="1" ht="24" customHeight="1">
      <c r="A147" s="2113" t="s">
        <v>2882</v>
      </c>
      <c r="B147" s="2114" t="s">
        <v>1987</v>
      </c>
      <c r="C147" s="2115"/>
      <c r="D147" s="2108"/>
      <c r="E147" s="1801">
        <v>16</v>
      </c>
      <c r="F147" s="1262" t="s">
        <v>363</v>
      </c>
      <c r="G147" s="1515">
        <v>1590</v>
      </c>
      <c r="H147" s="1343">
        <f t="shared" si="38"/>
        <v>25440</v>
      </c>
      <c r="I147" s="1344">
        <v>100</v>
      </c>
      <c r="J147" s="1343">
        <f t="shared" si="39"/>
        <v>1600</v>
      </c>
      <c r="K147" s="1262">
        <f t="shared" si="40"/>
        <v>27040</v>
      </c>
      <c r="L147" s="1262"/>
    </row>
    <row r="148" spans="1:12" s="1765" customFormat="1" ht="24" customHeight="1">
      <c r="A148" s="2113"/>
      <c r="B148" s="2114" t="s">
        <v>1117</v>
      </c>
      <c r="C148" s="2115"/>
      <c r="D148" s="2108"/>
      <c r="E148" s="1801"/>
      <c r="F148" s="1262"/>
      <c r="G148" s="1515"/>
      <c r="H148" s="1343"/>
      <c r="I148" s="1344"/>
      <c r="J148" s="1343"/>
      <c r="K148" s="1262"/>
      <c r="L148" s="1262"/>
    </row>
    <row r="149" spans="1:12" s="1765" customFormat="1" ht="24" customHeight="1">
      <c r="A149" s="1578"/>
      <c r="B149" s="2257" t="str">
        <f>"รวมราคารายการที่ "&amp;A114</f>
        <v>รวมราคารายการที่ 7.5</v>
      </c>
      <c r="C149" s="2258"/>
      <c r="D149" s="2259"/>
      <c r="E149" s="1579"/>
      <c r="F149" s="1579"/>
      <c r="G149" s="1580"/>
      <c r="H149" s="1581">
        <f>SUM(H115:H148)</f>
        <v>168039</v>
      </c>
      <c r="I149" s="1582"/>
      <c r="J149" s="1581">
        <f>SUM(J115:J148)</f>
        <v>23050</v>
      </c>
      <c r="K149" s="1581">
        <f>SUM(K115:K148)</f>
        <v>191089</v>
      </c>
      <c r="L149" s="1583"/>
    </row>
    <row r="150" spans="1:12" s="1765" customFormat="1" ht="24" customHeight="1">
      <c r="A150" s="1847" t="s">
        <v>2073</v>
      </c>
      <c r="B150" s="1848" t="s">
        <v>2177</v>
      </c>
      <c r="C150" s="1849"/>
      <c r="D150" s="1354"/>
      <c r="E150" s="1802"/>
      <c r="F150" s="1356"/>
      <c r="G150" s="1803"/>
      <c r="H150" s="1369"/>
      <c r="I150" s="1370"/>
      <c r="J150" s="1369"/>
      <c r="K150" s="1356"/>
      <c r="L150" s="1356"/>
    </row>
    <row r="151" spans="1:12" s="1765" customFormat="1" ht="24" customHeight="1">
      <c r="A151" s="1804" t="s">
        <v>2075</v>
      </c>
      <c r="B151" s="1799" t="s">
        <v>2178</v>
      </c>
      <c r="C151" s="1800"/>
      <c r="D151" s="1375"/>
      <c r="E151" s="1802"/>
      <c r="F151" s="1356"/>
      <c r="G151" s="1803"/>
      <c r="H151" s="1369"/>
      <c r="I151" s="1370"/>
      <c r="J151" s="1369"/>
      <c r="K151" s="1356"/>
      <c r="L151" s="1356"/>
    </row>
    <row r="152" spans="1:12" s="1765" customFormat="1" ht="24" customHeight="1">
      <c r="A152" s="2113"/>
      <c r="B152" s="2149" t="s">
        <v>2321</v>
      </c>
      <c r="C152" s="2115"/>
      <c r="D152" s="2150"/>
      <c r="E152" s="1801">
        <v>1</v>
      </c>
      <c r="F152" s="1356" t="s">
        <v>363</v>
      </c>
      <c r="G152" s="1515">
        <v>33000</v>
      </c>
      <c r="H152" s="820">
        <f t="shared" ref="H152:H159" si="41">ROUND(E152*G152,)</f>
        <v>33000</v>
      </c>
      <c r="I152" s="1515">
        <f>G152*0.1</f>
        <v>3300</v>
      </c>
      <c r="J152" s="820">
        <f t="shared" ref="J152:J159" si="42">ROUND(E152*I152,)</f>
        <v>3300</v>
      </c>
      <c r="K152" s="1457">
        <f t="shared" ref="K152:K159" si="43">H152+J152</f>
        <v>36300</v>
      </c>
      <c r="L152" s="1356"/>
    </row>
    <row r="153" spans="1:12" s="1765" customFormat="1" ht="24" customHeight="1">
      <c r="A153" s="2113"/>
      <c r="B153" s="2149" t="s">
        <v>2322</v>
      </c>
      <c r="C153" s="2115"/>
      <c r="D153" s="2150"/>
      <c r="E153" s="1801">
        <v>1</v>
      </c>
      <c r="F153" s="1356" t="s">
        <v>363</v>
      </c>
      <c r="G153" s="1515">
        <v>33000</v>
      </c>
      <c r="H153" s="820">
        <f t="shared" si="41"/>
        <v>33000</v>
      </c>
      <c r="I153" s="1515">
        <f>G153*0.1</f>
        <v>3300</v>
      </c>
      <c r="J153" s="820">
        <f t="shared" si="42"/>
        <v>3300</v>
      </c>
      <c r="K153" s="1457">
        <f t="shared" si="43"/>
        <v>36300</v>
      </c>
      <c r="L153" s="1356"/>
    </row>
    <row r="154" spans="1:12" s="1765" customFormat="1" ht="24" customHeight="1">
      <c r="A154" s="2113"/>
      <c r="B154" s="2149" t="s">
        <v>2323</v>
      </c>
      <c r="C154" s="2115"/>
      <c r="D154" s="2150"/>
      <c r="E154" s="1801">
        <v>1</v>
      </c>
      <c r="F154" s="1356" t="s">
        <v>363</v>
      </c>
      <c r="G154" s="1515">
        <v>33000</v>
      </c>
      <c r="H154" s="820">
        <f t="shared" si="41"/>
        <v>33000</v>
      </c>
      <c r="I154" s="1515">
        <f>G154*0.1</f>
        <v>3300</v>
      </c>
      <c r="J154" s="820">
        <f t="shared" si="42"/>
        <v>3300</v>
      </c>
      <c r="K154" s="1457">
        <f t="shared" si="43"/>
        <v>36300</v>
      </c>
      <c r="L154" s="1356"/>
    </row>
    <row r="155" spans="1:12" s="2116" customFormat="1" ht="24" customHeight="1">
      <c r="A155" s="2113"/>
      <c r="B155" s="2107" t="s">
        <v>2874</v>
      </c>
      <c r="C155" s="2115"/>
      <c r="D155" s="2108"/>
      <c r="E155" s="1801">
        <v>1</v>
      </c>
      <c r="F155" s="1262" t="s">
        <v>363</v>
      </c>
      <c r="G155" s="1515">
        <v>89000</v>
      </c>
      <c r="H155" s="1413">
        <f t="shared" si="41"/>
        <v>89000</v>
      </c>
      <c r="I155" s="1515">
        <f>G155*0.1</f>
        <v>8900</v>
      </c>
      <c r="J155" s="1413">
        <f t="shared" si="42"/>
        <v>8900</v>
      </c>
      <c r="K155" s="1415">
        <f t="shared" si="43"/>
        <v>97900</v>
      </c>
      <c r="L155" s="1262"/>
    </row>
    <row r="156" spans="1:12" s="2116" customFormat="1" ht="24" customHeight="1">
      <c r="A156" s="2113"/>
      <c r="B156" s="2107" t="s">
        <v>2875</v>
      </c>
      <c r="C156" s="2115"/>
      <c r="D156" s="2108"/>
      <c r="E156" s="1801">
        <v>1</v>
      </c>
      <c r="F156" s="1262" t="s">
        <v>363</v>
      </c>
      <c r="G156" s="1515">
        <v>89000</v>
      </c>
      <c r="H156" s="1413">
        <f t="shared" si="41"/>
        <v>89000</v>
      </c>
      <c r="I156" s="1515">
        <f t="shared" ref="I156:I159" si="44">G156*0.1</f>
        <v>8900</v>
      </c>
      <c r="J156" s="1413">
        <f t="shared" si="42"/>
        <v>8900</v>
      </c>
      <c r="K156" s="1415">
        <f t="shared" si="43"/>
        <v>97900</v>
      </c>
      <c r="L156" s="1262"/>
    </row>
    <row r="157" spans="1:12" s="2116" customFormat="1" ht="24" customHeight="1">
      <c r="A157" s="2113"/>
      <c r="B157" s="2107" t="s">
        <v>2876</v>
      </c>
      <c r="C157" s="2115"/>
      <c r="D157" s="2108"/>
      <c r="E157" s="1801">
        <v>1</v>
      </c>
      <c r="F157" s="1262" t="s">
        <v>363</v>
      </c>
      <c r="G157" s="1515">
        <v>89000</v>
      </c>
      <c r="H157" s="1413">
        <f t="shared" si="41"/>
        <v>89000</v>
      </c>
      <c r="I157" s="1515">
        <f t="shared" si="44"/>
        <v>8900</v>
      </c>
      <c r="J157" s="1413">
        <f t="shared" si="42"/>
        <v>8900</v>
      </c>
      <c r="K157" s="1415">
        <f t="shared" si="43"/>
        <v>97900</v>
      </c>
      <c r="L157" s="1262"/>
    </row>
    <row r="158" spans="1:12" s="2116" customFormat="1" ht="24" customHeight="1">
      <c r="A158" s="2113"/>
      <c r="B158" s="2107" t="s">
        <v>2877</v>
      </c>
      <c r="C158" s="2115"/>
      <c r="D158" s="2108"/>
      <c r="E158" s="1801">
        <v>1</v>
      </c>
      <c r="F158" s="1262" t="s">
        <v>363</v>
      </c>
      <c r="G158" s="1515">
        <v>89000</v>
      </c>
      <c r="H158" s="1413">
        <f t="shared" si="41"/>
        <v>89000</v>
      </c>
      <c r="I158" s="1515">
        <f t="shared" si="44"/>
        <v>8900</v>
      </c>
      <c r="J158" s="1413">
        <f t="shared" si="42"/>
        <v>8900</v>
      </c>
      <c r="K158" s="1415">
        <f t="shared" si="43"/>
        <v>97900</v>
      </c>
      <c r="L158" s="1262"/>
    </row>
    <row r="159" spans="1:12" s="2116" customFormat="1" ht="24" customHeight="1">
      <c r="A159" s="2113"/>
      <c r="B159" s="2107" t="s">
        <v>2878</v>
      </c>
      <c r="C159" s="2115"/>
      <c r="D159" s="2108"/>
      <c r="E159" s="1801">
        <v>1</v>
      </c>
      <c r="F159" s="1262" t="s">
        <v>363</v>
      </c>
      <c r="G159" s="1515">
        <v>89000</v>
      </c>
      <c r="H159" s="1413">
        <f t="shared" si="41"/>
        <v>89000</v>
      </c>
      <c r="I159" s="1515">
        <f t="shared" si="44"/>
        <v>8900</v>
      </c>
      <c r="J159" s="1413">
        <f t="shared" si="42"/>
        <v>8900</v>
      </c>
      <c r="K159" s="1415">
        <f t="shared" si="43"/>
        <v>97900</v>
      </c>
      <c r="L159" s="1262"/>
    </row>
    <row r="160" spans="1:12" s="1765" customFormat="1" ht="24" customHeight="1">
      <c r="A160" s="2113" t="s">
        <v>2170</v>
      </c>
      <c r="B160" s="2149" t="s">
        <v>1355</v>
      </c>
      <c r="C160" s="2115"/>
      <c r="D160" s="2150"/>
      <c r="E160" s="1801"/>
      <c r="F160" s="1356"/>
      <c r="G160" s="1515"/>
      <c r="H160" s="1369"/>
      <c r="I160" s="1370"/>
      <c r="J160" s="1369"/>
      <c r="K160" s="1356"/>
      <c r="L160" s="1356"/>
    </row>
    <row r="161" spans="1:16" s="1765" customFormat="1" ht="24" customHeight="1">
      <c r="A161" s="2113"/>
      <c r="B161" s="2149" t="s">
        <v>1811</v>
      </c>
      <c r="C161" s="2115"/>
      <c r="D161" s="2150"/>
      <c r="E161" s="1801">
        <v>110</v>
      </c>
      <c r="F161" s="1356" t="s">
        <v>226</v>
      </c>
      <c r="G161" s="1386">
        <v>9</v>
      </c>
      <c r="H161" s="1343">
        <f t="shared" ref="H161:H162" si="45">ROUND(E161*G161,)</f>
        <v>990</v>
      </c>
      <c r="I161" s="1344">
        <v>7</v>
      </c>
      <c r="J161" s="1413">
        <f t="shared" ref="J161:J162" si="46">ROUND(E161*I161,)</f>
        <v>770</v>
      </c>
      <c r="K161" s="1415">
        <f t="shared" ref="K161:K162" si="47">H161+J161</f>
        <v>1760</v>
      </c>
      <c r="L161" s="2151" t="s">
        <v>2667</v>
      </c>
      <c r="N161" s="1854">
        <v>912.1</v>
      </c>
      <c r="O161" s="1854">
        <f t="shared" ref="O161:O162" si="48">ROUND(N161/100,)</f>
        <v>9</v>
      </c>
    </row>
    <row r="162" spans="1:16" s="2116" customFormat="1" ht="24" customHeight="1">
      <c r="A162" s="2113"/>
      <c r="B162" s="2107" t="s">
        <v>1317</v>
      </c>
      <c r="C162" s="2115"/>
      <c r="D162" s="2108"/>
      <c r="E162" s="1801">
        <f>4*5*1.5*6</f>
        <v>180</v>
      </c>
      <c r="F162" s="1262" t="s">
        <v>226</v>
      </c>
      <c r="G162" s="1386">
        <v>23</v>
      </c>
      <c r="H162" s="1343">
        <f t="shared" si="45"/>
        <v>4140</v>
      </c>
      <c r="I162" s="1344">
        <v>12</v>
      </c>
      <c r="J162" s="1343">
        <f t="shared" si="46"/>
        <v>2160</v>
      </c>
      <c r="K162" s="1262">
        <f t="shared" si="47"/>
        <v>6300</v>
      </c>
      <c r="L162" s="2151" t="s">
        <v>2667</v>
      </c>
      <c r="N162" s="2117">
        <v>2264.1999999999998</v>
      </c>
      <c r="O162" s="2117">
        <f t="shared" si="48"/>
        <v>23</v>
      </c>
      <c r="P162" s="2117"/>
    </row>
    <row r="163" spans="1:16" s="1765" customFormat="1" ht="24" customHeight="1">
      <c r="A163" s="2113" t="s">
        <v>2226</v>
      </c>
      <c r="B163" s="2149" t="s">
        <v>1110</v>
      </c>
      <c r="C163" s="2115"/>
      <c r="D163" s="2150"/>
      <c r="E163" s="1801"/>
      <c r="F163" s="1356"/>
      <c r="G163" s="1515"/>
      <c r="H163" s="1369"/>
      <c r="I163" s="1370"/>
      <c r="J163" s="1369"/>
      <c r="K163" s="1356"/>
      <c r="L163" s="1356"/>
    </row>
    <row r="164" spans="1:16" s="1765" customFormat="1" ht="24" customHeight="1">
      <c r="A164" s="2113"/>
      <c r="B164" s="2149" t="s">
        <v>1350</v>
      </c>
      <c r="C164" s="2115"/>
      <c r="D164" s="2150"/>
      <c r="E164" s="1801">
        <v>40</v>
      </c>
      <c r="F164" s="1356" t="s">
        <v>226</v>
      </c>
      <c r="G164" s="1515">
        <v>56</v>
      </c>
      <c r="H164" s="1343">
        <f t="shared" ref="H164:H166" si="49">ROUND(E164*G164,)</f>
        <v>2240</v>
      </c>
      <c r="I164" s="1344">
        <v>26</v>
      </c>
      <c r="J164" s="1413">
        <f t="shared" ref="J164:J166" si="50">ROUND(E164*I164,)</f>
        <v>1040</v>
      </c>
      <c r="K164" s="1415">
        <f t="shared" ref="K164:K166" si="51">H164+J164</f>
        <v>3280</v>
      </c>
      <c r="L164" s="2152" t="s">
        <v>2667</v>
      </c>
      <c r="M164" s="2002"/>
      <c r="N164" s="1765">
        <v>169.2</v>
      </c>
      <c r="O164" s="1765">
        <f t="shared" ref="O164:O165" si="52">ROUND(N164/3,)</f>
        <v>56</v>
      </c>
    </row>
    <row r="165" spans="1:16" s="2116" customFormat="1" ht="24" customHeight="1">
      <c r="A165" s="2113"/>
      <c r="B165" s="2107" t="s">
        <v>1448</v>
      </c>
      <c r="C165" s="2115"/>
      <c r="D165" s="2108"/>
      <c r="E165" s="1801">
        <f>E162</f>
        <v>180</v>
      </c>
      <c r="F165" s="1262" t="s">
        <v>226</v>
      </c>
      <c r="G165" s="1515">
        <v>75</v>
      </c>
      <c r="H165" s="1343">
        <f t="shared" si="49"/>
        <v>13500</v>
      </c>
      <c r="I165" s="1344">
        <v>28</v>
      </c>
      <c r="J165" s="1413">
        <f t="shared" si="50"/>
        <v>5040</v>
      </c>
      <c r="K165" s="1415">
        <f t="shared" si="51"/>
        <v>18540</v>
      </c>
      <c r="L165" s="2152" t="s">
        <v>2667</v>
      </c>
      <c r="M165" s="2118"/>
      <c r="N165" s="2116">
        <v>225</v>
      </c>
      <c r="O165" s="2116">
        <f t="shared" si="52"/>
        <v>75</v>
      </c>
      <c r="P165" s="2117"/>
    </row>
    <row r="166" spans="1:16" s="1765" customFormat="1" ht="24" customHeight="1">
      <c r="A166" s="2113"/>
      <c r="B166" s="2149" t="s">
        <v>1384</v>
      </c>
      <c r="C166" s="2115"/>
      <c r="D166" s="2150"/>
      <c r="E166" s="1801">
        <v>1</v>
      </c>
      <c r="F166" s="1356" t="s">
        <v>1104</v>
      </c>
      <c r="G166" s="1515">
        <f>SUM(H164:H165)*15%</f>
        <v>2361</v>
      </c>
      <c r="H166" s="820">
        <f t="shared" si="49"/>
        <v>2361</v>
      </c>
      <c r="I166" s="1414">
        <f>G166*0.3</f>
        <v>708.3</v>
      </c>
      <c r="J166" s="820">
        <f t="shared" si="50"/>
        <v>708</v>
      </c>
      <c r="K166" s="1457">
        <f t="shared" si="51"/>
        <v>3069</v>
      </c>
      <c r="L166" s="1356"/>
    </row>
    <row r="167" spans="1:16" s="1765" customFormat="1" ht="24" customHeight="1">
      <c r="A167" s="1804"/>
      <c r="B167" s="1780" t="s">
        <v>1117</v>
      </c>
      <c r="C167" s="1800"/>
      <c r="D167" s="1260"/>
      <c r="E167" s="1801"/>
      <c r="F167" s="1262"/>
      <c r="G167" s="1515"/>
      <c r="H167" s="1343"/>
      <c r="I167" s="1344"/>
      <c r="J167" s="1343"/>
      <c r="K167" s="1262"/>
      <c r="L167" s="1262"/>
    </row>
    <row r="168" spans="1:16" s="1765" customFormat="1" ht="24" customHeight="1">
      <c r="A168" s="1804"/>
      <c r="B168" s="1780"/>
      <c r="C168" s="1800"/>
      <c r="D168" s="1260"/>
      <c r="E168" s="1801"/>
      <c r="F168" s="1262"/>
      <c r="G168" s="1515"/>
      <c r="H168" s="1343"/>
      <c r="I168" s="1344"/>
      <c r="J168" s="1343"/>
      <c r="K168" s="1262"/>
      <c r="L168" s="1262"/>
    </row>
    <row r="169" spans="1:16" s="1765" customFormat="1" ht="24" customHeight="1">
      <c r="A169" s="1578"/>
      <c r="B169" s="2257" t="str">
        <f>"รวมราคารายการที่ "&amp;A150</f>
        <v>รวมราคารายการที่ 7.6</v>
      </c>
      <c r="C169" s="2258"/>
      <c r="D169" s="2259"/>
      <c r="E169" s="1579"/>
      <c r="F169" s="1579"/>
      <c r="G169" s="1580"/>
      <c r="H169" s="1581">
        <f>SUM(H152:H167)</f>
        <v>567231</v>
      </c>
      <c r="I169" s="1582"/>
      <c r="J169" s="1581">
        <f>SUM(J152:J167)</f>
        <v>64118</v>
      </c>
      <c r="K169" s="1583">
        <f>SUM(K152:K167)</f>
        <v>631349</v>
      </c>
      <c r="L169" s="1583"/>
    </row>
    <row r="170" spans="1:16" s="1765" customFormat="1" ht="24" customHeight="1">
      <c r="A170" s="1291" t="s">
        <v>2308</v>
      </c>
      <c r="B170" s="1852" t="s">
        <v>2255</v>
      </c>
      <c r="C170" s="1293"/>
      <c r="D170" s="1777"/>
      <c r="E170" s="1686"/>
      <c r="F170" s="1402"/>
      <c r="G170" s="1661"/>
      <c r="H170" s="1588"/>
      <c r="I170" s="1589"/>
      <c r="J170" s="1588"/>
      <c r="K170" s="1770"/>
      <c r="L170" s="1770"/>
    </row>
    <row r="171" spans="1:16" s="1765" customFormat="1" ht="24" customHeight="1">
      <c r="A171" s="1766" t="s">
        <v>2084</v>
      </c>
      <c r="B171" s="1538" t="s">
        <v>2256</v>
      </c>
      <c r="C171" s="1275"/>
      <c r="D171" s="1767"/>
      <c r="E171" s="1686"/>
      <c r="F171" s="1402"/>
      <c r="G171" s="1661"/>
      <c r="H171" s="1588"/>
      <c r="I171" s="1589"/>
      <c r="J171" s="1588"/>
      <c r="K171" s="1770"/>
      <c r="L171" s="1770"/>
    </row>
    <row r="172" spans="1:16" s="1765" customFormat="1" ht="24" customHeight="1">
      <c r="A172" s="1766"/>
      <c r="B172" s="1538" t="s">
        <v>2257</v>
      </c>
      <c r="C172" s="1275"/>
      <c r="D172" s="1767"/>
      <c r="E172" s="1686"/>
      <c r="F172" s="1402" t="s">
        <v>363</v>
      </c>
      <c r="G172" s="1661">
        <v>650</v>
      </c>
      <c r="H172" s="1588">
        <f t="shared" ref="H172:H175" si="53">ROUND(E172*G172,)</f>
        <v>0</v>
      </c>
      <c r="I172" s="1589">
        <v>150</v>
      </c>
      <c r="J172" s="1588">
        <f t="shared" ref="J172:J175" si="54">ROUND(E172*I172,)</f>
        <v>0</v>
      </c>
      <c r="K172" s="1770">
        <f t="shared" ref="K172:K175" si="55">H172+J172</f>
        <v>0</v>
      </c>
      <c r="L172" s="1770"/>
    </row>
    <row r="173" spans="1:16" s="1765" customFormat="1" ht="24" customHeight="1">
      <c r="A173" s="1766" t="s">
        <v>2089</v>
      </c>
      <c r="B173" s="1538" t="s">
        <v>2258</v>
      </c>
      <c r="C173" s="1275"/>
      <c r="D173" s="1767"/>
      <c r="E173" s="1686">
        <f>5+5</f>
        <v>10</v>
      </c>
      <c r="F173" s="1402" t="s">
        <v>363</v>
      </c>
      <c r="G173" s="1661">
        <v>2400</v>
      </c>
      <c r="H173" s="1588">
        <f t="shared" si="53"/>
        <v>24000</v>
      </c>
      <c r="I173" s="1589">
        <v>150</v>
      </c>
      <c r="J173" s="1588">
        <f t="shared" si="54"/>
        <v>1500</v>
      </c>
      <c r="K173" s="1770">
        <f t="shared" si="55"/>
        <v>25500</v>
      </c>
      <c r="L173" s="1770"/>
    </row>
    <row r="174" spans="1:16" s="1765" customFormat="1" ht="24" customHeight="1">
      <c r="A174" s="1766" t="s">
        <v>2266</v>
      </c>
      <c r="B174" s="1538" t="s">
        <v>2259</v>
      </c>
      <c r="C174" s="1275"/>
      <c r="D174" s="1767"/>
      <c r="E174" s="1686">
        <f>5+5</f>
        <v>10</v>
      </c>
      <c r="F174" s="1402" t="s">
        <v>363</v>
      </c>
      <c r="G174" s="1661">
        <v>2200</v>
      </c>
      <c r="H174" s="1588">
        <f t="shared" si="53"/>
        <v>22000</v>
      </c>
      <c r="I174" s="1589">
        <v>150</v>
      </c>
      <c r="J174" s="1588">
        <f t="shared" si="54"/>
        <v>1500</v>
      </c>
      <c r="K174" s="1770">
        <f t="shared" si="55"/>
        <v>23500</v>
      </c>
      <c r="L174" s="1770"/>
    </row>
    <row r="175" spans="1:16" s="1765" customFormat="1" ht="24" customHeight="1">
      <c r="A175" s="1766" t="s">
        <v>2368</v>
      </c>
      <c r="B175" s="1538" t="s">
        <v>2261</v>
      </c>
      <c r="C175" s="1275"/>
      <c r="D175" s="1767"/>
      <c r="E175" s="1686"/>
      <c r="F175" s="1402" t="s">
        <v>1104</v>
      </c>
      <c r="G175" s="1661">
        <f>15*2500</f>
        <v>37500</v>
      </c>
      <c r="H175" s="1588">
        <f t="shared" si="53"/>
        <v>0</v>
      </c>
      <c r="I175" s="1589">
        <f>G175*0.3</f>
        <v>11250</v>
      </c>
      <c r="J175" s="1588">
        <f t="shared" si="54"/>
        <v>0</v>
      </c>
      <c r="K175" s="1770">
        <f t="shared" si="55"/>
        <v>0</v>
      </c>
      <c r="L175" s="1770"/>
    </row>
    <row r="176" spans="1:16" s="1765" customFormat="1" ht="24" customHeight="1">
      <c r="A176" s="1766"/>
      <c r="B176" s="1538" t="s">
        <v>1117</v>
      </c>
      <c r="C176" s="1275"/>
      <c r="D176" s="1767"/>
      <c r="E176" s="1686"/>
      <c r="F176" s="1402"/>
      <c r="G176" s="1661"/>
      <c r="H176" s="1588"/>
      <c r="I176" s="1589"/>
      <c r="J176" s="1588"/>
      <c r="K176" s="1770"/>
      <c r="L176" s="1770"/>
    </row>
    <row r="177" spans="1:12" s="1765" customFormat="1" ht="24" customHeight="1">
      <c r="A177" s="1584"/>
      <c r="B177" s="1538" t="s">
        <v>1896</v>
      </c>
      <c r="C177" s="1275"/>
      <c r="D177" s="1767"/>
      <c r="E177" s="1686"/>
      <c r="F177" s="1402"/>
      <c r="G177" s="1661"/>
      <c r="H177" s="1588"/>
      <c r="I177" s="1589"/>
      <c r="J177" s="1588"/>
      <c r="K177" s="1770"/>
      <c r="L177" s="1770"/>
    </row>
    <row r="178" spans="1:12" s="1765" customFormat="1" ht="24" customHeight="1">
      <c r="A178" s="1584"/>
      <c r="B178" s="1538" t="s">
        <v>1896</v>
      </c>
      <c r="C178" s="1275"/>
      <c r="D178" s="1767"/>
      <c r="E178" s="1686"/>
      <c r="F178" s="1402"/>
      <c r="G178" s="1661"/>
      <c r="H178" s="1588"/>
      <c r="I178" s="1589"/>
      <c r="J178" s="1588"/>
      <c r="K178" s="1770"/>
      <c r="L178" s="1770"/>
    </row>
    <row r="179" spans="1:12" s="1765" customFormat="1" ht="24" customHeight="1">
      <c r="A179" s="1584"/>
      <c r="B179" s="1538"/>
      <c r="C179" s="1275"/>
      <c r="D179" s="1767"/>
      <c r="E179" s="1686"/>
      <c r="F179" s="1402"/>
      <c r="G179" s="1661"/>
      <c r="H179" s="1588"/>
      <c r="I179" s="1589"/>
      <c r="J179" s="1588"/>
      <c r="K179" s="1770"/>
      <c r="L179" s="1770"/>
    </row>
    <row r="180" spans="1:12" s="1765" customFormat="1" ht="24" customHeight="1">
      <c r="A180" s="1584"/>
      <c r="B180" s="1538"/>
      <c r="C180" s="1275"/>
      <c r="D180" s="1767"/>
      <c r="E180" s="1686"/>
      <c r="F180" s="1402"/>
      <c r="G180" s="1661"/>
      <c r="H180" s="1588"/>
      <c r="I180" s="1589"/>
      <c r="J180" s="1588"/>
      <c r="K180" s="1770"/>
      <c r="L180" s="1770"/>
    </row>
    <row r="181" spans="1:12" s="1765" customFormat="1" ht="24" customHeight="1">
      <c r="A181" s="1584"/>
      <c r="B181" s="1538"/>
      <c r="C181" s="1275"/>
      <c r="D181" s="1767"/>
      <c r="E181" s="1686"/>
      <c r="F181" s="1402"/>
      <c r="G181" s="1661"/>
      <c r="H181" s="1588"/>
      <c r="I181" s="1589"/>
      <c r="J181" s="1588"/>
      <c r="K181" s="1770"/>
      <c r="L181" s="1770"/>
    </row>
    <row r="182" spans="1:12" s="1765" customFormat="1" ht="24" customHeight="1">
      <c r="A182" s="1584"/>
      <c r="B182" s="1538"/>
      <c r="C182" s="1275"/>
      <c r="D182" s="1767"/>
      <c r="E182" s="1686"/>
      <c r="F182" s="1402"/>
      <c r="G182" s="1661"/>
      <c r="H182" s="1588"/>
      <c r="I182" s="1589"/>
      <c r="J182" s="1588"/>
      <c r="K182" s="1770"/>
      <c r="L182" s="1770"/>
    </row>
    <row r="183" spans="1:12" s="1765" customFormat="1" ht="24" customHeight="1">
      <c r="A183" s="1766"/>
      <c r="B183" s="1538"/>
      <c r="C183" s="1275"/>
      <c r="D183" s="1767"/>
      <c r="E183" s="1686"/>
      <c r="F183" s="1402"/>
      <c r="G183" s="1661"/>
      <c r="H183" s="1588"/>
      <c r="I183" s="1589"/>
      <c r="J183" s="1588"/>
      <c r="K183" s="1770"/>
      <c r="L183" s="1770"/>
    </row>
    <row r="184" spans="1:12" s="1765" customFormat="1" ht="24" customHeight="1">
      <c r="A184" s="1578"/>
      <c r="B184" s="2257" t="str">
        <f>"รวมราคารายการที่ "&amp;A170</f>
        <v>รวมราคารายการที่ 7.7</v>
      </c>
      <c r="C184" s="2258"/>
      <c r="D184" s="2259"/>
      <c r="E184" s="1579"/>
      <c r="F184" s="1579"/>
      <c r="G184" s="1580"/>
      <c r="H184" s="1581">
        <f>SUM(H171:H183)</f>
        <v>46000</v>
      </c>
      <c r="I184" s="1582"/>
      <c r="J184" s="1581">
        <f>SUM(J171:J183)</f>
        <v>3000</v>
      </c>
      <c r="K184" s="1581">
        <f>SUM(K171:K183)</f>
        <v>49000</v>
      </c>
      <c r="L184" s="1583"/>
    </row>
    <row r="185" spans="1:12" s="1765" customFormat="1" ht="24" customHeight="1">
      <c r="A185" s="1291" t="s">
        <v>2091</v>
      </c>
      <c r="B185" s="1776" t="s">
        <v>2109</v>
      </c>
      <c r="C185" s="1293"/>
      <c r="D185" s="1294"/>
      <c r="E185" s="1786"/>
      <c r="F185" s="1296"/>
      <c r="G185" s="1357"/>
      <c r="H185" s="1298"/>
      <c r="I185" s="1299"/>
      <c r="J185" s="1298"/>
      <c r="K185" s="1382"/>
      <c r="L185" s="1382"/>
    </row>
    <row r="186" spans="1:12" s="1765" customFormat="1" ht="24" customHeight="1">
      <c r="A186" s="1766" t="s">
        <v>2093</v>
      </c>
      <c r="B186" s="1799" t="s">
        <v>2111</v>
      </c>
      <c r="C186" s="1800"/>
      <c r="D186" s="1375"/>
      <c r="E186" s="1802"/>
      <c r="F186" s="1356" t="s">
        <v>363</v>
      </c>
      <c r="G186" s="1803">
        <v>690000</v>
      </c>
      <c r="H186" s="1343">
        <f t="shared" ref="H186" si="56">ROUND(E186*G186,)</f>
        <v>0</v>
      </c>
      <c r="I186" s="1370">
        <v>17250</v>
      </c>
      <c r="J186" s="1343">
        <f t="shared" ref="J186:J193" si="57">ROUND(E186*I186,)</f>
        <v>0</v>
      </c>
      <c r="K186" s="1262">
        <f t="shared" ref="K186:K193" si="58">H186+J186</f>
        <v>0</v>
      </c>
      <c r="L186" s="1356"/>
    </row>
    <row r="187" spans="1:12" s="1765" customFormat="1" ht="24" customHeight="1">
      <c r="A187" s="1766" t="s">
        <v>2096</v>
      </c>
      <c r="B187" s="1799" t="s">
        <v>2113</v>
      </c>
      <c r="C187" s="1800"/>
      <c r="D187" s="1375"/>
      <c r="E187" s="1802"/>
      <c r="F187" s="1356" t="s">
        <v>363</v>
      </c>
      <c r="G187" s="1803">
        <v>80000</v>
      </c>
      <c r="H187" s="1343">
        <f>ROUND(E187*G187,)</f>
        <v>0</v>
      </c>
      <c r="I187" s="1370">
        <v>2000</v>
      </c>
      <c r="J187" s="1343">
        <f t="shared" si="57"/>
        <v>0</v>
      </c>
      <c r="K187" s="1262">
        <f t="shared" si="58"/>
        <v>0</v>
      </c>
      <c r="L187" s="1356"/>
    </row>
    <row r="188" spans="1:12" s="1765" customFormat="1" ht="24" customHeight="1">
      <c r="A188" s="1766" t="s">
        <v>2099</v>
      </c>
      <c r="B188" s="1538" t="s">
        <v>1816</v>
      </c>
      <c r="C188" s="1437"/>
      <c r="D188" s="1275"/>
      <c r="E188" s="1768"/>
      <c r="F188" s="1358"/>
      <c r="G188" s="1516">
        <v>950000</v>
      </c>
      <c r="H188" s="1264">
        <f t="shared" ref="H188:H193" si="59">ROUND(E188*G188,)</f>
        <v>0</v>
      </c>
      <c r="I188" s="1265">
        <f>G188*0.015</f>
        <v>14250</v>
      </c>
      <c r="J188" s="1264">
        <f t="shared" si="57"/>
        <v>0</v>
      </c>
      <c r="K188" s="1273">
        <f t="shared" si="58"/>
        <v>0</v>
      </c>
      <c r="L188" s="1273"/>
    </row>
    <row r="189" spans="1:12" s="1765" customFormat="1" ht="24" customHeight="1">
      <c r="A189" s="1766"/>
      <c r="B189" s="1538" t="s">
        <v>2115</v>
      </c>
      <c r="C189" s="1437"/>
      <c r="D189" s="1275"/>
      <c r="E189" s="1768">
        <v>5</v>
      </c>
      <c r="F189" s="1358" t="s">
        <v>363</v>
      </c>
      <c r="G189" s="1515">
        <v>2650</v>
      </c>
      <c r="H189" s="1343">
        <f t="shared" si="59"/>
        <v>13250</v>
      </c>
      <c r="I189" s="1370">
        <v>500</v>
      </c>
      <c r="J189" s="1343">
        <f t="shared" si="57"/>
        <v>2500</v>
      </c>
      <c r="K189" s="1262">
        <f t="shared" si="58"/>
        <v>15750</v>
      </c>
      <c r="L189" s="1273"/>
    </row>
    <row r="190" spans="1:12" s="1765" customFormat="1" ht="24" customHeight="1">
      <c r="A190" s="1766"/>
      <c r="B190" s="1538" t="s">
        <v>2116</v>
      </c>
      <c r="C190" s="1437"/>
      <c r="D190" s="1275"/>
      <c r="E190" s="1768">
        <v>5</v>
      </c>
      <c r="F190" s="1358" t="s">
        <v>363</v>
      </c>
      <c r="G190" s="1515">
        <v>560</v>
      </c>
      <c r="H190" s="1343">
        <f t="shared" si="59"/>
        <v>2800</v>
      </c>
      <c r="I190" s="1370">
        <v>500</v>
      </c>
      <c r="J190" s="1343">
        <f t="shared" si="57"/>
        <v>2500</v>
      </c>
      <c r="K190" s="1262">
        <f t="shared" si="58"/>
        <v>5300</v>
      </c>
      <c r="L190" s="1273"/>
    </row>
    <row r="191" spans="1:12" s="1765" customFormat="1" ht="24" customHeight="1">
      <c r="A191" s="1258"/>
      <c r="B191" s="1538" t="s">
        <v>2117</v>
      </c>
      <c r="C191" s="1437"/>
      <c r="D191" s="1275"/>
      <c r="E191" s="1768"/>
      <c r="F191" s="1358" t="s">
        <v>363</v>
      </c>
      <c r="G191" s="1515">
        <v>1340</v>
      </c>
      <c r="H191" s="1343">
        <f t="shared" si="59"/>
        <v>0</v>
      </c>
      <c r="I191" s="1370">
        <v>500</v>
      </c>
      <c r="J191" s="1343">
        <f t="shared" si="57"/>
        <v>0</v>
      </c>
      <c r="K191" s="1262">
        <f t="shared" si="58"/>
        <v>0</v>
      </c>
      <c r="L191" s="1273"/>
    </row>
    <row r="192" spans="1:12" s="1765" customFormat="1" ht="24" customHeight="1">
      <c r="A192" s="1258"/>
      <c r="B192" s="1538" t="s">
        <v>2118</v>
      </c>
      <c r="C192" s="1437"/>
      <c r="D192" s="1275"/>
      <c r="E192" s="1768"/>
      <c r="F192" s="1358" t="s">
        <v>363</v>
      </c>
      <c r="G192" s="1515">
        <v>760</v>
      </c>
      <c r="H192" s="1343">
        <f t="shared" si="59"/>
        <v>0</v>
      </c>
      <c r="I192" s="1370">
        <v>500</v>
      </c>
      <c r="J192" s="1343">
        <f t="shared" si="57"/>
        <v>0</v>
      </c>
      <c r="K192" s="1262">
        <f t="shared" si="58"/>
        <v>0</v>
      </c>
      <c r="L192" s="1273"/>
    </row>
    <row r="193" spans="1:15" s="1765" customFormat="1" ht="24" customHeight="1">
      <c r="A193" s="1258"/>
      <c r="B193" s="1538" t="s">
        <v>2119</v>
      </c>
      <c r="C193" s="1437"/>
      <c r="D193" s="1275"/>
      <c r="E193" s="1768">
        <v>5</v>
      </c>
      <c r="F193" s="1358" t="s">
        <v>363</v>
      </c>
      <c r="G193" s="1515">
        <v>1340</v>
      </c>
      <c r="H193" s="1343">
        <f t="shared" si="59"/>
        <v>6700</v>
      </c>
      <c r="I193" s="1370">
        <v>500</v>
      </c>
      <c r="J193" s="1343">
        <f t="shared" si="57"/>
        <v>2500</v>
      </c>
      <c r="K193" s="1262">
        <f t="shared" si="58"/>
        <v>9200</v>
      </c>
      <c r="L193" s="1273"/>
    </row>
    <row r="194" spans="1:15" s="1765" customFormat="1" ht="24" customHeight="1">
      <c r="A194" s="1258"/>
      <c r="B194" s="1538" t="s">
        <v>2120</v>
      </c>
      <c r="C194" s="1437"/>
      <c r="D194" s="1275"/>
      <c r="E194" s="1768"/>
      <c r="F194" s="1358" t="s">
        <v>363</v>
      </c>
      <c r="G194" s="1515"/>
      <c r="H194" s="1369"/>
      <c r="I194" s="1370"/>
      <c r="J194" s="1369"/>
      <c r="K194" s="1356"/>
      <c r="L194" s="1273"/>
    </row>
    <row r="195" spans="1:15" s="1765" customFormat="1" ht="24" customHeight="1">
      <c r="A195" s="1258"/>
      <c r="B195" s="1538" t="s">
        <v>2121</v>
      </c>
      <c r="C195" s="1437"/>
      <c r="D195" s="1275"/>
      <c r="E195" s="1768">
        <v>5</v>
      </c>
      <c r="F195" s="1358" t="s">
        <v>363</v>
      </c>
      <c r="G195" s="1515">
        <v>4550</v>
      </c>
      <c r="H195" s="1343">
        <f t="shared" ref="H195" si="60">ROUND(E195*G195,)</f>
        <v>22750</v>
      </c>
      <c r="I195" s="1370">
        <v>1365</v>
      </c>
      <c r="J195" s="1343">
        <f t="shared" ref="J195" si="61">ROUND(E195*I195,)</f>
        <v>6825</v>
      </c>
      <c r="K195" s="1262">
        <f t="shared" ref="K195" si="62">H195+J195</f>
        <v>29575</v>
      </c>
      <c r="L195" s="1273"/>
    </row>
    <row r="196" spans="1:15" s="1765" customFormat="1" ht="24" customHeight="1">
      <c r="A196" s="1766" t="s">
        <v>2104</v>
      </c>
      <c r="B196" s="1538" t="s">
        <v>2122</v>
      </c>
      <c r="C196" s="1437"/>
      <c r="D196" s="1275"/>
      <c r="E196" s="1768"/>
      <c r="F196" s="1358"/>
      <c r="G196" s="1516"/>
      <c r="H196" s="1264"/>
      <c r="I196" s="1265"/>
      <c r="J196" s="1264"/>
      <c r="K196" s="1273"/>
      <c r="L196" s="1273"/>
    </row>
    <row r="197" spans="1:15" s="1765" customFormat="1" ht="24" customHeight="1">
      <c r="A197" s="1258"/>
      <c r="B197" s="1538" t="s">
        <v>2123</v>
      </c>
      <c r="C197" s="1437"/>
      <c r="D197" s="1275"/>
      <c r="E197" s="1801">
        <f>(7*5*5*1*2)*1</f>
        <v>350</v>
      </c>
      <c r="F197" s="1356" t="s">
        <v>226</v>
      </c>
      <c r="G197" s="1515">
        <v>139</v>
      </c>
      <c r="H197" s="1343">
        <f t="shared" ref="H197:H198" si="63">ROUND(E197*G197,)</f>
        <v>48650</v>
      </c>
      <c r="I197" s="1370">
        <v>21</v>
      </c>
      <c r="J197" s="1343">
        <f t="shared" ref="J197:J198" si="64">ROUND(E197*I197,)</f>
        <v>7350</v>
      </c>
      <c r="K197" s="1262">
        <f t="shared" ref="K197:K198" si="65">H197+J197</f>
        <v>56000</v>
      </c>
      <c r="L197" s="1273"/>
    </row>
    <row r="198" spans="1:15" s="1765" customFormat="1" ht="24" customHeight="1">
      <c r="A198" s="1258"/>
      <c r="B198" s="1538" t="s">
        <v>2124</v>
      </c>
      <c r="C198" s="1437"/>
      <c r="D198" s="1275"/>
      <c r="E198" s="1801">
        <f>(4*5*5*2*1)*1</f>
        <v>200</v>
      </c>
      <c r="F198" s="1356" t="s">
        <v>226</v>
      </c>
      <c r="G198" s="1515">
        <v>103</v>
      </c>
      <c r="H198" s="1343">
        <f t="shared" si="63"/>
        <v>20600</v>
      </c>
      <c r="I198" s="1370">
        <v>15</v>
      </c>
      <c r="J198" s="1343">
        <f t="shared" si="64"/>
        <v>3000</v>
      </c>
      <c r="K198" s="1262">
        <f t="shared" si="65"/>
        <v>23600</v>
      </c>
      <c r="L198" s="1273"/>
    </row>
    <row r="199" spans="1:15" s="1765" customFormat="1" ht="24" customHeight="1">
      <c r="A199" s="1258"/>
      <c r="B199" s="1538" t="s">
        <v>1548</v>
      </c>
      <c r="C199" s="1437"/>
      <c r="D199" s="1275"/>
      <c r="E199" s="1768"/>
      <c r="F199" s="1358" t="s">
        <v>226</v>
      </c>
      <c r="G199" s="1516"/>
      <c r="H199" s="1264"/>
      <c r="I199" s="1265"/>
      <c r="J199" s="1264"/>
      <c r="K199" s="1273"/>
      <c r="L199" s="1273"/>
    </row>
    <row r="200" spans="1:15" s="1765" customFormat="1" ht="24" customHeight="1">
      <c r="A200" s="1804"/>
      <c r="B200" s="1799" t="s">
        <v>2125</v>
      </c>
      <c r="C200" s="1800"/>
      <c r="D200" s="1375"/>
      <c r="E200" s="1801"/>
      <c r="F200" s="1356" t="s">
        <v>226</v>
      </c>
      <c r="G200" s="1515">
        <v>24</v>
      </c>
      <c r="H200" s="1343">
        <f t="shared" ref="H200:H202" si="66">ROUND(E200*G200,)</f>
        <v>0</v>
      </c>
      <c r="I200" s="1370">
        <v>8</v>
      </c>
      <c r="J200" s="1343">
        <f t="shared" ref="J200:J202" si="67">ROUND(E200*I200,)</f>
        <v>0</v>
      </c>
      <c r="K200" s="1262">
        <f t="shared" ref="K200:K202" si="68">H200+J200</f>
        <v>0</v>
      </c>
      <c r="L200" s="1356"/>
    </row>
    <row r="201" spans="1:15" s="1765" customFormat="1" ht="24" customHeight="1">
      <c r="A201" s="1804"/>
      <c r="B201" s="1799" t="s">
        <v>2126</v>
      </c>
      <c r="C201" s="1800"/>
      <c r="D201" s="1375"/>
      <c r="E201" s="1801"/>
      <c r="F201" s="1356" t="s">
        <v>226</v>
      </c>
      <c r="G201" s="1515">
        <v>15</v>
      </c>
      <c r="H201" s="1343">
        <f t="shared" si="66"/>
        <v>0</v>
      </c>
      <c r="I201" s="1370">
        <v>5</v>
      </c>
      <c r="J201" s="1343">
        <f t="shared" si="67"/>
        <v>0</v>
      </c>
      <c r="K201" s="1262">
        <f t="shared" si="68"/>
        <v>0</v>
      </c>
      <c r="L201" s="1356"/>
    </row>
    <row r="202" spans="1:15" s="1765" customFormat="1" ht="24" customHeight="1">
      <c r="A202" s="1804"/>
      <c r="B202" s="1799" t="s">
        <v>2127</v>
      </c>
      <c r="C202" s="1800"/>
      <c r="D202" s="1375"/>
      <c r="E202" s="1801">
        <v>1</v>
      </c>
      <c r="F202" s="1356" t="s">
        <v>1104</v>
      </c>
      <c r="G202" s="1515">
        <f>SUM(H197:H201)*5%</f>
        <v>3462.5</v>
      </c>
      <c r="H202" s="1343">
        <f t="shared" si="66"/>
        <v>3463</v>
      </c>
      <c r="I202" s="1370">
        <v>19745</v>
      </c>
      <c r="J202" s="1343">
        <f t="shared" si="67"/>
        <v>19745</v>
      </c>
      <c r="K202" s="1262">
        <f t="shared" si="68"/>
        <v>23208</v>
      </c>
      <c r="L202" s="1356"/>
    </row>
    <row r="203" spans="1:15" s="1765" customFormat="1" ht="24" customHeight="1">
      <c r="A203" s="1766" t="s">
        <v>2581</v>
      </c>
      <c r="B203" s="1538" t="s">
        <v>1110</v>
      </c>
      <c r="C203" s="1437"/>
      <c r="D203" s="1275"/>
      <c r="E203" s="1768"/>
      <c r="F203" s="1358"/>
      <c r="G203" s="1515"/>
      <c r="H203" s="1264"/>
      <c r="I203" s="1265"/>
      <c r="J203" s="1264"/>
      <c r="K203" s="1273"/>
      <c r="L203" s="1273"/>
    </row>
    <row r="204" spans="1:15" s="1765" customFormat="1" ht="24" customHeight="1">
      <c r="A204" s="1766"/>
      <c r="B204" s="1538" t="s">
        <v>1350</v>
      </c>
      <c r="C204" s="1437"/>
      <c r="D204" s="1275"/>
      <c r="E204" s="1768">
        <f>(3*5*2*1)*1</f>
        <v>30</v>
      </c>
      <c r="F204" s="1358" t="s">
        <v>226</v>
      </c>
      <c r="G204" s="2004">
        <v>56</v>
      </c>
      <c r="H204" s="1413">
        <f t="shared" ref="H204:H205" si="69">ROUND(E204*G204,)</f>
        <v>1680</v>
      </c>
      <c r="I204" s="1541">
        <v>28</v>
      </c>
      <c r="J204" s="2006">
        <f t="shared" ref="J204:J205" si="70">ROUND(E204*I204,)</f>
        <v>840</v>
      </c>
      <c r="K204" s="715">
        <f t="shared" ref="K204:K205" si="71">H204+J204</f>
        <v>2520</v>
      </c>
      <c r="L204" s="2082" t="s">
        <v>2667</v>
      </c>
      <c r="M204" s="2002"/>
      <c r="N204" s="1199">
        <v>169.2</v>
      </c>
      <c r="O204" s="1199">
        <f>ROUND(N204/3,)</f>
        <v>56</v>
      </c>
    </row>
    <row r="205" spans="1:15" s="1765" customFormat="1" ht="24" customHeight="1">
      <c r="A205" s="1804"/>
      <c r="B205" s="1799" t="s">
        <v>2128</v>
      </c>
      <c r="C205" s="1800"/>
      <c r="D205" s="1375"/>
      <c r="E205" s="1801">
        <v>1</v>
      </c>
      <c r="F205" s="1356" t="s">
        <v>1104</v>
      </c>
      <c r="G205" s="1515">
        <f>H204*15%</f>
        <v>252</v>
      </c>
      <c r="H205" s="1343">
        <f t="shared" si="69"/>
        <v>252</v>
      </c>
      <c r="I205" s="1370">
        <v>58174</v>
      </c>
      <c r="J205" s="1343">
        <f t="shared" si="70"/>
        <v>58174</v>
      </c>
      <c r="K205" s="1262">
        <f t="shared" si="71"/>
        <v>58426</v>
      </c>
      <c r="L205" s="1356"/>
    </row>
    <row r="206" spans="1:15" s="1765" customFormat="1" ht="24" customHeight="1">
      <c r="A206" s="1766" t="s">
        <v>2582</v>
      </c>
      <c r="B206" s="1538" t="s">
        <v>1343</v>
      </c>
      <c r="C206" s="1437"/>
      <c r="D206" s="1275"/>
      <c r="E206" s="1768"/>
      <c r="F206" s="1358"/>
      <c r="G206" s="1515"/>
      <c r="H206" s="1264"/>
      <c r="I206" s="1265"/>
      <c r="J206" s="1264"/>
      <c r="K206" s="1273"/>
      <c r="L206" s="1273"/>
    </row>
    <row r="207" spans="1:15" s="1765" customFormat="1" ht="24" customHeight="1">
      <c r="A207" s="1258"/>
      <c r="B207" s="1538" t="s">
        <v>2129</v>
      </c>
      <c r="C207" s="1437"/>
      <c r="D207" s="1275"/>
      <c r="E207" s="1801"/>
      <c r="F207" s="1356" t="s">
        <v>226</v>
      </c>
      <c r="G207" s="1386">
        <v>316</v>
      </c>
      <c r="H207" s="1343">
        <f t="shared" ref="H207:H208" si="72">ROUND(E207*G207,)</f>
        <v>0</v>
      </c>
      <c r="I207" s="1414">
        <v>50</v>
      </c>
      <c r="J207" s="1343">
        <f t="shared" ref="J207:J208" si="73">ROUND(E207*I207,)</f>
        <v>0</v>
      </c>
      <c r="K207" s="1262">
        <f t="shared" ref="K207:K208" si="74">H207+J207</f>
        <v>0</v>
      </c>
      <c r="L207" s="1273"/>
    </row>
    <row r="208" spans="1:15" s="1765" customFormat="1" ht="24" customHeight="1">
      <c r="A208" s="1258"/>
      <c r="B208" s="1538" t="s">
        <v>2128</v>
      </c>
      <c r="C208" s="1437"/>
      <c r="D208" s="1275"/>
      <c r="E208" s="1801"/>
      <c r="F208" s="1356" t="s">
        <v>1104</v>
      </c>
      <c r="G208" s="1515">
        <f>H207*15%</f>
        <v>0</v>
      </c>
      <c r="H208" s="1343">
        <f t="shared" si="72"/>
        <v>0</v>
      </c>
      <c r="I208" s="1370">
        <v>16637</v>
      </c>
      <c r="J208" s="1343">
        <f t="shared" si="73"/>
        <v>0</v>
      </c>
      <c r="K208" s="1262">
        <f t="shared" si="74"/>
        <v>0</v>
      </c>
      <c r="L208" s="1273"/>
    </row>
    <row r="209" spans="1:12" s="1199" customFormat="1" ht="22.15" customHeight="1">
      <c r="A209" s="1578"/>
      <c r="B209" s="2257" t="str">
        <f>"รวมราคารายการที่ "&amp;A185</f>
        <v>รวมราคารายการที่ 7.8</v>
      </c>
      <c r="C209" s="2258"/>
      <c r="D209" s="2259"/>
      <c r="E209" s="1579"/>
      <c r="F209" s="1579"/>
      <c r="G209" s="1580"/>
      <c r="H209" s="1581">
        <f>SUM(H185:H208)</f>
        <v>120145</v>
      </c>
      <c r="I209" s="1582"/>
      <c r="J209" s="1581">
        <f>SUM(J185:J208)</f>
        <v>103434</v>
      </c>
      <c r="K209" s="1581">
        <f>SUM(K185:K208)</f>
        <v>223579</v>
      </c>
      <c r="L209" s="1583"/>
    </row>
    <row r="210" spans="1:12" s="1199" customFormat="1" ht="22.15" customHeight="1">
      <c r="A210" s="1427"/>
    </row>
    <row r="211" spans="1:12" s="1199" customFormat="1" ht="22.15" customHeight="1">
      <c r="A211" s="1427"/>
    </row>
    <row r="212" spans="1:12" s="1199" customFormat="1" ht="22.15" customHeight="1">
      <c r="A212" s="1427"/>
    </row>
    <row r="213" spans="1:12" s="1199" customFormat="1" ht="22.15" customHeight="1">
      <c r="A213" s="1427"/>
    </row>
    <row r="214" spans="1:12" s="1199" customFormat="1" ht="22.15" customHeight="1">
      <c r="A214" s="1427"/>
    </row>
    <row r="215" spans="1:12" s="1199" customFormat="1" ht="22.15" customHeight="1">
      <c r="A215" s="1427"/>
    </row>
    <row r="216" spans="1:12" s="1199" customFormat="1" ht="22.15" customHeight="1">
      <c r="A216" s="1427"/>
    </row>
    <row r="217" spans="1:12" s="1199" customFormat="1" ht="22.15" customHeight="1">
      <c r="A217" s="1427"/>
    </row>
    <row r="218" spans="1:12" s="1199" customFormat="1" ht="22.15" customHeight="1">
      <c r="A218" s="1427"/>
    </row>
    <row r="219" spans="1:12" s="1199" customFormat="1" ht="22.15" customHeight="1">
      <c r="A219" s="1427"/>
    </row>
    <row r="220" spans="1:12" s="1199" customFormat="1" ht="22.15" customHeight="1">
      <c r="A220" s="1427"/>
    </row>
    <row r="221" spans="1:12" s="1199" customFormat="1" ht="21.3">
      <c r="A221" s="1427"/>
    </row>
    <row r="222" spans="1:12" s="1199" customFormat="1" ht="21.3">
      <c r="A222" s="1427"/>
    </row>
    <row r="223" spans="1:12" s="1199" customFormat="1" ht="21.3">
      <c r="A223" s="1427"/>
    </row>
    <row r="224" spans="1:12" s="1199" customFormat="1" ht="21.3">
      <c r="A224" s="1427"/>
    </row>
    <row r="225" spans="1:12" s="1199" customFormat="1" ht="21.3">
      <c r="A225" s="1427"/>
    </row>
    <row r="226" spans="1:12" s="1199" customFormat="1" ht="21.3">
      <c r="A226" s="1427"/>
    </row>
    <row r="227" spans="1:12" s="1199" customFormat="1" ht="21.3">
      <c r="A227" s="1427"/>
    </row>
    <row r="228" spans="1:12" s="1199" customFormat="1" ht="21.3">
      <c r="A228" s="1427"/>
    </row>
    <row r="229" spans="1:12" s="1199" customFormat="1" ht="21.3">
      <c r="A229" s="1427"/>
    </row>
    <row r="230" spans="1:12" s="1199" customFormat="1" ht="21.3">
      <c r="A230" s="1427"/>
    </row>
    <row r="231" spans="1:12" s="1199" customFormat="1" ht="21.3">
      <c r="A231" s="1427"/>
    </row>
    <row r="232" spans="1:12" s="1199" customFormat="1" ht="21.3">
      <c r="A232" s="1427"/>
    </row>
    <row r="233" spans="1:12" s="1199" customFormat="1" ht="21.3">
      <c r="A233" s="1427"/>
    </row>
    <row r="234" spans="1:12" s="1199" customFormat="1" ht="21.3">
      <c r="A234" s="1427"/>
    </row>
    <row r="235" spans="1:12">
      <c r="A235" s="1427"/>
      <c r="B235" s="1199"/>
      <c r="C235" s="1199"/>
      <c r="D235" s="1199"/>
      <c r="E235" s="1199"/>
      <c r="F235" s="1199"/>
      <c r="G235" s="1199"/>
      <c r="H235" s="1199"/>
      <c r="I235" s="1199"/>
      <c r="J235" s="1199"/>
      <c r="K235" s="1199"/>
      <c r="L235" s="1199"/>
    </row>
    <row r="236" spans="1:12">
      <c r="A236" s="1427"/>
      <c r="B236" s="1199"/>
      <c r="C236" s="1199"/>
      <c r="D236" s="1199"/>
      <c r="E236" s="1199"/>
      <c r="F236" s="1199"/>
      <c r="G236" s="1199"/>
      <c r="H236" s="1199"/>
      <c r="I236" s="1199"/>
      <c r="J236" s="1199"/>
      <c r="K236" s="1199"/>
      <c r="L236" s="1199"/>
    </row>
    <row r="237" spans="1:12">
      <c r="A237" s="1427"/>
      <c r="B237" s="1199"/>
      <c r="C237" s="1199"/>
      <c r="D237" s="1199"/>
      <c r="E237" s="1199"/>
      <c r="F237" s="1199"/>
      <c r="G237" s="1199"/>
      <c r="H237" s="1199"/>
      <c r="I237" s="1199"/>
      <c r="J237" s="1199"/>
      <c r="K237" s="1199"/>
      <c r="L237" s="1199"/>
    </row>
    <row r="244" spans="2:2">
      <c r="B244" s="1805"/>
    </row>
    <row r="245" spans="2:2">
      <c r="B245" s="1805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184:D184"/>
    <mergeCell ref="B209:D209"/>
    <mergeCell ref="B169:D169"/>
    <mergeCell ref="B34:D34"/>
    <mergeCell ref="B59:D59"/>
    <mergeCell ref="B70:D70"/>
    <mergeCell ref="B95:D95"/>
    <mergeCell ref="B113:D113"/>
    <mergeCell ref="B149:D149"/>
  </mergeCells>
  <conditionalFormatting sqref="A150:L154 A163:L163 A161:F161 A167:L168 A164:F164 A160:L160 A166:F166 H166:L166">
    <cfRule type="expression" dxfId="83" priority="19">
      <formula>SUMPRODUCT(--(ROW()=$O$12:$O$17))&gt;0</formula>
    </cfRule>
  </conditionalFormatting>
  <conditionalFormatting sqref="A79:D81 L79:L81 F79:F81">
    <cfRule type="expression" dxfId="82" priority="18">
      <formula>SUMPRODUCT(--(ROW()=$O$12:$O$17))&gt;0</formula>
    </cfRule>
  </conditionalFormatting>
  <conditionalFormatting sqref="A103:L111">
    <cfRule type="expression" dxfId="81" priority="17">
      <formula>SUMPRODUCT(--(ROW()=$O$12:$O$17))&gt;0</formula>
    </cfRule>
  </conditionalFormatting>
  <conditionalFormatting sqref="E59:L59">
    <cfRule type="expression" dxfId="80" priority="16">
      <formula>SUMPRODUCT(--(ROW()=$O$12:$O$17))&gt;0</formula>
    </cfRule>
  </conditionalFormatting>
  <conditionalFormatting sqref="A59">
    <cfRule type="expression" dxfId="79" priority="15">
      <formula>SUMPRODUCT(--(ROW()=$O$12:$O$17))&gt;0</formula>
    </cfRule>
  </conditionalFormatting>
  <conditionalFormatting sqref="B36:D39 B45:D47 B49:D58">
    <cfRule type="expression" dxfId="78" priority="14">
      <formula>SUMPRODUCT(--(ROW()=$O$12:$O$17))&gt;0</formula>
    </cfRule>
  </conditionalFormatting>
  <conditionalFormatting sqref="H37:H39 H45:H47">
    <cfRule type="expression" dxfId="77" priority="13">
      <formula>SUMPRODUCT(--(ROW()=$O$12:$O$17))&gt;0</formula>
    </cfRule>
  </conditionalFormatting>
  <conditionalFormatting sqref="J37:K39 J45:K47">
    <cfRule type="expression" dxfId="76" priority="12">
      <formula>SUMPRODUCT(--(ROW()=$O$12:$O$17))&gt;0</formula>
    </cfRule>
  </conditionalFormatting>
  <conditionalFormatting sqref="I79:I81">
    <cfRule type="expression" dxfId="75" priority="11">
      <formula>SUMPRODUCT(--(ROW()=$O$12:$O$22))&gt;0</formula>
    </cfRule>
  </conditionalFormatting>
  <conditionalFormatting sqref="H87:H90">
    <cfRule type="expression" dxfId="74" priority="10">
      <formula>SUMPRODUCT(--(ROW()=$O$14:$O$24))&gt;0</formula>
    </cfRule>
  </conditionalFormatting>
  <conditionalFormatting sqref="G79:G80">
    <cfRule type="expression" dxfId="73" priority="9">
      <formula>SUMPRODUCT(--(ROW()=$O$14:$O$24))&gt;0</formula>
    </cfRule>
  </conditionalFormatting>
  <conditionalFormatting sqref="G81">
    <cfRule type="expression" dxfId="72" priority="8">
      <formula>SUMPRODUCT(--(ROW()=$O$14:$O$24))&gt;0</formula>
    </cfRule>
  </conditionalFormatting>
  <conditionalFormatting sqref="A162:K162">
    <cfRule type="expression" dxfId="71" priority="3">
      <formula>SUMPRODUCT(--(ROW()=$O$12:$O$24))&gt;0</formula>
    </cfRule>
  </conditionalFormatting>
  <conditionalFormatting sqref="A165:F165">
    <cfRule type="expression" dxfId="70" priority="2">
      <formula>SUMPRODUCT(--(ROW()=$O$12:$O$24))&gt;0</formula>
    </cfRule>
  </conditionalFormatting>
  <conditionalFormatting sqref="E79:E80">
    <cfRule type="expression" dxfId="69" priority="1">
      <formula>SUMPRODUCT(--(ROW()=$W$12:$W$21))&gt;0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11-อาคารด้านทิศตะวันตก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0BCC5-70CD-4E27-B216-AE8D10AEF98F}">
  <sheetPr>
    <tabColor rgb="FFFFFF00"/>
  </sheetPr>
  <dimension ref="A1:AT364"/>
  <sheetViews>
    <sheetView showGridLines="0" view="pageBreakPreview" zoomScale="85" zoomScaleNormal="60" zoomScaleSheetLayoutView="85" workbookViewId="0">
      <selection activeCell="G293" sqref="G293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6.5859375" style="1" customWidth="1"/>
    <col min="13" max="15" width="8.703125" style="1" customWidth="1"/>
    <col min="16" max="27" width="15.703125" style="1" customWidth="1"/>
    <col min="28" max="28" width="12.29296875" style="1" customWidth="1"/>
    <col min="29" max="29" width="12.87890625" style="1" customWidth="1"/>
    <col min="30" max="30" width="13" style="1" customWidth="1"/>
    <col min="31" max="31" width="14.29296875" style="1" customWidth="1"/>
    <col min="32" max="46" width="17.703125" style="1" customWidth="1"/>
    <col min="47" max="98" width="7.703125" style="1" customWidth="1"/>
    <col min="99" max="16384" width="9" style="1"/>
  </cols>
  <sheetData>
    <row r="1" spans="1:27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ht="25.15" customHeight="1">
      <c r="A2" s="11" t="s">
        <v>2</v>
      </c>
      <c r="B2" s="36"/>
      <c r="C2" s="37"/>
      <c r="D2" s="12" t="s">
        <v>1981</v>
      </c>
      <c r="E2" s="37"/>
      <c r="F2" s="13"/>
      <c r="G2" s="13"/>
      <c r="H2" s="13"/>
      <c r="I2" s="13"/>
      <c r="J2" s="14"/>
      <c r="K2" s="13"/>
      <c r="L2" s="15"/>
      <c r="M2" s="2014"/>
      <c r="N2" s="2014"/>
      <c r="O2" s="2014"/>
      <c r="P2" s="2014"/>
      <c r="Q2" s="2014"/>
      <c r="R2" s="2014"/>
      <c r="S2" s="2014"/>
      <c r="T2" s="2014"/>
      <c r="U2" s="2014"/>
      <c r="V2" s="2014"/>
      <c r="W2" s="2014"/>
      <c r="X2" s="2014"/>
      <c r="Y2" s="2014"/>
      <c r="Z2" s="2014"/>
      <c r="AA2" s="2014"/>
    </row>
    <row r="3" spans="1:27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5"/>
      <c r="X3" s="2015"/>
      <c r="Y3" s="2015"/>
      <c r="Z3" s="2015"/>
      <c r="AA3" s="2015"/>
    </row>
    <row r="4" spans="1:27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  <c r="M4" s="2015"/>
      <c r="N4" s="2015"/>
      <c r="O4" s="2015"/>
      <c r="P4" s="2015"/>
      <c r="Q4" s="2015"/>
      <c r="R4" s="2015"/>
      <c r="S4" s="2015"/>
      <c r="T4" s="2015"/>
      <c r="U4" s="2015"/>
      <c r="V4" s="2015"/>
      <c r="W4" s="2015"/>
      <c r="X4" s="2015"/>
      <c r="Y4" s="2015"/>
      <c r="Z4" s="2015"/>
      <c r="AA4" s="2015"/>
    </row>
    <row r="5" spans="1:27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  <c r="M5" s="2015"/>
      <c r="N5" s="2015"/>
      <c r="O5" s="2015"/>
      <c r="P5" s="2015"/>
      <c r="Q5" s="2015"/>
      <c r="R5" s="2015"/>
      <c r="S5" s="2015"/>
      <c r="T5" s="2015"/>
      <c r="U5" s="2015"/>
      <c r="V5" s="2015"/>
      <c r="W5" s="2015"/>
      <c r="X5" s="2015"/>
      <c r="Y5" s="2015"/>
      <c r="Z5" s="2015"/>
      <c r="AA5" s="2015"/>
    </row>
    <row r="6" spans="1:27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  <c r="M6" s="2014"/>
      <c r="N6" s="2014"/>
      <c r="O6" s="2014"/>
      <c r="P6" s="2014"/>
      <c r="Q6" s="2014"/>
      <c r="R6" s="2014"/>
      <c r="S6" s="2014"/>
      <c r="T6" s="2014"/>
      <c r="U6" s="2014"/>
      <c r="V6" s="2014"/>
      <c r="W6" s="2014"/>
      <c r="X6" s="2014"/>
      <c r="Y6" s="2014"/>
      <c r="Z6" s="2014"/>
      <c r="AA6" s="2014"/>
    </row>
    <row r="7" spans="1:27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  <c r="M7" s="2057"/>
      <c r="N7" s="2057"/>
      <c r="O7" s="2057"/>
      <c r="P7" s="2057"/>
      <c r="Q7" s="2057"/>
      <c r="R7" s="2057"/>
      <c r="S7" s="2057"/>
      <c r="T7" s="2057"/>
      <c r="U7" s="2057"/>
      <c r="V7" s="2057"/>
      <c r="W7" s="2057"/>
      <c r="X7" s="2057"/>
      <c r="Y7" s="2057"/>
      <c r="Z7" s="2057"/>
      <c r="AA7" s="2057"/>
    </row>
    <row r="8" spans="1:27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  <c r="M8" s="2057"/>
      <c r="N8" s="2057"/>
      <c r="O8" s="2057"/>
      <c r="P8" s="2057"/>
      <c r="Q8" s="2057"/>
      <c r="R8" s="2057"/>
      <c r="S8" s="2057"/>
      <c r="T8" s="2057"/>
      <c r="U8" s="2057"/>
      <c r="V8" s="2057"/>
      <c r="W8" s="2057"/>
      <c r="X8" s="2057"/>
      <c r="Y8" s="2057"/>
      <c r="Z8" s="2057"/>
      <c r="AA8" s="2057"/>
    </row>
    <row r="9" spans="1:27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  <c r="M9" s="2016"/>
      <c r="N9" s="2016"/>
      <c r="O9" s="2016"/>
      <c r="P9" s="2016"/>
      <c r="Q9" s="2016"/>
      <c r="R9" s="2016"/>
      <c r="S9" s="2016"/>
      <c r="T9" s="2016"/>
      <c r="U9" s="2016"/>
      <c r="V9" s="2016"/>
      <c r="W9" s="2016"/>
      <c r="X9" s="2016"/>
      <c r="Y9" s="2016"/>
      <c r="Z9" s="2016"/>
      <c r="AA9" s="2016"/>
    </row>
    <row r="10" spans="1:27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  <c r="M10" s="2016"/>
      <c r="N10" s="2016"/>
      <c r="O10" s="2016"/>
      <c r="P10" s="2016"/>
      <c r="Q10" s="2016"/>
      <c r="R10" s="2016"/>
      <c r="S10" s="2016"/>
      <c r="T10" s="2016"/>
      <c r="U10" s="2016"/>
      <c r="V10" s="2016"/>
      <c r="W10" s="2016"/>
      <c r="X10" s="2016"/>
      <c r="Y10" s="2016"/>
      <c r="Z10" s="2016"/>
      <c r="AA10" s="2016"/>
    </row>
    <row r="11" spans="1:27" ht="24" customHeight="1">
      <c r="A11" s="1871" t="s">
        <v>24</v>
      </c>
      <c r="B11" s="1872" t="s">
        <v>2324</v>
      </c>
      <c r="C11" s="1716"/>
      <c r="D11" s="1873"/>
      <c r="E11" s="1874"/>
      <c r="F11" s="1874"/>
      <c r="G11" s="1875"/>
      <c r="H11" s="1549"/>
      <c r="I11" s="1876"/>
      <c r="J11" s="1549"/>
      <c r="K11" s="1877"/>
      <c r="L11" s="1877"/>
      <c r="M11" s="2017"/>
      <c r="N11" s="2017"/>
      <c r="O11" s="2017"/>
      <c r="P11" s="2017"/>
      <c r="Q11" s="2017"/>
      <c r="R11" s="2017"/>
      <c r="S11" s="2017"/>
      <c r="T11" s="2017"/>
      <c r="U11" s="2017"/>
      <c r="V11" s="2017"/>
      <c r="W11" s="2017"/>
      <c r="X11" s="2017"/>
      <c r="Y11" s="2017"/>
      <c r="Z11" s="2017"/>
      <c r="AA11" s="2017"/>
    </row>
    <row r="12" spans="1:27" s="1199" customFormat="1" ht="24" customHeight="1">
      <c r="A12" s="1564">
        <f>A35</f>
        <v>7.1</v>
      </c>
      <c r="B12" s="1538" t="str">
        <f>+B35</f>
        <v>เครื่องส่งลมเย็นแบบ Pre-Cooled Outdoor Air unit</v>
      </c>
      <c r="C12" s="1533"/>
      <c r="D12" s="1534"/>
      <c r="E12" s="1753">
        <v>1</v>
      </c>
      <c r="F12" s="1567" t="s">
        <v>19</v>
      </c>
      <c r="G12" s="1195"/>
      <c r="H12" s="1196">
        <f>H49</f>
        <v>11976000</v>
      </c>
      <c r="I12" s="1197"/>
      <c r="J12" s="1196">
        <f>J49</f>
        <v>140200</v>
      </c>
      <c r="K12" s="1196">
        <f>SUM(H12:J12)</f>
        <v>12116200</v>
      </c>
      <c r="L12" s="1531"/>
      <c r="M12" s="2018"/>
      <c r="N12" s="2018"/>
      <c r="O12" s="2018"/>
      <c r="P12" s="2018"/>
      <c r="Q12" s="2018"/>
      <c r="R12" s="2018"/>
      <c r="S12" s="2018"/>
      <c r="T12" s="2018"/>
      <c r="U12" s="2018"/>
      <c r="V12" s="2018"/>
      <c r="W12" s="2018"/>
      <c r="X12" s="2018"/>
      <c r="Y12" s="2018"/>
      <c r="Z12" s="2018"/>
      <c r="AA12" s="2018"/>
    </row>
    <row r="13" spans="1:27" s="1199" customFormat="1" ht="24" customHeight="1">
      <c r="A13" s="1564" t="str">
        <f>A50</f>
        <v>7.2</v>
      </c>
      <c r="B13" s="1538" t="str">
        <f>+B50</f>
        <v>อุปกรณ์ควบคุมอัตโนมัติ (Automatic Control Equipment)</v>
      </c>
      <c r="C13" s="1533"/>
      <c r="D13" s="1534"/>
      <c r="E13" s="1753">
        <v>1</v>
      </c>
      <c r="F13" s="1567" t="s">
        <v>19</v>
      </c>
      <c r="G13" s="1195"/>
      <c r="H13" s="1196">
        <f>H59</f>
        <v>13200</v>
      </c>
      <c r="I13" s="1197"/>
      <c r="J13" s="1196">
        <f>J59</f>
        <v>600</v>
      </c>
      <c r="K13" s="1196">
        <f t="shared" ref="K13:K23" si="0">SUM(H13:J13)</f>
        <v>13800</v>
      </c>
      <c r="L13" s="1531"/>
      <c r="M13" s="2018"/>
      <c r="N13" s="2018"/>
      <c r="O13" s="2018"/>
      <c r="P13" s="2018"/>
      <c r="Q13" s="2018"/>
      <c r="R13" s="2018"/>
      <c r="S13" s="2018"/>
      <c r="T13" s="2018"/>
      <c r="U13" s="2018"/>
      <c r="V13" s="2018"/>
      <c r="W13" s="2018"/>
      <c r="X13" s="2018"/>
      <c r="Y13" s="2018"/>
      <c r="Z13" s="2018"/>
      <c r="AA13" s="2018"/>
    </row>
    <row r="14" spans="1:27" s="1199" customFormat="1" ht="24" customHeight="1">
      <c r="A14" s="1564" t="str">
        <f>A60</f>
        <v>7.3</v>
      </c>
      <c r="B14" s="1538" t="str">
        <f>+B60</f>
        <v>พัดลมระบายอากาศ (Ventilating Fan)</v>
      </c>
      <c r="C14" s="1533"/>
      <c r="D14" s="1534"/>
      <c r="E14" s="1753">
        <v>1</v>
      </c>
      <c r="F14" s="1567" t="s">
        <v>19</v>
      </c>
      <c r="G14" s="1195"/>
      <c r="H14" s="1196">
        <f>H103</f>
        <v>2745530</v>
      </c>
      <c r="I14" s="1197"/>
      <c r="J14" s="1196">
        <f>J103</f>
        <v>185600</v>
      </c>
      <c r="K14" s="1196">
        <f t="shared" si="0"/>
        <v>2931130</v>
      </c>
      <c r="L14" s="1531"/>
      <c r="M14" s="2018"/>
      <c r="N14" s="2018"/>
      <c r="O14" s="2018"/>
      <c r="P14" s="2018"/>
      <c r="Q14" s="2018"/>
      <c r="R14" s="2018"/>
      <c r="S14" s="2018"/>
      <c r="T14" s="2018"/>
      <c r="U14" s="2018"/>
      <c r="V14" s="2018"/>
      <c r="W14" s="2018"/>
      <c r="X14" s="2018"/>
      <c r="Y14" s="2018"/>
      <c r="Z14" s="2018"/>
      <c r="AA14" s="2018"/>
    </row>
    <row r="15" spans="1:27" s="1199" customFormat="1" ht="24" customHeight="1">
      <c r="A15" s="1564" t="str">
        <f>A104</f>
        <v>7.4</v>
      </c>
      <c r="B15" s="1538" t="str">
        <f>+B104</f>
        <v>ระบบกรองอากาศ (Air Filtration System)</v>
      </c>
      <c r="C15" s="1533"/>
      <c r="D15" s="1534"/>
      <c r="E15" s="1753">
        <v>1</v>
      </c>
      <c r="F15" s="1567" t="s">
        <v>19</v>
      </c>
      <c r="G15" s="1195"/>
      <c r="H15" s="1196">
        <f>H117</f>
        <v>98200</v>
      </c>
      <c r="I15" s="1197"/>
      <c r="J15" s="1196">
        <f>J117</f>
        <v>9200</v>
      </c>
      <c r="K15" s="1196">
        <f t="shared" si="0"/>
        <v>107400</v>
      </c>
      <c r="L15" s="1531"/>
      <c r="M15" s="2018"/>
      <c r="N15" s="2018"/>
      <c r="O15" s="2018"/>
      <c r="P15" s="2018"/>
      <c r="Q15" s="2018"/>
      <c r="R15" s="2018"/>
      <c r="S15" s="2018"/>
      <c r="T15" s="2018"/>
      <c r="U15" s="2018"/>
      <c r="V15" s="2018"/>
      <c r="W15" s="2018"/>
      <c r="X15" s="2018"/>
      <c r="Y15" s="2018"/>
      <c r="Z15" s="2018"/>
      <c r="AA15" s="2018"/>
    </row>
    <row r="16" spans="1:27" s="1199" customFormat="1" ht="24" customHeight="1">
      <c r="A16" s="1564">
        <f>A118</f>
        <v>7.5</v>
      </c>
      <c r="B16" s="1538" t="str">
        <f>+B118</f>
        <v>งานท่อ (Piping Work)</v>
      </c>
      <c r="C16" s="1533"/>
      <c r="D16" s="1534"/>
      <c r="E16" s="1753">
        <v>1</v>
      </c>
      <c r="F16" s="1567" t="s">
        <v>19</v>
      </c>
      <c r="G16" s="1195"/>
      <c r="H16" s="1196">
        <f>H148</f>
        <v>466333</v>
      </c>
      <c r="I16" s="1197"/>
      <c r="J16" s="1196">
        <f>J148</f>
        <v>176690</v>
      </c>
      <c r="K16" s="1196">
        <f t="shared" si="0"/>
        <v>643023</v>
      </c>
      <c r="L16" s="1531"/>
      <c r="M16" s="2018"/>
      <c r="N16" s="2018"/>
      <c r="O16" s="2018"/>
      <c r="P16" s="2018"/>
      <c r="Q16" s="2018"/>
      <c r="R16" s="2018"/>
      <c r="S16" s="2018"/>
      <c r="T16" s="2018"/>
      <c r="U16" s="2018"/>
      <c r="V16" s="2018"/>
      <c r="W16" s="2018"/>
      <c r="X16" s="2018"/>
      <c r="Y16" s="2018"/>
      <c r="Z16" s="2018"/>
      <c r="AA16" s="2018"/>
    </row>
    <row r="17" spans="1:27" s="1199" customFormat="1" ht="24" customHeight="1">
      <c r="A17" s="1564" t="str">
        <f>A149</f>
        <v>7.6</v>
      </c>
      <c r="B17" s="1538" t="str">
        <f>+B149</f>
        <v>ฉนวนหุ้มท่อ (Pipe Insulation)</v>
      </c>
      <c r="C17" s="1533"/>
      <c r="D17" s="1534"/>
      <c r="E17" s="1753">
        <v>1</v>
      </c>
      <c r="F17" s="1567" t="s">
        <v>19</v>
      </c>
      <c r="G17" s="1195"/>
      <c r="H17" s="1196">
        <f>H172</f>
        <v>102308</v>
      </c>
      <c r="I17" s="1197"/>
      <c r="J17" s="1196">
        <f>J172</f>
        <v>28756</v>
      </c>
      <c r="K17" s="1196">
        <f t="shared" si="0"/>
        <v>131064</v>
      </c>
      <c r="L17" s="1531"/>
      <c r="M17" s="2018"/>
      <c r="N17" s="2018"/>
      <c r="O17" s="2018"/>
      <c r="P17" s="2018"/>
      <c r="Q17" s="2018"/>
      <c r="R17" s="2018"/>
      <c r="S17" s="2018"/>
      <c r="T17" s="2018"/>
      <c r="U17" s="2018"/>
      <c r="V17" s="2018"/>
      <c r="W17" s="2018"/>
      <c r="X17" s="2018"/>
      <c r="Y17" s="2018"/>
      <c r="Z17" s="2018"/>
      <c r="AA17" s="2018"/>
    </row>
    <row r="18" spans="1:27" s="1199" customFormat="1" ht="24" customHeight="1">
      <c r="A18" s="1564">
        <f>A173</f>
        <v>7.7</v>
      </c>
      <c r="B18" s="1538" t="str">
        <f>B173</f>
        <v>วาล์วและอุปกรณ์ประกอบ  (Valve &amp; Pipe Accessories)</v>
      </c>
      <c r="C18" s="1533"/>
      <c r="D18" s="1534"/>
      <c r="E18" s="1753">
        <v>1</v>
      </c>
      <c r="F18" s="1567" t="s">
        <v>19</v>
      </c>
      <c r="G18" s="1195"/>
      <c r="H18" s="1196">
        <f>H213</f>
        <v>114716</v>
      </c>
      <c r="I18" s="1197"/>
      <c r="J18" s="1196">
        <f>J213</f>
        <v>16840</v>
      </c>
      <c r="K18" s="1196">
        <f t="shared" si="0"/>
        <v>131556</v>
      </c>
      <c r="L18" s="1531"/>
      <c r="M18" s="2018"/>
      <c r="N18" s="2018"/>
      <c r="O18" s="2018"/>
      <c r="P18" s="2018"/>
      <c r="Q18" s="2018"/>
      <c r="R18" s="2018"/>
      <c r="S18" s="2018"/>
      <c r="T18" s="2018"/>
      <c r="U18" s="2018"/>
      <c r="V18" s="2018"/>
      <c r="W18" s="2018"/>
      <c r="X18" s="2018"/>
      <c r="Y18" s="2018"/>
      <c r="Z18" s="2018"/>
      <c r="AA18" s="2018"/>
    </row>
    <row r="19" spans="1:27" s="1199" customFormat="1" ht="24" customHeight="1">
      <c r="A19" s="1564" t="str">
        <f>A214</f>
        <v>7.8</v>
      </c>
      <c r="B19" s="1538" t="str">
        <f>B214</f>
        <v>ระบบท่อลม (Duct Work)</v>
      </c>
      <c r="C19" s="1533"/>
      <c r="D19" s="1534"/>
      <c r="E19" s="1753">
        <v>1</v>
      </c>
      <c r="F19" s="1567" t="s">
        <v>19</v>
      </c>
      <c r="G19" s="1195"/>
      <c r="H19" s="1196">
        <f>H234</f>
        <v>2154900</v>
      </c>
      <c r="I19" s="1197"/>
      <c r="J19" s="1196">
        <f>J234</f>
        <v>1212808</v>
      </c>
      <c r="K19" s="1196">
        <f t="shared" si="0"/>
        <v>3367708</v>
      </c>
      <c r="L19" s="1531"/>
      <c r="M19" s="2018"/>
      <c r="N19" s="2018"/>
      <c r="O19" s="2018"/>
      <c r="P19" s="2018"/>
      <c r="Q19" s="2018"/>
      <c r="R19" s="2018"/>
      <c r="S19" s="2018"/>
      <c r="T19" s="2018"/>
      <c r="U19" s="2018"/>
      <c r="V19" s="2018"/>
      <c r="W19" s="2018"/>
      <c r="X19" s="2018"/>
      <c r="Y19" s="2018"/>
      <c r="Z19" s="2018"/>
      <c r="AA19" s="2018"/>
    </row>
    <row r="20" spans="1:27" s="1199" customFormat="1" ht="24" customHeight="1">
      <c r="A20" s="1564" t="str">
        <f>A235</f>
        <v>7.9</v>
      </c>
      <c r="B20" s="1538" t="str">
        <f>B235</f>
        <v>ฉนวนหุ้มท่อลม (Duct Insulation)</v>
      </c>
      <c r="C20" s="1533"/>
      <c r="D20" s="1534"/>
      <c r="E20" s="1753">
        <v>1</v>
      </c>
      <c r="F20" s="1567" t="s">
        <v>19</v>
      </c>
      <c r="G20" s="1195"/>
      <c r="H20" s="1196">
        <f>H244</f>
        <v>117180</v>
      </c>
      <c r="I20" s="1197"/>
      <c r="J20" s="1196">
        <f>J244</f>
        <v>35529</v>
      </c>
      <c r="K20" s="1196">
        <f t="shared" si="0"/>
        <v>152709</v>
      </c>
      <c r="L20" s="1531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</row>
    <row r="21" spans="1:27" s="1199" customFormat="1" ht="24" customHeight="1">
      <c r="A21" s="1564" t="str">
        <f>A245</f>
        <v>7.10</v>
      </c>
      <c r="B21" s="1538" t="str">
        <f>B245</f>
        <v>หน้ากากลม (Air Diffuser, Grille &amp; Register)</v>
      </c>
      <c r="C21" s="1533"/>
      <c r="D21" s="1534"/>
      <c r="E21" s="1753">
        <v>1</v>
      </c>
      <c r="F21" s="1567" t="s">
        <v>19</v>
      </c>
      <c r="G21" s="1195"/>
      <c r="H21" s="1196">
        <f>H277</f>
        <v>496120</v>
      </c>
      <c r="I21" s="1197"/>
      <c r="J21" s="1196">
        <f>J277</f>
        <v>49612</v>
      </c>
      <c r="K21" s="1196">
        <f t="shared" si="0"/>
        <v>545732</v>
      </c>
      <c r="L21" s="1531"/>
      <c r="M21" s="2018"/>
      <c r="N21" s="2018"/>
      <c r="O21" s="2018"/>
      <c r="P21" s="2018"/>
      <c r="Q21" s="2018"/>
      <c r="R21" s="2018"/>
      <c r="S21" s="2018"/>
      <c r="T21" s="2018"/>
      <c r="U21" s="2018"/>
      <c r="V21" s="2018"/>
      <c r="W21" s="2018"/>
      <c r="X21" s="2018"/>
      <c r="Y21" s="2018"/>
      <c r="Z21" s="2018"/>
      <c r="AA21" s="2018"/>
    </row>
    <row r="22" spans="1:27" s="1199" customFormat="1" ht="24" customHeight="1">
      <c r="A22" s="1564" t="str">
        <f>A278</f>
        <v>7.11</v>
      </c>
      <c r="B22" s="1538" t="str">
        <f>B278</f>
        <v>ระบบไฟฟ้าและควบคุม (Electrical &amp; Control System)</v>
      </c>
      <c r="C22" s="1533"/>
      <c r="D22" s="1534"/>
      <c r="E22" s="1753">
        <v>1</v>
      </c>
      <c r="F22" s="1567" t="s">
        <v>19</v>
      </c>
      <c r="G22" s="1195"/>
      <c r="H22" s="1196">
        <f>H321</f>
        <v>1301445</v>
      </c>
      <c r="I22" s="1197"/>
      <c r="J22" s="1196">
        <f>J321</f>
        <v>153596</v>
      </c>
      <c r="K22" s="1196">
        <f t="shared" si="0"/>
        <v>1455041</v>
      </c>
      <c r="L22" s="1531"/>
      <c r="M22" s="2018"/>
      <c r="N22" s="2018"/>
      <c r="O22" s="2018"/>
      <c r="P22" s="2018"/>
      <c r="Q22" s="2018"/>
      <c r="R22" s="2018"/>
      <c r="S22" s="2018"/>
      <c r="T22" s="2018"/>
      <c r="U22" s="2018"/>
      <c r="V22" s="2018"/>
      <c r="W22" s="2018"/>
      <c r="X22" s="2018"/>
      <c r="Y22" s="2018"/>
      <c r="Z22" s="2018"/>
      <c r="AA22" s="2018"/>
    </row>
    <row r="23" spans="1:27" s="1199" customFormat="1" ht="24" customHeight="1">
      <c r="A23" s="1564" t="str">
        <f>A322</f>
        <v>7.12</v>
      </c>
      <c r="B23" s="1538" t="str">
        <f>B322</f>
        <v>Variable Speed Controller</v>
      </c>
      <c r="C23" s="1533"/>
      <c r="D23" s="1534"/>
      <c r="E23" s="1753">
        <v>1</v>
      </c>
      <c r="F23" s="1567" t="s">
        <v>19</v>
      </c>
      <c r="G23" s="1195" t="s">
        <v>2556</v>
      </c>
      <c r="H23" s="1196">
        <f>H328</f>
        <v>0</v>
      </c>
      <c r="I23" s="1197"/>
      <c r="J23" s="1196">
        <f>J328</f>
        <v>0</v>
      </c>
      <c r="K23" s="1196">
        <f t="shared" si="0"/>
        <v>0</v>
      </c>
      <c r="L23" s="1531"/>
      <c r="M23" s="2018"/>
      <c r="N23" s="2018"/>
      <c r="O23" s="2018"/>
      <c r="P23" s="2018"/>
      <c r="Q23" s="2018"/>
      <c r="R23" s="2018"/>
      <c r="S23" s="2018"/>
      <c r="T23" s="2018"/>
      <c r="U23" s="2018"/>
      <c r="V23" s="2018"/>
      <c r="W23" s="2018"/>
      <c r="X23" s="2018"/>
      <c r="Y23" s="2018"/>
      <c r="Z23" s="2018"/>
      <c r="AA23" s="2018"/>
    </row>
    <row r="24" spans="1:27" s="1199" customFormat="1" ht="24" customHeight="1">
      <c r="A24" s="1537"/>
      <c r="B24" s="1538"/>
      <c r="C24" s="1533"/>
      <c r="D24" s="1534"/>
      <c r="E24" s="1567"/>
      <c r="F24" s="1567"/>
      <c r="G24" s="1195"/>
      <c r="H24" s="1196"/>
      <c r="I24" s="1197"/>
      <c r="J24" s="1196"/>
      <c r="K24" s="1196"/>
      <c r="L24" s="1531"/>
      <c r="M24" s="2018"/>
      <c r="N24" s="2018"/>
      <c r="O24" s="2018"/>
      <c r="P24" s="2018"/>
      <c r="Q24" s="2018"/>
      <c r="R24" s="2018"/>
      <c r="S24" s="2018"/>
      <c r="T24" s="2018"/>
      <c r="U24" s="2018"/>
      <c r="V24" s="2018"/>
      <c r="W24" s="2018"/>
      <c r="X24" s="2018"/>
      <c r="Y24" s="2018"/>
      <c r="Z24" s="2018"/>
      <c r="AA24" s="2018"/>
    </row>
    <row r="25" spans="1:27" s="1199" customFormat="1" ht="24" customHeight="1">
      <c r="A25" s="1537"/>
      <c r="B25" s="1538"/>
      <c r="C25" s="1533"/>
      <c r="D25" s="1534"/>
      <c r="E25" s="1567"/>
      <c r="F25" s="1567"/>
      <c r="G25" s="1195"/>
      <c r="H25" s="1196"/>
      <c r="I25" s="1197"/>
      <c r="J25" s="1196"/>
      <c r="K25" s="1553"/>
      <c r="L25" s="1531"/>
      <c r="M25" s="2018"/>
      <c r="N25" s="2018"/>
      <c r="O25" s="2018"/>
      <c r="P25" s="2018"/>
      <c r="Q25" s="2018"/>
      <c r="R25" s="2018"/>
      <c r="S25" s="2018"/>
      <c r="T25" s="2018"/>
      <c r="U25" s="2018"/>
      <c r="V25" s="2018"/>
      <c r="W25" s="2018"/>
      <c r="X25" s="2018"/>
      <c r="Y25" s="2018"/>
      <c r="Z25" s="2018"/>
      <c r="AA25" s="2018"/>
    </row>
    <row r="26" spans="1:27" s="1199" customFormat="1" ht="24" customHeight="1">
      <c r="A26" s="1537"/>
      <c r="B26" s="1538"/>
      <c r="C26" s="1533"/>
      <c r="D26" s="1534"/>
      <c r="E26" s="1567"/>
      <c r="F26" s="1567"/>
      <c r="G26" s="1195"/>
      <c r="H26" s="1196"/>
      <c r="I26" s="1197"/>
      <c r="J26" s="1196"/>
      <c r="K26" s="1553"/>
      <c r="L26" s="1531"/>
      <c r="M26" s="2018"/>
      <c r="N26" s="2018"/>
      <c r="O26" s="2018"/>
      <c r="P26" s="2018"/>
      <c r="Q26" s="2018"/>
      <c r="R26" s="2018"/>
      <c r="S26" s="2018"/>
      <c r="T26" s="2018"/>
      <c r="U26" s="2018"/>
      <c r="V26" s="2018"/>
      <c r="W26" s="2018"/>
      <c r="X26" s="2018"/>
      <c r="Y26" s="2018"/>
      <c r="Z26" s="2018"/>
      <c r="AA26" s="2018"/>
    </row>
    <row r="27" spans="1:27" s="1199" customFormat="1" ht="24" customHeight="1">
      <c r="A27" s="1537"/>
      <c r="B27" s="1538"/>
      <c r="C27" s="1533"/>
      <c r="D27" s="1534"/>
      <c r="E27" s="1567"/>
      <c r="F27" s="1567"/>
      <c r="G27" s="1195"/>
      <c r="H27" s="1196"/>
      <c r="I27" s="1197"/>
      <c r="J27" s="1196"/>
      <c r="K27" s="1553"/>
      <c r="L27" s="1531"/>
      <c r="M27" s="2018"/>
      <c r="N27" s="2018"/>
      <c r="O27" s="2018"/>
      <c r="P27" s="2018"/>
      <c r="Q27" s="2018"/>
      <c r="R27" s="2018"/>
      <c r="S27" s="2018"/>
      <c r="T27" s="2018"/>
      <c r="U27" s="2018"/>
      <c r="V27" s="2018"/>
      <c r="W27" s="2018"/>
      <c r="X27" s="2018"/>
      <c r="Y27" s="2018"/>
      <c r="Z27" s="2018"/>
      <c r="AA27" s="2018"/>
    </row>
    <row r="28" spans="1:27" s="1199" customFormat="1" ht="24" customHeight="1">
      <c r="A28" s="1537"/>
      <c r="B28" s="1538"/>
      <c r="C28" s="1533"/>
      <c r="D28" s="1534"/>
      <c r="E28" s="1567"/>
      <c r="F28" s="1567"/>
      <c r="G28" s="1195"/>
      <c r="H28" s="1196"/>
      <c r="I28" s="1197"/>
      <c r="J28" s="1196"/>
      <c r="K28" s="1553"/>
      <c r="L28" s="1531"/>
      <c r="M28" s="2018"/>
      <c r="N28" s="2018"/>
      <c r="O28" s="2018"/>
      <c r="P28" s="2018"/>
      <c r="Q28" s="2018"/>
      <c r="R28" s="2018"/>
      <c r="S28" s="2018"/>
      <c r="T28" s="2018"/>
      <c r="U28" s="2018"/>
      <c r="V28" s="2018"/>
      <c r="W28" s="2018"/>
      <c r="X28" s="2018"/>
      <c r="Y28" s="2018"/>
      <c r="Z28" s="2018"/>
      <c r="AA28" s="2018"/>
    </row>
    <row r="29" spans="1:27" s="1199" customFormat="1" ht="24" customHeight="1">
      <c r="A29" s="1537"/>
      <c r="B29" s="1538"/>
      <c r="C29" s="1533"/>
      <c r="D29" s="1534"/>
      <c r="E29" s="1567"/>
      <c r="F29" s="1567"/>
      <c r="G29" s="1195"/>
      <c r="H29" s="1196"/>
      <c r="I29" s="1197"/>
      <c r="J29" s="1196"/>
      <c r="K29" s="1553"/>
      <c r="L29" s="1531"/>
      <c r="M29" s="2018"/>
      <c r="N29" s="2018"/>
      <c r="O29" s="2018"/>
      <c r="P29" s="2018"/>
      <c r="Q29" s="2018"/>
      <c r="R29" s="2018"/>
      <c r="S29" s="2018"/>
      <c r="T29" s="2018"/>
      <c r="U29" s="2018"/>
      <c r="V29" s="2018"/>
      <c r="W29" s="2018"/>
      <c r="X29" s="2018"/>
      <c r="Y29" s="2018"/>
      <c r="Z29" s="2018"/>
      <c r="AA29" s="2018"/>
    </row>
    <row r="30" spans="1:27" s="1199" customFormat="1" ht="24" customHeight="1">
      <c r="A30" s="1537"/>
      <c r="B30" s="1538"/>
      <c r="C30" s="1533"/>
      <c r="D30" s="1534"/>
      <c r="E30" s="1567"/>
      <c r="F30" s="1567"/>
      <c r="G30" s="1195"/>
      <c r="H30" s="1196"/>
      <c r="I30" s="1197"/>
      <c r="J30" s="1196"/>
      <c r="K30" s="1553"/>
      <c r="L30" s="1531"/>
      <c r="M30" s="2018"/>
      <c r="N30" s="2018"/>
      <c r="O30" s="2018"/>
      <c r="P30" s="2018"/>
      <c r="Q30" s="2018"/>
      <c r="R30" s="2018"/>
      <c r="S30" s="2018"/>
      <c r="T30" s="2018"/>
      <c r="U30" s="2018"/>
      <c r="V30" s="2018"/>
      <c r="W30" s="2018"/>
      <c r="X30" s="2018"/>
      <c r="Y30" s="2018"/>
      <c r="Z30" s="2018"/>
      <c r="AA30" s="2018"/>
    </row>
    <row r="31" spans="1:27" s="1199" customFormat="1" ht="24" customHeight="1">
      <c r="A31" s="1537"/>
      <c r="B31" s="1538"/>
      <c r="C31" s="1533"/>
      <c r="D31" s="1534"/>
      <c r="E31" s="1567"/>
      <c r="F31" s="1567"/>
      <c r="G31" s="1195"/>
      <c r="H31" s="1196"/>
      <c r="I31" s="1197"/>
      <c r="J31" s="1196"/>
      <c r="K31" s="1553"/>
      <c r="L31" s="1531"/>
      <c r="M31" s="2018"/>
      <c r="N31" s="2018"/>
      <c r="O31" s="2018"/>
      <c r="P31" s="2018"/>
      <c r="Q31" s="2018"/>
      <c r="R31" s="2018"/>
      <c r="S31" s="2018"/>
      <c r="T31" s="2018"/>
      <c r="U31" s="2018"/>
      <c r="V31" s="2018"/>
      <c r="W31" s="2018"/>
      <c r="X31" s="2018"/>
      <c r="Y31" s="2018"/>
      <c r="Z31" s="2018"/>
      <c r="AA31" s="2018"/>
    </row>
    <row r="32" spans="1:27" s="1199" customFormat="1" ht="24" customHeight="1">
      <c r="A32" s="1537"/>
      <c r="B32" s="1538"/>
      <c r="C32" s="1533"/>
      <c r="D32" s="1534"/>
      <c r="E32" s="1567"/>
      <c r="F32" s="1567"/>
      <c r="G32" s="1195"/>
      <c r="H32" s="1196"/>
      <c r="I32" s="1197"/>
      <c r="J32" s="1196"/>
      <c r="K32" s="1553"/>
      <c r="L32" s="1531"/>
      <c r="M32" s="2018"/>
      <c r="N32" s="2018"/>
      <c r="O32" s="2018"/>
      <c r="P32" s="2018"/>
      <c r="Q32" s="2018"/>
      <c r="R32" s="2018"/>
      <c r="S32" s="2018"/>
      <c r="T32" s="2018"/>
      <c r="U32" s="2018"/>
      <c r="V32" s="2018"/>
      <c r="W32" s="2018"/>
      <c r="X32" s="2018"/>
      <c r="Y32" s="2018"/>
      <c r="Z32" s="2018"/>
      <c r="AA32" s="2018"/>
    </row>
    <row r="33" spans="1:27" s="1199" customFormat="1" ht="24" customHeight="1">
      <c r="A33" s="1841"/>
      <c r="B33" s="1792"/>
      <c r="C33" s="1731"/>
      <c r="D33" s="1732"/>
      <c r="E33" s="1734"/>
      <c r="F33" s="1734"/>
      <c r="G33" s="1842"/>
      <c r="H33" s="1843"/>
      <c r="I33" s="1844"/>
      <c r="J33" s="1843"/>
      <c r="K33" s="1845"/>
      <c r="L33" s="1846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</row>
    <row r="34" spans="1:27" s="1199" customFormat="1" ht="30" customHeight="1">
      <c r="A34" s="1578"/>
      <c r="B34" s="2257" t="str">
        <f>"รวมราคา"&amp;B11</f>
        <v>รวมราคางานระบบปรับอากาศ และระบายอากาศ ชั้น ดาดฟ้า</v>
      </c>
      <c r="C34" s="2258"/>
      <c r="D34" s="2259"/>
      <c r="E34" s="1579"/>
      <c r="F34" s="1579"/>
      <c r="G34" s="1580"/>
      <c r="H34" s="1581">
        <f>SUM(H11:H33)</f>
        <v>19585932</v>
      </c>
      <c r="I34" s="1582"/>
      <c r="J34" s="1581">
        <f>SUM(J11:J33)</f>
        <v>2009431</v>
      </c>
      <c r="K34" s="1583">
        <f>SUM(K11:K33)</f>
        <v>21595363</v>
      </c>
      <c r="L34" s="1583"/>
      <c r="M34" s="2019"/>
      <c r="N34" s="2019"/>
      <c r="O34" s="2019"/>
      <c r="P34" s="2019"/>
      <c r="Q34" s="2019"/>
      <c r="R34" s="2019"/>
      <c r="S34" s="2019"/>
      <c r="T34" s="2019"/>
      <c r="U34" s="2019"/>
      <c r="V34" s="2019"/>
      <c r="W34" s="2019"/>
      <c r="X34" s="2019"/>
      <c r="Y34" s="2019"/>
      <c r="Z34" s="2019"/>
      <c r="AA34" s="2019"/>
    </row>
    <row r="35" spans="1:27" s="1765" customFormat="1" ht="24" customHeight="1">
      <c r="A35" s="1291">
        <v>7.1</v>
      </c>
      <c r="B35" s="1776" t="s">
        <v>2325</v>
      </c>
      <c r="C35" s="1293"/>
      <c r="D35" s="1777"/>
      <c r="E35" s="1686"/>
      <c r="F35" s="1402"/>
      <c r="G35" s="1661"/>
      <c r="H35" s="1762"/>
      <c r="I35" s="1763"/>
      <c r="J35" s="1762"/>
      <c r="K35" s="1763"/>
      <c r="L35" s="1882"/>
      <c r="M35" s="1710"/>
      <c r="N35" s="1710"/>
      <c r="O35" s="1710"/>
      <c r="P35" s="1710"/>
      <c r="Q35" s="1710"/>
      <c r="R35" s="1710"/>
      <c r="S35" s="1710"/>
      <c r="T35" s="1710"/>
      <c r="U35" s="1710"/>
      <c r="V35" s="1710"/>
      <c r="W35" s="1710"/>
      <c r="X35" s="1710"/>
      <c r="Y35" s="1710"/>
      <c r="Z35" s="1710"/>
      <c r="AA35" s="1710"/>
    </row>
    <row r="36" spans="1:27" s="1765" customFormat="1" ht="24" customHeight="1">
      <c r="A36" s="1258" t="s">
        <v>1984</v>
      </c>
      <c r="B36" s="1538" t="s">
        <v>2133</v>
      </c>
      <c r="C36" s="1275"/>
      <c r="D36" s="1767"/>
      <c r="E36" s="1771"/>
      <c r="F36" s="1385"/>
      <c r="G36" s="1778"/>
      <c r="H36" s="1594"/>
      <c r="I36" s="1595"/>
      <c r="J36" s="1594"/>
      <c r="K36" s="1595"/>
      <c r="L36" s="1596"/>
      <c r="M36" s="1710"/>
      <c r="N36" s="1710"/>
      <c r="O36" s="1710"/>
      <c r="P36" s="1710"/>
      <c r="Q36" s="1710"/>
      <c r="R36" s="1710"/>
      <c r="S36" s="1710"/>
      <c r="T36" s="1710"/>
      <c r="U36" s="1710"/>
      <c r="V36" s="1710"/>
      <c r="W36" s="1710"/>
      <c r="X36" s="1710"/>
      <c r="Y36" s="1710"/>
      <c r="Z36" s="1710"/>
      <c r="AA36" s="1710"/>
    </row>
    <row r="37" spans="1:27" s="1765" customFormat="1" ht="24" customHeight="1">
      <c r="A37" s="1189"/>
      <c r="B37" s="1538" t="s">
        <v>2326</v>
      </c>
      <c r="C37" s="1275"/>
      <c r="D37" s="1767"/>
      <c r="E37" s="1771">
        <v>1</v>
      </c>
      <c r="F37" s="1402" t="s">
        <v>363</v>
      </c>
      <c r="G37" s="1778">
        <v>2975000</v>
      </c>
      <c r="H37" s="1264">
        <f t="shared" ref="H37:H45" si="1">ROUND(E37*G37,)</f>
        <v>2975000</v>
      </c>
      <c r="I37" s="1595">
        <f>G37*0.01</f>
        <v>29750</v>
      </c>
      <c r="J37" s="1264">
        <f t="shared" ref="J37:J40" si="2">ROUND(E37*I37,)</f>
        <v>29750</v>
      </c>
      <c r="K37" s="1687">
        <f t="shared" ref="K37:K40" si="3">H37+J37</f>
        <v>3004750</v>
      </c>
      <c r="L37" s="1596"/>
      <c r="M37" s="1710"/>
      <c r="N37" s="1710"/>
      <c r="O37" s="1710"/>
      <c r="P37" s="1710"/>
      <c r="Q37" s="1710"/>
      <c r="R37" s="1710"/>
      <c r="S37" s="1710"/>
      <c r="T37" s="1710"/>
      <c r="U37" s="1710"/>
      <c r="V37" s="1710"/>
      <c r="W37" s="1710"/>
      <c r="X37" s="1710"/>
      <c r="Y37" s="1710"/>
      <c r="Z37" s="1710"/>
      <c r="AA37" s="1710"/>
    </row>
    <row r="38" spans="1:27" s="1765" customFormat="1" ht="24" customHeight="1">
      <c r="A38" s="1189"/>
      <c r="B38" s="1538" t="s">
        <v>2327</v>
      </c>
      <c r="C38" s="1275"/>
      <c r="D38" s="1767"/>
      <c r="E38" s="1771">
        <v>1</v>
      </c>
      <c r="F38" s="1402" t="s">
        <v>363</v>
      </c>
      <c r="G38" s="1778">
        <v>2975000</v>
      </c>
      <c r="H38" s="1264">
        <f t="shared" si="1"/>
        <v>2975000</v>
      </c>
      <c r="I38" s="1595">
        <f t="shared" ref="I38:I40" si="4">G38*0.01</f>
        <v>29750</v>
      </c>
      <c r="J38" s="1264">
        <f t="shared" si="2"/>
        <v>29750</v>
      </c>
      <c r="K38" s="1687">
        <f t="shared" si="3"/>
        <v>3004750</v>
      </c>
      <c r="L38" s="1596"/>
      <c r="M38" s="1710"/>
      <c r="N38" s="1710"/>
      <c r="O38" s="1710"/>
      <c r="P38" s="1710"/>
      <c r="Q38" s="1710"/>
      <c r="R38" s="1710"/>
      <c r="S38" s="1710"/>
      <c r="T38" s="1710"/>
      <c r="U38" s="1710"/>
      <c r="V38" s="1710"/>
      <c r="W38" s="1710"/>
      <c r="X38" s="1710"/>
      <c r="Y38" s="1710"/>
      <c r="Z38" s="1710"/>
      <c r="AA38" s="1710"/>
    </row>
    <row r="39" spans="1:27" s="1765" customFormat="1" ht="24" customHeight="1">
      <c r="A39" s="1189"/>
      <c r="B39" s="1538" t="s">
        <v>2328</v>
      </c>
      <c r="C39" s="1275"/>
      <c r="D39" s="1767"/>
      <c r="E39" s="1771">
        <v>1</v>
      </c>
      <c r="F39" s="1402" t="s">
        <v>363</v>
      </c>
      <c r="G39" s="1778">
        <v>2975000</v>
      </c>
      <c r="H39" s="1264">
        <f t="shared" si="1"/>
        <v>2975000</v>
      </c>
      <c r="I39" s="1595">
        <f t="shared" si="4"/>
        <v>29750</v>
      </c>
      <c r="J39" s="1264">
        <f t="shared" si="2"/>
        <v>29750</v>
      </c>
      <c r="K39" s="1687">
        <f t="shared" si="3"/>
        <v>3004750</v>
      </c>
      <c r="L39" s="1596"/>
      <c r="M39" s="1710"/>
      <c r="N39" s="1710"/>
      <c r="O39" s="1710"/>
      <c r="P39" s="1710"/>
      <c r="Q39" s="1710"/>
      <c r="R39" s="1710"/>
      <c r="S39" s="1710"/>
      <c r="T39" s="1710"/>
      <c r="U39" s="1710"/>
      <c r="V39" s="1710"/>
      <c r="W39" s="1710"/>
      <c r="X39" s="1710"/>
      <c r="Y39" s="1710"/>
      <c r="Z39" s="1710"/>
      <c r="AA39" s="1710"/>
    </row>
    <row r="40" spans="1:27" s="1765" customFormat="1" ht="24" customHeight="1">
      <c r="A40" s="1189"/>
      <c r="B40" s="1538" t="s">
        <v>2329</v>
      </c>
      <c r="C40" s="1275"/>
      <c r="D40" s="1767"/>
      <c r="E40" s="1771">
        <v>1</v>
      </c>
      <c r="F40" s="1402" t="s">
        <v>363</v>
      </c>
      <c r="G40" s="1778">
        <v>2975000</v>
      </c>
      <c r="H40" s="1264">
        <f t="shared" si="1"/>
        <v>2975000</v>
      </c>
      <c r="I40" s="1595">
        <f t="shared" si="4"/>
        <v>29750</v>
      </c>
      <c r="J40" s="1264">
        <f t="shared" si="2"/>
        <v>29750</v>
      </c>
      <c r="K40" s="1687">
        <f t="shared" si="3"/>
        <v>3004750</v>
      </c>
      <c r="L40" s="1596"/>
      <c r="M40" s="1710"/>
      <c r="N40" s="1710"/>
      <c r="O40" s="1710"/>
      <c r="P40" s="1710"/>
      <c r="Q40" s="1710"/>
      <c r="R40" s="1710"/>
      <c r="S40" s="1710"/>
      <c r="T40" s="1710"/>
      <c r="U40" s="1710"/>
      <c r="V40" s="1710"/>
      <c r="W40" s="1710"/>
      <c r="X40" s="1710"/>
      <c r="Y40" s="1710"/>
      <c r="Z40" s="1710"/>
      <c r="AA40" s="1710"/>
    </row>
    <row r="41" spans="1:27" s="1765" customFormat="1" ht="24" customHeight="1">
      <c r="A41" s="1189" t="s">
        <v>1986</v>
      </c>
      <c r="B41" s="1538" t="s">
        <v>2252</v>
      </c>
      <c r="C41" s="1275"/>
      <c r="D41" s="1767"/>
      <c r="E41" s="1771"/>
      <c r="F41" s="1385"/>
      <c r="G41" s="1778"/>
      <c r="H41" s="1264"/>
      <c r="I41" s="1595"/>
      <c r="J41" s="1264"/>
      <c r="K41" s="1265"/>
      <c r="L41" s="1596"/>
      <c r="M41" s="1710"/>
      <c r="N41" s="1710"/>
      <c r="O41" s="1710"/>
      <c r="P41" s="1710"/>
      <c r="Q41" s="1710"/>
      <c r="R41" s="1710"/>
      <c r="S41" s="1710"/>
      <c r="T41" s="1710"/>
      <c r="U41" s="1710"/>
      <c r="V41" s="1710"/>
      <c r="W41" s="1710"/>
      <c r="X41" s="1710"/>
      <c r="Y41" s="1710"/>
      <c r="Z41" s="1710"/>
      <c r="AA41" s="1710"/>
    </row>
    <row r="42" spans="1:27" s="1765" customFormat="1" ht="24" customHeight="1">
      <c r="A42" s="1189"/>
      <c r="B42" s="1538" t="s">
        <v>2253</v>
      </c>
      <c r="C42" s="1275"/>
      <c r="D42" s="1767"/>
      <c r="E42" s="1771">
        <f>SUM(E37:E40)</f>
        <v>4</v>
      </c>
      <c r="F42" s="1402" t="s">
        <v>363</v>
      </c>
      <c r="G42" s="1778">
        <v>2000</v>
      </c>
      <c r="H42" s="1264">
        <f t="shared" si="1"/>
        <v>8000</v>
      </c>
      <c r="I42" s="1595" t="s">
        <v>1683</v>
      </c>
      <c r="J42" s="1264"/>
      <c r="K42" s="1687"/>
      <c r="L42" s="1596"/>
      <c r="M42" s="1710"/>
      <c r="N42" s="1710"/>
      <c r="O42" s="1710"/>
      <c r="P42" s="1710"/>
      <c r="Q42" s="1710"/>
      <c r="R42" s="1710"/>
      <c r="S42" s="1710"/>
      <c r="T42" s="1710"/>
      <c r="U42" s="1710"/>
      <c r="V42" s="1710"/>
      <c r="W42" s="1710"/>
      <c r="X42" s="1710"/>
      <c r="Y42" s="1710"/>
      <c r="Z42" s="1710"/>
      <c r="AA42" s="1710"/>
    </row>
    <row r="43" spans="1:27" s="1765" customFormat="1" ht="24" customHeight="1">
      <c r="A43" s="1189"/>
      <c r="B43" s="1538" t="s">
        <v>2330</v>
      </c>
      <c r="C43" s="1275"/>
      <c r="D43" s="1767"/>
      <c r="E43" s="1771"/>
      <c r="F43" s="1402" t="s">
        <v>363</v>
      </c>
      <c r="G43" s="1778"/>
      <c r="H43" s="1264"/>
      <c r="I43" s="1595"/>
      <c r="J43" s="1264"/>
      <c r="K43" s="1265"/>
      <c r="L43" s="1596"/>
      <c r="M43" s="1710"/>
      <c r="N43" s="1710"/>
      <c r="O43" s="1710"/>
      <c r="P43" s="1710"/>
      <c r="Q43" s="1710"/>
      <c r="R43" s="1710"/>
      <c r="S43" s="1710"/>
      <c r="T43" s="1710"/>
      <c r="U43" s="1710"/>
      <c r="V43" s="1710"/>
      <c r="W43" s="1710"/>
      <c r="X43" s="1710"/>
      <c r="Y43" s="1710"/>
      <c r="Z43" s="1710"/>
      <c r="AA43" s="1710"/>
    </row>
    <row r="44" spans="1:27" s="1765" customFormat="1" ht="24" customHeight="1">
      <c r="A44" s="1189" t="s">
        <v>1988</v>
      </c>
      <c r="B44" s="1538" t="s">
        <v>2041</v>
      </c>
      <c r="C44" s="1275"/>
      <c r="D44" s="1767"/>
      <c r="E44" s="1771">
        <f>E42</f>
        <v>4</v>
      </c>
      <c r="F44" s="1402" t="s">
        <v>363</v>
      </c>
      <c r="G44" s="1778">
        <v>2000</v>
      </c>
      <c r="H44" s="1264">
        <f t="shared" si="1"/>
        <v>8000</v>
      </c>
      <c r="I44" s="1595">
        <v>800</v>
      </c>
      <c r="J44" s="1264">
        <f t="shared" ref="J44:J45" si="5">ROUND(E44*I44,)</f>
        <v>3200</v>
      </c>
      <c r="K44" s="1687">
        <f t="shared" ref="K44:K45" si="6">H44+J44</f>
        <v>11200</v>
      </c>
      <c r="L44" s="1596"/>
      <c r="M44" s="1710"/>
      <c r="N44" s="1710"/>
      <c r="O44" s="1710"/>
      <c r="P44" s="1710"/>
      <c r="Q44" s="1710"/>
      <c r="R44" s="1710"/>
      <c r="S44" s="1710"/>
      <c r="T44" s="1710"/>
      <c r="U44" s="1710"/>
      <c r="V44" s="1710"/>
      <c r="W44" s="1710"/>
      <c r="X44" s="1710"/>
      <c r="Y44" s="1710"/>
      <c r="Z44" s="1710"/>
      <c r="AA44" s="1710"/>
    </row>
    <row r="45" spans="1:27" s="1765" customFormat="1" ht="24" customHeight="1">
      <c r="A45" s="1189" t="s">
        <v>2198</v>
      </c>
      <c r="B45" s="1538" t="s">
        <v>2331</v>
      </c>
      <c r="C45" s="1275"/>
      <c r="D45" s="1767"/>
      <c r="E45" s="1771">
        <v>6</v>
      </c>
      <c r="F45" s="1402" t="s">
        <v>363</v>
      </c>
      <c r="G45" s="1778">
        <v>10000</v>
      </c>
      <c r="H45" s="1264">
        <f t="shared" si="1"/>
        <v>60000</v>
      </c>
      <c r="I45" s="1595">
        <f>G45*0.3</f>
        <v>3000</v>
      </c>
      <c r="J45" s="1264">
        <f t="shared" si="5"/>
        <v>18000</v>
      </c>
      <c r="K45" s="1687">
        <f t="shared" si="6"/>
        <v>78000</v>
      </c>
      <c r="L45" s="1596"/>
      <c r="M45" s="1710"/>
      <c r="N45" s="1710"/>
      <c r="O45" s="1710"/>
      <c r="P45" s="1710"/>
      <c r="Q45" s="1710"/>
      <c r="R45" s="1710"/>
      <c r="S45" s="1710"/>
      <c r="T45" s="1710"/>
      <c r="U45" s="1710"/>
      <c r="V45" s="1710"/>
      <c r="W45" s="1710"/>
      <c r="X45" s="1710"/>
      <c r="Y45" s="1710"/>
      <c r="Z45" s="1710"/>
      <c r="AA45" s="1710"/>
    </row>
    <row r="46" spans="1:27" s="1765" customFormat="1" ht="24" customHeight="1">
      <c r="A46" s="1189"/>
      <c r="B46" s="1538" t="s">
        <v>1117</v>
      </c>
      <c r="C46" s="1275"/>
      <c r="D46" s="1767"/>
      <c r="E46" s="1771"/>
      <c r="F46" s="1385"/>
      <c r="G46" s="1778"/>
      <c r="H46" s="1264"/>
      <c r="I46" s="1595"/>
      <c r="J46" s="1264"/>
      <c r="K46" s="1265"/>
      <c r="L46" s="1596"/>
      <c r="M46" s="1710"/>
      <c r="N46" s="1710"/>
      <c r="O46" s="1710"/>
      <c r="P46" s="1710"/>
      <c r="Q46" s="1710"/>
      <c r="R46" s="1710"/>
      <c r="S46" s="1710"/>
      <c r="T46" s="1710"/>
      <c r="U46" s="1710"/>
      <c r="V46" s="1710"/>
      <c r="W46" s="1710"/>
      <c r="X46" s="1710"/>
      <c r="Y46" s="1710"/>
      <c r="Z46" s="1710"/>
      <c r="AA46" s="1710"/>
    </row>
    <row r="47" spans="1:27" s="1765" customFormat="1" ht="24" customHeight="1">
      <c r="A47" s="1258"/>
      <c r="B47" s="1538" t="s">
        <v>1369</v>
      </c>
      <c r="C47" s="1275"/>
      <c r="D47" s="1767"/>
      <c r="E47" s="1771"/>
      <c r="F47" s="1385"/>
      <c r="G47" s="1778"/>
      <c r="H47" s="1264"/>
      <c r="I47" s="1595"/>
      <c r="J47" s="1264"/>
      <c r="K47" s="1265"/>
      <c r="L47" s="1596"/>
      <c r="M47" s="1710"/>
      <c r="N47" s="1710"/>
      <c r="O47" s="1710"/>
      <c r="P47" s="1710"/>
      <c r="Q47" s="1710"/>
      <c r="R47" s="1710"/>
      <c r="S47" s="1710"/>
      <c r="T47" s="1710"/>
      <c r="U47" s="1710"/>
      <c r="V47" s="1710"/>
      <c r="W47" s="1710"/>
      <c r="X47" s="1710"/>
      <c r="Y47" s="1710"/>
      <c r="Z47" s="1710"/>
      <c r="AA47" s="1710"/>
    </row>
    <row r="48" spans="1:27" s="1765" customFormat="1" ht="24" customHeight="1">
      <c r="A48" s="1258"/>
      <c r="B48" s="1538" t="s">
        <v>1369</v>
      </c>
      <c r="C48" s="1275"/>
      <c r="D48" s="1767"/>
      <c r="E48" s="1771"/>
      <c r="F48" s="1385"/>
      <c r="G48" s="1778"/>
      <c r="H48" s="1264"/>
      <c r="I48" s="1595"/>
      <c r="J48" s="1264"/>
      <c r="K48" s="1265"/>
      <c r="L48" s="1596"/>
      <c r="M48" s="1710"/>
      <c r="N48" s="1710"/>
      <c r="O48" s="1710"/>
      <c r="P48" s="1710"/>
      <c r="Q48" s="1710"/>
      <c r="R48" s="1710"/>
      <c r="S48" s="1710"/>
      <c r="T48" s="1710"/>
      <c r="U48" s="1710"/>
      <c r="V48" s="1710"/>
      <c r="W48" s="1710"/>
      <c r="X48" s="1710"/>
      <c r="Y48" s="1710"/>
      <c r="Z48" s="1710"/>
      <c r="AA48" s="1710"/>
    </row>
    <row r="49" spans="1:31" s="1199" customFormat="1" ht="24" customHeight="1">
      <c r="A49" s="1578"/>
      <c r="B49" s="2257" t="str">
        <f>"รวมราคารายการที่ "&amp;A35</f>
        <v>รวมราคารายการที่ 7.1</v>
      </c>
      <c r="C49" s="2258"/>
      <c r="D49" s="2259"/>
      <c r="E49" s="1579"/>
      <c r="F49" s="1579"/>
      <c r="G49" s="1580"/>
      <c r="H49" s="1581">
        <f>SUM(H36:H48)</f>
        <v>11976000</v>
      </c>
      <c r="I49" s="1582"/>
      <c r="J49" s="1581">
        <f>SUM(J36:J48)</f>
        <v>140200</v>
      </c>
      <c r="K49" s="1583">
        <f>SUM(K36:K48)</f>
        <v>12108200</v>
      </c>
      <c r="L49" s="1583"/>
      <c r="M49" s="2019"/>
      <c r="N49" s="2019"/>
      <c r="O49" s="2019"/>
      <c r="P49" s="2019"/>
      <c r="Q49" s="2019"/>
      <c r="R49" s="2019"/>
      <c r="S49" s="2019"/>
      <c r="T49" s="2019"/>
      <c r="U49" s="2019"/>
      <c r="V49" s="2019"/>
      <c r="W49" s="2019"/>
      <c r="X49" s="2019"/>
      <c r="Y49" s="2019"/>
      <c r="Z49" s="2019"/>
      <c r="AA49" s="2019"/>
    </row>
    <row r="50" spans="1:31" s="1765" customFormat="1" ht="24" customHeight="1">
      <c r="A50" s="1757" t="s">
        <v>1990</v>
      </c>
      <c r="B50" s="1758" t="s">
        <v>1983</v>
      </c>
      <c r="C50" s="1251"/>
      <c r="D50" s="1759"/>
      <c r="E50" s="1760"/>
      <c r="F50" s="1498"/>
      <c r="G50" s="1761"/>
      <c r="H50" s="1762"/>
      <c r="I50" s="1763"/>
      <c r="J50" s="1762"/>
      <c r="K50" s="1764"/>
      <c r="L50" s="1764"/>
      <c r="M50" s="1710"/>
      <c r="N50" s="1710"/>
      <c r="O50" s="1710"/>
      <c r="P50" s="1710"/>
      <c r="Q50" s="1710"/>
      <c r="R50" s="1710"/>
      <c r="S50" s="1710"/>
      <c r="T50" s="1710"/>
      <c r="U50" s="1710"/>
      <c r="V50" s="1710"/>
      <c r="W50" s="1710"/>
      <c r="X50" s="1710"/>
      <c r="Y50" s="1710"/>
      <c r="Z50" s="1710"/>
      <c r="AA50" s="1710"/>
    </row>
    <row r="51" spans="1:31" s="1765" customFormat="1" ht="24" customHeight="1">
      <c r="A51" s="1258" t="s">
        <v>1992</v>
      </c>
      <c r="B51" s="1538" t="s">
        <v>2138</v>
      </c>
      <c r="C51" s="1275"/>
      <c r="D51" s="1767"/>
      <c r="E51" s="1771"/>
      <c r="F51" s="1385"/>
      <c r="G51" s="1778"/>
      <c r="H51" s="1594"/>
      <c r="I51" s="1595"/>
      <c r="J51" s="1594"/>
      <c r="K51" s="1632"/>
      <c r="L51" s="1632"/>
      <c r="M51" s="1710"/>
      <c r="N51" s="1710"/>
      <c r="O51" s="1710"/>
      <c r="P51" s="1710"/>
      <c r="Q51" s="1710"/>
      <c r="R51" s="1710"/>
      <c r="S51" s="1710"/>
      <c r="T51" s="1710"/>
      <c r="U51" s="1710"/>
      <c r="V51" s="1710"/>
      <c r="W51" s="1710"/>
      <c r="X51" s="1710"/>
      <c r="Y51" s="1710"/>
      <c r="Z51" s="1710"/>
      <c r="AA51" s="1710"/>
    </row>
    <row r="52" spans="1:31" s="1765" customFormat="1" ht="24" customHeight="1">
      <c r="A52" s="1766" t="s">
        <v>2139</v>
      </c>
      <c r="B52" s="1538" t="s">
        <v>2140</v>
      </c>
      <c r="C52" s="1275"/>
      <c r="D52" s="1767"/>
      <c r="E52" s="1686"/>
      <c r="F52" s="1402"/>
      <c r="G52" s="1661"/>
      <c r="H52" s="1588"/>
      <c r="I52" s="1589"/>
      <c r="J52" s="1588"/>
      <c r="K52" s="1770"/>
      <c r="L52" s="1770"/>
      <c r="M52" s="1710"/>
      <c r="N52" s="1710"/>
      <c r="O52" s="1710"/>
      <c r="P52" s="1710"/>
      <c r="Q52" s="1710"/>
      <c r="R52" s="1710"/>
      <c r="S52" s="1710"/>
      <c r="T52" s="1710"/>
      <c r="U52" s="1710"/>
      <c r="V52" s="1710"/>
      <c r="W52" s="1710"/>
      <c r="X52" s="1710"/>
      <c r="Y52" s="1710"/>
      <c r="Z52" s="1710"/>
      <c r="AA52" s="1710"/>
    </row>
    <row r="53" spans="1:31" s="1765" customFormat="1" ht="24" customHeight="1">
      <c r="A53" s="1766"/>
      <c r="B53" s="1538" t="s">
        <v>1716</v>
      </c>
      <c r="C53" s="1275"/>
      <c r="D53" s="1767"/>
      <c r="E53" s="1813">
        <v>4</v>
      </c>
      <c r="F53" s="1389" t="s">
        <v>363</v>
      </c>
      <c r="G53" s="1814">
        <v>3300</v>
      </c>
      <c r="H53" s="1773">
        <f t="shared" ref="H53" si="7">ROUND(E53*G53,)</f>
        <v>13200</v>
      </c>
      <c r="I53" s="1815">
        <v>150</v>
      </c>
      <c r="J53" s="1773">
        <f t="shared" ref="J53" si="8">ROUND(E53*I53,)</f>
        <v>600</v>
      </c>
      <c r="K53" s="1774">
        <f t="shared" ref="K53" si="9">H53+J53</f>
        <v>13800</v>
      </c>
      <c r="L53" s="1770"/>
      <c r="M53" s="1710"/>
      <c r="N53" s="1710"/>
      <c r="O53" s="1710"/>
      <c r="P53" s="1710"/>
      <c r="Q53" s="1710"/>
      <c r="R53" s="1710"/>
      <c r="S53" s="1710"/>
      <c r="T53" s="1710"/>
      <c r="U53" s="1710"/>
      <c r="V53" s="1710"/>
      <c r="W53" s="1710"/>
      <c r="X53" s="1710"/>
      <c r="Y53" s="1710"/>
      <c r="Z53" s="1710"/>
      <c r="AA53" s="1710"/>
    </row>
    <row r="54" spans="1:31" s="1765" customFormat="1" ht="24" customHeight="1">
      <c r="A54" s="1584"/>
      <c r="B54" s="1538" t="s">
        <v>1117</v>
      </c>
      <c r="C54" s="1275"/>
      <c r="D54" s="1767"/>
      <c r="E54" s="1686"/>
      <c r="F54" s="1402"/>
      <c r="G54" s="1661"/>
      <c r="H54" s="1588"/>
      <c r="I54" s="1589"/>
      <c r="J54" s="1588"/>
      <c r="K54" s="1770"/>
      <c r="L54" s="1770"/>
      <c r="M54" s="1710"/>
      <c r="N54" s="1710"/>
      <c r="O54" s="1710"/>
      <c r="P54" s="1710"/>
      <c r="Q54" s="1710"/>
      <c r="R54" s="1710"/>
      <c r="S54" s="1710"/>
      <c r="T54" s="1710"/>
      <c r="U54" s="1710"/>
      <c r="V54" s="1710"/>
      <c r="W54" s="1710"/>
      <c r="X54" s="1710"/>
      <c r="Y54" s="1710"/>
      <c r="Z54" s="1710"/>
      <c r="AA54" s="1710"/>
    </row>
    <row r="55" spans="1:31" s="1765" customFormat="1" ht="24" customHeight="1">
      <c r="A55" s="1584"/>
      <c r="B55" s="1538" t="s">
        <v>1118</v>
      </c>
      <c r="C55" s="1275"/>
      <c r="D55" s="1767"/>
      <c r="E55" s="1686"/>
      <c r="F55" s="1402"/>
      <c r="G55" s="1661"/>
      <c r="H55" s="1588"/>
      <c r="I55" s="1589"/>
      <c r="J55" s="1588"/>
      <c r="K55" s="1770"/>
      <c r="L55" s="1770"/>
      <c r="M55" s="1710"/>
      <c r="N55" s="1710"/>
      <c r="O55" s="1710"/>
      <c r="P55" s="1710"/>
      <c r="Q55" s="1710"/>
      <c r="R55" s="1710"/>
      <c r="S55" s="1710"/>
      <c r="T55" s="1710"/>
      <c r="U55" s="1710"/>
      <c r="V55" s="1710"/>
      <c r="W55" s="1710"/>
      <c r="X55" s="1710"/>
      <c r="Y55" s="1710"/>
      <c r="Z55" s="1710"/>
      <c r="AA55" s="1710"/>
    </row>
    <row r="56" spans="1:31" s="1765" customFormat="1" ht="24" customHeight="1">
      <c r="A56" s="1584"/>
      <c r="B56" s="1538"/>
      <c r="C56" s="1275"/>
      <c r="D56" s="1767"/>
      <c r="E56" s="1686"/>
      <c r="F56" s="1402"/>
      <c r="G56" s="1661"/>
      <c r="H56" s="1588"/>
      <c r="I56" s="1589"/>
      <c r="J56" s="1588"/>
      <c r="K56" s="1770"/>
      <c r="L56" s="1770"/>
      <c r="M56" s="1710"/>
      <c r="N56" s="1710"/>
      <c r="O56" s="1710"/>
      <c r="P56" s="1710"/>
      <c r="Q56" s="1710"/>
      <c r="R56" s="1710"/>
      <c r="S56" s="1710"/>
      <c r="T56" s="1710"/>
      <c r="U56" s="1710"/>
      <c r="V56" s="1710"/>
      <c r="W56" s="1710"/>
      <c r="X56" s="1710"/>
      <c r="Y56" s="1710"/>
      <c r="Z56" s="1710"/>
      <c r="AA56" s="1710"/>
    </row>
    <row r="57" spans="1:31" s="1765" customFormat="1" ht="24" customHeight="1">
      <c r="A57" s="1584"/>
      <c r="B57" s="1538"/>
      <c r="C57" s="1275"/>
      <c r="D57" s="1767"/>
      <c r="E57" s="1686"/>
      <c r="F57" s="1402"/>
      <c r="G57" s="1661"/>
      <c r="H57" s="1588"/>
      <c r="I57" s="1589"/>
      <c r="J57" s="1588"/>
      <c r="K57" s="1770"/>
      <c r="L57" s="1770"/>
      <c r="M57" s="1710"/>
      <c r="N57" s="1710"/>
      <c r="O57" s="1710"/>
      <c r="P57" s="1710"/>
      <c r="Q57" s="1710"/>
      <c r="R57" s="1710"/>
      <c r="S57" s="1710"/>
      <c r="T57" s="1710"/>
      <c r="U57" s="1710"/>
      <c r="V57" s="1710"/>
      <c r="W57" s="1710"/>
      <c r="X57" s="1710"/>
      <c r="Y57" s="1710"/>
      <c r="Z57" s="1710"/>
      <c r="AA57" s="1710"/>
    </row>
    <row r="58" spans="1:31" s="1765" customFormat="1" ht="24" customHeight="1">
      <c r="A58" s="1584"/>
      <c r="B58" s="1538" t="s">
        <v>1118</v>
      </c>
      <c r="C58" s="1275"/>
      <c r="D58" s="1767"/>
      <c r="E58" s="1686"/>
      <c r="F58" s="1402"/>
      <c r="G58" s="1661"/>
      <c r="H58" s="1588"/>
      <c r="I58" s="1589"/>
      <c r="J58" s="1588"/>
      <c r="K58" s="1770"/>
      <c r="L58" s="1770"/>
      <c r="M58" s="1710"/>
      <c r="N58" s="1710"/>
      <c r="O58" s="1710"/>
      <c r="P58" s="1710"/>
      <c r="Q58" s="1710"/>
      <c r="R58" s="1710"/>
      <c r="S58" s="1710"/>
      <c r="T58" s="1710"/>
      <c r="U58" s="1710"/>
      <c r="V58" s="1710"/>
      <c r="W58" s="1710"/>
      <c r="X58" s="1710"/>
      <c r="Y58" s="1710"/>
      <c r="Z58" s="1710"/>
      <c r="AA58" s="1710"/>
    </row>
    <row r="59" spans="1:31" s="1199" customFormat="1" ht="24" customHeight="1">
      <c r="A59" s="1578"/>
      <c r="B59" s="2257" t="str">
        <f>"รวมราคารายการที่ "&amp;A50</f>
        <v>รวมราคารายการที่ 7.2</v>
      </c>
      <c r="C59" s="2258"/>
      <c r="D59" s="2259"/>
      <c r="E59" s="1579"/>
      <c r="F59" s="1579"/>
      <c r="G59" s="1580"/>
      <c r="H59" s="1581">
        <f>SUM(H50:H58)</f>
        <v>13200</v>
      </c>
      <c r="I59" s="1582"/>
      <c r="J59" s="1581">
        <f>SUM(J50:J58)</f>
        <v>600</v>
      </c>
      <c r="K59" s="1581">
        <f>SUM(K50:K58)</f>
        <v>13800</v>
      </c>
      <c r="L59" s="1583"/>
      <c r="M59" s="2019"/>
      <c r="N59" s="2019"/>
      <c r="O59" s="2019"/>
      <c r="P59" s="2019"/>
      <c r="Q59" s="2019"/>
      <c r="R59" s="2019"/>
      <c r="S59" s="2019"/>
      <c r="T59" s="2019"/>
      <c r="U59" s="2019"/>
      <c r="V59" s="2019"/>
      <c r="W59" s="2019"/>
      <c r="X59" s="2019"/>
      <c r="Y59" s="2019"/>
      <c r="Z59" s="2019"/>
      <c r="AA59" s="2019"/>
    </row>
    <row r="60" spans="1:31" s="1765" customFormat="1" ht="24" customHeight="1">
      <c r="A60" s="1757" t="s">
        <v>2306</v>
      </c>
      <c r="B60" s="1758" t="s">
        <v>1991</v>
      </c>
      <c r="C60" s="1250"/>
      <c r="D60" s="1759"/>
      <c r="E60" s="1760"/>
      <c r="F60" s="1498"/>
      <c r="G60" s="1761"/>
      <c r="H60" s="1762"/>
      <c r="I60" s="1763"/>
      <c r="J60" s="1762"/>
      <c r="K60" s="1764"/>
      <c r="L60" s="1764"/>
      <c r="M60" s="1710"/>
      <c r="N60" s="1710"/>
      <c r="O60" s="1710"/>
      <c r="P60" s="1710"/>
      <c r="Q60" s="1710"/>
      <c r="R60" s="1710"/>
      <c r="S60" s="1710"/>
      <c r="T60" s="1710"/>
      <c r="U60" s="1710"/>
      <c r="V60" s="1710"/>
      <c r="W60" s="1710"/>
      <c r="X60" s="1710"/>
      <c r="Y60" s="1710"/>
      <c r="Z60" s="1710"/>
      <c r="AA60" s="1710"/>
    </row>
    <row r="61" spans="1:31" s="1765" customFormat="1" ht="24" customHeight="1">
      <c r="A61" s="1779" t="s">
        <v>2043</v>
      </c>
      <c r="B61" s="1780" t="s">
        <v>2143</v>
      </c>
      <c r="C61" s="1260"/>
      <c r="D61" s="1781"/>
      <c r="E61" s="715"/>
      <c r="F61" s="1415"/>
      <c r="G61" s="1772"/>
      <c r="H61" s="1413"/>
      <c r="I61" s="1386"/>
      <c r="J61" s="1413"/>
      <c r="K61" s="1415"/>
      <c r="L61" s="1415"/>
      <c r="M61" s="2023"/>
      <c r="N61" s="2023"/>
      <c r="O61" s="2023"/>
      <c r="P61" s="2023"/>
      <c r="Q61" s="2023"/>
      <c r="R61" s="2023"/>
      <c r="S61" s="2023"/>
      <c r="T61" s="2023"/>
      <c r="U61" s="2023"/>
      <c r="V61" s="2023"/>
      <c r="W61" s="2023"/>
      <c r="X61" s="2023"/>
      <c r="Y61" s="2023"/>
      <c r="Z61" s="2023"/>
      <c r="AA61" s="2023"/>
      <c r="AC61" s="1854"/>
      <c r="AD61" s="1854"/>
      <c r="AE61" s="1854"/>
    </row>
    <row r="62" spans="1:31" s="1765" customFormat="1" ht="24" customHeight="1">
      <c r="A62" s="1779"/>
      <c r="B62" s="1780" t="s">
        <v>2332</v>
      </c>
      <c r="C62" s="1260"/>
      <c r="D62" s="1781"/>
      <c r="E62" s="715">
        <v>1</v>
      </c>
      <c r="F62" s="1415" t="s">
        <v>363</v>
      </c>
      <c r="G62" s="1772">
        <v>31200</v>
      </c>
      <c r="H62" s="1343">
        <f t="shared" ref="H62:H75" si="10">ROUND(E62*G62,)</f>
        <v>31200</v>
      </c>
      <c r="I62" s="1386">
        <v>1560</v>
      </c>
      <c r="J62" s="1343">
        <f t="shared" ref="J62:J75" si="11">ROUND(E62*I62,)</f>
        <v>1560</v>
      </c>
      <c r="K62" s="1801">
        <f t="shared" ref="K62:K75" si="12">H62+J62</f>
        <v>32760</v>
      </c>
      <c r="L62" s="1415"/>
      <c r="M62" s="2023"/>
      <c r="N62" s="2023"/>
      <c r="O62" s="2023"/>
      <c r="P62" s="2023"/>
      <c r="Q62" s="2023"/>
      <c r="R62" s="2023"/>
      <c r="S62" s="2023"/>
      <c r="T62" s="2023"/>
      <c r="U62" s="2023"/>
      <c r="V62" s="2023"/>
      <c r="W62" s="2023"/>
      <c r="X62" s="2023"/>
      <c r="Y62" s="2023"/>
      <c r="Z62" s="2023"/>
      <c r="AA62" s="2023"/>
      <c r="AC62" s="1854"/>
      <c r="AD62" s="1854"/>
      <c r="AE62" s="1854"/>
    </row>
    <row r="63" spans="1:31" s="1765" customFormat="1" ht="24" customHeight="1">
      <c r="A63" s="1779"/>
      <c r="B63" s="1780" t="s">
        <v>2333</v>
      </c>
      <c r="C63" s="1260"/>
      <c r="D63" s="1781"/>
      <c r="E63" s="715">
        <v>1</v>
      </c>
      <c r="F63" s="1415" t="s">
        <v>363</v>
      </c>
      <c r="G63" s="1772">
        <v>32400</v>
      </c>
      <c r="H63" s="1343">
        <f t="shared" si="10"/>
        <v>32400</v>
      </c>
      <c r="I63" s="1386">
        <v>1620</v>
      </c>
      <c r="J63" s="1343">
        <f t="shared" si="11"/>
        <v>1620</v>
      </c>
      <c r="K63" s="1801">
        <f t="shared" si="12"/>
        <v>34020</v>
      </c>
      <c r="L63" s="1415"/>
      <c r="M63" s="2023"/>
      <c r="N63" s="2023"/>
      <c r="O63" s="2023"/>
      <c r="P63" s="2023"/>
      <c r="Q63" s="2023"/>
      <c r="R63" s="2023"/>
      <c r="S63" s="2023"/>
      <c r="T63" s="2023"/>
      <c r="U63" s="2023"/>
      <c r="V63" s="2023"/>
      <c r="W63" s="2023"/>
      <c r="X63" s="2023"/>
      <c r="Y63" s="2023"/>
      <c r="Z63" s="2023"/>
      <c r="AA63" s="2023"/>
      <c r="AC63" s="1854"/>
      <c r="AD63" s="1854"/>
      <c r="AE63" s="1854"/>
    </row>
    <row r="64" spans="1:31" s="1765" customFormat="1" ht="24" customHeight="1">
      <c r="A64" s="1804"/>
      <c r="B64" s="1780" t="s">
        <v>2334</v>
      </c>
      <c r="C64" s="1260"/>
      <c r="D64" s="1781"/>
      <c r="E64" s="715">
        <v>1</v>
      </c>
      <c r="F64" s="1415" t="s">
        <v>363</v>
      </c>
      <c r="G64" s="1772">
        <v>20000</v>
      </c>
      <c r="H64" s="1343">
        <f t="shared" si="10"/>
        <v>20000</v>
      </c>
      <c r="I64" s="1386">
        <v>1000</v>
      </c>
      <c r="J64" s="1343">
        <f t="shared" si="11"/>
        <v>1000</v>
      </c>
      <c r="K64" s="1801">
        <f t="shared" si="12"/>
        <v>21000</v>
      </c>
      <c r="L64" s="1415"/>
      <c r="M64" s="2023"/>
      <c r="N64" s="2023"/>
      <c r="O64" s="2023"/>
      <c r="P64" s="2023"/>
      <c r="Q64" s="2023"/>
      <c r="R64" s="2023"/>
      <c r="S64" s="2023"/>
      <c r="T64" s="2023"/>
      <c r="U64" s="2023"/>
      <c r="V64" s="2023"/>
      <c r="W64" s="2023"/>
      <c r="X64" s="2023"/>
      <c r="Y64" s="2023"/>
      <c r="Z64" s="2023"/>
      <c r="AA64" s="2023"/>
      <c r="AC64" s="1854"/>
      <c r="AD64" s="1854"/>
      <c r="AE64" s="1854"/>
    </row>
    <row r="65" spans="1:31" s="1765" customFormat="1" ht="24" customHeight="1">
      <c r="A65" s="1804"/>
      <c r="B65" s="1780" t="s">
        <v>2335</v>
      </c>
      <c r="C65" s="1260"/>
      <c r="D65" s="1781"/>
      <c r="E65" s="715">
        <v>1</v>
      </c>
      <c r="F65" s="1415" t="s">
        <v>363</v>
      </c>
      <c r="G65" s="1772">
        <v>32400</v>
      </c>
      <c r="H65" s="1343">
        <f t="shared" si="10"/>
        <v>32400</v>
      </c>
      <c r="I65" s="1386">
        <v>1620</v>
      </c>
      <c r="J65" s="1343">
        <f t="shared" si="11"/>
        <v>1620</v>
      </c>
      <c r="K65" s="1801">
        <f t="shared" si="12"/>
        <v>34020</v>
      </c>
      <c r="L65" s="1415"/>
      <c r="M65" s="2023"/>
      <c r="N65" s="2023"/>
      <c r="O65" s="2023"/>
      <c r="P65" s="2023"/>
      <c r="Q65" s="2023"/>
      <c r="R65" s="2023"/>
      <c r="S65" s="2023"/>
      <c r="T65" s="2023"/>
      <c r="U65" s="2023"/>
      <c r="V65" s="2023"/>
      <c r="W65" s="2023"/>
      <c r="X65" s="2023"/>
      <c r="Y65" s="2023"/>
      <c r="Z65" s="2023"/>
      <c r="AA65" s="2023"/>
      <c r="AC65" s="1854"/>
      <c r="AD65" s="1854"/>
      <c r="AE65" s="1854"/>
    </row>
    <row r="66" spans="1:31" s="1765" customFormat="1" ht="24" customHeight="1">
      <c r="A66" s="1779"/>
      <c r="B66" s="1780" t="s">
        <v>2336</v>
      </c>
      <c r="C66" s="1260"/>
      <c r="D66" s="1781"/>
      <c r="E66" s="715">
        <v>1</v>
      </c>
      <c r="F66" s="1415" t="s">
        <v>363</v>
      </c>
      <c r="G66" s="1772">
        <v>32400</v>
      </c>
      <c r="H66" s="1343">
        <f t="shared" si="10"/>
        <v>32400</v>
      </c>
      <c r="I66" s="1386">
        <v>1620</v>
      </c>
      <c r="J66" s="1343">
        <f t="shared" si="11"/>
        <v>1620</v>
      </c>
      <c r="K66" s="1801">
        <f t="shared" si="12"/>
        <v>34020</v>
      </c>
      <c r="L66" s="1415"/>
      <c r="M66" s="2023"/>
      <c r="N66" s="2023"/>
      <c r="O66" s="2023"/>
      <c r="P66" s="2023"/>
      <c r="Q66" s="2023"/>
      <c r="R66" s="2023"/>
      <c r="S66" s="2023"/>
      <c r="T66" s="2023"/>
      <c r="U66" s="2023"/>
      <c r="V66" s="2023"/>
      <c r="W66" s="2023"/>
      <c r="X66" s="2023"/>
      <c r="Y66" s="2023"/>
      <c r="Z66" s="2023"/>
      <c r="AA66" s="2023"/>
      <c r="AC66" s="1854"/>
      <c r="AD66" s="1854"/>
      <c r="AE66" s="1854"/>
    </row>
    <row r="67" spans="1:31" s="1765" customFormat="1" ht="24" customHeight="1">
      <c r="A67" s="1779"/>
      <c r="B67" s="1780" t="s">
        <v>2337</v>
      </c>
      <c r="C67" s="1260"/>
      <c r="D67" s="1781"/>
      <c r="E67" s="715">
        <v>1</v>
      </c>
      <c r="F67" s="1415" t="s">
        <v>363</v>
      </c>
      <c r="G67" s="1772">
        <v>86400</v>
      </c>
      <c r="H67" s="1343">
        <f t="shared" si="10"/>
        <v>86400</v>
      </c>
      <c r="I67" s="1386">
        <v>4320</v>
      </c>
      <c r="J67" s="1343">
        <f t="shared" si="11"/>
        <v>4320</v>
      </c>
      <c r="K67" s="1801">
        <f t="shared" si="12"/>
        <v>90720</v>
      </c>
      <c r="L67" s="1415"/>
      <c r="M67" s="2023"/>
      <c r="N67" s="2023"/>
      <c r="O67" s="2023"/>
      <c r="P67" s="2023"/>
      <c r="Q67" s="2023"/>
      <c r="R67" s="2023"/>
      <c r="S67" s="2023"/>
      <c r="T67" s="2023"/>
      <c r="U67" s="2023"/>
      <c r="V67" s="2023"/>
      <c r="W67" s="2023"/>
      <c r="X67" s="2023"/>
      <c r="Y67" s="2023"/>
      <c r="Z67" s="2023"/>
      <c r="AA67" s="2023"/>
      <c r="AC67" s="1854"/>
      <c r="AD67" s="1854"/>
      <c r="AE67" s="1854"/>
    </row>
    <row r="68" spans="1:31" s="1765" customFormat="1" ht="24" customHeight="1">
      <c r="A68" s="1779"/>
      <c r="B68" s="1780" t="s">
        <v>2338</v>
      </c>
      <c r="C68" s="1260"/>
      <c r="D68" s="1781"/>
      <c r="E68" s="715">
        <v>1</v>
      </c>
      <c r="F68" s="1415" t="s">
        <v>363</v>
      </c>
      <c r="G68" s="1772">
        <v>86400</v>
      </c>
      <c r="H68" s="1343">
        <f t="shared" si="10"/>
        <v>86400</v>
      </c>
      <c r="I68" s="1386">
        <v>4320</v>
      </c>
      <c r="J68" s="1343">
        <f t="shared" si="11"/>
        <v>4320</v>
      </c>
      <c r="K68" s="1801">
        <f t="shared" si="12"/>
        <v>90720</v>
      </c>
      <c r="L68" s="1415"/>
      <c r="M68" s="2023"/>
      <c r="N68" s="2023"/>
      <c r="O68" s="2023"/>
      <c r="P68" s="2023"/>
      <c r="Q68" s="2023"/>
      <c r="R68" s="2023"/>
      <c r="S68" s="2023"/>
      <c r="T68" s="2023"/>
      <c r="U68" s="2023"/>
      <c r="V68" s="2023"/>
      <c r="W68" s="2023"/>
      <c r="X68" s="2023"/>
      <c r="Y68" s="2023"/>
      <c r="Z68" s="2023"/>
      <c r="AA68" s="2023"/>
      <c r="AC68" s="1854"/>
      <c r="AD68" s="1854"/>
      <c r="AE68" s="1854"/>
    </row>
    <row r="69" spans="1:31" s="1765" customFormat="1" ht="24" customHeight="1">
      <c r="A69" s="1779"/>
      <c r="B69" s="1780" t="s">
        <v>2339</v>
      </c>
      <c r="C69" s="1260"/>
      <c r="D69" s="1781"/>
      <c r="E69" s="715">
        <v>1</v>
      </c>
      <c r="F69" s="1415" t="s">
        <v>363</v>
      </c>
      <c r="G69" s="1772">
        <v>20000</v>
      </c>
      <c r="H69" s="1343">
        <f t="shared" si="10"/>
        <v>20000</v>
      </c>
      <c r="I69" s="1386">
        <v>1000</v>
      </c>
      <c r="J69" s="1343">
        <f t="shared" si="11"/>
        <v>1000</v>
      </c>
      <c r="K69" s="1801">
        <f t="shared" si="12"/>
        <v>21000</v>
      </c>
      <c r="L69" s="1415"/>
      <c r="M69" s="2023"/>
      <c r="N69" s="2023"/>
      <c r="O69" s="2023"/>
      <c r="P69" s="2023"/>
      <c r="Q69" s="2023"/>
      <c r="R69" s="2023"/>
      <c r="S69" s="2023"/>
      <c r="T69" s="2023"/>
      <c r="U69" s="2023"/>
      <c r="V69" s="2023"/>
      <c r="W69" s="2023"/>
      <c r="X69" s="2023"/>
      <c r="Y69" s="2023"/>
      <c r="Z69" s="2023"/>
      <c r="AA69" s="2023"/>
      <c r="AC69" s="1854"/>
      <c r="AD69" s="1854"/>
      <c r="AE69" s="1854"/>
    </row>
    <row r="70" spans="1:31" s="1765" customFormat="1" ht="24" customHeight="1">
      <c r="A70" s="1779"/>
      <c r="B70" s="1780" t="s">
        <v>2340</v>
      </c>
      <c r="C70" s="1260"/>
      <c r="D70" s="1781"/>
      <c r="E70" s="715">
        <v>1</v>
      </c>
      <c r="F70" s="1415" t="s">
        <v>363</v>
      </c>
      <c r="G70" s="1772">
        <v>32400</v>
      </c>
      <c r="H70" s="1343">
        <f t="shared" si="10"/>
        <v>32400</v>
      </c>
      <c r="I70" s="1386">
        <v>1620</v>
      </c>
      <c r="J70" s="1343">
        <f t="shared" si="11"/>
        <v>1620</v>
      </c>
      <c r="K70" s="1801">
        <f t="shared" si="12"/>
        <v>34020</v>
      </c>
      <c r="L70" s="1415"/>
      <c r="M70" s="2023"/>
      <c r="N70" s="2023"/>
      <c r="O70" s="2023"/>
      <c r="P70" s="2023"/>
      <c r="Q70" s="2023"/>
      <c r="R70" s="2023"/>
      <c r="S70" s="2023"/>
      <c r="T70" s="2023"/>
      <c r="U70" s="2023"/>
      <c r="V70" s="2023"/>
      <c r="W70" s="2023"/>
      <c r="X70" s="2023"/>
      <c r="Y70" s="2023"/>
      <c r="Z70" s="2023"/>
      <c r="AA70" s="2023"/>
      <c r="AC70" s="1854"/>
      <c r="AD70" s="1854"/>
      <c r="AE70" s="1854"/>
    </row>
    <row r="71" spans="1:31" s="1765" customFormat="1" ht="24" customHeight="1">
      <c r="A71" s="1804"/>
      <c r="B71" s="1780" t="s">
        <v>2341</v>
      </c>
      <c r="C71" s="1260"/>
      <c r="D71" s="1781"/>
      <c r="E71" s="715">
        <v>1</v>
      </c>
      <c r="F71" s="1415" t="s">
        <v>363</v>
      </c>
      <c r="G71" s="1772">
        <v>20000</v>
      </c>
      <c r="H71" s="1343">
        <f t="shared" si="10"/>
        <v>20000</v>
      </c>
      <c r="I71" s="1386">
        <v>1000</v>
      </c>
      <c r="J71" s="1343">
        <f t="shared" si="11"/>
        <v>1000</v>
      </c>
      <c r="K71" s="1801">
        <f t="shared" si="12"/>
        <v>21000</v>
      </c>
      <c r="L71" s="1415"/>
      <c r="M71" s="2023"/>
      <c r="N71" s="2023"/>
      <c r="O71" s="2023"/>
      <c r="P71" s="2023"/>
      <c r="Q71" s="2023"/>
      <c r="R71" s="2023"/>
      <c r="S71" s="2023"/>
      <c r="T71" s="2023"/>
      <c r="U71" s="2023"/>
      <c r="V71" s="2023"/>
      <c r="W71" s="2023"/>
      <c r="X71" s="2023"/>
      <c r="Y71" s="2023"/>
      <c r="Z71" s="2023"/>
      <c r="AA71" s="2023"/>
      <c r="AC71" s="1854"/>
      <c r="AD71" s="1854"/>
      <c r="AE71" s="1854"/>
    </row>
    <row r="72" spans="1:31" s="1765" customFormat="1" ht="24" customHeight="1">
      <c r="A72" s="1804"/>
      <c r="B72" s="1780" t="s">
        <v>2342</v>
      </c>
      <c r="C72" s="1260"/>
      <c r="D72" s="1781"/>
      <c r="E72" s="715">
        <v>1</v>
      </c>
      <c r="F72" s="1415" t="s">
        <v>363</v>
      </c>
      <c r="G72" s="1772">
        <v>31200</v>
      </c>
      <c r="H72" s="1343">
        <f t="shared" si="10"/>
        <v>31200</v>
      </c>
      <c r="I72" s="1386">
        <v>1560</v>
      </c>
      <c r="J72" s="1343">
        <f t="shared" si="11"/>
        <v>1560</v>
      </c>
      <c r="K72" s="1801">
        <f t="shared" si="12"/>
        <v>32760</v>
      </c>
      <c r="L72" s="1415"/>
      <c r="M72" s="2023"/>
      <c r="N72" s="2023"/>
      <c r="O72" s="2023"/>
      <c r="P72" s="2023"/>
      <c r="Q72" s="2023"/>
      <c r="R72" s="2023"/>
      <c r="S72" s="2023"/>
      <c r="T72" s="2023"/>
      <c r="U72" s="2023"/>
      <c r="V72" s="2023"/>
      <c r="W72" s="2023"/>
      <c r="X72" s="2023"/>
      <c r="Y72" s="2023"/>
      <c r="Z72" s="2023"/>
      <c r="AA72" s="2023"/>
      <c r="AC72" s="1854"/>
      <c r="AD72" s="1854"/>
      <c r="AE72" s="1854"/>
    </row>
    <row r="73" spans="1:31" s="1765" customFormat="1" ht="24" customHeight="1">
      <c r="A73" s="1779"/>
      <c r="B73" s="1780" t="s">
        <v>2343</v>
      </c>
      <c r="C73" s="1260"/>
      <c r="D73" s="1781"/>
      <c r="E73" s="715">
        <v>1</v>
      </c>
      <c r="F73" s="1415" t="s">
        <v>363</v>
      </c>
      <c r="G73" s="1772">
        <v>32400</v>
      </c>
      <c r="H73" s="1343">
        <f t="shared" si="10"/>
        <v>32400</v>
      </c>
      <c r="I73" s="1386">
        <v>1620</v>
      </c>
      <c r="J73" s="1343">
        <f t="shared" si="11"/>
        <v>1620</v>
      </c>
      <c r="K73" s="1801">
        <f t="shared" si="12"/>
        <v>34020</v>
      </c>
      <c r="L73" s="1415"/>
      <c r="M73" s="2023"/>
      <c r="N73" s="2023"/>
      <c r="O73" s="2023"/>
      <c r="P73" s="2023"/>
      <c r="Q73" s="2023"/>
      <c r="R73" s="2023"/>
      <c r="S73" s="2023"/>
      <c r="T73" s="2023"/>
      <c r="U73" s="2023"/>
      <c r="V73" s="2023"/>
      <c r="W73" s="2023"/>
      <c r="X73" s="2023"/>
      <c r="Y73" s="2023"/>
      <c r="Z73" s="2023"/>
      <c r="AA73" s="2023"/>
      <c r="AC73" s="1854"/>
      <c r="AD73" s="1854"/>
      <c r="AE73" s="1854"/>
    </row>
    <row r="74" spans="1:31" s="1765" customFormat="1" ht="24" customHeight="1">
      <c r="A74" s="1779"/>
      <c r="B74" s="1780" t="s">
        <v>2344</v>
      </c>
      <c r="C74" s="1260"/>
      <c r="D74" s="1781"/>
      <c r="E74" s="715">
        <v>1</v>
      </c>
      <c r="F74" s="1415" t="s">
        <v>363</v>
      </c>
      <c r="G74" s="1772">
        <v>32400</v>
      </c>
      <c r="H74" s="1343">
        <f t="shared" si="10"/>
        <v>32400</v>
      </c>
      <c r="I74" s="1386">
        <v>1620</v>
      </c>
      <c r="J74" s="1343">
        <f t="shared" si="11"/>
        <v>1620</v>
      </c>
      <c r="K74" s="1801">
        <f t="shared" si="12"/>
        <v>34020</v>
      </c>
      <c r="L74" s="1415"/>
      <c r="M74" s="2023"/>
      <c r="N74" s="2023"/>
      <c r="O74" s="2023"/>
      <c r="P74" s="2023"/>
      <c r="Q74" s="2023"/>
      <c r="R74" s="2023"/>
      <c r="S74" s="2023"/>
      <c r="T74" s="2023"/>
      <c r="U74" s="2023"/>
      <c r="V74" s="2023"/>
      <c r="W74" s="2023"/>
      <c r="X74" s="2023"/>
      <c r="Y74" s="2023"/>
      <c r="Z74" s="2023"/>
      <c r="AA74" s="2023"/>
      <c r="AC74" s="1854"/>
      <c r="AD74" s="1854"/>
      <c r="AE74" s="1854"/>
    </row>
    <row r="75" spans="1:31" s="1765" customFormat="1" ht="24" customHeight="1">
      <c r="A75" s="1779"/>
      <c r="B75" s="1780" t="s">
        <v>2345</v>
      </c>
      <c r="C75" s="1260"/>
      <c r="D75" s="1781"/>
      <c r="E75" s="715">
        <v>1</v>
      </c>
      <c r="F75" s="1415" t="s">
        <v>363</v>
      </c>
      <c r="G75" s="1772">
        <v>86400</v>
      </c>
      <c r="H75" s="1343">
        <f t="shared" si="10"/>
        <v>86400</v>
      </c>
      <c r="I75" s="1386">
        <v>4320</v>
      </c>
      <c r="J75" s="1343">
        <f t="shared" si="11"/>
        <v>4320</v>
      </c>
      <c r="K75" s="1801">
        <f t="shared" si="12"/>
        <v>90720</v>
      </c>
      <c r="L75" s="1415"/>
      <c r="M75" s="2023"/>
      <c r="N75" s="2023"/>
      <c r="O75" s="2023"/>
      <c r="P75" s="2023"/>
      <c r="Q75" s="2023"/>
      <c r="R75" s="2023"/>
      <c r="S75" s="2023"/>
      <c r="T75" s="2023"/>
      <c r="U75" s="2023"/>
      <c r="V75" s="2023"/>
      <c r="W75" s="2023"/>
      <c r="X75" s="2023"/>
      <c r="Y75" s="2023"/>
      <c r="Z75" s="2023"/>
      <c r="AA75" s="2023"/>
      <c r="AC75" s="1854"/>
      <c r="AD75" s="1854"/>
      <c r="AE75" s="1854"/>
    </row>
    <row r="76" spans="1:31" s="1765" customFormat="1" ht="24" customHeight="1">
      <c r="A76" s="1779" t="s">
        <v>2047</v>
      </c>
      <c r="B76" s="1780" t="s">
        <v>2346</v>
      </c>
      <c r="C76" s="1260"/>
      <c r="D76" s="1781"/>
      <c r="E76" s="715"/>
      <c r="F76" s="1415"/>
      <c r="G76" s="1772"/>
      <c r="H76" s="1413"/>
      <c r="I76" s="1386"/>
      <c r="J76" s="1413"/>
      <c r="K76" s="1415"/>
      <c r="L76" s="1415"/>
      <c r="M76" s="2023"/>
      <c r="N76" s="2023"/>
      <c r="O76" s="2023"/>
      <c r="P76" s="2023"/>
      <c r="Q76" s="2023"/>
      <c r="R76" s="2023"/>
      <c r="S76" s="2023"/>
      <c r="T76" s="2023"/>
      <c r="U76" s="2023"/>
      <c r="V76" s="2023"/>
      <c r="W76" s="2023"/>
      <c r="X76" s="2023"/>
      <c r="Y76" s="2023"/>
      <c r="Z76" s="2023"/>
      <c r="AA76" s="2023"/>
      <c r="AC76" s="1854"/>
      <c r="AD76" s="1854"/>
      <c r="AE76" s="1854"/>
    </row>
    <row r="77" spans="1:31" s="1765" customFormat="1" ht="24" customHeight="1">
      <c r="A77" s="1779"/>
      <c r="B77" s="1780" t="s">
        <v>2347</v>
      </c>
      <c r="C77" s="1260"/>
      <c r="D77" s="1781"/>
      <c r="E77" s="715">
        <v>1</v>
      </c>
      <c r="F77" s="1415" t="s">
        <v>363</v>
      </c>
      <c r="G77" s="1772">
        <v>231100</v>
      </c>
      <c r="H77" s="1343">
        <f t="shared" ref="H77:H83" si="13">ROUND(E77*G77,)</f>
        <v>231100</v>
      </c>
      <c r="I77" s="1386">
        <v>11555</v>
      </c>
      <c r="J77" s="1343">
        <f t="shared" ref="J77:J83" si="14">ROUND(E77*I77,)</f>
        <v>11555</v>
      </c>
      <c r="K77" s="1801">
        <f t="shared" ref="K77:K83" si="15">H77+J77</f>
        <v>242655</v>
      </c>
      <c r="L77" s="1415"/>
      <c r="M77" s="2023"/>
      <c r="N77" s="2023"/>
      <c r="O77" s="2023"/>
      <c r="P77" s="2023"/>
      <c r="Q77" s="2023"/>
      <c r="R77" s="2023"/>
      <c r="S77" s="2023"/>
      <c r="T77" s="2023"/>
      <c r="U77" s="2023"/>
      <c r="V77" s="2023"/>
      <c r="W77" s="2023"/>
      <c r="X77" s="2023"/>
      <c r="Y77" s="2023"/>
      <c r="Z77" s="2023"/>
      <c r="AA77" s="2023"/>
      <c r="AC77" s="1854"/>
      <c r="AD77" s="1854"/>
      <c r="AE77" s="1854"/>
    </row>
    <row r="78" spans="1:31" s="1765" customFormat="1" ht="24" customHeight="1">
      <c r="A78" s="1779"/>
      <c r="B78" s="1780" t="s">
        <v>2348</v>
      </c>
      <c r="C78" s="1260"/>
      <c r="D78" s="1781"/>
      <c r="E78" s="715">
        <v>1</v>
      </c>
      <c r="F78" s="1415" t="s">
        <v>363</v>
      </c>
      <c r="G78" s="1772">
        <v>231100</v>
      </c>
      <c r="H78" s="1343">
        <f t="shared" si="13"/>
        <v>231100</v>
      </c>
      <c r="I78" s="1386">
        <v>11555</v>
      </c>
      <c r="J78" s="1343">
        <f t="shared" si="14"/>
        <v>11555</v>
      </c>
      <c r="K78" s="1801">
        <f t="shared" si="15"/>
        <v>242655</v>
      </c>
      <c r="L78" s="1415"/>
      <c r="M78" s="2023"/>
      <c r="N78" s="2023"/>
      <c r="O78" s="2023"/>
      <c r="P78" s="2023"/>
      <c r="Q78" s="2023"/>
      <c r="R78" s="2023"/>
      <c r="S78" s="2023"/>
      <c r="T78" s="2023"/>
      <c r="U78" s="2023"/>
      <c r="V78" s="2023"/>
      <c r="W78" s="2023"/>
      <c r="X78" s="2023"/>
      <c r="Y78" s="2023"/>
      <c r="Z78" s="2023"/>
      <c r="AA78" s="2023"/>
      <c r="AC78" s="1854"/>
      <c r="AD78" s="1854"/>
      <c r="AE78" s="1854"/>
    </row>
    <row r="79" spans="1:31" s="1765" customFormat="1" ht="24" customHeight="1">
      <c r="A79" s="1779"/>
      <c r="B79" s="1780" t="s">
        <v>2349</v>
      </c>
      <c r="C79" s="1260"/>
      <c r="D79" s="1781"/>
      <c r="E79" s="715">
        <v>1</v>
      </c>
      <c r="F79" s="1415" t="s">
        <v>363</v>
      </c>
      <c r="G79" s="1772">
        <v>366400</v>
      </c>
      <c r="H79" s="1343">
        <f t="shared" si="13"/>
        <v>366400</v>
      </c>
      <c r="I79" s="1386">
        <v>18320</v>
      </c>
      <c r="J79" s="1343">
        <f t="shared" si="14"/>
        <v>18320</v>
      </c>
      <c r="K79" s="1801">
        <f t="shared" si="15"/>
        <v>384720</v>
      </c>
      <c r="L79" s="1415"/>
      <c r="M79" s="2023"/>
      <c r="N79" s="2023"/>
      <c r="O79" s="2023"/>
      <c r="P79" s="2023"/>
      <c r="Q79" s="2023"/>
      <c r="R79" s="2023"/>
      <c r="S79" s="2023"/>
      <c r="T79" s="2023"/>
      <c r="U79" s="2023"/>
      <c r="V79" s="2023"/>
      <c r="W79" s="2023"/>
      <c r="X79" s="2023"/>
      <c r="Y79" s="2023"/>
      <c r="Z79" s="2023"/>
      <c r="AA79" s="2023"/>
      <c r="AC79" s="1854"/>
      <c r="AD79" s="1854"/>
      <c r="AE79" s="1854"/>
    </row>
    <row r="80" spans="1:31" s="1765" customFormat="1" ht="24" customHeight="1">
      <c r="A80" s="1779"/>
      <c r="B80" s="1780"/>
      <c r="C80" s="1260"/>
      <c r="D80" s="1781"/>
      <c r="E80" s="715"/>
      <c r="F80" s="1415"/>
      <c r="G80" s="1772"/>
      <c r="H80" s="1343">
        <f t="shared" si="13"/>
        <v>0</v>
      </c>
      <c r="I80" s="1386">
        <v>0</v>
      </c>
      <c r="J80" s="1343">
        <f t="shared" si="14"/>
        <v>0</v>
      </c>
      <c r="K80" s="1801">
        <f t="shared" si="15"/>
        <v>0</v>
      </c>
      <c r="L80" s="1415"/>
      <c r="M80" s="2023"/>
      <c r="N80" s="2023"/>
      <c r="O80" s="2023"/>
      <c r="P80" s="2023"/>
      <c r="Q80" s="2023"/>
      <c r="R80" s="2023"/>
      <c r="S80" s="2023"/>
      <c r="T80" s="2023"/>
      <c r="U80" s="2023"/>
      <c r="V80" s="2023"/>
      <c r="W80" s="2023"/>
      <c r="X80" s="2023"/>
      <c r="Y80" s="2023"/>
      <c r="Z80" s="2023"/>
      <c r="AA80" s="2023"/>
      <c r="AC80" s="1854"/>
      <c r="AD80" s="1854"/>
      <c r="AE80" s="1854"/>
    </row>
    <row r="81" spans="1:31" s="1765" customFormat="1" ht="24" customHeight="1">
      <c r="A81" s="1779"/>
      <c r="B81" s="1780" t="s">
        <v>2350</v>
      </c>
      <c r="C81" s="1260"/>
      <c r="D81" s="1781"/>
      <c r="E81" s="715">
        <v>1</v>
      </c>
      <c r="F81" s="1415" t="s">
        <v>363</v>
      </c>
      <c r="G81" s="1772">
        <v>231100</v>
      </c>
      <c r="H81" s="1343">
        <f t="shared" si="13"/>
        <v>231100</v>
      </c>
      <c r="I81" s="1386">
        <v>11555</v>
      </c>
      <c r="J81" s="1343">
        <f t="shared" si="14"/>
        <v>11555</v>
      </c>
      <c r="K81" s="1801">
        <f t="shared" si="15"/>
        <v>242655</v>
      </c>
      <c r="L81" s="1415"/>
      <c r="M81" s="2023"/>
      <c r="N81" s="2023"/>
      <c r="O81" s="2023"/>
      <c r="P81" s="2023"/>
      <c r="Q81" s="2023"/>
      <c r="R81" s="2023"/>
      <c r="S81" s="2023"/>
      <c r="T81" s="2023"/>
      <c r="U81" s="2023"/>
      <c r="V81" s="2023"/>
      <c r="W81" s="2023"/>
      <c r="X81" s="2023"/>
      <c r="Y81" s="2023"/>
      <c r="Z81" s="2023"/>
      <c r="AA81" s="2023"/>
      <c r="AC81" s="1854"/>
      <c r="AD81" s="1854"/>
      <c r="AE81" s="1854"/>
    </row>
    <row r="82" spans="1:31" s="1765" customFormat="1" ht="24" customHeight="1">
      <c r="A82" s="1779"/>
      <c r="B82" s="1780" t="s">
        <v>2351</v>
      </c>
      <c r="C82" s="1260"/>
      <c r="D82" s="1781"/>
      <c r="E82" s="715">
        <v>1</v>
      </c>
      <c r="F82" s="1415" t="s">
        <v>363</v>
      </c>
      <c r="G82" s="1772">
        <v>231100</v>
      </c>
      <c r="H82" s="1343">
        <f t="shared" si="13"/>
        <v>231100</v>
      </c>
      <c r="I82" s="1386">
        <v>11555</v>
      </c>
      <c r="J82" s="1343">
        <f t="shared" si="14"/>
        <v>11555</v>
      </c>
      <c r="K82" s="1801">
        <f t="shared" si="15"/>
        <v>242655</v>
      </c>
      <c r="L82" s="1415"/>
      <c r="M82" s="2023"/>
      <c r="N82" s="2023"/>
      <c r="O82" s="2023"/>
      <c r="P82" s="2023"/>
      <c r="Q82" s="2023"/>
      <c r="R82" s="2023"/>
      <c r="S82" s="2023"/>
      <c r="T82" s="2023"/>
      <c r="U82" s="2023"/>
      <c r="V82" s="2023"/>
      <c r="W82" s="2023"/>
      <c r="X82" s="2023"/>
      <c r="Y82" s="2023"/>
      <c r="Z82" s="2023"/>
      <c r="AA82" s="2023"/>
      <c r="AC82" s="1854"/>
      <c r="AD82" s="1854"/>
      <c r="AE82" s="1854"/>
    </row>
    <row r="83" spans="1:31" s="1765" customFormat="1" ht="24" customHeight="1">
      <c r="A83" s="1779"/>
      <c r="B83" s="1780" t="s">
        <v>2352</v>
      </c>
      <c r="C83" s="1260"/>
      <c r="D83" s="1781"/>
      <c r="E83" s="715">
        <v>1</v>
      </c>
      <c r="F83" s="1415" t="s">
        <v>363</v>
      </c>
      <c r="G83" s="1772">
        <v>366400</v>
      </c>
      <c r="H83" s="1343">
        <f t="shared" si="13"/>
        <v>366400</v>
      </c>
      <c r="I83" s="1386">
        <v>18320</v>
      </c>
      <c r="J83" s="1343">
        <f t="shared" si="14"/>
        <v>18320</v>
      </c>
      <c r="K83" s="1801">
        <f t="shared" si="15"/>
        <v>384720</v>
      </c>
      <c r="L83" s="1415"/>
      <c r="M83" s="2023"/>
      <c r="N83" s="2023"/>
      <c r="O83" s="2023"/>
      <c r="P83" s="2023"/>
      <c r="Q83" s="2023"/>
      <c r="R83" s="2023"/>
      <c r="S83" s="2023"/>
      <c r="T83" s="2023"/>
      <c r="U83" s="2023"/>
      <c r="V83" s="2023"/>
      <c r="W83" s="2023"/>
      <c r="X83" s="2023"/>
      <c r="Y83" s="2023"/>
      <c r="Z83" s="2023"/>
      <c r="AA83" s="2023"/>
      <c r="AC83" s="1854"/>
      <c r="AD83" s="1854"/>
      <c r="AE83" s="1854"/>
    </row>
    <row r="84" spans="1:31" s="1765" customFormat="1" ht="24" customHeight="1">
      <c r="A84" s="1779"/>
      <c r="B84" s="1780"/>
      <c r="C84" s="1260"/>
      <c r="D84" s="1781"/>
      <c r="E84" s="715"/>
      <c r="F84" s="1415"/>
      <c r="G84" s="1772"/>
      <c r="H84" s="1343"/>
      <c r="I84" s="1386"/>
      <c r="J84" s="1343"/>
      <c r="K84" s="1801"/>
      <c r="L84" s="1415"/>
      <c r="M84" s="2023"/>
      <c r="N84" s="2023"/>
      <c r="O84" s="2023"/>
      <c r="P84" s="2023"/>
      <c r="Q84" s="2023"/>
      <c r="R84" s="2023"/>
      <c r="S84" s="2023"/>
      <c r="T84" s="2023"/>
      <c r="U84" s="2023"/>
      <c r="V84" s="2023"/>
      <c r="W84" s="2023"/>
      <c r="X84" s="2023"/>
      <c r="Y84" s="2023"/>
      <c r="Z84" s="2023"/>
      <c r="AA84" s="2023"/>
      <c r="AC84" s="1854"/>
      <c r="AD84" s="1854"/>
      <c r="AE84" s="1854"/>
    </row>
    <row r="85" spans="1:31" s="1765" customFormat="1" ht="24" customHeight="1">
      <c r="A85" s="1779"/>
      <c r="B85" s="1780" t="s">
        <v>2353</v>
      </c>
      <c r="C85" s="1260"/>
      <c r="D85" s="1781"/>
      <c r="E85" s="715">
        <v>1</v>
      </c>
      <c r="F85" s="1415" t="s">
        <v>363</v>
      </c>
      <c r="G85" s="1772">
        <v>174265</v>
      </c>
      <c r="H85" s="1343">
        <f t="shared" ref="H85:H86" si="16">ROUND(E85*G85,)</f>
        <v>174265</v>
      </c>
      <c r="I85" s="1386">
        <v>18320</v>
      </c>
      <c r="J85" s="1343">
        <f t="shared" ref="J85:J86" si="17">ROUND(E85*I85,)</f>
        <v>18320</v>
      </c>
      <c r="K85" s="1801">
        <f t="shared" ref="K85:K86" si="18">H85+J85</f>
        <v>192585</v>
      </c>
      <c r="L85" s="1415"/>
      <c r="M85" s="2023"/>
      <c r="N85" s="2023"/>
      <c r="O85" s="2023"/>
      <c r="P85" s="2023"/>
      <c r="Q85" s="2023"/>
      <c r="R85" s="2023"/>
      <c r="S85" s="2023"/>
      <c r="T85" s="2023"/>
      <c r="U85" s="2023"/>
      <c r="V85" s="2023"/>
      <c r="W85" s="2023"/>
      <c r="X85" s="2023"/>
      <c r="Y85" s="2023"/>
      <c r="Z85" s="2023"/>
      <c r="AA85" s="2023"/>
      <c r="AC85" s="1854"/>
      <c r="AD85" s="1854"/>
      <c r="AE85" s="1854"/>
    </row>
    <row r="86" spans="1:31" s="1765" customFormat="1" ht="24" customHeight="1">
      <c r="A86" s="1779"/>
      <c r="B86" s="1780" t="s">
        <v>2354</v>
      </c>
      <c r="C86" s="1260"/>
      <c r="D86" s="1781"/>
      <c r="E86" s="715">
        <v>1</v>
      </c>
      <c r="F86" s="1415" t="s">
        <v>363</v>
      </c>
      <c r="G86" s="1772">
        <v>174265</v>
      </c>
      <c r="H86" s="1343">
        <f t="shared" si="16"/>
        <v>174265</v>
      </c>
      <c r="I86" s="1386">
        <v>18320</v>
      </c>
      <c r="J86" s="1343">
        <f t="shared" si="17"/>
        <v>18320</v>
      </c>
      <c r="K86" s="1801">
        <f t="shared" si="18"/>
        <v>192585</v>
      </c>
      <c r="L86" s="1415"/>
      <c r="M86" s="2023"/>
      <c r="N86" s="2023"/>
      <c r="O86" s="2023"/>
      <c r="P86" s="2023"/>
      <c r="Q86" s="2023"/>
      <c r="R86" s="2023"/>
      <c r="S86" s="2023"/>
      <c r="T86" s="2023"/>
      <c r="U86" s="2023"/>
      <c r="V86" s="2023"/>
      <c r="W86" s="2023"/>
      <c r="X86" s="2023"/>
      <c r="Y86" s="2023"/>
      <c r="Z86" s="2023"/>
      <c r="AA86" s="2023"/>
      <c r="AC86" s="1854"/>
      <c r="AD86" s="1854"/>
      <c r="AE86" s="1854"/>
    </row>
    <row r="87" spans="1:31" s="1765" customFormat="1" ht="24" customHeight="1">
      <c r="A87" s="1779"/>
      <c r="B87" s="1780"/>
      <c r="C87" s="1260"/>
      <c r="D87" s="1781"/>
      <c r="E87" s="715"/>
      <c r="F87" s="1415"/>
      <c r="G87" s="1772"/>
      <c r="H87" s="1413"/>
      <c r="I87" s="1386"/>
      <c r="J87" s="1413"/>
      <c r="K87" s="1415"/>
      <c r="L87" s="1415"/>
      <c r="M87" s="2023"/>
      <c r="N87" s="2023"/>
      <c r="O87" s="2023"/>
      <c r="P87" s="2023"/>
      <c r="Q87" s="2023"/>
      <c r="R87" s="2023"/>
      <c r="S87" s="2023"/>
      <c r="T87" s="2023"/>
      <c r="U87" s="2023"/>
      <c r="V87" s="2023"/>
      <c r="W87" s="2023"/>
      <c r="X87" s="2023"/>
      <c r="Y87" s="2023"/>
      <c r="Z87" s="2023"/>
      <c r="AA87" s="2023"/>
      <c r="AC87" s="1854"/>
      <c r="AD87" s="1854"/>
      <c r="AE87" s="1854"/>
    </row>
    <row r="88" spans="1:31" s="1765" customFormat="1" ht="24" customHeight="1">
      <c r="A88" s="1779" t="s">
        <v>2155</v>
      </c>
      <c r="B88" s="1780" t="s">
        <v>1993</v>
      </c>
      <c r="C88" s="1260"/>
      <c r="D88" s="1781"/>
      <c r="E88" s="715"/>
      <c r="F88" s="1415"/>
      <c r="G88" s="1772"/>
      <c r="H88" s="1413"/>
      <c r="I88" s="1386"/>
      <c r="J88" s="1413"/>
      <c r="K88" s="1415"/>
      <c r="L88" s="1415"/>
      <c r="M88" s="2023"/>
      <c r="N88" s="2023"/>
      <c r="O88" s="2023"/>
      <c r="P88" s="2023"/>
      <c r="Q88" s="2023"/>
      <c r="R88" s="2023"/>
      <c r="S88" s="2023"/>
      <c r="T88" s="2023"/>
      <c r="U88" s="2023"/>
      <c r="V88" s="2023"/>
      <c r="W88" s="2023"/>
      <c r="X88" s="2023"/>
      <c r="Y88" s="2023"/>
      <c r="Z88" s="2023"/>
      <c r="AA88" s="2023"/>
      <c r="AC88" s="1854"/>
      <c r="AD88" s="1854"/>
      <c r="AE88" s="1854"/>
    </row>
    <row r="89" spans="1:31" s="1765" customFormat="1" ht="24" customHeight="1">
      <c r="A89" s="1779"/>
      <c r="B89" s="1780" t="s">
        <v>2355</v>
      </c>
      <c r="C89" s="1260"/>
      <c r="D89" s="1781"/>
      <c r="E89" s="715">
        <v>1</v>
      </c>
      <c r="F89" s="1415" t="s">
        <v>363</v>
      </c>
      <c r="G89" s="1772">
        <v>1700</v>
      </c>
      <c r="H89" s="1413">
        <f>ROUND(E89*G89,)</f>
        <v>1700</v>
      </c>
      <c r="I89" s="1386">
        <v>450</v>
      </c>
      <c r="J89" s="1413">
        <f>ROUND(E89*I89,)</f>
        <v>450</v>
      </c>
      <c r="K89" s="1415">
        <f>H89+J89</f>
        <v>2150</v>
      </c>
      <c r="L89" s="1415"/>
      <c r="M89" s="2023"/>
      <c r="N89" s="2023"/>
      <c r="O89" s="2023"/>
      <c r="P89" s="2023"/>
      <c r="Q89" s="2023"/>
      <c r="R89" s="2023"/>
      <c r="S89" s="2023"/>
      <c r="T89" s="2023"/>
      <c r="U89" s="2023"/>
      <c r="V89" s="2023"/>
      <c r="W89" s="2023"/>
      <c r="X89" s="2023"/>
      <c r="Y89" s="2023"/>
      <c r="Z89" s="2023"/>
      <c r="AA89" s="2023"/>
      <c r="AC89" s="1854"/>
      <c r="AD89" s="1854"/>
      <c r="AE89" s="1854"/>
    </row>
    <row r="90" spans="1:31" s="1765" customFormat="1" ht="24" customHeight="1">
      <c r="A90" s="1779"/>
      <c r="B90" s="1780" t="s">
        <v>2356</v>
      </c>
      <c r="C90" s="1260"/>
      <c r="D90" s="1781"/>
      <c r="E90" s="715">
        <v>1</v>
      </c>
      <c r="F90" s="1415" t="s">
        <v>363</v>
      </c>
      <c r="G90" s="1772">
        <v>2550</v>
      </c>
      <c r="H90" s="1413">
        <f t="shared" ref="H90:H98" si="19">ROUND(E90*G90,)</f>
        <v>2550</v>
      </c>
      <c r="I90" s="1386">
        <v>450</v>
      </c>
      <c r="J90" s="1413">
        <f t="shared" ref="J90:J98" si="20">ROUND(E90*I90,)</f>
        <v>450</v>
      </c>
      <c r="K90" s="1415">
        <f t="shared" ref="K90:K98" si="21">H90+J90</f>
        <v>3000</v>
      </c>
      <c r="L90" s="1415"/>
      <c r="M90" s="2023"/>
      <c r="N90" s="2023"/>
      <c r="O90" s="2023"/>
      <c r="P90" s="2023"/>
      <c r="Q90" s="2023"/>
      <c r="R90" s="2023"/>
      <c r="S90" s="2023"/>
      <c r="T90" s="2023"/>
      <c r="U90" s="2023"/>
      <c r="V90" s="2023"/>
      <c r="W90" s="2023"/>
      <c r="X90" s="2023"/>
      <c r="Y90" s="2023"/>
      <c r="Z90" s="2023"/>
      <c r="AA90" s="2023"/>
      <c r="AC90" s="1854"/>
      <c r="AD90" s="1854"/>
      <c r="AE90" s="1854"/>
    </row>
    <row r="91" spans="1:31" s="1765" customFormat="1" ht="24" customHeight="1">
      <c r="A91" s="1779"/>
      <c r="B91" s="1780" t="s">
        <v>2357</v>
      </c>
      <c r="C91" s="1260"/>
      <c r="D91" s="1781"/>
      <c r="E91" s="715">
        <v>9</v>
      </c>
      <c r="F91" s="1415" t="s">
        <v>363</v>
      </c>
      <c r="G91" s="1772">
        <v>2550</v>
      </c>
      <c r="H91" s="1413">
        <f t="shared" si="19"/>
        <v>22950</v>
      </c>
      <c r="I91" s="1386">
        <v>450</v>
      </c>
      <c r="J91" s="1413">
        <f t="shared" si="20"/>
        <v>4050</v>
      </c>
      <c r="K91" s="1415">
        <f t="shared" si="21"/>
        <v>27000</v>
      </c>
      <c r="L91" s="1415"/>
      <c r="M91" s="2023"/>
      <c r="N91" s="2023"/>
      <c r="O91" s="2023"/>
      <c r="P91" s="2023"/>
      <c r="Q91" s="2023"/>
      <c r="R91" s="2023"/>
      <c r="S91" s="2023"/>
      <c r="T91" s="2023"/>
      <c r="U91" s="2023"/>
      <c r="V91" s="2023"/>
      <c r="W91" s="2023"/>
      <c r="X91" s="2023"/>
      <c r="Y91" s="2023"/>
      <c r="Z91" s="2023"/>
      <c r="AA91" s="2023"/>
      <c r="AC91" s="1854"/>
      <c r="AD91" s="1854"/>
      <c r="AE91" s="1854"/>
    </row>
    <row r="92" spans="1:31" s="1765" customFormat="1" ht="24" customHeight="1">
      <c r="A92" s="1779"/>
      <c r="B92" s="1883" t="s">
        <v>2358</v>
      </c>
      <c r="C92" s="1260"/>
      <c r="D92" s="1781"/>
      <c r="E92" s="715">
        <v>1</v>
      </c>
      <c r="F92" s="1415" t="s">
        <v>363</v>
      </c>
      <c r="G92" s="1772">
        <v>1700</v>
      </c>
      <c r="H92" s="1413">
        <f t="shared" si="19"/>
        <v>1700</v>
      </c>
      <c r="I92" s="1386">
        <v>450</v>
      </c>
      <c r="J92" s="1413">
        <f t="shared" si="20"/>
        <v>450</v>
      </c>
      <c r="K92" s="1415">
        <f t="shared" si="21"/>
        <v>2150</v>
      </c>
      <c r="L92" s="1415"/>
      <c r="M92" s="2023"/>
      <c r="N92" s="2023"/>
      <c r="O92" s="2023"/>
      <c r="P92" s="2023"/>
      <c r="Q92" s="2023"/>
      <c r="R92" s="2023"/>
      <c r="S92" s="2023"/>
      <c r="T92" s="2023"/>
      <c r="U92" s="2023"/>
      <c r="V92" s="2023"/>
      <c r="W92" s="2023"/>
      <c r="X92" s="2023"/>
      <c r="Y92" s="2023"/>
      <c r="Z92" s="2023"/>
      <c r="AA92" s="2023"/>
      <c r="AC92" s="1854"/>
      <c r="AD92" s="1854"/>
      <c r="AE92" s="1854"/>
    </row>
    <row r="93" spans="1:31" s="1765" customFormat="1" ht="24" customHeight="1">
      <c r="A93" s="1779"/>
      <c r="B93" s="1883" t="s">
        <v>2359</v>
      </c>
      <c r="C93" s="1260"/>
      <c r="D93" s="1781"/>
      <c r="E93" s="715">
        <v>1</v>
      </c>
      <c r="F93" s="1415" t="s">
        <v>363</v>
      </c>
      <c r="G93" s="1772">
        <v>1700</v>
      </c>
      <c r="H93" s="1413">
        <f t="shared" si="19"/>
        <v>1700</v>
      </c>
      <c r="I93" s="1386">
        <v>450</v>
      </c>
      <c r="J93" s="1413">
        <f t="shared" si="20"/>
        <v>450</v>
      </c>
      <c r="K93" s="1415">
        <f t="shared" si="21"/>
        <v>2150</v>
      </c>
      <c r="L93" s="1415"/>
      <c r="M93" s="2023"/>
      <c r="N93" s="2023"/>
      <c r="O93" s="2023"/>
      <c r="P93" s="2023"/>
      <c r="Q93" s="2023"/>
      <c r="R93" s="2023"/>
      <c r="S93" s="2023"/>
      <c r="T93" s="2023"/>
      <c r="U93" s="2023"/>
      <c r="V93" s="2023"/>
      <c r="W93" s="2023"/>
      <c r="X93" s="2023"/>
      <c r="Y93" s="2023"/>
      <c r="Z93" s="2023"/>
      <c r="AA93" s="2023"/>
      <c r="AC93" s="1854"/>
      <c r="AD93" s="1854"/>
      <c r="AE93" s="1854"/>
    </row>
    <row r="94" spans="1:31" s="1765" customFormat="1" ht="24" customHeight="1">
      <c r="A94" s="1779"/>
      <c r="B94" s="1883" t="s">
        <v>2360</v>
      </c>
      <c r="C94" s="1260"/>
      <c r="D94" s="1781"/>
      <c r="E94" s="715">
        <v>1</v>
      </c>
      <c r="F94" s="1415" t="s">
        <v>363</v>
      </c>
      <c r="G94" s="1772">
        <v>2550</v>
      </c>
      <c r="H94" s="1413">
        <f t="shared" si="19"/>
        <v>2550</v>
      </c>
      <c r="I94" s="1386">
        <v>450</v>
      </c>
      <c r="J94" s="1413">
        <f t="shared" si="20"/>
        <v>450</v>
      </c>
      <c r="K94" s="1415">
        <f t="shared" si="21"/>
        <v>3000</v>
      </c>
      <c r="L94" s="1415"/>
      <c r="M94" s="2023"/>
      <c r="N94" s="2023"/>
      <c r="O94" s="2023"/>
      <c r="P94" s="2023"/>
      <c r="Q94" s="2023"/>
      <c r="R94" s="2023"/>
      <c r="S94" s="2023"/>
      <c r="T94" s="2023"/>
      <c r="U94" s="2023"/>
      <c r="V94" s="2023"/>
      <c r="W94" s="2023"/>
      <c r="X94" s="2023"/>
      <c r="Y94" s="2023"/>
      <c r="Z94" s="2023"/>
      <c r="AA94" s="2023"/>
      <c r="AC94" s="1854"/>
      <c r="AD94" s="1854"/>
      <c r="AE94" s="1854"/>
    </row>
    <row r="95" spans="1:31" s="1765" customFormat="1" ht="24" customHeight="1">
      <c r="A95" s="1779"/>
      <c r="B95" s="1883" t="s">
        <v>2361</v>
      </c>
      <c r="C95" s="1260"/>
      <c r="D95" s="1781"/>
      <c r="E95" s="715">
        <v>9</v>
      </c>
      <c r="F95" s="1415" t="s">
        <v>363</v>
      </c>
      <c r="G95" s="1772">
        <v>2550</v>
      </c>
      <c r="H95" s="1413">
        <f t="shared" si="19"/>
        <v>22950</v>
      </c>
      <c r="I95" s="1386">
        <v>450</v>
      </c>
      <c r="J95" s="1413">
        <f t="shared" si="20"/>
        <v>4050</v>
      </c>
      <c r="K95" s="1415">
        <f t="shared" si="21"/>
        <v>27000</v>
      </c>
      <c r="L95" s="1415"/>
      <c r="M95" s="2023"/>
      <c r="N95" s="2023"/>
      <c r="O95" s="2023"/>
      <c r="P95" s="2023"/>
      <c r="Q95" s="2023"/>
      <c r="R95" s="2023"/>
      <c r="S95" s="2023"/>
      <c r="T95" s="2023"/>
      <c r="U95" s="2023"/>
      <c r="V95" s="2023"/>
      <c r="W95" s="2023"/>
      <c r="X95" s="2023"/>
      <c r="Y95" s="2023"/>
      <c r="Z95" s="2023"/>
      <c r="AA95" s="2023"/>
      <c r="AC95" s="1854"/>
      <c r="AD95" s="1854"/>
      <c r="AE95" s="1854"/>
    </row>
    <row r="96" spans="1:31" s="1765" customFormat="1" ht="24" customHeight="1">
      <c r="A96" s="1779"/>
      <c r="B96" s="1883" t="s">
        <v>2362</v>
      </c>
      <c r="C96" s="1260"/>
      <c r="D96" s="1781"/>
      <c r="E96" s="715">
        <v>1</v>
      </c>
      <c r="F96" s="1415" t="s">
        <v>363</v>
      </c>
      <c r="G96" s="1772">
        <v>1700</v>
      </c>
      <c r="H96" s="1413">
        <f t="shared" si="19"/>
        <v>1700</v>
      </c>
      <c r="I96" s="1386">
        <v>450</v>
      </c>
      <c r="J96" s="1413">
        <f t="shared" si="20"/>
        <v>450</v>
      </c>
      <c r="K96" s="1415">
        <f t="shared" si="21"/>
        <v>2150</v>
      </c>
      <c r="L96" s="1415"/>
      <c r="M96" s="2023"/>
      <c r="N96" s="2023"/>
      <c r="O96" s="2023"/>
      <c r="P96" s="2023"/>
      <c r="Q96" s="2023"/>
      <c r="R96" s="2023"/>
      <c r="S96" s="2023"/>
      <c r="T96" s="2023"/>
      <c r="U96" s="2023"/>
      <c r="V96" s="2023"/>
      <c r="W96" s="2023"/>
      <c r="X96" s="2023"/>
      <c r="Y96" s="2023"/>
      <c r="Z96" s="2023"/>
      <c r="AA96" s="2023"/>
      <c r="AC96" s="1854"/>
      <c r="AD96" s="1854"/>
      <c r="AE96" s="1854"/>
    </row>
    <row r="97" spans="1:31" s="1765" customFormat="1" ht="24" customHeight="1">
      <c r="A97" s="1779" t="s">
        <v>2165</v>
      </c>
      <c r="B97" s="1780" t="s">
        <v>2041</v>
      </c>
      <c r="C97" s="1260"/>
      <c r="D97" s="1781"/>
      <c r="E97" s="715">
        <f>SUM(E62:E95)</f>
        <v>45</v>
      </c>
      <c r="F97" s="1415" t="s">
        <v>363</v>
      </c>
      <c r="G97" s="1772">
        <v>2000</v>
      </c>
      <c r="H97" s="1413">
        <f t="shared" si="19"/>
        <v>90000</v>
      </c>
      <c r="I97" s="1386">
        <v>500</v>
      </c>
      <c r="J97" s="1413">
        <f t="shared" si="20"/>
        <v>22500</v>
      </c>
      <c r="K97" s="1415">
        <f t="shared" si="21"/>
        <v>112500</v>
      </c>
      <c r="L97" s="1415"/>
      <c r="M97" s="2023"/>
      <c r="N97" s="2023"/>
      <c r="O97" s="2023"/>
      <c r="P97" s="2023"/>
      <c r="Q97" s="2023"/>
      <c r="R97" s="2023"/>
      <c r="S97" s="2023"/>
      <c r="T97" s="2023"/>
      <c r="U97" s="2023"/>
      <c r="V97" s="2023"/>
      <c r="W97" s="2023"/>
      <c r="X97" s="2023"/>
      <c r="Y97" s="2023"/>
      <c r="Z97" s="2023"/>
      <c r="AA97" s="2023"/>
      <c r="AC97" s="1854"/>
      <c r="AD97" s="1854"/>
      <c r="AE97" s="1854"/>
    </row>
    <row r="98" spans="1:31" s="1765" customFormat="1" ht="24" customHeight="1">
      <c r="A98" s="1779" t="s">
        <v>2223</v>
      </c>
      <c r="B98" s="1780" t="s">
        <v>2331</v>
      </c>
      <c r="C98" s="1260"/>
      <c r="D98" s="1781"/>
      <c r="E98" s="715">
        <v>4</v>
      </c>
      <c r="F98" s="1415" t="s">
        <v>363</v>
      </c>
      <c r="G98" s="1772">
        <v>4000</v>
      </c>
      <c r="H98" s="1413">
        <f t="shared" si="19"/>
        <v>16000</v>
      </c>
      <c r="I98" s="1386">
        <v>1000</v>
      </c>
      <c r="J98" s="1413">
        <f t="shared" si="20"/>
        <v>4000</v>
      </c>
      <c r="K98" s="1415">
        <f t="shared" si="21"/>
        <v>20000</v>
      </c>
      <c r="L98" s="1415"/>
      <c r="M98" s="2023"/>
      <c r="N98" s="2023"/>
      <c r="O98" s="2023"/>
      <c r="P98" s="2023"/>
      <c r="Q98" s="2023"/>
      <c r="R98" s="2023"/>
      <c r="S98" s="2023"/>
      <c r="T98" s="2023"/>
      <c r="U98" s="2023"/>
      <c r="V98" s="2023"/>
      <c r="W98" s="2023"/>
      <c r="X98" s="2023"/>
      <c r="Y98" s="2023"/>
      <c r="Z98" s="2023"/>
      <c r="AA98" s="2023"/>
      <c r="AC98" s="1854"/>
      <c r="AD98" s="1854"/>
      <c r="AE98" s="1854"/>
    </row>
    <row r="99" spans="1:31" s="1765" customFormat="1" ht="24" customHeight="1">
      <c r="A99" s="1189"/>
      <c r="B99" s="1538" t="s">
        <v>1117</v>
      </c>
      <c r="C99" s="1275"/>
      <c r="D99" s="1767"/>
      <c r="E99" s="1771"/>
      <c r="F99" s="1385"/>
      <c r="G99" s="1778"/>
      <c r="H99" s="1264"/>
      <c r="I99" s="1595"/>
      <c r="J99" s="1264"/>
      <c r="K99" s="1687"/>
      <c r="L99" s="1632"/>
      <c r="M99" s="1710"/>
      <c r="N99" s="1710"/>
      <c r="O99" s="1710"/>
      <c r="P99" s="1710"/>
      <c r="Q99" s="1710"/>
      <c r="R99" s="1710"/>
      <c r="S99" s="1710"/>
      <c r="T99" s="1710"/>
      <c r="U99" s="1710"/>
      <c r="V99" s="1710"/>
      <c r="W99" s="1710"/>
      <c r="X99" s="1710"/>
      <c r="Y99" s="1710"/>
      <c r="Z99" s="1710"/>
      <c r="AA99" s="1710"/>
    </row>
    <row r="100" spans="1:31" s="1765" customFormat="1" ht="24" customHeight="1">
      <c r="A100" s="1189"/>
      <c r="B100" s="1538"/>
      <c r="C100" s="1275"/>
      <c r="D100" s="1767"/>
      <c r="E100" s="1771"/>
      <c r="F100" s="1385"/>
      <c r="G100" s="1778"/>
      <c r="H100" s="1264"/>
      <c r="I100" s="1595"/>
      <c r="J100" s="1264"/>
      <c r="K100" s="1687"/>
      <c r="L100" s="1632"/>
      <c r="M100" s="1710"/>
      <c r="N100" s="1710"/>
      <c r="O100" s="1710"/>
      <c r="P100" s="1710"/>
      <c r="Q100" s="1710"/>
      <c r="R100" s="1710"/>
      <c r="S100" s="1710"/>
      <c r="T100" s="1710"/>
      <c r="U100" s="1710"/>
      <c r="V100" s="1710"/>
      <c r="W100" s="1710"/>
      <c r="X100" s="1710"/>
      <c r="Y100" s="1710"/>
      <c r="Z100" s="1710"/>
      <c r="AA100" s="1710"/>
    </row>
    <row r="101" spans="1:31" s="1765" customFormat="1" ht="24" customHeight="1">
      <c r="A101" s="1189"/>
      <c r="B101" s="1538"/>
      <c r="C101" s="1275"/>
      <c r="D101" s="1767"/>
      <c r="E101" s="1771"/>
      <c r="F101" s="1385"/>
      <c r="G101" s="1778"/>
      <c r="H101" s="1264"/>
      <c r="I101" s="1595"/>
      <c r="J101" s="1264"/>
      <c r="K101" s="1687"/>
      <c r="L101" s="1632"/>
      <c r="M101" s="1710"/>
      <c r="N101" s="1710"/>
      <c r="O101" s="1710"/>
      <c r="P101" s="1710"/>
      <c r="Q101" s="1710"/>
      <c r="R101" s="1710"/>
      <c r="S101" s="1710"/>
      <c r="T101" s="1710"/>
      <c r="U101" s="1710"/>
      <c r="V101" s="1710"/>
      <c r="W101" s="1710"/>
      <c r="X101" s="1710"/>
      <c r="Y101" s="1710"/>
      <c r="Z101" s="1710"/>
      <c r="AA101" s="1710"/>
    </row>
    <row r="102" spans="1:31" s="1765" customFormat="1" ht="24" customHeight="1">
      <c r="A102" s="1485"/>
      <c r="B102" s="1792"/>
      <c r="C102" s="1486"/>
      <c r="D102" s="1822"/>
      <c r="E102" s="1823"/>
      <c r="F102" s="1500"/>
      <c r="G102" s="1824"/>
      <c r="H102" s="1425"/>
      <c r="I102" s="1826"/>
      <c r="J102" s="1425"/>
      <c r="K102" s="1705"/>
      <c r="L102" s="1833"/>
      <c r="M102" s="1710"/>
      <c r="N102" s="1710"/>
      <c r="O102" s="1710"/>
      <c r="P102" s="1710"/>
      <c r="Q102" s="1710"/>
      <c r="R102" s="1710"/>
      <c r="S102" s="1710"/>
      <c r="T102" s="1710"/>
      <c r="U102" s="1710"/>
      <c r="V102" s="1710"/>
      <c r="W102" s="1710"/>
      <c r="X102" s="1710"/>
      <c r="Y102" s="1710"/>
      <c r="Z102" s="1710"/>
      <c r="AA102" s="1710"/>
    </row>
    <row r="103" spans="1:31" s="1199" customFormat="1" ht="24" customHeight="1">
      <c r="A103" s="1578"/>
      <c r="B103" s="2257" t="str">
        <f>"รวมราคารายการที่ "&amp;A60</f>
        <v>รวมราคารายการที่ 7.3</v>
      </c>
      <c r="C103" s="2258"/>
      <c r="D103" s="2259"/>
      <c r="E103" s="1579"/>
      <c r="F103" s="1579"/>
      <c r="G103" s="1580"/>
      <c r="H103" s="1581">
        <f>SUM(H61:H99)</f>
        <v>2745530</v>
      </c>
      <c r="I103" s="1582"/>
      <c r="J103" s="1581">
        <f>SUM(J61:J99)</f>
        <v>185600</v>
      </c>
      <c r="K103" s="1583">
        <f>SUM(K61:K99)</f>
        <v>2931130</v>
      </c>
      <c r="L103" s="1583"/>
      <c r="M103" s="2019"/>
      <c r="N103" s="2019"/>
      <c r="O103" s="2019"/>
      <c r="P103" s="2019"/>
      <c r="Q103" s="2019"/>
      <c r="R103" s="2019"/>
      <c r="S103" s="2019"/>
      <c r="T103" s="2019"/>
      <c r="U103" s="2019"/>
      <c r="V103" s="2019"/>
      <c r="W103" s="2019"/>
      <c r="X103" s="2019"/>
      <c r="Y103" s="2019"/>
      <c r="Z103" s="2019"/>
      <c r="AA103" s="2019"/>
    </row>
    <row r="104" spans="1:31" s="1765" customFormat="1" ht="24" customHeight="1">
      <c r="A104" s="1291" t="s">
        <v>2052</v>
      </c>
      <c r="B104" s="1852" t="s">
        <v>2255</v>
      </c>
      <c r="C104" s="1293"/>
      <c r="D104" s="1777"/>
      <c r="E104" s="1686"/>
      <c r="F104" s="1402"/>
      <c r="G104" s="1661"/>
      <c r="H104" s="1588"/>
      <c r="I104" s="1589"/>
      <c r="J104" s="1588"/>
      <c r="K104" s="1770"/>
      <c r="L104" s="1770"/>
      <c r="M104" s="1710"/>
      <c r="N104" s="1710"/>
      <c r="O104" s="1710"/>
      <c r="P104" s="1710"/>
      <c r="Q104" s="1710"/>
      <c r="R104" s="1710"/>
      <c r="S104" s="1710"/>
      <c r="T104" s="1710"/>
      <c r="U104" s="1710"/>
      <c r="V104" s="1710"/>
      <c r="W104" s="1710"/>
      <c r="X104" s="1710"/>
      <c r="Y104" s="1710"/>
      <c r="Z104" s="1710"/>
      <c r="AA104" s="1710"/>
    </row>
    <row r="105" spans="1:31" s="1765" customFormat="1" ht="24" customHeight="1">
      <c r="A105" s="1766" t="s">
        <v>2054</v>
      </c>
      <c r="B105" s="1538" t="s">
        <v>2256</v>
      </c>
      <c r="C105" s="1275"/>
      <c r="D105" s="1767"/>
      <c r="E105" s="1686"/>
      <c r="F105" s="1402"/>
      <c r="G105" s="1661"/>
      <c r="H105" s="1588"/>
      <c r="I105" s="1589"/>
      <c r="J105" s="1588"/>
      <c r="K105" s="1770"/>
      <c r="L105" s="1770"/>
      <c r="M105" s="1710"/>
      <c r="N105" s="1710"/>
      <c r="O105" s="1710"/>
      <c r="P105" s="1710"/>
      <c r="Q105" s="1710"/>
      <c r="R105" s="1710"/>
      <c r="S105" s="1710"/>
      <c r="T105" s="1710"/>
      <c r="U105" s="1710"/>
      <c r="V105" s="1710"/>
      <c r="W105" s="1710"/>
      <c r="X105" s="1710"/>
      <c r="Y105" s="1710"/>
      <c r="Z105" s="1710"/>
      <c r="AA105" s="1710"/>
    </row>
    <row r="106" spans="1:31" s="1765" customFormat="1" ht="24" customHeight="1">
      <c r="A106" s="1766"/>
      <c r="B106" s="1538" t="s">
        <v>2363</v>
      </c>
      <c r="C106" s="1275"/>
      <c r="D106" s="1767"/>
      <c r="E106" s="1686"/>
      <c r="F106" s="1402" t="s">
        <v>363</v>
      </c>
      <c r="G106" s="1661">
        <v>650</v>
      </c>
      <c r="H106" s="1588">
        <f t="shared" ref="H106:H107" si="22">ROUND(E106*G106,)</f>
        <v>0</v>
      </c>
      <c r="I106" s="1589">
        <v>150</v>
      </c>
      <c r="J106" s="1588">
        <f t="shared" ref="J106:J107" si="23">ROUND(E106*I106,)</f>
        <v>0</v>
      </c>
      <c r="K106" s="1770">
        <f t="shared" ref="K106:K107" si="24">H106+J106</f>
        <v>0</v>
      </c>
      <c r="L106" s="1770"/>
      <c r="M106" s="1710"/>
      <c r="N106" s="1710"/>
      <c r="O106" s="1710"/>
      <c r="P106" s="1710"/>
      <c r="Q106" s="1710"/>
      <c r="R106" s="1710"/>
      <c r="S106" s="1710"/>
      <c r="T106" s="1710"/>
      <c r="U106" s="1710"/>
      <c r="V106" s="1710"/>
      <c r="W106" s="1710"/>
      <c r="X106" s="1710"/>
      <c r="Y106" s="1710"/>
      <c r="Z106" s="1710"/>
      <c r="AA106" s="1710"/>
    </row>
    <row r="107" spans="1:31" s="1765" customFormat="1" ht="24" customHeight="1">
      <c r="A107" s="1766"/>
      <c r="B107" s="1538" t="s">
        <v>2257</v>
      </c>
      <c r="C107" s="1275"/>
      <c r="D107" s="1767"/>
      <c r="E107" s="1686">
        <v>4</v>
      </c>
      <c r="F107" s="1402" t="s">
        <v>363</v>
      </c>
      <c r="G107" s="1661">
        <v>650</v>
      </c>
      <c r="H107" s="1588">
        <f t="shared" si="22"/>
        <v>2600</v>
      </c>
      <c r="I107" s="1589">
        <v>150</v>
      </c>
      <c r="J107" s="1588">
        <f t="shared" si="23"/>
        <v>600</v>
      </c>
      <c r="K107" s="1770">
        <f t="shared" si="24"/>
        <v>3200</v>
      </c>
      <c r="L107" s="1770"/>
      <c r="M107" s="1710"/>
      <c r="N107" s="1710"/>
      <c r="O107" s="1710"/>
      <c r="P107" s="1710"/>
      <c r="Q107" s="1710"/>
      <c r="R107" s="1710"/>
      <c r="S107" s="1710"/>
      <c r="T107" s="1710"/>
      <c r="U107" s="1710"/>
      <c r="V107" s="1710"/>
      <c r="W107" s="1710"/>
      <c r="X107" s="1710"/>
      <c r="Y107" s="1710"/>
      <c r="Z107" s="1710"/>
      <c r="AA107" s="1710"/>
    </row>
    <row r="108" spans="1:31" s="1765" customFormat="1" ht="24" customHeight="1">
      <c r="A108" s="1766" t="s">
        <v>2056</v>
      </c>
      <c r="B108" s="1538" t="s">
        <v>2364</v>
      </c>
      <c r="C108" s="1275"/>
      <c r="D108" s="1767"/>
      <c r="E108" s="1686"/>
      <c r="F108" s="1402"/>
      <c r="G108" s="1661"/>
      <c r="H108" s="1588"/>
      <c r="I108" s="1589"/>
      <c r="J108" s="1588"/>
      <c r="K108" s="1770"/>
      <c r="L108" s="1770"/>
      <c r="M108" s="1710"/>
      <c r="N108" s="1710"/>
      <c r="O108" s="1710"/>
      <c r="P108" s="1710"/>
      <c r="Q108" s="1710"/>
      <c r="R108" s="1710"/>
      <c r="S108" s="1710"/>
      <c r="T108" s="1710"/>
      <c r="U108" s="1710"/>
      <c r="V108" s="1710"/>
      <c r="W108" s="1710"/>
      <c r="X108" s="1710"/>
      <c r="Y108" s="1710"/>
      <c r="Z108" s="1710"/>
      <c r="AA108" s="1710"/>
    </row>
    <row r="109" spans="1:31" s="1765" customFormat="1" ht="24" customHeight="1">
      <c r="A109" s="1766"/>
      <c r="B109" s="1538" t="s">
        <v>2365</v>
      </c>
      <c r="C109" s="1275"/>
      <c r="D109" s="1767"/>
      <c r="E109" s="1686">
        <v>4</v>
      </c>
      <c r="F109" s="1402" t="s">
        <v>363</v>
      </c>
      <c r="G109" s="1661">
        <v>2600</v>
      </c>
      <c r="H109" s="1588">
        <f t="shared" ref="H109:H112" si="25">ROUND(E109*G109,)</f>
        <v>10400</v>
      </c>
      <c r="I109" s="1589">
        <v>200</v>
      </c>
      <c r="J109" s="1588">
        <f t="shared" ref="J109:J112" si="26">ROUND(E109*I109,)</f>
        <v>800</v>
      </c>
      <c r="K109" s="1770">
        <f t="shared" ref="K109:K112" si="27">H109+J109</f>
        <v>11200</v>
      </c>
      <c r="L109" s="1770"/>
      <c r="M109" s="1710"/>
      <c r="N109" s="1710"/>
      <c r="O109" s="1710"/>
      <c r="P109" s="1710"/>
      <c r="Q109" s="1710"/>
      <c r="R109" s="1710"/>
      <c r="S109" s="1710"/>
      <c r="T109" s="1710"/>
      <c r="U109" s="1710"/>
      <c r="V109" s="1710"/>
      <c r="W109" s="1710"/>
      <c r="X109" s="1710"/>
      <c r="Y109" s="1710"/>
      <c r="Z109" s="1710"/>
      <c r="AA109" s="1710"/>
    </row>
    <row r="110" spans="1:31" s="1765" customFormat="1" ht="24" customHeight="1">
      <c r="A110" s="1766" t="s">
        <v>2059</v>
      </c>
      <c r="B110" s="1538" t="s">
        <v>2258</v>
      </c>
      <c r="C110" s="1275"/>
      <c r="D110" s="1767"/>
      <c r="E110" s="1686">
        <v>24</v>
      </c>
      <c r="F110" s="1402" t="s">
        <v>363</v>
      </c>
      <c r="G110" s="1661">
        <v>2400</v>
      </c>
      <c r="H110" s="1588">
        <f t="shared" si="25"/>
        <v>57600</v>
      </c>
      <c r="I110" s="1589">
        <v>150</v>
      </c>
      <c r="J110" s="1588">
        <f t="shared" si="26"/>
        <v>3600</v>
      </c>
      <c r="K110" s="1770">
        <f t="shared" si="27"/>
        <v>61200</v>
      </c>
      <c r="L110" s="1770"/>
      <c r="M110" s="1710"/>
      <c r="N110" s="1710"/>
      <c r="O110" s="1710"/>
      <c r="P110" s="1710"/>
      <c r="Q110" s="1710"/>
      <c r="R110" s="1710"/>
      <c r="S110" s="1710"/>
      <c r="T110" s="1710"/>
      <c r="U110" s="1710"/>
      <c r="V110" s="1710"/>
      <c r="W110" s="1710"/>
      <c r="X110" s="1710"/>
      <c r="Y110" s="1710"/>
      <c r="Z110" s="1710"/>
      <c r="AA110" s="1710"/>
    </row>
    <row r="111" spans="1:31" s="1765" customFormat="1" ht="24" customHeight="1">
      <c r="A111" s="1766" t="s">
        <v>2260</v>
      </c>
      <c r="B111" s="1538" t="s">
        <v>2259</v>
      </c>
      <c r="C111" s="1275"/>
      <c r="D111" s="1767"/>
      <c r="E111" s="1686">
        <v>8</v>
      </c>
      <c r="F111" s="1402" t="s">
        <v>363</v>
      </c>
      <c r="G111" s="1661">
        <v>2200</v>
      </c>
      <c r="H111" s="1588">
        <f t="shared" si="25"/>
        <v>17600</v>
      </c>
      <c r="I111" s="1589">
        <v>150</v>
      </c>
      <c r="J111" s="1588">
        <f t="shared" si="26"/>
        <v>1200</v>
      </c>
      <c r="K111" s="1770">
        <f t="shared" si="27"/>
        <v>18800</v>
      </c>
      <c r="L111" s="1770"/>
      <c r="M111" s="1710"/>
      <c r="N111" s="1710"/>
      <c r="O111" s="1710"/>
      <c r="P111" s="1710"/>
      <c r="Q111" s="1710"/>
      <c r="R111" s="1710"/>
      <c r="S111" s="1710"/>
      <c r="T111" s="1710"/>
      <c r="U111" s="1710"/>
      <c r="V111" s="1710"/>
      <c r="W111" s="1710"/>
      <c r="X111" s="1710"/>
      <c r="Y111" s="1710"/>
      <c r="Z111" s="1710"/>
      <c r="AA111" s="1710"/>
    </row>
    <row r="112" spans="1:31" s="1765" customFormat="1" ht="24" customHeight="1">
      <c r="A112" s="1766" t="s">
        <v>2366</v>
      </c>
      <c r="B112" s="1538" t="s">
        <v>2261</v>
      </c>
      <c r="C112" s="1275"/>
      <c r="D112" s="1767"/>
      <c r="E112" s="1686">
        <v>1</v>
      </c>
      <c r="F112" s="1402" t="s">
        <v>1104</v>
      </c>
      <c r="G112" s="1661">
        <f>4*2500</f>
        <v>10000</v>
      </c>
      <c r="H112" s="1588">
        <f t="shared" si="25"/>
        <v>10000</v>
      </c>
      <c r="I112" s="1589">
        <f>G112*0.3</f>
        <v>3000</v>
      </c>
      <c r="J112" s="1588">
        <f t="shared" si="26"/>
        <v>3000</v>
      </c>
      <c r="K112" s="1770">
        <f t="shared" si="27"/>
        <v>13000</v>
      </c>
      <c r="L112" s="1770"/>
      <c r="M112" s="1710"/>
      <c r="N112" s="1710"/>
      <c r="O112" s="1710"/>
      <c r="P112" s="1710"/>
      <c r="Q112" s="1710"/>
      <c r="R112" s="1710"/>
      <c r="S112" s="1710"/>
      <c r="T112" s="1710"/>
      <c r="U112" s="1710"/>
      <c r="V112" s="1710"/>
      <c r="W112" s="1710"/>
      <c r="X112" s="1710"/>
      <c r="Y112" s="1710"/>
      <c r="Z112" s="1710"/>
      <c r="AA112" s="1710"/>
    </row>
    <row r="113" spans="1:27" s="1765" customFormat="1" ht="24" customHeight="1">
      <c r="A113" s="1189"/>
      <c r="B113" s="1538" t="s">
        <v>1117</v>
      </c>
      <c r="C113" s="1275"/>
      <c r="D113" s="1767"/>
      <c r="E113" s="1771"/>
      <c r="F113" s="1385"/>
      <c r="G113" s="1778"/>
      <c r="H113" s="1264"/>
      <c r="I113" s="1595"/>
      <c r="J113" s="1264"/>
      <c r="K113" s="1687"/>
      <c r="L113" s="1632"/>
      <c r="M113" s="1710"/>
      <c r="N113" s="1710"/>
      <c r="O113" s="1710"/>
      <c r="P113" s="1710"/>
      <c r="Q113" s="1710"/>
      <c r="R113" s="1710"/>
      <c r="S113" s="1710"/>
      <c r="T113" s="1710"/>
      <c r="U113" s="1710"/>
      <c r="V113" s="1710"/>
      <c r="W113" s="1710"/>
      <c r="X113" s="1710"/>
      <c r="Y113" s="1710"/>
      <c r="Z113" s="1710"/>
      <c r="AA113" s="1710"/>
    </row>
    <row r="114" spans="1:27" s="1765" customFormat="1" ht="24" customHeight="1">
      <c r="A114" s="1189"/>
      <c r="B114" s="1538"/>
      <c r="C114" s="1275"/>
      <c r="D114" s="1767"/>
      <c r="E114" s="1771"/>
      <c r="F114" s="1385"/>
      <c r="G114" s="1778"/>
      <c r="H114" s="1264"/>
      <c r="I114" s="1595"/>
      <c r="J114" s="1264"/>
      <c r="K114" s="1687"/>
      <c r="L114" s="1632"/>
      <c r="M114" s="1710"/>
      <c r="N114" s="1710"/>
      <c r="O114" s="1710"/>
      <c r="P114" s="1710"/>
      <c r="Q114" s="1710"/>
      <c r="R114" s="1710"/>
      <c r="S114" s="1710"/>
      <c r="T114" s="1710"/>
      <c r="U114" s="1710"/>
      <c r="V114" s="1710"/>
      <c r="W114" s="1710"/>
      <c r="X114" s="1710"/>
      <c r="Y114" s="1710"/>
      <c r="Z114" s="1710"/>
      <c r="AA114" s="1710"/>
    </row>
    <row r="115" spans="1:27" s="1765" customFormat="1" ht="24" customHeight="1">
      <c r="A115" s="1189"/>
      <c r="B115" s="1538"/>
      <c r="C115" s="1275"/>
      <c r="D115" s="1767"/>
      <c r="E115" s="1771"/>
      <c r="F115" s="1385"/>
      <c r="G115" s="1778"/>
      <c r="H115" s="1264"/>
      <c r="I115" s="1595"/>
      <c r="J115" s="1264"/>
      <c r="K115" s="1687"/>
      <c r="L115" s="1632"/>
      <c r="M115" s="1710"/>
      <c r="N115" s="1710"/>
      <c r="O115" s="1710"/>
      <c r="P115" s="1710"/>
      <c r="Q115" s="1710"/>
      <c r="R115" s="1710"/>
      <c r="S115" s="1710"/>
      <c r="T115" s="1710"/>
      <c r="U115" s="1710"/>
      <c r="V115" s="1710"/>
      <c r="W115" s="1710"/>
      <c r="X115" s="1710"/>
      <c r="Y115" s="1710"/>
      <c r="Z115" s="1710"/>
      <c r="AA115" s="1710"/>
    </row>
    <row r="116" spans="1:27" s="1765" customFormat="1" ht="24" customHeight="1">
      <c r="A116" s="1485"/>
      <c r="B116" s="1792"/>
      <c r="C116" s="1486"/>
      <c r="D116" s="1822"/>
      <c r="E116" s="1823"/>
      <c r="F116" s="1500"/>
      <c r="G116" s="1824"/>
      <c r="H116" s="1425"/>
      <c r="I116" s="1826"/>
      <c r="J116" s="1425"/>
      <c r="K116" s="1705"/>
      <c r="L116" s="1833"/>
      <c r="M116" s="1710"/>
      <c r="N116" s="1710"/>
      <c r="O116" s="1710"/>
      <c r="P116" s="1710"/>
      <c r="Q116" s="1710"/>
      <c r="R116" s="1710"/>
      <c r="S116" s="1710"/>
      <c r="T116" s="1710"/>
      <c r="U116" s="1710"/>
      <c r="V116" s="1710"/>
      <c r="W116" s="1710"/>
      <c r="X116" s="1710"/>
      <c r="Y116" s="1710"/>
      <c r="Z116" s="1710"/>
      <c r="AA116" s="1710"/>
    </row>
    <row r="117" spans="1:27" s="1765" customFormat="1" ht="24" customHeight="1">
      <c r="A117" s="1578"/>
      <c r="B117" s="2257" t="str">
        <f>"รวมราคารายการที่ "&amp;A104</f>
        <v>รวมราคารายการที่ 7.4</v>
      </c>
      <c r="C117" s="2258"/>
      <c r="D117" s="2259"/>
      <c r="E117" s="1579"/>
      <c r="F117" s="1579"/>
      <c r="G117" s="1580"/>
      <c r="H117" s="1581">
        <f>SUM(H105:H116)</f>
        <v>98200</v>
      </c>
      <c r="I117" s="1582"/>
      <c r="J117" s="1581">
        <f>SUM(J105:J116)</f>
        <v>9200</v>
      </c>
      <c r="K117" s="1581">
        <f>SUM(K105:K116)</f>
        <v>107400</v>
      </c>
      <c r="L117" s="1583"/>
      <c r="M117" s="2019"/>
      <c r="N117" s="2019"/>
      <c r="O117" s="2019"/>
      <c r="P117" s="2019"/>
      <c r="Q117" s="2019"/>
      <c r="R117" s="2019"/>
      <c r="S117" s="2019"/>
      <c r="T117" s="2019"/>
      <c r="U117" s="2019"/>
      <c r="V117" s="2019"/>
      <c r="W117" s="2019"/>
      <c r="X117" s="2019"/>
      <c r="Y117" s="2019"/>
      <c r="Z117" s="2019"/>
      <c r="AA117" s="2019"/>
    </row>
    <row r="118" spans="1:27" s="1765" customFormat="1" ht="24" customHeight="1">
      <c r="A118" s="1757">
        <v>7.5</v>
      </c>
      <c r="B118" s="1881" t="s">
        <v>2042</v>
      </c>
      <c r="C118" s="1251"/>
      <c r="D118" s="1759"/>
      <c r="E118" s="1760"/>
      <c r="F118" s="1498"/>
      <c r="G118" s="1761"/>
      <c r="H118" s="1762"/>
      <c r="I118" s="1763"/>
      <c r="J118" s="1762"/>
      <c r="K118" s="1764"/>
      <c r="L118" s="1764"/>
      <c r="M118" s="1710"/>
      <c r="N118" s="1710"/>
      <c r="O118" s="1710"/>
      <c r="P118" s="1710"/>
      <c r="Q118" s="1710"/>
      <c r="R118" s="1710"/>
      <c r="S118" s="1710"/>
      <c r="T118" s="1710"/>
      <c r="U118" s="1710"/>
      <c r="V118" s="1710"/>
      <c r="W118" s="1710"/>
      <c r="X118" s="1710"/>
      <c r="Y118" s="1710"/>
      <c r="Z118" s="1710"/>
      <c r="AA118" s="1710"/>
    </row>
    <row r="119" spans="1:27" s="1765" customFormat="1" ht="24" customHeight="1">
      <c r="A119" s="1258" t="s">
        <v>2062</v>
      </c>
      <c r="B119" s="1538" t="s">
        <v>2044</v>
      </c>
      <c r="C119" s="1275"/>
      <c r="D119" s="1767"/>
      <c r="E119" s="1771"/>
      <c r="F119" s="1385"/>
      <c r="G119" s="1778"/>
      <c r="H119" s="1594"/>
      <c r="I119" s="1595"/>
      <c r="J119" s="1594"/>
      <c r="K119" s="1632"/>
      <c r="L119" s="1632"/>
      <c r="M119" s="1710"/>
      <c r="N119" s="1710"/>
      <c r="O119" s="1710"/>
      <c r="P119" s="1710"/>
      <c r="Q119" s="1710"/>
      <c r="R119" s="1710"/>
      <c r="S119" s="1710"/>
      <c r="T119" s="1710"/>
      <c r="U119" s="1710"/>
      <c r="V119" s="1710"/>
      <c r="W119" s="1710"/>
      <c r="X119" s="1710"/>
      <c r="Y119" s="1710"/>
      <c r="Z119" s="1710"/>
      <c r="AA119" s="1710"/>
    </row>
    <row r="120" spans="1:27" s="1765" customFormat="1" ht="24" customHeight="1">
      <c r="A120" s="1189" t="s">
        <v>2262</v>
      </c>
      <c r="B120" s="1538" t="s">
        <v>2167</v>
      </c>
      <c r="C120" s="1275"/>
      <c r="D120" s="1767"/>
      <c r="E120" s="1771"/>
      <c r="F120" s="1385"/>
      <c r="G120" s="1778"/>
      <c r="H120" s="1594"/>
      <c r="I120" s="1595"/>
      <c r="J120" s="1594"/>
      <c r="K120" s="1632"/>
      <c r="L120" s="1632"/>
      <c r="M120" s="1710"/>
      <c r="N120" s="1710"/>
      <c r="O120" s="1710"/>
      <c r="P120" s="1710"/>
      <c r="Q120" s="1710"/>
      <c r="R120" s="1710"/>
      <c r="S120" s="1710"/>
      <c r="T120" s="1710"/>
      <c r="U120" s="1710"/>
      <c r="V120" s="1710"/>
      <c r="W120" s="1710"/>
      <c r="X120" s="1710"/>
      <c r="Y120" s="1710"/>
      <c r="Z120" s="1710"/>
      <c r="AA120" s="1710"/>
    </row>
    <row r="121" spans="1:27" s="1765" customFormat="1" ht="24" customHeight="1">
      <c r="A121" s="1258"/>
      <c r="B121" s="1538" t="s">
        <v>2168</v>
      </c>
      <c r="C121" s="1275"/>
      <c r="D121" s="1767"/>
      <c r="E121" s="715">
        <f>E53*8</f>
        <v>32</v>
      </c>
      <c r="F121" s="1262" t="s">
        <v>226</v>
      </c>
      <c r="G121" s="2020">
        <v>69.5</v>
      </c>
      <c r="H121" s="1773">
        <f>ROUND(E121*G121,)</f>
        <v>2224</v>
      </c>
      <c r="I121" s="2011">
        <v>30</v>
      </c>
      <c r="J121" s="2008">
        <f>ROUND(E121*I121,)</f>
        <v>960</v>
      </c>
      <c r="K121" s="1774">
        <f t="shared" ref="K121:K132" si="28">H121+J121</f>
        <v>3184</v>
      </c>
      <c r="L121" s="1632"/>
      <c r="M121" s="1710"/>
      <c r="N121" s="1710"/>
      <c r="O121" s="1710"/>
      <c r="P121" s="1710"/>
      <c r="Q121" s="1710"/>
      <c r="R121" s="1710"/>
      <c r="S121" s="1710"/>
      <c r="T121" s="1710"/>
      <c r="U121" s="1710"/>
      <c r="V121" s="1710"/>
      <c r="W121" s="1710"/>
      <c r="X121" s="1710"/>
      <c r="Y121" s="1710"/>
      <c r="Z121" s="1710"/>
      <c r="AA121" s="1710"/>
    </row>
    <row r="122" spans="1:27" s="1765" customFormat="1" ht="24" customHeight="1">
      <c r="A122" s="1258"/>
      <c r="B122" s="1538" t="s">
        <v>1901</v>
      </c>
      <c r="C122" s="1275"/>
      <c r="D122" s="1767"/>
      <c r="E122" s="1771"/>
      <c r="F122" s="1358" t="s">
        <v>226</v>
      </c>
      <c r="G122" s="1558">
        <v>103.5</v>
      </c>
      <c r="H122" s="1773">
        <f t="shared" ref="H122:H132" si="29">ROUND(E122*G122,)</f>
        <v>0</v>
      </c>
      <c r="I122" s="1332">
        <v>45</v>
      </c>
      <c r="J122" s="2008">
        <f t="shared" ref="J122:J132" si="30">ROUND(E122*I122,)</f>
        <v>0</v>
      </c>
      <c r="K122" s="1774">
        <f t="shared" si="28"/>
        <v>0</v>
      </c>
      <c r="L122" s="1632"/>
      <c r="M122" s="1710"/>
      <c r="N122" s="1710"/>
      <c r="O122" s="1710"/>
      <c r="P122" s="1710"/>
      <c r="Q122" s="1710"/>
      <c r="R122" s="1710"/>
      <c r="S122" s="1710"/>
      <c r="T122" s="1710"/>
      <c r="U122" s="1710"/>
      <c r="V122" s="1710"/>
      <c r="W122" s="1710"/>
      <c r="X122" s="1710"/>
      <c r="Y122" s="1710"/>
      <c r="Z122" s="1710"/>
      <c r="AA122" s="1710"/>
    </row>
    <row r="123" spans="1:27" s="1765" customFormat="1" ht="24" customHeight="1">
      <c r="A123" s="1258"/>
      <c r="B123" s="1538" t="s">
        <v>1338</v>
      </c>
      <c r="C123" s="1275"/>
      <c r="D123" s="1767"/>
      <c r="E123" s="1771"/>
      <c r="F123" s="1358" t="s">
        <v>226</v>
      </c>
      <c r="G123" s="1558">
        <v>140</v>
      </c>
      <c r="H123" s="1773">
        <f t="shared" si="29"/>
        <v>0</v>
      </c>
      <c r="I123" s="1332">
        <v>60</v>
      </c>
      <c r="J123" s="2008">
        <f t="shared" si="30"/>
        <v>0</v>
      </c>
      <c r="K123" s="1774">
        <f t="shared" si="28"/>
        <v>0</v>
      </c>
      <c r="L123" s="1632"/>
      <c r="M123" s="1710"/>
      <c r="N123" s="1710"/>
      <c r="O123" s="1710"/>
      <c r="P123" s="1710"/>
      <c r="Q123" s="1710"/>
      <c r="R123" s="1710"/>
      <c r="S123" s="1710"/>
      <c r="T123" s="1710"/>
      <c r="U123" s="1710"/>
      <c r="V123" s="1710"/>
      <c r="W123" s="1710"/>
      <c r="X123" s="1710"/>
      <c r="Y123" s="1710"/>
      <c r="Z123" s="1710"/>
      <c r="AA123" s="1710"/>
    </row>
    <row r="124" spans="1:27" s="1765" customFormat="1" ht="24" customHeight="1">
      <c r="A124" s="1258"/>
      <c r="B124" s="1538" t="s">
        <v>1339</v>
      </c>
      <c r="C124" s="1275"/>
      <c r="D124" s="1767"/>
      <c r="E124" s="1771"/>
      <c r="F124" s="1358" t="s">
        <v>226</v>
      </c>
      <c r="G124" s="1541">
        <v>167</v>
      </c>
      <c r="H124" s="1773">
        <f t="shared" si="29"/>
        <v>0</v>
      </c>
      <c r="I124" s="2007">
        <v>70</v>
      </c>
      <c r="J124" s="2008">
        <f t="shared" si="30"/>
        <v>0</v>
      </c>
      <c r="K124" s="1774">
        <f t="shared" si="28"/>
        <v>0</v>
      </c>
      <c r="L124" s="1632"/>
      <c r="M124" s="1710"/>
      <c r="N124" s="1710"/>
      <c r="O124" s="1710"/>
      <c r="P124" s="1710"/>
      <c r="Q124" s="1710"/>
      <c r="R124" s="1710"/>
      <c r="S124" s="1710"/>
      <c r="T124" s="1710"/>
      <c r="U124" s="1710"/>
      <c r="V124" s="1710"/>
      <c r="W124" s="1710"/>
      <c r="X124" s="1710"/>
      <c r="Y124" s="1710"/>
      <c r="Z124" s="1710"/>
      <c r="AA124" s="1710"/>
    </row>
    <row r="125" spans="1:27" s="1765" customFormat="1" ht="24" customHeight="1">
      <c r="A125" s="1258"/>
      <c r="B125" s="1538" t="s">
        <v>1340</v>
      </c>
      <c r="C125" s="1275"/>
      <c r="D125" s="1767"/>
      <c r="E125" s="1771"/>
      <c r="F125" s="1358" t="s">
        <v>226</v>
      </c>
      <c r="G125" s="1541">
        <v>225</v>
      </c>
      <c r="H125" s="1773">
        <f t="shared" si="29"/>
        <v>0</v>
      </c>
      <c r="I125" s="2007">
        <v>95</v>
      </c>
      <c r="J125" s="2008">
        <f t="shared" si="30"/>
        <v>0</v>
      </c>
      <c r="K125" s="1774">
        <f t="shared" si="28"/>
        <v>0</v>
      </c>
      <c r="L125" s="1632"/>
      <c r="M125" s="1710"/>
      <c r="N125" s="1710"/>
      <c r="O125" s="1710"/>
      <c r="P125" s="1710"/>
      <c r="Q125" s="1710"/>
      <c r="R125" s="1710"/>
      <c r="S125" s="1710"/>
      <c r="T125" s="1710"/>
      <c r="U125" s="1710"/>
      <c r="V125" s="1710"/>
      <c r="W125" s="1710"/>
      <c r="X125" s="1710"/>
      <c r="Y125" s="1710"/>
      <c r="Z125" s="1710"/>
      <c r="AA125" s="1710"/>
    </row>
    <row r="126" spans="1:27" s="1765" customFormat="1" ht="24" customHeight="1">
      <c r="A126" s="1258"/>
      <c r="B126" s="1538" t="s">
        <v>1341</v>
      </c>
      <c r="C126" s="1275"/>
      <c r="D126" s="1767"/>
      <c r="E126" s="1771"/>
      <c r="F126" s="1358" t="s">
        <v>226</v>
      </c>
      <c r="G126" s="2021">
        <v>357</v>
      </c>
      <c r="H126" s="1773">
        <f t="shared" si="29"/>
        <v>0</v>
      </c>
      <c r="I126" s="819">
        <v>150</v>
      </c>
      <c r="J126" s="2008">
        <f t="shared" si="30"/>
        <v>0</v>
      </c>
      <c r="K126" s="1774">
        <f t="shared" si="28"/>
        <v>0</v>
      </c>
      <c r="L126" s="1632"/>
      <c r="M126" s="1710"/>
      <c r="N126" s="1710"/>
      <c r="O126" s="1710"/>
      <c r="P126" s="1710"/>
      <c r="Q126" s="1710"/>
      <c r="R126" s="1710"/>
      <c r="S126" s="1710"/>
      <c r="T126" s="1710"/>
      <c r="U126" s="1710"/>
      <c r="V126" s="1710"/>
      <c r="W126" s="1710"/>
      <c r="X126" s="1710"/>
      <c r="Y126" s="1710"/>
      <c r="Z126" s="1710"/>
      <c r="AA126" s="1710"/>
    </row>
    <row r="127" spans="1:27" s="1765" customFormat="1" ht="24" customHeight="1">
      <c r="A127" s="1258"/>
      <c r="B127" s="1538" t="s">
        <v>1342</v>
      </c>
      <c r="C127" s="1275"/>
      <c r="D127" s="1767"/>
      <c r="E127" s="1771">
        <f>5*50</f>
        <v>250</v>
      </c>
      <c r="F127" s="1358" t="s">
        <v>226</v>
      </c>
      <c r="G127" s="2021">
        <v>467</v>
      </c>
      <c r="H127" s="1773">
        <f t="shared" si="29"/>
        <v>116750</v>
      </c>
      <c r="I127" s="819">
        <v>200</v>
      </c>
      <c r="J127" s="2008">
        <f t="shared" si="30"/>
        <v>50000</v>
      </c>
      <c r="K127" s="1774">
        <f t="shared" si="28"/>
        <v>166750</v>
      </c>
      <c r="L127" s="1632"/>
      <c r="M127" s="1710"/>
      <c r="N127" s="1710"/>
      <c r="O127" s="1710"/>
      <c r="P127" s="1710"/>
      <c r="Q127" s="1710"/>
      <c r="R127" s="1710"/>
      <c r="S127" s="1710"/>
      <c r="T127" s="1710"/>
      <c r="U127" s="1710"/>
      <c r="V127" s="1710"/>
      <c r="W127" s="1710"/>
      <c r="X127" s="1710"/>
      <c r="Y127" s="1710"/>
      <c r="Z127" s="1710"/>
      <c r="AA127" s="1710"/>
    </row>
    <row r="128" spans="1:27" s="1765" customFormat="1" ht="24" customHeight="1">
      <c r="A128" s="1258"/>
      <c r="B128" s="1538" t="s">
        <v>1759</v>
      </c>
      <c r="C128" s="1275"/>
      <c r="D128" s="1767"/>
      <c r="E128" s="1771">
        <v>200</v>
      </c>
      <c r="F128" s="1358" t="s">
        <v>226</v>
      </c>
      <c r="G128" s="2021">
        <v>665</v>
      </c>
      <c r="H128" s="1773">
        <f t="shared" si="29"/>
        <v>133000</v>
      </c>
      <c r="I128" s="819">
        <v>280</v>
      </c>
      <c r="J128" s="2008">
        <f t="shared" si="30"/>
        <v>56000</v>
      </c>
      <c r="K128" s="1774">
        <f t="shared" si="28"/>
        <v>189000</v>
      </c>
      <c r="L128" s="1632"/>
      <c r="M128" s="1710"/>
      <c r="N128" s="1710"/>
      <c r="O128" s="1710"/>
      <c r="P128" s="1710"/>
      <c r="Q128" s="1710"/>
      <c r="R128" s="1710"/>
      <c r="S128" s="1710"/>
      <c r="T128" s="1710"/>
      <c r="U128" s="1710"/>
      <c r="V128" s="1710"/>
      <c r="W128" s="1710"/>
      <c r="X128" s="1710"/>
      <c r="Y128" s="1710"/>
      <c r="Z128" s="1710"/>
      <c r="AA128" s="1710"/>
    </row>
    <row r="129" spans="1:27" s="1765" customFormat="1" ht="24" customHeight="1">
      <c r="A129" s="1258"/>
      <c r="B129" s="1538" t="s">
        <v>1754</v>
      </c>
      <c r="C129" s="1275"/>
      <c r="D129" s="1767"/>
      <c r="E129" s="1771"/>
      <c r="F129" s="1358" t="s">
        <v>226</v>
      </c>
      <c r="G129" s="819">
        <v>1168</v>
      </c>
      <c r="H129" s="1773">
        <f t="shared" si="29"/>
        <v>0</v>
      </c>
      <c r="I129" s="819">
        <v>280</v>
      </c>
      <c r="J129" s="2008">
        <f t="shared" si="30"/>
        <v>0</v>
      </c>
      <c r="K129" s="1774">
        <f t="shared" si="28"/>
        <v>0</v>
      </c>
      <c r="L129" s="1632"/>
      <c r="M129" s="1710"/>
      <c r="N129" s="1710"/>
      <c r="O129" s="1710"/>
      <c r="P129" s="1710"/>
      <c r="Q129" s="1710"/>
      <c r="R129" s="1710"/>
      <c r="S129" s="1710"/>
      <c r="T129" s="1710"/>
      <c r="U129" s="1710"/>
      <c r="V129" s="1710"/>
      <c r="W129" s="1710"/>
      <c r="X129" s="1710"/>
      <c r="Y129" s="1710"/>
      <c r="Z129" s="1710"/>
      <c r="AA129" s="1710"/>
    </row>
    <row r="130" spans="1:27" s="1765" customFormat="1" ht="24" customHeight="1">
      <c r="A130" s="1258"/>
      <c r="B130" s="1538" t="s">
        <v>1719</v>
      </c>
      <c r="C130" s="1275"/>
      <c r="D130" s="1767"/>
      <c r="E130" s="1771">
        <v>1</v>
      </c>
      <c r="F130" s="1385" t="s">
        <v>1104</v>
      </c>
      <c r="G130" s="1778">
        <f>SUM(H121:H129)*50%</f>
        <v>125987</v>
      </c>
      <c r="H130" s="1264">
        <f t="shared" si="29"/>
        <v>125987</v>
      </c>
      <c r="I130" s="1299">
        <f>ROUND(G130*0.3,)</f>
        <v>37796</v>
      </c>
      <c r="J130" s="1264">
        <f t="shared" si="30"/>
        <v>37796</v>
      </c>
      <c r="K130" s="1273">
        <f t="shared" si="28"/>
        <v>163783</v>
      </c>
      <c r="L130" s="1632"/>
      <c r="M130" s="1710"/>
      <c r="N130" s="1710"/>
      <c r="O130" s="1710"/>
      <c r="P130" s="1710"/>
      <c r="Q130" s="1710"/>
      <c r="R130" s="1710"/>
      <c r="S130" s="1710"/>
      <c r="T130" s="1710"/>
      <c r="U130" s="1710"/>
      <c r="V130" s="1710"/>
      <c r="W130" s="1710"/>
      <c r="X130" s="1710"/>
      <c r="Y130" s="1710"/>
      <c r="Z130" s="1710"/>
      <c r="AA130" s="1710"/>
    </row>
    <row r="131" spans="1:27" s="1765" customFormat="1" ht="24" customHeight="1">
      <c r="A131" s="1258"/>
      <c r="B131" s="1538" t="s">
        <v>1720</v>
      </c>
      <c r="C131" s="1275"/>
      <c r="D131" s="1767"/>
      <c r="E131" s="1771">
        <v>1</v>
      </c>
      <c r="F131" s="1385" t="s">
        <v>1104</v>
      </c>
      <c r="G131" s="1778">
        <f>ROUND(SUM(H120:H129)*20%,)</f>
        <v>50395</v>
      </c>
      <c r="H131" s="1264">
        <f t="shared" si="29"/>
        <v>50395</v>
      </c>
      <c r="I131" s="1299">
        <f>ROUND(G131*0.3,)</f>
        <v>15119</v>
      </c>
      <c r="J131" s="1264">
        <f t="shared" si="30"/>
        <v>15119</v>
      </c>
      <c r="K131" s="1273">
        <f t="shared" si="28"/>
        <v>65514</v>
      </c>
      <c r="L131" s="1632"/>
      <c r="M131" s="1710"/>
      <c r="N131" s="1710"/>
      <c r="O131" s="1710"/>
      <c r="P131" s="1710"/>
      <c r="Q131" s="1710"/>
      <c r="R131" s="1710"/>
      <c r="S131" s="1710"/>
      <c r="T131" s="1710"/>
      <c r="U131" s="1710"/>
      <c r="V131" s="1710"/>
      <c r="W131" s="1710"/>
      <c r="X131" s="1710"/>
      <c r="Y131" s="1710"/>
      <c r="Z131" s="1710"/>
      <c r="AA131" s="1710"/>
    </row>
    <row r="132" spans="1:27" s="1765" customFormat="1" ht="24" customHeight="1">
      <c r="A132" s="1258"/>
      <c r="B132" s="1538" t="s">
        <v>1721</v>
      </c>
      <c r="C132" s="1275"/>
      <c r="D132" s="1767"/>
      <c r="E132" s="1771">
        <v>1</v>
      </c>
      <c r="F132" s="1385" t="s">
        <v>1104</v>
      </c>
      <c r="G132" s="1778">
        <f>ROUND(SUM(H120:H129)*10%,)</f>
        <v>25197</v>
      </c>
      <c r="H132" s="1264">
        <f t="shared" si="29"/>
        <v>25197</v>
      </c>
      <c r="I132" s="1299">
        <f>ROUND(G132*0.3,)</f>
        <v>7559</v>
      </c>
      <c r="J132" s="1264">
        <f t="shared" si="30"/>
        <v>7559</v>
      </c>
      <c r="K132" s="1273">
        <f t="shared" si="28"/>
        <v>32756</v>
      </c>
      <c r="L132" s="1632"/>
      <c r="M132" s="1710"/>
      <c r="N132" s="1710"/>
      <c r="O132" s="1710"/>
      <c r="P132" s="1710"/>
      <c r="Q132" s="1710"/>
      <c r="R132" s="1710"/>
      <c r="S132" s="1710"/>
      <c r="T132" s="1710"/>
      <c r="U132" s="1710"/>
      <c r="V132" s="1710"/>
      <c r="W132" s="1710"/>
      <c r="X132" s="1710"/>
      <c r="Y132" s="1710"/>
      <c r="Z132" s="1710"/>
      <c r="AA132" s="1710"/>
    </row>
    <row r="133" spans="1:27" s="1765" customFormat="1" ht="24" customHeight="1">
      <c r="A133" s="1258"/>
      <c r="B133" s="1538"/>
      <c r="C133" s="1275"/>
      <c r="D133" s="1767"/>
      <c r="E133" s="1771"/>
      <c r="F133" s="1385"/>
      <c r="G133" s="1778"/>
      <c r="H133" s="1264"/>
      <c r="I133" s="1595"/>
      <c r="J133" s="1264"/>
      <c r="K133" s="1273"/>
      <c r="L133" s="1632"/>
      <c r="M133" s="1710"/>
      <c r="N133" s="1710"/>
      <c r="O133" s="1710"/>
      <c r="P133" s="1710"/>
      <c r="Q133" s="1710"/>
      <c r="R133" s="1710"/>
      <c r="S133" s="1710"/>
      <c r="T133" s="1710"/>
      <c r="U133" s="1710"/>
      <c r="V133" s="1710"/>
      <c r="W133" s="1710"/>
      <c r="X133" s="1710"/>
      <c r="Y133" s="1710"/>
      <c r="Z133" s="1710"/>
      <c r="AA133" s="1710"/>
    </row>
    <row r="134" spans="1:27" s="1765" customFormat="1" ht="24" customHeight="1">
      <c r="A134" s="1258"/>
      <c r="B134" s="1538"/>
      <c r="C134" s="1275"/>
      <c r="D134" s="1767"/>
      <c r="E134" s="1771"/>
      <c r="F134" s="1385"/>
      <c r="G134" s="1778"/>
      <c r="H134" s="1264"/>
      <c r="I134" s="1595"/>
      <c r="J134" s="1264"/>
      <c r="K134" s="1273"/>
      <c r="L134" s="1632"/>
      <c r="M134" s="1710"/>
      <c r="N134" s="1710"/>
      <c r="O134" s="1710"/>
      <c r="P134" s="1710"/>
      <c r="Q134" s="1710"/>
      <c r="R134" s="1710"/>
      <c r="S134" s="1710"/>
      <c r="T134" s="1710"/>
      <c r="U134" s="1710"/>
      <c r="V134" s="1710"/>
      <c r="W134" s="1710"/>
      <c r="X134" s="1710"/>
      <c r="Y134" s="1710"/>
      <c r="Z134" s="1710"/>
      <c r="AA134" s="1710"/>
    </row>
    <row r="135" spans="1:27" s="1765" customFormat="1" ht="24" customHeight="1">
      <c r="A135" s="1258" t="s">
        <v>2064</v>
      </c>
      <c r="B135" s="1538" t="s">
        <v>2050</v>
      </c>
      <c r="C135" s="1275"/>
      <c r="D135" s="1767"/>
      <c r="E135" s="1771"/>
      <c r="F135" s="1385"/>
      <c r="G135" s="1778"/>
      <c r="H135" s="1594"/>
      <c r="I135" s="1595"/>
      <c r="J135" s="1594"/>
      <c r="K135" s="1632"/>
      <c r="L135" s="1632"/>
      <c r="M135" s="1710"/>
      <c r="N135" s="1710"/>
      <c r="O135" s="1710"/>
      <c r="P135" s="1710"/>
      <c r="Q135" s="1710"/>
      <c r="R135" s="1710"/>
      <c r="S135" s="1710"/>
      <c r="T135" s="1710"/>
      <c r="U135" s="1710"/>
      <c r="V135" s="1710"/>
      <c r="W135" s="1710"/>
      <c r="X135" s="1710"/>
      <c r="Y135" s="1710"/>
      <c r="Z135" s="1710"/>
      <c r="AA135" s="1710"/>
    </row>
    <row r="136" spans="1:27" s="1765" customFormat="1" ht="24" customHeight="1">
      <c r="A136" s="1258"/>
      <c r="B136" s="1538" t="s">
        <v>2168</v>
      </c>
      <c r="C136" s="1275"/>
      <c r="D136" s="1767"/>
      <c r="E136" s="1771">
        <f>E53*12</f>
        <v>48</v>
      </c>
      <c r="F136" s="1358" t="s">
        <v>226</v>
      </c>
      <c r="G136" s="819">
        <v>12</v>
      </c>
      <c r="H136" s="1343">
        <f t="shared" ref="H136:H143" si="31">ROUND(E136*G136,)</f>
        <v>576</v>
      </c>
      <c r="I136" s="819">
        <v>30</v>
      </c>
      <c r="J136" s="2005">
        <f t="shared" ref="J136:J143" si="32">ROUND(E136*I136,)</f>
        <v>1440</v>
      </c>
      <c r="K136" s="1801">
        <f t="shared" ref="K136:K143" si="33">H136+J136</f>
        <v>2016</v>
      </c>
      <c r="L136" s="2082" t="s">
        <v>2667</v>
      </c>
      <c r="M136" s="2002"/>
      <c r="N136" s="2009">
        <v>48.23</v>
      </c>
      <c r="O136" s="1199">
        <f>ROUND(N136/4,)</f>
        <v>12</v>
      </c>
      <c r="P136" s="1710"/>
      <c r="Q136" s="1710"/>
      <c r="R136" s="1710"/>
      <c r="S136" s="1710"/>
      <c r="T136" s="1710"/>
      <c r="U136" s="1710"/>
      <c r="V136" s="1710"/>
      <c r="W136" s="1710"/>
      <c r="X136" s="1710"/>
      <c r="Y136" s="1710"/>
      <c r="Z136" s="1710"/>
      <c r="AA136" s="1710"/>
    </row>
    <row r="137" spans="1:27" s="1765" customFormat="1" ht="24" customHeight="1">
      <c r="A137" s="1258"/>
      <c r="B137" s="1538" t="s">
        <v>1901</v>
      </c>
      <c r="C137" s="1275"/>
      <c r="D137" s="1767"/>
      <c r="E137" s="1771"/>
      <c r="F137" s="1358" t="s">
        <v>226</v>
      </c>
      <c r="G137" s="1541">
        <v>16</v>
      </c>
      <c r="H137" s="1369">
        <f t="shared" si="31"/>
        <v>0</v>
      </c>
      <c r="I137" s="2007">
        <v>30</v>
      </c>
      <c r="J137" s="2008">
        <f t="shared" si="32"/>
        <v>0</v>
      </c>
      <c r="K137" s="1774">
        <f t="shared" si="33"/>
        <v>0</v>
      </c>
      <c r="L137" s="2082" t="s">
        <v>2667</v>
      </c>
      <c r="M137" s="2002"/>
      <c r="N137" s="1765">
        <v>63.7</v>
      </c>
      <c r="O137" s="1199">
        <f>ROUND(N137/4,)</f>
        <v>16</v>
      </c>
      <c r="P137" s="1710"/>
      <c r="Q137" s="1710"/>
      <c r="R137" s="1710"/>
      <c r="S137" s="1710"/>
      <c r="T137" s="1710"/>
      <c r="U137" s="1710"/>
      <c r="V137" s="1710"/>
      <c r="W137" s="1710"/>
      <c r="X137" s="1710"/>
      <c r="Y137" s="1710"/>
      <c r="Z137" s="1710"/>
      <c r="AA137" s="1710"/>
    </row>
    <row r="138" spans="1:27" s="1765" customFormat="1" ht="24" customHeight="1">
      <c r="A138" s="1258"/>
      <c r="B138" s="1538" t="s">
        <v>2263</v>
      </c>
      <c r="C138" s="1275"/>
      <c r="D138" s="1767"/>
      <c r="E138" s="1771"/>
      <c r="F138" s="1358" t="s">
        <v>226</v>
      </c>
      <c r="G138" s="1541">
        <v>20</v>
      </c>
      <c r="H138" s="1369">
        <f t="shared" si="31"/>
        <v>0</v>
      </c>
      <c r="I138" s="2007">
        <v>30</v>
      </c>
      <c r="J138" s="2008">
        <f t="shared" si="32"/>
        <v>0</v>
      </c>
      <c r="K138" s="1774">
        <f t="shared" si="33"/>
        <v>0</v>
      </c>
      <c r="L138" s="2082" t="s">
        <v>2667</v>
      </c>
      <c r="M138" s="2002"/>
      <c r="N138" s="2024">
        <v>79.17</v>
      </c>
      <c r="O138" s="1199">
        <f>ROUND(N138/4,)</f>
        <v>20</v>
      </c>
      <c r="P138" s="1710"/>
      <c r="Q138" s="1710"/>
      <c r="R138" s="1710"/>
      <c r="S138" s="1710"/>
      <c r="T138" s="1710"/>
      <c r="U138" s="1710"/>
      <c r="V138" s="1710"/>
      <c r="W138" s="1710"/>
      <c r="X138" s="1710"/>
      <c r="Y138" s="1710"/>
      <c r="Z138" s="1710"/>
      <c r="AA138" s="1710"/>
    </row>
    <row r="139" spans="1:27" s="1765" customFormat="1" ht="24" customHeight="1">
      <c r="A139" s="1258"/>
      <c r="B139" s="1538" t="s">
        <v>1339</v>
      </c>
      <c r="C139" s="1275"/>
      <c r="D139" s="1767"/>
      <c r="E139" s="1771"/>
      <c r="F139" s="1358" t="s">
        <v>226</v>
      </c>
      <c r="G139" s="1541">
        <v>26</v>
      </c>
      <c r="H139" s="1369">
        <f t="shared" si="31"/>
        <v>0</v>
      </c>
      <c r="I139" s="2007">
        <v>30</v>
      </c>
      <c r="J139" s="2008">
        <f t="shared" si="32"/>
        <v>0</v>
      </c>
      <c r="K139" s="1774">
        <f t="shared" si="33"/>
        <v>0</v>
      </c>
      <c r="L139" s="2082" t="s">
        <v>2667</v>
      </c>
      <c r="M139" s="2002"/>
      <c r="N139" s="2024">
        <v>103.74</v>
      </c>
      <c r="O139" s="1199">
        <f>ROUND(N139/4,)</f>
        <v>26</v>
      </c>
      <c r="P139" s="1710"/>
      <c r="Q139" s="1710"/>
      <c r="R139" s="1710"/>
      <c r="S139" s="1710"/>
      <c r="T139" s="1710"/>
      <c r="U139" s="1710"/>
      <c r="V139" s="1710"/>
      <c r="W139" s="1710"/>
      <c r="X139" s="1710"/>
      <c r="Y139" s="1710"/>
      <c r="Z139" s="1710"/>
      <c r="AA139" s="1710"/>
    </row>
    <row r="140" spans="1:27" s="1765" customFormat="1" ht="24" customHeight="1">
      <c r="A140" s="1258"/>
      <c r="B140" s="1538" t="s">
        <v>1340</v>
      </c>
      <c r="C140" s="1275"/>
      <c r="D140" s="1767"/>
      <c r="E140" s="1771">
        <f>5*30</f>
        <v>150</v>
      </c>
      <c r="F140" s="1358" t="s">
        <v>226</v>
      </c>
      <c r="G140" s="1541">
        <v>41</v>
      </c>
      <c r="H140" s="1369">
        <f t="shared" si="31"/>
        <v>6150</v>
      </c>
      <c r="I140" s="2007">
        <v>40</v>
      </c>
      <c r="J140" s="2008">
        <f t="shared" si="32"/>
        <v>6000</v>
      </c>
      <c r="K140" s="1774">
        <f t="shared" si="33"/>
        <v>12150</v>
      </c>
      <c r="L140" s="2082" t="s">
        <v>2667</v>
      </c>
      <c r="M140" s="2002"/>
      <c r="N140" s="2024">
        <v>163.80000000000001</v>
      </c>
      <c r="O140" s="1199">
        <f>ROUND(N140/4,)</f>
        <v>41</v>
      </c>
      <c r="P140" s="1710"/>
      <c r="Q140" s="1710"/>
      <c r="R140" s="1710"/>
      <c r="S140" s="1710"/>
      <c r="T140" s="1710"/>
      <c r="U140" s="1710"/>
      <c r="V140" s="1710"/>
      <c r="W140" s="1710"/>
      <c r="X140" s="1710"/>
      <c r="Y140" s="1710"/>
      <c r="Z140" s="1710"/>
      <c r="AA140" s="1710"/>
    </row>
    <row r="141" spans="1:27" s="1765" customFormat="1" ht="24" customHeight="1">
      <c r="A141" s="1258"/>
      <c r="B141" s="1538" t="s">
        <v>1719</v>
      </c>
      <c r="C141" s="1275"/>
      <c r="D141" s="1767"/>
      <c r="E141" s="1771">
        <v>1</v>
      </c>
      <c r="F141" s="1385" t="s">
        <v>1104</v>
      </c>
      <c r="G141" s="1778">
        <f>SUM(H136:H140)*50%</f>
        <v>3363</v>
      </c>
      <c r="H141" s="1264">
        <f t="shared" si="31"/>
        <v>3363</v>
      </c>
      <c r="I141" s="1299">
        <f>ROUND(G141*0.3,)</f>
        <v>1009</v>
      </c>
      <c r="J141" s="1264">
        <f t="shared" si="32"/>
        <v>1009</v>
      </c>
      <c r="K141" s="1273">
        <f t="shared" si="33"/>
        <v>4372</v>
      </c>
      <c r="L141" s="1632"/>
      <c r="M141" s="1710"/>
      <c r="N141" s="1710"/>
      <c r="O141" s="1710"/>
      <c r="P141" s="1710"/>
      <c r="Q141" s="1710"/>
      <c r="R141" s="1710"/>
      <c r="S141" s="1710"/>
      <c r="T141" s="1710"/>
      <c r="U141" s="1710"/>
      <c r="V141" s="1710"/>
      <c r="W141" s="1710"/>
      <c r="X141" s="1710"/>
      <c r="Y141" s="1710"/>
      <c r="Z141" s="1710"/>
      <c r="AA141" s="1710"/>
    </row>
    <row r="142" spans="1:27" s="1765" customFormat="1" ht="24" customHeight="1">
      <c r="A142" s="1258"/>
      <c r="B142" s="1538" t="s">
        <v>1720</v>
      </c>
      <c r="C142" s="1275"/>
      <c r="D142" s="1767"/>
      <c r="E142" s="1771">
        <v>1</v>
      </c>
      <c r="F142" s="1385" t="s">
        <v>1104</v>
      </c>
      <c r="G142" s="1778">
        <f>ROUND(SUM(H136:H140)*30%,)</f>
        <v>2018</v>
      </c>
      <c r="H142" s="1264">
        <f t="shared" si="31"/>
        <v>2018</v>
      </c>
      <c r="I142" s="1299">
        <f>ROUND(G142*0.3,)</f>
        <v>605</v>
      </c>
      <c r="J142" s="1264">
        <f t="shared" si="32"/>
        <v>605</v>
      </c>
      <c r="K142" s="1273">
        <f t="shared" si="33"/>
        <v>2623</v>
      </c>
      <c r="L142" s="1632"/>
      <c r="M142" s="1710"/>
      <c r="N142" s="1710"/>
      <c r="O142" s="1710"/>
      <c r="P142" s="1710"/>
      <c r="Q142" s="1710"/>
      <c r="R142" s="1710"/>
      <c r="S142" s="1710"/>
      <c r="T142" s="1710"/>
      <c r="U142" s="1710"/>
      <c r="V142" s="1710"/>
      <c r="W142" s="1710"/>
      <c r="X142" s="1710"/>
      <c r="Y142" s="1710"/>
      <c r="Z142" s="1710"/>
      <c r="AA142" s="1710"/>
    </row>
    <row r="143" spans="1:27" s="1765" customFormat="1" ht="24" customHeight="1">
      <c r="A143" s="1258"/>
      <c r="B143" s="1538" t="s">
        <v>1721</v>
      </c>
      <c r="C143" s="1275"/>
      <c r="D143" s="1767"/>
      <c r="E143" s="1771">
        <v>1</v>
      </c>
      <c r="F143" s="1385" t="s">
        <v>1104</v>
      </c>
      <c r="G143" s="1778">
        <f>ROUND(SUM(H136:H140)*10%,)</f>
        <v>673</v>
      </c>
      <c r="H143" s="1264">
        <f t="shared" si="31"/>
        <v>673</v>
      </c>
      <c r="I143" s="1299">
        <f>ROUND(G143*0.3,)</f>
        <v>202</v>
      </c>
      <c r="J143" s="1264">
        <f t="shared" si="32"/>
        <v>202</v>
      </c>
      <c r="K143" s="1273">
        <f t="shared" si="33"/>
        <v>875</v>
      </c>
      <c r="L143" s="1632"/>
      <c r="M143" s="1710"/>
      <c r="N143" s="1710"/>
      <c r="O143" s="1710"/>
      <c r="P143" s="1710"/>
      <c r="Q143" s="1710"/>
      <c r="R143" s="1710"/>
      <c r="S143" s="1710"/>
      <c r="T143" s="1710"/>
      <c r="U143" s="1710"/>
      <c r="V143" s="1710"/>
      <c r="W143" s="1710"/>
      <c r="X143" s="1710"/>
      <c r="Y143" s="1710"/>
      <c r="Z143" s="1710"/>
      <c r="AA143" s="1710"/>
    </row>
    <row r="144" spans="1:27" s="1765" customFormat="1" ht="24" customHeight="1">
      <c r="A144" s="1258"/>
      <c r="B144" s="1538" t="s">
        <v>1117</v>
      </c>
      <c r="C144" s="1275"/>
      <c r="D144" s="1767"/>
      <c r="E144" s="1771"/>
      <c r="F144" s="1385"/>
      <c r="G144" s="1778"/>
      <c r="H144" s="1594"/>
      <c r="I144" s="1595"/>
      <c r="J144" s="1594"/>
      <c r="K144" s="1632"/>
      <c r="L144" s="1632"/>
      <c r="M144" s="1710"/>
      <c r="N144" s="1710"/>
      <c r="O144" s="1710"/>
      <c r="P144" s="1710"/>
      <c r="Q144" s="1710"/>
      <c r="R144" s="1710"/>
      <c r="S144" s="1710"/>
      <c r="T144" s="1710"/>
      <c r="U144" s="1710"/>
      <c r="V144" s="1710"/>
      <c r="W144" s="1710"/>
      <c r="X144" s="1710"/>
      <c r="Y144" s="1710"/>
      <c r="Z144" s="1710"/>
      <c r="AA144" s="1710"/>
    </row>
    <row r="145" spans="1:27" s="1199" customFormat="1" ht="24" customHeight="1">
      <c r="A145" s="1258"/>
      <c r="B145" s="1538" t="s">
        <v>1118</v>
      </c>
      <c r="C145" s="1275"/>
      <c r="D145" s="1767"/>
      <c r="E145" s="1771"/>
      <c r="F145" s="1385"/>
      <c r="G145" s="1778"/>
      <c r="H145" s="1594"/>
      <c r="I145" s="1595"/>
      <c r="J145" s="1594"/>
      <c r="K145" s="1632"/>
      <c r="L145" s="1632"/>
      <c r="M145" s="1710"/>
      <c r="N145" s="1710"/>
      <c r="O145" s="1710"/>
      <c r="P145" s="1710"/>
      <c r="Q145" s="1710"/>
      <c r="R145" s="1710"/>
      <c r="S145" s="1710"/>
      <c r="T145" s="1710"/>
      <c r="U145" s="1710"/>
      <c r="V145" s="1710"/>
      <c r="W145" s="1710"/>
      <c r="X145" s="1710"/>
      <c r="Y145" s="1710"/>
      <c r="Z145" s="1710"/>
      <c r="AA145" s="1710"/>
    </row>
    <row r="146" spans="1:27" s="1765" customFormat="1" ht="24" customHeight="1">
      <c r="A146" s="1258"/>
      <c r="B146" s="1538" t="s">
        <v>1118</v>
      </c>
      <c r="C146" s="1275"/>
      <c r="D146" s="1767"/>
      <c r="E146" s="1771"/>
      <c r="F146" s="1385"/>
      <c r="G146" s="1778"/>
      <c r="H146" s="1594"/>
      <c r="I146" s="1595"/>
      <c r="J146" s="1594"/>
      <c r="K146" s="1632"/>
      <c r="L146" s="1632"/>
      <c r="M146" s="1710"/>
      <c r="N146" s="1710"/>
      <c r="O146" s="1710"/>
      <c r="P146" s="1710"/>
      <c r="Q146" s="1710"/>
      <c r="R146" s="1710"/>
      <c r="S146" s="1710"/>
      <c r="T146" s="1710"/>
      <c r="U146" s="1710"/>
      <c r="V146" s="1710"/>
      <c r="W146" s="1710"/>
      <c r="X146" s="1710"/>
      <c r="Y146" s="1710"/>
      <c r="Z146" s="1710"/>
      <c r="AA146" s="1710"/>
    </row>
    <row r="147" spans="1:27" s="1765" customFormat="1" ht="24" customHeight="1">
      <c r="A147" s="1791"/>
      <c r="B147" s="1792"/>
      <c r="C147" s="1486"/>
      <c r="D147" s="1822"/>
      <c r="E147" s="1823"/>
      <c r="F147" s="1487"/>
      <c r="G147" s="1824"/>
      <c r="H147" s="1425"/>
      <c r="I147" s="1826"/>
      <c r="J147" s="1425"/>
      <c r="K147" s="1426"/>
      <c r="L147" s="1833"/>
      <c r="M147" s="1710"/>
      <c r="N147" s="1710"/>
      <c r="O147" s="1710"/>
      <c r="P147" s="1710"/>
      <c r="Q147" s="1710"/>
      <c r="R147" s="1710"/>
      <c r="S147" s="1710"/>
      <c r="T147" s="1710"/>
      <c r="U147" s="1710"/>
      <c r="V147" s="1710"/>
      <c r="W147" s="1710"/>
      <c r="X147" s="1710"/>
      <c r="Y147" s="1710"/>
      <c r="Z147" s="1710"/>
      <c r="AA147" s="1710"/>
    </row>
    <row r="148" spans="1:27" s="1765" customFormat="1" ht="24" customHeight="1">
      <c r="A148" s="1578"/>
      <c r="B148" s="2257" t="str">
        <f>"รวมราคารายการที่ "&amp;A118</f>
        <v>รวมราคารายการที่ 7.5</v>
      </c>
      <c r="C148" s="2258"/>
      <c r="D148" s="2259"/>
      <c r="E148" s="1579"/>
      <c r="F148" s="1579"/>
      <c r="G148" s="1580"/>
      <c r="H148" s="1581">
        <f>SUM(H119:H147)</f>
        <v>466333</v>
      </c>
      <c r="I148" s="1582"/>
      <c r="J148" s="1581">
        <f>SUM(J119:J147)</f>
        <v>176690</v>
      </c>
      <c r="K148" s="1583">
        <f>SUM(K119:K147)</f>
        <v>643023</v>
      </c>
      <c r="L148" s="1583"/>
      <c r="M148" s="2019"/>
      <c r="N148" s="2019"/>
      <c r="O148" s="2019"/>
      <c r="P148" s="2019"/>
      <c r="Q148" s="2019"/>
      <c r="R148" s="2019"/>
      <c r="S148" s="2019"/>
      <c r="T148" s="2019"/>
      <c r="U148" s="2019"/>
      <c r="V148" s="2019"/>
      <c r="W148" s="2019"/>
      <c r="X148" s="2019"/>
      <c r="Y148" s="2019"/>
      <c r="Z148" s="2019"/>
      <c r="AA148" s="2019"/>
    </row>
    <row r="149" spans="1:27" s="1765" customFormat="1" ht="24" customHeight="1">
      <c r="A149" s="1863" t="s">
        <v>2073</v>
      </c>
      <c r="B149" s="1758" t="s">
        <v>2053</v>
      </c>
      <c r="C149" s="1250"/>
      <c r="D149" s="1251"/>
      <c r="E149" s="1794"/>
      <c r="F149" s="1253"/>
      <c r="G149" s="1721"/>
      <c r="H149" s="1255"/>
      <c r="I149" s="1256"/>
      <c r="J149" s="1255"/>
      <c r="K149" s="1502"/>
      <c r="L149" s="1502"/>
      <c r="M149" s="1613"/>
      <c r="N149" s="1613"/>
      <c r="O149" s="1613"/>
      <c r="P149" s="1613"/>
      <c r="Q149" s="1613"/>
      <c r="R149" s="1613"/>
      <c r="S149" s="1613"/>
      <c r="T149" s="1613"/>
      <c r="U149" s="1613"/>
      <c r="V149" s="1613"/>
      <c r="W149" s="1613"/>
      <c r="X149" s="1613"/>
      <c r="Y149" s="1613"/>
      <c r="Z149" s="1613"/>
      <c r="AA149" s="1613"/>
    </row>
    <row r="150" spans="1:27" s="1765" customFormat="1" ht="24" customHeight="1">
      <c r="A150" s="1258" t="s">
        <v>2075</v>
      </c>
      <c r="B150" s="1538" t="s">
        <v>2264</v>
      </c>
      <c r="C150" s="1437"/>
      <c r="D150" s="1275"/>
      <c r="E150" s="1768"/>
      <c r="F150" s="1358"/>
      <c r="G150" s="1516"/>
      <c r="H150" s="1264"/>
      <c r="I150" s="1265"/>
      <c r="J150" s="1264"/>
      <c r="K150" s="1273"/>
      <c r="L150" s="1273"/>
      <c r="M150" s="1613"/>
      <c r="N150" s="1613"/>
      <c r="O150" s="1613"/>
      <c r="P150" s="1613"/>
      <c r="Q150" s="1613"/>
      <c r="R150" s="1613"/>
      <c r="S150" s="1613"/>
      <c r="T150" s="1613"/>
      <c r="U150" s="1613"/>
      <c r="V150" s="1613"/>
      <c r="W150" s="1613"/>
      <c r="X150" s="1613"/>
      <c r="Y150" s="1613"/>
      <c r="Z150" s="1613"/>
      <c r="AA150" s="1613"/>
    </row>
    <row r="151" spans="1:27" s="1765" customFormat="1" ht="24" customHeight="1">
      <c r="A151" s="1258"/>
      <c r="B151" s="1538" t="s">
        <v>2168</v>
      </c>
      <c r="C151" s="1275"/>
      <c r="D151" s="1767"/>
      <c r="E151" s="1771">
        <f>E136</f>
        <v>48</v>
      </c>
      <c r="F151" s="1358" t="s">
        <v>226</v>
      </c>
      <c r="G151" s="1516">
        <v>54</v>
      </c>
      <c r="H151" s="1264">
        <f t="shared" ref="H151" si="34">ROUND(E151*G151,)</f>
        <v>2592</v>
      </c>
      <c r="I151" s="1265">
        <v>17</v>
      </c>
      <c r="J151" s="1264">
        <f t="shared" ref="J151" si="35">ROUND(E151*I151,)</f>
        <v>816</v>
      </c>
      <c r="K151" s="1273">
        <f t="shared" ref="K151" si="36">H151+J151</f>
        <v>3408</v>
      </c>
      <c r="L151" s="1273"/>
      <c r="M151" s="1613"/>
      <c r="N151" s="1613"/>
      <c r="O151" s="1613"/>
      <c r="P151" s="1613"/>
      <c r="Q151" s="1613"/>
      <c r="R151" s="1613"/>
      <c r="S151" s="1613"/>
      <c r="T151" s="1613"/>
      <c r="U151" s="1613"/>
      <c r="V151" s="1613"/>
      <c r="W151" s="1613"/>
      <c r="X151" s="1613"/>
      <c r="Y151" s="1613"/>
      <c r="Z151" s="1613"/>
      <c r="AA151" s="1613"/>
    </row>
    <row r="152" spans="1:27" s="1765" customFormat="1" ht="24" customHeight="1">
      <c r="A152" s="1258"/>
      <c r="B152" s="1538" t="s">
        <v>1901</v>
      </c>
      <c r="C152" s="1275"/>
      <c r="D152" s="1767"/>
      <c r="E152" s="1771"/>
      <c r="F152" s="1358" t="s">
        <v>226</v>
      </c>
      <c r="G152" s="1516"/>
      <c r="H152" s="1264"/>
      <c r="I152" s="1265"/>
      <c r="J152" s="1264"/>
      <c r="K152" s="1273"/>
      <c r="L152" s="1273"/>
      <c r="M152" s="1613"/>
      <c r="N152" s="1613"/>
      <c r="O152" s="1613"/>
      <c r="P152" s="1613"/>
      <c r="Q152" s="1613"/>
      <c r="R152" s="1613"/>
      <c r="S152" s="1613"/>
      <c r="T152" s="1613"/>
      <c r="U152" s="1613"/>
      <c r="V152" s="1613"/>
      <c r="W152" s="1613"/>
      <c r="X152" s="1613"/>
      <c r="Y152" s="1613"/>
      <c r="Z152" s="1613"/>
      <c r="AA152" s="1613"/>
    </row>
    <row r="153" spans="1:27" s="1765" customFormat="1" ht="24" customHeight="1">
      <c r="A153" s="1258"/>
      <c r="B153" s="1538" t="s">
        <v>2263</v>
      </c>
      <c r="C153" s="1275"/>
      <c r="D153" s="1767"/>
      <c r="E153" s="1771"/>
      <c r="F153" s="1358" t="s">
        <v>226</v>
      </c>
      <c r="G153" s="1516"/>
      <c r="H153" s="1264"/>
      <c r="I153" s="1265"/>
      <c r="J153" s="1264"/>
      <c r="K153" s="1273"/>
      <c r="L153" s="1273"/>
      <c r="M153" s="1613"/>
      <c r="N153" s="1613"/>
      <c r="O153" s="1613"/>
      <c r="P153" s="1613"/>
      <c r="Q153" s="1613"/>
      <c r="R153" s="1613"/>
      <c r="S153" s="1613"/>
      <c r="T153" s="1613"/>
      <c r="U153" s="1613"/>
      <c r="V153" s="1613"/>
      <c r="W153" s="1613"/>
      <c r="X153" s="1613"/>
      <c r="Y153" s="1613"/>
      <c r="Z153" s="1613"/>
      <c r="AA153" s="1613"/>
    </row>
    <row r="154" spans="1:27" s="1765" customFormat="1" ht="24" customHeight="1">
      <c r="A154" s="1258"/>
      <c r="B154" s="1538" t="s">
        <v>1339</v>
      </c>
      <c r="C154" s="1437"/>
      <c r="D154" s="1275"/>
      <c r="E154" s="1771"/>
      <c r="F154" s="1358" t="s">
        <v>226</v>
      </c>
      <c r="G154" s="1516">
        <v>121</v>
      </c>
      <c r="H154" s="1264">
        <f t="shared" ref="H154:H169" si="37">ROUND(E154*G154,)</f>
        <v>0</v>
      </c>
      <c r="I154" s="1265">
        <f>ROUND(20*1.5*1.3,)</f>
        <v>39</v>
      </c>
      <c r="J154" s="1264">
        <f t="shared" ref="J154:J158" si="38">ROUND(E154*I154,)</f>
        <v>0</v>
      </c>
      <c r="K154" s="1273">
        <f t="shared" ref="K154:K158" si="39">H154+J154</f>
        <v>0</v>
      </c>
      <c r="L154" s="1273"/>
      <c r="M154" s="1613"/>
      <c r="N154" s="1613"/>
      <c r="O154" s="1613"/>
      <c r="P154" s="1613"/>
      <c r="Q154" s="1613"/>
      <c r="R154" s="1613"/>
      <c r="S154" s="1613"/>
      <c r="T154" s="1613"/>
      <c r="U154" s="1613"/>
      <c r="V154" s="1613"/>
      <c r="W154" s="1613"/>
      <c r="X154" s="1613"/>
      <c r="Y154" s="1613"/>
      <c r="Z154" s="1613"/>
      <c r="AA154" s="1613"/>
    </row>
    <row r="155" spans="1:27" s="1765" customFormat="1" ht="24" customHeight="1">
      <c r="A155" s="1258"/>
      <c r="B155" s="1538" t="s">
        <v>1340</v>
      </c>
      <c r="C155" s="1437"/>
      <c r="D155" s="1275"/>
      <c r="E155" s="1771">
        <f>E140</f>
        <v>150</v>
      </c>
      <c r="F155" s="1358" t="s">
        <v>226</v>
      </c>
      <c r="G155" s="1516">
        <v>148</v>
      </c>
      <c r="H155" s="1264">
        <f t="shared" si="37"/>
        <v>22200</v>
      </c>
      <c r="I155" s="1265">
        <f>ROUND(20*2*1.3,)</f>
        <v>52</v>
      </c>
      <c r="J155" s="1264">
        <f t="shared" si="38"/>
        <v>7800</v>
      </c>
      <c r="K155" s="1273">
        <f t="shared" si="39"/>
        <v>30000</v>
      </c>
      <c r="L155" s="1273"/>
      <c r="M155" s="1613"/>
      <c r="N155" s="1613"/>
      <c r="O155" s="1613"/>
      <c r="P155" s="1613"/>
      <c r="Q155" s="1613"/>
      <c r="R155" s="1613"/>
      <c r="S155" s="1613"/>
      <c r="T155" s="1613"/>
      <c r="U155" s="1613"/>
      <c r="V155" s="1613"/>
      <c r="W155" s="1613"/>
      <c r="X155" s="1613"/>
      <c r="Y155" s="1613"/>
      <c r="Z155" s="1613"/>
      <c r="AA155" s="1613"/>
    </row>
    <row r="156" spans="1:27" s="1765" customFormat="1" ht="24" customHeight="1">
      <c r="A156" s="1258"/>
      <c r="B156" s="1538" t="s">
        <v>1341</v>
      </c>
      <c r="C156" s="1437"/>
      <c r="D156" s="1275"/>
      <c r="E156" s="1771"/>
      <c r="F156" s="1358" t="s">
        <v>226</v>
      </c>
      <c r="G156" s="1516">
        <v>187</v>
      </c>
      <c r="H156" s="1264">
        <f t="shared" si="37"/>
        <v>0</v>
      </c>
      <c r="I156" s="1265">
        <f>ROUND(20*2.5*1.3,)</f>
        <v>65</v>
      </c>
      <c r="J156" s="1264">
        <f t="shared" si="38"/>
        <v>0</v>
      </c>
      <c r="K156" s="1273">
        <f t="shared" si="39"/>
        <v>0</v>
      </c>
      <c r="L156" s="1273"/>
      <c r="M156" s="1613"/>
      <c r="N156" s="1613"/>
      <c r="O156" s="1613"/>
      <c r="P156" s="1613"/>
      <c r="Q156" s="1613"/>
      <c r="R156" s="1613"/>
      <c r="S156" s="1613"/>
      <c r="T156" s="1613"/>
      <c r="U156" s="1613"/>
      <c r="V156" s="1613"/>
      <c r="W156" s="1613"/>
      <c r="X156" s="1613"/>
      <c r="Y156" s="1613"/>
      <c r="Z156" s="1613"/>
      <c r="AA156" s="1613"/>
    </row>
    <row r="157" spans="1:27" s="1765" customFormat="1" ht="24" customHeight="1">
      <c r="A157" s="1258"/>
      <c r="B157" s="1538" t="s">
        <v>1342</v>
      </c>
      <c r="C157" s="1437"/>
      <c r="D157" s="1275"/>
      <c r="E157" s="1771"/>
      <c r="F157" s="1358" t="s">
        <v>226</v>
      </c>
      <c r="G157" s="1516">
        <v>220</v>
      </c>
      <c r="H157" s="1264">
        <f t="shared" si="37"/>
        <v>0</v>
      </c>
      <c r="I157" s="1265">
        <f>ROUND(20*3*1.3,)</f>
        <v>78</v>
      </c>
      <c r="J157" s="1264">
        <f t="shared" si="38"/>
        <v>0</v>
      </c>
      <c r="K157" s="1273">
        <f t="shared" si="39"/>
        <v>0</v>
      </c>
      <c r="L157" s="1273"/>
      <c r="M157" s="1613"/>
      <c r="N157" s="1613"/>
      <c r="O157" s="1613"/>
      <c r="P157" s="1613"/>
      <c r="Q157" s="1613"/>
      <c r="R157" s="1613"/>
      <c r="S157" s="1613"/>
      <c r="T157" s="1613"/>
      <c r="U157" s="1613"/>
      <c r="V157" s="1613"/>
      <c r="W157" s="1613"/>
      <c r="X157" s="1613"/>
      <c r="Y157" s="1613"/>
      <c r="Z157" s="1613"/>
      <c r="AA157" s="1613"/>
    </row>
    <row r="158" spans="1:27" s="1765" customFormat="1" ht="24" customHeight="1">
      <c r="A158" s="1258"/>
      <c r="B158" s="1538" t="s">
        <v>1759</v>
      </c>
      <c r="C158" s="1437"/>
      <c r="D158" s="1275"/>
      <c r="E158" s="1771"/>
      <c r="F158" s="1358" t="s">
        <v>226</v>
      </c>
      <c r="G158" s="1516">
        <v>259</v>
      </c>
      <c r="H158" s="1264">
        <f t="shared" si="37"/>
        <v>0</v>
      </c>
      <c r="I158" s="1265">
        <f>ROUND(20*4*1.3,)</f>
        <v>104</v>
      </c>
      <c r="J158" s="1264">
        <f t="shared" si="38"/>
        <v>0</v>
      </c>
      <c r="K158" s="1273">
        <f t="shared" si="39"/>
        <v>0</v>
      </c>
      <c r="L158" s="1273"/>
      <c r="M158" s="1613"/>
      <c r="N158" s="1613"/>
      <c r="O158" s="1613"/>
      <c r="P158" s="1613"/>
      <c r="Q158" s="1613"/>
      <c r="R158" s="1613"/>
      <c r="S158" s="1613"/>
      <c r="T158" s="1613"/>
      <c r="U158" s="1613"/>
      <c r="V158" s="1613"/>
      <c r="W158" s="1613"/>
      <c r="X158" s="1613"/>
      <c r="Y158" s="1613"/>
      <c r="Z158" s="1613"/>
      <c r="AA158" s="1613"/>
    </row>
    <row r="159" spans="1:27" s="1765" customFormat="1" ht="24" customHeight="1">
      <c r="A159" s="1258"/>
      <c r="B159" s="1538"/>
      <c r="C159" s="1437"/>
      <c r="D159" s="1275"/>
      <c r="E159" s="1771"/>
      <c r="F159" s="1358"/>
      <c r="G159" s="1516"/>
      <c r="H159" s="1264"/>
      <c r="I159" s="1265"/>
      <c r="J159" s="1264"/>
      <c r="K159" s="1273"/>
      <c r="L159" s="1273"/>
      <c r="M159" s="1613"/>
      <c r="N159" s="1613"/>
      <c r="O159" s="1613"/>
      <c r="P159" s="1613"/>
      <c r="Q159" s="1613"/>
      <c r="R159" s="1613"/>
      <c r="S159" s="1613"/>
      <c r="T159" s="1613"/>
      <c r="U159" s="1613"/>
      <c r="V159" s="1613"/>
      <c r="W159" s="1613"/>
      <c r="X159" s="1613"/>
      <c r="Y159" s="1613"/>
      <c r="Z159" s="1613"/>
      <c r="AA159" s="1613"/>
    </row>
    <row r="160" spans="1:27" s="1765" customFormat="1" ht="24" customHeight="1">
      <c r="A160" s="1258" t="s">
        <v>2170</v>
      </c>
      <c r="B160" s="1538" t="s">
        <v>2169</v>
      </c>
      <c r="C160" s="1437"/>
      <c r="D160" s="1275"/>
      <c r="E160" s="1768"/>
      <c r="F160" s="1358"/>
      <c r="G160" s="1516"/>
      <c r="H160" s="1264"/>
      <c r="I160" s="1265"/>
      <c r="J160" s="1264"/>
      <c r="K160" s="1273"/>
      <c r="L160" s="1273"/>
      <c r="M160" s="1613"/>
      <c r="N160" s="1613"/>
      <c r="O160" s="1613"/>
      <c r="P160" s="1613"/>
      <c r="Q160" s="1613"/>
      <c r="R160" s="1613"/>
      <c r="S160" s="1613"/>
      <c r="T160" s="1613"/>
      <c r="U160" s="1613"/>
      <c r="V160" s="1613"/>
      <c r="W160" s="1613"/>
      <c r="X160" s="1613"/>
      <c r="Y160" s="1613"/>
      <c r="Z160" s="1613"/>
      <c r="AA160" s="1613"/>
    </row>
    <row r="161" spans="1:27" s="1765" customFormat="1" ht="24" customHeight="1">
      <c r="A161" s="1258"/>
      <c r="B161" s="1538" t="s">
        <v>2168</v>
      </c>
      <c r="C161" s="1437"/>
      <c r="D161" s="1275"/>
      <c r="E161" s="1768">
        <f>E121</f>
        <v>32</v>
      </c>
      <c r="F161" s="1358" t="s">
        <v>226</v>
      </c>
      <c r="G161" s="1516">
        <v>63</v>
      </c>
      <c r="H161" s="1264">
        <f t="shared" si="37"/>
        <v>2016</v>
      </c>
      <c r="I161" s="1265">
        <v>20</v>
      </c>
      <c r="J161" s="1264">
        <f t="shared" ref="J161" si="40">ROUND(E161*I161,)</f>
        <v>640</v>
      </c>
      <c r="K161" s="1273">
        <f t="shared" ref="K161" si="41">H161+J161</f>
        <v>2656</v>
      </c>
      <c r="L161" s="1273"/>
      <c r="M161" s="1613"/>
      <c r="N161" s="1613"/>
      <c r="O161" s="1613"/>
      <c r="P161" s="1613"/>
      <c r="Q161" s="1613"/>
      <c r="R161" s="1613"/>
      <c r="S161" s="1613"/>
      <c r="T161" s="1613"/>
      <c r="U161" s="1613"/>
      <c r="V161" s="1613"/>
      <c r="W161" s="1613"/>
      <c r="X161" s="1613"/>
      <c r="Y161" s="1613"/>
      <c r="Z161" s="1613"/>
      <c r="AA161" s="1613"/>
    </row>
    <row r="162" spans="1:27" s="1765" customFormat="1" ht="24" customHeight="1">
      <c r="A162" s="1258"/>
      <c r="B162" s="1538" t="s">
        <v>1901</v>
      </c>
      <c r="C162" s="1437"/>
      <c r="D162" s="1275"/>
      <c r="E162" s="1768"/>
      <c r="F162" s="1358" t="s">
        <v>226</v>
      </c>
      <c r="G162" s="1516"/>
      <c r="H162" s="1264"/>
      <c r="I162" s="1265"/>
      <c r="J162" s="1264"/>
      <c r="K162" s="1273"/>
      <c r="L162" s="1273"/>
      <c r="M162" s="1613"/>
      <c r="N162" s="1613"/>
      <c r="O162" s="1613"/>
      <c r="P162" s="1613"/>
      <c r="Q162" s="1613"/>
      <c r="R162" s="1613"/>
      <c r="S162" s="1613"/>
      <c r="T162" s="1613"/>
      <c r="U162" s="1613"/>
      <c r="V162" s="1613"/>
      <c r="W162" s="1613"/>
      <c r="X162" s="1613"/>
      <c r="Y162" s="1613"/>
      <c r="Z162" s="1613"/>
      <c r="AA162" s="1613"/>
    </row>
    <row r="163" spans="1:27" s="1765" customFormat="1" ht="24" customHeight="1">
      <c r="A163" s="1258"/>
      <c r="B163" s="1538" t="s">
        <v>1338</v>
      </c>
      <c r="C163" s="1437"/>
      <c r="D163" s="1275"/>
      <c r="E163" s="1768"/>
      <c r="F163" s="1358" t="s">
        <v>226</v>
      </c>
      <c r="G163" s="1516"/>
      <c r="H163" s="1264"/>
      <c r="I163" s="1265"/>
      <c r="J163" s="1264"/>
      <c r="K163" s="1273"/>
      <c r="L163" s="1273"/>
      <c r="M163" s="1613"/>
      <c r="N163" s="1613"/>
      <c r="O163" s="1613"/>
      <c r="P163" s="1613"/>
      <c r="Q163" s="1613"/>
      <c r="R163" s="1613"/>
      <c r="S163" s="1613"/>
      <c r="T163" s="1613"/>
      <c r="U163" s="1613"/>
      <c r="V163" s="1613"/>
      <c r="W163" s="1613"/>
      <c r="X163" s="1613"/>
      <c r="Y163" s="1613"/>
      <c r="Z163" s="1613"/>
      <c r="AA163" s="1613"/>
    </row>
    <row r="164" spans="1:27" s="1765" customFormat="1" ht="24" customHeight="1">
      <c r="A164" s="1258" t="s">
        <v>2226</v>
      </c>
      <c r="B164" s="1538" t="s">
        <v>2265</v>
      </c>
      <c r="C164" s="1437"/>
      <c r="D164" s="1275"/>
      <c r="E164" s="1768"/>
      <c r="F164" s="1358"/>
      <c r="G164" s="1516"/>
      <c r="H164" s="1264"/>
      <c r="I164" s="1265"/>
      <c r="J164" s="1264"/>
      <c r="K164" s="1273"/>
      <c r="L164" s="1273"/>
      <c r="M164" s="1613"/>
      <c r="N164" s="1613"/>
      <c r="O164" s="1613"/>
      <c r="P164" s="1613"/>
      <c r="Q164" s="1613"/>
      <c r="R164" s="1613"/>
      <c r="S164" s="1613"/>
      <c r="T164" s="1613"/>
      <c r="U164" s="1613"/>
      <c r="V164" s="1613"/>
      <c r="W164" s="1613"/>
      <c r="X164" s="1613"/>
      <c r="Y164" s="1613"/>
      <c r="Z164" s="1613"/>
      <c r="AA164" s="1613"/>
    </row>
    <row r="165" spans="1:27" s="1765" customFormat="1" ht="24" customHeight="1">
      <c r="A165" s="1258"/>
      <c r="B165" s="1538" t="s">
        <v>1339</v>
      </c>
      <c r="C165" s="1437"/>
      <c r="D165" s="1275"/>
      <c r="E165" s="1771"/>
      <c r="F165" s="1358" t="s">
        <v>226</v>
      </c>
      <c r="G165" s="1516">
        <v>164</v>
      </c>
      <c r="H165" s="1264">
        <f t="shared" si="37"/>
        <v>0</v>
      </c>
      <c r="I165" s="1265">
        <f>ROUND(20*1.5*1.3,)</f>
        <v>39</v>
      </c>
      <c r="J165" s="1264">
        <f t="shared" ref="J165:J169" si="42">ROUND(E165*I165,)</f>
        <v>0</v>
      </c>
      <c r="K165" s="1273">
        <f t="shared" ref="K165:K169" si="43">H165+J165</f>
        <v>0</v>
      </c>
      <c r="L165" s="1273"/>
      <c r="M165" s="1613"/>
      <c r="N165" s="1613"/>
      <c r="O165" s="1613"/>
      <c r="P165" s="1613"/>
      <c r="Q165" s="1613"/>
      <c r="R165" s="1613"/>
      <c r="S165" s="1613"/>
      <c r="T165" s="1613"/>
      <c r="U165" s="1613"/>
      <c r="V165" s="1613"/>
      <c r="W165" s="1613"/>
      <c r="X165" s="1613"/>
      <c r="Y165" s="1613"/>
      <c r="Z165" s="1613"/>
      <c r="AA165" s="1613"/>
    </row>
    <row r="166" spans="1:27" s="1765" customFormat="1" ht="24" customHeight="1">
      <c r="A166" s="1258"/>
      <c r="B166" s="1538" t="s">
        <v>1340</v>
      </c>
      <c r="C166" s="1437"/>
      <c r="D166" s="1275"/>
      <c r="E166" s="1771"/>
      <c r="F166" s="1358" t="s">
        <v>226</v>
      </c>
      <c r="G166" s="1516">
        <v>200</v>
      </c>
      <c r="H166" s="1264">
        <f t="shared" si="37"/>
        <v>0</v>
      </c>
      <c r="I166" s="1265">
        <f>ROUND(20*2*1.3,)</f>
        <v>52</v>
      </c>
      <c r="J166" s="1264">
        <f t="shared" si="42"/>
        <v>0</v>
      </c>
      <c r="K166" s="1273">
        <f t="shared" si="43"/>
        <v>0</v>
      </c>
      <c r="L166" s="1273"/>
      <c r="M166" s="1613"/>
      <c r="N166" s="1613"/>
      <c r="O166" s="1613"/>
      <c r="P166" s="1613"/>
      <c r="Q166" s="1613"/>
      <c r="R166" s="1613"/>
      <c r="S166" s="1613"/>
      <c r="T166" s="1613"/>
      <c r="U166" s="1613"/>
      <c r="V166" s="1613"/>
      <c r="W166" s="1613"/>
      <c r="X166" s="1613"/>
      <c r="Y166" s="1613"/>
      <c r="Z166" s="1613"/>
      <c r="AA166" s="1613"/>
    </row>
    <row r="167" spans="1:27" s="1765" customFormat="1" ht="24" customHeight="1">
      <c r="A167" s="1258"/>
      <c r="B167" s="1538" t="s">
        <v>1341</v>
      </c>
      <c r="C167" s="1437"/>
      <c r="D167" s="1275"/>
      <c r="E167" s="1771"/>
      <c r="F167" s="1358" t="s">
        <v>226</v>
      </c>
      <c r="G167" s="1516">
        <v>256</v>
      </c>
      <c r="H167" s="1264">
        <f t="shared" si="37"/>
        <v>0</v>
      </c>
      <c r="I167" s="1265">
        <f>ROUND(20*2.5*1.3,)</f>
        <v>65</v>
      </c>
      <c r="J167" s="1264">
        <f t="shared" si="42"/>
        <v>0</v>
      </c>
      <c r="K167" s="1273">
        <f t="shared" si="43"/>
        <v>0</v>
      </c>
      <c r="L167" s="1273"/>
      <c r="M167" s="1613"/>
      <c r="N167" s="1613"/>
      <c r="O167" s="1613"/>
      <c r="P167" s="1613"/>
      <c r="Q167" s="1613"/>
      <c r="R167" s="1613"/>
      <c r="S167" s="1613"/>
      <c r="T167" s="1613"/>
      <c r="U167" s="1613"/>
      <c r="V167" s="1613"/>
      <c r="W167" s="1613"/>
      <c r="X167" s="1613"/>
      <c r="Y167" s="1613"/>
      <c r="Z167" s="1613"/>
      <c r="AA167" s="1613"/>
    </row>
    <row r="168" spans="1:27" s="1765" customFormat="1" ht="24" customHeight="1">
      <c r="A168" s="1258"/>
      <c r="B168" s="1538" t="s">
        <v>1342</v>
      </c>
      <c r="C168" s="1437"/>
      <c r="D168" s="1275"/>
      <c r="E168" s="1771">
        <f>E127</f>
        <v>250</v>
      </c>
      <c r="F168" s="1358" t="s">
        <v>226</v>
      </c>
      <c r="G168" s="1516">
        <v>302</v>
      </c>
      <c r="H168" s="1264">
        <f t="shared" si="37"/>
        <v>75500</v>
      </c>
      <c r="I168" s="1265">
        <f>ROUND(20*3*1.3,)</f>
        <v>78</v>
      </c>
      <c r="J168" s="1264">
        <f t="shared" si="42"/>
        <v>19500</v>
      </c>
      <c r="K168" s="1273">
        <f t="shared" si="43"/>
        <v>95000</v>
      </c>
      <c r="L168" s="1273"/>
      <c r="M168" s="1613"/>
      <c r="N168" s="1613"/>
      <c r="O168" s="1613"/>
      <c r="P168" s="1613"/>
      <c r="Q168" s="1613"/>
      <c r="R168" s="1613"/>
      <c r="S168" s="1613"/>
      <c r="T168" s="1613"/>
      <c r="U168" s="1613"/>
      <c r="V168" s="1613"/>
      <c r="W168" s="1613"/>
      <c r="X168" s="1613"/>
      <c r="Y168" s="1613"/>
      <c r="Z168" s="1613"/>
      <c r="AA168" s="1613"/>
    </row>
    <row r="169" spans="1:27" s="1765" customFormat="1" ht="24" customHeight="1">
      <c r="A169" s="1258"/>
      <c r="B169" s="1538" t="s">
        <v>1759</v>
      </c>
      <c r="C169" s="1437"/>
      <c r="D169" s="1275"/>
      <c r="E169" s="1771"/>
      <c r="F169" s="1358" t="s">
        <v>226</v>
      </c>
      <c r="G169" s="1516">
        <v>367</v>
      </c>
      <c r="H169" s="1264">
        <f t="shared" si="37"/>
        <v>0</v>
      </c>
      <c r="I169" s="1265">
        <f>ROUND(20*4*1.3,)</f>
        <v>104</v>
      </c>
      <c r="J169" s="1264">
        <f t="shared" si="42"/>
        <v>0</v>
      </c>
      <c r="K169" s="1273">
        <f t="shared" si="43"/>
        <v>0</v>
      </c>
      <c r="L169" s="1273"/>
      <c r="M169" s="1613"/>
      <c r="N169" s="1613"/>
      <c r="O169" s="1613"/>
      <c r="P169" s="1613"/>
      <c r="Q169" s="1613"/>
      <c r="R169" s="1613"/>
      <c r="S169" s="1613"/>
      <c r="T169" s="1613"/>
      <c r="U169" s="1613"/>
      <c r="V169" s="1613"/>
      <c r="W169" s="1613"/>
      <c r="X169" s="1613"/>
      <c r="Y169" s="1613"/>
      <c r="Z169" s="1613"/>
      <c r="AA169" s="1613"/>
    </row>
    <row r="170" spans="1:27" s="1765" customFormat="1" ht="24" customHeight="1">
      <c r="A170" s="1258"/>
      <c r="B170" s="1538" t="s">
        <v>1117</v>
      </c>
      <c r="C170" s="1437"/>
      <c r="D170" s="1275"/>
      <c r="E170" s="1768"/>
      <c r="F170" s="1358"/>
      <c r="G170" s="1516"/>
      <c r="H170" s="1264"/>
      <c r="I170" s="1265"/>
      <c r="J170" s="1264"/>
      <c r="K170" s="1273"/>
      <c r="L170" s="1273"/>
      <c r="M170" s="1613"/>
      <c r="N170" s="1613"/>
      <c r="O170" s="1613"/>
      <c r="P170" s="1613"/>
      <c r="Q170" s="1613"/>
      <c r="R170" s="1613"/>
      <c r="S170" s="1613"/>
      <c r="T170" s="1613"/>
      <c r="U170" s="1613"/>
      <c r="V170" s="1613"/>
      <c r="W170" s="1613"/>
      <c r="X170" s="1613"/>
      <c r="Y170" s="1613"/>
      <c r="Z170" s="1613"/>
      <c r="AA170" s="1613"/>
    </row>
    <row r="171" spans="1:27" s="1765" customFormat="1" ht="24" customHeight="1">
      <c r="A171" s="1258"/>
      <c r="B171" s="1538" t="s">
        <v>1118</v>
      </c>
      <c r="C171" s="1437"/>
      <c r="D171" s="1275"/>
      <c r="E171" s="1768"/>
      <c r="F171" s="1358"/>
      <c r="G171" s="1516"/>
      <c r="H171" s="1264"/>
      <c r="I171" s="1265"/>
      <c r="J171" s="1264"/>
      <c r="K171" s="1273"/>
      <c r="L171" s="1273"/>
      <c r="M171" s="1613"/>
      <c r="N171" s="1613"/>
      <c r="O171" s="1613"/>
      <c r="P171" s="1613"/>
      <c r="Q171" s="1613"/>
      <c r="R171" s="1613"/>
      <c r="S171" s="1613"/>
      <c r="T171" s="1613"/>
      <c r="U171" s="1613"/>
      <c r="V171" s="1613"/>
      <c r="W171" s="1613"/>
      <c r="X171" s="1613"/>
      <c r="Y171" s="1613"/>
      <c r="Z171" s="1613"/>
      <c r="AA171" s="1613"/>
    </row>
    <row r="172" spans="1:27" s="1765" customFormat="1" ht="24" customHeight="1">
      <c r="A172" s="1578"/>
      <c r="B172" s="2257" t="str">
        <f>"รวมราคารายการที่ "&amp;A149</f>
        <v>รวมราคารายการที่ 7.6</v>
      </c>
      <c r="C172" s="2258"/>
      <c r="D172" s="2259"/>
      <c r="E172" s="1579"/>
      <c r="F172" s="1579"/>
      <c r="G172" s="1580"/>
      <c r="H172" s="1581">
        <f>SUM(H150:H171)</f>
        <v>102308</v>
      </c>
      <c r="I172" s="1582"/>
      <c r="J172" s="1581">
        <f>SUM(J150:J171)</f>
        <v>28756</v>
      </c>
      <c r="K172" s="1583">
        <f>SUM(K150:K171)</f>
        <v>131064</v>
      </c>
      <c r="L172" s="1583"/>
      <c r="M172" s="2019"/>
      <c r="N172" s="2019"/>
      <c r="O172" s="2019"/>
      <c r="P172" s="2019"/>
      <c r="Q172" s="2019"/>
      <c r="R172" s="2019"/>
      <c r="S172" s="2019"/>
      <c r="T172" s="2019"/>
      <c r="U172" s="2019"/>
      <c r="V172" s="2019"/>
      <c r="W172" s="2019"/>
      <c r="X172" s="2019"/>
      <c r="Y172" s="2019"/>
      <c r="Z172" s="2019"/>
      <c r="AA172" s="2019"/>
    </row>
    <row r="173" spans="1:27" s="1765" customFormat="1" ht="24" customHeight="1">
      <c r="A173" s="1757">
        <v>7.7</v>
      </c>
      <c r="B173" s="1758" t="s">
        <v>2061</v>
      </c>
      <c r="C173" s="1250"/>
      <c r="D173" s="1251"/>
      <c r="E173" s="1794"/>
      <c r="F173" s="1253"/>
      <c r="G173" s="1721"/>
      <c r="H173" s="1255"/>
      <c r="I173" s="1256"/>
      <c r="J173" s="1255"/>
      <c r="K173" s="1502"/>
      <c r="L173" s="1502"/>
      <c r="M173" s="1613"/>
      <c r="N173" s="1613"/>
      <c r="O173" s="1613"/>
      <c r="P173" s="1613"/>
      <c r="Q173" s="1613"/>
      <c r="R173" s="1613"/>
      <c r="S173" s="1613"/>
      <c r="T173" s="1613"/>
      <c r="U173" s="1613"/>
      <c r="V173" s="1613"/>
      <c r="W173" s="1613"/>
      <c r="X173" s="1613"/>
      <c r="Y173" s="1613"/>
      <c r="Z173" s="1613"/>
      <c r="AA173" s="1613"/>
    </row>
    <row r="174" spans="1:27" s="1765" customFormat="1" ht="24" customHeight="1">
      <c r="A174" s="1258" t="s">
        <v>2084</v>
      </c>
      <c r="B174" s="1538" t="s">
        <v>2063</v>
      </c>
      <c r="C174" s="1437"/>
      <c r="D174" s="1275"/>
      <c r="E174" s="1768"/>
      <c r="F174" s="1358"/>
      <c r="G174" s="1516"/>
      <c r="H174" s="1264"/>
      <c r="I174" s="1265"/>
      <c r="J174" s="1264"/>
      <c r="K174" s="1273"/>
      <c r="L174" s="1273"/>
      <c r="M174" s="1613"/>
      <c r="N174" s="1613"/>
      <c r="O174" s="1613"/>
      <c r="P174" s="1613"/>
      <c r="Q174" s="1613"/>
      <c r="R174" s="1613"/>
      <c r="S174" s="1613"/>
      <c r="T174" s="1613"/>
      <c r="U174" s="1613"/>
      <c r="V174" s="1613"/>
      <c r="W174" s="1613"/>
      <c r="X174" s="1613"/>
      <c r="Y174" s="1613"/>
      <c r="Z174" s="1613"/>
      <c r="AA174" s="1613"/>
    </row>
    <row r="175" spans="1:27" s="1765" customFormat="1" ht="24" customHeight="1">
      <c r="A175" s="1258"/>
      <c r="B175" s="1538" t="s">
        <v>1448</v>
      </c>
      <c r="C175" s="1437"/>
      <c r="D175" s="1275"/>
      <c r="E175" s="1768">
        <f>E53*2</f>
        <v>8</v>
      </c>
      <c r="F175" s="1358" t="s">
        <v>363</v>
      </c>
      <c r="G175" s="2010">
        <v>880</v>
      </c>
      <c r="H175" s="1773">
        <f t="shared" ref="H175:H179" si="44">ROUND(E175*G175,)</f>
        <v>7040</v>
      </c>
      <c r="I175" s="2011">
        <v>150</v>
      </c>
      <c r="J175" s="2008">
        <f t="shared" ref="J175:J179" si="45">ROUND(E175*I175,)</f>
        <v>1200</v>
      </c>
      <c r="K175" s="1774">
        <f t="shared" ref="K175:K179" si="46">H175+J175</f>
        <v>8240</v>
      </c>
      <c r="L175" s="2082" t="s">
        <v>2667</v>
      </c>
      <c r="M175" s="1613"/>
      <c r="N175" s="1613"/>
      <c r="O175" s="1613"/>
      <c r="P175" s="1613"/>
      <c r="Q175" s="1613"/>
      <c r="R175" s="1613"/>
      <c r="S175" s="1613"/>
      <c r="T175" s="1613"/>
      <c r="U175" s="1613"/>
      <c r="V175" s="1613"/>
      <c r="W175" s="1613"/>
      <c r="X175" s="1613"/>
      <c r="Y175" s="1613"/>
      <c r="Z175" s="1613"/>
      <c r="AA175" s="1613"/>
    </row>
    <row r="176" spans="1:27" s="1765" customFormat="1" ht="24" customHeight="1">
      <c r="A176" s="1258"/>
      <c r="B176" s="1538" t="s">
        <v>1337</v>
      </c>
      <c r="C176" s="1437"/>
      <c r="D176" s="1275"/>
      <c r="E176" s="1768"/>
      <c r="F176" s="1358" t="s">
        <v>363</v>
      </c>
      <c r="G176" s="2012">
        <v>1316</v>
      </c>
      <c r="H176" s="1264">
        <f t="shared" si="44"/>
        <v>0</v>
      </c>
      <c r="I176" s="1332">
        <v>200</v>
      </c>
      <c r="J176" s="2013">
        <f t="shared" si="45"/>
        <v>0</v>
      </c>
      <c r="K176" s="1687">
        <f t="shared" si="46"/>
        <v>0</v>
      </c>
      <c r="L176" s="2082" t="s">
        <v>2667</v>
      </c>
      <c r="M176" s="1613"/>
      <c r="N176" s="1613"/>
      <c r="O176" s="1613"/>
      <c r="P176" s="1613"/>
      <c r="Q176" s="1613"/>
      <c r="R176" s="1613"/>
      <c r="S176" s="1613"/>
      <c r="T176" s="1613"/>
      <c r="U176" s="1613"/>
      <c r="V176" s="1613"/>
      <c r="W176" s="1613"/>
      <c r="X176" s="1613"/>
      <c r="Y176" s="1613"/>
      <c r="Z176" s="1613"/>
      <c r="AA176" s="1613"/>
    </row>
    <row r="177" spans="1:27" s="1765" customFormat="1" ht="24" customHeight="1">
      <c r="A177" s="1258"/>
      <c r="B177" s="1538" t="s">
        <v>1338</v>
      </c>
      <c r="C177" s="1437"/>
      <c r="D177" s="1275"/>
      <c r="E177" s="1768"/>
      <c r="F177" s="1358" t="s">
        <v>363</v>
      </c>
      <c r="G177" s="2012">
        <v>1984</v>
      </c>
      <c r="H177" s="1264">
        <f t="shared" si="44"/>
        <v>0</v>
      </c>
      <c r="I177" s="1332">
        <v>250</v>
      </c>
      <c r="J177" s="2013">
        <f t="shared" si="45"/>
        <v>0</v>
      </c>
      <c r="K177" s="1687">
        <f t="shared" si="46"/>
        <v>0</v>
      </c>
      <c r="L177" s="2082" t="s">
        <v>2667</v>
      </c>
      <c r="M177" s="1710"/>
      <c r="N177" s="1710"/>
      <c r="O177" s="1710"/>
      <c r="P177" s="1710"/>
      <c r="Q177" s="1710"/>
      <c r="R177" s="1710"/>
      <c r="S177" s="1710"/>
      <c r="T177" s="1710"/>
      <c r="U177" s="1710"/>
      <c r="V177" s="1710"/>
      <c r="W177" s="1710"/>
      <c r="X177" s="1710"/>
      <c r="Y177" s="1710"/>
      <c r="Z177" s="1710"/>
      <c r="AA177" s="1710"/>
    </row>
    <row r="178" spans="1:27" s="1765" customFormat="1" ht="24" customHeight="1">
      <c r="A178" s="1258"/>
      <c r="B178" s="1538" t="s">
        <v>1339</v>
      </c>
      <c r="C178" s="1437"/>
      <c r="D178" s="1275"/>
      <c r="E178" s="1768"/>
      <c r="F178" s="1358" t="s">
        <v>363</v>
      </c>
      <c r="G178" s="2012">
        <v>2610</v>
      </c>
      <c r="H178" s="1264">
        <f t="shared" si="44"/>
        <v>0</v>
      </c>
      <c r="I178" s="1332">
        <v>300</v>
      </c>
      <c r="J178" s="2013">
        <f t="shared" si="45"/>
        <v>0</v>
      </c>
      <c r="K178" s="1687">
        <f t="shared" si="46"/>
        <v>0</v>
      </c>
      <c r="L178" s="2082" t="s">
        <v>2667</v>
      </c>
      <c r="M178" s="1613"/>
      <c r="N178" s="1613"/>
      <c r="O178" s="1613"/>
      <c r="P178" s="1613"/>
      <c r="Q178" s="1613"/>
      <c r="R178" s="1613"/>
      <c r="S178" s="1613"/>
      <c r="T178" s="1613"/>
      <c r="U178" s="1613"/>
      <c r="V178" s="1613"/>
      <c r="W178" s="1613"/>
      <c r="X178" s="1613"/>
      <c r="Y178" s="1613"/>
      <c r="Z178" s="1613"/>
      <c r="AA178" s="1613"/>
    </row>
    <row r="179" spans="1:27" s="1765" customFormat="1" ht="24" customHeight="1">
      <c r="A179" s="1258"/>
      <c r="B179" s="1538" t="s">
        <v>1340</v>
      </c>
      <c r="C179" s="1437"/>
      <c r="D179" s="1275"/>
      <c r="E179" s="1768"/>
      <c r="F179" s="1358" t="s">
        <v>363</v>
      </c>
      <c r="G179" s="2012">
        <v>4040</v>
      </c>
      <c r="H179" s="1264">
        <f t="shared" si="44"/>
        <v>0</v>
      </c>
      <c r="I179" s="1332">
        <v>400</v>
      </c>
      <c r="J179" s="2013">
        <f t="shared" si="45"/>
        <v>0</v>
      </c>
      <c r="K179" s="1687">
        <f t="shared" si="46"/>
        <v>0</v>
      </c>
      <c r="L179" s="2082" t="s">
        <v>2667</v>
      </c>
      <c r="M179" s="1613"/>
      <c r="N179" s="1613"/>
      <c r="O179" s="1613"/>
      <c r="P179" s="1613"/>
      <c r="Q179" s="1613"/>
      <c r="R179" s="1613"/>
      <c r="S179" s="1613"/>
      <c r="T179" s="1613"/>
      <c r="U179" s="1613"/>
      <c r="V179" s="1613"/>
      <c r="W179" s="1613"/>
      <c r="X179" s="1613"/>
      <c r="Y179" s="1613"/>
      <c r="Z179" s="1613"/>
      <c r="AA179" s="1613"/>
    </row>
    <row r="180" spans="1:27" s="1765" customFormat="1" ht="24" customHeight="1">
      <c r="A180" s="1258" t="s">
        <v>2089</v>
      </c>
      <c r="B180" s="1538" t="s">
        <v>2065</v>
      </c>
      <c r="C180" s="1437"/>
      <c r="D180" s="1275"/>
      <c r="E180" s="1768"/>
      <c r="F180" s="1358"/>
      <c r="G180" s="1516"/>
      <c r="H180" s="1264"/>
      <c r="I180" s="1265"/>
      <c r="J180" s="1264"/>
      <c r="K180" s="1273"/>
      <c r="L180" s="1273"/>
      <c r="M180" s="1613"/>
      <c r="N180" s="1613"/>
      <c r="O180" s="1613"/>
      <c r="P180" s="1613"/>
      <c r="Q180" s="1613"/>
      <c r="R180" s="1613"/>
      <c r="S180" s="1613"/>
      <c r="T180" s="1613"/>
      <c r="U180" s="1613"/>
      <c r="V180" s="1613"/>
      <c r="W180" s="1613"/>
      <c r="X180" s="1613"/>
      <c r="Y180" s="1613"/>
      <c r="Z180" s="1613"/>
      <c r="AA180" s="1613"/>
    </row>
    <row r="181" spans="1:27" s="1765" customFormat="1" ht="24" customHeight="1">
      <c r="A181" s="1258"/>
      <c r="B181" s="1538" t="s">
        <v>1341</v>
      </c>
      <c r="C181" s="1437"/>
      <c r="D181" s="1275"/>
      <c r="E181" s="1768"/>
      <c r="F181" s="1358" t="s">
        <v>363</v>
      </c>
      <c r="G181" s="1593">
        <v>1946</v>
      </c>
      <c r="H181" s="1264">
        <f t="shared" ref="H181:H210" si="47">ROUND(E181*G181,)</f>
        <v>0</v>
      </c>
      <c r="I181" s="1265">
        <v>500</v>
      </c>
      <c r="J181" s="1264">
        <f t="shared" ref="J181:J187" si="48">ROUND(E181*I181,)</f>
        <v>0</v>
      </c>
      <c r="K181" s="1273">
        <f t="shared" ref="K181:K187" si="49">H181+J181</f>
        <v>0</v>
      </c>
      <c r="L181" s="1273"/>
      <c r="M181" s="1613"/>
      <c r="N181" s="1613"/>
      <c r="O181" s="1613"/>
      <c r="P181" s="1613"/>
      <c r="Q181" s="1613"/>
      <c r="R181" s="1613"/>
      <c r="S181" s="1613"/>
      <c r="T181" s="1613"/>
      <c r="U181" s="1613"/>
      <c r="V181" s="1613"/>
      <c r="W181" s="1613"/>
      <c r="X181" s="1613"/>
      <c r="Y181" s="1613"/>
      <c r="Z181" s="1613"/>
      <c r="AA181" s="1613"/>
    </row>
    <row r="182" spans="1:27" s="1765" customFormat="1" ht="24" customHeight="1">
      <c r="A182" s="1258"/>
      <c r="B182" s="1538" t="s">
        <v>1342</v>
      </c>
      <c r="C182" s="1437"/>
      <c r="D182" s="1275"/>
      <c r="E182" s="1768">
        <f>8</f>
        <v>8</v>
      </c>
      <c r="F182" s="1358" t="s">
        <v>363</v>
      </c>
      <c r="G182" s="1593">
        <v>2218</v>
      </c>
      <c r="H182" s="1264">
        <f t="shared" si="47"/>
        <v>17744</v>
      </c>
      <c r="I182" s="1265">
        <v>600</v>
      </c>
      <c r="J182" s="1264">
        <f t="shared" si="48"/>
        <v>4800</v>
      </c>
      <c r="K182" s="1273">
        <f t="shared" si="49"/>
        <v>22544</v>
      </c>
      <c r="L182" s="1273"/>
      <c r="M182" s="1613"/>
      <c r="N182" s="1613"/>
      <c r="O182" s="1613"/>
      <c r="P182" s="1613"/>
      <c r="Q182" s="1613"/>
      <c r="R182" s="1613"/>
      <c r="S182" s="1613"/>
      <c r="T182" s="1613"/>
      <c r="U182" s="1613"/>
      <c r="V182" s="1613"/>
      <c r="W182" s="1613"/>
      <c r="X182" s="1613"/>
      <c r="Y182" s="1613"/>
      <c r="Z182" s="1613"/>
      <c r="AA182" s="1613"/>
    </row>
    <row r="183" spans="1:27" s="1765" customFormat="1" ht="24" customHeight="1">
      <c r="A183" s="1258"/>
      <c r="B183" s="1538" t="s">
        <v>1759</v>
      </c>
      <c r="C183" s="1437"/>
      <c r="D183" s="1275"/>
      <c r="E183" s="1768"/>
      <c r="F183" s="1358" t="s">
        <v>363</v>
      </c>
      <c r="G183" s="1593">
        <v>2811</v>
      </c>
      <c r="H183" s="1264">
        <f t="shared" si="47"/>
        <v>0</v>
      </c>
      <c r="I183" s="1265">
        <v>800</v>
      </c>
      <c r="J183" s="1264">
        <f t="shared" si="48"/>
        <v>0</v>
      </c>
      <c r="K183" s="1273">
        <f t="shared" si="49"/>
        <v>0</v>
      </c>
      <c r="L183" s="1632"/>
      <c r="M183" s="1710"/>
      <c r="N183" s="1710"/>
      <c r="O183" s="1710"/>
      <c r="P183" s="1710"/>
      <c r="Q183" s="1710"/>
      <c r="R183" s="1710"/>
      <c r="S183" s="1710"/>
      <c r="T183" s="1710"/>
      <c r="U183" s="1710"/>
      <c r="V183" s="1710"/>
      <c r="W183" s="1710"/>
      <c r="X183" s="1710"/>
      <c r="Y183" s="1710"/>
      <c r="Z183" s="1710"/>
      <c r="AA183" s="1710"/>
    </row>
    <row r="184" spans="1:27" s="1765" customFormat="1" ht="24" customHeight="1">
      <c r="A184" s="1258"/>
      <c r="B184" s="1538" t="s">
        <v>1754</v>
      </c>
      <c r="C184" s="1437"/>
      <c r="D184" s="1275"/>
      <c r="E184" s="1768"/>
      <c r="F184" s="1358" t="s">
        <v>363</v>
      </c>
      <c r="G184" s="1593">
        <v>6734</v>
      </c>
      <c r="H184" s="1264">
        <f t="shared" si="47"/>
        <v>0</v>
      </c>
      <c r="I184" s="1265">
        <v>1200</v>
      </c>
      <c r="J184" s="1264">
        <f t="shared" si="48"/>
        <v>0</v>
      </c>
      <c r="K184" s="1273">
        <f t="shared" si="49"/>
        <v>0</v>
      </c>
      <c r="L184" s="1273"/>
      <c r="M184" s="1613"/>
      <c r="N184" s="1613"/>
      <c r="O184" s="1613"/>
      <c r="P184" s="1613"/>
      <c r="Q184" s="1613"/>
      <c r="R184" s="1613"/>
      <c r="S184" s="1613"/>
      <c r="T184" s="1613"/>
      <c r="U184" s="1613"/>
      <c r="V184" s="1613"/>
      <c r="W184" s="1613"/>
      <c r="X184" s="1613"/>
      <c r="Y184" s="1613"/>
      <c r="Z184" s="1613"/>
      <c r="AA184" s="1613"/>
    </row>
    <row r="185" spans="1:27" s="1765" customFormat="1" ht="24" customHeight="1">
      <c r="A185" s="1258"/>
      <c r="B185" s="1538" t="s">
        <v>1755</v>
      </c>
      <c r="C185" s="1437"/>
      <c r="D185" s="1275"/>
      <c r="E185" s="1768"/>
      <c r="F185" s="1358" t="s">
        <v>363</v>
      </c>
      <c r="G185" s="1593">
        <v>9228</v>
      </c>
      <c r="H185" s="1264">
        <f t="shared" si="47"/>
        <v>0</v>
      </c>
      <c r="I185" s="1265">
        <v>1600</v>
      </c>
      <c r="J185" s="1264">
        <f t="shared" si="48"/>
        <v>0</v>
      </c>
      <c r="K185" s="1273">
        <f t="shared" si="49"/>
        <v>0</v>
      </c>
      <c r="L185" s="1632"/>
      <c r="M185" s="1710"/>
      <c r="N185" s="1710"/>
      <c r="O185" s="1710"/>
      <c r="P185" s="1710"/>
      <c r="Q185" s="1710"/>
      <c r="R185" s="1710"/>
      <c r="S185" s="1710"/>
      <c r="T185" s="1710"/>
      <c r="U185" s="1710"/>
      <c r="V185" s="1710"/>
      <c r="W185" s="1710"/>
      <c r="X185" s="1710"/>
      <c r="Y185" s="1710"/>
      <c r="Z185" s="1710"/>
      <c r="AA185" s="1710"/>
    </row>
    <row r="186" spans="1:27" s="1765" customFormat="1" ht="24" customHeight="1">
      <c r="A186" s="1258"/>
      <c r="B186" s="1538" t="s">
        <v>1866</v>
      </c>
      <c r="C186" s="1437"/>
      <c r="D186" s="1275"/>
      <c r="E186" s="1768"/>
      <c r="F186" s="1358" t="s">
        <v>363</v>
      </c>
      <c r="G186" s="1593">
        <v>14327</v>
      </c>
      <c r="H186" s="1264">
        <f t="shared" si="47"/>
        <v>0</v>
      </c>
      <c r="I186" s="1265">
        <v>2000</v>
      </c>
      <c r="J186" s="1264">
        <f t="shared" si="48"/>
        <v>0</v>
      </c>
      <c r="K186" s="1273">
        <f t="shared" si="49"/>
        <v>0</v>
      </c>
      <c r="L186" s="1273"/>
      <c r="M186" s="1613"/>
      <c r="N186" s="1613"/>
      <c r="O186" s="1613"/>
      <c r="P186" s="1613"/>
      <c r="Q186" s="1613"/>
      <c r="R186" s="1613"/>
      <c r="S186" s="1613"/>
      <c r="T186" s="1613"/>
      <c r="U186" s="1613"/>
      <c r="V186" s="1613"/>
      <c r="W186" s="1613"/>
      <c r="X186" s="1613"/>
      <c r="Y186" s="1613"/>
      <c r="Z186" s="1613"/>
      <c r="AA186" s="1613"/>
    </row>
    <row r="187" spans="1:27" s="1765" customFormat="1" ht="24" customHeight="1">
      <c r="A187" s="1258"/>
      <c r="B187" s="1538" t="s">
        <v>2367</v>
      </c>
      <c r="C187" s="1437"/>
      <c r="D187" s="1275"/>
      <c r="E187" s="1768"/>
      <c r="F187" s="1358" t="s">
        <v>363</v>
      </c>
      <c r="G187" s="1516">
        <v>19245</v>
      </c>
      <c r="H187" s="1264">
        <f t="shared" si="47"/>
        <v>0</v>
      </c>
      <c r="I187" s="1265">
        <v>2400</v>
      </c>
      <c r="J187" s="1264">
        <f t="shared" si="48"/>
        <v>0</v>
      </c>
      <c r="K187" s="1273">
        <f t="shared" si="49"/>
        <v>0</v>
      </c>
      <c r="L187" s="1273"/>
      <c r="M187" s="1613"/>
      <c r="N187" s="1613"/>
      <c r="O187" s="1613"/>
      <c r="P187" s="1613"/>
      <c r="Q187" s="1613"/>
      <c r="R187" s="1613"/>
      <c r="S187" s="1613"/>
      <c r="T187" s="1613"/>
      <c r="U187" s="1613"/>
      <c r="V187" s="1613"/>
      <c r="W187" s="1613"/>
      <c r="X187" s="1613"/>
      <c r="Y187" s="1613"/>
      <c r="Z187" s="1613"/>
      <c r="AA187" s="1613"/>
    </row>
    <row r="188" spans="1:27" s="1765" customFormat="1" ht="24" customHeight="1">
      <c r="A188" s="1258" t="s">
        <v>2266</v>
      </c>
      <c r="B188" s="1538" t="s">
        <v>2067</v>
      </c>
      <c r="C188" s="1437"/>
      <c r="D188" s="1275"/>
      <c r="E188" s="1768"/>
      <c r="F188" s="1358"/>
      <c r="G188" s="1516"/>
      <c r="H188" s="1264"/>
      <c r="I188" s="1265"/>
      <c r="J188" s="1264"/>
      <c r="K188" s="1273"/>
      <c r="L188" s="1273"/>
      <c r="M188" s="1613"/>
      <c r="N188" s="1613"/>
      <c r="O188" s="1613"/>
      <c r="P188" s="1613"/>
      <c r="Q188" s="1613"/>
      <c r="R188" s="1613"/>
      <c r="S188" s="1613"/>
      <c r="T188" s="1613"/>
      <c r="U188" s="1613"/>
      <c r="V188" s="1613"/>
      <c r="W188" s="1613"/>
      <c r="X188" s="1613"/>
      <c r="Y188" s="1613"/>
      <c r="Z188" s="1613"/>
      <c r="AA188" s="1613"/>
    </row>
    <row r="189" spans="1:27" s="1765" customFormat="1" ht="24" customHeight="1">
      <c r="A189" s="1258"/>
      <c r="B189" s="1538" t="s">
        <v>1448</v>
      </c>
      <c r="C189" s="1437"/>
      <c r="D189" s="1275"/>
      <c r="E189" s="1768">
        <f>E175/2</f>
        <v>4</v>
      </c>
      <c r="F189" s="1358" t="s">
        <v>363</v>
      </c>
      <c r="G189" s="1516">
        <v>350</v>
      </c>
      <c r="H189" s="1264">
        <f t="shared" si="47"/>
        <v>1400</v>
      </c>
      <c r="I189" s="1265">
        <v>150</v>
      </c>
      <c r="J189" s="1264">
        <f t="shared" ref="J189:J196" si="50">ROUND(E189*I189,)</f>
        <v>600</v>
      </c>
      <c r="K189" s="1273">
        <f t="shared" ref="K189:K196" si="51">H189+J189</f>
        <v>2000</v>
      </c>
      <c r="L189" s="1273"/>
      <c r="M189" s="1613"/>
      <c r="N189" s="1613"/>
      <c r="O189" s="1613"/>
      <c r="P189" s="1613"/>
      <c r="Q189" s="1613"/>
      <c r="R189" s="1613"/>
      <c r="S189" s="1613"/>
      <c r="T189" s="1613"/>
      <c r="U189" s="1613"/>
      <c r="V189" s="1613"/>
      <c r="W189" s="1613"/>
      <c r="X189" s="1613"/>
      <c r="Y189" s="1613"/>
      <c r="Z189" s="1613"/>
      <c r="AA189" s="1613"/>
    </row>
    <row r="190" spans="1:27" s="1765" customFormat="1" ht="24" customHeight="1">
      <c r="A190" s="1258"/>
      <c r="B190" s="1538" t="s">
        <v>1338</v>
      </c>
      <c r="C190" s="1437"/>
      <c r="D190" s="1275"/>
      <c r="E190" s="1768"/>
      <c r="F190" s="1358" t="s">
        <v>363</v>
      </c>
      <c r="G190" s="1516">
        <v>1084</v>
      </c>
      <c r="H190" s="1264">
        <f t="shared" si="47"/>
        <v>0</v>
      </c>
      <c r="I190" s="1265">
        <v>250</v>
      </c>
      <c r="J190" s="1264">
        <f t="shared" si="50"/>
        <v>0</v>
      </c>
      <c r="K190" s="1273">
        <f t="shared" si="51"/>
        <v>0</v>
      </c>
      <c r="L190" s="1273"/>
      <c r="M190" s="1613"/>
      <c r="N190" s="1613"/>
      <c r="O190" s="1613"/>
      <c r="P190" s="1613"/>
      <c r="Q190" s="1613"/>
      <c r="R190" s="1613"/>
      <c r="S190" s="1613"/>
      <c r="T190" s="1613"/>
      <c r="U190" s="1613"/>
      <c r="V190" s="1613"/>
      <c r="W190" s="1613"/>
      <c r="X190" s="1613"/>
      <c r="Y190" s="1613"/>
      <c r="Z190" s="1613"/>
      <c r="AA190" s="1613"/>
    </row>
    <row r="191" spans="1:27" s="1765" customFormat="1" ht="24" customHeight="1">
      <c r="A191" s="1258"/>
      <c r="B191" s="1538" t="s">
        <v>1339</v>
      </c>
      <c r="C191" s="1437"/>
      <c r="D191" s="1275"/>
      <c r="E191" s="1768"/>
      <c r="F191" s="1358" t="s">
        <v>363</v>
      </c>
      <c r="G191" s="1516">
        <v>1710</v>
      </c>
      <c r="H191" s="1264">
        <f t="shared" si="47"/>
        <v>0</v>
      </c>
      <c r="I191" s="1265">
        <v>300</v>
      </c>
      <c r="J191" s="1264">
        <f t="shared" si="50"/>
        <v>0</v>
      </c>
      <c r="K191" s="1273">
        <f t="shared" si="51"/>
        <v>0</v>
      </c>
      <c r="L191" s="1273"/>
      <c r="M191" s="1613"/>
      <c r="N191" s="1613"/>
      <c r="O191" s="1613"/>
      <c r="P191" s="1613"/>
      <c r="Q191" s="1613"/>
      <c r="R191" s="1613"/>
      <c r="S191" s="1613"/>
      <c r="T191" s="1613"/>
      <c r="U191" s="1613"/>
      <c r="V191" s="1613"/>
      <c r="W191" s="1613"/>
      <c r="X191" s="1613"/>
      <c r="Y191" s="1613"/>
      <c r="Z191" s="1613"/>
      <c r="AA191" s="1613"/>
    </row>
    <row r="192" spans="1:27" s="1765" customFormat="1" ht="24" customHeight="1">
      <c r="A192" s="1258"/>
      <c r="B192" s="1538" t="s">
        <v>1340</v>
      </c>
      <c r="C192" s="1437"/>
      <c r="D192" s="1275"/>
      <c r="E192" s="1768"/>
      <c r="F192" s="1358" t="s">
        <v>363</v>
      </c>
      <c r="G192" s="1593">
        <v>2839</v>
      </c>
      <c r="H192" s="1264">
        <f t="shared" si="47"/>
        <v>0</v>
      </c>
      <c r="I192" s="1265">
        <v>400</v>
      </c>
      <c r="J192" s="1264">
        <f t="shared" si="50"/>
        <v>0</v>
      </c>
      <c r="K192" s="1273">
        <f t="shared" si="51"/>
        <v>0</v>
      </c>
      <c r="L192" s="1273"/>
      <c r="M192" s="1613"/>
      <c r="N192" s="1613"/>
      <c r="O192" s="1613"/>
      <c r="P192" s="1613"/>
      <c r="Q192" s="1613"/>
      <c r="R192" s="1613"/>
      <c r="S192" s="1613"/>
      <c r="T192" s="1613"/>
      <c r="U192" s="1613"/>
      <c r="V192" s="1613"/>
      <c r="W192" s="1613"/>
      <c r="X192" s="1613"/>
      <c r="Y192" s="1613"/>
      <c r="Z192" s="1613"/>
      <c r="AA192" s="1613"/>
    </row>
    <row r="193" spans="1:27" s="1765" customFormat="1" ht="24" customHeight="1">
      <c r="A193" s="1258"/>
      <c r="B193" s="1538" t="s">
        <v>1341</v>
      </c>
      <c r="C193" s="1437"/>
      <c r="D193" s="1275"/>
      <c r="E193" s="1768"/>
      <c r="F193" s="1358" t="s">
        <v>363</v>
      </c>
      <c r="G193" s="1593">
        <v>3747</v>
      </c>
      <c r="H193" s="1264">
        <f t="shared" si="47"/>
        <v>0</v>
      </c>
      <c r="I193" s="1265">
        <v>500</v>
      </c>
      <c r="J193" s="1264">
        <f t="shared" si="50"/>
        <v>0</v>
      </c>
      <c r="K193" s="1273">
        <f t="shared" si="51"/>
        <v>0</v>
      </c>
      <c r="L193" s="1273"/>
      <c r="M193" s="1613"/>
      <c r="N193" s="1613"/>
      <c r="O193" s="1613"/>
      <c r="P193" s="1613"/>
      <c r="Q193" s="1613"/>
      <c r="R193" s="1613"/>
      <c r="S193" s="1613"/>
      <c r="T193" s="1613"/>
      <c r="U193" s="1613"/>
      <c r="V193" s="1613"/>
      <c r="W193" s="1613"/>
      <c r="X193" s="1613"/>
      <c r="Y193" s="1613"/>
      <c r="Z193" s="1613"/>
      <c r="AA193" s="1613"/>
    </row>
    <row r="194" spans="1:27" s="1765" customFormat="1" ht="24" customHeight="1">
      <c r="A194" s="1258"/>
      <c r="B194" s="1538" t="s">
        <v>1342</v>
      </c>
      <c r="C194" s="1437"/>
      <c r="D194" s="1275"/>
      <c r="E194" s="1768">
        <v>4</v>
      </c>
      <c r="F194" s="1358" t="s">
        <v>363</v>
      </c>
      <c r="G194" s="1593">
        <v>4489</v>
      </c>
      <c r="H194" s="1264">
        <f t="shared" si="47"/>
        <v>17956</v>
      </c>
      <c r="I194" s="1265">
        <v>600</v>
      </c>
      <c r="J194" s="1264">
        <f t="shared" si="50"/>
        <v>2400</v>
      </c>
      <c r="K194" s="1273">
        <f t="shared" si="51"/>
        <v>20356</v>
      </c>
      <c r="L194" s="1273"/>
      <c r="M194" s="1613"/>
      <c r="N194" s="1613"/>
      <c r="O194" s="1613"/>
      <c r="P194" s="1613"/>
      <c r="Q194" s="1613"/>
      <c r="R194" s="1613"/>
      <c r="S194" s="1613"/>
      <c r="T194" s="1613"/>
      <c r="U194" s="1613"/>
      <c r="V194" s="1613"/>
      <c r="W194" s="1613"/>
      <c r="X194" s="1613"/>
      <c r="Y194" s="1613"/>
      <c r="Z194" s="1613"/>
      <c r="AA194" s="1613"/>
    </row>
    <row r="195" spans="1:27" s="1765" customFormat="1" ht="24" customHeight="1">
      <c r="A195" s="1258"/>
      <c r="B195" s="1538" t="s">
        <v>1759</v>
      </c>
      <c r="C195" s="1437"/>
      <c r="D195" s="1275"/>
      <c r="E195" s="1768"/>
      <c r="F195" s="1358" t="s">
        <v>363</v>
      </c>
      <c r="G195" s="1593">
        <v>6528</v>
      </c>
      <c r="H195" s="1264">
        <f t="shared" si="47"/>
        <v>0</v>
      </c>
      <c r="I195" s="1265">
        <v>800</v>
      </c>
      <c r="J195" s="1264">
        <f t="shared" si="50"/>
        <v>0</v>
      </c>
      <c r="K195" s="1273">
        <f t="shared" si="51"/>
        <v>0</v>
      </c>
      <c r="L195" s="1273"/>
      <c r="M195" s="1613"/>
      <c r="N195" s="1613"/>
      <c r="O195" s="1613"/>
      <c r="P195" s="1613"/>
      <c r="Q195" s="1613"/>
      <c r="R195" s="1613"/>
      <c r="S195" s="1613"/>
      <c r="T195" s="1613"/>
      <c r="U195" s="1613"/>
      <c r="V195" s="1613"/>
      <c r="W195" s="1613"/>
      <c r="X195" s="1613"/>
      <c r="Y195" s="1613"/>
      <c r="Z195" s="1613"/>
      <c r="AA195" s="1613"/>
    </row>
    <row r="196" spans="1:27" s="1765" customFormat="1" ht="24" customHeight="1">
      <c r="A196" s="1258"/>
      <c r="B196" s="1538" t="s">
        <v>1754</v>
      </c>
      <c r="C196" s="1437"/>
      <c r="D196" s="1275"/>
      <c r="E196" s="1768"/>
      <c r="F196" s="1358" t="s">
        <v>363</v>
      </c>
      <c r="G196" s="1593">
        <v>12764</v>
      </c>
      <c r="H196" s="1264">
        <f t="shared" si="47"/>
        <v>0</v>
      </c>
      <c r="I196" s="1265">
        <v>1200</v>
      </c>
      <c r="J196" s="1264">
        <f t="shared" si="50"/>
        <v>0</v>
      </c>
      <c r="K196" s="1273">
        <f t="shared" si="51"/>
        <v>0</v>
      </c>
      <c r="L196" s="1273"/>
      <c r="M196" s="1613"/>
      <c r="N196" s="1613"/>
      <c r="O196" s="1613"/>
      <c r="P196" s="1613"/>
      <c r="Q196" s="1613"/>
      <c r="R196" s="1613"/>
      <c r="S196" s="1613"/>
      <c r="T196" s="1613"/>
      <c r="U196" s="1613"/>
      <c r="V196" s="1613"/>
      <c r="W196" s="1613"/>
      <c r="X196" s="1613"/>
      <c r="Y196" s="1613"/>
      <c r="Z196" s="1613"/>
      <c r="AA196" s="1613"/>
    </row>
    <row r="197" spans="1:27" s="1765" customFormat="1" ht="24" customHeight="1">
      <c r="A197" s="1258" t="s">
        <v>2368</v>
      </c>
      <c r="B197" s="1538" t="s">
        <v>2069</v>
      </c>
      <c r="C197" s="1437"/>
      <c r="D197" s="1275"/>
      <c r="E197" s="1768"/>
      <c r="F197" s="1358"/>
      <c r="G197" s="1516"/>
      <c r="H197" s="1264"/>
      <c r="I197" s="1265"/>
      <c r="J197" s="1264"/>
      <c r="K197" s="1273"/>
      <c r="L197" s="1273"/>
      <c r="M197" s="1613"/>
      <c r="N197" s="1613"/>
      <c r="O197" s="1613"/>
      <c r="P197" s="1613"/>
      <c r="Q197" s="1613"/>
      <c r="R197" s="1613"/>
      <c r="S197" s="1613"/>
      <c r="T197" s="1613"/>
      <c r="U197" s="1613"/>
      <c r="V197" s="1613"/>
      <c r="W197" s="1613"/>
      <c r="X197" s="1613"/>
      <c r="Y197" s="1613"/>
      <c r="Z197" s="1613"/>
      <c r="AA197" s="1613"/>
    </row>
    <row r="198" spans="1:27" s="1765" customFormat="1" ht="24" customHeight="1">
      <c r="A198" s="1258"/>
      <c r="B198" s="1538" t="s">
        <v>1338</v>
      </c>
      <c r="C198" s="1437"/>
      <c r="D198" s="1275"/>
      <c r="E198" s="1768"/>
      <c r="F198" s="1358" t="s">
        <v>363</v>
      </c>
      <c r="G198" s="1516">
        <v>1863</v>
      </c>
      <c r="H198" s="1264">
        <f t="shared" si="47"/>
        <v>0</v>
      </c>
      <c r="I198" s="1265">
        <v>250</v>
      </c>
      <c r="J198" s="1264">
        <f t="shared" ref="J198:J204" si="52">ROUND(E198*I198,)</f>
        <v>0</v>
      </c>
      <c r="K198" s="1273">
        <f t="shared" ref="K198:K204" si="53">H198+J198</f>
        <v>0</v>
      </c>
      <c r="L198" s="1273"/>
      <c r="M198" s="1613"/>
      <c r="N198" s="1613"/>
      <c r="O198" s="1613"/>
      <c r="P198" s="1613"/>
      <c r="Q198" s="1613"/>
      <c r="R198" s="1613"/>
      <c r="S198" s="1613"/>
      <c r="T198" s="1613"/>
      <c r="U198" s="1613"/>
      <c r="V198" s="1613"/>
      <c r="W198" s="1613"/>
      <c r="X198" s="1613"/>
      <c r="Y198" s="1613"/>
      <c r="Z198" s="1613"/>
      <c r="AA198" s="1613"/>
    </row>
    <row r="199" spans="1:27" s="1765" customFormat="1" ht="24" customHeight="1">
      <c r="A199" s="1258"/>
      <c r="B199" s="1538" t="s">
        <v>1339</v>
      </c>
      <c r="C199" s="1437"/>
      <c r="D199" s="1275"/>
      <c r="E199" s="1768"/>
      <c r="F199" s="1358" t="s">
        <v>363</v>
      </c>
      <c r="G199" s="1516">
        <v>2130</v>
      </c>
      <c r="H199" s="1264">
        <f t="shared" si="47"/>
        <v>0</v>
      </c>
      <c r="I199" s="1265">
        <v>300</v>
      </c>
      <c r="J199" s="1264">
        <f t="shared" si="52"/>
        <v>0</v>
      </c>
      <c r="K199" s="1273">
        <f t="shared" si="53"/>
        <v>0</v>
      </c>
      <c r="L199" s="1273"/>
      <c r="M199" s="1613"/>
      <c r="N199" s="1613"/>
      <c r="O199" s="1613"/>
      <c r="P199" s="1613"/>
      <c r="Q199" s="1613"/>
      <c r="R199" s="1613"/>
      <c r="S199" s="1613"/>
      <c r="T199" s="1613"/>
      <c r="U199" s="1613"/>
      <c r="V199" s="1613"/>
      <c r="W199" s="1613"/>
      <c r="X199" s="1613"/>
      <c r="Y199" s="1613"/>
      <c r="Z199" s="1613"/>
      <c r="AA199" s="1613"/>
    </row>
    <row r="200" spans="1:27" s="1765" customFormat="1" ht="24" customHeight="1">
      <c r="A200" s="1258"/>
      <c r="B200" s="1538" t="s">
        <v>1340</v>
      </c>
      <c r="C200" s="1437"/>
      <c r="D200" s="1275"/>
      <c r="E200" s="1768"/>
      <c r="F200" s="1358" t="s">
        <v>363</v>
      </c>
      <c r="G200" s="1593">
        <v>2646</v>
      </c>
      <c r="H200" s="1264">
        <f t="shared" si="47"/>
        <v>0</v>
      </c>
      <c r="I200" s="1265">
        <v>400</v>
      </c>
      <c r="J200" s="1264">
        <f t="shared" si="52"/>
        <v>0</v>
      </c>
      <c r="K200" s="1273">
        <f t="shared" si="53"/>
        <v>0</v>
      </c>
      <c r="L200" s="1273"/>
      <c r="M200" s="1613"/>
      <c r="N200" s="1613"/>
      <c r="O200" s="1613"/>
      <c r="P200" s="1613"/>
      <c r="Q200" s="1613"/>
      <c r="R200" s="1613"/>
      <c r="S200" s="1613"/>
      <c r="T200" s="1613"/>
      <c r="U200" s="1613"/>
      <c r="V200" s="1613"/>
      <c r="W200" s="1613"/>
      <c r="X200" s="1613"/>
      <c r="Y200" s="1613"/>
      <c r="Z200" s="1613"/>
      <c r="AA200" s="1613"/>
    </row>
    <row r="201" spans="1:27" s="1765" customFormat="1" ht="24" customHeight="1">
      <c r="A201" s="1258"/>
      <c r="B201" s="1538" t="s">
        <v>1341</v>
      </c>
      <c r="C201" s="1437"/>
      <c r="D201" s="1275"/>
      <c r="E201" s="1768"/>
      <c r="F201" s="1358" t="s">
        <v>363</v>
      </c>
      <c r="G201" s="1593">
        <v>3876</v>
      </c>
      <c r="H201" s="1264">
        <f t="shared" si="47"/>
        <v>0</v>
      </c>
      <c r="I201" s="1265">
        <v>500</v>
      </c>
      <c r="J201" s="1264">
        <f t="shared" si="52"/>
        <v>0</v>
      </c>
      <c r="K201" s="1273">
        <f t="shared" si="53"/>
        <v>0</v>
      </c>
      <c r="L201" s="1273"/>
      <c r="M201" s="1613"/>
      <c r="N201" s="1613"/>
      <c r="O201" s="1613"/>
      <c r="P201" s="1613"/>
      <c r="Q201" s="1613"/>
      <c r="R201" s="1613"/>
      <c r="S201" s="1613"/>
      <c r="T201" s="1613"/>
      <c r="U201" s="1613"/>
      <c r="V201" s="1613"/>
      <c r="W201" s="1613"/>
      <c r="X201" s="1613"/>
      <c r="Y201" s="1613"/>
      <c r="Z201" s="1613"/>
      <c r="AA201" s="1613"/>
    </row>
    <row r="202" spans="1:27" s="1765" customFormat="1" ht="24" customHeight="1">
      <c r="A202" s="1258"/>
      <c r="B202" s="1538" t="s">
        <v>1342</v>
      </c>
      <c r="C202" s="1437"/>
      <c r="D202" s="1275"/>
      <c r="E202" s="1768">
        <f>E182</f>
        <v>8</v>
      </c>
      <c r="F202" s="1358" t="s">
        <v>363</v>
      </c>
      <c r="G202" s="1593">
        <v>4175</v>
      </c>
      <c r="H202" s="1264">
        <f t="shared" si="47"/>
        <v>33400</v>
      </c>
      <c r="I202" s="1265">
        <v>600</v>
      </c>
      <c r="J202" s="1264">
        <f t="shared" si="52"/>
        <v>4800</v>
      </c>
      <c r="K202" s="1273">
        <f t="shared" si="53"/>
        <v>38200</v>
      </c>
      <c r="L202" s="1273"/>
      <c r="M202" s="1613"/>
      <c r="N202" s="1613"/>
      <c r="O202" s="1613"/>
      <c r="P202" s="1613"/>
      <c r="Q202" s="1613"/>
      <c r="R202" s="1613"/>
      <c r="S202" s="1613"/>
      <c r="T202" s="1613"/>
      <c r="U202" s="1613"/>
      <c r="V202" s="1613"/>
      <c r="W202" s="1613"/>
      <c r="X202" s="1613"/>
      <c r="Y202" s="1613"/>
      <c r="Z202" s="1613"/>
      <c r="AA202" s="1613"/>
    </row>
    <row r="203" spans="1:27" s="1765" customFormat="1" ht="24" customHeight="1">
      <c r="A203" s="1258"/>
      <c r="B203" s="1538" t="s">
        <v>1759</v>
      </c>
      <c r="C203" s="1437"/>
      <c r="D203" s="1275"/>
      <c r="E203" s="1768"/>
      <c r="F203" s="1358" t="s">
        <v>363</v>
      </c>
      <c r="G203" s="1593">
        <v>5541</v>
      </c>
      <c r="H203" s="1264">
        <f t="shared" si="47"/>
        <v>0</v>
      </c>
      <c r="I203" s="1265">
        <v>800</v>
      </c>
      <c r="J203" s="1264">
        <f t="shared" si="52"/>
        <v>0</v>
      </c>
      <c r="K203" s="1273">
        <f t="shared" si="53"/>
        <v>0</v>
      </c>
      <c r="L203" s="1273"/>
      <c r="M203" s="1613"/>
      <c r="N203" s="1613"/>
      <c r="O203" s="1613"/>
      <c r="P203" s="1613"/>
      <c r="Q203" s="1613"/>
      <c r="R203" s="1613"/>
      <c r="S203" s="1613"/>
      <c r="T203" s="1613"/>
      <c r="U203" s="1613"/>
      <c r="V203" s="1613"/>
      <c r="W203" s="1613"/>
      <c r="X203" s="1613"/>
      <c r="Y203" s="1613"/>
      <c r="Z203" s="1613"/>
      <c r="AA203" s="1613"/>
    </row>
    <row r="204" spans="1:27" s="1765" customFormat="1" ht="24" customHeight="1">
      <c r="A204" s="1258"/>
      <c r="B204" s="1538" t="s">
        <v>1754</v>
      </c>
      <c r="C204" s="1437"/>
      <c r="D204" s="1275"/>
      <c r="E204" s="1768"/>
      <c r="F204" s="1358" t="s">
        <v>363</v>
      </c>
      <c r="G204" s="1593">
        <v>7824</v>
      </c>
      <c r="H204" s="1264">
        <f t="shared" si="47"/>
        <v>0</v>
      </c>
      <c r="I204" s="1265">
        <v>1200</v>
      </c>
      <c r="J204" s="1264">
        <f t="shared" si="52"/>
        <v>0</v>
      </c>
      <c r="K204" s="1273">
        <f t="shared" si="53"/>
        <v>0</v>
      </c>
      <c r="L204" s="1273"/>
      <c r="M204" s="1613"/>
      <c r="N204" s="1613"/>
      <c r="O204" s="1613"/>
      <c r="P204" s="1613"/>
      <c r="Q204" s="1613"/>
      <c r="R204" s="1613"/>
      <c r="S204" s="1613"/>
      <c r="T204" s="1613"/>
      <c r="U204" s="1613"/>
      <c r="V204" s="1613"/>
      <c r="W204" s="1613"/>
      <c r="X204" s="1613"/>
      <c r="Y204" s="1613"/>
      <c r="Z204" s="1613"/>
      <c r="AA204" s="1613"/>
    </row>
    <row r="205" spans="1:27" s="1765" customFormat="1" ht="24" customHeight="1">
      <c r="A205" s="1258" t="s">
        <v>2369</v>
      </c>
      <c r="B205" s="1538" t="s">
        <v>1730</v>
      </c>
      <c r="C205" s="1437"/>
      <c r="D205" s="1275"/>
      <c r="E205" s="1768"/>
      <c r="F205" s="1358"/>
      <c r="G205" s="1516"/>
      <c r="H205" s="1264"/>
      <c r="I205" s="1265"/>
      <c r="J205" s="1264"/>
      <c r="K205" s="1273"/>
      <c r="L205" s="1273"/>
      <c r="M205" s="1613"/>
      <c r="N205" s="1613"/>
      <c r="O205" s="1613"/>
      <c r="P205" s="1613"/>
      <c r="Q205" s="1613"/>
      <c r="R205" s="1613"/>
      <c r="S205" s="1613"/>
      <c r="T205" s="1613"/>
      <c r="U205" s="1613"/>
      <c r="V205" s="1613"/>
      <c r="W205" s="1613"/>
      <c r="X205" s="1613"/>
      <c r="Y205" s="1613"/>
      <c r="Z205" s="1613"/>
      <c r="AA205" s="1613"/>
    </row>
    <row r="206" spans="1:27" s="1765" customFormat="1" ht="24" customHeight="1">
      <c r="A206" s="1258"/>
      <c r="B206" s="1538" t="s">
        <v>1337</v>
      </c>
      <c r="C206" s="1437"/>
      <c r="D206" s="1275"/>
      <c r="E206" s="1768">
        <v>7</v>
      </c>
      <c r="F206" s="1358" t="s">
        <v>363</v>
      </c>
      <c r="G206" s="1516">
        <v>2400</v>
      </c>
      <c r="H206" s="1264">
        <f t="shared" si="47"/>
        <v>16800</v>
      </c>
      <c r="I206" s="1265">
        <v>200</v>
      </c>
      <c r="J206" s="1264">
        <f t="shared" ref="J206:J210" si="54">ROUND(E206*I206,)</f>
        <v>1400</v>
      </c>
      <c r="K206" s="1273">
        <f t="shared" ref="K206:K210" si="55">H206+J206</f>
        <v>18200</v>
      </c>
      <c r="L206" s="1632"/>
      <c r="M206" s="1710"/>
      <c r="N206" s="1710"/>
      <c r="O206" s="1710"/>
      <c r="P206" s="1710"/>
      <c r="Q206" s="1710"/>
      <c r="R206" s="1710"/>
      <c r="S206" s="1710"/>
      <c r="T206" s="1710"/>
      <c r="U206" s="1710"/>
      <c r="V206" s="1710"/>
      <c r="W206" s="1710"/>
      <c r="X206" s="1710"/>
      <c r="Y206" s="1710"/>
      <c r="Z206" s="1710"/>
      <c r="AA206" s="1710"/>
    </row>
    <row r="207" spans="1:27" s="1765" customFormat="1" ht="24" customHeight="1">
      <c r="A207" s="1258" t="s">
        <v>2370</v>
      </c>
      <c r="B207" s="1538" t="s">
        <v>1741</v>
      </c>
      <c r="C207" s="1437"/>
      <c r="D207" s="1275"/>
      <c r="E207" s="1768">
        <v>8</v>
      </c>
      <c r="F207" s="1358" t="s">
        <v>363</v>
      </c>
      <c r="G207" s="1516">
        <v>1452</v>
      </c>
      <c r="H207" s="1264">
        <f t="shared" si="47"/>
        <v>11616</v>
      </c>
      <c r="I207" s="1265">
        <v>100</v>
      </c>
      <c r="J207" s="1264">
        <f t="shared" si="54"/>
        <v>800</v>
      </c>
      <c r="K207" s="1273">
        <f t="shared" si="55"/>
        <v>12416</v>
      </c>
      <c r="L207" s="1273"/>
      <c r="M207" s="1613"/>
      <c r="N207" s="1613"/>
      <c r="O207" s="1613"/>
      <c r="P207" s="1613"/>
      <c r="Q207" s="1613"/>
      <c r="R207" s="1613"/>
      <c r="S207" s="1613"/>
      <c r="T207" s="1613"/>
      <c r="U207" s="1613"/>
      <c r="V207" s="1613"/>
      <c r="W207" s="1613"/>
      <c r="X207" s="1613"/>
      <c r="Y207" s="1613"/>
      <c r="Z207" s="1613"/>
      <c r="AA207" s="1613"/>
    </row>
    <row r="208" spans="1:27" s="1765" customFormat="1" ht="24" customHeight="1">
      <c r="A208" s="1258" t="s">
        <v>2371</v>
      </c>
      <c r="B208" s="1538" t="s">
        <v>2372</v>
      </c>
      <c r="C208" s="1437"/>
      <c r="D208" s="1275"/>
      <c r="E208" s="1768">
        <v>8</v>
      </c>
      <c r="F208" s="1358" t="s">
        <v>363</v>
      </c>
      <c r="G208" s="1516">
        <v>300</v>
      </c>
      <c r="H208" s="1264">
        <f t="shared" si="47"/>
        <v>2400</v>
      </c>
      <c r="I208" s="1265">
        <v>50</v>
      </c>
      <c r="J208" s="1264">
        <f t="shared" si="54"/>
        <v>400</v>
      </c>
      <c r="K208" s="1273">
        <f t="shared" si="55"/>
        <v>2800</v>
      </c>
      <c r="L208" s="1273"/>
      <c r="M208" s="1613"/>
      <c r="N208" s="1613"/>
      <c r="O208" s="1613"/>
      <c r="P208" s="1613"/>
      <c r="Q208" s="1613"/>
      <c r="R208" s="1613"/>
      <c r="S208" s="1613"/>
      <c r="T208" s="1613"/>
      <c r="U208" s="1613"/>
      <c r="V208" s="1613"/>
      <c r="W208" s="1613"/>
      <c r="X208" s="1613"/>
      <c r="Y208" s="1613"/>
      <c r="Z208" s="1613"/>
      <c r="AA208" s="1613"/>
    </row>
    <row r="209" spans="1:28" s="1765" customFormat="1" ht="24" customHeight="1">
      <c r="A209" s="1258"/>
      <c r="B209" s="1538"/>
      <c r="C209" s="1437"/>
      <c r="D209" s="1275"/>
      <c r="E209" s="1768"/>
      <c r="F209" s="1358"/>
      <c r="G209" s="1516"/>
      <c r="H209" s="1264"/>
      <c r="I209" s="1265"/>
      <c r="J209" s="1264"/>
      <c r="K209" s="1273"/>
      <c r="L209" s="1273"/>
      <c r="M209" s="1613"/>
      <c r="N209" s="1613"/>
      <c r="O209" s="1613"/>
      <c r="P209" s="1613"/>
      <c r="Q209" s="1613"/>
      <c r="R209" s="1613"/>
      <c r="S209" s="1613"/>
      <c r="T209" s="1613"/>
      <c r="U209" s="1613"/>
      <c r="V209" s="1613"/>
      <c r="W209" s="1613"/>
      <c r="X209" s="1613"/>
      <c r="Y209" s="1613"/>
      <c r="Z209" s="1613"/>
      <c r="AA209" s="1613"/>
    </row>
    <row r="210" spans="1:28" s="1765" customFormat="1" ht="24" customHeight="1">
      <c r="A210" s="1258" t="s">
        <v>2373</v>
      </c>
      <c r="B210" s="1538" t="s">
        <v>1987</v>
      </c>
      <c r="C210" s="1437"/>
      <c r="D210" s="1275"/>
      <c r="E210" s="1768">
        <v>4</v>
      </c>
      <c r="F210" s="1358" t="s">
        <v>363</v>
      </c>
      <c r="G210" s="1516">
        <v>1590</v>
      </c>
      <c r="H210" s="1264">
        <f t="shared" si="47"/>
        <v>6360</v>
      </c>
      <c r="I210" s="1265">
        <v>110</v>
      </c>
      <c r="J210" s="1264">
        <f t="shared" si="54"/>
        <v>440</v>
      </c>
      <c r="K210" s="1273">
        <f t="shared" si="55"/>
        <v>6800</v>
      </c>
      <c r="L210" s="1273"/>
      <c r="M210" s="1613"/>
      <c r="N210" s="1613"/>
      <c r="O210" s="1613"/>
      <c r="P210" s="1613"/>
      <c r="Q210" s="1613"/>
      <c r="R210" s="1613"/>
      <c r="S210" s="1613"/>
      <c r="T210" s="1613"/>
      <c r="U210" s="1613"/>
      <c r="V210" s="1613"/>
      <c r="W210" s="1613"/>
      <c r="X210" s="1613"/>
      <c r="Y210" s="1613"/>
      <c r="Z210" s="1613"/>
      <c r="AA210" s="1613"/>
    </row>
    <row r="211" spans="1:28" s="1765" customFormat="1" ht="24" customHeight="1">
      <c r="A211" s="1258"/>
      <c r="B211" s="1538" t="s">
        <v>1117</v>
      </c>
      <c r="C211" s="1437"/>
      <c r="D211" s="1275"/>
      <c r="E211" s="1768"/>
      <c r="F211" s="1358"/>
      <c r="G211" s="1516"/>
      <c r="H211" s="1264"/>
      <c r="I211" s="1265"/>
      <c r="J211" s="1264"/>
      <c r="K211" s="1273"/>
      <c r="L211" s="1273"/>
      <c r="M211" s="1613"/>
      <c r="N211" s="1613"/>
      <c r="O211" s="1613"/>
      <c r="P211" s="1613"/>
      <c r="Q211" s="1613"/>
      <c r="R211" s="1613"/>
      <c r="S211" s="1613"/>
      <c r="T211" s="1613"/>
      <c r="U211" s="1613"/>
      <c r="V211" s="1613"/>
      <c r="W211" s="1613"/>
      <c r="X211" s="1613"/>
      <c r="Y211" s="1613"/>
      <c r="Z211" s="1613"/>
      <c r="AA211" s="1613"/>
    </row>
    <row r="212" spans="1:28" s="1765" customFormat="1" ht="24" customHeight="1">
      <c r="A212" s="1791"/>
      <c r="B212" s="1792" t="s">
        <v>1118</v>
      </c>
      <c r="C212" s="1702"/>
      <c r="D212" s="1486"/>
      <c r="E212" s="1793"/>
      <c r="F212" s="1487"/>
      <c r="G212" s="1735"/>
      <c r="H212" s="1425"/>
      <c r="I212" s="1488"/>
      <c r="J212" s="1425"/>
      <c r="K212" s="1426"/>
      <c r="L212" s="1426"/>
      <c r="M212" s="1613"/>
      <c r="N212" s="1613"/>
      <c r="O212" s="1613"/>
      <c r="P212" s="1613"/>
      <c r="Q212" s="1613"/>
      <c r="R212" s="1613"/>
      <c r="S212" s="1613"/>
      <c r="T212" s="1613"/>
      <c r="U212" s="1613"/>
      <c r="V212" s="1613"/>
      <c r="W212" s="1613"/>
      <c r="X212" s="1613"/>
      <c r="Y212" s="1613"/>
      <c r="Z212" s="1613"/>
      <c r="AA212" s="1613"/>
    </row>
    <row r="213" spans="1:28" s="1765" customFormat="1" ht="24" customHeight="1">
      <c r="A213" s="1578"/>
      <c r="B213" s="2257" t="str">
        <f>"รวมราคารายการที่ "&amp;A173</f>
        <v>รวมราคารายการที่ 7.7</v>
      </c>
      <c r="C213" s="2258"/>
      <c r="D213" s="2259"/>
      <c r="E213" s="1579"/>
      <c r="F213" s="1579"/>
      <c r="G213" s="1580"/>
      <c r="H213" s="1581">
        <f>SUM(H174:H212)</f>
        <v>114716</v>
      </c>
      <c r="I213" s="1582"/>
      <c r="J213" s="1581">
        <f>SUM(J174:J212)</f>
        <v>16840</v>
      </c>
      <c r="K213" s="1583">
        <f>SUM(K174:K212)</f>
        <v>131556</v>
      </c>
      <c r="L213" s="1583"/>
      <c r="M213" s="2019"/>
      <c r="N213" s="2019"/>
      <c r="O213" s="2019"/>
      <c r="P213" s="2019"/>
      <c r="Q213" s="2019"/>
      <c r="R213" s="2019"/>
      <c r="S213" s="2019"/>
      <c r="T213" s="2019"/>
      <c r="U213" s="2019"/>
      <c r="V213" s="2019"/>
      <c r="W213" s="2019"/>
      <c r="X213" s="2019"/>
      <c r="Y213" s="2019"/>
      <c r="Z213" s="2019"/>
      <c r="AA213" s="2019"/>
    </row>
    <row r="214" spans="1:28" s="1765" customFormat="1" ht="24" customHeight="1">
      <c r="A214" s="1757" t="s">
        <v>2091</v>
      </c>
      <c r="B214" s="1758" t="s">
        <v>2074</v>
      </c>
      <c r="C214" s="1250"/>
      <c r="D214" s="1251"/>
      <c r="E214" s="1794"/>
      <c r="F214" s="1794"/>
      <c r="G214" s="1721"/>
      <c r="H214" s="1255"/>
      <c r="I214" s="1256"/>
      <c r="J214" s="1255"/>
      <c r="K214" s="1502"/>
      <c r="L214" s="1502"/>
      <c r="M214" s="1613"/>
      <c r="N214" s="1613"/>
      <c r="O214" s="1613"/>
      <c r="P214" s="1613"/>
      <c r="Q214" s="1613"/>
      <c r="R214" s="1613"/>
      <c r="S214" s="1613"/>
      <c r="T214" s="1613"/>
      <c r="U214" s="1613"/>
      <c r="V214" s="1613"/>
      <c r="W214" s="1613"/>
      <c r="X214" s="1613"/>
      <c r="Y214" s="1613"/>
      <c r="Z214" s="1613"/>
      <c r="AA214" s="1613"/>
    </row>
    <row r="215" spans="1:28" s="1765" customFormat="1" ht="24" customHeight="1">
      <c r="A215" s="1258" t="s">
        <v>2093</v>
      </c>
      <c r="B215" s="1538" t="s">
        <v>2267</v>
      </c>
      <c r="C215" s="1437"/>
      <c r="D215" s="1275"/>
      <c r="E215" s="1768"/>
      <c r="F215" s="1768"/>
      <c r="G215" s="1516"/>
      <c r="H215" s="1264"/>
      <c r="I215" s="1265"/>
      <c r="J215" s="1264"/>
      <c r="K215" s="1273"/>
      <c r="L215" s="1273"/>
      <c r="M215" s="1613"/>
      <c r="N215" s="1613"/>
      <c r="O215" s="1613"/>
      <c r="P215" s="1613"/>
      <c r="Q215" s="1613"/>
      <c r="R215" s="1613"/>
      <c r="S215" s="1613"/>
      <c r="T215" s="1613"/>
      <c r="U215" s="1613"/>
      <c r="V215" s="1613"/>
      <c r="W215" s="1613"/>
      <c r="X215" s="1613"/>
      <c r="Y215" s="1613"/>
      <c r="Z215" s="1613"/>
      <c r="AA215" s="1613"/>
    </row>
    <row r="216" spans="1:28" s="1765" customFormat="1" ht="24" customHeight="1">
      <c r="A216" s="1258"/>
      <c r="B216" s="1538" t="s">
        <v>2077</v>
      </c>
      <c r="C216" s="1437"/>
      <c r="D216" s="1275"/>
      <c r="E216" s="1768">
        <f>102*1.15</f>
        <v>117.3</v>
      </c>
      <c r="F216" s="1768" t="s">
        <v>2078</v>
      </c>
      <c r="G216" s="1516">
        <v>218</v>
      </c>
      <c r="H216" s="1264">
        <f t="shared" ref="H216:H222" si="56">ROUND(E216*G216,)</f>
        <v>25571</v>
      </c>
      <c r="I216" s="1516">
        <f>ROUND(18*10.76,)</f>
        <v>194</v>
      </c>
      <c r="J216" s="1264">
        <f t="shared" ref="J216:J222" si="57">ROUND(E216*I216,)</f>
        <v>22756</v>
      </c>
      <c r="K216" s="1273">
        <f t="shared" ref="K216:K222" si="58">H216+J216</f>
        <v>48327</v>
      </c>
      <c r="L216" s="1273"/>
      <c r="M216" s="1613"/>
      <c r="N216" s="1613"/>
      <c r="O216" s="1613"/>
      <c r="P216" s="1613"/>
      <c r="Q216" s="1613"/>
      <c r="R216" s="1613"/>
      <c r="S216" s="1613"/>
      <c r="T216" s="1613"/>
      <c r="U216" s="1613"/>
      <c r="V216" s="1613"/>
      <c r="W216" s="1613"/>
      <c r="X216" s="1613"/>
      <c r="Y216" s="1613"/>
      <c r="Z216" s="1613"/>
      <c r="AA216" s="1613"/>
      <c r="AB216" s="1835"/>
    </row>
    <row r="217" spans="1:28" s="1765" customFormat="1" ht="24" customHeight="1">
      <c r="A217" s="1258"/>
      <c r="B217" s="1538" t="s">
        <v>2079</v>
      </c>
      <c r="C217" s="1437"/>
      <c r="D217" s="1275"/>
      <c r="E217" s="1768">
        <f>115*1.15</f>
        <v>132.25</v>
      </c>
      <c r="F217" s="1768" t="s">
        <v>2078</v>
      </c>
      <c r="G217" s="1516">
        <v>263</v>
      </c>
      <c r="H217" s="1264">
        <f t="shared" si="56"/>
        <v>34782</v>
      </c>
      <c r="I217" s="1516">
        <f>ROUND(24*10.76,)</f>
        <v>258</v>
      </c>
      <c r="J217" s="1264">
        <f t="shared" si="57"/>
        <v>34121</v>
      </c>
      <c r="K217" s="1273">
        <f t="shared" si="58"/>
        <v>68903</v>
      </c>
      <c r="L217" s="1273"/>
      <c r="M217" s="1613"/>
      <c r="N217" s="1613"/>
      <c r="O217" s="1613"/>
      <c r="P217" s="1613"/>
      <c r="Q217" s="1613"/>
      <c r="R217" s="1613"/>
      <c r="S217" s="1613"/>
      <c r="T217" s="1613"/>
      <c r="U217" s="1613"/>
      <c r="V217" s="1613"/>
      <c r="W217" s="1613"/>
      <c r="X217" s="1613"/>
      <c r="Y217" s="1613"/>
      <c r="Z217" s="1613"/>
      <c r="AA217" s="1613"/>
      <c r="AB217" s="1835"/>
    </row>
    <row r="218" spans="1:28" s="1765" customFormat="1" ht="24" customHeight="1">
      <c r="A218" s="1258"/>
      <c r="B218" s="1538" t="s">
        <v>2080</v>
      </c>
      <c r="C218" s="1437"/>
      <c r="D218" s="1275"/>
      <c r="E218" s="1768">
        <f>150*1.15</f>
        <v>172.5</v>
      </c>
      <c r="F218" s="1358" t="s">
        <v>2078</v>
      </c>
      <c r="G218" s="1516">
        <v>314</v>
      </c>
      <c r="H218" s="1264">
        <f t="shared" si="56"/>
        <v>54165</v>
      </c>
      <c r="I218" s="1516">
        <f>ROUND(25*10.76,)</f>
        <v>269</v>
      </c>
      <c r="J218" s="1264">
        <f t="shared" si="57"/>
        <v>46403</v>
      </c>
      <c r="K218" s="1273">
        <f t="shared" si="58"/>
        <v>100568</v>
      </c>
      <c r="L218" s="1273"/>
      <c r="M218" s="1613"/>
      <c r="N218" s="1613"/>
      <c r="O218" s="1613"/>
      <c r="P218" s="1613"/>
      <c r="Q218" s="1613"/>
      <c r="R218" s="1613"/>
      <c r="S218" s="1613"/>
      <c r="T218" s="1613"/>
      <c r="U218" s="1613"/>
      <c r="V218" s="1613"/>
      <c r="W218" s="1613"/>
      <c r="X218" s="1613"/>
      <c r="Y218" s="1613"/>
      <c r="Z218" s="1613"/>
      <c r="AA218" s="1613"/>
      <c r="AB218" s="1835"/>
    </row>
    <row r="219" spans="1:28" s="1765" customFormat="1" ht="24" customHeight="1">
      <c r="A219" s="1258"/>
      <c r="B219" s="1538" t="s">
        <v>2081</v>
      </c>
      <c r="C219" s="1437"/>
      <c r="D219" s="1275"/>
      <c r="E219" s="1768">
        <f>155*1.15</f>
        <v>178.25</v>
      </c>
      <c r="F219" s="1358" t="s">
        <v>2078</v>
      </c>
      <c r="G219" s="1516">
        <v>381</v>
      </c>
      <c r="H219" s="1264">
        <f t="shared" si="56"/>
        <v>67913</v>
      </c>
      <c r="I219" s="1516">
        <f>ROUND(30*10.76,)</f>
        <v>323</v>
      </c>
      <c r="J219" s="1264">
        <f t="shared" si="57"/>
        <v>57575</v>
      </c>
      <c r="K219" s="1273">
        <f t="shared" si="58"/>
        <v>125488</v>
      </c>
      <c r="L219" s="1273"/>
      <c r="M219" s="1613"/>
      <c r="N219" s="1613"/>
      <c r="O219" s="1613"/>
      <c r="P219" s="1613"/>
      <c r="Q219" s="1613"/>
      <c r="R219" s="1613"/>
      <c r="S219" s="1613"/>
      <c r="T219" s="1613"/>
      <c r="U219" s="1613"/>
      <c r="V219" s="1613"/>
      <c r="W219" s="1613"/>
      <c r="X219" s="1613"/>
      <c r="Y219" s="1613"/>
      <c r="Z219" s="1613"/>
      <c r="AA219" s="1613"/>
      <c r="AB219" s="1835"/>
    </row>
    <row r="220" spans="1:28" s="1765" customFormat="1" ht="24" customHeight="1">
      <c r="A220" s="1258"/>
      <c r="B220" s="1538" t="s">
        <v>2082</v>
      </c>
      <c r="C220" s="1437"/>
      <c r="D220" s="1275"/>
      <c r="E220" s="1768">
        <f>20*1.15</f>
        <v>23</v>
      </c>
      <c r="F220" s="1358" t="s">
        <v>2078</v>
      </c>
      <c r="G220" s="1516">
        <v>443</v>
      </c>
      <c r="H220" s="1264">
        <f t="shared" si="56"/>
        <v>10189</v>
      </c>
      <c r="I220" s="1516">
        <f>ROUND(35*10.76,)</f>
        <v>377</v>
      </c>
      <c r="J220" s="1264">
        <f t="shared" si="57"/>
        <v>8671</v>
      </c>
      <c r="K220" s="1273">
        <f t="shared" si="58"/>
        <v>18860</v>
      </c>
      <c r="L220" s="1273"/>
      <c r="M220" s="1613"/>
      <c r="N220" s="1613"/>
      <c r="O220" s="1613"/>
      <c r="P220" s="1613"/>
      <c r="Q220" s="1613"/>
      <c r="R220" s="1613"/>
      <c r="S220" s="1613"/>
      <c r="T220" s="1613"/>
      <c r="U220" s="1613"/>
      <c r="V220" s="1613"/>
      <c r="W220" s="1613"/>
      <c r="X220" s="1613"/>
      <c r="Y220" s="1613"/>
      <c r="Z220" s="1613"/>
      <c r="AA220" s="1613"/>
      <c r="AB220" s="1835"/>
    </row>
    <row r="221" spans="1:28" s="1765" customFormat="1" ht="24" customHeight="1">
      <c r="A221" s="1258"/>
      <c r="B221" s="1538" t="s">
        <v>1719</v>
      </c>
      <c r="C221" s="1437"/>
      <c r="D221" s="1275"/>
      <c r="E221" s="1768">
        <v>1</v>
      </c>
      <c r="F221" s="1358" t="s">
        <v>1104</v>
      </c>
      <c r="G221" s="1516">
        <f>SUM(H216:H220)*30%</f>
        <v>57786</v>
      </c>
      <c r="H221" s="1264">
        <f t="shared" si="56"/>
        <v>57786</v>
      </c>
      <c r="I221" s="1299">
        <f>ROUND(G221*0.3,)</f>
        <v>17336</v>
      </c>
      <c r="J221" s="1264">
        <f t="shared" si="57"/>
        <v>17336</v>
      </c>
      <c r="K221" s="1273">
        <f t="shared" si="58"/>
        <v>75122</v>
      </c>
      <c r="L221" s="1273"/>
      <c r="M221" s="1613"/>
      <c r="N221" s="1613"/>
      <c r="O221" s="1613"/>
      <c r="P221" s="1613"/>
      <c r="Q221" s="1613"/>
      <c r="R221" s="1613"/>
      <c r="S221" s="1613"/>
      <c r="T221" s="1613"/>
      <c r="U221" s="1613"/>
      <c r="V221" s="1613"/>
      <c r="W221" s="1613"/>
      <c r="X221" s="1613"/>
      <c r="Y221" s="1613"/>
      <c r="Z221" s="1613"/>
      <c r="AA221" s="1613"/>
    </row>
    <row r="222" spans="1:28" s="1765" customFormat="1" ht="24" customHeight="1">
      <c r="A222" s="1258"/>
      <c r="B222" s="1538" t="s">
        <v>1720</v>
      </c>
      <c r="C222" s="1437"/>
      <c r="D222" s="1275"/>
      <c r="E222" s="1768">
        <v>1</v>
      </c>
      <c r="F222" s="1358" t="s">
        <v>1104</v>
      </c>
      <c r="G222" s="1516">
        <f>SUM(H216:H220)*20%</f>
        <v>38524</v>
      </c>
      <c r="H222" s="1264">
        <f t="shared" si="56"/>
        <v>38524</v>
      </c>
      <c r="I222" s="1299">
        <f>ROUND(G222*0.3,)</f>
        <v>11557</v>
      </c>
      <c r="J222" s="1264">
        <f t="shared" si="57"/>
        <v>11557</v>
      </c>
      <c r="K222" s="1273">
        <f t="shared" si="58"/>
        <v>50081</v>
      </c>
      <c r="L222" s="1273"/>
      <c r="M222" s="1613"/>
      <c r="N222" s="1613"/>
      <c r="O222" s="1613"/>
      <c r="P222" s="1613"/>
      <c r="Q222" s="1613"/>
      <c r="R222" s="1613"/>
      <c r="S222" s="1613"/>
      <c r="T222" s="1613"/>
      <c r="U222" s="1613"/>
      <c r="V222" s="1613"/>
      <c r="W222" s="1613"/>
      <c r="X222" s="1613"/>
      <c r="Y222" s="1613"/>
      <c r="Z222" s="1613"/>
      <c r="AA222" s="1613"/>
    </row>
    <row r="223" spans="1:28" s="1765" customFormat="1" ht="24" customHeight="1">
      <c r="A223" s="1258" t="s">
        <v>2096</v>
      </c>
      <c r="B223" s="1538" t="s">
        <v>2171</v>
      </c>
      <c r="C223" s="1437"/>
      <c r="D223" s="1275"/>
      <c r="E223" s="1768"/>
      <c r="F223" s="1768"/>
      <c r="G223" s="1516"/>
      <c r="H223" s="1264"/>
      <c r="I223" s="1265"/>
      <c r="J223" s="1264"/>
      <c r="K223" s="1273"/>
      <c r="L223" s="1273"/>
      <c r="M223" s="1613"/>
      <c r="N223" s="1613"/>
      <c r="O223" s="1613"/>
      <c r="P223" s="1613"/>
      <c r="Q223" s="1613"/>
      <c r="R223" s="1613"/>
      <c r="S223" s="1613"/>
      <c r="T223" s="1613"/>
      <c r="U223" s="1613"/>
      <c r="V223" s="1613"/>
      <c r="W223" s="1613"/>
      <c r="X223" s="1613"/>
      <c r="Y223" s="1613"/>
      <c r="Z223" s="1613"/>
      <c r="AA223" s="1613"/>
    </row>
    <row r="224" spans="1:28" s="1765" customFormat="1" ht="24" customHeight="1">
      <c r="A224" s="1258"/>
      <c r="B224" s="1538" t="s">
        <v>2077</v>
      </c>
      <c r="C224" s="1437"/>
      <c r="D224" s="1275"/>
      <c r="E224" s="1768">
        <f>45*1.15</f>
        <v>51.749999999999993</v>
      </c>
      <c r="F224" s="1358" t="s">
        <v>2078</v>
      </c>
      <c r="G224" s="1516">
        <v>218</v>
      </c>
      <c r="H224" s="1264">
        <f t="shared" ref="H224:H232" si="59">ROUND(E224*G224,)</f>
        <v>11282</v>
      </c>
      <c r="I224" s="1516">
        <f>ROUND(18*10.76,)</f>
        <v>194</v>
      </c>
      <c r="J224" s="1264">
        <f t="shared" ref="J224:J232" si="60">ROUND(E224*I224,)</f>
        <v>10040</v>
      </c>
      <c r="K224" s="1273">
        <f t="shared" ref="K224:K232" si="61">H224+J224</f>
        <v>21322</v>
      </c>
      <c r="L224" s="1273"/>
      <c r="M224" s="1613"/>
      <c r="N224" s="1613"/>
      <c r="O224" s="1613"/>
      <c r="P224" s="1613"/>
      <c r="Q224" s="1613"/>
      <c r="R224" s="1613"/>
      <c r="S224" s="1613"/>
      <c r="T224" s="1613"/>
      <c r="U224" s="1613"/>
      <c r="V224" s="1613"/>
      <c r="W224" s="1613"/>
      <c r="X224" s="1613"/>
      <c r="Y224" s="1613"/>
      <c r="Z224" s="1613"/>
      <c r="AA224" s="1613"/>
      <c r="AB224" s="1835"/>
    </row>
    <row r="225" spans="1:28" s="1765" customFormat="1" ht="24" customHeight="1">
      <c r="A225" s="1258"/>
      <c r="B225" s="1538" t="s">
        <v>2079</v>
      </c>
      <c r="C225" s="1437"/>
      <c r="D225" s="1275"/>
      <c r="E225" s="1768">
        <f>70*1.15</f>
        <v>80.5</v>
      </c>
      <c r="F225" s="1358" t="s">
        <v>2078</v>
      </c>
      <c r="G225" s="1516">
        <v>263</v>
      </c>
      <c r="H225" s="1264">
        <f t="shared" si="59"/>
        <v>21172</v>
      </c>
      <c r="I225" s="1516">
        <f>ROUND(24*10.76,)</f>
        <v>258</v>
      </c>
      <c r="J225" s="1264">
        <f t="shared" si="60"/>
        <v>20769</v>
      </c>
      <c r="K225" s="1273">
        <f t="shared" si="61"/>
        <v>41941</v>
      </c>
      <c r="L225" s="1273"/>
      <c r="M225" s="1613"/>
      <c r="N225" s="1613"/>
      <c r="O225" s="1613"/>
      <c r="P225" s="1613"/>
      <c r="Q225" s="1613"/>
      <c r="R225" s="1613"/>
      <c r="S225" s="1613"/>
      <c r="T225" s="1613"/>
      <c r="U225" s="1613"/>
      <c r="V225" s="1613"/>
      <c r="W225" s="1613"/>
      <c r="X225" s="1613"/>
      <c r="Y225" s="1613"/>
      <c r="Z225" s="1613"/>
      <c r="AA225" s="1613"/>
      <c r="AB225" s="1835"/>
    </row>
    <row r="226" spans="1:28" s="1765" customFormat="1" ht="24" customHeight="1">
      <c r="A226" s="1258"/>
      <c r="B226" s="1538" t="s">
        <v>2080</v>
      </c>
      <c r="C226" s="1437"/>
      <c r="D226" s="1275"/>
      <c r="E226" s="1768">
        <f>405*1.15</f>
        <v>465.74999999999994</v>
      </c>
      <c r="F226" s="1358" t="s">
        <v>2078</v>
      </c>
      <c r="G226" s="1516">
        <v>314</v>
      </c>
      <c r="H226" s="1264">
        <f t="shared" si="59"/>
        <v>146246</v>
      </c>
      <c r="I226" s="1516">
        <f>ROUND(25*10.76,)</f>
        <v>269</v>
      </c>
      <c r="J226" s="1264">
        <f t="shared" si="60"/>
        <v>125287</v>
      </c>
      <c r="K226" s="1273">
        <f t="shared" si="61"/>
        <v>271533</v>
      </c>
      <c r="L226" s="1273"/>
      <c r="M226" s="1613"/>
      <c r="N226" s="1613"/>
      <c r="O226" s="1613"/>
      <c r="P226" s="1613"/>
      <c r="Q226" s="1613"/>
      <c r="R226" s="1613"/>
      <c r="S226" s="1613"/>
      <c r="T226" s="1613"/>
      <c r="U226" s="1613"/>
      <c r="V226" s="1613"/>
      <c r="W226" s="1613"/>
      <c r="X226" s="1613"/>
      <c r="Y226" s="1613"/>
      <c r="Z226" s="1613"/>
      <c r="AA226" s="1613"/>
      <c r="AB226" s="1835"/>
    </row>
    <row r="227" spans="1:28" s="1765" customFormat="1" ht="24" customHeight="1">
      <c r="A227" s="1258"/>
      <c r="B227" s="1538" t="s">
        <v>2081</v>
      </c>
      <c r="C227" s="1437"/>
      <c r="D227" s="1275"/>
      <c r="E227" s="1768">
        <f>845*1.15</f>
        <v>971.74999999999989</v>
      </c>
      <c r="F227" s="1358" t="s">
        <v>2078</v>
      </c>
      <c r="G227" s="1516">
        <v>381</v>
      </c>
      <c r="H227" s="1264">
        <f t="shared" si="59"/>
        <v>370237</v>
      </c>
      <c r="I227" s="1516">
        <f>ROUND(30*10.76,)</f>
        <v>323</v>
      </c>
      <c r="J227" s="1264">
        <f t="shared" si="60"/>
        <v>313875</v>
      </c>
      <c r="K227" s="1273">
        <f t="shared" si="61"/>
        <v>684112</v>
      </c>
      <c r="L227" s="1273"/>
      <c r="M227" s="1613"/>
      <c r="N227" s="1613"/>
      <c r="O227" s="1613"/>
      <c r="P227" s="1613"/>
      <c r="Q227" s="1613"/>
      <c r="R227" s="1613"/>
      <c r="S227" s="1613"/>
      <c r="T227" s="1613"/>
      <c r="U227" s="1613"/>
      <c r="V227" s="1613"/>
      <c r="W227" s="1613"/>
      <c r="X227" s="1613"/>
      <c r="Y227" s="1613"/>
      <c r="Z227" s="1613"/>
      <c r="AA227" s="1613"/>
      <c r="AB227" s="1835"/>
    </row>
    <row r="228" spans="1:28" s="1765" customFormat="1" ht="24" customHeight="1">
      <c r="A228" s="1258"/>
      <c r="B228" s="1538" t="s">
        <v>2082</v>
      </c>
      <c r="C228" s="1437"/>
      <c r="D228" s="1275"/>
      <c r="E228" s="1768">
        <f>710*1.15</f>
        <v>816.49999999999989</v>
      </c>
      <c r="F228" s="1358" t="s">
        <v>2078</v>
      </c>
      <c r="G228" s="1516">
        <v>443</v>
      </c>
      <c r="H228" s="1264">
        <f t="shared" si="59"/>
        <v>361710</v>
      </c>
      <c r="I228" s="1516">
        <f>ROUND(35*10.76,)</f>
        <v>377</v>
      </c>
      <c r="J228" s="1264">
        <f t="shared" si="60"/>
        <v>307821</v>
      </c>
      <c r="K228" s="1273">
        <f t="shared" si="61"/>
        <v>669531</v>
      </c>
      <c r="L228" s="1273"/>
      <c r="M228" s="1613"/>
      <c r="N228" s="1613"/>
      <c r="O228" s="1613"/>
      <c r="P228" s="1613"/>
      <c r="Q228" s="1613"/>
      <c r="R228" s="1613"/>
      <c r="S228" s="1613"/>
      <c r="T228" s="1613"/>
      <c r="U228" s="1613"/>
      <c r="V228" s="1613"/>
      <c r="W228" s="1613"/>
      <c r="X228" s="1613"/>
      <c r="Y228" s="1613"/>
      <c r="Z228" s="1613"/>
      <c r="AA228" s="1613"/>
      <c r="AB228" s="1835"/>
    </row>
    <row r="229" spans="1:28" s="1765" customFormat="1" ht="24" customHeight="1">
      <c r="A229" s="1258"/>
      <c r="B229" s="1538" t="s">
        <v>1719</v>
      </c>
      <c r="C229" s="1437"/>
      <c r="D229" s="1275"/>
      <c r="E229" s="1768">
        <v>1</v>
      </c>
      <c r="F229" s="1358" t="s">
        <v>1104</v>
      </c>
      <c r="G229" s="1516">
        <f>ROUND(SUM(H224:H228)*30%,)</f>
        <v>273194</v>
      </c>
      <c r="H229" s="1264">
        <f t="shared" si="59"/>
        <v>273194</v>
      </c>
      <c r="I229" s="1299">
        <f>ROUND(G229*0.3,)</f>
        <v>81958</v>
      </c>
      <c r="J229" s="1264">
        <f t="shared" si="60"/>
        <v>81958</v>
      </c>
      <c r="K229" s="1273">
        <f t="shared" si="61"/>
        <v>355152</v>
      </c>
      <c r="L229" s="1273"/>
      <c r="M229" s="1613"/>
      <c r="N229" s="1613"/>
      <c r="O229" s="1613"/>
      <c r="P229" s="1613"/>
      <c r="Q229" s="1613"/>
      <c r="R229" s="1613"/>
      <c r="S229" s="1613"/>
      <c r="T229" s="1613"/>
      <c r="U229" s="1613"/>
      <c r="V229" s="1613"/>
      <c r="W229" s="1613"/>
      <c r="X229" s="1613"/>
      <c r="Y229" s="1613"/>
      <c r="Z229" s="1613"/>
      <c r="AA229" s="1613"/>
    </row>
    <row r="230" spans="1:28" s="1765" customFormat="1" ht="24" customHeight="1">
      <c r="A230" s="1258"/>
      <c r="B230" s="1538" t="s">
        <v>1720</v>
      </c>
      <c r="C230" s="1437"/>
      <c r="D230" s="1275"/>
      <c r="E230" s="1768">
        <v>1</v>
      </c>
      <c r="F230" s="1358" t="s">
        <v>1104</v>
      </c>
      <c r="G230" s="1516">
        <f>ROUND(SUM(H224:H228)*20%,)</f>
        <v>182129</v>
      </c>
      <c r="H230" s="1264">
        <f t="shared" si="59"/>
        <v>182129</v>
      </c>
      <c r="I230" s="1299">
        <f>ROUND(G230*0.3,)</f>
        <v>54639</v>
      </c>
      <c r="J230" s="1264">
        <f t="shared" si="60"/>
        <v>54639</v>
      </c>
      <c r="K230" s="1273">
        <f t="shared" si="61"/>
        <v>236768</v>
      </c>
      <c r="L230" s="1273"/>
      <c r="M230" s="1613"/>
      <c r="N230" s="1613"/>
      <c r="O230" s="1613"/>
      <c r="P230" s="1613"/>
      <c r="Q230" s="1613"/>
      <c r="R230" s="1613"/>
      <c r="S230" s="1613"/>
      <c r="T230" s="1613"/>
      <c r="U230" s="1613"/>
      <c r="V230" s="1613"/>
      <c r="W230" s="1613"/>
      <c r="X230" s="1613"/>
      <c r="Y230" s="1613"/>
      <c r="Z230" s="1613"/>
      <c r="AA230" s="1613"/>
    </row>
    <row r="231" spans="1:28" s="1765" customFormat="1" ht="24" customHeight="1">
      <c r="A231" s="1258" t="s">
        <v>2099</v>
      </c>
      <c r="B231" s="1538" t="s">
        <v>2374</v>
      </c>
      <c r="C231" s="1437"/>
      <c r="D231" s="1275"/>
      <c r="E231" s="1768"/>
      <c r="F231" s="1358" t="s">
        <v>2078</v>
      </c>
      <c r="G231" s="1516">
        <v>407</v>
      </c>
      <c r="H231" s="1264">
        <f t="shared" si="59"/>
        <v>0</v>
      </c>
      <c r="I231" s="1265">
        <v>194</v>
      </c>
      <c r="J231" s="1264">
        <f t="shared" si="60"/>
        <v>0</v>
      </c>
      <c r="K231" s="1273">
        <f t="shared" si="61"/>
        <v>0</v>
      </c>
      <c r="L231" s="1273"/>
      <c r="M231" s="1613"/>
      <c r="N231" s="1613"/>
      <c r="O231" s="1613"/>
      <c r="P231" s="1613"/>
      <c r="Q231" s="1613"/>
      <c r="R231" s="1613"/>
      <c r="S231" s="1613"/>
      <c r="T231" s="1613"/>
      <c r="U231" s="1613"/>
      <c r="V231" s="1613"/>
      <c r="W231" s="1613"/>
      <c r="X231" s="1613"/>
      <c r="Y231" s="1613"/>
      <c r="Z231" s="1613"/>
      <c r="AA231" s="1613"/>
    </row>
    <row r="232" spans="1:28" s="1765" customFormat="1" ht="24" customHeight="1">
      <c r="A232" s="1258" t="s">
        <v>2104</v>
      </c>
      <c r="B232" s="1538" t="s">
        <v>2557</v>
      </c>
      <c r="C232" s="1437"/>
      <c r="D232" s="1275"/>
      <c r="E232" s="1768">
        <v>200</v>
      </c>
      <c r="F232" s="1358" t="s">
        <v>2078</v>
      </c>
      <c r="G232" s="1516">
        <v>2500</v>
      </c>
      <c r="H232" s="1264">
        <f t="shared" si="59"/>
        <v>500000</v>
      </c>
      <c r="I232" s="1265">
        <v>500</v>
      </c>
      <c r="J232" s="1264">
        <f t="shared" si="60"/>
        <v>100000</v>
      </c>
      <c r="K232" s="1273">
        <f t="shared" si="61"/>
        <v>600000</v>
      </c>
      <c r="L232" s="1273"/>
      <c r="M232" s="1613"/>
      <c r="N232" s="1613"/>
      <c r="O232" s="1613"/>
      <c r="P232" s="1613"/>
      <c r="Q232" s="1613"/>
      <c r="R232" s="1613"/>
      <c r="S232" s="1613"/>
      <c r="T232" s="1613"/>
      <c r="U232" s="1613"/>
      <c r="V232" s="1613"/>
      <c r="W232" s="1613"/>
      <c r="X232" s="1613"/>
      <c r="Y232" s="1613"/>
      <c r="Z232" s="1613"/>
      <c r="AA232" s="1613"/>
    </row>
    <row r="233" spans="1:28" s="1765" customFormat="1" ht="24" customHeight="1">
      <c r="A233" s="1449"/>
      <c r="B233" s="1538" t="s">
        <v>1117</v>
      </c>
      <c r="C233" s="1437"/>
      <c r="D233" s="1275"/>
      <c r="E233" s="1768"/>
      <c r="F233" s="1358"/>
      <c r="G233" s="1516"/>
      <c r="H233" s="1264"/>
      <c r="I233" s="1265"/>
      <c r="J233" s="1264"/>
      <c r="K233" s="1273"/>
      <c r="L233" s="1273"/>
      <c r="M233" s="1613"/>
      <c r="N233" s="1613"/>
      <c r="O233" s="1613"/>
      <c r="P233" s="1613"/>
      <c r="Q233" s="1613"/>
      <c r="R233" s="1613"/>
      <c r="S233" s="1613"/>
      <c r="T233" s="1613"/>
      <c r="U233" s="1613"/>
      <c r="V233" s="1613"/>
      <c r="W233" s="1613"/>
      <c r="X233" s="1613"/>
      <c r="Y233" s="1613"/>
      <c r="Z233" s="1613"/>
      <c r="AA233" s="1613"/>
    </row>
    <row r="234" spans="1:28" s="1765" customFormat="1" ht="24" customHeight="1">
      <c r="A234" s="1578"/>
      <c r="B234" s="2257" t="str">
        <f>"รวมราคารายการที่ "&amp;A214</f>
        <v>รวมราคารายการที่ 7.8</v>
      </c>
      <c r="C234" s="2258"/>
      <c r="D234" s="2259"/>
      <c r="E234" s="1579"/>
      <c r="F234" s="1579"/>
      <c r="G234" s="1580"/>
      <c r="H234" s="1581">
        <f>SUM(H215:H233)</f>
        <v>2154900</v>
      </c>
      <c r="I234" s="1582"/>
      <c r="J234" s="1581">
        <f>SUM(J215:J233)</f>
        <v>1212808</v>
      </c>
      <c r="K234" s="1583">
        <f>SUM(K215:K233)</f>
        <v>3367708</v>
      </c>
      <c r="L234" s="1583"/>
      <c r="M234" s="2019"/>
      <c r="N234" s="2019"/>
      <c r="O234" s="2019"/>
      <c r="P234" s="2019"/>
      <c r="Q234" s="2019"/>
      <c r="R234" s="2019"/>
      <c r="S234" s="2019"/>
      <c r="T234" s="2019"/>
      <c r="U234" s="2019"/>
      <c r="V234" s="2019"/>
      <c r="W234" s="2019"/>
      <c r="X234" s="2019"/>
      <c r="Y234" s="2019"/>
      <c r="Z234" s="2019"/>
      <c r="AA234" s="2019"/>
    </row>
    <row r="235" spans="1:28" s="1765" customFormat="1" ht="24" customHeight="1">
      <c r="A235" s="1291" t="s">
        <v>2108</v>
      </c>
      <c r="B235" s="1776" t="s">
        <v>2083</v>
      </c>
      <c r="C235" s="1293"/>
      <c r="D235" s="1294"/>
      <c r="E235" s="1786"/>
      <c r="F235" s="1296"/>
      <c r="G235" s="1357"/>
      <c r="H235" s="1298"/>
      <c r="I235" s="1299"/>
      <c r="J235" s="1298"/>
      <c r="K235" s="1382"/>
      <c r="L235" s="1382"/>
      <c r="M235" s="1613"/>
      <c r="N235" s="1613"/>
      <c r="O235" s="1613"/>
      <c r="P235" s="1613"/>
      <c r="Q235" s="1613"/>
      <c r="R235" s="1613"/>
      <c r="S235" s="1613"/>
      <c r="T235" s="1613"/>
      <c r="U235" s="1613"/>
      <c r="V235" s="1613"/>
      <c r="W235" s="1613"/>
      <c r="X235" s="1613"/>
      <c r="Y235" s="1613"/>
      <c r="Z235" s="1613"/>
      <c r="AA235" s="1613"/>
    </row>
    <row r="236" spans="1:28" s="1765" customFormat="1" ht="24" customHeight="1">
      <c r="A236" s="1258" t="s">
        <v>2110</v>
      </c>
      <c r="B236" s="1538" t="s">
        <v>2085</v>
      </c>
      <c r="C236" s="1437"/>
      <c r="D236" s="1278"/>
      <c r="E236" s="1768"/>
      <c r="F236" s="1296"/>
      <c r="G236" s="1516"/>
      <c r="H236" s="1298"/>
      <c r="I236" s="1299"/>
      <c r="J236" s="1298"/>
      <c r="K236" s="1382"/>
      <c r="L236" s="1382"/>
      <c r="M236" s="1613"/>
      <c r="N236" s="1613"/>
      <c r="O236" s="1613"/>
      <c r="P236" s="1613"/>
      <c r="Q236" s="1613"/>
      <c r="R236" s="1613"/>
      <c r="S236" s="1613"/>
      <c r="T236" s="1613"/>
      <c r="U236" s="1613"/>
      <c r="V236" s="1613"/>
      <c r="W236" s="1613"/>
      <c r="X236" s="1613"/>
      <c r="Y236" s="1613"/>
      <c r="Z236" s="1613"/>
      <c r="AA236" s="1613"/>
    </row>
    <row r="237" spans="1:28" s="1765" customFormat="1" ht="24" customHeight="1">
      <c r="A237" s="1449"/>
      <c r="B237" s="1538" t="s">
        <v>2086</v>
      </c>
      <c r="C237" s="1437"/>
      <c r="D237" s="1278"/>
      <c r="E237" s="1768">
        <f>SUM(E216:E220)</f>
        <v>623.29999999999995</v>
      </c>
      <c r="F237" s="1296" t="s">
        <v>2078</v>
      </c>
      <c r="G237" s="1516">
        <v>148</v>
      </c>
      <c r="H237" s="1298">
        <f t="shared" ref="H237:H240" si="62">ROUND(E237*G237,)</f>
        <v>92248</v>
      </c>
      <c r="I237" s="1299">
        <v>45</v>
      </c>
      <c r="J237" s="1264">
        <f t="shared" ref="J237:J240" si="63">ROUND(E237*I237,)</f>
        <v>28049</v>
      </c>
      <c r="K237" s="1273">
        <f t="shared" ref="K237:K240" si="64">H237+J237</f>
        <v>120297</v>
      </c>
      <c r="L237" s="1382"/>
      <c r="M237" s="1613"/>
      <c r="N237" s="1613"/>
      <c r="O237" s="1613"/>
      <c r="P237" s="1613"/>
      <c r="Q237" s="1613"/>
      <c r="R237" s="1613"/>
      <c r="S237" s="1613"/>
      <c r="T237" s="1613"/>
      <c r="U237" s="1613"/>
      <c r="V237" s="1613"/>
      <c r="W237" s="1613"/>
      <c r="X237" s="1613"/>
      <c r="Y237" s="1613"/>
      <c r="Z237" s="1613"/>
      <c r="AA237" s="1613"/>
    </row>
    <row r="238" spans="1:28" s="1765" customFormat="1" ht="24" customHeight="1">
      <c r="A238" s="1449"/>
      <c r="B238" s="1538" t="s">
        <v>2087</v>
      </c>
      <c r="C238" s="1437"/>
      <c r="D238" s="1278"/>
      <c r="E238" s="1768"/>
      <c r="F238" s="1296" t="s">
        <v>2078</v>
      </c>
      <c r="G238" s="1516">
        <v>212</v>
      </c>
      <c r="H238" s="1298">
        <f t="shared" si="62"/>
        <v>0</v>
      </c>
      <c r="I238" s="1299">
        <v>45</v>
      </c>
      <c r="J238" s="1264">
        <f t="shared" si="63"/>
        <v>0</v>
      </c>
      <c r="K238" s="1273">
        <f t="shared" si="64"/>
        <v>0</v>
      </c>
      <c r="L238" s="1382"/>
      <c r="M238" s="1613"/>
      <c r="N238" s="1613"/>
      <c r="O238" s="1613"/>
      <c r="P238" s="1613"/>
      <c r="Q238" s="1613"/>
      <c r="R238" s="1613"/>
      <c r="S238" s="1613"/>
      <c r="T238" s="1613"/>
      <c r="U238" s="1613"/>
      <c r="V238" s="1613"/>
      <c r="W238" s="1613"/>
      <c r="X238" s="1613"/>
      <c r="Y238" s="1613"/>
      <c r="Z238" s="1613"/>
      <c r="AA238" s="1613"/>
    </row>
    <row r="239" spans="1:28" s="1765" customFormat="1" ht="24" customHeight="1">
      <c r="A239" s="1449"/>
      <c r="B239" s="1538" t="s">
        <v>2088</v>
      </c>
      <c r="C239" s="1437"/>
      <c r="D239" s="1278"/>
      <c r="E239" s="1768"/>
      <c r="F239" s="1296" t="s">
        <v>2078</v>
      </c>
      <c r="G239" s="1516">
        <v>454</v>
      </c>
      <c r="H239" s="1298">
        <f t="shared" si="62"/>
        <v>0</v>
      </c>
      <c r="I239" s="1299">
        <f>ROUND(G239*0.3,)</f>
        <v>136</v>
      </c>
      <c r="J239" s="1264">
        <f t="shared" si="63"/>
        <v>0</v>
      </c>
      <c r="K239" s="1273">
        <f t="shared" si="64"/>
        <v>0</v>
      </c>
      <c r="L239" s="1382"/>
      <c r="M239" s="1613"/>
      <c r="N239" s="1613"/>
      <c r="O239" s="1613"/>
      <c r="P239" s="1613"/>
      <c r="Q239" s="1613"/>
      <c r="R239" s="1613"/>
      <c r="S239" s="1613"/>
      <c r="T239" s="1613"/>
      <c r="U239" s="1613"/>
      <c r="V239" s="1613"/>
      <c r="W239" s="1613"/>
      <c r="X239" s="1613"/>
      <c r="Y239" s="1613"/>
      <c r="Z239" s="1613"/>
      <c r="AA239" s="1613"/>
    </row>
    <row r="240" spans="1:28" s="1765" customFormat="1" ht="24" customHeight="1">
      <c r="A240" s="1258" t="s">
        <v>2112</v>
      </c>
      <c r="B240" s="1538" t="s">
        <v>2090</v>
      </c>
      <c r="C240" s="1437"/>
      <c r="D240" s="1278"/>
      <c r="E240" s="1768">
        <v>1</v>
      </c>
      <c r="F240" s="1296" t="s">
        <v>1104</v>
      </c>
      <c r="G240" s="1516">
        <f>E237*40</f>
        <v>24932</v>
      </c>
      <c r="H240" s="1298">
        <f t="shared" si="62"/>
        <v>24932</v>
      </c>
      <c r="I240" s="1299">
        <f>ROUND(G240*0.3,)</f>
        <v>7480</v>
      </c>
      <c r="J240" s="1264">
        <f t="shared" si="63"/>
        <v>7480</v>
      </c>
      <c r="K240" s="1273">
        <f t="shared" si="64"/>
        <v>32412</v>
      </c>
      <c r="L240" s="1382"/>
      <c r="M240" s="1613"/>
      <c r="N240" s="1613"/>
      <c r="O240" s="1613"/>
      <c r="P240" s="1613"/>
      <c r="Q240" s="1613"/>
      <c r="R240" s="1613"/>
      <c r="S240" s="1613"/>
      <c r="T240" s="1613"/>
      <c r="U240" s="1613"/>
      <c r="V240" s="1613"/>
      <c r="W240" s="1613"/>
      <c r="X240" s="1613"/>
      <c r="Y240" s="1613"/>
      <c r="Z240" s="1613"/>
      <c r="AA240" s="1613"/>
    </row>
    <row r="241" spans="1:42" s="1765" customFormat="1" ht="24" customHeight="1">
      <c r="A241" s="1449"/>
      <c r="B241" s="1538" t="s">
        <v>1117</v>
      </c>
      <c r="C241" s="1437"/>
      <c r="D241" s="1278"/>
      <c r="E241" s="1768"/>
      <c r="F241" s="1296"/>
      <c r="G241" s="1516"/>
      <c r="H241" s="1298"/>
      <c r="I241" s="1299"/>
      <c r="J241" s="1298"/>
      <c r="K241" s="1382"/>
      <c r="L241" s="1382"/>
      <c r="M241" s="1613"/>
      <c r="N241" s="1613"/>
      <c r="O241" s="1613"/>
      <c r="P241" s="1613"/>
      <c r="Q241" s="1613"/>
      <c r="R241" s="1613"/>
      <c r="S241" s="1613"/>
      <c r="T241" s="1613"/>
      <c r="U241" s="1613"/>
      <c r="V241" s="1613"/>
      <c r="W241" s="1613"/>
      <c r="X241" s="1613"/>
      <c r="Y241" s="1613"/>
      <c r="Z241" s="1613"/>
      <c r="AA241" s="1613"/>
    </row>
    <row r="242" spans="1:42" s="1765" customFormat="1" ht="24" customHeight="1">
      <c r="A242" s="1449"/>
      <c r="B242" s="1538" t="s">
        <v>1118</v>
      </c>
      <c r="C242" s="1437"/>
      <c r="D242" s="1278"/>
      <c r="E242" s="1768"/>
      <c r="F242" s="1296"/>
      <c r="G242" s="1516"/>
      <c r="H242" s="1298"/>
      <c r="I242" s="1299"/>
      <c r="J242" s="1298"/>
      <c r="K242" s="1382"/>
      <c r="L242" s="1382"/>
      <c r="M242" s="1613"/>
      <c r="N242" s="1613"/>
      <c r="O242" s="1613"/>
      <c r="P242" s="1613"/>
      <c r="Q242" s="1613"/>
      <c r="R242" s="1613"/>
      <c r="S242" s="1613"/>
      <c r="T242" s="1613"/>
      <c r="U242" s="1613"/>
      <c r="V242" s="1613"/>
      <c r="W242" s="1613"/>
      <c r="X242" s="1613"/>
      <c r="Y242" s="1613"/>
      <c r="Z242" s="1613"/>
      <c r="AA242" s="1613"/>
    </row>
    <row r="243" spans="1:42" s="1765" customFormat="1" ht="24" customHeight="1">
      <c r="A243" s="1449"/>
      <c r="B243" s="1538" t="s">
        <v>1118</v>
      </c>
      <c r="C243" s="1437"/>
      <c r="D243" s="1278"/>
      <c r="E243" s="1768"/>
      <c r="F243" s="1296"/>
      <c r="G243" s="1516"/>
      <c r="H243" s="1298"/>
      <c r="I243" s="1299"/>
      <c r="J243" s="1298"/>
      <c r="K243" s="1382"/>
      <c r="L243" s="1382"/>
      <c r="M243" s="1613"/>
      <c r="N243" s="1613"/>
      <c r="O243" s="1613"/>
      <c r="P243" s="1613"/>
      <c r="Q243" s="1613"/>
      <c r="R243" s="1613"/>
      <c r="S243" s="1613"/>
      <c r="T243" s="1613"/>
      <c r="U243" s="1613"/>
      <c r="V243" s="1613"/>
      <c r="W243" s="1613"/>
      <c r="X243" s="1613"/>
      <c r="Y243" s="1613"/>
      <c r="Z243" s="1613"/>
      <c r="AA243" s="1613"/>
    </row>
    <row r="244" spans="1:42" s="1765" customFormat="1" ht="24" customHeight="1">
      <c r="A244" s="1578"/>
      <c r="B244" s="2257" t="str">
        <f>"รวมราคารายการที่ "&amp;A235</f>
        <v>รวมราคารายการที่ 7.9</v>
      </c>
      <c r="C244" s="2258"/>
      <c r="D244" s="2259"/>
      <c r="E244" s="1579"/>
      <c r="F244" s="1579"/>
      <c r="G244" s="1580"/>
      <c r="H244" s="1581">
        <f>SUM(H236:H243)</f>
        <v>117180</v>
      </c>
      <c r="I244" s="1582"/>
      <c r="J244" s="1581">
        <f>SUM(J236:J243)</f>
        <v>35529</v>
      </c>
      <c r="K244" s="1583">
        <f>SUM(K236:K243)</f>
        <v>152709</v>
      </c>
      <c r="L244" s="1583"/>
      <c r="M244" s="2019"/>
      <c r="N244" s="2019"/>
      <c r="O244" s="2019"/>
      <c r="P244" s="2019"/>
      <c r="Q244" s="2019"/>
      <c r="R244" s="2019"/>
      <c r="S244" s="2019"/>
      <c r="T244" s="2019"/>
      <c r="U244" s="2019"/>
      <c r="V244" s="2019"/>
      <c r="W244" s="2019"/>
      <c r="X244" s="2019"/>
      <c r="Y244" s="2019"/>
      <c r="Z244" s="2019"/>
      <c r="AA244" s="2019"/>
    </row>
    <row r="245" spans="1:42" s="1765" customFormat="1" ht="24" customHeight="1">
      <c r="A245" s="1757" t="s">
        <v>2130</v>
      </c>
      <c r="B245" s="1758" t="s">
        <v>2092</v>
      </c>
      <c r="C245" s="1250"/>
      <c r="D245" s="1251"/>
      <c r="E245" s="1794"/>
      <c r="F245" s="1253"/>
      <c r="G245" s="1721"/>
      <c r="H245" s="1255"/>
      <c r="I245" s="1256"/>
      <c r="J245" s="1255"/>
      <c r="K245" s="1502"/>
      <c r="L245" s="1502"/>
      <c r="M245" s="1613"/>
      <c r="N245" s="1613"/>
      <c r="O245" s="1613"/>
      <c r="P245" s="1613"/>
      <c r="Q245" s="1613"/>
      <c r="R245" s="1613"/>
      <c r="S245" s="1613"/>
      <c r="T245" s="1613"/>
      <c r="U245" s="1613"/>
      <c r="V245" s="1613"/>
      <c r="W245" s="1613"/>
      <c r="X245" s="1613"/>
      <c r="Y245" s="1613"/>
      <c r="Z245" s="1613"/>
      <c r="AA245" s="1613"/>
      <c r="AB245" s="1835"/>
    </row>
    <row r="246" spans="1:42" s="1765" customFormat="1" ht="24" customHeight="1">
      <c r="A246" s="1804" t="s">
        <v>2268</v>
      </c>
      <c r="B246" s="1799" t="s">
        <v>2375</v>
      </c>
      <c r="C246" s="1800"/>
      <c r="D246" s="1375"/>
      <c r="E246" s="1801"/>
      <c r="F246" s="1356"/>
      <c r="G246" s="1515"/>
      <c r="H246" s="1369"/>
      <c r="I246" s="1370"/>
      <c r="J246" s="1369"/>
      <c r="K246" s="1356"/>
      <c r="L246" s="1356"/>
      <c r="M246" s="2025"/>
      <c r="N246" s="2025"/>
      <c r="O246" s="2025"/>
      <c r="P246" s="2025"/>
      <c r="Q246" s="2025"/>
      <c r="R246" s="2025"/>
      <c r="S246" s="2025"/>
      <c r="T246" s="2025"/>
      <c r="U246" s="2025"/>
      <c r="V246" s="2025"/>
      <c r="W246" s="2025"/>
      <c r="X246" s="2025"/>
      <c r="Y246" s="2025"/>
      <c r="Z246" s="2025"/>
      <c r="AA246" s="2025"/>
      <c r="AC246" s="1854"/>
      <c r="AD246" s="1854"/>
      <c r="AE246" s="1854"/>
      <c r="AL246" s="1855"/>
      <c r="AM246" s="1855"/>
      <c r="AO246" s="1855"/>
      <c r="AP246" s="1855"/>
    </row>
    <row r="247" spans="1:42" s="1765" customFormat="1" ht="24" customHeight="1">
      <c r="A247" s="1804"/>
      <c r="B247" s="1799" t="s">
        <v>2376</v>
      </c>
      <c r="C247" s="1800"/>
      <c r="D247" s="1375"/>
      <c r="E247" s="1801">
        <v>2</v>
      </c>
      <c r="F247" s="1356" t="s">
        <v>363</v>
      </c>
      <c r="G247" s="1515">
        <v>2900</v>
      </c>
      <c r="H247" s="1298">
        <f t="shared" ref="H247:H262" si="65">ROUND(E247*G247,)</f>
        <v>5800</v>
      </c>
      <c r="I247" s="1370">
        <f t="shared" ref="I247:I262" si="66">G247*0.1</f>
        <v>290</v>
      </c>
      <c r="J247" s="1343">
        <f t="shared" ref="J247:J262" si="67">ROUND(E247*I247,)</f>
        <v>580</v>
      </c>
      <c r="K247" s="1262">
        <f t="shared" ref="K247:K262" si="68">H247+J247</f>
        <v>6380</v>
      </c>
      <c r="L247" s="1356"/>
      <c r="M247" s="2025"/>
      <c r="N247" s="2025"/>
      <c r="O247" s="2025"/>
      <c r="P247" s="2025"/>
      <c r="Q247" s="2025"/>
      <c r="R247" s="2025"/>
      <c r="S247" s="2025"/>
      <c r="T247" s="2025"/>
      <c r="U247" s="2025"/>
      <c r="V247" s="2025"/>
      <c r="W247" s="2025"/>
      <c r="X247" s="2025"/>
      <c r="Y247" s="2025"/>
      <c r="Z247" s="2025"/>
      <c r="AA247" s="2025"/>
      <c r="AC247" s="1854"/>
      <c r="AD247" s="1854"/>
      <c r="AE247" s="1854"/>
      <c r="AH247" s="1854"/>
      <c r="AJ247" s="1854"/>
      <c r="AK247" s="1854"/>
      <c r="AL247" s="1854"/>
      <c r="AM247" s="1854"/>
      <c r="AO247" s="1854"/>
      <c r="AP247" s="1854"/>
    </row>
    <row r="248" spans="1:42" s="1765" customFormat="1" ht="24" customHeight="1">
      <c r="A248" s="1804"/>
      <c r="B248" s="1799" t="s">
        <v>2377</v>
      </c>
      <c r="C248" s="1800"/>
      <c r="D248" s="1375"/>
      <c r="E248" s="1801">
        <v>2</v>
      </c>
      <c r="F248" s="1356" t="s">
        <v>363</v>
      </c>
      <c r="G248" s="1515">
        <v>3000</v>
      </c>
      <c r="H248" s="1298">
        <f t="shared" si="65"/>
        <v>6000</v>
      </c>
      <c r="I248" s="1370">
        <f t="shared" si="66"/>
        <v>300</v>
      </c>
      <c r="J248" s="1343">
        <f t="shared" si="67"/>
        <v>600</v>
      </c>
      <c r="K248" s="1262">
        <f t="shared" si="68"/>
        <v>6600</v>
      </c>
      <c r="L248" s="1356"/>
      <c r="M248" s="2025"/>
      <c r="N248" s="2025"/>
      <c r="O248" s="2025"/>
      <c r="P248" s="2025"/>
      <c r="Q248" s="2025"/>
      <c r="R248" s="2025"/>
      <c r="S248" s="2025"/>
      <c r="T248" s="2025"/>
      <c r="U248" s="2025"/>
      <c r="V248" s="2025"/>
      <c r="W248" s="2025"/>
      <c r="X248" s="2025"/>
      <c r="Y248" s="2025"/>
      <c r="Z248" s="2025"/>
      <c r="AA248" s="2025"/>
      <c r="AC248" s="1854"/>
      <c r="AD248" s="1854"/>
      <c r="AE248" s="1854"/>
      <c r="AH248" s="1854"/>
      <c r="AJ248" s="1854"/>
      <c r="AK248" s="1854"/>
      <c r="AL248" s="1854"/>
      <c r="AM248" s="1854"/>
      <c r="AO248" s="1854"/>
      <c r="AP248" s="1854"/>
    </row>
    <row r="249" spans="1:42" s="1765" customFormat="1" ht="24" customHeight="1">
      <c r="A249" s="1804"/>
      <c r="B249" s="1799" t="s">
        <v>2378</v>
      </c>
      <c r="C249" s="1800"/>
      <c r="D249" s="1375"/>
      <c r="E249" s="1801">
        <v>1</v>
      </c>
      <c r="F249" s="1356" t="s">
        <v>363</v>
      </c>
      <c r="G249" s="1515">
        <v>4200</v>
      </c>
      <c r="H249" s="1298">
        <f t="shared" si="65"/>
        <v>4200</v>
      </c>
      <c r="I249" s="1370">
        <f t="shared" si="66"/>
        <v>420</v>
      </c>
      <c r="J249" s="1343">
        <f t="shared" si="67"/>
        <v>420</v>
      </c>
      <c r="K249" s="1262">
        <f t="shared" si="68"/>
        <v>4620</v>
      </c>
      <c r="L249" s="1356"/>
      <c r="M249" s="2025"/>
      <c r="N249" s="2025"/>
      <c r="O249" s="2025"/>
      <c r="P249" s="2025"/>
      <c r="Q249" s="2025"/>
      <c r="R249" s="2025"/>
      <c r="S249" s="2025"/>
      <c r="T249" s="2025"/>
      <c r="U249" s="2025"/>
      <c r="V249" s="2025"/>
      <c r="W249" s="2025"/>
      <c r="X249" s="2025"/>
      <c r="Y249" s="2025"/>
      <c r="Z249" s="2025"/>
      <c r="AA249" s="2025"/>
      <c r="AC249" s="1854"/>
      <c r="AD249" s="1854"/>
      <c r="AE249" s="1854"/>
      <c r="AH249" s="1854"/>
      <c r="AJ249" s="1854"/>
      <c r="AK249" s="1854"/>
      <c r="AL249" s="1854"/>
      <c r="AM249" s="1854"/>
      <c r="AO249" s="1854"/>
      <c r="AP249" s="1854"/>
    </row>
    <row r="250" spans="1:42" s="1765" customFormat="1" ht="24" customHeight="1">
      <c r="A250" s="1804"/>
      <c r="B250" s="1799" t="s">
        <v>2379</v>
      </c>
      <c r="C250" s="1800"/>
      <c r="D250" s="1375"/>
      <c r="E250" s="1801">
        <v>1</v>
      </c>
      <c r="F250" s="1356" t="s">
        <v>363</v>
      </c>
      <c r="G250" s="1515">
        <v>4400</v>
      </c>
      <c r="H250" s="1298">
        <f t="shared" si="65"/>
        <v>4400</v>
      </c>
      <c r="I250" s="1370">
        <f t="shared" si="66"/>
        <v>440</v>
      </c>
      <c r="J250" s="1343">
        <f t="shared" si="67"/>
        <v>440</v>
      </c>
      <c r="K250" s="1262">
        <f t="shared" si="68"/>
        <v>4840</v>
      </c>
      <c r="L250" s="1356"/>
      <c r="M250" s="2025"/>
      <c r="N250" s="2025"/>
      <c r="O250" s="2025"/>
      <c r="P250" s="2025"/>
      <c r="Q250" s="2025"/>
      <c r="R250" s="2025"/>
      <c r="S250" s="2025"/>
      <c r="T250" s="2025"/>
      <c r="U250" s="2025"/>
      <c r="V250" s="2025"/>
      <c r="W250" s="2025"/>
      <c r="X250" s="2025"/>
      <c r="Y250" s="2025"/>
      <c r="Z250" s="2025"/>
      <c r="AA250" s="2025"/>
      <c r="AC250" s="1854"/>
      <c r="AD250" s="1854"/>
      <c r="AE250" s="1854"/>
      <c r="AF250" s="1854"/>
      <c r="AG250" s="1854"/>
      <c r="AH250" s="1854"/>
      <c r="AI250" s="1854"/>
      <c r="AJ250" s="1854"/>
      <c r="AK250" s="1854"/>
      <c r="AL250" s="1854"/>
      <c r="AM250" s="1854"/>
      <c r="AN250" s="1854"/>
      <c r="AO250" s="1854"/>
      <c r="AP250" s="1854"/>
    </row>
    <row r="251" spans="1:42" s="1765" customFormat="1" ht="24" customHeight="1">
      <c r="A251" s="1804"/>
      <c r="B251" s="1780" t="s">
        <v>2380</v>
      </c>
      <c r="C251" s="1800"/>
      <c r="D251" s="1260"/>
      <c r="E251" s="1801">
        <v>1</v>
      </c>
      <c r="F251" s="1262" t="s">
        <v>363</v>
      </c>
      <c r="G251" s="1515">
        <v>5200</v>
      </c>
      <c r="H251" s="1264">
        <f t="shared" si="65"/>
        <v>5200</v>
      </c>
      <c r="I251" s="1344">
        <f t="shared" si="66"/>
        <v>520</v>
      </c>
      <c r="J251" s="1343">
        <f t="shared" si="67"/>
        <v>520</v>
      </c>
      <c r="K251" s="1262">
        <f t="shared" si="68"/>
        <v>5720</v>
      </c>
      <c r="L251" s="1262"/>
      <c r="M251" s="2025"/>
      <c r="N251" s="2025"/>
      <c r="O251" s="2025"/>
      <c r="P251" s="2025"/>
      <c r="Q251" s="2025"/>
      <c r="R251" s="2025"/>
      <c r="S251" s="2025"/>
      <c r="T251" s="2025"/>
      <c r="U251" s="2025"/>
      <c r="V251" s="2025"/>
      <c r="W251" s="2025"/>
      <c r="X251" s="2025"/>
      <c r="Y251" s="2025"/>
      <c r="Z251" s="2025"/>
      <c r="AA251" s="2025"/>
      <c r="AC251" s="1854"/>
      <c r="AD251" s="1854"/>
      <c r="AE251" s="1854"/>
      <c r="AH251" s="1854"/>
      <c r="AJ251" s="1854"/>
      <c r="AK251" s="1854"/>
      <c r="AL251" s="1854"/>
      <c r="AM251" s="1854"/>
      <c r="AO251" s="1854"/>
      <c r="AP251" s="1854"/>
    </row>
    <row r="252" spans="1:42" s="1765" customFormat="1" ht="24" customHeight="1">
      <c r="A252" s="1804"/>
      <c r="B252" s="1780" t="s">
        <v>2381</v>
      </c>
      <c r="C252" s="1800"/>
      <c r="D252" s="1260"/>
      <c r="E252" s="1801">
        <v>1</v>
      </c>
      <c r="F252" s="1262" t="s">
        <v>363</v>
      </c>
      <c r="G252" s="1515">
        <v>5400</v>
      </c>
      <c r="H252" s="1264">
        <f t="shared" si="65"/>
        <v>5400</v>
      </c>
      <c r="I252" s="1344">
        <f t="shared" si="66"/>
        <v>540</v>
      </c>
      <c r="J252" s="1343">
        <f t="shared" si="67"/>
        <v>540</v>
      </c>
      <c r="K252" s="1262">
        <f t="shared" si="68"/>
        <v>5940</v>
      </c>
      <c r="L252" s="1262"/>
      <c r="M252" s="2025"/>
      <c r="N252" s="2025"/>
      <c r="O252" s="2025"/>
      <c r="P252" s="2025"/>
      <c r="Q252" s="2025"/>
      <c r="R252" s="2025"/>
      <c r="S252" s="2025"/>
      <c r="T252" s="2025"/>
      <c r="U252" s="2025"/>
      <c r="V252" s="2025"/>
      <c r="W252" s="2025"/>
      <c r="X252" s="2025"/>
      <c r="Y252" s="2025"/>
      <c r="Z252" s="2025"/>
      <c r="AA252" s="2025"/>
      <c r="AC252" s="1854"/>
      <c r="AD252" s="1854"/>
      <c r="AE252" s="1854"/>
      <c r="AH252" s="1854"/>
      <c r="AJ252" s="1854"/>
      <c r="AK252" s="1854"/>
      <c r="AL252" s="1854"/>
      <c r="AM252" s="1854"/>
      <c r="AO252" s="1854"/>
      <c r="AP252" s="1854"/>
    </row>
    <row r="253" spans="1:42" s="1765" customFormat="1" ht="24" customHeight="1">
      <c r="A253" s="1804"/>
      <c r="B253" s="1780" t="s">
        <v>2382</v>
      </c>
      <c r="C253" s="1800"/>
      <c r="D253" s="1260"/>
      <c r="E253" s="1801">
        <v>1</v>
      </c>
      <c r="F253" s="1262" t="s">
        <v>363</v>
      </c>
      <c r="G253" s="1515">
        <v>5700</v>
      </c>
      <c r="H253" s="1264">
        <f t="shared" si="65"/>
        <v>5700</v>
      </c>
      <c r="I253" s="1344">
        <f t="shared" si="66"/>
        <v>570</v>
      </c>
      <c r="J253" s="1343">
        <f t="shared" si="67"/>
        <v>570</v>
      </c>
      <c r="K253" s="1262">
        <f t="shared" si="68"/>
        <v>6270</v>
      </c>
      <c r="L253" s="1262"/>
      <c r="M253" s="2025"/>
      <c r="N253" s="2025"/>
      <c r="O253" s="2025"/>
      <c r="P253" s="2025"/>
      <c r="Q253" s="2025"/>
      <c r="R253" s="2025"/>
      <c r="S253" s="2025"/>
      <c r="T253" s="2025"/>
      <c r="U253" s="2025"/>
      <c r="V253" s="2025"/>
      <c r="W253" s="2025"/>
      <c r="X253" s="2025"/>
      <c r="Y253" s="2025"/>
      <c r="Z253" s="2025"/>
      <c r="AA253" s="2025"/>
      <c r="AC253" s="1854"/>
      <c r="AD253" s="1854"/>
      <c r="AE253" s="1854"/>
      <c r="AH253" s="1854"/>
      <c r="AJ253" s="1854"/>
      <c r="AK253" s="1854"/>
      <c r="AL253" s="1854"/>
      <c r="AM253" s="1854"/>
      <c r="AO253" s="1854"/>
      <c r="AP253" s="1854"/>
    </row>
    <row r="254" spans="1:42" s="1765" customFormat="1" ht="24" customHeight="1">
      <c r="A254" s="1804"/>
      <c r="B254" s="1780" t="s">
        <v>2383</v>
      </c>
      <c r="C254" s="1800"/>
      <c r="D254" s="1260"/>
      <c r="E254" s="1801">
        <v>1</v>
      </c>
      <c r="F254" s="1262" t="s">
        <v>363</v>
      </c>
      <c r="G254" s="1515">
        <v>6400</v>
      </c>
      <c r="H254" s="1264">
        <f t="shared" si="65"/>
        <v>6400</v>
      </c>
      <c r="I254" s="1344">
        <f t="shared" si="66"/>
        <v>640</v>
      </c>
      <c r="J254" s="1343">
        <f t="shared" si="67"/>
        <v>640</v>
      </c>
      <c r="K254" s="1262">
        <f t="shared" si="68"/>
        <v>7040</v>
      </c>
      <c r="L254" s="1262"/>
      <c r="M254" s="2025"/>
      <c r="N254" s="2025"/>
      <c r="O254" s="2025"/>
      <c r="P254" s="2025"/>
      <c r="Q254" s="2025"/>
      <c r="R254" s="2025"/>
      <c r="S254" s="2025"/>
      <c r="T254" s="2025"/>
      <c r="U254" s="2025"/>
      <c r="V254" s="2025"/>
      <c r="W254" s="2025"/>
      <c r="X254" s="2025"/>
      <c r="Y254" s="2025"/>
      <c r="Z254" s="2025"/>
      <c r="AA254" s="2025"/>
      <c r="AC254" s="1854"/>
      <c r="AD254" s="1854"/>
      <c r="AE254" s="1854"/>
      <c r="AH254" s="1854"/>
      <c r="AJ254" s="1854"/>
      <c r="AK254" s="1854"/>
      <c r="AL254" s="1854"/>
      <c r="AM254" s="1854"/>
      <c r="AO254" s="1854"/>
      <c r="AP254" s="1854"/>
    </row>
    <row r="255" spans="1:42" s="1765" customFormat="1" ht="24" customHeight="1">
      <c r="A255" s="1804"/>
      <c r="B255" s="1780" t="s">
        <v>2384</v>
      </c>
      <c r="C255" s="1800"/>
      <c r="D255" s="1260"/>
      <c r="E255" s="1801">
        <v>2</v>
      </c>
      <c r="F255" s="1262" t="s">
        <v>363</v>
      </c>
      <c r="G255" s="1515">
        <v>11000</v>
      </c>
      <c r="H255" s="1264">
        <f t="shared" si="65"/>
        <v>22000</v>
      </c>
      <c r="I255" s="1344">
        <f t="shared" si="66"/>
        <v>1100</v>
      </c>
      <c r="J255" s="1343">
        <f t="shared" si="67"/>
        <v>2200</v>
      </c>
      <c r="K255" s="1262">
        <f t="shared" si="68"/>
        <v>24200</v>
      </c>
      <c r="L255" s="1262"/>
      <c r="M255" s="2025"/>
      <c r="N255" s="2025"/>
      <c r="O255" s="2025"/>
      <c r="P255" s="2025"/>
      <c r="Q255" s="2025"/>
      <c r="R255" s="2025"/>
      <c r="S255" s="2025"/>
      <c r="T255" s="2025"/>
      <c r="U255" s="2025"/>
      <c r="V255" s="2025"/>
      <c r="W255" s="2025"/>
      <c r="X255" s="2025"/>
      <c r="Y255" s="2025"/>
      <c r="Z255" s="2025"/>
      <c r="AA255" s="2025"/>
      <c r="AC255" s="1854"/>
      <c r="AD255" s="1854"/>
      <c r="AE255" s="1854"/>
      <c r="AF255" s="1854"/>
      <c r="AG255" s="1854"/>
      <c r="AH255" s="1854"/>
      <c r="AI255" s="1854"/>
      <c r="AJ255" s="1854"/>
      <c r="AK255" s="1854"/>
      <c r="AL255" s="1854"/>
      <c r="AM255" s="1854"/>
      <c r="AN255" s="1854"/>
      <c r="AO255" s="1854"/>
      <c r="AP255" s="1854"/>
    </row>
    <row r="256" spans="1:42" s="1765" customFormat="1" ht="24" customHeight="1">
      <c r="A256" s="1804"/>
      <c r="B256" s="1780" t="s">
        <v>2385</v>
      </c>
      <c r="C256" s="1800"/>
      <c r="D256" s="1260"/>
      <c r="E256" s="1801">
        <v>2</v>
      </c>
      <c r="F256" s="1262" t="s">
        <v>363</v>
      </c>
      <c r="G256" s="1515">
        <v>9300</v>
      </c>
      <c r="H256" s="1264">
        <f t="shared" si="65"/>
        <v>18600</v>
      </c>
      <c r="I256" s="1344">
        <f t="shared" si="66"/>
        <v>930</v>
      </c>
      <c r="J256" s="1343">
        <f t="shared" si="67"/>
        <v>1860</v>
      </c>
      <c r="K256" s="1262">
        <f t="shared" si="68"/>
        <v>20460</v>
      </c>
      <c r="L256" s="1262"/>
      <c r="M256" s="2025"/>
      <c r="N256" s="2025"/>
      <c r="O256" s="2025"/>
      <c r="P256" s="2025"/>
      <c r="Q256" s="2025"/>
      <c r="R256" s="2025"/>
      <c r="S256" s="2025"/>
      <c r="T256" s="2025"/>
      <c r="U256" s="2025"/>
      <c r="V256" s="2025"/>
      <c r="W256" s="2025"/>
      <c r="X256" s="2025"/>
      <c r="Y256" s="2025"/>
      <c r="Z256" s="2025"/>
      <c r="AA256" s="2025"/>
      <c r="AC256" s="1854"/>
      <c r="AD256" s="1854"/>
      <c r="AE256" s="1854"/>
      <c r="AH256" s="1854"/>
      <c r="AJ256" s="1854"/>
      <c r="AK256" s="1854"/>
      <c r="AL256" s="1854"/>
      <c r="AM256" s="1854"/>
      <c r="AO256" s="1854"/>
      <c r="AP256" s="1854"/>
    </row>
    <row r="257" spans="1:42" s="1765" customFormat="1" ht="24" customHeight="1">
      <c r="A257" s="1804"/>
      <c r="B257" s="1780" t="s">
        <v>2386</v>
      </c>
      <c r="C257" s="1800"/>
      <c r="D257" s="1260"/>
      <c r="E257" s="1801">
        <v>1</v>
      </c>
      <c r="F257" s="1262" t="s">
        <v>363</v>
      </c>
      <c r="G257" s="1515">
        <v>5200</v>
      </c>
      <c r="H257" s="1264">
        <f t="shared" si="65"/>
        <v>5200</v>
      </c>
      <c r="I257" s="1344">
        <f t="shared" si="66"/>
        <v>520</v>
      </c>
      <c r="J257" s="1343">
        <f t="shared" si="67"/>
        <v>520</v>
      </c>
      <c r="K257" s="1262">
        <f t="shared" si="68"/>
        <v>5720</v>
      </c>
      <c r="L257" s="1262"/>
      <c r="M257" s="2025"/>
      <c r="N257" s="2025"/>
      <c r="O257" s="2025"/>
      <c r="P257" s="2025"/>
      <c r="Q257" s="2025"/>
      <c r="R257" s="2025"/>
      <c r="S257" s="2025"/>
      <c r="T257" s="2025"/>
      <c r="U257" s="2025"/>
      <c r="V257" s="2025"/>
      <c r="W257" s="2025"/>
      <c r="X257" s="2025"/>
      <c r="Y257" s="2025"/>
      <c r="Z257" s="2025"/>
      <c r="AA257" s="2025"/>
      <c r="AC257" s="1854"/>
      <c r="AD257" s="1854"/>
      <c r="AE257" s="1854"/>
      <c r="AH257" s="1854"/>
      <c r="AJ257" s="1854"/>
      <c r="AK257" s="1854"/>
      <c r="AL257" s="1854"/>
      <c r="AM257" s="1854"/>
      <c r="AO257" s="1854"/>
      <c r="AP257" s="1854"/>
    </row>
    <row r="258" spans="1:42" s="1765" customFormat="1" ht="24" customHeight="1">
      <c r="A258" s="1804"/>
      <c r="B258" s="1780" t="s">
        <v>2387</v>
      </c>
      <c r="C258" s="1800"/>
      <c r="D258" s="1260"/>
      <c r="E258" s="1801">
        <v>1</v>
      </c>
      <c r="F258" s="1262" t="s">
        <v>363</v>
      </c>
      <c r="G258" s="1515">
        <v>7000</v>
      </c>
      <c r="H258" s="1264">
        <f t="shared" si="65"/>
        <v>7000</v>
      </c>
      <c r="I258" s="1344">
        <f t="shared" si="66"/>
        <v>700</v>
      </c>
      <c r="J258" s="1343">
        <f t="shared" si="67"/>
        <v>700</v>
      </c>
      <c r="K258" s="1262">
        <f t="shared" si="68"/>
        <v>7700</v>
      </c>
      <c r="L258" s="1262"/>
      <c r="M258" s="2025"/>
      <c r="N258" s="2025"/>
      <c r="O258" s="2025"/>
      <c r="P258" s="2025"/>
      <c r="Q258" s="2025"/>
      <c r="R258" s="2025"/>
      <c r="S258" s="2025"/>
      <c r="T258" s="2025"/>
      <c r="U258" s="2025"/>
      <c r="V258" s="2025"/>
      <c r="W258" s="2025"/>
      <c r="X258" s="2025"/>
      <c r="Y258" s="2025"/>
      <c r="Z258" s="2025"/>
      <c r="AA258" s="2025"/>
      <c r="AC258" s="1854"/>
      <c r="AD258" s="1854"/>
      <c r="AE258" s="1854"/>
      <c r="AF258" s="1854"/>
      <c r="AG258" s="1854"/>
      <c r="AH258" s="1854"/>
      <c r="AI258" s="1854"/>
      <c r="AJ258" s="1854"/>
      <c r="AK258" s="1854"/>
      <c r="AL258" s="1854"/>
      <c r="AM258" s="1854"/>
      <c r="AN258" s="1854"/>
      <c r="AO258" s="1854"/>
      <c r="AP258" s="1854"/>
    </row>
    <row r="259" spans="1:42" s="1765" customFormat="1" ht="24" customHeight="1">
      <c r="A259" s="1804"/>
      <c r="B259" s="1799" t="s">
        <v>2388</v>
      </c>
      <c r="C259" s="1800"/>
      <c r="D259" s="1375"/>
      <c r="E259" s="1801">
        <v>2</v>
      </c>
      <c r="F259" s="1356" t="s">
        <v>363</v>
      </c>
      <c r="G259" s="1515">
        <v>14300</v>
      </c>
      <c r="H259" s="1298">
        <f t="shared" si="65"/>
        <v>28600</v>
      </c>
      <c r="I259" s="1370">
        <f t="shared" si="66"/>
        <v>1430</v>
      </c>
      <c r="J259" s="1343">
        <f t="shared" si="67"/>
        <v>2860</v>
      </c>
      <c r="K259" s="1262">
        <f t="shared" si="68"/>
        <v>31460</v>
      </c>
      <c r="L259" s="1356"/>
      <c r="M259" s="2025"/>
      <c r="N259" s="2025"/>
      <c r="O259" s="2025"/>
      <c r="P259" s="2025"/>
      <c r="Q259" s="2025"/>
      <c r="R259" s="2025"/>
      <c r="S259" s="2025"/>
      <c r="T259" s="2025"/>
      <c r="U259" s="2025"/>
      <c r="V259" s="2025"/>
      <c r="W259" s="2025"/>
      <c r="X259" s="2025"/>
      <c r="Y259" s="2025"/>
      <c r="Z259" s="2025"/>
      <c r="AA259" s="2025"/>
      <c r="AC259" s="1854"/>
      <c r="AD259" s="1854"/>
      <c r="AE259" s="1854"/>
      <c r="AH259" s="1854"/>
      <c r="AJ259" s="1854"/>
      <c r="AK259" s="1854"/>
      <c r="AL259" s="1854"/>
      <c r="AM259" s="1854"/>
      <c r="AO259" s="1854"/>
      <c r="AP259" s="1854"/>
    </row>
    <row r="260" spans="1:42" s="1765" customFormat="1" ht="24" customHeight="1">
      <c r="A260" s="1804"/>
      <c r="B260" s="1799" t="s">
        <v>2389</v>
      </c>
      <c r="C260" s="1800"/>
      <c r="D260" s="1375"/>
      <c r="E260" s="1801">
        <v>2</v>
      </c>
      <c r="F260" s="1356" t="s">
        <v>363</v>
      </c>
      <c r="G260" s="1515">
        <v>14300</v>
      </c>
      <c r="H260" s="1298">
        <f t="shared" si="65"/>
        <v>28600</v>
      </c>
      <c r="I260" s="1370">
        <f t="shared" si="66"/>
        <v>1430</v>
      </c>
      <c r="J260" s="1343">
        <f t="shared" si="67"/>
        <v>2860</v>
      </c>
      <c r="K260" s="1262">
        <f t="shared" si="68"/>
        <v>31460</v>
      </c>
      <c r="L260" s="1356"/>
      <c r="M260" s="2025"/>
      <c r="N260" s="2025"/>
      <c r="O260" s="2025"/>
      <c r="P260" s="2025"/>
      <c r="Q260" s="2025"/>
      <c r="R260" s="2025"/>
      <c r="S260" s="2025"/>
      <c r="T260" s="2025"/>
      <c r="U260" s="2025"/>
      <c r="V260" s="2025"/>
      <c r="W260" s="2025"/>
      <c r="X260" s="2025"/>
      <c r="Y260" s="2025"/>
      <c r="Z260" s="2025"/>
      <c r="AA260" s="2025"/>
      <c r="AC260" s="1854"/>
      <c r="AD260" s="1854"/>
      <c r="AE260" s="1854"/>
      <c r="AF260" s="1854"/>
      <c r="AG260" s="1854"/>
      <c r="AH260" s="1854"/>
      <c r="AI260" s="1854"/>
      <c r="AJ260" s="1854"/>
      <c r="AK260" s="1854"/>
      <c r="AL260" s="1854"/>
      <c r="AM260" s="1854"/>
      <c r="AN260" s="1854"/>
      <c r="AO260" s="1854"/>
      <c r="AP260" s="1854"/>
    </row>
    <row r="261" spans="1:42" s="1765" customFormat="1" ht="24" customHeight="1">
      <c r="A261" s="1804"/>
      <c r="B261" s="1799" t="s">
        <v>2390</v>
      </c>
      <c r="C261" s="1800"/>
      <c r="D261" s="1375"/>
      <c r="E261" s="1801">
        <v>4</v>
      </c>
      <c r="F261" s="1356" t="s">
        <v>363</v>
      </c>
      <c r="G261" s="1515">
        <v>15200</v>
      </c>
      <c r="H261" s="1298">
        <f t="shared" si="65"/>
        <v>60800</v>
      </c>
      <c r="I261" s="1370">
        <f t="shared" si="66"/>
        <v>1520</v>
      </c>
      <c r="J261" s="1343">
        <f t="shared" si="67"/>
        <v>6080</v>
      </c>
      <c r="K261" s="1262">
        <f t="shared" si="68"/>
        <v>66880</v>
      </c>
      <c r="L261" s="1356"/>
      <c r="M261" s="2025"/>
      <c r="N261" s="2025"/>
      <c r="O261" s="2025"/>
      <c r="P261" s="2025"/>
      <c r="Q261" s="2025"/>
      <c r="R261" s="2025"/>
      <c r="S261" s="2025"/>
      <c r="T261" s="2025"/>
      <c r="U261" s="2025"/>
      <c r="V261" s="2025"/>
      <c r="W261" s="2025"/>
      <c r="X261" s="2025"/>
      <c r="Y261" s="2025"/>
      <c r="Z261" s="2025"/>
      <c r="AA261" s="2025"/>
      <c r="AC261" s="1854"/>
      <c r="AD261" s="1854"/>
      <c r="AE261" s="1854"/>
      <c r="AH261" s="1854"/>
      <c r="AJ261" s="1854"/>
      <c r="AK261" s="1854"/>
      <c r="AL261" s="1854"/>
      <c r="AM261" s="1854"/>
      <c r="AO261" s="1854"/>
      <c r="AP261" s="1854"/>
    </row>
    <row r="262" spans="1:42" s="1765" customFormat="1" ht="24" customHeight="1">
      <c r="A262" s="1804"/>
      <c r="B262" s="1799" t="s">
        <v>2391</v>
      </c>
      <c r="C262" s="1800"/>
      <c r="D262" s="1375"/>
      <c r="E262" s="1801">
        <v>2</v>
      </c>
      <c r="F262" s="1356" t="s">
        <v>363</v>
      </c>
      <c r="G262" s="1515">
        <v>16500</v>
      </c>
      <c r="H262" s="1298">
        <f t="shared" si="65"/>
        <v>33000</v>
      </c>
      <c r="I262" s="1370">
        <f t="shared" si="66"/>
        <v>1650</v>
      </c>
      <c r="J262" s="1343">
        <f t="shared" si="67"/>
        <v>3300</v>
      </c>
      <c r="K262" s="1262">
        <f t="shared" si="68"/>
        <v>36300</v>
      </c>
      <c r="L262" s="1356"/>
      <c r="M262" s="2025"/>
      <c r="N262" s="2025"/>
      <c r="O262" s="2025"/>
      <c r="P262" s="2025"/>
      <c r="Q262" s="2025"/>
      <c r="R262" s="2025"/>
      <c r="S262" s="2025"/>
      <c r="T262" s="2025"/>
      <c r="U262" s="2025"/>
      <c r="V262" s="2025"/>
      <c r="W262" s="2025"/>
      <c r="X262" s="2025"/>
      <c r="Y262" s="2025"/>
      <c r="Z262" s="2025"/>
      <c r="AA262" s="2025"/>
      <c r="AC262" s="1854"/>
      <c r="AD262" s="1854"/>
      <c r="AE262" s="1854"/>
      <c r="AH262" s="1854"/>
      <c r="AJ262" s="1854"/>
      <c r="AK262" s="1854"/>
      <c r="AL262" s="1854"/>
      <c r="AM262" s="1854"/>
      <c r="AO262" s="1854"/>
      <c r="AP262" s="1854"/>
    </row>
    <row r="263" spans="1:42" s="1765" customFormat="1" ht="24" customHeight="1">
      <c r="A263" s="1804" t="s">
        <v>2272</v>
      </c>
      <c r="B263" s="1799" t="s">
        <v>2392</v>
      </c>
      <c r="C263" s="1800"/>
      <c r="D263" s="1375"/>
      <c r="E263" s="1801"/>
      <c r="F263" s="1356"/>
      <c r="G263" s="1515"/>
      <c r="H263" s="1369"/>
      <c r="I263" s="1370"/>
      <c r="J263" s="1369"/>
      <c r="K263" s="1356"/>
      <c r="L263" s="1356"/>
      <c r="M263" s="2025"/>
      <c r="N263" s="2025"/>
      <c r="O263" s="2025"/>
      <c r="P263" s="2025"/>
      <c r="Q263" s="2025"/>
      <c r="R263" s="2025"/>
      <c r="S263" s="2025"/>
      <c r="T263" s="2025"/>
      <c r="U263" s="2025"/>
      <c r="V263" s="2025"/>
      <c r="W263" s="2025"/>
      <c r="X263" s="2025"/>
      <c r="Y263" s="2025"/>
      <c r="Z263" s="2025"/>
      <c r="AA263" s="2025"/>
      <c r="AC263" s="1854"/>
      <c r="AD263" s="1854"/>
      <c r="AE263" s="1854"/>
    </row>
    <row r="264" spans="1:42" s="1765" customFormat="1" ht="24" customHeight="1">
      <c r="A264" s="1804"/>
      <c r="B264" s="1799" t="s">
        <v>2393</v>
      </c>
      <c r="C264" s="1800"/>
      <c r="D264" s="1375"/>
      <c r="E264" s="1801">
        <v>4</v>
      </c>
      <c r="F264" s="1356" t="s">
        <v>363</v>
      </c>
      <c r="G264" s="1558">
        <v>30600</v>
      </c>
      <c r="H264" s="1298">
        <f t="shared" ref="H264:H265" si="69">ROUND(E264*G264,)</f>
        <v>122400</v>
      </c>
      <c r="I264" s="1370">
        <f>G264*0.1</f>
        <v>3060</v>
      </c>
      <c r="J264" s="1343">
        <f t="shared" ref="J264:J265" si="70">ROUND(E264*I264,)</f>
        <v>12240</v>
      </c>
      <c r="K264" s="1262">
        <f t="shared" ref="K264:K265" si="71">H264+J264</f>
        <v>134640</v>
      </c>
      <c r="L264" s="1356"/>
      <c r="M264" s="2025"/>
      <c r="N264" s="2025"/>
      <c r="O264" s="2025"/>
      <c r="P264" s="2025"/>
      <c r="Q264" s="2025"/>
      <c r="R264" s="2025"/>
      <c r="S264" s="2025"/>
      <c r="T264" s="2025"/>
      <c r="U264" s="2025"/>
      <c r="V264" s="2025"/>
      <c r="W264" s="2025"/>
      <c r="X264" s="2025"/>
      <c r="Y264" s="2025"/>
      <c r="Z264" s="2025"/>
      <c r="AA264" s="2025"/>
      <c r="AC264" s="1854"/>
      <c r="AD264" s="1854"/>
      <c r="AE264" s="1854"/>
      <c r="AH264" s="1854"/>
      <c r="AJ264" s="1854"/>
      <c r="AK264" s="1854"/>
      <c r="AL264" s="1854"/>
      <c r="AM264" s="1854"/>
      <c r="AO264" s="1854"/>
      <c r="AP264" s="1854"/>
    </row>
    <row r="265" spans="1:42" s="1765" customFormat="1" ht="24" customHeight="1">
      <c r="A265" s="1804"/>
      <c r="B265" s="1799" t="s">
        <v>2394</v>
      </c>
      <c r="C265" s="1800"/>
      <c r="D265" s="1375"/>
      <c r="E265" s="1801">
        <v>2</v>
      </c>
      <c r="F265" s="1356" t="s">
        <v>363</v>
      </c>
      <c r="G265" s="1558">
        <v>30000</v>
      </c>
      <c r="H265" s="1298">
        <f t="shared" si="69"/>
        <v>60000</v>
      </c>
      <c r="I265" s="1370">
        <f>G265*0.1</f>
        <v>3000</v>
      </c>
      <c r="J265" s="1343">
        <f t="shared" si="70"/>
        <v>6000</v>
      </c>
      <c r="K265" s="1262">
        <f t="shared" si="71"/>
        <v>66000</v>
      </c>
      <c r="L265" s="1356"/>
      <c r="M265" s="2025"/>
      <c r="N265" s="2025"/>
      <c r="O265" s="2025"/>
      <c r="P265" s="2025"/>
      <c r="Q265" s="2025"/>
      <c r="R265" s="2025"/>
      <c r="S265" s="2025"/>
      <c r="T265" s="2025"/>
      <c r="U265" s="2025"/>
      <c r="V265" s="2025"/>
      <c r="W265" s="2025"/>
      <c r="X265" s="2025"/>
      <c r="Y265" s="2025"/>
      <c r="Z265" s="2025"/>
      <c r="AA265" s="2025"/>
      <c r="AC265" s="1854"/>
      <c r="AD265" s="1854"/>
      <c r="AE265" s="1854"/>
      <c r="AH265" s="1854"/>
      <c r="AJ265" s="1854"/>
      <c r="AK265" s="1854"/>
      <c r="AL265" s="1854"/>
      <c r="AM265" s="1854"/>
      <c r="AO265" s="1854"/>
      <c r="AP265" s="1854"/>
    </row>
    <row r="266" spans="1:42" s="1765" customFormat="1" ht="24" customHeight="1">
      <c r="A266" s="1804" t="s">
        <v>2274</v>
      </c>
      <c r="B266" s="1799" t="s">
        <v>2281</v>
      </c>
      <c r="C266" s="1800"/>
      <c r="D266" s="1375"/>
      <c r="E266" s="1801"/>
      <c r="F266" s="1356"/>
      <c r="G266" s="1515"/>
      <c r="H266" s="1369"/>
      <c r="I266" s="1370"/>
      <c r="J266" s="1369"/>
      <c r="K266" s="1356"/>
      <c r="L266" s="1356"/>
      <c r="M266" s="2025"/>
      <c r="N266" s="2025"/>
      <c r="O266" s="2025"/>
      <c r="P266" s="2025"/>
      <c r="Q266" s="2025"/>
      <c r="R266" s="2025"/>
      <c r="S266" s="2025"/>
      <c r="T266" s="2025"/>
      <c r="U266" s="2025"/>
      <c r="V266" s="2025"/>
      <c r="W266" s="2025"/>
      <c r="X266" s="2025"/>
      <c r="Y266" s="2025"/>
      <c r="Z266" s="2025"/>
      <c r="AA266" s="2025"/>
      <c r="AC266" s="1854"/>
      <c r="AH266" s="1854"/>
      <c r="AJ266" s="1854"/>
      <c r="AK266" s="1854"/>
      <c r="AL266" s="1855"/>
      <c r="AM266" s="1855"/>
      <c r="AO266" s="1855"/>
      <c r="AP266" s="1855"/>
    </row>
    <row r="267" spans="1:42" s="1765" customFormat="1" ht="24" customHeight="1">
      <c r="A267" s="1804"/>
      <c r="B267" s="1799" t="s">
        <v>2232</v>
      </c>
      <c r="C267" s="1800"/>
      <c r="D267" s="1375"/>
      <c r="E267" s="1801">
        <v>3</v>
      </c>
      <c r="F267" s="1356" t="s">
        <v>363</v>
      </c>
      <c r="G267" s="1515">
        <v>2300</v>
      </c>
      <c r="H267" s="1298">
        <f t="shared" ref="H267" si="72">ROUND(E267*G267,)</f>
        <v>6900</v>
      </c>
      <c r="I267" s="1370">
        <f>G267*0.1</f>
        <v>230</v>
      </c>
      <c r="J267" s="1343">
        <f t="shared" ref="J267" si="73">ROUND(E267*I267,)</f>
        <v>690</v>
      </c>
      <c r="K267" s="1262">
        <f t="shared" ref="K267" si="74">H267+J267</f>
        <v>7590</v>
      </c>
      <c r="L267" s="1356"/>
      <c r="M267" s="2025"/>
      <c r="N267" s="2025"/>
      <c r="O267" s="2025"/>
      <c r="P267" s="2025"/>
      <c r="Q267" s="2025"/>
      <c r="R267" s="2025"/>
      <c r="S267" s="2025"/>
      <c r="T267" s="2025"/>
      <c r="U267" s="2025"/>
      <c r="V267" s="2025"/>
      <c r="W267" s="2025"/>
      <c r="X267" s="2025"/>
      <c r="Y267" s="2025"/>
      <c r="Z267" s="2025"/>
      <c r="AA267" s="2025"/>
      <c r="AC267" s="1854"/>
      <c r="AD267" s="1854"/>
      <c r="AH267" s="1854"/>
      <c r="AJ267" s="1854"/>
      <c r="AK267" s="1854"/>
      <c r="AL267" s="1854"/>
      <c r="AM267" s="1854"/>
      <c r="AO267" s="1854"/>
      <c r="AP267" s="1854"/>
    </row>
    <row r="268" spans="1:42" s="1765" customFormat="1" ht="24" customHeight="1">
      <c r="A268" s="1804" t="s">
        <v>2278</v>
      </c>
      <c r="B268" s="1799" t="s">
        <v>2395</v>
      </c>
      <c r="C268" s="1800"/>
      <c r="D268" s="1375"/>
      <c r="E268" s="1801"/>
      <c r="F268" s="1356"/>
      <c r="G268" s="1515"/>
      <c r="H268" s="1369"/>
      <c r="I268" s="1370"/>
      <c r="J268" s="1369"/>
      <c r="K268" s="1356"/>
      <c r="L268" s="1356"/>
      <c r="M268" s="2025"/>
      <c r="N268" s="2025"/>
      <c r="O268" s="2025"/>
      <c r="P268" s="2025"/>
      <c r="Q268" s="2025"/>
      <c r="R268" s="2025"/>
      <c r="S268" s="2025"/>
      <c r="T268" s="2025"/>
      <c r="U268" s="2025"/>
      <c r="V268" s="2025"/>
      <c r="W268" s="2025"/>
      <c r="X268" s="2025"/>
      <c r="Y268" s="2025"/>
      <c r="Z268" s="2025"/>
      <c r="AA268" s="2025"/>
      <c r="AC268" s="1854"/>
      <c r="AD268" s="1854"/>
      <c r="AE268" s="1854"/>
    </row>
    <row r="269" spans="1:42" s="1765" customFormat="1" ht="24" customHeight="1">
      <c r="A269" s="1804"/>
      <c r="B269" s="1799" t="s">
        <v>2396</v>
      </c>
      <c r="C269" s="1800"/>
      <c r="D269" s="1375"/>
      <c r="E269" s="1801">
        <v>3</v>
      </c>
      <c r="F269" s="1356" t="s">
        <v>363</v>
      </c>
      <c r="G269" s="1515">
        <v>14000</v>
      </c>
      <c r="H269" s="1298">
        <f t="shared" ref="H269:H270" si="75">ROUND(E269*G269,)</f>
        <v>42000</v>
      </c>
      <c r="I269" s="1370">
        <f>G269*0.1</f>
        <v>1400</v>
      </c>
      <c r="J269" s="1343">
        <f t="shared" ref="J269:J270" si="76">ROUND(E269*I269,)</f>
        <v>4200</v>
      </c>
      <c r="K269" s="1262">
        <f t="shared" ref="K269:K270" si="77">H269+J269</f>
        <v>46200</v>
      </c>
      <c r="L269" s="1356"/>
      <c r="M269" s="2025"/>
      <c r="N269" s="2025"/>
      <c r="O269" s="2025"/>
      <c r="P269" s="2025"/>
      <c r="Q269" s="2025"/>
      <c r="R269" s="2025"/>
      <c r="S269" s="2025"/>
      <c r="T269" s="2025"/>
      <c r="U269" s="2025"/>
      <c r="V269" s="2025"/>
      <c r="W269" s="2025"/>
      <c r="X269" s="2025"/>
      <c r="Y269" s="2025"/>
      <c r="Z269" s="2025"/>
      <c r="AA269" s="2025"/>
      <c r="AC269" s="1854"/>
      <c r="AD269" s="1854"/>
      <c r="AE269" s="1854"/>
    </row>
    <row r="270" spans="1:42" s="1765" customFormat="1" ht="24" customHeight="1">
      <c r="A270" s="1804"/>
      <c r="B270" s="1799" t="s">
        <v>2397</v>
      </c>
      <c r="C270" s="1800"/>
      <c r="D270" s="1375"/>
      <c r="E270" s="1801">
        <v>2</v>
      </c>
      <c r="F270" s="1356" t="s">
        <v>363</v>
      </c>
      <c r="G270" s="1515">
        <v>8960</v>
      </c>
      <c r="H270" s="1298">
        <f t="shared" si="75"/>
        <v>17920</v>
      </c>
      <c r="I270" s="1370">
        <f>G270*0.1</f>
        <v>896</v>
      </c>
      <c r="J270" s="1343">
        <f t="shared" si="76"/>
        <v>1792</v>
      </c>
      <c r="K270" s="1262">
        <f t="shared" si="77"/>
        <v>19712</v>
      </c>
      <c r="L270" s="1356"/>
      <c r="M270" s="2025"/>
      <c r="N270" s="2025"/>
      <c r="O270" s="2025"/>
      <c r="P270" s="2025"/>
      <c r="Q270" s="2025"/>
      <c r="R270" s="2025"/>
      <c r="S270" s="2025"/>
      <c r="T270" s="2025"/>
      <c r="U270" s="2025"/>
      <c r="V270" s="2025"/>
      <c r="W270" s="2025"/>
      <c r="X270" s="2025"/>
      <c r="Y270" s="2025"/>
      <c r="Z270" s="2025"/>
      <c r="AA270" s="2025"/>
      <c r="AC270" s="1854"/>
      <c r="AD270" s="1854"/>
      <c r="AE270" s="1854"/>
    </row>
    <row r="271" spans="1:42" s="1765" customFormat="1" ht="24" customHeight="1">
      <c r="A271" s="1804"/>
      <c r="B271" s="1799" t="s">
        <v>1117</v>
      </c>
      <c r="C271" s="1800"/>
      <c r="D271" s="1375"/>
      <c r="E271" s="1801"/>
      <c r="F271" s="1356"/>
      <c r="G271" s="1515"/>
      <c r="H271" s="1369"/>
      <c r="I271" s="1370"/>
      <c r="J271" s="1369"/>
      <c r="K271" s="1356"/>
      <c r="L271" s="1356"/>
      <c r="M271" s="2025"/>
      <c r="N271" s="2025"/>
      <c r="O271" s="2025"/>
      <c r="P271" s="2025"/>
      <c r="Q271" s="2025"/>
      <c r="R271" s="2025"/>
      <c r="S271" s="2025"/>
      <c r="T271" s="2025"/>
      <c r="U271" s="2025"/>
      <c r="V271" s="2025"/>
      <c r="W271" s="2025"/>
      <c r="X271" s="2025"/>
      <c r="Y271" s="2025"/>
      <c r="Z271" s="2025"/>
      <c r="AA271" s="2025"/>
      <c r="AC271" s="1854"/>
      <c r="AD271" s="1854"/>
      <c r="AE271" s="1854"/>
    </row>
    <row r="272" spans="1:42" s="1765" customFormat="1" ht="24" customHeight="1">
      <c r="A272" s="1804"/>
      <c r="B272" s="1799"/>
      <c r="C272" s="1800"/>
      <c r="D272" s="1375"/>
      <c r="E272" s="1801"/>
      <c r="F272" s="1356"/>
      <c r="G272" s="1515"/>
      <c r="H272" s="1369"/>
      <c r="I272" s="1370"/>
      <c r="J272" s="1369"/>
      <c r="K272" s="1356"/>
      <c r="L272" s="1356"/>
      <c r="M272" s="2025"/>
      <c r="N272" s="2025"/>
      <c r="O272" s="2025"/>
      <c r="P272" s="2025"/>
      <c r="Q272" s="2025"/>
      <c r="R272" s="2025"/>
      <c r="S272" s="2025"/>
      <c r="T272" s="2025"/>
      <c r="U272" s="2025"/>
      <c r="V272" s="2025"/>
      <c r="W272" s="2025"/>
      <c r="X272" s="2025"/>
      <c r="Y272" s="2025"/>
      <c r="Z272" s="2025"/>
      <c r="AA272" s="2025"/>
      <c r="AC272" s="1854"/>
      <c r="AD272" s="1854"/>
      <c r="AE272" s="1854"/>
    </row>
    <row r="273" spans="1:46" s="1765" customFormat="1" ht="24" customHeight="1">
      <c r="A273" s="1804"/>
      <c r="B273" s="1799"/>
      <c r="C273" s="1800"/>
      <c r="D273" s="1375"/>
      <c r="E273" s="1801"/>
      <c r="F273" s="1356"/>
      <c r="G273" s="1515"/>
      <c r="H273" s="1369"/>
      <c r="I273" s="1370"/>
      <c r="J273" s="1369"/>
      <c r="K273" s="1356"/>
      <c r="L273" s="1356"/>
      <c r="M273" s="2025"/>
      <c r="N273" s="2025"/>
      <c r="O273" s="2025"/>
      <c r="P273" s="2025"/>
      <c r="Q273" s="2025"/>
      <c r="R273" s="2025"/>
      <c r="S273" s="2025"/>
      <c r="T273" s="2025"/>
      <c r="U273" s="2025"/>
      <c r="V273" s="2025"/>
      <c r="W273" s="2025"/>
      <c r="X273" s="2025"/>
      <c r="Y273" s="2025"/>
      <c r="Z273" s="2025"/>
      <c r="AA273" s="2025"/>
      <c r="AC273" s="1854"/>
      <c r="AD273" s="1854"/>
      <c r="AE273" s="1854"/>
    </row>
    <row r="274" spans="1:46" s="1765" customFormat="1" ht="24" customHeight="1">
      <c r="A274" s="1804"/>
      <c r="B274" s="1799"/>
      <c r="C274" s="1800"/>
      <c r="D274" s="1375"/>
      <c r="E274" s="1801"/>
      <c r="F274" s="1356"/>
      <c r="G274" s="1515"/>
      <c r="H274" s="1369"/>
      <c r="I274" s="1370"/>
      <c r="J274" s="1369"/>
      <c r="K274" s="1356"/>
      <c r="L274" s="1356"/>
      <c r="M274" s="2025"/>
      <c r="N274" s="2025"/>
      <c r="O274" s="2025"/>
      <c r="P274" s="2025"/>
      <c r="Q274" s="2025"/>
      <c r="R274" s="2025"/>
      <c r="S274" s="2025"/>
      <c r="T274" s="2025"/>
      <c r="U274" s="2025"/>
      <c r="V274" s="2025"/>
      <c r="W274" s="2025"/>
      <c r="X274" s="2025"/>
      <c r="Y274" s="2025"/>
      <c r="Z274" s="2025"/>
      <c r="AA274" s="2025"/>
      <c r="AC274" s="1854"/>
      <c r="AD274" s="1854"/>
      <c r="AE274" s="1854"/>
    </row>
    <row r="275" spans="1:46" s="1765" customFormat="1" ht="24" customHeight="1">
      <c r="A275" s="1804"/>
      <c r="B275" s="1799"/>
      <c r="C275" s="1800"/>
      <c r="D275" s="1375"/>
      <c r="E275" s="1801"/>
      <c r="F275" s="1356"/>
      <c r="G275" s="1515"/>
      <c r="H275" s="1369"/>
      <c r="I275" s="1370"/>
      <c r="J275" s="1369"/>
      <c r="K275" s="1356"/>
      <c r="L275" s="1356"/>
      <c r="M275" s="2025"/>
      <c r="N275" s="2025"/>
      <c r="O275" s="2025"/>
      <c r="P275" s="2025"/>
      <c r="Q275" s="2025"/>
      <c r="R275" s="2025"/>
      <c r="S275" s="2025"/>
      <c r="T275" s="2025"/>
      <c r="U275" s="2025"/>
      <c r="V275" s="2025"/>
      <c r="W275" s="2025"/>
      <c r="X275" s="2025"/>
      <c r="Y275" s="2025"/>
      <c r="Z275" s="2025"/>
      <c r="AA275" s="2025"/>
      <c r="AC275" s="1854"/>
      <c r="AD275" s="1854"/>
      <c r="AE275" s="1854"/>
    </row>
    <row r="276" spans="1:46" s="1765" customFormat="1" ht="24" customHeight="1">
      <c r="A276" s="1258"/>
      <c r="B276" s="1538" t="s">
        <v>1118</v>
      </c>
      <c r="C276" s="1437"/>
      <c r="D276" s="1275"/>
      <c r="E276" s="1768"/>
      <c r="F276" s="1358"/>
      <c r="G276" s="1516"/>
      <c r="H276" s="1264"/>
      <c r="I276" s="1265"/>
      <c r="J276" s="1264"/>
      <c r="K276" s="1273"/>
      <c r="L276" s="1273"/>
      <c r="M276" s="1613"/>
      <c r="N276" s="1613"/>
      <c r="O276" s="1613"/>
      <c r="P276" s="1613"/>
      <c r="Q276" s="1613"/>
      <c r="R276" s="1613"/>
      <c r="S276" s="1613"/>
      <c r="T276" s="1613"/>
      <c r="U276" s="1613"/>
      <c r="V276" s="1613"/>
      <c r="W276" s="1613"/>
      <c r="X276" s="1613"/>
      <c r="Y276" s="1613"/>
      <c r="Z276" s="1613"/>
      <c r="AA276" s="1613"/>
    </row>
    <row r="277" spans="1:46" s="1765" customFormat="1" ht="24" customHeight="1">
      <c r="A277" s="1578"/>
      <c r="B277" s="2257" t="str">
        <f>"รวมราคารายการที่ "&amp;A245</f>
        <v>รวมราคารายการที่ 7.10</v>
      </c>
      <c r="C277" s="2258"/>
      <c r="D277" s="2259"/>
      <c r="E277" s="1579"/>
      <c r="F277" s="1579"/>
      <c r="G277" s="1580"/>
      <c r="H277" s="1581">
        <f>SUM(H245:H276)</f>
        <v>496120</v>
      </c>
      <c r="I277" s="1582"/>
      <c r="J277" s="1581">
        <f>SUM(J245:J276)</f>
        <v>49612</v>
      </c>
      <c r="K277" s="1583">
        <f>SUM(K245:K276)</f>
        <v>545732</v>
      </c>
      <c r="L277" s="1583"/>
      <c r="M277" s="2019"/>
      <c r="N277" s="2019"/>
      <c r="O277" s="2019"/>
      <c r="P277" s="2019"/>
      <c r="Q277" s="2019"/>
      <c r="R277" s="2019"/>
      <c r="S277" s="2019"/>
      <c r="T277" s="2019"/>
      <c r="U277" s="2019"/>
      <c r="V277" s="2019"/>
      <c r="W277" s="2019"/>
      <c r="X277" s="2019"/>
      <c r="Y277" s="2019"/>
      <c r="Z277" s="2019"/>
      <c r="AA277" s="2019"/>
    </row>
    <row r="278" spans="1:46" s="1765" customFormat="1" ht="24" customHeight="1" thickBot="1">
      <c r="A278" s="1757" t="s">
        <v>2282</v>
      </c>
      <c r="B278" s="1758" t="s">
        <v>2177</v>
      </c>
      <c r="C278" s="1250"/>
      <c r="D278" s="1251"/>
      <c r="E278" s="1794"/>
      <c r="F278" s="1253"/>
      <c r="G278" s="1721"/>
      <c r="H278" s="1255"/>
      <c r="I278" s="1256"/>
      <c r="J278" s="1255"/>
      <c r="K278" s="1502"/>
      <c r="L278" s="1502"/>
      <c r="M278" s="1613"/>
      <c r="N278" s="1613"/>
      <c r="O278" s="1613"/>
      <c r="P278" s="1613"/>
      <c r="Q278" s="1613"/>
      <c r="R278" s="1613"/>
      <c r="S278" s="1613"/>
      <c r="T278" s="1613"/>
      <c r="U278" s="1613"/>
      <c r="V278" s="1613"/>
      <c r="W278" s="1613"/>
      <c r="X278" s="1613"/>
      <c r="Y278" s="1613"/>
      <c r="Z278" s="1613"/>
      <c r="AA278" s="1613"/>
      <c r="AC278" s="1884" t="s">
        <v>2398</v>
      </c>
      <c r="AD278" s="1884" t="s">
        <v>2399</v>
      </c>
      <c r="AE278" s="1884" t="s">
        <v>2400</v>
      </c>
      <c r="AF278" s="1884" t="s">
        <v>2401</v>
      </c>
      <c r="AG278" s="1884" t="s">
        <v>2402</v>
      </c>
      <c r="AH278" s="1884" t="s">
        <v>2403</v>
      </c>
      <c r="AI278" s="1884" t="s">
        <v>2404</v>
      </c>
      <c r="AJ278" s="1884" t="s">
        <v>2405</v>
      </c>
      <c r="AK278" s="1884" t="s">
        <v>2406</v>
      </c>
      <c r="AL278" s="1884" t="s">
        <v>2407</v>
      </c>
      <c r="AM278" s="1884" t="s">
        <v>2408</v>
      </c>
      <c r="AN278" s="1884" t="s">
        <v>2409</v>
      </c>
      <c r="AO278" s="1884" t="s">
        <v>2410</v>
      </c>
      <c r="AP278" s="1884" t="s">
        <v>2411</v>
      </c>
      <c r="AQ278" s="1884" t="s">
        <v>2412</v>
      </c>
      <c r="AR278" s="1884" t="s">
        <v>2413</v>
      </c>
      <c r="AS278" s="1884" t="s">
        <v>2414</v>
      </c>
      <c r="AT278" s="1885"/>
    </row>
    <row r="279" spans="1:46" s="1765" customFormat="1" ht="24" customHeight="1" thickTop="1">
      <c r="A279" s="1258" t="s">
        <v>2283</v>
      </c>
      <c r="B279" s="1538" t="s">
        <v>2178</v>
      </c>
      <c r="C279" s="1437"/>
      <c r="D279" s="1275"/>
      <c r="E279" s="1768"/>
      <c r="F279" s="1358"/>
      <c r="G279" s="1516"/>
      <c r="H279" s="1264"/>
      <c r="I279" s="1265"/>
      <c r="J279" s="1264"/>
      <c r="K279" s="1273"/>
      <c r="L279" s="1273"/>
      <c r="M279" s="1613"/>
      <c r="N279" s="1613"/>
      <c r="O279" s="1613"/>
      <c r="P279" s="1613"/>
      <c r="Q279" s="1613"/>
      <c r="R279" s="1613"/>
      <c r="S279" s="1613"/>
      <c r="T279" s="1613"/>
      <c r="U279" s="1613"/>
      <c r="V279" s="1613"/>
      <c r="W279" s="1613"/>
      <c r="X279" s="1613"/>
      <c r="Y279" s="1613"/>
      <c r="Z279" s="1613"/>
      <c r="AA279" s="1613"/>
      <c r="AB279" s="1835"/>
      <c r="AC279" s="1819"/>
      <c r="AD279" s="1819"/>
      <c r="AE279" s="1819"/>
      <c r="AF279" s="1819"/>
      <c r="AG279" s="1819"/>
      <c r="AH279" s="1819"/>
      <c r="AI279" s="1819"/>
      <c r="AJ279" s="1819"/>
      <c r="AK279" s="1819"/>
      <c r="AL279" s="1819"/>
      <c r="AM279" s="1819"/>
      <c r="AN279" s="1819"/>
      <c r="AO279" s="1819"/>
      <c r="AP279" s="1819"/>
      <c r="AQ279" s="1819"/>
      <c r="AR279" s="1819"/>
      <c r="AS279" s="1819"/>
      <c r="AT279" s="1819"/>
    </row>
    <row r="280" spans="1:46" s="1765" customFormat="1" ht="24" customHeight="1">
      <c r="A280" s="1258"/>
      <c r="B280" s="1538" t="s">
        <v>2415</v>
      </c>
      <c r="C280" s="1437"/>
      <c r="D280" s="1275"/>
      <c r="E280" s="1768">
        <v>1</v>
      </c>
      <c r="F280" s="1358" t="s">
        <v>363</v>
      </c>
      <c r="G280" s="1516">
        <v>163000</v>
      </c>
      <c r="H280" s="820">
        <f t="shared" ref="H280:H296" si="78">ROUND(E280*G280,)</f>
        <v>163000</v>
      </c>
      <c r="I280" s="1265">
        <f>G280*0.1</f>
        <v>16300</v>
      </c>
      <c r="J280" s="820">
        <f t="shared" ref="J280:J296" si="79">ROUND(E280*I280,)</f>
        <v>16300</v>
      </c>
      <c r="K280" s="1457">
        <f t="shared" ref="K280:K296" si="80">H280+J280</f>
        <v>179300</v>
      </c>
      <c r="L280" s="1273"/>
      <c r="M280" s="1613"/>
      <c r="N280" s="1613"/>
      <c r="O280" s="1613"/>
      <c r="P280" s="1613"/>
      <c r="Q280" s="1613"/>
      <c r="R280" s="1613"/>
      <c r="S280" s="1613"/>
      <c r="T280" s="1613"/>
      <c r="U280" s="1613"/>
      <c r="V280" s="1613"/>
      <c r="W280" s="1613"/>
      <c r="X280" s="1613"/>
      <c r="Y280" s="1613"/>
      <c r="Z280" s="1613"/>
      <c r="AA280" s="1613"/>
      <c r="AC280" s="1819"/>
      <c r="AD280" s="1819"/>
      <c r="AE280" s="1819"/>
      <c r="AF280" s="1819"/>
      <c r="AG280" s="1819"/>
      <c r="AH280" s="1819"/>
      <c r="AI280" s="1819"/>
      <c r="AJ280" s="1819"/>
      <c r="AK280" s="1819"/>
      <c r="AL280" s="1819"/>
      <c r="AM280" s="1819"/>
      <c r="AN280" s="1819"/>
      <c r="AO280" s="1819"/>
      <c r="AP280" s="1819"/>
      <c r="AQ280" s="1819"/>
      <c r="AR280" s="1819"/>
      <c r="AS280" s="1819"/>
      <c r="AT280" s="1819"/>
    </row>
    <row r="281" spans="1:46" s="1765" customFormat="1" ht="24" customHeight="1">
      <c r="A281" s="1258"/>
      <c r="B281" s="1538" t="s">
        <v>2416</v>
      </c>
      <c r="C281" s="1437"/>
      <c r="D281" s="1275"/>
      <c r="E281" s="1768">
        <v>1</v>
      </c>
      <c r="F281" s="1358" t="s">
        <v>363</v>
      </c>
      <c r="G281" s="1516">
        <v>163000</v>
      </c>
      <c r="H281" s="820">
        <f t="shared" si="78"/>
        <v>163000</v>
      </c>
      <c r="I281" s="1265">
        <f>G281*0.1</f>
        <v>16300</v>
      </c>
      <c r="J281" s="820">
        <f t="shared" si="79"/>
        <v>16300</v>
      </c>
      <c r="K281" s="1457">
        <f t="shared" si="80"/>
        <v>179300</v>
      </c>
      <c r="L281" s="1273"/>
      <c r="M281" s="1613"/>
      <c r="N281" s="1613"/>
      <c r="O281" s="1613"/>
      <c r="P281" s="1613"/>
      <c r="Q281" s="1613"/>
      <c r="R281" s="1613"/>
      <c r="S281" s="1613"/>
      <c r="T281" s="1613"/>
      <c r="U281" s="1613"/>
      <c r="V281" s="1613"/>
      <c r="W281" s="1613"/>
      <c r="X281" s="1613"/>
      <c r="Y281" s="1613"/>
      <c r="Z281" s="1613"/>
      <c r="AA281" s="1613"/>
      <c r="AC281" s="1819"/>
      <c r="AD281" s="1819"/>
      <c r="AE281" s="1819"/>
      <c r="AF281" s="1819"/>
      <c r="AG281" s="1819"/>
      <c r="AH281" s="1819"/>
      <c r="AI281" s="1819"/>
      <c r="AJ281" s="1819"/>
      <c r="AK281" s="1819"/>
      <c r="AL281" s="1819"/>
      <c r="AM281" s="1819"/>
      <c r="AN281" s="1819"/>
      <c r="AO281" s="1819"/>
      <c r="AP281" s="1819"/>
      <c r="AQ281" s="1819"/>
      <c r="AR281" s="1819"/>
      <c r="AS281" s="1819"/>
      <c r="AT281" s="1819"/>
    </row>
    <row r="282" spans="1:46" s="1765" customFormat="1" ht="24" customHeight="1">
      <c r="A282" s="1258"/>
      <c r="B282" s="1538" t="s">
        <v>2417</v>
      </c>
      <c r="C282" s="1437"/>
      <c r="D282" s="1275"/>
      <c r="E282" s="1768">
        <v>1</v>
      </c>
      <c r="F282" s="1358" t="s">
        <v>363</v>
      </c>
      <c r="G282" s="2170">
        <f>132000-76250</f>
        <v>55750</v>
      </c>
      <c r="H282" s="820">
        <f t="shared" si="78"/>
        <v>55750</v>
      </c>
      <c r="I282" s="1265">
        <f>G282*0.1</f>
        <v>5575</v>
      </c>
      <c r="J282" s="820">
        <f t="shared" si="79"/>
        <v>5575</v>
      </c>
      <c r="K282" s="1457">
        <f t="shared" si="80"/>
        <v>61325</v>
      </c>
      <c r="L282" s="1273"/>
      <c r="M282" s="1613"/>
      <c r="N282" s="1613"/>
      <c r="O282" s="1613"/>
      <c r="P282" s="1613"/>
      <c r="Q282" s="1613"/>
      <c r="R282" s="1613"/>
      <c r="S282" s="1613"/>
      <c r="T282" s="1613"/>
      <c r="U282" s="1613"/>
      <c r="V282" s="1613"/>
      <c r="W282" s="1613"/>
      <c r="X282" s="1613"/>
      <c r="Y282" s="1613"/>
      <c r="Z282" s="1613"/>
      <c r="AA282" s="1613"/>
      <c r="AC282" s="1819"/>
      <c r="AD282" s="1819"/>
      <c r="AE282" s="1819"/>
      <c r="AF282" s="1819"/>
      <c r="AG282" s="1819"/>
      <c r="AH282" s="1819"/>
      <c r="AI282" s="1819"/>
      <c r="AJ282" s="1819"/>
      <c r="AK282" s="1819"/>
      <c r="AL282" s="1819"/>
      <c r="AM282" s="1819"/>
      <c r="AN282" s="1819"/>
      <c r="AO282" s="1819"/>
      <c r="AP282" s="1819"/>
      <c r="AQ282" s="1819"/>
      <c r="AR282" s="1819"/>
      <c r="AS282" s="1819"/>
      <c r="AT282" s="1819"/>
    </row>
    <row r="283" spans="1:46" s="1765" customFormat="1" ht="24" customHeight="1">
      <c r="A283" s="1258"/>
      <c r="B283" s="1538" t="s">
        <v>2418</v>
      </c>
      <c r="C283" s="1437"/>
      <c r="D283" s="1275"/>
      <c r="E283" s="1768">
        <v>1</v>
      </c>
      <c r="F283" s="1358" t="s">
        <v>363</v>
      </c>
      <c r="G283" s="2170">
        <f>65000-34500</f>
        <v>30500</v>
      </c>
      <c r="H283" s="820">
        <f t="shared" si="78"/>
        <v>30500</v>
      </c>
      <c r="I283" s="1265">
        <f>G283*0.1</f>
        <v>3050</v>
      </c>
      <c r="J283" s="820">
        <f t="shared" si="79"/>
        <v>3050</v>
      </c>
      <c r="K283" s="1457">
        <f t="shared" si="80"/>
        <v>33550</v>
      </c>
      <c r="L283" s="1273"/>
      <c r="M283" s="1613"/>
      <c r="N283" s="1613"/>
      <c r="O283" s="1613"/>
      <c r="P283" s="1613"/>
      <c r="Q283" s="1613"/>
      <c r="R283" s="1613"/>
      <c r="S283" s="1613"/>
      <c r="T283" s="1613"/>
      <c r="U283" s="1613"/>
      <c r="V283" s="1613"/>
      <c r="W283" s="1613"/>
      <c r="X283" s="1613"/>
      <c r="Y283" s="1613"/>
      <c r="Z283" s="1613"/>
      <c r="AA283" s="1613"/>
      <c r="AC283" s="1819"/>
      <c r="AD283" s="1819"/>
      <c r="AE283" s="1819"/>
      <c r="AF283" s="1819"/>
      <c r="AG283" s="1819"/>
      <c r="AH283" s="1819"/>
      <c r="AI283" s="1819"/>
      <c r="AJ283" s="1819"/>
      <c r="AK283" s="1819"/>
      <c r="AL283" s="1819"/>
      <c r="AM283" s="1819"/>
      <c r="AN283" s="1819"/>
      <c r="AO283" s="1819"/>
      <c r="AP283" s="1819"/>
      <c r="AQ283" s="1819"/>
      <c r="AR283" s="1819"/>
      <c r="AS283" s="1819"/>
      <c r="AT283" s="1819"/>
    </row>
    <row r="284" spans="1:46" s="1765" customFormat="1" ht="24" customHeight="1">
      <c r="A284" s="1258"/>
      <c r="B284" s="1538" t="s">
        <v>2419</v>
      </c>
      <c r="C284" s="1437"/>
      <c r="D284" s="1275"/>
      <c r="E284" s="1768">
        <v>1</v>
      </c>
      <c r="F284" s="1358" t="s">
        <v>363</v>
      </c>
      <c r="G284" s="1516">
        <v>124000</v>
      </c>
      <c r="H284" s="820">
        <f t="shared" si="78"/>
        <v>124000</v>
      </c>
      <c r="I284" s="1265">
        <f>G284*0.1</f>
        <v>12400</v>
      </c>
      <c r="J284" s="820">
        <f t="shared" si="79"/>
        <v>12400</v>
      </c>
      <c r="K284" s="1457">
        <f t="shared" si="80"/>
        <v>136400</v>
      </c>
      <c r="L284" s="1273"/>
      <c r="M284" s="1613"/>
      <c r="N284" s="1613"/>
      <c r="O284" s="1613"/>
      <c r="P284" s="1613"/>
      <c r="Q284" s="1613"/>
      <c r="R284" s="1613"/>
      <c r="S284" s="1613"/>
      <c r="T284" s="1613"/>
      <c r="U284" s="1613"/>
      <c r="V284" s="1613"/>
      <c r="W284" s="1613"/>
      <c r="X284" s="1613"/>
      <c r="Y284" s="1613"/>
      <c r="Z284" s="1613"/>
      <c r="AA284" s="1613"/>
      <c r="AC284" s="1819"/>
      <c r="AD284" s="1819"/>
      <c r="AE284" s="1819"/>
      <c r="AF284" s="1819"/>
      <c r="AG284" s="1819"/>
      <c r="AH284" s="1819"/>
      <c r="AI284" s="1819"/>
      <c r="AJ284" s="1819"/>
      <c r="AK284" s="1819"/>
      <c r="AL284" s="1819"/>
      <c r="AM284" s="1819"/>
      <c r="AN284" s="1819"/>
      <c r="AO284" s="1819"/>
      <c r="AP284" s="1819"/>
      <c r="AQ284" s="1819"/>
      <c r="AR284" s="1819"/>
      <c r="AS284" s="1819"/>
      <c r="AT284" s="1819"/>
    </row>
    <row r="285" spans="1:46" s="1765" customFormat="1" ht="24" customHeight="1">
      <c r="A285" s="1258"/>
      <c r="B285" s="1538" t="s">
        <v>2420</v>
      </c>
      <c r="C285" s="1437"/>
      <c r="D285" s="1275"/>
      <c r="E285" s="1768">
        <v>1</v>
      </c>
      <c r="F285" s="1358" t="s">
        <v>363</v>
      </c>
      <c r="G285" s="1516">
        <v>23000</v>
      </c>
      <c r="H285" s="820">
        <f t="shared" si="78"/>
        <v>23000</v>
      </c>
      <c r="I285" s="1265">
        <f t="shared" ref="I285:I288" si="81">G285*0.1</f>
        <v>2300</v>
      </c>
      <c r="J285" s="820">
        <f t="shared" si="79"/>
        <v>2300</v>
      </c>
      <c r="K285" s="1457">
        <f t="shared" si="80"/>
        <v>25300</v>
      </c>
      <c r="L285" s="1273"/>
      <c r="M285" s="1613"/>
      <c r="N285" s="1613"/>
      <c r="O285" s="1613"/>
      <c r="P285" s="1613"/>
      <c r="Q285" s="1613"/>
      <c r="R285" s="1613"/>
      <c r="S285" s="1613"/>
      <c r="T285" s="1613"/>
      <c r="U285" s="1613"/>
      <c r="V285" s="1613"/>
      <c r="W285" s="1613"/>
      <c r="X285" s="1613"/>
      <c r="Y285" s="1613"/>
      <c r="Z285" s="1613"/>
      <c r="AA285" s="1613"/>
      <c r="AC285" s="1819"/>
      <c r="AD285" s="1819"/>
      <c r="AE285" s="1819"/>
      <c r="AF285" s="1819"/>
      <c r="AG285" s="1819"/>
      <c r="AH285" s="1819"/>
      <c r="AI285" s="1819"/>
      <c r="AJ285" s="1819"/>
      <c r="AK285" s="1819"/>
      <c r="AL285" s="1819"/>
      <c r="AM285" s="1819"/>
      <c r="AN285" s="1819"/>
      <c r="AO285" s="1819"/>
      <c r="AP285" s="1819"/>
      <c r="AQ285" s="1819"/>
      <c r="AR285" s="1819"/>
      <c r="AS285" s="1819"/>
      <c r="AT285" s="1819"/>
    </row>
    <row r="286" spans="1:46" s="1765" customFormat="1" ht="24" customHeight="1">
      <c r="A286" s="1258"/>
      <c r="B286" s="1538" t="s">
        <v>2421</v>
      </c>
      <c r="C286" s="1437"/>
      <c r="D286" s="1275"/>
      <c r="E286" s="1768">
        <v>1</v>
      </c>
      <c r="F286" s="1358" t="s">
        <v>363</v>
      </c>
      <c r="G286" s="1516">
        <v>33000</v>
      </c>
      <c r="H286" s="820">
        <f t="shared" si="78"/>
        <v>33000</v>
      </c>
      <c r="I286" s="1265">
        <f t="shared" si="81"/>
        <v>3300</v>
      </c>
      <c r="J286" s="820">
        <f t="shared" si="79"/>
        <v>3300</v>
      </c>
      <c r="K286" s="1457">
        <f t="shared" si="80"/>
        <v>36300</v>
      </c>
      <c r="L286" s="1273"/>
      <c r="M286" s="1613"/>
      <c r="N286" s="1613"/>
      <c r="O286" s="1613"/>
      <c r="P286" s="1613"/>
      <c r="Q286" s="1613"/>
      <c r="R286" s="1613"/>
      <c r="S286" s="1613"/>
      <c r="T286" s="1613"/>
      <c r="U286" s="1613"/>
      <c r="V286" s="1613"/>
      <c r="W286" s="1613"/>
      <c r="X286" s="1613"/>
      <c r="Y286" s="1613"/>
      <c r="Z286" s="1613"/>
      <c r="AA286" s="1613"/>
      <c r="AC286" s="1819"/>
      <c r="AD286" s="1819"/>
      <c r="AE286" s="1819"/>
      <c r="AF286" s="1819"/>
      <c r="AG286" s="1819"/>
      <c r="AH286" s="1819"/>
      <c r="AI286" s="1819"/>
      <c r="AJ286" s="1819"/>
      <c r="AK286" s="1819"/>
      <c r="AL286" s="1819"/>
      <c r="AM286" s="1819"/>
      <c r="AN286" s="1819"/>
      <c r="AO286" s="1819"/>
      <c r="AP286" s="1819"/>
      <c r="AQ286" s="1819"/>
      <c r="AR286" s="1819"/>
      <c r="AS286" s="1819"/>
      <c r="AT286" s="1819"/>
    </row>
    <row r="287" spans="1:46" s="1765" customFormat="1" ht="24" customHeight="1">
      <c r="A287" s="1258"/>
      <c r="B287" s="1538" t="s">
        <v>2422</v>
      </c>
      <c r="C287" s="1437"/>
      <c r="D287" s="1275"/>
      <c r="E287" s="1768">
        <v>1</v>
      </c>
      <c r="F287" s="1358" t="s">
        <v>363</v>
      </c>
      <c r="G287" s="1516">
        <v>52000</v>
      </c>
      <c r="H287" s="820">
        <f t="shared" si="78"/>
        <v>52000</v>
      </c>
      <c r="I287" s="1265">
        <f t="shared" si="81"/>
        <v>5200</v>
      </c>
      <c r="J287" s="820">
        <f t="shared" si="79"/>
        <v>5200</v>
      </c>
      <c r="K287" s="1457">
        <f t="shared" si="80"/>
        <v>57200</v>
      </c>
      <c r="L287" s="1273"/>
      <c r="M287" s="1613"/>
      <c r="N287" s="1613"/>
      <c r="O287" s="1613"/>
      <c r="P287" s="1613"/>
      <c r="Q287" s="1613"/>
      <c r="R287" s="1613"/>
      <c r="S287" s="1613"/>
      <c r="T287" s="1613"/>
      <c r="U287" s="1613"/>
      <c r="V287" s="1613"/>
      <c r="W287" s="1613"/>
      <c r="X287" s="1613"/>
      <c r="Y287" s="1613"/>
      <c r="Z287" s="1613"/>
      <c r="AA287" s="1613"/>
      <c r="AC287" s="1819"/>
      <c r="AD287" s="1819"/>
      <c r="AE287" s="1819"/>
      <c r="AF287" s="1819"/>
      <c r="AG287" s="1819"/>
      <c r="AH287" s="1819"/>
      <c r="AI287" s="1819"/>
      <c r="AJ287" s="1819"/>
      <c r="AK287" s="1819"/>
      <c r="AL287" s="1819"/>
      <c r="AM287" s="1819"/>
      <c r="AN287" s="1819"/>
      <c r="AO287" s="1819"/>
      <c r="AP287" s="1819"/>
      <c r="AQ287" s="1819"/>
      <c r="AR287" s="1819"/>
      <c r="AS287" s="1819"/>
      <c r="AT287" s="1819"/>
    </row>
    <row r="288" spans="1:46" s="1765" customFormat="1" ht="24" customHeight="1">
      <c r="A288" s="1258"/>
      <c r="B288" s="1538" t="s">
        <v>2423</v>
      </c>
      <c r="C288" s="1437"/>
      <c r="D288" s="1275"/>
      <c r="E288" s="1768">
        <v>1</v>
      </c>
      <c r="F288" s="1358" t="s">
        <v>363</v>
      </c>
      <c r="G288" s="1516">
        <v>23000</v>
      </c>
      <c r="H288" s="820">
        <f t="shared" si="78"/>
        <v>23000</v>
      </c>
      <c r="I288" s="1265">
        <f t="shared" si="81"/>
        <v>2300</v>
      </c>
      <c r="J288" s="820">
        <f t="shared" si="79"/>
        <v>2300</v>
      </c>
      <c r="K288" s="1457">
        <f t="shared" si="80"/>
        <v>25300</v>
      </c>
      <c r="L288" s="1273"/>
      <c r="M288" s="1613"/>
      <c r="N288" s="1613"/>
      <c r="O288" s="1613"/>
      <c r="P288" s="1613"/>
      <c r="Q288" s="1613"/>
      <c r="R288" s="1613"/>
      <c r="S288" s="1613"/>
      <c r="T288" s="1613"/>
      <c r="U288" s="1613"/>
      <c r="V288" s="1613"/>
      <c r="W288" s="1613"/>
      <c r="X288" s="1613"/>
      <c r="Y288" s="1613"/>
      <c r="Z288" s="1613"/>
      <c r="AA288" s="1613"/>
      <c r="AC288" s="1819"/>
      <c r="AD288" s="1819"/>
      <c r="AE288" s="1819"/>
      <c r="AF288" s="1819"/>
      <c r="AG288" s="1819"/>
      <c r="AH288" s="1819"/>
      <c r="AI288" s="1819"/>
      <c r="AJ288" s="1819"/>
      <c r="AK288" s="1819"/>
      <c r="AL288" s="1819"/>
      <c r="AM288" s="1819"/>
      <c r="AN288" s="1819"/>
      <c r="AO288" s="1819"/>
      <c r="AP288" s="1819"/>
      <c r="AQ288" s="1819"/>
      <c r="AR288" s="1819"/>
      <c r="AS288" s="1819"/>
      <c r="AT288" s="1819"/>
    </row>
    <row r="289" spans="1:46" s="1765" customFormat="1" ht="24" customHeight="1">
      <c r="A289" s="1258"/>
      <c r="B289" s="1538" t="s">
        <v>2424</v>
      </c>
      <c r="C289" s="1437"/>
      <c r="D289" s="1275"/>
      <c r="E289" s="1768">
        <v>1</v>
      </c>
      <c r="F289" s="1358" t="s">
        <v>363</v>
      </c>
      <c r="G289" s="1516">
        <v>163000</v>
      </c>
      <c r="H289" s="820">
        <f t="shared" si="78"/>
        <v>163000</v>
      </c>
      <c r="I289" s="1265">
        <f>G289*0.1</f>
        <v>16300</v>
      </c>
      <c r="J289" s="820">
        <f t="shared" si="79"/>
        <v>16300</v>
      </c>
      <c r="K289" s="1457">
        <f t="shared" si="80"/>
        <v>179300</v>
      </c>
      <c r="L289" s="1273"/>
      <c r="M289" s="1613"/>
      <c r="N289" s="1613"/>
      <c r="O289" s="1613"/>
      <c r="P289" s="1613"/>
      <c r="Q289" s="1613"/>
      <c r="R289" s="1613"/>
      <c r="S289" s="1613"/>
      <c r="T289" s="1613"/>
      <c r="U289" s="1613"/>
      <c r="V289" s="1613"/>
      <c r="W289" s="1613"/>
      <c r="X289" s="1613"/>
      <c r="Y289" s="1613"/>
      <c r="Z289" s="1613"/>
      <c r="AA289" s="1613"/>
      <c r="AC289" s="1819"/>
      <c r="AD289" s="1819"/>
      <c r="AE289" s="1819"/>
      <c r="AF289" s="1819"/>
      <c r="AG289" s="1819"/>
      <c r="AH289" s="1819"/>
      <c r="AI289" s="1819"/>
      <c r="AJ289" s="1819"/>
      <c r="AK289" s="1819"/>
      <c r="AL289" s="1819"/>
      <c r="AM289" s="1819"/>
      <c r="AN289" s="1819"/>
      <c r="AO289" s="1819"/>
      <c r="AP289" s="1819"/>
      <c r="AQ289" s="1819"/>
      <c r="AR289" s="1819"/>
      <c r="AS289" s="1819"/>
      <c r="AT289" s="1819"/>
    </row>
    <row r="290" spans="1:46" s="1765" customFormat="1" ht="24" customHeight="1">
      <c r="A290" s="1258"/>
      <c r="B290" s="1538" t="s">
        <v>2425</v>
      </c>
      <c r="C290" s="1437"/>
      <c r="D290" s="1275"/>
      <c r="E290" s="1768">
        <v>1</v>
      </c>
      <c r="F290" s="1358" t="s">
        <v>363</v>
      </c>
      <c r="G290" s="1516">
        <v>163000</v>
      </c>
      <c r="H290" s="820">
        <f t="shared" si="78"/>
        <v>163000</v>
      </c>
      <c r="I290" s="1265">
        <f>G290*0.1</f>
        <v>16300</v>
      </c>
      <c r="J290" s="820">
        <f t="shared" si="79"/>
        <v>16300</v>
      </c>
      <c r="K290" s="1457">
        <f t="shared" si="80"/>
        <v>179300</v>
      </c>
      <c r="L290" s="1273"/>
      <c r="M290" s="1613"/>
      <c r="N290" s="1613"/>
      <c r="O290" s="1613"/>
      <c r="P290" s="1613"/>
      <c r="Q290" s="1613"/>
      <c r="R290" s="1613"/>
      <c r="S290" s="1613"/>
      <c r="T290" s="1613"/>
      <c r="U290" s="1613"/>
      <c r="V290" s="1613"/>
      <c r="W290" s="1613"/>
      <c r="X290" s="1613"/>
      <c r="Y290" s="1613"/>
      <c r="Z290" s="1613"/>
      <c r="AA290" s="1613"/>
      <c r="AC290" s="1819"/>
      <c r="AD290" s="1819"/>
      <c r="AE290" s="1819"/>
      <c r="AF290" s="1819"/>
      <c r="AG290" s="1819"/>
      <c r="AH290" s="1819"/>
      <c r="AI290" s="1819"/>
      <c r="AJ290" s="1819"/>
      <c r="AK290" s="1819"/>
      <c r="AL290" s="1819"/>
      <c r="AM290" s="1819"/>
      <c r="AN290" s="1819"/>
      <c r="AO290" s="1819"/>
      <c r="AP290" s="1819"/>
      <c r="AQ290" s="1819"/>
      <c r="AR290" s="1819"/>
      <c r="AS290" s="1819"/>
      <c r="AT290" s="1819"/>
    </row>
    <row r="291" spans="1:46" s="1765" customFormat="1" ht="24" customHeight="1">
      <c r="A291" s="1258"/>
      <c r="B291" s="1538" t="s">
        <v>2426</v>
      </c>
      <c r="C291" s="1437"/>
      <c r="D291" s="1275"/>
      <c r="E291" s="1768">
        <v>1</v>
      </c>
      <c r="F291" s="1358" t="s">
        <v>363</v>
      </c>
      <c r="G291" s="2170">
        <f>132000-76250</f>
        <v>55750</v>
      </c>
      <c r="H291" s="820">
        <f t="shared" si="78"/>
        <v>55750</v>
      </c>
      <c r="I291" s="1265">
        <f>G291*0.1</f>
        <v>5575</v>
      </c>
      <c r="J291" s="820">
        <f t="shared" si="79"/>
        <v>5575</v>
      </c>
      <c r="K291" s="1457">
        <f t="shared" si="80"/>
        <v>61325</v>
      </c>
      <c r="L291" s="1273"/>
      <c r="M291" s="1613"/>
      <c r="N291" s="1613"/>
      <c r="O291" s="1613"/>
      <c r="P291" s="1613"/>
      <c r="Q291" s="1613"/>
      <c r="R291" s="1613"/>
      <c r="S291" s="1613"/>
      <c r="T291" s="1613"/>
      <c r="U291" s="1613"/>
      <c r="V291" s="1613"/>
      <c r="W291" s="1613"/>
      <c r="X291" s="1613"/>
      <c r="Y291" s="1613"/>
      <c r="Z291" s="1613"/>
      <c r="AA291" s="1613"/>
      <c r="AC291" s="1819"/>
      <c r="AD291" s="1819"/>
      <c r="AE291" s="1819"/>
      <c r="AF291" s="1819"/>
      <c r="AG291" s="1819"/>
      <c r="AH291" s="1819"/>
      <c r="AI291" s="1819"/>
      <c r="AJ291" s="1819"/>
      <c r="AK291" s="1819"/>
      <c r="AL291" s="1819"/>
      <c r="AM291" s="1819"/>
      <c r="AN291" s="1819"/>
      <c r="AO291" s="1819"/>
      <c r="AP291" s="1819"/>
      <c r="AQ291" s="1819"/>
      <c r="AR291" s="1819"/>
      <c r="AS291" s="1819"/>
      <c r="AT291" s="1819"/>
    </row>
    <row r="292" spans="1:46" s="1765" customFormat="1" ht="24" customHeight="1">
      <c r="A292" s="1258"/>
      <c r="B292" s="1538" t="s">
        <v>2427</v>
      </c>
      <c r="C292" s="1437"/>
      <c r="D292" s="1275"/>
      <c r="E292" s="1768">
        <v>1</v>
      </c>
      <c r="F292" s="1358" t="s">
        <v>363</v>
      </c>
      <c r="G292" s="2170">
        <f>65000-34500</f>
        <v>30500</v>
      </c>
      <c r="H292" s="820">
        <f t="shared" si="78"/>
        <v>30500</v>
      </c>
      <c r="I292" s="1265">
        <f>G292*0.1</f>
        <v>3050</v>
      </c>
      <c r="J292" s="820">
        <f t="shared" si="79"/>
        <v>3050</v>
      </c>
      <c r="K292" s="1457">
        <f t="shared" si="80"/>
        <v>33550</v>
      </c>
      <c r="L292" s="1273"/>
      <c r="M292" s="1613"/>
      <c r="N292" s="1613"/>
      <c r="O292" s="1613"/>
      <c r="P292" s="1613"/>
      <c r="Q292" s="1613"/>
      <c r="R292" s="1613"/>
      <c r="S292" s="1613"/>
      <c r="T292" s="1613"/>
      <c r="U292" s="1613"/>
      <c r="V292" s="1613"/>
      <c r="W292" s="1613"/>
      <c r="X292" s="1613"/>
      <c r="Y292" s="1613"/>
      <c r="Z292" s="1613"/>
      <c r="AA292" s="1613"/>
      <c r="AC292" s="1819"/>
      <c r="AD292" s="1819"/>
      <c r="AE292" s="1819"/>
      <c r="AF292" s="1819"/>
      <c r="AG292" s="1819"/>
      <c r="AH292" s="1819"/>
      <c r="AI292" s="1819"/>
      <c r="AJ292" s="1819"/>
      <c r="AK292" s="1819"/>
      <c r="AL292" s="1819"/>
      <c r="AM292" s="1819"/>
      <c r="AN292" s="1819"/>
      <c r="AO292" s="1819"/>
      <c r="AP292" s="1819"/>
      <c r="AQ292" s="1819"/>
      <c r="AR292" s="1819"/>
      <c r="AS292" s="1819"/>
      <c r="AT292" s="1819"/>
    </row>
    <row r="293" spans="1:46" s="1765" customFormat="1" ht="24" customHeight="1">
      <c r="A293" s="1258"/>
      <c r="B293" s="1538" t="s">
        <v>2428</v>
      </c>
      <c r="C293" s="1437"/>
      <c r="D293" s="1275"/>
      <c r="E293" s="1768">
        <v>1</v>
      </c>
      <c r="F293" s="1358" t="s">
        <v>363</v>
      </c>
      <c r="G293" s="1516">
        <v>23000</v>
      </c>
      <c r="H293" s="820">
        <f t="shared" si="78"/>
        <v>23000</v>
      </c>
      <c r="I293" s="1265">
        <f t="shared" ref="I293:I296" si="82">G293*0.1</f>
        <v>2300</v>
      </c>
      <c r="J293" s="820">
        <f t="shared" si="79"/>
        <v>2300</v>
      </c>
      <c r="K293" s="1457">
        <f t="shared" si="80"/>
        <v>25300</v>
      </c>
      <c r="L293" s="1273"/>
      <c r="M293" s="1613"/>
      <c r="N293" s="1613"/>
      <c r="O293" s="1613"/>
      <c r="P293" s="1613"/>
      <c r="Q293" s="1613"/>
      <c r="R293" s="1613"/>
      <c r="S293" s="1613"/>
      <c r="T293" s="1613"/>
      <c r="U293" s="1613"/>
      <c r="V293" s="1613"/>
      <c r="W293" s="1613"/>
      <c r="X293" s="1613"/>
      <c r="Y293" s="1613"/>
      <c r="Z293" s="1613"/>
      <c r="AA293" s="1613"/>
      <c r="AC293" s="1819"/>
      <c r="AD293" s="1819"/>
      <c r="AE293" s="1819"/>
      <c r="AF293" s="1819"/>
      <c r="AG293" s="1819"/>
      <c r="AH293" s="1819"/>
      <c r="AI293" s="1819"/>
      <c r="AJ293" s="1819"/>
      <c r="AK293" s="1819"/>
      <c r="AL293" s="1819"/>
      <c r="AM293" s="1819"/>
      <c r="AN293" s="1819"/>
      <c r="AO293" s="1819"/>
      <c r="AP293" s="1819"/>
      <c r="AQ293" s="1819"/>
      <c r="AR293" s="1819"/>
      <c r="AS293" s="1819"/>
      <c r="AT293" s="1819"/>
    </row>
    <row r="294" spans="1:46" s="1765" customFormat="1" ht="24" customHeight="1">
      <c r="A294" s="1258"/>
      <c r="B294" s="1538" t="s">
        <v>2429</v>
      </c>
      <c r="C294" s="1437"/>
      <c r="D294" s="1275"/>
      <c r="E294" s="1768">
        <v>1</v>
      </c>
      <c r="F294" s="1358" t="s">
        <v>363</v>
      </c>
      <c r="G294" s="1516">
        <v>33000</v>
      </c>
      <c r="H294" s="820">
        <f t="shared" si="78"/>
        <v>33000</v>
      </c>
      <c r="I294" s="1265">
        <f t="shared" si="82"/>
        <v>3300</v>
      </c>
      <c r="J294" s="820">
        <f t="shared" si="79"/>
        <v>3300</v>
      </c>
      <c r="K294" s="1457">
        <f t="shared" si="80"/>
        <v>36300</v>
      </c>
      <c r="L294" s="1273"/>
      <c r="M294" s="1613"/>
      <c r="N294" s="1613"/>
      <c r="O294" s="1613"/>
      <c r="P294" s="1613"/>
      <c r="Q294" s="1613"/>
      <c r="R294" s="1613"/>
      <c r="S294" s="1613"/>
      <c r="T294" s="1613"/>
      <c r="U294" s="1613"/>
      <c r="V294" s="1613"/>
      <c r="W294" s="1613"/>
      <c r="X294" s="1613"/>
      <c r="Y294" s="1613"/>
      <c r="Z294" s="1613"/>
      <c r="AA294" s="1613"/>
      <c r="AC294" s="1819"/>
      <c r="AD294" s="1819"/>
      <c r="AE294" s="1819"/>
      <c r="AF294" s="1819"/>
      <c r="AG294" s="1819"/>
      <c r="AH294" s="1819"/>
      <c r="AI294" s="1819"/>
      <c r="AJ294" s="1819"/>
      <c r="AK294" s="1819"/>
      <c r="AL294" s="1819"/>
      <c r="AM294" s="1819"/>
      <c r="AN294" s="1819"/>
      <c r="AO294" s="1819"/>
      <c r="AP294" s="1819"/>
      <c r="AQ294" s="1819"/>
      <c r="AR294" s="1819"/>
      <c r="AS294" s="1819"/>
      <c r="AT294" s="1819"/>
    </row>
    <row r="295" spans="1:46" s="1765" customFormat="1" ht="24" customHeight="1">
      <c r="A295" s="1258"/>
      <c r="B295" s="1538" t="s">
        <v>2430</v>
      </c>
      <c r="C295" s="1437"/>
      <c r="D295" s="1275"/>
      <c r="E295" s="1768">
        <v>1</v>
      </c>
      <c r="F295" s="1358" t="s">
        <v>363</v>
      </c>
      <c r="G295" s="1516">
        <v>52000</v>
      </c>
      <c r="H295" s="820">
        <f t="shared" si="78"/>
        <v>52000</v>
      </c>
      <c r="I295" s="1265">
        <f t="shared" si="82"/>
        <v>5200</v>
      </c>
      <c r="J295" s="820">
        <f t="shared" si="79"/>
        <v>5200</v>
      </c>
      <c r="K295" s="1457">
        <f t="shared" si="80"/>
        <v>57200</v>
      </c>
      <c r="L295" s="1273"/>
      <c r="M295" s="1613"/>
      <c r="N295" s="1613"/>
      <c r="O295" s="1613"/>
      <c r="P295" s="1613"/>
      <c r="Q295" s="1613"/>
      <c r="R295" s="1613"/>
      <c r="S295" s="1613"/>
      <c r="T295" s="1613"/>
      <c r="U295" s="1613"/>
      <c r="V295" s="1613"/>
      <c r="W295" s="1613"/>
      <c r="X295" s="1613"/>
      <c r="Y295" s="1613"/>
      <c r="Z295" s="1613"/>
      <c r="AA295" s="1613"/>
      <c r="AC295" s="1819"/>
      <c r="AD295" s="1819"/>
      <c r="AE295" s="1819"/>
      <c r="AF295" s="1819"/>
      <c r="AG295" s="1819"/>
      <c r="AH295" s="1819"/>
      <c r="AI295" s="1819"/>
      <c r="AJ295" s="1819"/>
      <c r="AK295" s="1819"/>
      <c r="AL295" s="1819"/>
      <c r="AM295" s="1819"/>
      <c r="AN295" s="1819"/>
      <c r="AO295" s="1819"/>
      <c r="AP295" s="1819"/>
      <c r="AQ295" s="1819"/>
      <c r="AR295" s="1819"/>
      <c r="AS295" s="1819"/>
      <c r="AT295" s="1819"/>
    </row>
    <row r="296" spans="1:46" s="1765" customFormat="1" ht="24" customHeight="1">
      <c r="A296" s="1258"/>
      <c r="B296" s="1538" t="s">
        <v>2431</v>
      </c>
      <c r="C296" s="1437"/>
      <c r="D296" s="1275"/>
      <c r="E296" s="1768">
        <v>1</v>
      </c>
      <c r="F296" s="1358" t="s">
        <v>363</v>
      </c>
      <c r="G296" s="1516">
        <v>23000</v>
      </c>
      <c r="H296" s="820">
        <f t="shared" si="78"/>
        <v>23000</v>
      </c>
      <c r="I296" s="1265">
        <f t="shared" si="82"/>
        <v>2300</v>
      </c>
      <c r="J296" s="820">
        <f t="shared" si="79"/>
        <v>2300</v>
      </c>
      <c r="K296" s="1457">
        <f t="shared" si="80"/>
        <v>25300</v>
      </c>
      <c r="L296" s="1273"/>
      <c r="M296" s="1613"/>
      <c r="N296" s="1613"/>
      <c r="O296" s="1613"/>
      <c r="P296" s="1613"/>
      <c r="Q296" s="1613"/>
      <c r="R296" s="1613"/>
      <c r="S296" s="1613"/>
      <c r="T296" s="1613"/>
      <c r="U296" s="1613"/>
      <c r="V296" s="1613"/>
      <c r="W296" s="1613"/>
      <c r="X296" s="1613"/>
      <c r="Y296" s="1613"/>
      <c r="Z296" s="1613"/>
      <c r="AA296" s="1613"/>
      <c r="AC296" s="1819"/>
      <c r="AD296" s="1819"/>
      <c r="AE296" s="1819"/>
      <c r="AF296" s="1819"/>
      <c r="AG296" s="1819"/>
      <c r="AH296" s="1819"/>
      <c r="AI296" s="1819"/>
      <c r="AJ296" s="1819"/>
      <c r="AK296" s="1819"/>
      <c r="AL296" s="1819"/>
      <c r="AM296" s="1819"/>
      <c r="AN296" s="1819"/>
      <c r="AO296" s="1819"/>
      <c r="AP296" s="1819"/>
      <c r="AQ296" s="1819"/>
      <c r="AR296" s="1819"/>
      <c r="AS296" s="1819"/>
      <c r="AT296" s="1819"/>
    </row>
    <row r="297" spans="1:46" s="1765" customFormat="1" ht="24" customHeight="1">
      <c r="A297" s="1258" t="s">
        <v>2288</v>
      </c>
      <c r="B297" s="1538" t="s">
        <v>1355</v>
      </c>
      <c r="C297" s="1437"/>
      <c r="D297" s="1275"/>
      <c r="E297" s="1768"/>
      <c r="F297" s="1358"/>
      <c r="G297" s="1516"/>
      <c r="H297" s="1264"/>
      <c r="I297" s="1265"/>
      <c r="J297" s="1264"/>
      <c r="K297" s="1273"/>
      <c r="L297" s="1273"/>
      <c r="M297" s="1613"/>
      <c r="N297" s="1613"/>
      <c r="O297" s="1613"/>
      <c r="P297" s="1613"/>
      <c r="Q297" s="1613"/>
      <c r="R297" s="1613"/>
      <c r="S297" s="1613"/>
      <c r="T297" s="1613"/>
      <c r="U297" s="1613"/>
      <c r="V297" s="1613"/>
      <c r="W297" s="1613"/>
      <c r="X297" s="1613"/>
      <c r="Y297" s="1613"/>
      <c r="Z297" s="1613"/>
      <c r="AA297" s="1613"/>
      <c r="AC297" s="1819"/>
      <c r="AD297" s="1819"/>
      <c r="AE297" s="1819"/>
      <c r="AF297" s="1819"/>
      <c r="AG297" s="1819"/>
      <c r="AH297" s="1819"/>
      <c r="AI297" s="1819"/>
      <c r="AJ297" s="1819"/>
      <c r="AK297" s="1819"/>
      <c r="AL297" s="1819"/>
      <c r="AM297" s="1819"/>
      <c r="AN297" s="1819"/>
      <c r="AO297" s="1819"/>
      <c r="AP297" s="1819"/>
      <c r="AQ297" s="1819"/>
      <c r="AR297" s="1819"/>
      <c r="AS297" s="1819"/>
      <c r="AT297" s="1819"/>
    </row>
    <row r="298" spans="1:46" s="1765" customFormat="1" ht="24" customHeight="1">
      <c r="A298" s="1258"/>
      <c r="B298" s="1538" t="s">
        <v>1811</v>
      </c>
      <c r="C298" s="1437"/>
      <c r="D298" s="1275"/>
      <c r="E298" s="1768">
        <v>840</v>
      </c>
      <c r="F298" s="1358" t="s">
        <v>226</v>
      </c>
      <c r="G298" s="1386">
        <v>9</v>
      </c>
      <c r="H298" s="1264">
        <f t="shared" ref="H298:H303" si="83">ROUND(E298*G298,)</f>
        <v>7560</v>
      </c>
      <c r="I298" s="1344">
        <v>7</v>
      </c>
      <c r="J298" s="1413">
        <f t="shared" ref="J298:J303" si="84">ROUND(E298*I298,)</f>
        <v>5880</v>
      </c>
      <c r="K298" s="1415">
        <f t="shared" ref="K298:K303" si="85">H298+J298</f>
        <v>13440</v>
      </c>
      <c r="L298" s="2001" t="s">
        <v>2667</v>
      </c>
      <c r="N298" s="1854">
        <v>912.1</v>
      </c>
      <c r="O298" s="1854">
        <f t="shared" ref="O298:O303" si="86">ROUND(N298/100,)</f>
        <v>9</v>
      </c>
      <c r="P298" s="1613"/>
      <c r="Q298" s="1613"/>
      <c r="R298" s="1613"/>
      <c r="S298" s="1613"/>
      <c r="T298" s="1613"/>
      <c r="U298" s="1613"/>
      <c r="V298" s="1613"/>
      <c r="W298" s="1613"/>
      <c r="X298" s="1613"/>
      <c r="Y298" s="1613"/>
      <c r="Z298" s="1613"/>
      <c r="AA298" s="1613"/>
      <c r="AB298" s="1765">
        <f>SUM(AC298:AT298)</f>
        <v>840</v>
      </c>
      <c r="AC298" s="1819"/>
      <c r="AD298" s="1819"/>
      <c r="AE298" s="1819"/>
      <c r="AF298" s="1819"/>
      <c r="AG298" s="1819"/>
      <c r="AH298" s="1819">
        <f>60</f>
        <v>60</v>
      </c>
      <c r="AI298" s="1819">
        <f>120</f>
        <v>120</v>
      </c>
      <c r="AJ298" s="1819">
        <f>180</f>
        <v>180</v>
      </c>
      <c r="AK298" s="1819">
        <f>60</f>
        <v>60</v>
      </c>
      <c r="AL298" s="1819"/>
      <c r="AM298" s="1819"/>
      <c r="AN298" s="1819"/>
      <c r="AO298" s="1819"/>
      <c r="AP298" s="1819">
        <f>60</f>
        <v>60</v>
      </c>
      <c r="AQ298" s="1819">
        <f>120</f>
        <v>120</v>
      </c>
      <c r="AR298" s="1819">
        <f>180</f>
        <v>180</v>
      </c>
      <c r="AS298" s="1819">
        <f>60</f>
        <v>60</v>
      </c>
      <c r="AT298" s="1819"/>
    </row>
    <row r="299" spans="1:46" s="1765" customFormat="1" ht="24" customHeight="1">
      <c r="A299" s="1258"/>
      <c r="B299" s="1538" t="s">
        <v>1316</v>
      </c>
      <c r="C299" s="1437"/>
      <c r="D299" s="1275"/>
      <c r="E299" s="1768">
        <v>360</v>
      </c>
      <c r="F299" s="1358" t="s">
        <v>226</v>
      </c>
      <c r="G299" s="1271">
        <v>14</v>
      </c>
      <c r="H299" s="1264">
        <f t="shared" si="83"/>
        <v>5040</v>
      </c>
      <c r="I299" s="1265">
        <v>10</v>
      </c>
      <c r="J299" s="1264">
        <f t="shared" si="84"/>
        <v>3600</v>
      </c>
      <c r="K299" s="1273">
        <f t="shared" si="85"/>
        <v>8640</v>
      </c>
      <c r="L299" s="2001" t="s">
        <v>2667</v>
      </c>
      <c r="N299" s="1854">
        <v>1375.8</v>
      </c>
      <c r="O299" s="1854">
        <f t="shared" si="86"/>
        <v>14</v>
      </c>
      <c r="P299" s="1613"/>
      <c r="Q299" s="1613"/>
      <c r="R299" s="1613"/>
      <c r="S299" s="1613"/>
      <c r="T299" s="1613"/>
      <c r="U299" s="1613"/>
      <c r="V299" s="1613"/>
      <c r="W299" s="1613"/>
      <c r="X299" s="1613"/>
      <c r="Y299" s="1613"/>
      <c r="Z299" s="1613"/>
      <c r="AA299" s="1613"/>
      <c r="AB299" s="1765">
        <f>SUM(AC299:AT299)</f>
        <v>360</v>
      </c>
      <c r="AC299" s="1819"/>
      <c r="AD299" s="1819"/>
      <c r="AE299" s="1819">
        <f>60</f>
        <v>60</v>
      </c>
      <c r="AF299" s="1819">
        <f>60</f>
        <v>60</v>
      </c>
      <c r="AG299" s="1819">
        <f>120</f>
        <v>120</v>
      </c>
      <c r="AH299" s="1819"/>
      <c r="AI299" s="1819"/>
      <c r="AJ299" s="1819"/>
      <c r="AK299" s="1819"/>
      <c r="AL299" s="1819"/>
      <c r="AM299" s="1819"/>
      <c r="AN299" s="1819">
        <f>60</f>
        <v>60</v>
      </c>
      <c r="AO299" s="1819">
        <f>60</f>
        <v>60</v>
      </c>
      <c r="AP299" s="1819"/>
      <c r="AQ299" s="1819"/>
      <c r="AR299" s="1819"/>
      <c r="AS299" s="1819"/>
      <c r="AT299" s="1819"/>
    </row>
    <row r="300" spans="1:46" s="1765" customFormat="1" ht="24" customHeight="1">
      <c r="A300" s="1258"/>
      <c r="B300" s="1538" t="s">
        <v>1317</v>
      </c>
      <c r="C300" s="1437"/>
      <c r="D300" s="1275"/>
      <c r="E300" s="1768">
        <v>120</v>
      </c>
      <c r="F300" s="1358" t="s">
        <v>226</v>
      </c>
      <c r="G300" s="1271">
        <v>23</v>
      </c>
      <c r="H300" s="1264">
        <f t="shared" si="83"/>
        <v>2760</v>
      </c>
      <c r="I300" s="1265">
        <v>12</v>
      </c>
      <c r="J300" s="1264">
        <f t="shared" si="84"/>
        <v>1440</v>
      </c>
      <c r="K300" s="1273">
        <f t="shared" si="85"/>
        <v>4200</v>
      </c>
      <c r="L300" s="2001" t="s">
        <v>2667</v>
      </c>
      <c r="N300" s="1854">
        <v>2264.1999999999998</v>
      </c>
      <c r="O300" s="1854">
        <f t="shared" si="86"/>
        <v>23</v>
      </c>
      <c r="P300" s="1613"/>
      <c r="Q300" s="1613"/>
      <c r="R300" s="1613"/>
      <c r="S300" s="1613"/>
      <c r="T300" s="1613"/>
      <c r="U300" s="1613"/>
      <c r="V300" s="1613"/>
      <c r="W300" s="1613"/>
      <c r="X300" s="1613"/>
      <c r="Y300" s="1613"/>
      <c r="Z300" s="1613"/>
      <c r="AA300" s="1613"/>
      <c r="AB300" s="1765">
        <f>SUM(AC300:AT300)</f>
        <v>120</v>
      </c>
      <c r="AC300" s="1819"/>
      <c r="AD300" s="1819"/>
      <c r="AE300" s="1819">
        <f>60</f>
        <v>60</v>
      </c>
      <c r="AF300" s="1819"/>
      <c r="AG300" s="1819"/>
      <c r="AH300" s="1819"/>
      <c r="AI300" s="1819"/>
      <c r="AJ300" s="1819"/>
      <c r="AK300" s="1819"/>
      <c r="AL300" s="1819"/>
      <c r="AM300" s="1819"/>
      <c r="AN300" s="1819">
        <f>60</f>
        <v>60</v>
      </c>
      <c r="AO300" s="1819"/>
      <c r="AP300" s="1819"/>
      <c r="AQ300" s="1819"/>
      <c r="AR300" s="1819"/>
      <c r="AS300" s="1819"/>
      <c r="AT300" s="1819"/>
    </row>
    <row r="301" spans="1:46" s="1765" customFormat="1" ht="24" customHeight="1">
      <c r="A301" s="1258"/>
      <c r="B301" s="1538" t="s">
        <v>1318</v>
      </c>
      <c r="C301" s="1437"/>
      <c r="D301" s="1275"/>
      <c r="E301" s="1768"/>
      <c r="F301" s="1358" t="s">
        <v>226</v>
      </c>
      <c r="G301" s="1271">
        <v>39</v>
      </c>
      <c r="H301" s="1264">
        <f t="shared" si="83"/>
        <v>0</v>
      </c>
      <c r="I301" s="1265">
        <v>16</v>
      </c>
      <c r="J301" s="1264">
        <f t="shared" si="84"/>
        <v>0</v>
      </c>
      <c r="K301" s="1273">
        <f t="shared" si="85"/>
        <v>0</v>
      </c>
      <c r="L301" s="2001" t="s">
        <v>2667</v>
      </c>
      <c r="N301" s="1854">
        <v>3944.2</v>
      </c>
      <c r="O301" s="1854">
        <f t="shared" si="86"/>
        <v>39</v>
      </c>
      <c r="P301" s="1613"/>
      <c r="Q301" s="1613"/>
      <c r="R301" s="1613"/>
      <c r="S301" s="1613"/>
      <c r="T301" s="1613"/>
      <c r="U301" s="1613"/>
      <c r="V301" s="1613"/>
      <c r="W301" s="1613"/>
      <c r="X301" s="1613"/>
      <c r="Y301" s="1613"/>
      <c r="Z301" s="1613"/>
      <c r="AA301" s="1613"/>
      <c r="AC301" s="1819"/>
      <c r="AD301" s="1819"/>
      <c r="AE301" s="1819"/>
      <c r="AF301" s="1819"/>
      <c r="AG301" s="1819"/>
      <c r="AH301" s="1819"/>
      <c r="AI301" s="1819"/>
      <c r="AJ301" s="1819"/>
      <c r="AK301" s="1819"/>
      <c r="AL301" s="1819"/>
      <c r="AM301" s="1819"/>
      <c r="AN301" s="1819"/>
      <c r="AO301" s="1819"/>
      <c r="AP301" s="1819"/>
      <c r="AQ301" s="1819"/>
      <c r="AR301" s="1819"/>
      <c r="AS301" s="1819"/>
      <c r="AT301" s="1819"/>
    </row>
    <row r="302" spans="1:46" s="1765" customFormat="1" ht="24" customHeight="1">
      <c r="A302" s="1258"/>
      <c r="B302" s="1538" t="s">
        <v>1319</v>
      </c>
      <c r="C302" s="1437"/>
      <c r="D302" s="1275"/>
      <c r="E302" s="1768">
        <v>60</v>
      </c>
      <c r="F302" s="1358" t="s">
        <v>226</v>
      </c>
      <c r="G302" s="1271">
        <v>61</v>
      </c>
      <c r="H302" s="1264">
        <f t="shared" si="83"/>
        <v>3660</v>
      </c>
      <c r="I302" s="1265">
        <v>20</v>
      </c>
      <c r="J302" s="1264">
        <f t="shared" si="84"/>
        <v>1200</v>
      </c>
      <c r="K302" s="1273">
        <f t="shared" si="85"/>
        <v>4860</v>
      </c>
      <c r="L302" s="2001" t="s">
        <v>2667</v>
      </c>
      <c r="N302" s="1854">
        <v>6120</v>
      </c>
      <c r="O302" s="1854">
        <f t="shared" si="86"/>
        <v>61</v>
      </c>
      <c r="P302" s="1613"/>
      <c r="Q302" s="1613"/>
      <c r="R302" s="1613"/>
      <c r="S302" s="1613"/>
      <c r="T302" s="1613"/>
      <c r="U302" s="1613"/>
      <c r="V302" s="1613"/>
      <c r="W302" s="1613"/>
      <c r="X302" s="1613"/>
      <c r="Y302" s="1613"/>
      <c r="Z302" s="1613"/>
      <c r="AA302" s="1613"/>
      <c r="AB302" s="1765">
        <f>SUM(AC302:AT302)</f>
        <v>60</v>
      </c>
      <c r="AC302" s="1819">
        <f>15</f>
        <v>15</v>
      </c>
      <c r="AD302" s="1819">
        <f>15</f>
        <v>15</v>
      </c>
      <c r="AE302" s="1819"/>
      <c r="AF302" s="1819"/>
      <c r="AG302" s="1819"/>
      <c r="AH302" s="1819"/>
      <c r="AI302" s="1819"/>
      <c r="AJ302" s="1819"/>
      <c r="AK302" s="1819"/>
      <c r="AL302" s="1819">
        <f>15</f>
        <v>15</v>
      </c>
      <c r="AM302" s="1819">
        <f>15</f>
        <v>15</v>
      </c>
      <c r="AN302" s="1819"/>
      <c r="AO302" s="1819"/>
      <c r="AP302" s="1819"/>
      <c r="AQ302" s="1819"/>
      <c r="AR302" s="1819"/>
      <c r="AS302" s="1819"/>
      <c r="AT302" s="1819"/>
    </row>
    <row r="303" spans="1:46" s="1765" customFormat="1" ht="24" customHeight="1">
      <c r="A303" s="1258"/>
      <c r="B303" s="1538" t="s">
        <v>1322</v>
      </c>
      <c r="C303" s="1437"/>
      <c r="D303" s="1275"/>
      <c r="E303" s="1768">
        <v>180</v>
      </c>
      <c r="F303" s="1358" t="s">
        <v>226</v>
      </c>
      <c r="G303" s="1271">
        <v>183</v>
      </c>
      <c r="H303" s="1264">
        <f t="shared" si="83"/>
        <v>32940</v>
      </c>
      <c r="I303" s="1265">
        <v>40</v>
      </c>
      <c r="J303" s="1264">
        <f t="shared" si="84"/>
        <v>7200</v>
      </c>
      <c r="K303" s="1273">
        <f t="shared" si="85"/>
        <v>40140</v>
      </c>
      <c r="L303" s="2001" t="s">
        <v>2667</v>
      </c>
      <c r="N303" s="1854">
        <v>18335.8</v>
      </c>
      <c r="O303" s="1854">
        <f t="shared" si="86"/>
        <v>183</v>
      </c>
      <c r="P303" s="1613"/>
      <c r="Q303" s="1613"/>
      <c r="R303" s="1613"/>
      <c r="S303" s="1613"/>
      <c r="T303" s="1613"/>
      <c r="U303" s="1613"/>
      <c r="V303" s="1613"/>
      <c r="W303" s="1613"/>
      <c r="X303" s="1613"/>
      <c r="Y303" s="1613"/>
      <c r="Z303" s="1613"/>
      <c r="AA303" s="1613"/>
      <c r="AB303" s="1765">
        <f>SUM(AC303:AT303)</f>
        <v>180</v>
      </c>
      <c r="AC303" s="1819">
        <f>45</f>
        <v>45</v>
      </c>
      <c r="AD303" s="1819">
        <f>45</f>
        <v>45</v>
      </c>
      <c r="AE303" s="1819"/>
      <c r="AF303" s="1819"/>
      <c r="AG303" s="1819"/>
      <c r="AH303" s="1819"/>
      <c r="AI303" s="1819"/>
      <c r="AJ303" s="1819"/>
      <c r="AK303" s="1819"/>
      <c r="AL303" s="1819">
        <f>45</f>
        <v>45</v>
      </c>
      <c r="AM303" s="1819">
        <f>45</f>
        <v>45</v>
      </c>
      <c r="AN303" s="1819"/>
      <c r="AO303" s="1819"/>
      <c r="AP303" s="1819"/>
      <c r="AQ303" s="1819"/>
      <c r="AR303" s="1819"/>
      <c r="AS303" s="1819"/>
      <c r="AT303" s="1819"/>
    </row>
    <row r="304" spans="1:46" s="1765" customFormat="1" ht="24" customHeight="1">
      <c r="A304" s="1258" t="s">
        <v>2289</v>
      </c>
      <c r="B304" s="1538" t="s">
        <v>1810</v>
      </c>
      <c r="C304" s="1437"/>
      <c r="D304" s="1275"/>
      <c r="E304" s="1768"/>
      <c r="F304" s="1358"/>
      <c r="G304" s="1516"/>
      <c r="H304" s="1264"/>
      <c r="I304" s="1265"/>
      <c r="J304" s="1264"/>
      <c r="K304" s="1273"/>
      <c r="L304" s="1273"/>
      <c r="M304" s="1613"/>
      <c r="N304" s="1613"/>
      <c r="O304" s="1613"/>
      <c r="P304" s="1613"/>
      <c r="Q304" s="1613"/>
      <c r="R304" s="1613"/>
      <c r="S304" s="1613"/>
      <c r="T304" s="1613"/>
      <c r="U304" s="1613"/>
      <c r="V304" s="1613"/>
      <c r="W304" s="1613"/>
      <c r="X304" s="1613"/>
      <c r="Y304" s="1613"/>
      <c r="Z304" s="1613"/>
      <c r="AA304" s="1613"/>
      <c r="AC304" s="1819"/>
      <c r="AD304" s="1819"/>
      <c r="AE304" s="1819"/>
      <c r="AF304" s="1819"/>
      <c r="AG304" s="1819"/>
      <c r="AH304" s="1819"/>
      <c r="AI304" s="1819"/>
      <c r="AJ304" s="1819"/>
      <c r="AK304" s="1819"/>
      <c r="AL304" s="1819"/>
      <c r="AM304" s="1819"/>
      <c r="AN304" s="1819"/>
      <c r="AO304" s="1819"/>
      <c r="AP304" s="1819"/>
      <c r="AQ304" s="1819"/>
      <c r="AR304" s="1819"/>
      <c r="AS304" s="1819"/>
      <c r="AT304" s="1819"/>
    </row>
    <row r="305" spans="1:46" s="1765" customFormat="1" ht="24" customHeight="1">
      <c r="A305" s="1258"/>
      <c r="B305" s="1538" t="s">
        <v>1811</v>
      </c>
      <c r="C305" s="1437"/>
      <c r="D305" s="1275"/>
      <c r="E305" s="1768"/>
      <c r="F305" s="1358" t="s">
        <v>226</v>
      </c>
      <c r="G305" s="1516"/>
      <c r="H305" s="1264"/>
      <c r="I305" s="1265"/>
      <c r="J305" s="1264"/>
      <c r="K305" s="1273"/>
      <c r="L305" s="1273"/>
      <c r="M305" s="1613"/>
      <c r="N305" s="1613"/>
      <c r="O305" s="1613"/>
      <c r="P305" s="1613"/>
      <c r="Q305" s="1613"/>
      <c r="R305" s="1613"/>
      <c r="S305" s="1613"/>
      <c r="T305" s="1613"/>
      <c r="U305" s="1613"/>
      <c r="V305" s="1613"/>
      <c r="W305" s="1613"/>
      <c r="X305" s="1613"/>
      <c r="Y305" s="1613"/>
      <c r="Z305" s="1613"/>
      <c r="AA305" s="1613"/>
      <c r="AC305" s="1819"/>
      <c r="AD305" s="1819"/>
      <c r="AE305" s="1819"/>
      <c r="AF305" s="1819"/>
      <c r="AG305" s="1819"/>
      <c r="AH305" s="1819"/>
      <c r="AI305" s="1819"/>
      <c r="AJ305" s="1819"/>
      <c r="AK305" s="1819"/>
      <c r="AL305" s="1819"/>
      <c r="AM305" s="1819"/>
      <c r="AN305" s="1819"/>
      <c r="AO305" s="1819"/>
      <c r="AP305" s="1819"/>
      <c r="AQ305" s="1819"/>
      <c r="AR305" s="1819"/>
      <c r="AS305" s="1819"/>
      <c r="AT305" s="1819"/>
    </row>
    <row r="306" spans="1:46" s="1765" customFormat="1" ht="24" customHeight="1">
      <c r="A306" s="1258"/>
      <c r="B306" s="1538" t="s">
        <v>1316</v>
      </c>
      <c r="C306" s="1437"/>
      <c r="D306" s="1275"/>
      <c r="E306" s="1768"/>
      <c r="F306" s="1358" t="s">
        <v>226</v>
      </c>
      <c r="G306" s="1516"/>
      <c r="H306" s="1264"/>
      <c r="I306" s="1265"/>
      <c r="J306" s="1264"/>
      <c r="K306" s="1273"/>
      <c r="L306" s="1273"/>
      <c r="M306" s="1613"/>
      <c r="N306" s="1613"/>
      <c r="O306" s="1613"/>
      <c r="P306" s="1613"/>
      <c r="Q306" s="1613"/>
      <c r="R306" s="1613"/>
      <c r="S306" s="1613"/>
      <c r="T306" s="1613"/>
      <c r="U306" s="1613"/>
      <c r="V306" s="1613"/>
      <c r="W306" s="1613"/>
      <c r="X306" s="1613"/>
      <c r="Y306" s="1613"/>
      <c r="Z306" s="1613"/>
      <c r="AA306" s="1613"/>
      <c r="AC306" s="1819"/>
      <c r="AD306" s="1819"/>
      <c r="AE306" s="1819"/>
      <c r="AF306" s="1819"/>
      <c r="AG306" s="1819"/>
      <c r="AH306" s="1819"/>
      <c r="AI306" s="1819"/>
      <c r="AJ306" s="1819"/>
      <c r="AK306" s="1819"/>
      <c r="AL306" s="1819"/>
      <c r="AM306" s="1819"/>
      <c r="AN306" s="1819"/>
      <c r="AO306" s="1819"/>
      <c r="AP306" s="1819"/>
      <c r="AQ306" s="1819"/>
      <c r="AR306" s="1819"/>
      <c r="AS306" s="1819"/>
      <c r="AT306" s="1819"/>
    </row>
    <row r="307" spans="1:46" s="1765" customFormat="1" ht="24" customHeight="1">
      <c r="A307" s="1258"/>
      <c r="B307" s="1538" t="s">
        <v>1317</v>
      </c>
      <c r="C307" s="1437"/>
      <c r="D307" s="1275"/>
      <c r="E307" s="1768"/>
      <c r="F307" s="1358" t="s">
        <v>226</v>
      </c>
      <c r="G307" s="1516"/>
      <c r="H307" s="1264"/>
      <c r="I307" s="1265"/>
      <c r="J307" s="1264"/>
      <c r="K307" s="1273"/>
      <c r="L307" s="1273"/>
      <c r="M307" s="1613"/>
      <c r="N307" s="1613"/>
      <c r="O307" s="1613"/>
      <c r="P307" s="1613"/>
      <c r="Q307" s="1613"/>
      <c r="R307" s="1613"/>
      <c r="S307" s="1613"/>
      <c r="T307" s="1613"/>
      <c r="U307" s="1613"/>
      <c r="V307" s="1613"/>
      <c r="W307" s="1613"/>
      <c r="X307" s="1613"/>
      <c r="Y307" s="1613"/>
      <c r="Z307" s="1613"/>
      <c r="AA307" s="1613"/>
      <c r="AC307" s="1819"/>
      <c r="AD307" s="1819"/>
      <c r="AE307" s="1819"/>
      <c r="AF307" s="1819"/>
      <c r="AG307" s="1819"/>
      <c r="AH307" s="1819"/>
      <c r="AI307" s="1819"/>
      <c r="AJ307" s="1819"/>
      <c r="AK307" s="1819"/>
      <c r="AL307" s="1819"/>
      <c r="AM307" s="1819"/>
      <c r="AN307" s="1819"/>
      <c r="AO307" s="1819"/>
      <c r="AP307" s="1819"/>
      <c r="AQ307" s="1819"/>
      <c r="AR307" s="1819"/>
      <c r="AS307" s="1819"/>
      <c r="AT307" s="1819"/>
    </row>
    <row r="308" spans="1:46" s="1765" customFormat="1" ht="24" customHeight="1">
      <c r="A308" s="1258"/>
      <c r="B308" s="1538" t="s">
        <v>1318</v>
      </c>
      <c r="C308" s="1437"/>
      <c r="D308" s="1275"/>
      <c r="E308" s="1768"/>
      <c r="F308" s="1358" t="s">
        <v>226</v>
      </c>
      <c r="G308" s="1516"/>
      <c r="H308" s="1264"/>
      <c r="I308" s="1265"/>
      <c r="J308" s="1264"/>
      <c r="K308" s="1273"/>
      <c r="L308" s="1273"/>
      <c r="M308" s="1613"/>
      <c r="N308" s="1613"/>
      <c r="O308" s="1613"/>
      <c r="P308" s="1613"/>
      <c r="Q308" s="1613"/>
      <c r="R308" s="1613"/>
      <c r="S308" s="1613"/>
      <c r="T308" s="1613"/>
      <c r="U308" s="1613"/>
      <c r="V308" s="1613"/>
      <c r="W308" s="1613"/>
      <c r="X308" s="1613"/>
      <c r="Y308" s="1613"/>
      <c r="Z308" s="1613"/>
      <c r="AA308" s="1613"/>
      <c r="AC308" s="1819"/>
      <c r="AD308" s="1819"/>
      <c r="AE308" s="1819"/>
      <c r="AF308" s="1819"/>
      <c r="AG308" s="1819"/>
      <c r="AH308" s="1819"/>
      <c r="AI308" s="1819"/>
      <c r="AJ308" s="1819"/>
      <c r="AK308" s="1819"/>
      <c r="AL308" s="1819"/>
      <c r="AM308" s="1819"/>
      <c r="AN308" s="1819"/>
      <c r="AO308" s="1819"/>
      <c r="AP308" s="1819"/>
      <c r="AQ308" s="1819"/>
      <c r="AR308" s="1819"/>
      <c r="AS308" s="1819"/>
      <c r="AT308" s="1819"/>
    </row>
    <row r="309" spans="1:46" s="1765" customFormat="1" ht="24" customHeight="1">
      <c r="A309" s="1258"/>
      <c r="B309" s="1538"/>
      <c r="C309" s="1437"/>
      <c r="D309" s="1275"/>
      <c r="E309" s="1768"/>
      <c r="F309" s="1358"/>
      <c r="G309" s="1516"/>
      <c r="H309" s="1264"/>
      <c r="I309" s="1265"/>
      <c r="J309" s="1264"/>
      <c r="K309" s="1273"/>
      <c r="L309" s="1273"/>
      <c r="M309" s="1613"/>
      <c r="N309" s="1613"/>
      <c r="O309" s="1613"/>
      <c r="P309" s="1613"/>
      <c r="Q309" s="1613"/>
      <c r="R309" s="1613"/>
      <c r="S309" s="1613"/>
      <c r="T309" s="1613"/>
      <c r="U309" s="1613"/>
      <c r="V309" s="1613"/>
      <c r="W309" s="1613"/>
      <c r="X309" s="1613"/>
      <c r="Y309" s="1613"/>
      <c r="Z309" s="1613"/>
      <c r="AA309" s="1613"/>
      <c r="AC309" s="1819"/>
      <c r="AD309" s="1819"/>
      <c r="AE309" s="1819"/>
      <c r="AF309" s="1819"/>
      <c r="AG309" s="1819"/>
      <c r="AH309" s="1819"/>
      <c r="AI309" s="1819"/>
      <c r="AJ309" s="1819"/>
      <c r="AK309" s="1819"/>
      <c r="AL309" s="1819"/>
      <c r="AM309" s="1819"/>
      <c r="AN309" s="1819"/>
      <c r="AO309" s="1819"/>
      <c r="AP309" s="1819"/>
      <c r="AQ309" s="1819"/>
      <c r="AR309" s="1819"/>
      <c r="AS309" s="1819"/>
      <c r="AT309" s="1819"/>
    </row>
    <row r="310" spans="1:46" s="1765" customFormat="1" ht="24" customHeight="1">
      <c r="A310" s="1258" t="s">
        <v>2432</v>
      </c>
      <c r="B310" s="1538" t="s">
        <v>1110</v>
      </c>
      <c r="C310" s="1437"/>
      <c r="D310" s="1275"/>
      <c r="E310" s="1768"/>
      <c r="F310" s="1358"/>
      <c r="G310" s="1516"/>
      <c r="H310" s="1264"/>
      <c r="I310" s="1265"/>
      <c r="J310" s="1264"/>
      <c r="K310" s="1273"/>
      <c r="L310" s="1273"/>
      <c r="M310" s="1613"/>
      <c r="N310" s="1613"/>
      <c r="O310" s="1613"/>
      <c r="P310" s="1613"/>
      <c r="Q310" s="1613"/>
      <c r="R310" s="1613"/>
      <c r="S310" s="1613"/>
      <c r="T310" s="1613"/>
      <c r="U310" s="1613"/>
      <c r="V310" s="1613"/>
      <c r="W310" s="1613"/>
      <c r="X310" s="1613"/>
      <c r="Y310" s="1613"/>
      <c r="Z310" s="1613"/>
      <c r="AA310" s="1613"/>
      <c r="AC310" s="1819"/>
      <c r="AD310" s="1819"/>
      <c r="AE310" s="1819"/>
      <c r="AF310" s="1819"/>
      <c r="AG310" s="1819"/>
      <c r="AH310" s="1819"/>
      <c r="AI310" s="1819"/>
      <c r="AJ310" s="1819"/>
      <c r="AK310" s="1819"/>
      <c r="AL310" s="1819"/>
      <c r="AM310" s="1819"/>
      <c r="AN310" s="1819"/>
      <c r="AO310" s="1819"/>
      <c r="AP310" s="1819"/>
      <c r="AQ310" s="1819"/>
      <c r="AR310" s="1819"/>
      <c r="AS310" s="1819"/>
      <c r="AT310" s="1819"/>
    </row>
    <row r="311" spans="1:46" s="1765" customFormat="1" ht="24" customHeight="1">
      <c r="A311" s="1258"/>
      <c r="B311" s="1538" t="s">
        <v>1350</v>
      </c>
      <c r="C311" s="1437"/>
      <c r="D311" s="1275"/>
      <c r="E311" s="1768">
        <v>210</v>
      </c>
      <c r="F311" s="1358" t="s">
        <v>226</v>
      </c>
      <c r="G311" s="1515">
        <v>56</v>
      </c>
      <c r="H311" s="1264">
        <f t="shared" ref="H311:H317" si="87">ROUND(E311*G311,)</f>
        <v>11760</v>
      </c>
      <c r="I311" s="1344">
        <v>26</v>
      </c>
      <c r="J311" s="1413">
        <f t="shared" ref="J311:J317" si="88">ROUND(E311*I311,)</f>
        <v>5460</v>
      </c>
      <c r="K311" s="1415">
        <f t="shared" ref="K311:K317" si="89">H311+J311</f>
        <v>17220</v>
      </c>
      <c r="L311" s="2082" t="s">
        <v>2667</v>
      </c>
      <c r="M311" s="2002"/>
      <c r="N311" s="1765">
        <v>169.2</v>
      </c>
      <c r="O311" s="1765">
        <f t="shared" ref="O311:O316" si="90">ROUND(N311/3,)</f>
        <v>56</v>
      </c>
      <c r="P311" s="1613"/>
      <c r="Q311" s="1613"/>
      <c r="R311" s="1613"/>
      <c r="S311" s="1613"/>
      <c r="T311" s="1613"/>
      <c r="U311" s="1613"/>
      <c r="V311" s="1613"/>
      <c r="W311" s="1613"/>
      <c r="X311" s="1613"/>
      <c r="Y311" s="1613"/>
      <c r="Z311" s="1613"/>
      <c r="AA311" s="1613"/>
      <c r="AB311" s="1765">
        <f>SUM(AC311:AT311)</f>
        <v>210</v>
      </c>
      <c r="AC311" s="1819"/>
      <c r="AD311" s="1819"/>
      <c r="AE311" s="1819"/>
      <c r="AF311" s="1819"/>
      <c r="AG311" s="1819"/>
      <c r="AH311" s="1819">
        <f>15</f>
        <v>15</v>
      </c>
      <c r="AI311" s="1819">
        <f>30</f>
        <v>30</v>
      </c>
      <c r="AJ311" s="1819">
        <f>45</f>
        <v>45</v>
      </c>
      <c r="AK311" s="1819">
        <f>15</f>
        <v>15</v>
      </c>
      <c r="AL311" s="1819"/>
      <c r="AM311" s="1819"/>
      <c r="AN311" s="1819"/>
      <c r="AO311" s="1819"/>
      <c r="AP311" s="1819">
        <f>15</f>
        <v>15</v>
      </c>
      <c r="AQ311" s="1819">
        <f>30</f>
        <v>30</v>
      </c>
      <c r="AR311" s="1819">
        <f>45</f>
        <v>45</v>
      </c>
      <c r="AS311" s="1819">
        <f>15</f>
        <v>15</v>
      </c>
      <c r="AT311" s="1819"/>
    </row>
    <row r="312" spans="1:46" s="1765" customFormat="1" ht="24" customHeight="1">
      <c r="A312" s="1258"/>
      <c r="B312" s="1538" t="s">
        <v>1448</v>
      </c>
      <c r="C312" s="1437"/>
      <c r="D312" s="1275"/>
      <c r="E312" s="1768">
        <v>120</v>
      </c>
      <c r="F312" s="1358" t="s">
        <v>226</v>
      </c>
      <c r="G312" s="1515">
        <v>75</v>
      </c>
      <c r="H312" s="1264">
        <f t="shared" si="87"/>
        <v>9000</v>
      </c>
      <c r="I312" s="1344">
        <v>28</v>
      </c>
      <c r="J312" s="1413">
        <f t="shared" si="88"/>
        <v>3360</v>
      </c>
      <c r="K312" s="1415">
        <f t="shared" si="89"/>
        <v>12360</v>
      </c>
      <c r="L312" s="2082" t="s">
        <v>2667</v>
      </c>
      <c r="M312" s="2002"/>
      <c r="N312" s="1765">
        <v>225</v>
      </c>
      <c r="O312" s="1765">
        <f t="shared" si="90"/>
        <v>75</v>
      </c>
      <c r="P312" s="1613"/>
      <c r="Q312" s="1613"/>
      <c r="R312" s="1613"/>
      <c r="S312" s="1613"/>
      <c r="T312" s="1613"/>
      <c r="U312" s="1613"/>
      <c r="V312" s="1613"/>
      <c r="W312" s="1613"/>
      <c r="X312" s="1613"/>
      <c r="Y312" s="1613"/>
      <c r="Z312" s="1613"/>
      <c r="AA312" s="1613"/>
      <c r="AB312" s="1765">
        <f>SUM(AC312:AT312)</f>
        <v>120</v>
      </c>
      <c r="AC312" s="1819"/>
      <c r="AD312" s="1819"/>
      <c r="AE312" s="1819">
        <f>30</f>
        <v>30</v>
      </c>
      <c r="AF312" s="1819">
        <f>15</f>
        <v>15</v>
      </c>
      <c r="AG312" s="1819">
        <f>30</f>
        <v>30</v>
      </c>
      <c r="AH312" s="1819"/>
      <c r="AI312" s="1819"/>
      <c r="AJ312" s="1819"/>
      <c r="AK312" s="1819"/>
      <c r="AL312" s="1819"/>
      <c r="AM312" s="1819"/>
      <c r="AN312" s="1819">
        <f>30</f>
        <v>30</v>
      </c>
      <c r="AO312" s="1819">
        <f>15</f>
        <v>15</v>
      </c>
      <c r="AP312" s="1819"/>
      <c r="AQ312" s="1819"/>
      <c r="AR312" s="1819"/>
      <c r="AS312" s="1819"/>
      <c r="AT312" s="1819"/>
    </row>
    <row r="313" spans="1:46" s="1765" customFormat="1" ht="24" customHeight="1">
      <c r="A313" s="1258"/>
      <c r="B313" s="1538" t="s">
        <v>1337</v>
      </c>
      <c r="C313" s="1437"/>
      <c r="D313" s="1275"/>
      <c r="E313" s="1768"/>
      <c r="F313" s="1358" t="s">
        <v>226</v>
      </c>
      <c r="G313" s="1271">
        <v>101</v>
      </c>
      <c r="H313" s="1264">
        <f t="shared" si="87"/>
        <v>0</v>
      </c>
      <c r="I313" s="1272">
        <v>32</v>
      </c>
      <c r="J313" s="1264">
        <f t="shared" si="88"/>
        <v>0</v>
      </c>
      <c r="K313" s="1273">
        <f t="shared" si="89"/>
        <v>0</v>
      </c>
      <c r="L313" s="2082" t="s">
        <v>2667</v>
      </c>
      <c r="M313" s="2002"/>
      <c r="N313" s="1765">
        <v>303.60000000000002</v>
      </c>
      <c r="O313" s="1765">
        <f t="shared" si="90"/>
        <v>101</v>
      </c>
      <c r="P313" s="1613"/>
      <c r="Q313" s="1613"/>
      <c r="R313" s="1613"/>
      <c r="S313" s="1613"/>
      <c r="T313" s="1613"/>
      <c r="U313" s="1613"/>
      <c r="V313" s="1613"/>
      <c r="W313" s="1613"/>
      <c r="X313" s="1613"/>
      <c r="Y313" s="1613"/>
      <c r="Z313" s="1613"/>
      <c r="AA313" s="1613"/>
      <c r="AC313" s="1819"/>
      <c r="AD313" s="1819"/>
      <c r="AE313" s="1819"/>
      <c r="AF313" s="1819"/>
      <c r="AG313" s="1819"/>
      <c r="AH313" s="1819"/>
      <c r="AI313" s="1819"/>
      <c r="AJ313" s="1819"/>
      <c r="AK313" s="1819"/>
      <c r="AL313" s="1819"/>
      <c r="AM313" s="1819"/>
      <c r="AN313" s="1819"/>
      <c r="AO313" s="1819"/>
      <c r="AP313" s="1819"/>
      <c r="AQ313" s="1819"/>
      <c r="AR313" s="1819"/>
      <c r="AS313" s="1819"/>
      <c r="AT313" s="1819"/>
    </row>
    <row r="314" spans="1:46" s="1765" customFormat="1" ht="24" customHeight="1">
      <c r="A314" s="1258"/>
      <c r="B314" s="1538" t="s">
        <v>1338</v>
      </c>
      <c r="C314" s="1437"/>
      <c r="D314" s="1275"/>
      <c r="E314" s="1768"/>
      <c r="F314" s="1358" t="s">
        <v>226</v>
      </c>
      <c r="G314" s="1271">
        <v>131</v>
      </c>
      <c r="H314" s="1264">
        <f t="shared" si="87"/>
        <v>0</v>
      </c>
      <c r="I314" s="1272">
        <v>38</v>
      </c>
      <c r="J314" s="1264">
        <f t="shared" si="88"/>
        <v>0</v>
      </c>
      <c r="K314" s="1273">
        <f t="shared" si="89"/>
        <v>0</v>
      </c>
      <c r="L314" s="2082" t="s">
        <v>2667</v>
      </c>
      <c r="M314" s="2002"/>
      <c r="N314" s="1765">
        <v>391.8</v>
      </c>
      <c r="O314" s="1765">
        <f t="shared" si="90"/>
        <v>131</v>
      </c>
      <c r="P314" s="1613"/>
      <c r="Q314" s="1613"/>
      <c r="R314" s="1613"/>
      <c r="S314" s="1613"/>
      <c r="T314" s="1613"/>
      <c r="U314" s="1613"/>
      <c r="V314" s="1613"/>
      <c r="W314" s="1613"/>
      <c r="X314" s="1613"/>
      <c r="Y314" s="1613"/>
      <c r="Z314" s="1613"/>
      <c r="AA314" s="1613"/>
      <c r="AC314" s="1819"/>
      <c r="AD314" s="1819"/>
      <c r="AE314" s="1819"/>
      <c r="AF314" s="1819"/>
      <c r="AG314" s="1819"/>
      <c r="AH314" s="1819"/>
      <c r="AI314" s="1819"/>
      <c r="AJ314" s="1819"/>
      <c r="AK314" s="1819"/>
      <c r="AL314" s="1819"/>
      <c r="AM314" s="1819"/>
      <c r="AN314" s="1819"/>
      <c r="AO314" s="1819"/>
      <c r="AP314" s="1819"/>
      <c r="AQ314" s="1819"/>
      <c r="AR314" s="1819"/>
      <c r="AS314" s="1819"/>
      <c r="AT314" s="1819"/>
    </row>
    <row r="315" spans="1:46" s="1765" customFormat="1" ht="24" customHeight="1">
      <c r="A315" s="1258"/>
      <c r="B315" s="1538" t="s">
        <v>1339</v>
      </c>
      <c r="C315" s="1437"/>
      <c r="D315" s="1275"/>
      <c r="E315" s="1768"/>
      <c r="F315" s="1358" t="s">
        <v>226</v>
      </c>
      <c r="G315" s="1271">
        <v>160</v>
      </c>
      <c r="H315" s="1264">
        <f t="shared" si="87"/>
        <v>0</v>
      </c>
      <c r="I315" s="1272">
        <v>42</v>
      </c>
      <c r="J315" s="1264">
        <f t="shared" si="88"/>
        <v>0</v>
      </c>
      <c r="K315" s="1273">
        <f t="shared" si="89"/>
        <v>0</v>
      </c>
      <c r="L315" s="2082" t="s">
        <v>2667</v>
      </c>
      <c r="M315" s="2002"/>
      <c r="N315" s="1765">
        <v>481.2</v>
      </c>
      <c r="O315" s="1765">
        <f t="shared" si="90"/>
        <v>160</v>
      </c>
      <c r="P315" s="1613"/>
      <c r="Q315" s="1613"/>
      <c r="R315" s="1613"/>
      <c r="S315" s="1613"/>
      <c r="T315" s="1613"/>
      <c r="U315" s="1613"/>
      <c r="V315" s="1613"/>
      <c r="W315" s="1613"/>
      <c r="X315" s="1613"/>
      <c r="Y315" s="1613"/>
      <c r="Z315" s="1613"/>
      <c r="AA315" s="1613"/>
      <c r="AC315" s="1819"/>
      <c r="AD315" s="1819"/>
      <c r="AE315" s="1819"/>
      <c r="AF315" s="1819"/>
      <c r="AG315" s="1819"/>
      <c r="AH315" s="1819"/>
      <c r="AI315" s="1819"/>
      <c r="AJ315" s="1819"/>
      <c r="AK315" s="1819"/>
      <c r="AL315" s="1819"/>
      <c r="AM315" s="1819"/>
      <c r="AN315" s="1819"/>
      <c r="AO315" s="1819"/>
      <c r="AP315" s="1819"/>
      <c r="AQ315" s="1819"/>
      <c r="AR315" s="1819"/>
      <c r="AS315" s="1819"/>
      <c r="AT315" s="1819"/>
    </row>
    <row r="316" spans="1:46" s="1765" customFormat="1" ht="24" customHeight="1">
      <c r="A316" s="1258"/>
      <c r="B316" s="1538" t="s">
        <v>1340</v>
      </c>
      <c r="C316" s="1437"/>
      <c r="D316" s="1275"/>
      <c r="E316" s="1768">
        <v>60</v>
      </c>
      <c r="F316" s="1358" t="s">
        <v>226</v>
      </c>
      <c r="G316" s="1271">
        <v>219</v>
      </c>
      <c r="H316" s="1264">
        <f t="shared" si="87"/>
        <v>13140</v>
      </c>
      <c r="I316" s="1272">
        <v>48</v>
      </c>
      <c r="J316" s="1264">
        <f t="shared" si="88"/>
        <v>2880</v>
      </c>
      <c r="K316" s="1273">
        <f t="shared" si="89"/>
        <v>16020</v>
      </c>
      <c r="L316" s="2082" t="s">
        <v>2667</v>
      </c>
      <c r="M316" s="2002"/>
      <c r="N316" s="1765">
        <v>657.6</v>
      </c>
      <c r="O316" s="1765">
        <f t="shared" si="90"/>
        <v>219</v>
      </c>
      <c r="P316" s="1613"/>
      <c r="Q316" s="1613"/>
      <c r="R316" s="1613"/>
      <c r="S316" s="1613"/>
      <c r="T316" s="1613"/>
      <c r="U316" s="1613"/>
      <c r="V316" s="1613"/>
      <c r="W316" s="1613"/>
      <c r="X316" s="1613"/>
      <c r="Y316" s="1613"/>
      <c r="Z316" s="1613"/>
      <c r="AA316" s="1613"/>
      <c r="AB316" s="1765">
        <f>SUM(AC316:AT316)</f>
        <v>60</v>
      </c>
      <c r="AC316" s="1819">
        <f>15</f>
        <v>15</v>
      </c>
      <c r="AD316" s="1819">
        <f>15</f>
        <v>15</v>
      </c>
      <c r="AE316" s="1819"/>
      <c r="AF316" s="1819"/>
      <c r="AG316" s="1819"/>
      <c r="AH316" s="1819"/>
      <c r="AI316" s="1819"/>
      <c r="AJ316" s="1819"/>
      <c r="AK316" s="1819"/>
      <c r="AL316" s="1819">
        <f>15</f>
        <v>15</v>
      </c>
      <c r="AM316" s="1819">
        <f>15</f>
        <v>15</v>
      </c>
      <c r="AN316" s="1819"/>
      <c r="AO316" s="1819"/>
      <c r="AP316" s="1819"/>
      <c r="AQ316" s="1819"/>
      <c r="AR316" s="1819"/>
      <c r="AS316" s="1819"/>
      <c r="AT316" s="1819"/>
    </row>
    <row r="317" spans="1:46" s="1765" customFormat="1" ht="24" customHeight="1">
      <c r="A317" s="1258"/>
      <c r="B317" s="1538" t="s">
        <v>1384</v>
      </c>
      <c r="C317" s="1437"/>
      <c r="D317" s="1275"/>
      <c r="E317" s="1768">
        <v>1</v>
      </c>
      <c r="F317" s="1358" t="s">
        <v>1104</v>
      </c>
      <c r="G317" s="1516">
        <f>SUM(H311:H316)*15%</f>
        <v>5085</v>
      </c>
      <c r="H317" s="1264">
        <f t="shared" si="87"/>
        <v>5085</v>
      </c>
      <c r="I317" s="1265">
        <f>ROUND(G317*0.3,)</f>
        <v>1526</v>
      </c>
      <c r="J317" s="1264">
        <f t="shared" si="88"/>
        <v>1526</v>
      </c>
      <c r="K317" s="1273">
        <f t="shared" si="89"/>
        <v>6611</v>
      </c>
      <c r="L317" s="1273"/>
      <c r="M317" s="1613"/>
      <c r="N317" s="1613"/>
      <c r="O317" s="1613"/>
      <c r="P317" s="1613"/>
      <c r="Q317" s="1613"/>
      <c r="R317" s="1613"/>
      <c r="S317" s="1613"/>
      <c r="T317" s="1613"/>
      <c r="U317" s="1613"/>
      <c r="V317" s="1613"/>
      <c r="W317" s="1613"/>
      <c r="X317" s="1613"/>
      <c r="Y317" s="1613"/>
      <c r="Z317" s="1613"/>
      <c r="AA317" s="1613"/>
      <c r="AC317" s="1819"/>
      <c r="AD317" s="1819"/>
      <c r="AE317" s="1819"/>
      <c r="AF317" s="1819"/>
      <c r="AG317" s="1819"/>
      <c r="AH317" s="1819"/>
      <c r="AI317" s="1819"/>
      <c r="AJ317" s="1819"/>
      <c r="AK317" s="1819"/>
      <c r="AL317" s="1819"/>
      <c r="AM317" s="1819"/>
      <c r="AN317" s="1819"/>
      <c r="AO317" s="1819"/>
      <c r="AP317" s="1819"/>
      <c r="AQ317" s="1819"/>
      <c r="AR317" s="1819"/>
      <c r="AS317" s="1819"/>
      <c r="AT317" s="1819"/>
    </row>
    <row r="318" spans="1:46" s="1765" customFormat="1" ht="24" customHeight="1">
      <c r="A318" s="1258"/>
      <c r="B318" s="1538" t="s">
        <v>1117</v>
      </c>
      <c r="C318" s="1437"/>
      <c r="D318" s="1275"/>
      <c r="E318" s="1768"/>
      <c r="F318" s="1358"/>
      <c r="G318" s="1516"/>
      <c r="H318" s="1264"/>
      <c r="I318" s="1265"/>
      <c r="J318" s="1264"/>
      <c r="K318" s="1273"/>
      <c r="L318" s="1273"/>
      <c r="M318" s="1613"/>
      <c r="N318" s="1613"/>
      <c r="O318" s="1613"/>
      <c r="P318" s="1613"/>
      <c r="Q318" s="1613"/>
      <c r="R318" s="1613"/>
      <c r="S318" s="1613"/>
      <c r="T318" s="1613"/>
      <c r="U318" s="1613"/>
      <c r="V318" s="1613"/>
      <c r="W318" s="1613"/>
      <c r="X318" s="1613"/>
      <c r="Y318" s="1613"/>
      <c r="Z318" s="1613"/>
      <c r="AA318" s="1613"/>
      <c r="AC318" s="1819"/>
      <c r="AD318" s="1819"/>
      <c r="AE318" s="1819"/>
      <c r="AF318" s="1819"/>
      <c r="AG318" s="1819"/>
      <c r="AH318" s="1819"/>
      <c r="AI318" s="1819"/>
      <c r="AJ318" s="1819"/>
      <c r="AK318" s="1819"/>
      <c r="AL318" s="1819"/>
      <c r="AM318" s="1819"/>
      <c r="AN318" s="1819"/>
      <c r="AO318" s="1819"/>
      <c r="AP318" s="1819"/>
      <c r="AQ318" s="1819"/>
      <c r="AR318" s="1819"/>
      <c r="AS318" s="1819"/>
      <c r="AT318" s="1819"/>
    </row>
    <row r="319" spans="1:46" s="1765" customFormat="1" ht="24" customHeight="1">
      <c r="A319" s="1258"/>
      <c r="B319" s="1538" t="s">
        <v>1118</v>
      </c>
      <c r="C319" s="1437"/>
      <c r="D319" s="1275"/>
      <c r="E319" s="1768"/>
      <c r="F319" s="1358"/>
      <c r="G319" s="1516"/>
      <c r="H319" s="1264"/>
      <c r="I319" s="1265"/>
      <c r="J319" s="1264"/>
      <c r="K319" s="1273"/>
      <c r="L319" s="1273"/>
      <c r="M319" s="1613"/>
      <c r="N319" s="1613"/>
      <c r="O319" s="1613"/>
      <c r="P319" s="1613"/>
      <c r="Q319" s="1613"/>
      <c r="R319" s="1613"/>
      <c r="S319" s="1613"/>
      <c r="T319" s="1613"/>
      <c r="U319" s="1613"/>
      <c r="V319" s="1613"/>
      <c r="W319" s="1613"/>
      <c r="X319" s="1613"/>
      <c r="Y319" s="1613"/>
      <c r="Z319" s="1613"/>
      <c r="AA319" s="1613"/>
      <c r="AC319" s="1819"/>
      <c r="AD319" s="1819"/>
      <c r="AE319" s="1819"/>
      <c r="AF319" s="1819"/>
      <c r="AG319" s="1819"/>
      <c r="AH319" s="1819"/>
      <c r="AI319" s="1819"/>
      <c r="AJ319" s="1819"/>
      <c r="AK319" s="1819"/>
      <c r="AL319" s="1819"/>
      <c r="AM319" s="1819"/>
      <c r="AN319" s="1819"/>
      <c r="AO319" s="1819"/>
      <c r="AP319" s="1819"/>
      <c r="AQ319" s="1819"/>
      <c r="AR319" s="1819"/>
      <c r="AS319" s="1819"/>
      <c r="AT319" s="1819"/>
    </row>
    <row r="320" spans="1:46" s="1765" customFormat="1" ht="24" customHeight="1">
      <c r="A320" s="1258"/>
      <c r="B320" s="1538" t="s">
        <v>1118</v>
      </c>
      <c r="C320" s="1437"/>
      <c r="D320" s="1275"/>
      <c r="E320" s="1768"/>
      <c r="F320" s="1358"/>
      <c r="G320" s="1516"/>
      <c r="H320" s="1264"/>
      <c r="I320" s="1265"/>
      <c r="J320" s="1264"/>
      <c r="K320" s="1273"/>
      <c r="L320" s="1273"/>
      <c r="M320" s="1613"/>
      <c r="N320" s="1613"/>
      <c r="O320" s="1613"/>
      <c r="P320" s="1613"/>
      <c r="Q320" s="1613"/>
      <c r="R320" s="1613"/>
      <c r="S320" s="1613"/>
      <c r="T320" s="1613"/>
      <c r="U320" s="1613"/>
      <c r="V320" s="1613"/>
      <c r="W320" s="1613"/>
      <c r="X320" s="1613"/>
      <c r="Y320" s="1613"/>
      <c r="Z320" s="1613"/>
      <c r="AA320" s="1613"/>
      <c r="AC320" s="1819"/>
      <c r="AD320" s="1819"/>
      <c r="AE320" s="1819"/>
      <c r="AF320" s="1819"/>
      <c r="AG320" s="1819"/>
      <c r="AH320" s="1819"/>
      <c r="AI320" s="1819"/>
      <c r="AJ320" s="1819"/>
      <c r="AK320" s="1819"/>
      <c r="AL320" s="1819"/>
      <c r="AM320" s="1819"/>
      <c r="AN320" s="1819"/>
      <c r="AO320" s="1819"/>
      <c r="AP320" s="1819"/>
      <c r="AQ320" s="1819"/>
      <c r="AR320" s="1819"/>
      <c r="AS320" s="1819"/>
      <c r="AT320" s="1819"/>
    </row>
    <row r="321" spans="1:46" s="1765" customFormat="1" ht="24" customHeight="1">
      <c r="A321" s="1578"/>
      <c r="B321" s="2257" t="str">
        <f>"รวมราคารายการที่ "&amp;A278</f>
        <v>รวมราคารายการที่ 7.11</v>
      </c>
      <c r="C321" s="2258"/>
      <c r="D321" s="2259"/>
      <c r="E321" s="1579"/>
      <c r="F321" s="1579"/>
      <c r="G321" s="1580"/>
      <c r="H321" s="1581">
        <f>SUM(H279:H320)</f>
        <v>1301445</v>
      </c>
      <c r="I321" s="1582"/>
      <c r="J321" s="1581">
        <f>SUM(J279:J320)</f>
        <v>153596</v>
      </c>
      <c r="K321" s="1583">
        <f>SUM(K279:K320)</f>
        <v>1455041</v>
      </c>
      <c r="L321" s="1583"/>
      <c r="M321" s="2019"/>
      <c r="N321" s="2019"/>
      <c r="O321" s="2019"/>
      <c r="P321" s="2019"/>
      <c r="Q321" s="2019"/>
      <c r="R321" s="2019"/>
      <c r="S321" s="2019"/>
      <c r="T321" s="2019"/>
      <c r="U321" s="2019"/>
      <c r="V321" s="2019"/>
      <c r="W321" s="2019"/>
      <c r="X321" s="2019"/>
      <c r="Y321" s="2019"/>
      <c r="Z321" s="2019"/>
      <c r="AA321" s="2019"/>
      <c r="AC321" s="1839"/>
      <c r="AD321" s="1839"/>
      <c r="AE321" s="1839"/>
      <c r="AF321" s="1839"/>
      <c r="AG321" s="1839"/>
      <c r="AH321" s="1839"/>
      <c r="AI321" s="1839"/>
      <c r="AJ321" s="1839"/>
      <c r="AK321" s="1839"/>
      <c r="AL321" s="1839"/>
      <c r="AM321" s="1839"/>
      <c r="AN321" s="1839"/>
      <c r="AO321" s="1839"/>
      <c r="AP321" s="1839"/>
      <c r="AQ321" s="1839"/>
      <c r="AR321" s="1839"/>
      <c r="AS321" s="1839"/>
      <c r="AT321" s="1839"/>
    </row>
    <row r="322" spans="1:46" s="1765" customFormat="1" ht="24" customHeight="1">
      <c r="A322" s="1291" t="s">
        <v>2433</v>
      </c>
      <c r="B322" s="1776" t="s">
        <v>2182</v>
      </c>
      <c r="C322" s="1293"/>
      <c r="D322" s="1294"/>
      <c r="E322" s="1786"/>
      <c r="F322" s="1296"/>
      <c r="G322" s="1357"/>
      <c r="H322" s="1298"/>
      <c r="I322" s="1299"/>
      <c r="J322" s="1264"/>
      <c r="K322" s="1273"/>
      <c r="L322" s="1273"/>
      <c r="M322" s="1613"/>
      <c r="N322" s="1613"/>
      <c r="O322" s="1613"/>
      <c r="P322" s="1613"/>
      <c r="Q322" s="1613"/>
      <c r="R322" s="1613"/>
      <c r="S322" s="1613"/>
      <c r="T322" s="1613"/>
      <c r="U322" s="1613"/>
      <c r="V322" s="1613"/>
      <c r="W322" s="1613"/>
      <c r="X322" s="1613"/>
      <c r="Y322" s="1613"/>
      <c r="Z322" s="1613"/>
      <c r="AA322" s="1613"/>
      <c r="AB322" s="1835"/>
    </row>
    <row r="323" spans="1:46" s="1765" customFormat="1" ht="24" customHeight="1">
      <c r="A323" s="1258"/>
      <c r="B323" s="1797" t="s">
        <v>2434</v>
      </c>
      <c r="C323" s="1437"/>
      <c r="D323" s="1278"/>
      <c r="E323" s="1768">
        <v>4</v>
      </c>
      <c r="F323" s="1296" t="s">
        <v>363</v>
      </c>
      <c r="G323" s="1821" t="s">
        <v>2435</v>
      </c>
      <c r="H323" s="1298"/>
      <c r="I323" s="1299"/>
      <c r="J323" s="1298"/>
      <c r="K323" s="1382"/>
      <c r="L323" s="1382"/>
      <c r="M323" s="1613"/>
      <c r="N323" s="1613"/>
      <c r="O323" s="1613"/>
      <c r="P323" s="1613"/>
      <c r="Q323" s="1613"/>
      <c r="R323" s="1613"/>
      <c r="S323" s="1613"/>
      <c r="T323" s="1613"/>
      <c r="U323" s="1613"/>
      <c r="V323" s="1613"/>
      <c r="W323" s="1613"/>
      <c r="X323" s="1613"/>
      <c r="Y323" s="1613"/>
      <c r="Z323" s="1613"/>
      <c r="AA323" s="1613"/>
    </row>
    <row r="324" spans="1:46" s="1765" customFormat="1" ht="24" customHeight="1">
      <c r="A324" s="1258"/>
      <c r="B324" s="1797" t="s">
        <v>2436</v>
      </c>
      <c r="C324" s="1437"/>
      <c r="D324" s="1278"/>
      <c r="E324" s="1768">
        <v>4</v>
      </c>
      <c r="F324" s="1296" t="s">
        <v>363</v>
      </c>
      <c r="G324" s="1821" t="s">
        <v>2437</v>
      </c>
      <c r="H324" s="1298"/>
      <c r="I324" s="1299"/>
      <c r="J324" s="1298"/>
      <c r="K324" s="1382"/>
      <c r="L324" s="1382"/>
      <c r="M324" s="1613"/>
      <c r="N324" s="1613"/>
      <c r="O324" s="1613"/>
      <c r="P324" s="1613"/>
      <c r="Q324" s="1613"/>
      <c r="R324" s="1613"/>
      <c r="S324" s="1613"/>
      <c r="T324" s="1613"/>
      <c r="U324" s="1613"/>
      <c r="V324" s="1613"/>
      <c r="W324" s="1613"/>
      <c r="X324" s="1613"/>
      <c r="Y324" s="1613"/>
      <c r="Z324" s="1613"/>
      <c r="AA324" s="1613"/>
    </row>
    <row r="325" spans="1:46" s="1765" customFormat="1" ht="24" customHeight="1">
      <c r="A325" s="1258"/>
      <c r="B325" s="1797"/>
      <c r="C325" s="1437"/>
      <c r="D325" s="1278"/>
      <c r="E325" s="1768"/>
      <c r="F325" s="1296"/>
      <c r="G325" s="1821"/>
      <c r="H325" s="1298"/>
      <c r="I325" s="1299"/>
      <c r="J325" s="1298"/>
      <c r="K325" s="1382"/>
      <c r="L325" s="1382"/>
      <c r="M325" s="1613"/>
      <c r="N325" s="1613"/>
      <c r="O325" s="1613"/>
      <c r="P325" s="1613"/>
      <c r="Q325" s="1613"/>
      <c r="R325" s="1613"/>
      <c r="S325" s="1613"/>
      <c r="T325" s="1613"/>
      <c r="U325" s="1613"/>
      <c r="V325" s="1613"/>
      <c r="W325" s="1613"/>
      <c r="X325" s="1613"/>
      <c r="Y325" s="1613"/>
      <c r="Z325" s="1613"/>
      <c r="AA325" s="1613"/>
    </row>
    <row r="326" spans="1:46" s="1765" customFormat="1" ht="24" customHeight="1">
      <c r="A326" s="1258"/>
      <c r="B326" s="1797"/>
      <c r="C326" s="1437"/>
      <c r="D326" s="1278"/>
      <c r="E326" s="1768"/>
      <c r="F326" s="1296"/>
      <c r="G326" s="1821"/>
      <c r="H326" s="1298"/>
      <c r="I326" s="1299"/>
      <c r="J326" s="1298"/>
      <c r="K326" s="1382"/>
      <c r="L326" s="1382"/>
      <c r="M326" s="1613"/>
      <c r="N326" s="1613"/>
      <c r="O326" s="1613"/>
      <c r="P326" s="1613"/>
      <c r="Q326" s="1613"/>
      <c r="R326" s="1613"/>
      <c r="S326" s="1613"/>
      <c r="T326" s="1613"/>
      <c r="U326" s="1613"/>
      <c r="V326" s="1613"/>
      <c r="W326" s="1613"/>
      <c r="X326" s="1613"/>
      <c r="Y326" s="1613"/>
      <c r="Z326" s="1613"/>
      <c r="AA326" s="1613"/>
    </row>
    <row r="327" spans="1:46" s="1765" customFormat="1" ht="24" customHeight="1">
      <c r="A327" s="1258"/>
      <c r="B327" s="1797" t="s">
        <v>1117</v>
      </c>
      <c r="C327" s="1437"/>
      <c r="D327" s="1278"/>
      <c r="E327" s="1768"/>
      <c r="F327" s="1296"/>
      <c r="G327" s="1516"/>
      <c r="H327" s="1298"/>
      <c r="I327" s="1299"/>
      <c r="J327" s="1298"/>
      <c r="K327" s="1382"/>
      <c r="L327" s="1382"/>
      <c r="M327" s="1613"/>
      <c r="N327" s="1613"/>
      <c r="O327" s="1613"/>
      <c r="P327" s="1613"/>
      <c r="Q327" s="1613"/>
      <c r="R327" s="1613"/>
      <c r="S327" s="1613"/>
      <c r="T327" s="1613"/>
      <c r="U327" s="1613"/>
      <c r="V327" s="1613"/>
      <c r="W327" s="1613"/>
      <c r="X327" s="1613"/>
      <c r="Y327" s="1613"/>
      <c r="Z327" s="1613"/>
      <c r="AA327" s="1613"/>
    </row>
    <row r="328" spans="1:46" s="1765" customFormat="1" ht="24" customHeight="1">
      <c r="A328" s="1578"/>
      <c r="B328" s="2257" t="str">
        <f>"รวมราคารายการที่ "&amp;A322</f>
        <v>รวมราคารายการที่ 7.12</v>
      </c>
      <c r="C328" s="2258"/>
      <c r="D328" s="2259"/>
      <c r="E328" s="1579"/>
      <c r="F328" s="1579"/>
      <c r="G328" s="1580"/>
      <c r="H328" s="1581">
        <f>SUM(H322:H327)</f>
        <v>0</v>
      </c>
      <c r="I328" s="1582"/>
      <c r="J328" s="1581">
        <f>SUM(J322:J327)</f>
        <v>0</v>
      </c>
      <c r="K328" s="1583">
        <f>SUM(K322:K327)</f>
        <v>0</v>
      </c>
      <c r="L328" s="1583"/>
      <c r="M328" s="2019"/>
      <c r="N328" s="2019"/>
      <c r="O328" s="2019"/>
      <c r="P328" s="2019"/>
      <c r="Q328" s="2019"/>
      <c r="R328" s="2019"/>
      <c r="S328" s="2019"/>
      <c r="T328" s="2019"/>
      <c r="U328" s="2019"/>
      <c r="V328" s="2019"/>
      <c r="W328" s="2019"/>
      <c r="X328" s="2019"/>
      <c r="Y328" s="2019"/>
      <c r="Z328" s="2019"/>
      <c r="AA328" s="2019"/>
    </row>
    <row r="329" spans="1:46" s="1199" customFormat="1" ht="22.15" customHeight="1">
      <c r="A329" s="1427"/>
    </row>
    <row r="330" spans="1:46" s="1199" customFormat="1" ht="22.15" customHeight="1">
      <c r="A330" s="1427"/>
    </row>
    <row r="331" spans="1:46" s="1199" customFormat="1" ht="22.15" customHeight="1">
      <c r="A331" s="1427"/>
    </row>
    <row r="332" spans="1:46" s="1199" customFormat="1" ht="22.15" customHeight="1">
      <c r="A332" s="1427"/>
    </row>
    <row r="333" spans="1:46" s="1199" customFormat="1" ht="22.15" customHeight="1">
      <c r="A333" s="1427"/>
    </row>
    <row r="334" spans="1:46" s="1199" customFormat="1" ht="22.15" customHeight="1">
      <c r="A334" s="1427"/>
    </row>
    <row r="335" spans="1:46" s="1199" customFormat="1" ht="22.15" customHeight="1">
      <c r="A335" s="1427"/>
    </row>
    <row r="336" spans="1:46" s="1199" customFormat="1" ht="22.15" customHeight="1">
      <c r="A336" s="1427"/>
    </row>
    <row r="337" spans="1:1" s="1199" customFormat="1" ht="22.15" customHeight="1">
      <c r="A337" s="1427"/>
    </row>
    <row r="338" spans="1:1" s="1199" customFormat="1" ht="22.15" customHeight="1">
      <c r="A338" s="1427"/>
    </row>
    <row r="339" spans="1:1" s="1199" customFormat="1" ht="22.15" customHeight="1">
      <c r="A339" s="1427"/>
    </row>
    <row r="340" spans="1:1" s="1199" customFormat="1" ht="21.3">
      <c r="A340" s="1427"/>
    </row>
    <row r="341" spans="1:1" s="1199" customFormat="1" ht="21.3">
      <c r="A341" s="1427"/>
    </row>
    <row r="342" spans="1:1" s="1199" customFormat="1" ht="21.3">
      <c r="A342" s="1427"/>
    </row>
    <row r="343" spans="1:1" s="1199" customFormat="1" ht="21.3">
      <c r="A343" s="1427"/>
    </row>
    <row r="344" spans="1:1" s="1199" customFormat="1" ht="21.3">
      <c r="A344" s="1427"/>
    </row>
    <row r="345" spans="1:1" s="1199" customFormat="1" ht="21.3">
      <c r="A345" s="1427"/>
    </row>
    <row r="346" spans="1:1" s="1199" customFormat="1" ht="21.3">
      <c r="A346" s="1427"/>
    </row>
    <row r="347" spans="1:1" s="1199" customFormat="1" ht="21.3">
      <c r="A347" s="1427"/>
    </row>
    <row r="348" spans="1:1" s="1199" customFormat="1" ht="21.3">
      <c r="A348" s="1427"/>
    </row>
    <row r="349" spans="1:1" s="1199" customFormat="1" ht="21.3">
      <c r="A349" s="1427"/>
    </row>
    <row r="350" spans="1:1" s="1199" customFormat="1" ht="21.3">
      <c r="A350" s="1427"/>
    </row>
    <row r="351" spans="1:1" s="1199" customFormat="1" ht="21.3">
      <c r="A351" s="1427"/>
    </row>
    <row r="352" spans="1:1" s="1199" customFormat="1" ht="21.3">
      <c r="A352" s="1427"/>
    </row>
    <row r="353" spans="1:27" s="1199" customFormat="1" ht="21.3">
      <c r="A353" s="1427"/>
    </row>
    <row r="354" spans="1:27">
      <c r="A354" s="1427"/>
      <c r="B354" s="1199"/>
      <c r="C354" s="1199"/>
      <c r="D354" s="1199"/>
      <c r="E354" s="1199"/>
      <c r="F354" s="1199"/>
      <c r="G354" s="1199"/>
      <c r="H354" s="1199"/>
      <c r="I354" s="1199"/>
      <c r="J354" s="1199"/>
      <c r="K354" s="1199"/>
      <c r="L354" s="1199"/>
      <c r="M354" s="1199"/>
      <c r="N354" s="1199"/>
      <c r="O354" s="1199"/>
      <c r="P354" s="1199"/>
      <c r="Q354" s="1199"/>
      <c r="R354" s="1199"/>
      <c r="S354" s="1199"/>
      <c r="T354" s="1199"/>
      <c r="U354" s="1199"/>
      <c r="V354" s="1199"/>
      <c r="W354" s="1199"/>
      <c r="X354" s="1199"/>
      <c r="Y354" s="1199"/>
      <c r="Z354" s="1199"/>
      <c r="AA354" s="1199"/>
    </row>
    <row r="355" spans="1:27">
      <c r="A355" s="1427"/>
      <c r="B355" s="1199"/>
      <c r="C355" s="1199"/>
      <c r="D355" s="1199"/>
      <c r="E355" s="1199"/>
      <c r="F355" s="1199"/>
      <c r="G355" s="1199"/>
      <c r="H355" s="1199"/>
      <c r="I355" s="1199"/>
      <c r="J355" s="1199"/>
      <c r="K355" s="1199"/>
      <c r="L355" s="1199"/>
      <c r="M355" s="1199"/>
      <c r="N355" s="1199"/>
      <c r="O355" s="1199"/>
      <c r="P355" s="1199"/>
      <c r="Q355" s="1199"/>
      <c r="R355" s="1199"/>
      <c r="S355" s="1199"/>
      <c r="T355" s="1199"/>
      <c r="U355" s="1199"/>
      <c r="V355" s="1199"/>
      <c r="W355" s="1199"/>
      <c r="X355" s="1199"/>
      <c r="Y355" s="1199"/>
      <c r="Z355" s="1199"/>
      <c r="AA355" s="1199"/>
    </row>
    <row r="356" spans="1:27">
      <c r="A356" s="1427"/>
      <c r="B356" s="1199"/>
      <c r="C356" s="1199"/>
      <c r="D356" s="1199"/>
      <c r="E356" s="1199"/>
      <c r="F356" s="1199"/>
      <c r="G356" s="1199"/>
      <c r="H356" s="1199"/>
      <c r="I356" s="1199"/>
      <c r="J356" s="1199"/>
      <c r="K356" s="1199"/>
      <c r="L356" s="1199"/>
      <c r="M356" s="1199"/>
      <c r="N356" s="1199"/>
      <c r="O356" s="1199"/>
      <c r="P356" s="1199"/>
      <c r="Q356" s="1199"/>
      <c r="R356" s="1199"/>
      <c r="S356" s="1199"/>
      <c r="T356" s="1199"/>
      <c r="U356" s="1199"/>
      <c r="V356" s="1199"/>
      <c r="W356" s="1199"/>
      <c r="X356" s="1199"/>
      <c r="Y356" s="1199"/>
      <c r="Z356" s="1199"/>
      <c r="AA356" s="1199"/>
    </row>
    <row r="363" spans="1:27">
      <c r="B363" s="1805"/>
    </row>
    <row r="364" spans="1:27">
      <c r="B364" s="1805"/>
    </row>
  </sheetData>
  <mergeCells count="21">
    <mergeCell ref="B148:D148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9:D49"/>
    <mergeCell ref="B59:D59"/>
    <mergeCell ref="B103:D103"/>
    <mergeCell ref="B117:D117"/>
    <mergeCell ref="B328:D328"/>
    <mergeCell ref="B172:D172"/>
    <mergeCell ref="B213:D213"/>
    <mergeCell ref="B234:D234"/>
    <mergeCell ref="B244:D244"/>
    <mergeCell ref="B277:D277"/>
    <mergeCell ref="B321:D321"/>
  </mergeCells>
  <conditionalFormatting sqref="A61:AA61 A62:A68 A80:AA80 A77:A79 A81:A83 A76:AA76 C62:AA68 C77:AA79 A87:AA88 A89:A91 A246:AA246 A263:AA263 I247:AA247 A247:G262 L248:AA262 A266:AA266 A264:F265 L264:AA265 A267:G267 L267:AA267 A268:AA268 A271:AA275 A269:G270 L269:AA270 C69:D75 F69:AA71 F73:AA75 F72 L72:AA72 C89:AA95 A93:A96 H96:AA96 C81:AA86">
    <cfRule type="expression" dxfId="68" priority="69">
      <formula>SUMPRODUCT(--(ROW()=$AD$12:$AD$22))&gt;0</formula>
    </cfRule>
  </conditionalFormatting>
  <conditionalFormatting sqref="A69:A75">
    <cfRule type="expression" dxfId="67" priority="66">
      <formula>SUMPRODUCT(--(ROW()=$AD$12:$AD$22))&gt;0</formula>
    </cfRule>
  </conditionalFormatting>
  <conditionalFormatting sqref="B77:B79">
    <cfRule type="expression" dxfId="66" priority="68">
      <formula>SUMPRODUCT(--(ROW()=$AD$12:$AD$22))&gt;0</formula>
    </cfRule>
  </conditionalFormatting>
  <conditionalFormatting sqref="B81:B83">
    <cfRule type="expression" dxfId="65" priority="67">
      <formula>SUMPRODUCT(--(ROW()=$AD$12:$AD$22))&gt;0</formula>
    </cfRule>
  </conditionalFormatting>
  <conditionalFormatting sqref="B90">
    <cfRule type="expression" dxfId="64" priority="63">
      <formula>SUMPRODUCT(--(ROW()=$AD$12:$AD$22))&gt;0</formula>
    </cfRule>
  </conditionalFormatting>
  <conditionalFormatting sqref="B89">
    <cfRule type="expression" dxfId="63" priority="64">
      <formula>SUMPRODUCT(--(ROW()=$AD$12:$AD$22))&gt;0</formula>
    </cfRule>
  </conditionalFormatting>
  <conditionalFormatting sqref="E69:E75">
    <cfRule type="expression" dxfId="62" priority="65">
      <formula>SUMPRODUCT(--(ROW()=$AD$12:$AD$22))&gt;0</formula>
    </cfRule>
  </conditionalFormatting>
  <conditionalFormatting sqref="B91">
    <cfRule type="expression" dxfId="61" priority="62">
      <formula>SUMPRODUCT(--(ROW()=$AD$12:$AD$22))&gt;0</formula>
    </cfRule>
  </conditionalFormatting>
  <conditionalFormatting sqref="A84:A86">
    <cfRule type="expression" dxfId="60" priority="60">
      <formula>SUMPRODUCT(--(ROW()=$AD$12:$AD$22))&gt;0</formula>
    </cfRule>
  </conditionalFormatting>
  <conditionalFormatting sqref="B93:B95">
    <cfRule type="expression" dxfId="59" priority="61">
      <formula>SUMPRODUCT(--(ROW()=$AD$12:$AD$22))&gt;0</formula>
    </cfRule>
  </conditionalFormatting>
  <conditionalFormatting sqref="B84">
    <cfRule type="expression" dxfId="58" priority="59">
      <formula>SUMPRODUCT(--(ROW()=$AD$12:$AD$22))&gt;0</formula>
    </cfRule>
  </conditionalFormatting>
  <conditionalFormatting sqref="G72:K72">
    <cfRule type="expression" dxfId="57" priority="58">
      <formula>SUMPRODUCT(--(ROW()=$AD$12:$AD$22))&gt;0</formula>
    </cfRule>
  </conditionalFormatting>
  <conditionalFormatting sqref="A97:AA98">
    <cfRule type="expression" dxfId="56" priority="57">
      <formula>SUMPRODUCT(--(ROW()=$AD$12:$AD$22))&gt;0</formula>
    </cfRule>
  </conditionalFormatting>
  <conditionalFormatting sqref="AC267">
    <cfRule type="containsText" dxfId="55" priority="51" operator="containsText" text="Diffus">
      <formula>NOT(ISERROR(SEARCH("Diffus",AC267)))</formula>
    </cfRule>
    <cfRule type="containsText" dxfId="54" priority="52" operator="containsText" text="Counter">
      <formula>NOT(ISERROR(SEARCH("Counter",AC267)))</formula>
    </cfRule>
    <cfRule type="containsText" dxfId="53" priority="53" operator="containsText" text="Damper">
      <formula>NOT(ISERROR(SEARCH("Damper",AC267)))</formula>
    </cfRule>
    <cfRule type="containsText" dxfId="52" priority="54" operator="containsText" text="Register">
      <formula>NOT(ISERROR(SEARCH("Register",AC267)))</formula>
    </cfRule>
    <cfRule type="containsText" dxfId="51" priority="55" operator="containsText" text="Grille">
      <formula>NOT(ISERROR(SEARCH("Grille",AC267)))</formula>
    </cfRule>
    <cfRule type="containsText" dxfId="50" priority="56" operator="containsText" text="FFL">
      <formula>NOT(ISERROR(SEARCH("FFL",AC267)))</formula>
    </cfRule>
  </conditionalFormatting>
  <conditionalFormatting sqref="H280:H281">
    <cfRule type="expression" dxfId="49" priority="50">
      <formula>SUMPRODUCT(--(ROW()=$AD$12:$AD$22))&gt;0</formula>
    </cfRule>
  </conditionalFormatting>
  <conditionalFormatting sqref="J280:K281">
    <cfRule type="expression" dxfId="48" priority="49">
      <formula>SUMPRODUCT(--(ROW()=$AD$12:$AD$22))&gt;0</formula>
    </cfRule>
  </conditionalFormatting>
  <conditionalFormatting sqref="H282">
    <cfRule type="expression" dxfId="47" priority="48">
      <formula>SUMPRODUCT(--(ROW()=$AD$12:$AD$22))&gt;0</formula>
    </cfRule>
  </conditionalFormatting>
  <conditionalFormatting sqref="J282:K282">
    <cfRule type="expression" dxfId="46" priority="47">
      <formula>SUMPRODUCT(--(ROW()=$AD$12:$AD$22))&gt;0</formula>
    </cfRule>
  </conditionalFormatting>
  <conditionalFormatting sqref="H283">
    <cfRule type="expression" dxfId="45" priority="46">
      <formula>SUMPRODUCT(--(ROW()=$AD$12:$AD$22))&gt;0</formula>
    </cfRule>
  </conditionalFormatting>
  <conditionalFormatting sqref="J283:K283">
    <cfRule type="expression" dxfId="44" priority="45">
      <formula>SUMPRODUCT(--(ROW()=$AD$12:$AD$22))&gt;0</formula>
    </cfRule>
  </conditionalFormatting>
  <conditionalFormatting sqref="H284">
    <cfRule type="expression" dxfId="43" priority="44">
      <formula>SUMPRODUCT(--(ROW()=$AD$12:$AD$22))&gt;0</formula>
    </cfRule>
  </conditionalFormatting>
  <conditionalFormatting sqref="J284:K284">
    <cfRule type="expression" dxfId="42" priority="43">
      <formula>SUMPRODUCT(--(ROW()=$AD$12:$AD$22))&gt;0</formula>
    </cfRule>
  </conditionalFormatting>
  <conditionalFormatting sqref="H285:H288">
    <cfRule type="expression" dxfId="41" priority="42">
      <formula>SUMPRODUCT(--(ROW()=$AD$12:$AD$22))&gt;0</formula>
    </cfRule>
  </conditionalFormatting>
  <conditionalFormatting sqref="J285:K288">
    <cfRule type="expression" dxfId="40" priority="41">
      <formula>SUMPRODUCT(--(ROW()=$AD$12:$AD$22))&gt;0</formula>
    </cfRule>
  </conditionalFormatting>
  <conditionalFormatting sqref="J293:K296">
    <cfRule type="expression" dxfId="39" priority="33">
      <formula>SUMPRODUCT(--(ROW()=$AD$12:$AD$22))&gt;0</formula>
    </cfRule>
  </conditionalFormatting>
  <conditionalFormatting sqref="H289:H290">
    <cfRule type="expression" dxfId="38" priority="40">
      <formula>SUMPRODUCT(--(ROW()=$AD$12:$AD$22))&gt;0</formula>
    </cfRule>
  </conditionalFormatting>
  <conditionalFormatting sqref="J289:K290">
    <cfRule type="expression" dxfId="37" priority="39">
      <formula>SUMPRODUCT(--(ROW()=$AD$12:$AD$22))&gt;0</formula>
    </cfRule>
  </conditionalFormatting>
  <conditionalFormatting sqref="H291">
    <cfRule type="expression" dxfId="36" priority="38">
      <formula>SUMPRODUCT(--(ROW()=$AD$12:$AD$22))&gt;0</formula>
    </cfRule>
  </conditionalFormatting>
  <conditionalFormatting sqref="J291:K291">
    <cfRule type="expression" dxfId="35" priority="37">
      <formula>SUMPRODUCT(--(ROW()=$AD$12:$AD$22))&gt;0</formula>
    </cfRule>
  </conditionalFormatting>
  <conditionalFormatting sqref="H292">
    <cfRule type="expression" dxfId="34" priority="36">
      <formula>SUMPRODUCT(--(ROW()=$AD$12:$AD$22))&gt;0</formula>
    </cfRule>
  </conditionalFormatting>
  <conditionalFormatting sqref="J292:K292">
    <cfRule type="expression" dxfId="33" priority="35">
      <formula>SUMPRODUCT(--(ROW()=$AD$12:$AD$22))&gt;0</formula>
    </cfRule>
  </conditionalFormatting>
  <conditionalFormatting sqref="H293:H296">
    <cfRule type="expression" dxfId="32" priority="34">
      <formula>SUMPRODUCT(--(ROW()=$AD$12:$AD$22))&gt;0</formula>
    </cfRule>
  </conditionalFormatting>
  <conditionalFormatting sqref="I248:K248">
    <cfRule type="expression" dxfId="31" priority="32">
      <formula>SUMPRODUCT(--(ROW()=$AD$12:$AD$22))&gt;0</formula>
    </cfRule>
  </conditionalFormatting>
  <conditionalFormatting sqref="I249:K249">
    <cfRule type="expression" dxfId="30" priority="31">
      <formula>SUMPRODUCT(--(ROW()=$AD$12:$AD$22))&gt;0</formula>
    </cfRule>
  </conditionalFormatting>
  <conditionalFormatting sqref="I250:K250">
    <cfRule type="expression" dxfId="29" priority="30">
      <formula>SUMPRODUCT(--(ROW()=$AD$12:$AD$22))&gt;0</formula>
    </cfRule>
  </conditionalFormatting>
  <conditionalFormatting sqref="I251:K251">
    <cfRule type="expression" dxfId="28" priority="29">
      <formula>SUMPRODUCT(--(ROW()=$AD$12:$AD$22))&gt;0</formula>
    </cfRule>
  </conditionalFormatting>
  <conditionalFormatting sqref="I252:K252">
    <cfRule type="expression" dxfId="27" priority="28">
      <formula>SUMPRODUCT(--(ROW()=$AD$12:$AD$22))&gt;0</formula>
    </cfRule>
  </conditionalFormatting>
  <conditionalFormatting sqref="I253:K253">
    <cfRule type="expression" dxfId="26" priority="27">
      <formula>SUMPRODUCT(--(ROW()=$AD$12:$AD$22))&gt;0</formula>
    </cfRule>
  </conditionalFormatting>
  <conditionalFormatting sqref="I254:K254">
    <cfRule type="expression" dxfId="25" priority="26">
      <formula>SUMPRODUCT(--(ROW()=$AD$12:$AD$22))&gt;0</formula>
    </cfRule>
  </conditionalFormatting>
  <conditionalFormatting sqref="I255:K255">
    <cfRule type="expression" dxfId="24" priority="25">
      <formula>SUMPRODUCT(--(ROW()=$AD$12:$AD$22))&gt;0</formula>
    </cfRule>
  </conditionalFormatting>
  <conditionalFormatting sqref="I256:K256">
    <cfRule type="expression" dxfId="23" priority="24">
      <formula>SUMPRODUCT(--(ROW()=$AD$12:$AD$22))&gt;0</formula>
    </cfRule>
  </conditionalFormatting>
  <conditionalFormatting sqref="I257:K257">
    <cfRule type="expression" dxfId="22" priority="23">
      <formula>SUMPRODUCT(--(ROW()=$AD$12:$AD$22))&gt;0</formula>
    </cfRule>
  </conditionalFormatting>
  <conditionalFormatting sqref="I258:K258">
    <cfRule type="expression" dxfId="21" priority="22">
      <formula>SUMPRODUCT(--(ROW()=$AD$12:$AD$22))&gt;0</formula>
    </cfRule>
  </conditionalFormatting>
  <conditionalFormatting sqref="I259:K259">
    <cfRule type="expression" dxfId="20" priority="21">
      <formula>SUMPRODUCT(--(ROW()=$AD$12:$AD$22))&gt;0</formula>
    </cfRule>
  </conditionalFormatting>
  <conditionalFormatting sqref="I260:K260">
    <cfRule type="expression" dxfId="19" priority="20">
      <formula>SUMPRODUCT(--(ROW()=$AD$12:$AD$22))&gt;0</formula>
    </cfRule>
  </conditionalFormatting>
  <conditionalFormatting sqref="I261:K261">
    <cfRule type="expression" dxfId="18" priority="19">
      <formula>SUMPRODUCT(--(ROW()=$AD$12:$AD$22))&gt;0</formula>
    </cfRule>
  </conditionalFormatting>
  <conditionalFormatting sqref="I262:K262">
    <cfRule type="expression" dxfId="17" priority="18">
      <formula>SUMPRODUCT(--(ROW()=$AD$12:$AD$22))&gt;0</formula>
    </cfRule>
  </conditionalFormatting>
  <conditionalFormatting sqref="I264:K264">
    <cfRule type="expression" dxfId="16" priority="17">
      <formula>SUMPRODUCT(--(ROW()=$AD$12:$AD$22))&gt;0</formula>
    </cfRule>
  </conditionalFormatting>
  <conditionalFormatting sqref="I265:K265">
    <cfRule type="expression" dxfId="15" priority="16">
      <formula>SUMPRODUCT(--(ROW()=$AD$12:$AD$22))&gt;0</formula>
    </cfRule>
  </conditionalFormatting>
  <conditionalFormatting sqref="I267:K267">
    <cfRule type="expression" dxfId="14" priority="15">
      <formula>SUMPRODUCT(--(ROW()=$AD$12:$AD$22))&gt;0</formula>
    </cfRule>
  </conditionalFormatting>
  <conditionalFormatting sqref="I269:K269">
    <cfRule type="expression" dxfId="13" priority="14">
      <formula>SUMPRODUCT(--(ROW()=$AD$12:$AD$22))&gt;0</formula>
    </cfRule>
  </conditionalFormatting>
  <conditionalFormatting sqref="I270:K270">
    <cfRule type="expression" dxfId="12" priority="13">
      <formula>SUMPRODUCT(--(ROW()=$AD$12:$AD$22))&gt;0</formula>
    </cfRule>
  </conditionalFormatting>
  <conditionalFormatting sqref="B62:B68">
    <cfRule type="expression" dxfId="11" priority="12">
      <formula>SUMPRODUCT(--(ROW()=$AD$12:$AD$22))&gt;0</formula>
    </cfRule>
  </conditionalFormatting>
  <conditionalFormatting sqref="B69:B75">
    <cfRule type="expression" dxfId="10" priority="11">
      <formula>SUMPRODUCT(--(ROW()=$AD$12:$AD$22))&gt;0</formula>
    </cfRule>
  </conditionalFormatting>
  <conditionalFormatting sqref="B85:B86">
    <cfRule type="expression" dxfId="9" priority="10">
      <formula>SUMPRODUCT(--(ROW()=$AD$12:$AD$22))&gt;0</formula>
    </cfRule>
  </conditionalFormatting>
  <conditionalFormatting sqref="A92">
    <cfRule type="expression" dxfId="8" priority="9">
      <formula>SUMPRODUCT(--(ROW()=$AD$12:$AD$22))&gt;0</formula>
    </cfRule>
  </conditionalFormatting>
  <conditionalFormatting sqref="B92">
    <cfRule type="expression" dxfId="7" priority="8">
      <formula>SUMPRODUCT(--(ROW()=$AD$12:$AD$22))&gt;0</formula>
    </cfRule>
  </conditionalFormatting>
  <conditionalFormatting sqref="C96:F96">
    <cfRule type="expression" dxfId="6" priority="7">
      <formula>SUMPRODUCT(--(ROW()=$AD$12:$AD$22))&gt;0</formula>
    </cfRule>
  </conditionalFormatting>
  <conditionalFormatting sqref="B96">
    <cfRule type="expression" dxfId="5" priority="6">
      <formula>SUMPRODUCT(--(ROW()=$AD$12:$AD$22))&gt;0</formula>
    </cfRule>
  </conditionalFormatting>
  <conditionalFormatting sqref="G96">
    <cfRule type="expression" dxfId="4" priority="5">
      <formula>SUMPRODUCT(--(ROW()=$AD$12:$AD$22))&gt;0</formula>
    </cfRule>
  </conditionalFormatting>
  <conditionalFormatting sqref="G129 I129">
    <cfRule type="expression" dxfId="3" priority="4">
      <formula>SUMPRODUCT(--(ROW()=$O$12:$O$22))&gt;0</formula>
    </cfRule>
  </conditionalFormatting>
  <conditionalFormatting sqref="I126:I128">
    <cfRule type="expression" dxfId="2" priority="3">
      <formula>SUMPRODUCT(--(ROW()=$O$12:$O$22))&gt;0</formula>
    </cfRule>
  </conditionalFormatting>
  <conditionalFormatting sqref="H137:H140">
    <cfRule type="expression" dxfId="1" priority="2">
      <formula>SUMPRODUCT(--(ROW()=$O$14:$O$24))&gt;0</formula>
    </cfRule>
  </conditionalFormatting>
  <conditionalFormatting sqref="G126:G128">
    <cfRule type="expression" dxfId="0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ดาดฟ้า-อาคารด้านทิศตะวันตก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5B340-F9A5-4A32-9A7F-33B7E528A492}">
  <sheetPr>
    <tabColor rgb="FF7030A0"/>
  </sheetPr>
  <dimension ref="A1:U125"/>
  <sheetViews>
    <sheetView showGridLines="0" view="pageBreakPreview" zoomScale="85" zoomScaleNormal="60" zoomScaleSheetLayoutView="85" workbookViewId="0">
      <selection activeCell="G40" sqref="G40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1" width="20.703125" style="1" customWidth="1"/>
    <col min="12" max="12" width="15.703125" style="1" customWidth="1"/>
    <col min="13" max="18" width="7.703125" style="1" customWidth="1"/>
    <col min="19" max="19" width="36.703125" style="1" customWidth="1"/>
    <col min="20" max="20" width="13" style="1" customWidth="1"/>
    <col min="21" max="99" width="7.703125" style="1" customWidth="1"/>
    <col min="100" max="16384" width="9" style="1"/>
  </cols>
  <sheetData>
    <row r="1" spans="1:12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" t="s">
        <v>2</v>
      </c>
      <c r="B2" s="36"/>
      <c r="C2" s="37"/>
      <c r="D2" s="12" t="s">
        <v>2438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6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59" t="s">
        <v>14</v>
      </c>
      <c r="L9" s="2224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60" t="s">
        <v>18</v>
      </c>
      <c r="L10" s="2225"/>
    </row>
    <row r="11" spans="1:12" s="1199" customFormat="1" ht="24" customHeight="1">
      <c r="A11" s="1523" t="s">
        <v>582</v>
      </c>
      <c r="B11" s="1524" t="s">
        <v>2439</v>
      </c>
      <c r="C11" s="1525"/>
      <c r="D11" s="1718"/>
      <c r="E11" s="1886" t="s">
        <v>1519</v>
      </c>
      <c r="F11" s="1886"/>
      <c r="G11" s="1887"/>
      <c r="H11" s="1888"/>
      <c r="I11" s="1889"/>
      <c r="J11" s="1888"/>
      <c r="K11" s="1888"/>
      <c r="L11" s="1890"/>
    </row>
    <row r="12" spans="1:12" ht="24" customHeight="1">
      <c r="A12" s="1189">
        <f>+A35</f>
        <v>8.1</v>
      </c>
      <c r="B12" s="1205" t="str">
        <f>+B35</f>
        <v>ลิฟต์โดยสาร (Passenger Lift)</v>
      </c>
      <c r="C12" s="1191"/>
      <c r="D12" s="1471"/>
      <c r="E12" s="1206">
        <v>1</v>
      </c>
      <c r="F12" s="1207" t="s">
        <v>19</v>
      </c>
      <c r="G12" s="1891"/>
      <c r="H12" s="1749">
        <f>H48</f>
        <v>40490000</v>
      </c>
      <c r="I12" s="1750"/>
      <c r="J12" s="1749"/>
      <c r="K12" s="1749">
        <f>SUM(H12:J12)</f>
        <v>40490000</v>
      </c>
      <c r="L12" s="1892"/>
    </row>
    <row r="13" spans="1:12" ht="24" customHeight="1">
      <c r="A13" s="1893">
        <f>A49</f>
        <v>8.1999999999999993</v>
      </c>
      <c r="B13" s="1894" t="str">
        <f>B49</f>
        <v>ลิฟต์บริการ (Service &amp; Fireman Lift)</v>
      </c>
      <c r="C13" s="1895"/>
      <c r="D13" s="1896"/>
      <c r="E13" s="1897">
        <v>1</v>
      </c>
      <c r="F13" s="1207" t="s">
        <v>19</v>
      </c>
      <c r="G13" s="1891"/>
      <c r="H13" s="1749">
        <f>H59</f>
        <v>4800000</v>
      </c>
      <c r="I13" s="1750"/>
      <c r="J13" s="1749"/>
      <c r="K13" s="1749">
        <f>SUM(H13:J13)</f>
        <v>4800000</v>
      </c>
      <c r="L13" s="1892"/>
    </row>
    <row r="14" spans="1:12" ht="24" customHeight="1">
      <c r="A14" s="1893">
        <v>8.3000000000000007</v>
      </c>
      <c r="B14" s="1894" t="s">
        <v>2440</v>
      </c>
      <c r="C14" s="1895"/>
      <c r="D14" s="1896"/>
      <c r="E14" s="1897">
        <v>1</v>
      </c>
      <c r="F14" s="1207" t="s">
        <v>19</v>
      </c>
      <c r="G14" s="1891"/>
      <c r="H14" s="1749">
        <f>H84</f>
        <v>5500000</v>
      </c>
      <c r="I14" s="1750"/>
      <c r="J14" s="1749"/>
      <c r="K14" s="1749">
        <f>SUM(H14:J14)</f>
        <v>5500000</v>
      </c>
      <c r="L14" s="1892"/>
    </row>
    <row r="15" spans="1:12" ht="24" customHeight="1">
      <c r="A15" s="1893"/>
      <c r="B15" s="1894"/>
      <c r="C15" s="1895"/>
      <c r="D15" s="1896"/>
      <c r="E15" s="1897"/>
      <c r="F15" s="1207"/>
      <c r="G15" s="1891"/>
      <c r="H15" s="1749"/>
      <c r="I15" s="1750"/>
      <c r="J15" s="1749"/>
      <c r="K15" s="1749"/>
      <c r="L15" s="1892"/>
    </row>
    <row r="16" spans="1:12" ht="24" customHeight="1">
      <c r="A16" s="1893"/>
      <c r="B16" s="1894"/>
      <c r="C16" s="1895"/>
      <c r="D16" s="1896"/>
      <c r="E16" s="1898"/>
      <c r="F16" s="1207"/>
      <c r="G16" s="1899"/>
      <c r="H16" s="1749"/>
      <c r="I16" s="1750"/>
      <c r="J16" s="1749"/>
      <c r="K16" s="1749"/>
      <c r="L16" s="1892"/>
    </row>
    <row r="17" spans="1:12" ht="24" customHeight="1">
      <c r="A17" s="1893"/>
      <c r="B17" s="1894"/>
      <c r="C17" s="1895"/>
      <c r="D17" s="1896"/>
      <c r="E17" s="1898"/>
      <c r="F17" s="1900"/>
      <c r="G17" s="1899"/>
      <c r="H17" s="1749"/>
      <c r="I17" s="1750"/>
      <c r="J17" s="1749"/>
      <c r="K17" s="1749"/>
      <c r="L17" s="1892"/>
    </row>
    <row r="18" spans="1:12" ht="24" customHeight="1">
      <c r="A18" s="1901"/>
      <c r="B18" s="1894"/>
      <c r="C18" s="1895"/>
      <c r="D18" s="1896"/>
      <c r="E18" s="1898"/>
      <c r="F18" s="1902"/>
      <c r="G18" s="1899"/>
      <c r="H18" s="1749"/>
      <c r="I18" s="1750"/>
      <c r="J18" s="1749"/>
      <c r="K18" s="1749"/>
      <c r="L18" s="1892"/>
    </row>
    <row r="19" spans="1:12" ht="24" customHeight="1">
      <c r="A19" s="1901"/>
      <c r="B19" s="1894"/>
      <c r="C19" s="1895"/>
      <c r="D19" s="1896"/>
      <c r="E19" s="1898"/>
      <c r="F19" s="1902"/>
      <c r="G19" s="1899"/>
      <c r="H19" s="1749"/>
      <c r="I19" s="1750"/>
      <c r="J19" s="1749"/>
      <c r="K19" s="1749"/>
      <c r="L19" s="1892"/>
    </row>
    <row r="20" spans="1:12" ht="24" customHeight="1">
      <c r="A20" s="1901"/>
      <c r="B20" s="1894"/>
      <c r="C20" s="1895"/>
      <c r="D20" s="1896"/>
      <c r="E20" s="1898"/>
      <c r="F20" s="1902"/>
      <c r="G20" s="1899"/>
      <c r="H20" s="1749"/>
      <c r="I20" s="1750"/>
      <c r="J20" s="1749"/>
      <c r="K20" s="1749"/>
      <c r="L20" s="1892"/>
    </row>
    <row r="21" spans="1:12" ht="24" customHeight="1">
      <c r="A21" s="1901"/>
      <c r="B21" s="1894"/>
      <c r="C21" s="1895"/>
      <c r="D21" s="1896"/>
      <c r="E21" s="1898"/>
      <c r="F21" s="1902"/>
      <c r="G21" s="1899"/>
      <c r="H21" s="1749"/>
      <c r="I21" s="1750"/>
      <c r="J21" s="1749"/>
      <c r="K21" s="1749"/>
      <c r="L21" s="1892"/>
    </row>
    <row r="22" spans="1:12" ht="24" customHeight="1">
      <c r="A22" s="1901"/>
      <c r="B22" s="1894"/>
      <c r="C22" s="1895"/>
      <c r="D22" s="1896"/>
      <c r="E22" s="1898"/>
      <c r="F22" s="1902"/>
      <c r="G22" s="1899"/>
      <c r="H22" s="1749"/>
      <c r="I22" s="1750"/>
      <c r="J22" s="1749"/>
      <c r="K22" s="1749"/>
      <c r="L22" s="1892"/>
    </row>
    <row r="23" spans="1:12" ht="24" customHeight="1">
      <c r="A23" s="1901"/>
      <c r="B23" s="1894"/>
      <c r="C23" s="1895"/>
      <c r="D23" s="1896"/>
      <c r="E23" s="1898"/>
      <c r="F23" s="1902"/>
      <c r="G23" s="1899"/>
      <c r="H23" s="1749"/>
      <c r="I23" s="1750"/>
      <c r="J23" s="1749"/>
      <c r="K23" s="1749"/>
      <c r="L23" s="1892"/>
    </row>
    <row r="24" spans="1:12" ht="24" customHeight="1">
      <c r="A24" s="1901"/>
      <c r="B24" s="1894"/>
      <c r="C24" s="1895"/>
      <c r="D24" s="1896"/>
      <c r="E24" s="1898"/>
      <c r="F24" s="1902"/>
      <c r="G24" s="1899"/>
      <c r="H24" s="1749"/>
      <c r="I24" s="1750"/>
      <c r="J24" s="1749"/>
      <c r="K24" s="1749"/>
      <c r="L24" s="1892"/>
    </row>
    <row r="25" spans="1:12" ht="24" customHeight="1">
      <c r="A25" s="1901"/>
      <c r="B25" s="1894"/>
      <c r="C25" s="1895"/>
      <c r="D25" s="1896"/>
      <c r="E25" s="1898"/>
      <c r="F25" s="1902"/>
      <c r="G25" s="1899"/>
      <c r="H25" s="1749"/>
      <c r="I25" s="1750"/>
      <c r="J25" s="1749"/>
      <c r="K25" s="1749"/>
      <c r="L25" s="1892"/>
    </row>
    <row r="26" spans="1:12" ht="24" customHeight="1">
      <c r="A26" s="1903"/>
      <c r="B26" s="1904"/>
      <c r="C26" s="1905"/>
      <c r="D26" s="1746"/>
      <c r="E26" s="1747"/>
      <c r="F26" s="1747"/>
      <c r="G26" s="1748"/>
      <c r="H26" s="1749"/>
      <c r="I26" s="1750"/>
      <c r="J26" s="1749"/>
      <c r="K26" s="1751"/>
      <c r="L26" s="1892"/>
    </row>
    <row r="27" spans="1:12" ht="24" customHeight="1">
      <c r="A27" s="1903"/>
      <c r="B27" s="1904"/>
      <c r="C27" s="1905"/>
      <c r="D27" s="1746"/>
      <c r="E27" s="1747"/>
      <c r="F27" s="1747"/>
      <c r="G27" s="1748"/>
      <c r="H27" s="1749"/>
      <c r="I27" s="1750"/>
      <c r="J27" s="1749"/>
      <c r="K27" s="1751"/>
      <c r="L27" s="1892"/>
    </row>
    <row r="28" spans="1:12" ht="24" customHeight="1">
      <c r="A28" s="1903"/>
      <c r="B28" s="1904"/>
      <c r="C28" s="1905"/>
      <c r="D28" s="1746"/>
      <c r="E28" s="1747"/>
      <c r="F28" s="1747"/>
      <c r="G28" s="1748"/>
      <c r="H28" s="1749"/>
      <c r="I28" s="1750"/>
      <c r="J28" s="1749"/>
      <c r="K28" s="1751"/>
      <c r="L28" s="1892"/>
    </row>
    <row r="29" spans="1:12" ht="24" customHeight="1">
      <c r="A29" s="1903"/>
      <c r="B29" s="1904"/>
      <c r="C29" s="1905"/>
      <c r="D29" s="1746"/>
      <c r="E29" s="1747"/>
      <c r="F29" s="1747"/>
      <c r="G29" s="1748"/>
      <c r="H29" s="1749"/>
      <c r="I29" s="1750"/>
      <c r="J29" s="1749"/>
      <c r="K29" s="1751"/>
      <c r="L29" s="1892"/>
    </row>
    <row r="30" spans="1:12" ht="24" customHeight="1">
      <c r="A30" s="1906"/>
      <c r="B30" s="1904"/>
      <c r="C30" s="1905"/>
      <c r="D30" s="1746"/>
      <c r="E30" s="1747"/>
      <c r="F30" s="1747"/>
      <c r="G30" s="1748"/>
      <c r="H30" s="1749"/>
      <c r="I30" s="1750"/>
      <c r="J30" s="1749"/>
      <c r="K30" s="1751"/>
      <c r="L30" s="1892"/>
    </row>
    <row r="31" spans="1:12" ht="24" customHeight="1">
      <c r="A31" s="1906"/>
      <c r="B31" s="1904"/>
      <c r="C31" s="1905"/>
      <c r="D31" s="1746"/>
      <c r="E31" s="1747"/>
      <c r="F31" s="1747"/>
      <c r="G31" s="1748"/>
      <c r="H31" s="1749"/>
      <c r="I31" s="1750"/>
      <c r="J31" s="1749"/>
      <c r="K31" s="1751"/>
      <c r="L31" s="1892"/>
    </row>
    <row r="32" spans="1:12" ht="24" customHeight="1">
      <c r="A32" s="1906"/>
      <c r="B32" s="1904"/>
      <c r="C32" s="1905"/>
      <c r="D32" s="1746"/>
      <c r="E32" s="1747"/>
      <c r="F32" s="1747"/>
      <c r="G32" s="1748"/>
      <c r="H32" s="1749"/>
      <c r="I32" s="1750"/>
      <c r="J32" s="1749"/>
      <c r="K32" s="1751"/>
      <c r="L32" s="1892"/>
    </row>
    <row r="33" spans="1:21" ht="24" customHeight="1">
      <c r="A33" s="1907"/>
      <c r="B33" s="1908"/>
      <c r="C33" s="1909"/>
      <c r="D33" s="1910"/>
      <c r="E33" s="1911"/>
      <c r="F33" s="1911"/>
      <c r="G33" s="1912"/>
      <c r="H33" s="1913"/>
      <c r="I33" s="1914"/>
      <c r="J33" s="1913"/>
      <c r="K33" s="1915"/>
      <c r="L33" s="1916"/>
    </row>
    <row r="34" spans="1:21" s="1199" customFormat="1" ht="30" customHeight="1">
      <c r="A34" s="1245"/>
      <c r="B34" s="2271" t="str">
        <f>"รวมราคา"&amp;B11</f>
        <v>รวมราคาระบบลิฟต์และบันไดเลื่อน (Lift &amp; Escalator System)</v>
      </c>
      <c r="C34" s="2271"/>
      <c r="D34" s="2271"/>
      <c r="E34" s="1244"/>
      <c r="F34" s="1245"/>
      <c r="G34" s="1246"/>
      <c r="H34" s="1247">
        <f>SUM(H12:H33)</f>
        <v>50790000</v>
      </c>
      <c r="I34" s="1246"/>
      <c r="J34" s="1247"/>
      <c r="K34" s="1245">
        <f>SUM(K11:K33)</f>
        <v>50790000</v>
      </c>
      <c r="L34" s="1245"/>
      <c r="M34" s="1214"/>
      <c r="N34" s="1214"/>
      <c r="O34" s="1214"/>
      <c r="P34" s="1214"/>
      <c r="Q34" s="1214"/>
      <c r="R34" s="1214"/>
      <c r="S34" s="1214"/>
      <c r="T34" s="1214"/>
      <c r="U34" s="1214"/>
    </row>
    <row r="35" spans="1:21" s="1199" customFormat="1" ht="24" customHeight="1">
      <c r="A35" s="1917">
        <v>8.1</v>
      </c>
      <c r="B35" s="1292" t="s">
        <v>2441</v>
      </c>
      <c r="C35" s="1468"/>
      <c r="D35" s="1192"/>
      <c r="E35" s="1193"/>
      <c r="F35" s="1918"/>
      <c r="G35" s="1919"/>
      <c r="H35" s="1238"/>
      <c r="I35" s="1920"/>
      <c r="J35" s="1238"/>
      <c r="K35" s="1239"/>
      <c r="L35" s="1469"/>
      <c r="M35" s="1214"/>
      <c r="N35" s="1214"/>
      <c r="O35" s="1214"/>
      <c r="P35" s="1214"/>
      <c r="Q35" s="1214"/>
      <c r="R35" s="1214"/>
      <c r="S35" s="1214"/>
      <c r="T35" s="1214"/>
      <c r="U35" s="1214"/>
    </row>
    <row r="36" spans="1:21" s="1199" customFormat="1" ht="24" customHeight="1">
      <c r="A36" s="1189" t="s">
        <v>2442</v>
      </c>
      <c r="B36" s="1205" t="s">
        <v>2133</v>
      </c>
      <c r="C36" s="1191"/>
      <c r="D36" s="1471"/>
      <c r="E36" s="1206"/>
      <c r="F36" s="1921"/>
      <c r="G36" s="1922"/>
      <c r="H36" s="1196"/>
      <c r="I36" s="1923"/>
      <c r="J36" s="1196"/>
      <c r="K36" s="1197"/>
      <c r="L36" s="1473"/>
      <c r="M36" s="1214"/>
      <c r="N36" s="1214"/>
      <c r="O36" s="1214"/>
      <c r="P36" s="1214"/>
      <c r="Q36" s="1214"/>
      <c r="R36" s="1214"/>
      <c r="S36" s="1214"/>
      <c r="T36" s="1214"/>
      <c r="U36" s="1214"/>
    </row>
    <row r="37" spans="1:21" s="1199" customFormat="1" ht="24" customHeight="1">
      <c r="A37" s="1189"/>
      <c r="B37" s="1205" t="s">
        <v>2443</v>
      </c>
      <c r="C37" s="1191"/>
      <c r="D37" s="1471"/>
      <c r="E37" s="1206">
        <v>2</v>
      </c>
      <c r="F37" s="1921" t="s">
        <v>363</v>
      </c>
      <c r="G37" s="1922">
        <f>2850000+(14*20000)</f>
        <v>3130000</v>
      </c>
      <c r="H37" s="1196">
        <f t="shared" ref="H37:H46" si="0">E37*G37</f>
        <v>6260000</v>
      </c>
      <c r="I37" s="1923"/>
      <c r="J37" s="1196">
        <f t="shared" ref="J37:J46" si="1">I37*E37</f>
        <v>0</v>
      </c>
      <c r="K37" s="1197">
        <f t="shared" ref="K37:K46" si="2">H37+J37</f>
        <v>6260000</v>
      </c>
      <c r="L37" s="1924"/>
      <c r="M37" s="1214"/>
      <c r="N37" s="1214"/>
      <c r="O37" s="1214"/>
      <c r="P37" s="1214"/>
      <c r="Q37" s="1214"/>
      <c r="R37" s="1214"/>
      <c r="S37" s="1214"/>
      <c r="T37" s="1214"/>
      <c r="U37" s="1214"/>
    </row>
    <row r="38" spans="1:21" s="1199" customFormat="1" ht="24" customHeight="1">
      <c r="A38" s="1189"/>
      <c r="B38" s="1205" t="s">
        <v>2444</v>
      </c>
      <c r="C38" s="1191"/>
      <c r="D38" s="1471"/>
      <c r="E38" s="1206">
        <v>2</v>
      </c>
      <c r="F38" s="1921" t="s">
        <v>363</v>
      </c>
      <c r="G38" s="1922">
        <f>2850000+(14*20000)</f>
        <v>3130000</v>
      </c>
      <c r="H38" s="1196">
        <f t="shared" si="0"/>
        <v>6260000</v>
      </c>
      <c r="I38" s="1923"/>
      <c r="J38" s="1196">
        <f t="shared" si="1"/>
        <v>0</v>
      </c>
      <c r="K38" s="1197">
        <f t="shared" si="2"/>
        <v>6260000</v>
      </c>
      <c r="L38" s="1924"/>
      <c r="M38" s="1214"/>
      <c r="N38" s="1214"/>
      <c r="O38" s="1214"/>
      <c r="P38" s="1214"/>
      <c r="Q38" s="1214"/>
      <c r="R38" s="1214"/>
      <c r="S38" s="1214"/>
      <c r="T38" s="1214"/>
      <c r="U38" s="1214"/>
    </row>
    <row r="39" spans="1:21" s="1199" customFormat="1" ht="24" customHeight="1">
      <c r="A39" s="1189"/>
      <c r="B39" s="1205" t="s">
        <v>2445</v>
      </c>
      <c r="C39" s="1191"/>
      <c r="D39" s="1471"/>
      <c r="E39" s="1206">
        <v>1</v>
      </c>
      <c r="F39" s="1921" t="s">
        <v>363</v>
      </c>
      <c r="G39" s="1922">
        <v>2250000</v>
      </c>
      <c r="H39" s="1196">
        <f t="shared" si="0"/>
        <v>2250000</v>
      </c>
      <c r="I39" s="1923"/>
      <c r="J39" s="1196">
        <f t="shared" si="1"/>
        <v>0</v>
      </c>
      <c r="K39" s="1197">
        <f t="shared" si="2"/>
        <v>2250000</v>
      </c>
      <c r="L39" s="1924"/>
      <c r="M39" s="1214"/>
      <c r="N39" s="1214"/>
      <c r="O39" s="1214"/>
      <c r="P39" s="1214"/>
      <c r="Q39" s="1214"/>
      <c r="R39" s="1214"/>
      <c r="S39" s="1214"/>
      <c r="T39" s="1214"/>
      <c r="U39" s="1214"/>
    </row>
    <row r="40" spans="1:21" s="1199" customFormat="1" ht="24" customHeight="1">
      <c r="A40" s="1189"/>
      <c r="B40" s="1205" t="s">
        <v>2446</v>
      </c>
      <c r="C40" s="1191"/>
      <c r="D40" s="1471"/>
      <c r="E40" s="1206">
        <v>2</v>
      </c>
      <c r="F40" s="1921" t="s">
        <v>363</v>
      </c>
      <c r="G40" s="1922">
        <f>2850000+(14*20000)</f>
        <v>3130000</v>
      </c>
      <c r="H40" s="1196">
        <f t="shared" si="0"/>
        <v>6260000</v>
      </c>
      <c r="I40" s="1923"/>
      <c r="J40" s="1196">
        <f t="shared" si="1"/>
        <v>0</v>
      </c>
      <c r="K40" s="1197">
        <f t="shared" si="2"/>
        <v>6260000</v>
      </c>
      <c r="L40" s="1924"/>
      <c r="M40" s="1214"/>
      <c r="N40" s="1214"/>
      <c r="O40" s="1214"/>
      <c r="P40" s="1214"/>
      <c r="Q40" s="1214"/>
      <c r="R40" s="1214"/>
      <c r="S40" s="1214"/>
      <c r="T40" s="1214"/>
      <c r="U40" s="1214"/>
    </row>
    <row r="41" spans="1:21" s="1199" customFormat="1" ht="24" customHeight="1">
      <c r="A41" s="1189"/>
      <c r="B41" s="1205" t="s">
        <v>2447</v>
      </c>
      <c r="C41" s="1191"/>
      <c r="D41" s="1471"/>
      <c r="E41" s="1206">
        <v>2</v>
      </c>
      <c r="F41" s="1921" t="s">
        <v>363</v>
      </c>
      <c r="G41" s="1922">
        <f>2850000+(14*20000)</f>
        <v>3130000</v>
      </c>
      <c r="H41" s="1196">
        <f t="shared" si="0"/>
        <v>6260000</v>
      </c>
      <c r="I41" s="1923"/>
      <c r="J41" s="1196">
        <f t="shared" si="1"/>
        <v>0</v>
      </c>
      <c r="K41" s="1197">
        <f t="shared" si="2"/>
        <v>6260000</v>
      </c>
      <c r="L41" s="1924"/>
      <c r="M41" s="1214"/>
      <c r="N41" s="1214"/>
      <c r="O41" s="1214"/>
      <c r="P41" s="1214"/>
      <c r="Q41" s="1214"/>
      <c r="R41" s="1214"/>
      <c r="S41" s="1214"/>
      <c r="T41" s="1214"/>
      <c r="U41" s="1214"/>
    </row>
    <row r="42" spans="1:21" s="1199" customFormat="1" ht="24" customHeight="1">
      <c r="A42" s="1189"/>
      <c r="B42" s="1205" t="s">
        <v>2448</v>
      </c>
      <c r="C42" s="1191"/>
      <c r="D42" s="1471"/>
      <c r="E42" s="1206">
        <v>1</v>
      </c>
      <c r="F42" s="1921" t="s">
        <v>363</v>
      </c>
      <c r="G42" s="1922">
        <v>2250000</v>
      </c>
      <c r="H42" s="1196">
        <f t="shared" si="0"/>
        <v>2250000</v>
      </c>
      <c r="I42" s="1923"/>
      <c r="J42" s="1196">
        <f t="shared" si="1"/>
        <v>0</v>
      </c>
      <c r="K42" s="1197">
        <f t="shared" si="2"/>
        <v>2250000</v>
      </c>
      <c r="L42" s="1924"/>
      <c r="M42" s="1214"/>
      <c r="N42" s="1214"/>
      <c r="O42" s="1214"/>
      <c r="P42" s="1214"/>
      <c r="Q42" s="1214"/>
      <c r="R42" s="1214"/>
      <c r="S42" s="1214"/>
      <c r="T42" s="1214"/>
      <c r="U42" s="1214"/>
    </row>
    <row r="43" spans="1:21" s="1199" customFormat="1" ht="24" customHeight="1">
      <c r="A43" s="1189"/>
      <c r="B43" s="1205"/>
      <c r="C43" s="1191"/>
      <c r="D43" s="1471"/>
      <c r="E43" s="1206"/>
      <c r="F43" s="1921"/>
      <c r="G43" s="1925"/>
      <c r="H43" s="1196"/>
      <c r="I43" s="1923"/>
      <c r="J43" s="1196">
        <f t="shared" si="1"/>
        <v>0</v>
      </c>
      <c r="K43" s="1197">
        <f t="shared" si="2"/>
        <v>0</v>
      </c>
      <c r="L43" s="1926"/>
      <c r="M43" s="1214"/>
      <c r="N43" s="1214"/>
      <c r="O43" s="1214"/>
      <c r="P43" s="1214"/>
      <c r="Q43" s="1214"/>
      <c r="R43" s="1214"/>
      <c r="S43" s="1214"/>
      <c r="T43" s="1214"/>
      <c r="U43" s="1214"/>
    </row>
    <row r="44" spans="1:21" s="1199" customFormat="1" ht="24" customHeight="1">
      <c r="A44" s="1189"/>
      <c r="B44" s="1205" t="s">
        <v>2449</v>
      </c>
      <c r="C44" s="1191"/>
      <c r="D44" s="1471"/>
      <c r="E44" s="1206">
        <v>2</v>
      </c>
      <c r="F44" s="1921" t="s">
        <v>363</v>
      </c>
      <c r="G44" s="1925">
        <v>2200000</v>
      </c>
      <c r="H44" s="1196">
        <f t="shared" si="0"/>
        <v>4400000</v>
      </c>
      <c r="I44" s="1923"/>
      <c r="J44" s="1196">
        <f t="shared" si="1"/>
        <v>0</v>
      </c>
      <c r="K44" s="1197">
        <f t="shared" si="2"/>
        <v>4400000</v>
      </c>
      <c r="L44" s="1926"/>
      <c r="M44" s="1214"/>
      <c r="N44" s="1214"/>
      <c r="O44" s="1214"/>
      <c r="P44" s="1214"/>
      <c r="Q44" s="1214"/>
      <c r="R44" s="1214"/>
      <c r="S44" s="1214"/>
      <c r="T44" s="1214"/>
      <c r="U44" s="1214"/>
    </row>
    <row r="45" spans="1:21" s="1199" customFormat="1" ht="24" customHeight="1">
      <c r="A45" s="1189"/>
      <c r="B45" s="1205" t="s">
        <v>2450</v>
      </c>
      <c r="C45" s="1191"/>
      <c r="D45" s="1471"/>
      <c r="E45" s="1206">
        <v>1</v>
      </c>
      <c r="F45" s="1921" t="s">
        <v>363</v>
      </c>
      <c r="G45" s="1925">
        <v>2150000</v>
      </c>
      <c r="H45" s="1196">
        <f t="shared" si="0"/>
        <v>2150000</v>
      </c>
      <c r="I45" s="1923"/>
      <c r="J45" s="1196">
        <f t="shared" si="1"/>
        <v>0</v>
      </c>
      <c r="K45" s="1197">
        <f t="shared" si="2"/>
        <v>2150000</v>
      </c>
      <c r="L45" s="1926"/>
      <c r="M45" s="1214"/>
      <c r="N45" s="1214"/>
      <c r="O45" s="1214"/>
      <c r="P45" s="1214"/>
      <c r="Q45" s="1214"/>
      <c r="R45" s="1214"/>
      <c r="S45" s="1214"/>
      <c r="T45" s="1214"/>
      <c r="U45" s="1214"/>
    </row>
    <row r="46" spans="1:21" s="1199" customFormat="1" ht="24" customHeight="1">
      <c r="A46" s="1189"/>
      <c r="B46" s="1205" t="s">
        <v>2451</v>
      </c>
      <c r="C46" s="1191"/>
      <c r="D46" s="1471"/>
      <c r="E46" s="1206">
        <v>2</v>
      </c>
      <c r="F46" s="1921" t="s">
        <v>363</v>
      </c>
      <c r="G46" s="1925">
        <v>2200000</v>
      </c>
      <c r="H46" s="1196">
        <f t="shared" si="0"/>
        <v>4400000</v>
      </c>
      <c r="I46" s="1923"/>
      <c r="J46" s="1196">
        <f t="shared" si="1"/>
        <v>0</v>
      </c>
      <c r="K46" s="1197">
        <f t="shared" si="2"/>
        <v>4400000</v>
      </c>
      <c r="L46" s="1926"/>
      <c r="M46" s="1214"/>
      <c r="N46" s="1214"/>
      <c r="O46" s="1214"/>
      <c r="P46" s="1214"/>
      <c r="Q46" s="1214"/>
      <c r="R46" s="1214"/>
      <c r="S46" s="1214"/>
      <c r="T46" s="1214"/>
      <c r="U46" s="1214"/>
    </row>
    <row r="47" spans="1:21" s="1199" customFormat="1" ht="24" customHeight="1">
      <c r="A47" s="1189"/>
      <c r="B47" s="1205"/>
      <c r="C47" s="1191"/>
      <c r="D47" s="1471"/>
      <c r="E47" s="1206"/>
      <c r="F47" s="1921"/>
      <c r="G47" s="1925"/>
      <c r="H47" s="1196"/>
      <c r="I47" s="1923"/>
      <c r="J47" s="1196"/>
      <c r="K47" s="1197"/>
      <c r="L47" s="1926"/>
      <c r="M47" s="1214"/>
      <c r="N47" s="1214"/>
      <c r="O47" s="1214"/>
      <c r="P47" s="1214"/>
      <c r="Q47" s="1214"/>
      <c r="R47" s="1214"/>
      <c r="S47" s="1214"/>
      <c r="T47" s="1214"/>
      <c r="U47" s="1214"/>
    </row>
    <row r="48" spans="1:21" s="1199" customFormat="1" ht="24" customHeight="1">
      <c r="A48" s="1245"/>
      <c r="B48" s="2271" t="str">
        <f>"รวมราคารายการที่ "&amp;A35</f>
        <v>รวมราคารายการที่ 8.1</v>
      </c>
      <c r="C48" s="2271"/>
      <c r="D48" s="2271"/>
      <c r="E48" s="1244"/>
      <c r="F48" s="1245"/>
      <c r="G48" s="1246"/>
      <c r="H48" s="1247">
        <f>SUM(H37:H47)</f>
        <v>40490000</v>
      </c>
      <c r="I48" s="1246"/>
      <c r="J48" s="1247"/>
      <c r="K48" s="1245">
        <f>SUM(K37:K47)</f>
        <v>40490000</v>
      </c>
      <c r="L48" s="1245"/>
      <c r="M48" s="1214"/>
      <c r="N48" s="1214"/>
      <c r="O48" s="1214"/>
      <c r="P48" s="1214"/>
      <c r="Q48" s="1214"/>
      <c r="R48" s="1214"/>
      <c r="S48" s="1214"/>
      <c r="T48" s="1214"/>
      <c r="U48" s="1214"/>
    </row>
    <row r="49" spans="1:21" s="1199" customFormat="1" ht="24" customHeight="1">
      <c r="A49" s="1917">
        <v>8.1999999999999993</v>
      </c>
      <c r="B49" s="1292" t="s">
        <v>2452</v>
      </c>
      <c r="C49" s="1468"/>
      <c r="D49" s="1927"/>
      <c r="E49" s="1928"/>
      <c r="F49" s="1918"/>
      <c r="G49" s="1929"/>
      <c r="H49" s="1238"/>
      <c r="I49" s="1930"/>
      <c r="J49" s="1238"/>
      <c r="K49" s="1239"/>
      <c r="L49" s="1931"/>
      <c r="M49" s="1214"/>
      <c r="N49" s="1214"/>
      <c r="O49" s="1214"/>
      <c r="P49" s="1214"/>
      <c r="Q49" s="1214"/>
      <c r="R49" s="1214"/>
      <c r="S49" s="1214"/>
      <c r="T49" s="1214"/>
      <c r="U49" s="1214"/>
    </row>
    <row r="50" spans="1:21" s="1199" customFormat="1" ht="24" customHeight="1">
      <c r="A50" s="1189"/>
      <c r="B50" s="1205" t="s">
        <v>2133</v>
      </c>
      <c r="C50" s="1191"/>
      <c r="D50" s="1201"/>
      <c r="E50" s="1542"/>
      <c r="F50" s="1921"/>
      <c r="G50" s="1925"/>
      <c r="H50" s="1196"/>
      <c r="I50" s="1923"/>
      <c r="J50" s="1196"/>
      <c r="K50" s="1197"/>
      <c r="L50" s="1924"/>
      <c r="M50" s="1214"/>
      <c r="N50" s="1214"/>
      <c r="O50" s="1214"/>
      <c r="P50" s="1214"/>
      <c r="Q50" s="1214"/>
      <c r="R50" s="1214"/>
      <c r="S50" s="1214"/>
      <c r="T50" s="1214"/>
      <c r="U50" s="1214"/>
    </row>
    <row r="51" spans="1:21" s="1199" customFormat="1" ht="24" customHeight="1">
      <c r="A51" s="1189"/>
      <c r="B51" s="1205" t="s">
        <v>2453</v>
      </c>
      <c r="C51" s="1191"/>
      <c r="D51" s="1471"/>
      <c r="E51" s="1206">
        <v>1</v>
      </c>
      <c r="F51" s="1921" t="s">
        <v>363</v>
      </c>
      <c r="G51" s="1925">
        <v>2400000</v>
      </c>
      <c r="H51" s="1196">
        <f t="shared" ref="H51:H52" si="3">E51*G51</f>
        <v>2400000</v>
      </c>
      <c r="I51" s="1923"/>
      <c r="J51" s="1196">
        <f t="shared" ref="J51:J52" si="4">I51*E51</f>
        <v>0</v>
      </c>
      <c r="K51" s="1197">
        <f t="shared" ref="K51:K52" si="5">H51+J51</f>
        <v>2400000</v>
      </c>
      <c r="L51" s="1924"/>
      <c r="M51" s="1214"/>
      <c r="N51" s="1214"/>
      <c r="O51" s="1214"/>
      <c r="P51" s="1214"/>
      <c r="Q51" s="1214"/>
      <c r="R51" s="1214"/>
      <c r="S51" s="1214"/>
      <c r="T51" s="1214"/>
      <c r="U51" s="1214"/>
    </row>
    <row r="52" spans="1:21" s="1199" customFormat="1" ht="24" customHeight="1">
      <c r="A52" s="1189"/>
      <c r="B52" s="1205" t="s">
        <v>2454</v>
      </c>
      <c r="C52" s="1191"/>
      <c r="D52" s="1471"/>
      <c r="E52" s="1206">
        <v>1</v>
      </c>
      <c r="F52" s="1921" t="s">
        <v>363</v>
      </c>
      <c r="G52" s="1925">
        <v>2400000</v>
      </c>
      <c r="H52" s="1196">
        <f t="shared" si="3"/>
        <v>2400000</v>
      </c>
      <c r="I52" s="1923"/>
      <c r="J52" s="1196">
        <f t="shared" si="4"/>
        <v>0</v>
      </c>
      <c r="K52" s="1197">
        <f t="shared" si="5"/>
        <v>2400000</v>
      </c>
      <c r="L52" s="1924"/>
      <c r="M52" s="1214"/>
      <c r="N52" s="1214"/>
      <c r="O52" s="1214"/>
      <c r="P52" s="1214"/>
      <c r="Q52" s="1214"/>
      <c r="R52" s="1214"/>
      <c r="S52" s="1214"/>
      <c r="T52" s="1214"/>
      <c r="U52" s="1214"/>
    </row>
    <row r="53" spans="1:21" s="1199" customFormat="1" ht="24" customHeight="1">
      <c r="A53" s="1189"/>
      <c r="B53" s="1205"/>
      <c r="C53" s="1191"/>
      <c r="D53" s="1471"/>
      <c r="E53" s="1206"/>
      <c r="F53" s="1921"/>
      <c r="G53" s="1925"/>
      <c r="H53" s="1196"/>
      <c r="I53" s="1923"/>
      <c r="J53" s="1196"/>
      <c r="K53" s="1197"/>
      <c r="L53" s="1924"/>
      <c r="M53" s="1214"/>
      <c r="N53" s="1214"/>
      <c r="O53" s="1214"/>
      <c r="P53" s="1214"/>
      <c r="Q53" s="1214"/>
      <c r="R53" s="1214"/>
      <c r="S53" s="1214"/>
      <c r="T53" s="1214"/>
      <c r="U53" s="1214"/>
    </row>
    <row r="54" spans="1:21" s="1199" customFormat="1" ht="24" customHeight="1">
      <c r="A54" s="1189"/>
      <c r="B54" s="1205"/>
      <c r="C54" s="1191"/>
      <c r="D54" s="1471"/>
      <c r="E54" s="1206"/>
      <c r="F54" s="1921"/>
      <c r="G54" s="1925"/>
      <c r="H54" s="1196"/>
      <c r="I54" s="1923"/>
      <c r="J54" s="1196"/>
      <c r="K54" s="1197"/>
      <c r="L54" s="1924"/>
      <c r="M54" s="1214"/>
      <c r="N54" s="1214"/>
      <c r="O54" s="1214"/>
      <c r="P54" s="1214"/>
      <c r="Q54" s="1214"/>
      <c r="R54" s="1214"/>
      <c r="S54" s="1214"/>
      <c r="T54" s="1214"/>
      <c r="U54" s="1214"/>
    </row>
    <row r="55" spans="1:21" s="1199" customFormat="1" ht="24" customHeight="1">
      <c r="A55" s="1189"/>
      <c r="B55" s="1205"/>
      <c r="C55" s="1191"/>
      <c r="D55" s="1471"/>
      <c r="E55" s="1206"/>
      <c r="F55" s="1921"/>
      <c r="G55" s="1925"/>
      <c r="H55" s="1196"/>
      <c r="I55" s="1923"/>
      <c r="J55" s="1196"/>
      <c r="K55" s="1197"/>
      <c r="L55" s="1924"/>
      <c r="M55" s="1214"/>
      <c r="N55" s="1214"/>
      <c r="O55" s="1214"/>
      <c r="P55" s="1214"/>
      <c r="Q55" s="1214"/>
      <c r="R55" s="1214"/>
      <c r="S55" s="1214"/>
      <c r="T55" s="1214"/>
      <c r="U55" s="1214"/>
    </row>
    <row r="56" spans="1:21" s="1199" customFormat="1" ht="24" customHeight="1">
      <c r="A56" s="1189"/>
      <c r="B56" s="1205"/>
      <c r="C56" s="1191"/>
      <c r="D56" s="1471"/>
      <c r="E56" s="1206"/>
      <c r="F56" s="1921"/>
      <c r="G56" s="1925"/>
      <c r="H56" s="1196"/>
      <c r="I56" s="1923"/>
      <c r="J56" s="1196"/>
      <c r="K56" s="1197"/>
      <c r="L56" s="1924"/>
      <c r="M56" s="1214"/>
      <c r="N56" s="1214"/>
      <c r="O56" s="1214"/>
      <c r="P56" s="1214"/>
      <c r="Q56" s="1214"/>
      <c r="R56" s="1214"/>
      <c r="S56" s="1214"/>
      <c r="T56" s="1214"/>
      <c r="U56" s="1214"/>
    </row>
    <row r="57" spans="1:21" s="1199" customFormat="1" ht="24" customHeight="1">
      <c r="A57" s="1189"/>
      <c r="B57" s="1205"/>
      <c r="C57" s="1191"/>
      <c r="D57" s="1471"/>
      <c r="E57" s="1206"/>
      <c r="F57" s="1921"/>
      <c r="G57" s="1925"/>
      <c r="H57" s="1196"/>
      <c r="I57" s="1923"/>
      <c r="J57" s="1196"/>
      <c r="K57" s="1197"/>
      <c r="L57" s="1924"/>
      <c r="M57" s="1214"/>
      <c r="N57" s="1214"/>
      <c r="O57" s="1214"/>
      <c r="P57" s="1214"/>
      <c r="Q57" s="1214"/>
      <c r="R57" s="1214"/>
      <c r="S57" s="1214"/>
      <c r="T57" s="1214"/>
      <c r="U57" s="1214"/>
    </row>
    <row r="58" spans="1:21" s="1199" customFormat="1" ht="24" customHeight="1">
      <c r="A58" s="1189"/>
      <c r="B58" s="1205"/>
      <c r="C58" s="1191"/>
      <c r="D58" s="1471"/>
      <c r="E58" s="1206"/>
      <c r="F58" s="1921"/>
      <c r="G58" s="1925"/>
      <c r="H58" s="1196"/>
      <c r="I58" s="1923"/>
      <c r="J58" s="1196"/>
      <c r="K58" s="1197"/>
      <c r="L58" s="1924"/>
      <c r="M58" s="1214"/>
      <c r="N58" s="1214"/>
      <c r="O58" s="1214"/>
      <c r="P58" s="1214"/>
      <c r="Q58" s="1214"/>
      <c r="R58" s="1214"/>
      <c r="S58" s="1214"/>
      <c r="T58" s="1214"/>
      <c r="U58" s="1214"/>
    </row>
    <row r="59" spans="1:21" s="1199" customFormat="1" ht="24" customHeight="1">
      <c r="A59" s="1245"/>
      <c r="B59" s="2271" t="str">
        <f>"รวมราคารายการที่ "&amp;A49</f>
        <v>รวมราคารายการที่ 8.2</v>
      </c>
      <c r="C59" s="2271"/>
      <c r="D59" s="2271"/>
      <c r="E59" s="1244"/>
      <c r="F59" s="1245"/>
      <c r="G59" s="1246"/>
      <c r="H59" s="1247">
        <f>SUM(H50:H58)</f>
        <v>4800000</v>
      </c>
      <c r="I59" s="1246"/>
      <c r="J59" s="1247"/>
      <c r="K59" s="1245">
        <f>SUM(K50:K58)</f>
        <v>4800000</v>
      </c>
      <c r="L59" s="1245"/>
      <c r="M59" s="1214"/>
      <c r="N59" s="1214"/>
      <c r="O59" s="1214"/>
      <c r="P59" s="1214"/>
      <c r="Q59" s="1214"/>
      <c r="R59" s="1214"/>
      <c r="S59" s="1214"/>
      <c r="T59" s="1214"/>
      <c r="U59" s="1214"/>
    </row>
    <row r="60" spans="1:21" s="1199" customFormat="1" ht="24" customHeight="1">
      <c r="A60" s="1917">
        <v>8.3000000000000007</v>
      </c>
      <c r="B60" s="1292" t="s">
        <v>2440</v>
      </c>
      <c r="C60" s="1468"/>
      <c r="D60" s="1927"/>
      <c r="E60" s="1928"/>
      <c r="F60" s="1918"/>
      <c r="G60" s="1929"/>
      <c r="H60" s="1238"/>
      <c r="I60" s="1930"/>
      <c r="J60" s="1238"/>
      <c r="K60" s="1239"/>
      <c r="L60" s="1931"/>
      <c r="M60" s="1214"/>
      <c r="N60" s="1214"/>
      <c r="O60" s="1214"/>
      <c r="P60" s="1214"/>
      <c r="Q60" s="1214"/>
      <c r="R60" s="1214"/>
      <c r="S60" s="1214"/>
      <c r="T60" s="1214"/>
      <c r="U60" s="1214"/>
    </row>
    <row r="61" spans="1:21" s="1199" customFormat="1" ht="24" customHeight="1">
      <c r="A61" s="1189"/>
      <c r="B61" s="1205" t="s">
        <v>2133</v>
      </c>
      <c r="C61" s="1191"/>
      <c r="D61" s="1201"/>
      <c r="E61" s="1542"/>
      <c r="F61" s="1921"/>
      <c r="G61" s="1925"/>
      <c r="H61" s="1196"/>
      <c r="I61" s="1923"/>
      <c r="J61" s="1196"/>
      <c r="K61" s="1197"/>
      <c r="L61" s="1924"/>
      <c r="M61" s="1214"/>
      <c r="N61" s="1214"/>
      <c r="O61" s="1214"/>
      <c r="P61" s="1214"/>
      <c r="Q61" s="1214"/>
      <c r="R61" s="1214"/>
      <c r="S61" s="1214"/>
      <c r="T61" s="1214"/>
      <c r="U61" s="1214"/>
    </row>
    <row r="62" spans="1:21" s="1199" customFormat="1" ht="24" customHeight="1">
      <c r="A62" s="1189"/>
      <c r="B62" s="1205" t="s">
        <v>2455</v>
      </c>
      <c r="C62" s="1191"/>
      <c r="D62" s="1471"/>
      <c r="E62" s="1206">
        <v>2</v>
      </c>
      <c r="F62" s="1921" t="s">
        <v>363</v>
      </c>
      <c r="G62" s="1925">
        <v>1350000</v>
      </c>
      <c r="H62" s="1196">
        <f t="shared" ref="H62:H63" si="6">E62*G62</f>
        <v>2700000</v>
      </c>
      <c r="I62" s="1923"/>
      <c r="J62" s="1196">
        <f t="shared" ref="J62:J63" si="7">I62*E62</f>
        <v>0</v>
      </c>
      <c r="K62" s="1197">
        <f t="shared" ref="K62:K63" si="8">H62+J62</f>
        <v>2700000</v>
      </c>
      <c r="L62" s="1924"/>
      <c r="M62" s="1214"/>
      <c r="N62" s="1214"/>
      <c r="O62" s="1214"/>
      <c r="P62" s="1214"/>
      <c r="Q62" s="1214"/>
      <c r="R62" s="1214"/>
      <c r="S62" s="1214"/>
      <c r="T62" s="1214"/>
      <c r="U62" s="1214"/>
    </row>
    <row r="63" spans="1:21" s="1199" customFormat="1" ht="24" customHeight="1">
      <c r="A63" s="1189"/>
      <c r="B63" s="1205" t="s">
        <v>2456</v>
      </c>
      <c r="C63" s="1191"/>
      <c r="D63" s="1471"/>
      <c r="E63" s="1206">
        <v>2</v>
      </c>
      <c r="F63" s="1921" t="s">
        <v>363</v>
      </c>
      <c r="G63" s="1925">
        <v>1400000</v>
      </c>
      <c r="H63" s="1196">
        <f t="shared" si="6"/>
        <v>2800000</v>
      </c>
      <c r="I63" s="1923"/>
      <c r="J63" s="1196">
        <f t="shared" si="7"/>
        <v>0</v>
      </c>
      <c r="K63" s="1197">
        <f t="shared" si="8"/>
        <v>2800000</v>
      </c>
      <c r="L63" s="1924"/>
      <c r="M63" s="1214"/>
      <c r="N63" s="1214"/>
      <c r="O63" s="1214"/>
      <c r="P63" s="1214"/>
      <c r="Q63" s="1214"/>
      <c r="R63" s="1214"/>
      <c r="S63" s="1214"/>
      <c r="T63" s="1214"/>
      <c r="U63" s="1214"/>
    </row>
    <row r="64" spans="1:21" s="1199" customFormat="1" ht="24" customHeight="1">
      <c r="A64" s="1189"/>
      <c r="B64" s="1205"/>
      <c r="C64" s="1191"/>
      <c r="D64" s="1471"/>
      <c r="E64" s="1206"/>
      <c r="F64" s="1921"/>
      <c r="G64" s="1925"/>
      <c r="H64" s="1196"/>
      <c r="I64" s="1923"/>
      <c r="J64" s="1196"/>
      <c r="K64" s="1197"/>
      <c r="L64" s="1924"/>
      <c r="M64" s="1214"/>
      <c r="N64" s="1214"/>
      <c r="O64" s="1214"/>
      <c r="P64" s="1214"/>
      <c r="Q64" s="1214"/>
      <c r="R64" s="1214"/>
      <c r="S64" s="1214"/>
      <c r="T64" s="1214"/>
      <c r="U64" s="1214"/>
    </row>
    <row r="65" spans="1:21" s="1199" customFormat="1" ht="24" customHeight="1">
      <c r="A65" s="1189"/>
      <c r="B65" s="1205"/>
      <c r="C65" s="1191"/>
      <c r="D65" s="1471"/>
      <c r="E65" s="1206"/>
      <c r="F65" s="1921"/>
      <c r="G65" s="1925"/>
      <c r="H65" s="1196"/>
      <c r="I65" s="1923"/>
      <c r="J65" s="1196"/>
      <c r="K65" s="1197"/>
      <c r="L65" s="1924"/>
      <c r="M65" s="1214"/>
      <c r="N65" s="1214"/>
      <c r="O65" s="1214"/>
      <c r="P65" s="1214"/>
      <c r="Q65" s="1214"/>
      <c r="R65" s="1214"/>
      <c r="S65" s="1214"/>
      <c r="T65" s="1214"/>
      <c r="U65" s="1214"/>
    </row>
    <row r="66" spans="1:21" s="1199" customFormat="1" ht="24" customHeight="1">
      <c r="A66" s="1189"/>
      <c r="B66" s="1205"/>
      <c r="C66" s="1191"/>
      <c r="D66" s="1471"/>
      <c r="E66" s="1206"/>
      <c r="F66" s="1921"/>
      <c r="G66" s="1925"/>
      <c r="H66" s="1196"/>
      <c r="I66" s="1923"/>
      <c r="J66" s="1196"/>
      <c r="K66" s="1197"/>
      <c r="L66" s="1924"/>
      <c r="M66" s="1214"/>
      <c r="N66" s="1214"/>
      <c r="O66" s="1214"/>
      <c r="P66" s="1214"/>
      <c r="Q66" s="1214"/>
      <c r="R66" s="1214"/>
      <c r="S66" s="1214"/>
      <c r="T66" s="1214"/>
      <c r="U66" s="1214"/>
    </row>
    <row r="67" spans="1:21" s="1199" customFormat="1" ht="24" customHeight="1">
      <c r="A67" s="1189"/>
      <c r="B67" s="1205"/>
      <c r="C67" s="1191"/>
      <c r="D67" s="1471"/>
      <c r="E67" s="1206"/>
      <c r="F67" s="1921"/>
      <c r="G67" s="1925"/>
      <c r="H67" s="1196"/>
      <c r="I67" s="1923"/>
      <c r="J67" s="1196"/>
      <c r="K67" s="1197"/>
      <c r="L67" s="1924"/>
      <c r="M67" s="1214"/>
      <c r="N67" s="1214"/>
      <c r="O67" s="1214"/>
      <c r="P67" s="1214"/>
      <c r="Q67" s="1214"/>
      <c r="R67" s="1214"/>
      <c r="S67" s="1214"/>
      <c r="T67" s="1214"/>
      <c r="U67" s="1214"/>
    </row>
    <row r="68" spans="1:21" s="1199" customFormat="1" ht="24" customHeight="1">
      <c r="A68" s="1189"/>
      <c r="B68" s="1205"/>
      <c r="C68" s="1191"/>
      <c r="D68" s="1471"/>
      <c r="E68" s="1206"/>
      <c r="F68" s="1921"/>
      <c r="G68" s="1925"/>
      <c r="H68" s="1196"/>
      <c r="I68" s="1923"/>
      <c r="J68" s="1196"/>
      <c r="K68" s="1197"/>
      <c r="L68" s="1924"/>
      <c r="M68" s="1214"/>
      <c r="N68" s="1214"/>
      <c r="O68" s="1214"/>
      <c r="P68" s="1214"/>
      <c r="Q68" s="1214"/>
      <c r="R68" s="1214"/>
      <c r="S68" s="1214"/>
      <c r="T68" s="1214"/>
      <c r="U68" s="1214"/>
    </row>
    <row r="69" spans="1:21" s="1199" customFormat="1" ht="24" customHeight="1">
      <c r="A69" s="1189"/>
      <c r="B69" s="1205"/>
      <c r="C69" s="1191"/>
      <c r="D69" s="1471"/>
      <c r="E69" s="1206"/>
      <c r="F69" s="1921"/>
      <c r="G69" s="1925"/>
      <c r="H69" s="1196"/>
      <c r="I69" s="1923"/>
      <c r="J69" s="1196"/>
      <c r="K69" s="1197"/>
      <c r="L69" s="1924"/>
      <c r="M69" s="1214"/>
      <c r="N69" s="1214"/>
      <c r="O69" s="1214"/>
      <c r="P69" s="1214"/>
      <c r="Q69" s="1214"/>
      <c r="R69" s="1214"/>
      <c r="S69" s="1214"/>
      <c r="T69" s="1214"/>
      <c r="U69" s="1214"/>
    </row>
    <row r="70" spans="1:21" s="1199" customFormat="1" ht="24" customHeight="1">
      <c r="A70" s="1189"/>
      <c r="B70" s="1205"/>
      <c r="C70" s="1191"/>
      <c r="D70" s="1471"/>
      <c r="E70" s="1206"/>
      <c r="F70" s="1921"/>
      <c r="G70" s="1925"/>
      <c r="H70" s="1196"/>
      <c r="I70" s="1923"/>
      <c r="J70" s="1196"/>
      <c r="K70" s="1197"/>
      <c r="L70" s="1924"/>
      <c r="M70" s="1214"/>
      <c r="N70" s="1214"/>
      <c r="O70" s="1214"/>
      <c r="P70" s="1214"/>
      <c r="Q70" s="1214"/>
      <c r="R70" s="1214"/>
      <c r="S70" s="1214"/>
      <c r="T70" s="1214"/>
      <c r="U70" s="1214"/>
    </row>
    <row r="71" spans="1:21" s="1199" customFormat="1" ht="24" customHeight="1">
      <c r="A71" s="1189"/>
      <c r="B71" s="1205"/>
      <c r="C71" s="1191"/>
      <c r="D71" s="1471"/>
      <c r="E71" s="1206"/>
      <c r="F71" s="1921"/>
      <c r="G71" s="1925"/>
      <c r="H71" s="1196"/>
      <c r="I71" s="1923"/>
      <c r="J71" s="1196"/>
      <c r="K71" s="1197"/>
      <c r="L71" s="1924"/>
      <c r="M71" s="1214"/>
      <c r="N71" s="1214"/>
      <c r="O71" s="1214"/>
      <c r="P71" s="1214"/>
      <c r="Q71" s="1214"/>
      <c r="R71" s="1214"/>
      <c r="S71" s="1214"/>
      <c r="T71" s="1214"/>
      <c r="U71" s="1214"/>
    </row>
    <row r="72" spans="1:21" s="1199" customFormat="1" ht="24" customHeight="1">
      <c r="A72" s="1189"/>
      <c r="B72" s="1205"/>
      <c r="C72" s="1191"/>
      <c r="D72" s="1471"/>
      <c r="E72" s="1206"/>
      <c r="F72" s="1921"/>
      <c r="G72" s="1925"/>
      <c r="H72" s="1196"/>
      <c r="I72" s="1923"/>
      <c r="J72" s="1196"/>
      <c r="K72" s="1197"/>
      <c r="L72" s="1924"/>
      <c r="M72" s="1214"/>
      <c r="N72" s="1214"/>
      <c r="O72" s="1214"/>
      <c r="P72" s="1214"/>
      <c r="Q72" s="1214"/>
      <c r="R72" s="1214"/>
      <c r="S72" s="1214"/>
      <c r="T72" s="1214"/>
      <c r="U72" s="1214"/>
    </row>
    <row r="73" spans="1:21" s="1199" customFormat="1" ht="24" customHeight="1">
      <c r="A73" s="1189"/>
      <c r="B73" s="1205"/>
      <c r="C73" s="1191"/>
      <c r="D73" s="1471"/>
      <c r="E73" s="1206"/>
      <c r="F73" s="1921"/>
      <c r="G73" s="1925"/>
      <c r="H73" s="1196"/>
      <c r="I73" s="1923"/>
      <c r="J73" s="1196"/>
      <c r="K73" s="1197"/>
      <c r="L73" s="1924"/>
      <c r="M73" s="1214"/>
      <c r="N73" s="1214"/>
      <c r="O73" s="1214"/>
      <c r="P73" s="1214"/>
      <c r="Q73" s="1214"/>
      <c r="R73" s="1214"/>
      <c r="S73" s="1214"/>
      <c r="T73" s="1214"/>
      <c r="U73" s="1214"/>
    </row>
    <row r="74" spans="1:21" s="1199" customFormat="1" ht="24" customHeight="1">
      <c r="A74" s="1189"/>
      <c r="B74" s="1205"/>
      <c r="C74" s="1191"/>
      <c r="D74" s="1471"/>
      <c r="E74" s="1206"/>
      <c r="F74" s="1921"/>
      <c r="G74" s="1925"/>
      <c r="H74" s="1196"/>
      <c r="I74" s="1923"/>
      <c r="J74" s="1196"/>
      <c r="K74" s="1197"/>
      <c r="L74" s="1924"/>
      <c r="M74" s="1214"/>
      <c r="N74" s="1214"/>
      <c r="O74" s="1214"/>
      <c r="P74" s="1214"/>
      <c r="Q74" s="1214"/>
      <c r="R74" s="1214"/>
      <c r="S74" s="1214"/>
      <c r="T74" s="1214"/>
      <c r="U74" s="1214"/>
    </row>
    <row r="75" spans="1:21" s="1199" customFormat="1" ht="24" customHeight="1">
      <c r="A75" s="1189"/>
      <c r="B75" s="1205"/>
      <c r="C75" s="1191"/>
      <c r="D75" s="1471"/>
      <c r="E75" s="1206"/>
      <c r="F75" s="1921"/>
      <c r="G75" s="1925"/>
      <c r="H75" s="1196"/>
      <c r="I75" s="1923"/>
      <c r="J75" s="1196"/>
      <c r="K75" s="1197"/>
      <c r="L75" s="1924"/>
      <c r="M75" s="1214"/>
      <c r="N75" s="1214"/>
      <c r="O75" s="1214"/>
      <c r="P75" s="1214"/>
      <c r="Q75" s="1214"/>
      <c r="R75" s="1214"/>
      <c r="S75" s="1214"/>
      <c r="T75" s="1214"/>
      <c r="U75" s="1214"/>
    </row>
    <row r="76" spans="1:21" s="1199" customFormat="1" ht="24" customHeight="1">
      <c r="A76" s="1189"/>
      <c r="B76" s="1205"/>
      <c r="C76" s="1191"/>
      <c r="D76" s="1471"/>
      <c r="E76" s="1206"/>
      <c r="F76" s="1921"/>
      <c r="G76" s="1925"/>
      <c r="H76" s="1196"/>
      <c r="I76" s="1923"/>
      <c r="J76" s="1196"/>
      <c r="K76" s="1197"/>
      <c r="L76" s="1924"/>
      <c r="M76" s="1214"/>
      <c r="N76" s="1214"/>
      <c r="O76" s="1214"/>
      <c r="P76" s="1214"/>
      <c r="Q76" s="1214"/>
      <c r="R76" s="1214"/>
      <c r="S76" s="1214"/>
      <c r="T76" s="1214"/>
      <c r="U76" s="1214"/>
    </row>
    <row r="77" spans="1:21" s="1199" customFormat="1" ht="24" customHeight="1">
      <c r="A77" s="1189"/>
      <c r="B77" s="1205"/>
      <c r="C77" s="1191"/>
      <c r="D77" s="1471"/>
      <c r="E77" s="1206"/>
      <c r="F77" s="1921"/>
      <c r="G77" s="1925"/>
      <c r="H77" s="1196"/>
      <c r="I77" s="1923"/>
      <c r="J77" s="1196"/>
      <c r="K77" s="1197"/>
      <c r="L77" s="1924"/>
      <c r="M77" s="1214"/>
      <c r="N77" s="1214"/>
      <c r="O77" s="1214"/>
      <c r="P77" s="1214"/>
      <c r="Q77" s="1214"/>
      <c r="R77" s="1214"/>
      <c r="S77" s="1214"/>
      <c r="T77" s="1214"/>
      <c r="U77" s="1214"/>
    </row>
    <row r="78" spans="1:21" s="1199" customFormat="1" ht="24" customHeight="1">
      <c r="A78" s="1189"/>
      <c r="B78" s="1205"/>
      <c r="C78" s="1191"/>
      <c r="D78" s="1471"/>
      <c r="E78" s="1206"/>
      <c r="F78" s="1921"/>
      <c r="G78" s="1925"/>
      <c r="H78" s="1196"/>
      <c r="I78" s="1923"/>
      <c r="J78" s="1196"/>
      <c r="K78" s="1197"/>
      <c r="L78" s="1924"/>
      <c r="M78" s="1214"/>
      <c r="N78" s="1214"/>
      <c r="O78" s="1214"/>
      <c r="P78" s="1214"/>
      <c r="Q78" s="1214"/>
      <c r="R78" s="1214"/>
      <c r="S78" s="1214"/>
      <c r="T78" s="1214"/>
      <c r="U78" s="1214"/>
    </row>
    <row r="79" spans="1:21" s="1199" customFormat="1" ht="24" customHeight="1">
      <c r="A79" s="1189"/>
      <c r="B79" s="1205"/>
      <c r="C79" s="1191"/>
      <c r="D79" s="1471"/>
      <c r="E79" s="1206"/>
      <c r="F79" s="1921"/>
      <c r="G79" s="1925"/>
      <c r="H79" s="1196"/>
      <c r="I79" s="1923"/>
      <c r="J79" s="1196"/>
      <c r="K79" s="1197"/>
      <c r="L79" s="1924"/>
      <c r="M79" s="1214"/>
      <c r="N79" s="1214"/>
      <c r="O79" s="1214"/>
      <c r="P79" s="1214"/>
      <c r="Q79" s="1214"/>
      <c r="R79" s="1214"/>
      <c r="S79" s="1214"/>
      <c r="T79" s="1214"/>
      <c r="U79" s="1214"/>
    </row>
    <row r="80" spans="1:21" s="1199" customFormat="1" ht="24" customHeight="1">
      <c r="A80" s="1189"/>
      <c r="B80" s="1205"/>
      <c r="C80" s="1191"/>
      <c r="D80" s="1471"/>
      <c r="E80" s="1206"/>
      <c r="F80" s="1921"/>
      <c r="G80" s="1925"/>
      <c r="H80" s="1196"/>
      <c r="I80" s="1923"/>
      <c r="J80" s="1196"/>
      <c r="K80" s="1197"/>
      <c r="L80" s="1924"/>
      <c r="M80" s="1214"/>
      <c r="N80" s="1214"/>
      <c r="O80" s="1214"/>
      <c r="P80" s="1214"/>
      <c r="Q80" s="1214"/>
      <c r="R80" s="1214"/>
      <c r="S80" s="1214"/>
      <c r="T80" s="1214"/>
      <c r="U80" s="1214"/>
    </row>
    <row r="81" spans="1:21" s="1199" customFormat="1" ht="24" customHeight="1">
      <c r="A81" s="1189"/>
      <c r="B81" s="1205"/>
      <c r="C81" s="1191"/>
      <c r="D81" s="1471"/>
      <c r="E81" s="1206"/>
      <c r="F81" s="1921"/>
      <c r="G81" s="1925"/>
      <c r="H81" s="1196"/>
      <c r="I81" s="1923"/>
      <c r="J81" s="1196"/>
      <c r="K81" s="1197"/>
      <c r="L81" s="1924"/>
      <c r="M81" s="1214"/>
      <c r="N81" s="1214"/>
      <c r="O81" s="1214"/>
      <c r="P81" s="1214"/>
      <c r="Q81" s="1214"/>
      <c r="R81" s="1214"/>
      <c r="S81" s="1214"/>
      <c r="T81" s="1214"/>
      <c r="U81" s="1214"/>
    </row>
    <row r="82" spans="1:21" s="1199" customFormat="1" ht="24" customHeight="1">
      <c r="A82" s="1189"/>
      <c r="B82" s="1205"/>
      <c r="C82" s="1191"/>
      <c r="D82" s="1471"/>
      <c r="E82" s="1206"/>
      <c r="F82" s="1921"/>
      <c r="G82" s="1925"/>
      <c r="H82" s="1196"/>
      <c r="I82" s="1923"/>
      <c r="J82" s="1196"/>
      <c r="K82" s="1197"/>
      <c r="L82" s="1924"/>
      <c r="M82" s="1214"/>
      <c r="N82" s="1214"/>
      <c r="O82" s="1214"/>
      <c r="P82" s="1214"/>
      <c r="Q82" s="1214"/>
      <c r="R82" s="1214"/>
      <c r="S82" s="1214"/>
      <c r="T82" s="1214"/>
      <c r="U82" s="1214"/>
    </row>
    <row r="83" spans="1:21" s="1199" customFormat="1" ht="24" customHeight="1">
      <c r="A83" s="1189"/>
      <c r="B83" s="1205"/>
      <c r="C83" s="1191"/>
      <c r="D83" s="1471"/>
      <c r="E83" s="1206"/>
      <c r="F83" s="1921"/>
      <c r="G83" s="1925"/>
      <c r="H83" s="1196"/>
      <c r="I83" s="1923"/>
      <c r="J83" s="1196"/>
      <c r="K83" s="1197"/>
      <c r="L83" s="1924"/>
      <c r="M83" s="1214"/>
      <c r="N83" s="1214"/>
      <c r="O83" s="1214"/>
      <c r="P83" s="1214"/>
      <c r="Q83" s="1214"/>
      <c r="R83" s="1214"/>
      <c r="S83" s="1214"/>
      <c r="T83" s="1214"/>
      <c r="U83" s="1214"/>
    </row>
    <row r="84" spans="1:21" s="1199" customFormat="1" ht="24" customHeight="1">
      <c r="A84" s="1245"/>
      <c r="B84" s="2271" t="str">
        <f>"รวมราคารายการที่ "&amp;A60</f>
        <v>รวมราคารายการที่ 8.3</v>
      </c>
      <c r="C84" s="2271"/>
      <c r="D84" s="2271"/>
      <c r="E84" s="1244"/>
      <c r="F84" s="1245"/>
      <c r="G84" s="1246"/>
      <c r="H84" s="1247">
        <f>SUM(H61:H83)</f>
        <v>5500000</v>
      </c>
      <c r="I84" s="1246"/>
      <c r="J84" s="1247"/>
      <c r="K84" s="1245">
        <f>SUM(K61:K83)</f>
        <v>5500000</v>
      </c>
      <c r="L84" s="1245"/>
      <c r="M84" s="1214"/>
      <c r="N84" s="1214"/>
      <c r="O84" s="1214"/>
      <c r="P84" s="1214"/>
      <c r="Q84" s="1214"/>
      <c r="R84" s="1214"/>
      <c r="S84" s="1214"/>
      <c r="T84" s="1214"/>
      <c r="U84" s="1214"/>
    </row>
    <row r="85" spans="1:21" s="1199" customFormat="1" ht="21.3">
      <c r="A85" s="1427"/>
    </row>
    <row r="86" spans="1:21" s="1199" customFormat="1" ht="21.3">
      <c r="A86" s="1427"/>
    </row>
    <row r="87" spans="1:21" s="1199" customFormat="1" ht="21.3">
      <c r="A87" s="1427"/>
    </row>
    <row r="88" spans="1:21" s="1199" customFormat="1" ht="21.3">
      <c r="A88" s="1427"/>
    </row>
    <row r="89" spans="1:21" s="1199" customFormat="1" ht="21.3">
      <c r="A89" s="1427"/>
    </row>
    <row r="90" spans="1:21" s="1199" customFormat="1" ht="21.3">
      <c r="A90" s="1427"/>
    </row>
    <row r="91" spans="1:21" s="1199" customFormat="1" ht="21.3">
      <c r="A91" s="1427"/>
    </row>
    <row r="92" spans="1:21" s="1199" customFormat="1" ht="21.3">
      <c r="A92" s="1427"/>
    </row>
    <row r="93" spans="1:21" s="1199" customFormat="1" ht="21.3">
      <c r="A93" s="1427"/>
    </row>
    <row r="94" spans="1:21" s="1199" customFormat="1" ht="21.3">
      <c r="A94" s="1427"/>
    </row>
    <row r="95" spans="1:21" s="1199" customFormat="1" ht="21.3">
      <c r="A95" s="1427"/>
    </row>
    <row r="96" spans="1:21" s="1199" customFormat="1" ht="21.3">
      <c r="A96" s="1427"/>
    </row>
    <row r="97" spans="1:1" s="1199" customFormat="1" ht="21.3">
      <c r="A97" s="1427"/>
    </row>
    <row r="98" spans="1:1" s="1199" customFormat="1" ht="21.3">
      <c r="A98" s="1427"/>
    </row>
    <row r="99" spans="1:1" s="1199" customFormat="1" ht="21.3">
      <c r="A99" s="1427"/>
    </row>
    <row r="100" spans="1:1" s="1199" customFormat="1" ht="21.3">
      <c r="A100" s="1427"/>
    </row>
    <row r="101" spans="1:1" s="1199" customFormat="1" ht="21.3">
      <c r="A101" s="1427"/>
    </row>
    <row r="102" spans="1:1" s="1199" customFormat="1" ht="21.3">
      <c r="A102" s="1427"/>
    </row>
    <row r="103" spans="1:1" s="1199" customFormat="1" ht="21.3">
      <c r="A103" s="1427"/>
    </row>
    <row r="104" spans="1:1" s="1199" customFormat="1" ht="21.3">
      <c r="A104" s="1427"/>
    </row>
    <row r="105" spans="1:1" s="1199" customFormat="1" ht="21.3">
      <c r="A105" s="1427"/>
    </row>
    <row r="106" spans="1:1" s="1199" customFormat="1" ht="21.3">
      <c r="A106" s="1427"/>
    </row>
    <row r="107" spans="1:1" s="1199" customFormat="1" ht="21.3">
      <c r="A107" s="1427"/>
    </row>
    <row r="108" spans="1:1" s="1199" customFormat="1" ht="21.3">
      <c r="A108" s="1427"/>
    </row>
    <row r="109" spans="1:1" s="1199" customFormat="1" ht="21.3">
      <c r="A109" s="1427"/>
    </row>
    <row r="110" spans="1:1" s="1199" customFormat="1" ht="21.3">
      <c r="A110" s="1427"/>
    </row>
    <row r="111" spans="1:1" s="1199" customFormat="1" ht="21.3">
      <c r="A111" s="1427"/>
    </row>
    <row r="112" spans="1:1" s="1199" customFormat="1" ht="21.3">
      <c r="A112" s="1427"/>
    </row>
    <row r="113" spans="1:1" s="1199" customFormat="1" ht="21.3">
      <c r="A113" s="1427"/>
    </row>
    <row r="114" spans="1:1" s="1199" customFormat="1" ht="21.3">
      <c r="A114" s="1427"/>
    </row>
    <row r="115" spans="1:1" s="1199" customFormat="1" ht="21.3">
      <c r="A115" s="1427"/>
    </row>
    <row r="116" spans="1:1" s="1199" customFormat="1" ht="21.3">
      <c r="A116" s="1427"/>
    </row>
    <row r="117" spans="1:1" s="1199" customFormat="1" ht="21.3">
      <c r="A117" s="1427"/>
    </row>
    <row r="118" spans="1:1" s="1199" customFormat="1" ht="21.3">
      <c r="A118" s="1427"/>
    </row>
    <row r="119" spans="1:1" s="1199" customFormat="1" ht="21.3">
      <c r="A119" s="1427"/>
    </row>
    <row r="120" spans="1:1" s="1199" customFormat="1" ht="21.3">
      <c r="A120" s="1427"/>
    </row>
    <row r="121" spans="1:1" s="1199" customFormat="1" ht="21.3">
      <c r="A121" s="1427"/>
    </row>
    <row r="122" spans="1:1" s="1199" customFormat="1" ht="21.3">
      <c r="A122" s="1427"/>
    </row>
    <row r="123" spans="1:1" s="1199" customFormat="1" ht="21.3">
      <c r="A123" s="1427"/>
    </row>
    <row r="124" spans="1:1" s="1199" customFormat="1" ht="21.3">
      <c r="A124" s="1427"/>
    </row>
    <row r="125" spans="1:1" s="1199" customFormat="1" ht="21.3">
      <c r="A125" s="1427"/>
    </row>
  </sheetData>
  <mergeCells count="12">
    <mergeCell ref="A9:A10"/>
    <mergeCell ref="B9:D10"/>
    <mergeCell ref="E9:E10"/>
    <mergeCell ref="F9:F10"/>
    <mergeCell ref="G9:H9"/>
    <mergeCell ref="B34:D34"/>
    <mergeCell ref="B48:D48"/>
    <mergeCell ref="B59:D59"/>
    <mergeCell ref="B84:D84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&amp;Rงานระบบลิฟต์และบันไดเลื่อน-อาคารทิศตะวันตก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58534-E0C0-4632-B4D9-DAD64BA14E99}">
  <sheetPr>
    <tabColor rgb="FFC00000"/>
  </sheetPr>
  <dimension ref="A1:T129"/>
  <sheetViews>
    <sheetView showGridLines="0" view="pageBreakPreview" topLeftCell="A103" zoomScale="60" zoomScaleNormal="60" workbookViewId="0">
      <selection activeCell="P122" sqref="P122"/>
    </sheetView>
  </sheetViews>
  <sheetFormatPr defaultColWidth="9" defaultRowHeight="23.7"/>
  <cols>
    <col min="1" max="1" width="9.703125" style="1051" customWidth="1"/>
    <col min="2" max="3" width="7.29296875" style="45" customWidth="1"/>
    <col min="4" max="4" width="66.87890625" style="45" customWidth="1"/>
    <col min="5" max="5" width="14.703125" style="45" customWidth="1"/>
    <col min="6" max="6" width="10.703125" style="45" customWidth="1"/>
    <col min="7" max="7" width="14.703125" style="45" customWidth="1"/>
    <col min="8" max="8" width="18.703125" style="45" customWidth="1"/>
    <col min="9" max="9" width="14.703125" style="45" customWidth="1"/>
    <col min="10" max="10" width="18.703125" style="45" customWidth="1"/>
    <col min="11" max="11" width="20.703125" style="45" customWidth="1"/>
    <col min="12" max="12" width="26.703125" style="45" customWidth="1"/>
    <col min="13" max="13" width="14.29296875" style="45" bestFit="1" customWidth="1"/>
    <col min="14" max="14" width="7.703125" style="45" customWidth="1"/>
    <col min="15" max="15" width="24" style="45" customWidth="1"/>
    <col min="16" max="98" width="7.703125" style="45" customWidth="1"/>
    <col min="99" max="16384" width="9" style="45"/>
  </cols>
  <sheetData>
    <row r="1" spans="1:15" ht="35.1" customHeight="1">
      <c r="A1" s="33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5" ht="25.15" customHeight="1">
      <c r="A2" s="11" t="s">
        <v>2</v>
      </c>
      <c r="B2" s="36"/>
      <c r="C2" s="37"/>
      <c r="D2" s="12" t="s">
        <v>2460</v>
      </c>
      <c r="E2" s="37"/>
      <c r="F2" s="13"/>
      <c r="G2" s="13"/>
      <c r="H2" s="13"/>
      <c r="I2" s="13"/>
      <c r="J2" s="14"/>
      <c r="K2" s="13"/>
      <c r="L2" s="15"/>
    </row>
    <row r="3" spans="1:15" ht="25.15" customHeight="1">
      <c r="A3" s="16" t="s">
        <v>33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5" ht="25.15" customHeight="1">
      <c r="A4" s="16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5" ht="25.15" customHeight="1">
      <c r="A5" s="16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5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5" ht="25.15" customHeight="1">
      <c r="A7" s="6" t="s">
        <v>31</v>
      </c>
      <c r="B7" s="22"/>
      <c r="C7" s="22"/>
      <c r="D7" s="23"/>
      <c r="E7" s="22"/>
      <c r="F7" s="2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5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5" s="35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026" t="s">
        <v>14</v>
      </c>
      <c r="L9" s="2224" t="s">
        <v>15</v>
      </c>
    </row>
    <row r="10" spans="1:15" s="35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027" t="s">
        <v>18</v>
      </c>
      <c r="L10" s="2225"/>
    </row>
    <row r="11" spans="1:15" ht="24" customHeight="1">
      <c r="A11" s="1932" t="s">
        <v>38</v>
      </c>
      <c r="B11" s="1933" t="s">
        <v>2461</v>
      </c>
      <c r="C11" s="921"/>
      <c r="D11" s="46"/>
      <c r="E11" s="47"/>
      <c r="F11" s="47"/>
      <c r="G11" s="48"/>
      <c r="H11" s="49"/>
      <c r="I11" s="50"/>
      <c r="J11" s="49"/>
      <c r="K11" s="51"/>
      <c r="L11" s="52"/>
    </row>
    <row r="12" spans="1:15" ht="24" customHeight="1">
      <c r="A12" s="1934"/>
      <c r="B12" s="1935"/>
      <c r="C12" s="53"/>
      <c r="D12" s="46"/>
      <c r="E12" s="47"/>
      <c r="F12" s="47"/>
      <c r="G12" s="48"/>
      <c r="H12" s="49"/>
      <c r="I12" s="50"/>
      <c r="J12" s="49"/>
      <c r="K12" s="51"/>
      <c r="L12" s="52"/>
    </row>
    <row r="13" spans="1:15" s="933" customFormat="1" ht="24" customHeight="1">
      <c r="A13" s="923">
        <f>A35</f>
        <v>1.1000000000000001</v>
      </c>
      <c r="B13" s="924" t="str">
        <f>+B35</f>
        <v>งานภูมิสถาปัตยกรรม ชั้นสวนหลังคา</v>
      </c>
      <c r="C13" s="925"/>
      <c r="D13" s="926"/>
      <c r="E13" s="928">
        <v>1</v>
      </c>
      <c r="F13" s="928" t="s">
        <v>19</v>
      </c>
      <c r="G13" s="934"/>
      <c r="H13" s="930">
        <f>H75</f>
        <v>8142315.1520000007</v>
      </c>
      <c r="I13" s="931"/>
      <c r="J13" s="930">
        <f>J75</f>
        <v>1773133.209</v>
      </c>
      <c r="K13" s="930">
        <f>K75</f>
        <v>9915448.3610000014</v>
      </c>
      <c r="L13" s="932"/>
      <c r="O13" s="939"/>
    </row>
    <row r="14" spans="1:15" s="933" customFormat="1" ht="24" customHeight="1">
      <c r="A14" s="923">
        <f>A76</f>
        <v>1.2</v>
      </c>
      <c r="B14" s="924" t="str">
        <f>+B76</f>
        <v>งานระบบที่เกี่ยวข้องกับงานภูมิสถาปัตยกรรม</v>
      </c>
      <c r="C14" s="925"/>
      <c r="D14" s="926"/>
      <c r="E14" s="928">
        <v>1</v>
      </c>
      <c r="F14" s="928" t="s">
        <v>19</v>
      </c>
      <c r="G14" s="934"/>
      <c r="H14" s="930">
        <f>H129</f>
        <v>3198010</v>
      </c>
      <c r="I14" s="931"/>
      <c r="J14" s="930">
        <f>J129</f>
        <v>281760</v>
      </c>
      <c r="K14" s="930">
        <f>H14+J14</f>
        <v>3479770</v>
      </c>
      <c r="L14" s="932"/>
      <c r="O14" s="939"/>
    </row>
    <row r="15" spans="1:15" s="933" customFormat="1" ht="24" customHeight="1">
      <c r="A15" s="923"/>
      <c r="B15" s="924"/>
      <c r="C15" s="925"/>
      <c r="D15" s="926"/>
      <c r="E15" s="928"/>
      <c r="F15" s="928"/>
      <c r="G15" s="934"/>
      <c r="H15" s="930"/>
      <c r="I15" s="931"/>
      <c r="J15" s="930"/>
      <c r="K15" s="930"/>
      <c r="L15" s="932"/>
    </row>
    <row r="16" spans="1:15" s="933" customFormat="1" ht="24" customHeight="1">
      <c r="A16" s="923"/>
      <c r="B16" s="924"/>
      <c r="C16" s="925"/>
      <c r="D16" s="926"/>
      <c r="E16" s="928"/>
      <c r="F16" s="928"/>
      <c r="G16" s="934"/>
      <c r="H16" s="930"/>
      <c r="I16" s="931"/>
      <c r="J16" s="930"/>
      <c r="K16" s="930"/>
      <c r="L16" s="932"/>
    </row>
    <row r="17" spans="1:12" s="933" customFormat="1" ht="24" customHeight="1">
      <c r="A17" s="923"/>
      <c r="B17" s="924"/>
      <c r="C17" s="925"/>
      <c r="D17" s="926"/>
      <c r="E17" s="928"/>
      <c r="F17" s="928"/>
      <c r="G17" s="934"/>
      <c r="H17" s="930"/>
      <c r="I17" s="931"/>
      <c r="J17" s="930"/>
      <c r="K17" s="930"/>
      <c r="L17" s="932"/>
    </row>
    <row r="18" spans="1:12" s="933" customFormat="1" ht="24" customHeight="1">
      <c r="A18" s="923"/>
      <c r="B18" s="924"/>
      <c r="C18" s="925"/>
      <c r="D18" s="926"/>
      <c r="E18" s="928"/>
      <c r="F18" s="928"/>
      <c r="G18" s="934"/>
      <c r="H18" s="930"/>
      <c r="I18" s="931"/>
      <c r="J18" s="930"/>
      <c r="K18" s="937"/>
      <c r="L18" s="932"/>
    </row>
    <row r="19" spans="1:12" s="933" customFormat="1" ht="24" customHeight="1">
      <c r="A19" s="923"/>
      <c r="B19" s="924"/>
      <c r="C19" s="925"/>
      <c r="D19" s="926"/>
      <c r="E19" s="928"/>
      <c r="F19" s="928"/>
      <c r="G19" s="934"/>
      <c r="H19" s="930"/>
      <c r="I19" s="931"/>
      <c r="J19" s="930"/>
      <c r="K19" s="937"/>
      <c r="L19" s="932"/>
    </row>
    <row r="20" spans="1:12" s="933" customFormat="1" ht="24" customHeight="1">
      <c r="A20" s="923"/>
      <c r="B20" s="924"/>
      <c r="C20" s="925"/>
      <c r="D20" s="926"/>
      <c r="E20" s="928"/>
      <c r="F20" s="928"/>
      <c r="G20" s="934"/>
      <c r="H20" s="930"/>
      <c r="I20" s="931"/>
      <c r="J20" s="930"/>
      <c r="K20" s="937"/>
      <c r="L20" s="932"/>
    </row>
    <row r="21" spans="1:12" s="933" customFormat="1" ht="24" customHeight="1">
      <c r="A21" s="923"/>
      <c r="B21" s="924"/>
      <c r="C21" s="925"/>
      <c r="D21" s="926"/>
      <c r="E21" s="928"/>
      <c r="F21" s="928"/>
      <c r="G21" s="934"/>
      <c r="H21" s="930"/>
      <c r="I21" s="931"/>
      <c r="J21" s="930"/>
      <c r="K21" s="937"/>
      <c r="L21" s="932"/>
    </row>
    <row r="22" spans="1:12" s="933" customFormat="1" ht="24" customHeight="1">
      <c r="A22" s="923"/>
      <c r="B22" s="924"/>
      <c r="C22" s="925"/>
      <c r="D22" s="926"/>
      <c r="E22" s="928"/>
      <c r="F22" s="928"/>
      <c r="G22" s="934"/>
      <c r="H22" s="930"/>
      <c r="I22" s="931"/>
      <c r="J22" s="930"/>
      <c r="K22" s="937"/>
      <c r="L22" s="932"/>
    </row>
    <row r="23" spans="1:12" s="933" customFormat="1" ht="24" customHeight="1">
      <c r="A23" s="923"/>
      <c r="B23" s="924"/>
      <c r="C23" s="925"/>
      <c r="D23" s="926"/>
      <c r="E23" s="928"/>
      <c r="F23" s="928"/>
      <c r="G23" s="934"/>
      <c r="H23" s="930"/>
      <c r="I23" s="931"/>
      <c r="J23" s="930"/>
      <c r="K23" s="937"/>
      <c r="L23" s="932"/>
    </row>
    <row r="24" spans="1:12" s="933" customFormat="1" ht="24" customHeight="1">
      <c r="A24" s="923"/>
      <c r="B24" s="924"/>
      <c r="C24" s="925"/>
      <c r="D24" s="926"/>
      <c r="E24" s="928"/>
      <c r="F24" s="928"/>
      <c r="G24" s="934"/>
      <c r="H24" s="930"/>
      <c r="I24" s="931"/>
      <c r="J24" s="930"/>
      <c r="K24" s="937"/>
      <c r="L24" s="932"/>
    </row>
    <row r="25" spans="1:12" s="933" customFormat="1" ht="24" customHeight="1">
      <c r="A25" s="923"/>
      <c r="B25" s="924"/>
      <c r="C25" s="925"/>
      <c r="D25" s="926"/>
      <c r="E25" s="928"/>
      <c r="F25" s="928"/>
      <c r="G25" s="934"/>
      <c r="H25" s="930"/>
      <c r="I25" s="931"/>
      <c r="J25" s="930"/>
      <c r="K25" s="937"/>
      <c r="L25" s="932"/>
    </row>
    <row r="26" spans="1:12" s="933" customFormat="1" ht="24" customHeight="1">
      <c r="A26" s="923"/>
      <c r="B26" s="924"/>
      <c r="C26" s="925"/>
      <c r="D26" s="926"/>
      <c r="E26" s="928"/>
      <c r="F26" s="928"/>
      <c r="G26" s="934"/>
      <c r="H26" s="930"/>
      <c r="I26" s="931"/>
      <c r="J26" s="930"/>
      <c r="K26" s="937"/>
      <c r="L26" s="932"/>
    </row>
    <row r="27" spans="1:12" s="933" customFormat="1" ht="24" customHeight="1">
      <c r="A27" s="923"/>
      <c r="B27" s="924"/>
      <c r="C27" s="925"/>
      <c r="D27" s="926"/>
      <c r="E27" s="928"/>
      <c r="F27" s="928"/>
      <c r="G27" s="934"/>
      <c r="H27" s="930"/>
      <c r="I27" s="931"/>
      <c r="J27" s="930"/>
      <c r="K27" s="937"/>
      <c r="L27" s="932"/>
    </row>
    <row r="28" spans="1:12" s="933" customFormat="1" ht="24" customHeight="1">
      <c r="A28" s="923"/>
      <c r="B28" s="924"/>
      <c r="C28" s="925"/>
      <c r="D28" s="926"/>
      <c r="E28" s="928"/>
      <c r="F28" s="928"/>
      <c r="G28" s="934"/>
      <c r="H28" s="930"/>
      <c r="I28" s="931"/>
      <c r="J28" s="930"/>
      <c r="K28" s="937"/>
      <c r="L28" s="932"/>
    </row>
    <row r="29" spans="1:12" s="933" customFormat="1" ht="24" customHeight="1">
      <c r="A29" s="923"/>
      <c r="B29" s="924"/>
      <c r="C29" s="925"/>
      <c r="D29" s="926"/>
      <c r="E29" s="928"/>
      <c r="F29" s="928"/>
      <c r="G29" s="934"/>
      <c r="H29" s="930"/>
      <c r="I29" s="931"/>
      <c r="J29" s="930"/>
      <c r="K29" s="937"/>
      <c r="L29" s="932"/>
    </row>
    <row r="30" spans="1:12" s="933" customFormat="1" ht="24" customHeight="1">
      <c r="A30" s="923"/>
      <c r="B30" s="924"/>
      <c r="C30" s="925"/>
      <c r="D30" s="926"/>
      <c r="E30" s="928"/>
      <c r="F30" s="928"/>
      <c r="G30" s="934"/>
      <c r="H30" s="930"/>
      <c r="I30" s="931"/>
      <c r="J30" s="930"/>
      <c r="K30" s="937"/>
      <c r="L30" s="932"/>
    </row>
    <row r="31" spans="1:12" s="933" customFormat="1" ht="24" customHeight="1">
      <c r="A31" s="923"/>
      <c r="B31" s="924"/>
      <c r="C31" s="925"/>
      <c r="D31" s="926"/>
      <c r="E31" s="928"/>
      <c r="F31" s="928"/>
      <c r="G31" s="934"/>
      <c r="H31" s="930"/>
      <c r="I31" s="931"/>
      <c r="J31" s="930"/>
      <c r="K31" s="937"/>
      <c r="L31" s="932"/>
    </row>
    <row r="32" spans="1:12" s="933" customFormat="1" ht="24" customHeight="1">
      <c r="A32" s="923"/>
      <c r="B32" s="924"/>
      <c r="C32" s="925"/>
      <c r="D32" s="926"/>
      <c r="E32" s="928"/>
      <c r="F32" s="928"/>
      <c r="G32" s="934"/>
      <c r="H32" s="930"/>
      <c r="I32" s="931"/>
      <c r="J32" s="930"/>
      <c r="K32" s="937"/>
      <c r="L32" s="932"/>
    </row>
    <row r="33" spans="1:20" s="933" customFormat="1" ht="24" customHeight="1">
      <c r="A33" s="940"/>
      <c r="B33" s="941"/>
      <c r="D33" s="942"/>
      <c r="E33" s="943"/>
      <c r="F33" s="943"/>
      <c r="G33" s="944"/>
      <c r="H33" s="945"/>
      <c r="I33" s="946"/>
      <c r="J33" s="945"/>
      <c r="K33" s="947"/>
      <c r="L33" s="948"/>
    </row>
    <row r="34" spans="1:20" s="933" customFormat="1" ht="30" customHeight="1">
      <c r="A34" s="949"/>
      <c r="B34" s="2226" t="str">
        <f>"รวมราคา"&amp;B11</f>
        <v xml:space="preserve">รวมราคางานภูมิสถาปัตยกรรม HARDSCAPE </v>
      </c>
      <c r="C34" s="2226"/>
      <c r="D34" s="2226"/>
      <c r="E34" s="2226"/>
      <c r="F34" s="2226"/>
      <c r="G34" s="2272"/>
      <c r="H34" s="953">
        <f>SUM(H13:H33)</f>
        <v>11340325.152000001</v>
      </c>
      <c r="I34" s="953"/>
      <c r="J34" s="953">
        <f>SUM(J13:J33)</f>
        <v>2054893.209</v>
      </c>
      <c r="K34" s="953">
        <f>SUM(K13:K33)</f>
        <v>13395218.361000001</v>
      </c>
      <c r="L34" s="953"/>
      <c r="M34" s="1936"/>
      <c r="N34" s="954"/>
      <c r="O34" s="954"/>
      <c r="P34" s="954"/>
      <c r="Q34" s="954"/>
      <c r="R34" s="954"/>
      <c r="S34" s="954"/>
      <c r="T34" s="954"/>
    </row>
    <row r="35" spans="1:20" s="54" customFormat="1" ht="24" customHeight="1">
      <c r="A35" s="1937">
        <v>1.1000000000000001</v>
      </c>
      <c r="B35" s="1938" t="s">
        <v>2462</v>
      </c>
      <c r="C35" s="1939"/>
      <c r="D35" s="1940"/>
      <c r="E35" s="1941"/>
      <c r="F35" s="1942"/>
      <c r="G35" s="1943"/>
      <c r="H35" s="1944"/>
      <c r="I35" s="1945"/>
      <c r="J35" s="1944"/>
      <c r="K35" s="1945" t="s">
        <v>1519</v>
      </c>
      <c r="L35" s="1946"/>
    </row>
    <row r="36" spans="1:20" s="54" customFormat="1" ht="24" customHeight="1">
      <c r="A36" s="1947" t="s">
        <v>862</v>
      </c>
      <c r="B36" s="1948" t="s">
        <v>2463</v>
      </c>
      <c r="C36" s="1949"/>
      <c r="D36" s="1949"/>
      <c r="E36" s="1950"/>
      <c r="F36" s="1951"/>
      <c r="G36" s="1952"/>
      <c r="H36" s="1953"/>
      <c r="I36" s="1954"/>
      <c r="J36" s="1953"/>
      <c r="K36" s="1954"/>
      <c r="L36" s="1955"/>
    </row>
    <row r="37" spans="1:20" s="54" customFormat="1" ht="31.15" customHeight="1">
      <c r="A37" s="1956"/>
      <c r="B37" s="924" t="s">
        <v>2464</v>
      </c>
      <c r="C37" s="1949"/>
      <c r="D37" s="1949"/>
      <c r="E37" s="1950"/>
      <c r="F37" s="1951"/>
      <c r="G37" s="1952"/>
      <c r="H37" s="1953"/>
      <c r="I37" s="1954"/>
      <c r="J37" s="1953"/>
      <c r="K37" s="1954"/>
      <c r="L37" s="1955"/>
    </row>
    <row r="38" spans="1:20" s="54" customFormat="1" ht="24" customHeight="1">
      <c r="A38" s="1947" t="s">
        <v>882</v>
      </c>
      <c r="B38" s="1948" t="s">
        <v>2465</v>
      </c>
      <c r="C38" s="1957"/>
      <c r="D38" s="1957"/>
      <c r="E38" s="1941"/>
      <c r="F38" s="1942"/>
      <c r="G38" s="1943"/>
      <c r="H38" s="1958"/>
      <c r="I38" s="1959"/>
      <c r="J38" s="1958"/>
      <c r="K38" s="1959"/>
      <c r="L38" s="1960"/>
    </row>
    <row r="39" spans="1:20" s="54" customFormat="1" ht="24" customHeight="1">
      <c r="A39" s="1961"/>
      <c r="B39" s="1962" t="s">
        <v>2466</v>
      </c>
      <c r="C39" s="1949"/>
      <c r="D39" s="1963"/>
      <c r="E39" s="1950"/>
      <c r="F39" s="996"/>
      <c r="G39" s="1964"/>
      <c r="H39" s="1958"/>
      <c r="I39" s="1959"/>
      <c r="J39" s="1958"/>
      <c r="K39" s="1959"/>
      <c r="L39" s="1960"/>
    </row>
    <row r="40" spans="1:20" s="54" customFormat="1" ht="24" customHeight="1">
      <c r="A40" s="1961"/>
      <c r="B40" s="1965" t="s">
        <v>2467</v>
      </c>
      <c r="C40" s="1949"/>
      <c r="D40" s="1963"/>
      <c r="E40" s="1950">
        <f>SUM(E41:E45)</f>
        <v>1103.6399999999999</v>
      </c>
      <c r="F40" s="996" t="s">
        <v>34</v>
      </c>
      <c r="G40" s="1964">
        <v>41.05</v>
      </c>
      <c r="H40" s="1958">
        <f t="shared" ref="H40:H47" si="0">E40*G40</f>
        <v>45304.421999999991</v>
      </c>
      <c r="I40" s="1959">
        <v>61</v>
      </c>
      <c r="J40" s="1958">
        <f t="shared" ref="J40:J45" si="1">E40*I40</f>
        <v>67322.039999999994</v>
      </c>
      <c r="K40" s="1959">
        <f t="shared" ref="K40:K45" si="2">H40+J40</f>
        <v>112626.46199999998</v>
      </c>
      <c r="L40" s="1960"/>
    </row>
    <row r="41" spans="1:20" s="54" customFormat="1" ht="24" customHeight="1">
      <c r="A41" s="1961"/>
      <c r="B41" s="1965" t="s">
        <v>2468</v>
      </c>
      <c r="C41" s="1949"/>
      <c r="D41" s="1963"/>
      <c r="E41" s="1950">
        <v>349.78</v>
      </c>
      <c r="F41" s="996" t="s">
        <v>34</v>
      </c>
      <c r="G41" s="1964">
        <v>1000</v>
      </c>
      <c r="H41" s="1958">
        <f t="shared" si="0"/>
        <v>349780</v>
      </c>
      <c r="I41" s="1959">
        <v>184</v>
      </c>
      <c r="J41" s="1958">
        <f t="shared" si="1"/>
        <v>64359.519999999997</v>
      </c>
      <c r="K41" s="1959">
        <f t="shared" si="2"/>
        <v>414139.52</v>
      </c>
      <c r="L41" s="1955" t="s">
        <v>2469</v>
      </c>
    </row>
    <row r="42" spans="1:20" s="54" customFormat="1" ht="24" customHeight="1">
      <c r="A42" s="1961"/>
      <c r="B42" s="1965" t="s">
        <v>2470</v>
      </c>
      <c r="C42" s="1949"/>
      <c r="D42" s="1963"/>
      <c r="E42" s="1950">
        <v>349.78</v>
      </c>
      <c r="F42" s="996" t="s">
        <v>34</v>
      </c>
      <c r="G42" s="1964">
        <v>900</v>
      </c>
      <c r="H42" s="1958">
        <f t="shared" si="0"/>
        <v>314802</v>
      </c>
      <c r="I42" s="1959">
        <v>184</v>
      </c>
      <c r="J42" s="1958">
        <f t="shared" si="1"/>
        <v>64359.519999999997</v>
      </c>
      <c r="K42" s="1959">
        <f t="shared" si="2"/>
        <v>379161.52</v>
      </c>
      <c r="L42" s="1955" t="s">
        <v>2469</v>
      </c>
    </row>
    <row r="43" spans="1:20" s="54" customFormat="1" ht="24" customHeight="1">
      <c r="A43" s="1961"/>
      <c r="B43" s="1965" t="s">
        <v>2471</v>
      </c>
      <c r="C43" s="1949"/>
      <c r="D43" s="1963"/>
      <c r="E43" s="1950">
        <v>178.29</v>
      </c>
      <c r="F43" s="996" t="s">
        <v>34</v>
      </c>
      <c r="G43" s="1964">
        <v>1000</v>
      </c>
      <c r="H43" s="1958">
        <f t="shared" si="0"/>
        <v>178290</v>
      </c>
      <c r="I43" s="1959">
        <v>184</v>
      </c>
      <c r="J43" s="1958">
        <f t="shared" si="1"/>
        <v>32805.360000000001</v>
      </c>
      <c r="K43" s="1959">
        <f t="shared" si="2"/>
        <v>211095.36</v>
      </c>
      <c r="L43" s="1955" t="s">
        <v>2469</v>
      </c>
    </row>
    <row r="44" spans="1:20" s="54" customFormat="1" ht="24" customHeight="1">
      <c r="A44" s="1961"/>
      <c r="B44" s="1965" t="s">
        <v>2472</v>
      </c>
      <c r="C44" s="1949"/>
      <c r="D44" s="1963"/>
      <c r="E44" s="1950">
        <v>178.29</v>
      </c>
      <c r="F44" s="996" t="s">
        <v>34</v>
      </c>
      <c r="G44" s="1964">
        <v>900</v>
      </c>
      <c r="H44" s="1958">
        <f t="shared" si="0"/>
        <v>160461</v>
      </c>
      <c r="I44" s="1959">
        <v>184</v>
      </c>
      <c r="J44" s="1958">
        <f t="shared" si="1"/>
        <v>32805.360000000001</v>
      </c>
      <c r="K44" s="1959">
        <f t="shared" si="2"/>
        <v>193266.36</v>
      </c>
      <c r="L44" s="1955" t="s">
        <v>2469</v>
      </c>
    </row>
    <row r="45" spans="1:20" s="54" customFormat="1" ht="24" customHeight="1">
      <c r="A45" s="1961"/>
      <c r="B45" s="1965" t="s">
        <v>2473</v>
      </c>
      <c r="C45" s="1949"/>
      <c r="D45" s="1963"/>
      <c r="E45" s="1950">
        <v>47.5</v>
      </c>
      <c r="F45" s="996" t="s">
        <v>34</v>
      </c>
      <c r="G45" s="1964">
        <v>700</v>
      </c>
      <c r="H45" s="1958">
        <f t="shared" si="0"/>
        <v>33250</v>
      </c>
      <c r="I45" s="1959">
        <v>222</v>
      </c>
      <c r="J45" s="1958">
        <f t="shared" si="1"/>
        <v>10545</v>
      </c>
      <c r="K45" s="1959">
        <f t="shared" si="2"/>
        <v>43795</v>
      </c>
      <c r="L45" s="1955" t="s">
        <v>2469</v>
      </c>
    </row>
    <row r="46" spans="1:20" s="54" customFormat="1" ht="24" customHeight="1">
      <c r="A46" s="1961"/>
      <c r="B46" s="1965" t="s">
        <v>2474</v>
      </c>
      <c r="C46" s="1949"/>
      <c r="D46" s="1949"/>
      <c r="E46" s="1950"/>
      <c r="F46" s="1966"/>
      <c r="G46" s="1964"/>
      <c r="H46" s="1958"/>
      <c r="I46" s="1959"/>
      <c r="J46" s="1958"/>
      <c r="K46" s="1959"/>
      <c r="L46" s="1955"/>
    </row>
    <row r="47" spans="1:20" s="54" customFormat="1" ht="24" customHeight="1">
      <c r="A47" s="1961"/>
      <c r="B47" s="924" t="s">
        <v>2475</v>
      </c>
      <c r="C47" s="1949"/>
      <c r="D47" s="1949"/>
      <c r="E47" s="1950">
        <v>215.87</v>
      </c>
      <c r="F47" s="1966" t="s">
        <v>361</v>
      </c>
      <c r="G47" s="1964">
        <v>2800</v>
      </c>
      <c r="H47" s="1958">
        <f t="shared" si="0"/>
        <v>604436</v>
      </c>
      <c r="I47" s="1959"/>
      <c r="J47" s="1958"/>
      <c r="K47" s="1959">
        <f>H47+J47</f>
        <v>604436</v>
      </c>
      <c r="L47" s="1955" t="s">
        <v>2476</v>
      </c>
    </row>
    <row r="48" spans="1:20" s="54" customFormat="1" ht="24" customHeight="1">
      <c r="A48" s="1956"/>
      <c r="B48" s="924" t="s">
        <v>2477</v>
      </c>
      <c r="C48" s="1967"/>
      <c r="D48" s="1967"/>
      <c r="E48" s="1968"/>
      <c r="F48" s="1969"/>
      <c r="G48" s="1970"/>
      <c r="H48" s="1971"/>
      <c r="I48" s="1972"/>
      <c r="J48" s="1971"/>
      <c r="K48" s="1972"/>
      <c r="L48" s="1973"/>
    </row>
    <row r="49" spans="1:12" s="54" customFormat="1" ht="24" customHeight="1">
      <c r="A49" s="1947" t="s">
        <v>883</v>
      </c>
      <c r="B49" s="1948" t="s">
        <v>1022</v>
      </c>
      <c r="C49" s="1967"/>
      <c r="D49" s="1967"/>
      <c r="E49" s="1968"/>
      <c r="F49" s="1974"/>
      <c r="G49" s="1970"/>
      <c r="H49" s="1975"/>
      <c r="I49" s="1972"/>
      <c r="J49" s="1975"/>
      <c r="K49" s="1976"/>
      <c r="L49" s="1973"/>
    </row>
    <row r="50" spans="1:12" s="54" customFormat="1" ht="24" customHeight="1">
      <c r="A50" s="1977"/>
      <c r="B50" s="1978" t="s">
        <v>2478</v>
      </c>
      <c r="C50" s="1967"/>
      <c r="D50" s="1967"/>
      <c r="E50" s="1968"/>
      <c r="F50" s="1974"/>
      <c r="G50" s="1970"/>
      <c r="H50" s="1975"/>
      <c r="I50" s="1972"/>
      <c r="J50" s="1975"/>
      <c r="K50" s="1976"/>
      <c r="L50" s="1973"/>
    </row>
    <row r="51" spans="1:12" s="54" customFormat="1" ht="24" customHeight="1">
      <c r="A51" s="1961"/>
      <c r="B51" s="1965" t="s">
        <v>2479</v>
      </c>
      <c r="C51" s="1949"/>
      <c r="D51" s="1963"/>
      <c r="E51" s="1950">
        <v>4254.17</v>
      </c>
      <c r="F51" s="996" t="s">
        <v>34</v>
      </c>
      <c r="G51" s="1952">
        <v>700</v>
      </c>
      <c r="H51" s="1979">
        <f t="shared" ref="H51:H59" si="3">E51*G51</f>
        <v>2977919</v>
      </c>
      <c r="I51" s="1954">
        <v>100</v>
      </c>
      <c r="J51" s="1979">
        <f t="shared" ref="J51:J59" si="4">E51*I51</f>
        <v>425417</v>
      </c>
      <c r="K51" s="1980">
        <f>H51+J51</f>
        <v>3403336</v>
      </c>
      <c r="L51" s="1955"/>
    </row>
    <row r="52" spans="1:12" s="54" customFormat="1" ht="24" customHeight="1">
      <c r="A52" s="1961"/>
      <c r="B52" s="1965" t="s">
        <v>2480</v>
      </c>
      <c r="C52" s="1949"/>
      <c r="D52" s="1949"/>
      <c r="E52" s="1950"/>
      <c r="F52" s="1966"/>
      <c r="G52" s="1952"/>
      <c r="H52" s="1979"/>
      <c r="I52" s="1954"/>
      <c r="J52" s="1979"/>
      <c r="K52" s="1980"/>
      <c r="L52" s="1955"/>
    </row>
    <row r="53" spans="1:12" s="54" customFormat="1" ht="24" customHeight="1">
      <c r="A53" s="1961"/>
      <c r="B53" s="1965" t="s">
        <v>2481</v>
      </c>
      <c r="C53" s="1949"/>
      <c r="D53" s="1949"/>
      <c r="E53" s="1981">
        <v>1145.99</v>
      </c>
      <c r="F53" s="1966" t="s">
        <v>361</v>
      </c>
      <c r="G53" s="1952">
        <v>150</v>
      </c>
      <c r="H53" s="1979">
        <f t="shared" si="3"/>
        <v>171898.5</v>
      </c>
      <c r="I53" s="1954">
        <v>100</v>
      </c>
      <c r="J53" s="1979">
        <f t="shared" si="4"/>
        <v>114599</v>
      </c>
      <c r="K53" s="1980">
        <f>H53+J53</f>
        <v>286497.5</v>
      </c>
      <c r="L53" s="1955"/>
    </row>
    <row r="54" spans="1:12" s="54" customFormat="1" ht="24" customHeight="1">
      <c r="A54" s="1961"/>
      <c r="B54" s="1965" t="s">
        <v>2479</v>
      </c>
      <c r="C54" s="1949"/>
      <c r="D54" s="1949"/>
      <c r="E54" s="1950">
        <v>1102.33</v>
      </c>
      <c r="F54" s="996" t="s">
        <v>34</v>
      </c>
      <c r="G54" s="1952">
        <v>700</v>
      </c>
      <c r="H54" s="1979">
        <f t="shared" si="3"/>
        <v>771631</v>
      </c>
      <c r="I54" s="1954">
        <v>100</v>
      </c>
      <c r="J54" s="1979">
        <f t="shared" si="4"/>
        <v>110233</v>
      </c>
      <c r="K54" s="1980">
        <f>H54+J54</f>
        <v>881864</v>
      </c>
      <c r="L54" s="1955"/>
    </row>
    <row r="55" spans="1:12" s="54" customFormat="1" ht="24" customHeight="1">
      <c r="A55" s="1961"/>
      <c r="B55" s="1965" t="s">
        <v>2482</v>
      </c>
      <c r="C55" s="1949"/>
      <c r="D55" s="1949"/>
      <c r="E55" s="1950"/>
      <c r="F55" s="1966"/>
      <c r="G55" s="1952"/>
      <c r="H55" s="1979"/>
      <c r="I55" s="1954"/>
      <c r="J55" s="1979"/>
      <c r="K55" s="1980"/>
      <c r="L55" s="1955"/>
    </row>
    <row r="56" spans="1:12" s="54" customFormat="1" ht="24" customHeight="1">
      <c r="A56" s="2029"/>
      <c r="B56" s="2030" t="s">
        <v>2483</v>
      </c>
      <c r="C56" s="2031"/>
      <c r="D56" s="2031"/>
      <c r="E56" s="1981">
        <v>4254.17</v>
      </c>
      <c r="F56" s="2032" t="s">
        <v>34</v>
      </c>
      <c r="G56" s="2033">
        <v>150</v>
      </c>
      <c r="H56" s="2034">
        <f t="shared" ref="H56" si="5">E56*G56</f>
        <v>638125.5</v>
      </c>
      <c r="I56" s="2035">
        <v>100</v>
      </c>
      <c r="J56" s="2034">
        <f t="shared" ref="J56" si="6">E56*I56</f>
        <v>425417</v>
      </c>
      <c r="K56" s="2036">
        <f>H56+J56</f>
        <v>1063542.5</v>
      </c>
      <c r="L56" s="1981"/>
    </row>
    <row r="57" spans="1:12" s="54" customFormat="1" ht="24" customHeight="1">
      <c r="A57" s="2029"/>
      <c r="B57" s="2030" t="s">
        <v>2484</v>
      </c>
      <c r="C57" s="2031"/>
      <c r="D57" s="2031"/>
      <c r="E57" s="1981">
        <v>4254.17</v>
      </c>
      <c r="F57" s="2032" t="s">
        <v>34</v>
      </c>
      <c r="G57" s="2033">
        <v>19</v>
      </c>
      <c r="H57" s="2034">
        <f t="shared" si="3"/>
        <v>80829.23</v>
      </c>
      <c r="I57" s="2035">
        <v>5.7</v>
      </c>
      <c r="J57" s="2034">
        <f t="shared" si="4"/>
        <v>24248.769</v>
      </c>
      <c r="K57" s="2036">
        <f>H57+J57</f>
        <v>105077.999</v>
      </c>
      <c r="L57" s="1981" t="s">
        <v>2569</v>
      </c>
    </row>
    <row r="58" spans="1:12" s="54" customFormat="1" ht="24" customHeight="1">
      <c r="A58" s="2037"/>
      <c r="B58" s="2038" t="s">
        <v>2485</v>
      </c>
      <c r="C58" s="2039"/>
      <c r="D58" s="2039"/>
      <c r="E58" s="2040">
        <v>1102.33</v>
      </c>
      <c r="F58" s="2041" t="s">
        <v>34</v>
      </c>
      <c r="G58" s="2042">
        <v>0</v>
      </c>
      <c r="H58" s="2043">
        <f t="shared" si="3"/>
        <v>0</v>
      </c>
      <c r="I58" s="2042">
        <v>87</v>
      </c>
      <c r="J58" s="2043">
        <f t="shared" si="4"/>
        <v>95902.709999999992</v>
      </c>
      <c r="K58" s="2044">
        <f t="shared" ref="K58:K59" si="7">H58+J58</f>
        <v>95902.709999999992</v>
      </c>
      <c r="L58" s="2040" t="s">
        <v>2469</v>
      </c>
    </row>
    <row r="59" spans="1:12" s="54" customFormat="1" ht="24" customHeight="1">
      <c r="A59" s="2037"/>
      <c r="B59" s="2038" t="s">
        <v>2486</v>
      </c>
      <c r="C59" s="2039"/>
      <c r="D59" s="2039"/>
      <c r="E59" s="2040">
        <v>1102.33</v>
      </c>
      <c r="F59" s="2041" t="s">
        <v>34</v>
      </c>
      <c r="G59" s="2045">
        <v>850</v>
      </c>
      <c r="H59" s="2043">
        <f t="shared" si="3"/>
        <v>936980.49999999988</v>
      </c>
      <c r="I59" s="2042">
        <v>121</v>
      </c>
      <c r="J59" s="2043">
        <f t="shared" si="4"/>
        <v>133381.93</v>
      </c>
      <c r="K59" s="2044">
        <f t="shared" si="7"/>
        <v>1070362.43</v>
      </c>
      <c r="L59" s="2040" t="s">
        <v>2469</v>
      </c>
    </row>
    <row r="60" spans="1:12" s="54" customFormat="1" ht="24" customHeight="1">
      <c r="A60" s="2046" t="s">
        <v>2487</v>
      </c>
      <c r="B60" s="2047" t="s">
        <v>2488</v>
      </c>
      <c r="C60" s="2039"/>
      <c r="D60" s="2039"/>
      <c r="E60" s="2040"/>
      <c r="F60" s="2041"/>
      <c r="G60" s="2045"/>
      <c r="H60" s="2043"/>
      <c r="I60" s="2042"/>
      <c r="J60" s="2043"/>
      <c r="K60" s="2044"/>
      <c r="L60" s="2040"/>
    </row>
    <row r="61" spans="1:12" s="54" customFormat="1" ht="24" customHeight="1">
      <c r="A61" s="1977"/>
      <c r="B61" s="1978" t="s">
        <v>2489</v>
      </c>
      <c r="C61" s="1967"/>
      <c r="D61" s="1967"/>
      <c r="E61" s="1968"/>
      <c r="F61" s="1974"/>
      <c r="G61" s="1970"/>
      <c r="H61" s="1975"/>
      <c r="I61" s="1972"/>
      <c r="J61" s="1975"/>
      <c r="K61" s="1976"/>
      <c r="L61" s="1973"/>
    </row>
    <row r="62" spans="1:12" s="54" customFormat="1" ht="24" customHeight="1">
      <c r="A62" s="1977"/>
      <c r="B62" s="924" t="s">
        <v>2490</v>
      </c>
      <c r="C62" s="1967"/>
      <c r="D62" s="1967"/>
      <c r="E62" s="1968">
        <v>16.399999999999999</v>
      </c>
      <c r="F62" s="1974" t="s">
        <v>34</v>
      </c>
      <c r="G62" s="1972">
        <v>0</v>
      </c>
      <c r="H62" s="1975">
        <f>E62*G62</f>
        <v>0</v>
      </c>
      <c r="I62" s="1972">
        <v>87</v>
      </c>
      <c r="J62" s="1975">
        <f>E62*I62</f>
        <v>1426.8</v>
      </c>
      <c r="K62" s="1976">
        <f t="shared" ref="K62:K63" si="8">H62+J62</f>
        <v>1426.8</v>
      </c>
      <c r="L62" s="1973" t="s">
        <v>2469</v>
      </c>
    </row>
    <row r="63" spans="1:12" s="54" customFormat="1" ht="24" customHeight="1">
      <c r="A63" s="1977"/>
      <c r="B63" s="924" t="s">
        <v>2486</v>
      </c>
      <c r="C63" s="1967"/>
      <c r="D63" s="1967"/>
      <c r="E63" s="1968">
        <v>16.399999999999999</v>
      </c>
      <c r="F63" s="1974" t="s">
        <v>34</v>
      </c>
      <c r="G63" s="1970">
        <v>850</v>
      </c>
      <c r="H63" s="1975">
        <f>E63*G63</f>
        <v>13939.999999999998</v>
      </c>
      <c r="I63" s="1972">
        <v>121</v>
      </c>
      <c r="J63" s="1975">
        <f>E63*I63</f>
        <v>1984.3999999999999</v>
      </c>
      <c r="K63" s="1976">
        <f t="shared" si="8"/>
        <v>15924.399999999998</v>
      </c>
      <c r="L63" s="1973" t="s">
        <v>2469</v>
      </c>
    </row>
    <row r="64" spans="1:12" s="54" customFormat="1" ht="24" customHeight="1">
      <c r="A64" s="1977"/>
      <c r="B64" s="924"/>
      <c r="C64" s="1967"/>
      <c r="D64" s="1967"/>
      <c r="E64" s="1968"/>
      <c r="F64" s="1974"/>
      <c r="G64" s="1970"/>
      <c r="H64" s="1975"/>
      <c r="I64" s="1972"/>
      <c r="J64" s="1975"/>
      <c r="K64" s="1976"/>
      <c r="L64" s="1973"/>
    </row>
    <row r="65" spans="1:12" s="54" customFormat="1" ht="24" customHeight="1">
      <c r="A65" s="1947" t="s">
        <v>2491</v>
      </c>
      <c r="B65" s="1948" t="s">
        <v>2492</v>
      </c>
      <c r="C65" s="1967"/>
      <c r="D65" s="1967"/>
      <c r="E65" s="1968"/>
      <c r="F65" s="1974"/>
      <c r="G65" s="1970"/>
      <c r="H65" s="1975"/>
      <c r="I65" s="1972"/>
      <c r="J65" s="1975"/>
      <c r="K65" s="1976"/>
      <c r="L65" s="1973"/>
    </row>
    <row r="66" spans="1:12" s="54" customFormat="1" ht="24" customHeight="1">
      <c r="A66" s="1977"/>
      <c r="B66" s="924" t="s">
        <v>2493</v>
      </c>
      <c r="C66" s="1967"/>
      <c r="D66" s="1982"/>
      <c r="E66" s="1968">
        <v>66</v>
      </c>
      <c r="F66" s="928" t="s">
        <v>361</v>
      </c>
      <c r="G66" s="1970">
        <v>7800</v>
      </c>
      <c r="H66" s="1975">
        <f>E66*G66</f>
        <v>514800</v>
      </c>
      <c r="I66" s="1972">
        <v>1900</v>
      </c>
      <c r="J66" s="1975">
        <f>E66*I66</f>
        <v>125400</v>
      </c>
      <c r="K66" s="1976">
        <f t="shared" ref="K66" si="9">H66+J66</f>
        <v>640200</v>
      </c>
      <c r="L66" s="1973"/>
    </row>
    <row r="67" spans="1:12" s="54" customFormat="1" ht="24" customHeight="1">
      <c r="A67" s="1977"/>
      <c r="B67" s="924" t="s">
        <v>2494</v>
      </c>
      <c r="C67" s="1967"/>
      <c r="D67" s="1967"/>
      <c r="E67" s="1968"/>
      <c r="F67" s="1974"/>
      <c r="G67" s="1970"/>
      <c r="H67" s="1975"/>
      <c r="I67" s="1972"/>
      <c r="J67" s="1975"/>
      <c r="K67" s="1976"/>
      <c r="L67" s="1973"/>
    </row>
    <row r="68" spans="1:12" s="54" customFormat="1" ht="24" customHeight="1">
      <c r="A68" s="1947" t="s">
        <v>2495</v>
      </c>
      <c r="B68" s="1938" t="s">
        <v>2496</v>
      </c>
      <c r="C68" s="1957"/>
      <c r="D68" s="1957"/>
      <c r="E68" s="1941"/>
      <c r="F68" s="1983"/>
      <c r="G68" s="1943"/>
      <c r="H68" s="1984"/>
      <c r="I68" s="1959"/>
      <c r="J68" s="1984"/>
      <c r="K68" s="1985"/>
      <c r="L68" s="1960"/>
    </row>
    <row r="69" spans="1:12" s="54" customFormat="1" ht="24" customHeight="1">
      <c r="A69" s="1977"/>
      <c r="B69" s="924" t="s">
        <v>2497</v>
      </c>
      <c r="C69" s="1967"/>
      <c r="D69" s="1967"/>
      <c r="E69" s="1968">
        <v>277</v>
      </c>
      <c r="F69" s="1969" t="s">
        <v>363</v>
      </c>
      <c r="G69" s="1970">
        <v>500</v>
      </c>
      <c r="H69" s="1979">
        <f>E69*G69</f>
        <v>138500</v>
      </c>
      <c r="I69" s="1972">
        <v>100</v>
      </c>
      <c r="J69" s="1979">
        <f>E69*I69</f>
        <v>27700</v>
      </c>
      <c r="K69" s="1980">
        <f t="shared" ref="K69:K73" si="10">H69+J69</f>
        <v>166200</v>
      </c>
      <c r="L69" s="1973"/>
    </row>
    <row r="70" spans="1:12" s="54" customFormat="1" ht="24" customHeight="1">
      <c r="A70" s="1977"/>
      <c r="B70" s="924" t="s">
        <v>2498</v>
      </c>
      <c r="C70" s="1967"/>
      <c r="D70" s="1967"/>
      <c r="E70" s="1968">
        <v>86</v>
      </c>
      <c r="F70" s="1969" t="s">
        <v>363</v>
      </c>
      <c r="G70" s="1970">
        <v>850</v>
      </c>
      <c r="H70" s="1979">
        <f>E70*G70</f>
        <v>73100</v>
      </c>
      <c r="I70" s="1972">
        <v>100</v>
      </c>
      <c r="J70" s="1979">
        <f>E70*I70</f>
        <v>8600</v>
      </c>
      <c r="K70" s="1980">
        <f t="shared" si="10"/>
        <v>81700</v>
      </c>
      <c r="L70" s="1973"/>
    </row>
    <row r="71" spans="1:12" s="54" customFormat="1" ht="24" customHeight="1">
      <c r="A71" s="1977"/>
      <c r="B71" s="924" t="s">
        <v>2484</v>
      </c>
      <c r="C71" s="1967"/>
      <c r="D71" s="1967"/>
      <c r="E71" s="1968">
        <v>351.72</v>
      </c>
      <c r="F71" s="1969" t="s">
        <v>34</v>
      </c>
      <c r="G71" s="1952">
        <v>25</v>
      </c>
      <c r="H71" s="1979">
        <f>E71*G71</f>
        <v>8793</v>
      </c>
      <c r="I71" s="1954">
        <v>15</v>
      </c>
      <c r="J71" s="1979">
        <f>E71*I71</f>
        <v>5275.8</v>
      </c>
      <c r="K71" s="1980">
        <f t="shared" si="10"/>
        <v>14068.8</v>
      </c>
      <c r="L71" s="1973"/>
    </row>
    <row r="72" spans="1:12" s="54" customFormat="1" ht="24" customHeight="1">
      <c r="A72" s="1977"/>
      <c r="B72" s="924" t="s">
        <v>2499</v>
      </c>
      <c r="C72" s="1967"/>
      <c r="D72" s="1967"/>
      <c r="E72" s="1968">
        <v>27</v>
      </c>
      <c r="F72" s="1969" t="s">
        <v>363</v>
      </c>
      <c r="G72" s="1970">
        <v>575</v>
      </c>
      <c r="H72" s="1979">
        <f>E72*G72</f>
        <v>15525</v>
      </c>
      <c r="I72" s="1972">
        <v>50</v>
      </c>
      <c r="J72" s="1979">
        <f>E72*I72</f>
        <v>1350</v>
      </c>
      <c r="K72" s="1980">
        <f t="shared" si="10"/>
        <v>16875</v>
      </c>
      <c r="L72" s="1973"/>
    </row>
    <row r="73" spans="1:12" s="54" customFormat="1" ht="24" customHeight="1">
      <c r="A73" s="1961"/>
      <c r="B73" s="1965" t="s">
        <v>2500</v>
      </c>
      <c r="C73" s="1949"/>
      <c r="D73" s="1963"/>
      <c r="E73" s="1950">
        <v>43</v>
      </c>
      <c r="F73" s="996" t="s">
        <v>363</v>
      </c>
      <c r="G73" s="1952">
        <v>2650</v>
      </c>
      <c r="H73" s="1979">
        <f>E73*G73</f>
        <v>113950</v>
      </c>
      <c r="I73" s="1954">
        <v>0</v>
      </c>
      <c r="J73" s="1979">
        <f>E73*I73</f>
        <v>0</v>
      </c>
      <c r="K73" s="1980">
        <f t="shared" si="10"/>
        <v>113950</v>
      </c>
      <c r="L73" s="1955"/>
    </row>
    <row r="74" spans="1:12" s="54" customFormat="1" ht="24" customHeight="1">
      <c r="A74" s="1977"/>
      <c r="B74" s="924"/>
      <c r="C74" s="1967"/>
      <c r="D74" s="1967"/>
      <c r="E74" s="1968"/>
      <c r="F74" s="1974"/>
      <c r="G74" s="1970"/>
      <c r="H74" s="1975"/>
      <c r="I74" s="1972"/>
      <c r="J74" s="1975"/>
      <c r="K74" s="1976"/>
      <c r="L74" s="1973"/>
    </row>
    <row r="75" spans="1:12" s="54" customFormat="1" ht="25.15" customHeight="1">
      <c r="A75" s="1014"/>
      <c r="B75" s="2226" t="str">
        <f>"รวมราคารายการที่ "&amp;A35</f>
        <v>รวมราคารายการที่ 1.1</v>
      </c>
      <c r="C75" s="2226"/>
      <c r="D75" s="2226"/>
      <c r="E75" s="1986"/>
      <c r="F75" s="1016"/>
      <c r="G75" s="1017"/>
      <c r="H75" s="1018">
        <f>SUBTOTAL(9,H37:H74)</f>
        <v>8142315.1520000007</v>
      </c>
      <c r="I75" s="1019"/>
      <c r="J75" s="1018">
        <f>SUBTOTAL(9,J37:J74)</f>
        <v>1773133.209</v>
      </c>
      <c r="K75" s="1018">
        <f>SUBTOTAL(9,K37:K74)</f>
        <v>9915448.3610000014</v>
      </c>
      <c r="L75" s="1018"/>
    </row>
    <row r="76" spans="1:12" s="54" customFormat="1" ht="24" customHeight="1">
      <c r="A76" s="1937">
        <v>1.2</v>
      </c>
      <c r="B76" s="1938" t="s">
        <v>2501</v>
      </c>
      <c r="C76" s="1939"/>
      <c r="D76" s="1940"/>
      <c r="E76" s="1941"/>
      <c r="F76" s="1942"/>
      <c r="G76" s="1943"/>
      <c r="H76" s="1958"/>
      <c r="I76" s="1959"/>
      <c r="J76" s="1958"/>
      <c r="K76" s="1959"/>
      <c r="L76" s="1960"/>
    </row>
    <row r="77" spans="1:12" s="54" customFormat="1" ht="24" customHeight="1">
      <c r="A77" s="1937" t="s">
        <v>886</v>
      </c>
      <c r="B77" s="1948" t="s">
        <v>2502</v>
      </c>
      <c r="C77" s="1967"/>
      <c r="D77" s="1982"/>
      <c r="E77" s="1941"/>
      <c r="F77" s="1942"/>
      <c r="G77" s="1943"/>
      <c r="H77" s="1958"/>
      <c r="I77" s="1959"/>
      <c r="J77" s="1971"/>
      <c r="K77" s="1972"/>
      <c r="L77" s="1973"/>
    </row>
    <row r="78" spans="1:12" s="54" customFormat="1" ht="24" customHeight="1">
      <c r="A78" s="1937" t="s">
        <v>2503</v>
      </c>
      <c r="B78" s="1948" t="s">
        <v>2462</v>
      </c>
      <c r="C78" s="1967"/>
      <c r="D78" s="1982"/>
      <c r="E78" s="1941"/>
      <c r="F78" s="1942"/>
      <c r="G78" s="1943"/>
      <c r="H78" s="1958"/>
      <c r="I78" s="1959"/>
      <c r="J78" s="1971"/>
      <c r="K78" s="1972"/>
      <c r="L78" s="1973"/>
    </row>
    <row r="79" spans="1:12" s="54" customFormat="1" ht="24" customHeight="1">
      <c r="A79" s="1987"/>
      <c r="B79" s="924"/>
      <c r="C79" s="924" t="s">
        <v>2504</v>
      </c>
      <c r="D79" s="1982"/>
      <c r="E79" s="1941"/>
      <c r="F79" s="1942"/>
      <c r="G79" s="1943"/>
      <c r="H79" s="1958"/>
      <c r="I79" s="1959"/>
      <c r="J79" s="1971"/>
      <c r="K79" s="1972"/>
      <c r="L79" s="1973"/>
    </row>
    <row r="80" spans="1:12" s="54" customFormat="1" ht="24" customHeight="1">
      <c r="A80" s="1961"/>
      <c r="B80" s="1965"/>
      <c r="C80" s="1965" t="s">
        <v>2505</v>
      </c>
      <c r="D80" s="1963"/>
      <c r="E80" s="1950">
        <v>20</v>
      </c>
      <c r="F80" s="996" t="s">
        <v>363</v>
      </c>
      <c r="G80" s="1952">
        <v>72900</v>
      </c>
      <c r="H80" s="1979">
        <f>E80*G80</f>
        <v>1458000</v>
      </c>
      <c r="I80" s="1954">
        <v>1250</v>
      </c>
      <c r="J80" s="1979">
        <f>E80*I80</f>
        <v>25000</v>
      </c>
      <c r="K80" s="1980">
        <f>H80+J80</f>
        <v>1483000</v>
      </c>
      <c r="L80" s="1955"/>
    </row>
    <row r="81" spans="1:12" s="54" customFormat="1" ht="24" customHeight="1">
      <c r="A81" s="1988"/>
      <c r="B81" s="1989"/>
      <c r="C81" s="1989" t="s">
        <v>2506</v>
      </c>
      <c r="D81" s="1990"/>
      <c r="E81" s="1991"/>
      <c r="F81" s="1992"/>
      <c r="G81" s="1993"/>
      <c r="H81" s="1994"/>
      <c r="I81" s="1995"/>
      <c r="J81" s="1994"/>
      <c r="K81" s="1996"/>
      <c r="L81" s="1997"/>
    </row>
    <row r="82" spans="1:12" s="54" customFormat="1" ht="24" customHeight="1">
      <c r="A82" s="1956"/>
      <c r="B82" s="924"/>
      <c r="C82" s="924" t="s">
        <v>2507</v>
      </c>
      <c r="D82" s="924"/>
      <c r="E82" s="1968">
        <v>20</v>
      </c>
      <c r="F82" s="1969" t="s">
        <v>363</v>
      </c>
      <c r="G82" s="1195">
        <v>1400</v>
      </c>
      <c r="H82" s="1975">
        <f t="shared" ref="H82:H88" si="11">E82*G82</f>
        <v>28000</v>
      </c>
      <c r="I82" s="1972">
        <v>250</v>
      </c>
      <c r="J82" s="1975">
        <f t="shared" ref="J82:J88" si="12">E82*I82</f>
        <v>5000</v>
      </c>
      <c r="K82" s="1976">
        <f t="shared" ref="K82:K88" si="13">H82+J82</f>
        <v>33000</v>
      </c>
      <c r="L82" s="1973"/>
    </row>
    <row r="83" spans="1:12" s="54" customFormat="1" ht="24" customHeight="1">
      <c r="A83" s="1956"/>
      <c r="B83" s="924"/>
      <c r="C83" s="924" t="s">
        <v>2508</v>
      </c>
      <c r="D83" s="1982"/>
      <c r="E83" s="1968">
        <v>97</v>
      </c>
      <c r="F83" s="1969" t="s">
        <v>363</v>
      </c>
      <c r="G83" s="1970">
        <v>4700</v>
      </c>
      <c r="H83" s="1975">
        <f t="shared" si="11"/>
        <v>455900</v>
      </c>
      <c r="I83" s="1972">
        <v>500</v>
      </c>
      <c r="J83" s="1975">
        <f t="shared" si="12"/>
        <v>48500</v>
      </c>
      <c r="K83" s="1976">
        <f t="shared" si="13"/>
        <v>504400</v>
      </c>
      <c r="L83" s="1973"/>
    </row>
    <row r="84" spans="1:12" s="54" customFormat="1" ht="24" customHeight="1">
      <c r="A84" s="1956"/>
      <c r="B84" s="924"/>
      <c r="C84" s="924" t="s">
        <v>2509</v>
      </c>
      <c r="D84" s="1982"/>
      <c r="E84" s="1968">
        <v>25</v>
      </c>
      <c r="F84" s="1969" t="s">
        <v>363</v>
      </c>
      <c r="G84" s="1970">
        <v>16100</v>
      </c>
      <c r="H84" s="1975">
        <f t="shared" si="11"/>
        <v>402500</v>
      </c>
      <c r="I84" s="1972">
        <v>500</v>
      </c>
      <c r="J84" s="1975">
        <f t="shared" si="12"/>
        <v>12500</v>
      </c>
      <c r="K84" s="1976">
        <f t="shared" si="13"/>
        <v>415000</v>
      </c>
      <c r="L84" s="1973"/>
    </row>
    <row r="85" spans="1:12" s="54" customFormat="1" ht="24" customHeight="1">
      <c r="A85" s="1956"/>
      <c r="B85" s="924"/>
      <c r="C85" s="924" t="s">
        <v>2510</v>
      </c>
      <c r="D85" s="1982"/>
      <c r="E85" s="1968">
        <v>61</v>
      </c>
      <c r="F85" s="1969" t="s">
        <v>363</v>
      </c>
      <c r="G85" s="1970">
        <v>5500</v>
      </c>
      <c r="H85" s="1975">
        <f t="shared" si="11"/>
        <v>335500</v>
      </c>
      <c r="I85" s="1972">
        <v>350</v>
      </c>
      <c r="J85" s="1975">
        <f t="shared" si="12"/>
        <v>21350</v>
      </c>
      <c r="K85" s="1976">
        <f t="shared" si="13"/>
        <v>356850</v>
      </c>
      <c r="L85" s="1973"/>
    </row>
    <row r="86" spans="1:12" s="54" customFormat="1" ht="24" customHeight="1">
      <c r="A86" s="1956"/>
      <c r="B86" s="924"/>
      <c r="C86" s="924" t="s">
        <v>2511</v>
      </c>
      <c r="D86" s="1982"/>
      <c r="E86" s="1968">
        <v>6</v>
      </c>
      <c r="F86" s="1969" t="s">
        <v>363</v>
      </c>
      <c r="G86" s="1970">
        <v>1700</v>
      </c>
      <c r="H86" s="1975">
        <f t="shared" si="11"/>
        <v>10200</v>
      </c>
      <c r="I86" s="1972">
        <v>150</v>
      </c>
      <c r="J86" s="1975">
        <f t="shared" si="12"/>
        <v>900</v>
      </c>
      <c r="K86" s="1976">
        <f t="shared" si="13"/>
        <v>11100</v>
      </c>
      <c r="L86" s="1973"/>
    </row>
    <row r="87" spans="1:12" s="54" customFormat="1" ht="24" customHeight="1">
      <c r="A87" s="1956"/>
      <c r="B87" s="924"/>
      <c r="C87" s="924" t="s">
        <v>2512</v>
      </c>
      <c r="D87" s="1982"/>
      <c r="E87" s="1968">
        <v>40</v>
      </c>
      <c r="F87" s="1969" t="s">
        <v>361</v>
      </c>
      <c r="G87" s="1970">
        <v>1500</v>
      </c>
      <c r="H87" s="1975">
        <f t="shared" si="11"/>
        <v>60000</v>
      </c>
      <c r="I87" s="1972">
        <v>650</v>
      </c>
      <c r="J87" s="1975">
        <f t="shared" si="12"/>
        <v>26000</v>
      </c>
      <c r="K87" s="1976">
        <f t="shared" si="13"/>
        <v>86000</v>
      </c>
      <c r="L87" s="1973"/>
    </row>
    <row r="88" spans="1:12" s="54" customFormat="1" ht="24" customHeight="1">
      <c r="A88" s="1956"/>
      <c r="B88" s="924"/>
      <c r="C88" s="924" t="s">
        <v>2513</v>
      </c>
      <c r="D88" s="1982"/>
      <c r="E88" s="1968">
        <v>10</v>
      </c>
      <c r="F88" s="1969" t="s">
        <v>363</v>
      </c>
      <c r="G88" s="1970">
        <v>176</v>
      </c>
      <c r="H88" s="1975">
        <f t="shared" si="11"/>
        <v>1760</v>
      </c>
      <c r="I88" s="1972">
        <v>90</v>
      </c>
      <c r="J88" s="1975">
        <f t="shared" si="12"/>
        <v>900</v>
      </c>
      <c r="K88" s="1976">
        <f t="shared" si="13"/>
        <v>2660</v>
      </c>
      <c r="L88" s="1973"/>
    </row>
    <row r="89" spans="1:12" s="54" customFormat="1" ht="17.649999999999999" customHeight="1">
      <c r="A89" s="1956"/>
      <c r="B89" s="924"/>
      <c r="C89" s="1967"/>
      <c r="D89" s="1982"/>
      <c r="E89" s="1968"/>
      <c r="F89" s="1969"/>
      <c r="G89" s="1970"/>
      <c r="H89" s="1975"/>
      <c r="I89" s="1972"/>
      <c r="J89" s="1975"/>
      <c r="K89" s="1976"/>
      <c r="L89" s="1973"/>
    </row>
    <row r="90" spans="1:12" s="54" customFormat="1" ht="24" customHeight="1">
      <c r="A90" s="1998" t="s">
        <v>899</v>
      </c>
      <c r="B90" s="1948" t="s">
        <v>2514</v>
      </c>
      <c r="C90" s="1967"/>
      <c r="D90" s="1982"/>
      <c r="E90" s="1968"/>
      <c r="F90" s="1969"/>
      <c r="G90" s="1970"/>
      <c r="H90" s="1971"/>
      <c r="I90" s="1972"/>
      <c r="J90" s="1971"/>
      <c r="K90" s="1972"/>
      <c r="L90" s="1973"/>
    </row>
    <row r="91" spans="1:12" s="54" customFormat="1" ht="24" customHeight="1">
      <c r="A91" s="1937" t="s">
        <v>2515</v>
      </c>
      <c r="B91" s="1948" t="s">
        <v>2462</v>
      </c>
      <c r="C91" s="1967"/>
      <c r="D91" s="1982"/>
      <c r="E91" s="1941"/>
      <c r="F91" s="1942"/>
      <c r="G91" s="1943"/>
      <c r="H91" s="1958"/>
      <c r="I91" s="1959"/>
      <c r="J91" s="1971"/>
      <c r="K91" s="1972"/>
      <c r="L91" s="1973"/>
    </row>
    <row r="92" spans="1:12" s="54" customFormat="1" ht="24" customHeight="1">
      <c r="A92" s="1987"/>
      <c r="B92" s="924" t="s">
        <v>2516</v>
      </c>
      <c r="C92" s="1967"/>
      <c r="D92" s="1982"/>
      <c r="E92" s="1941"/>
      <c r="F92" s="1942"/>
      <c r="G92" s="1943"/>
      <c r="H92" s="1975"/>
      <c r="I92" s="1959"/>
      <c r="J92" s="1979"/>
      <c r="K92" s="1980"/>
      <c r="L92" s="1973"/>
    </row>
    <row r="93" spans="1:12" s="54" customFormat="1" ht="24" customHeight="1">
      <c r="A93" s="1987"/>
      <c r="B93" s="924"/>
      <c r="C93" s="924" t="s">
        <v>2517</v>
      </c>
      <c r="D93" s="1982"/>
      <c r="E93" s="1941">
        <v>50</v>
      </c>
      <c r="F93" s="1942" t="s">
        <v>361</v>
      </c>
      <c r="G93" s="1943">
        <v>70</v>
      </c>
      <c r="H93" s="1975">
        <f t="shared" ref="H93:H112" si="14">E93*G93</f>
        <v>3500</v>
      </c>
      <c r="I93" s="1959">
        <v>35</v>
      </c>
      <c r="J93" s="1979">
        <f t="shared" ref="J93:J112" si="15">E93*I93</f>
        <v>1750</v>
      </c>
      <c r="K93" s="1980">
        <f t="shared" ref="K93:K112" si="16">H93+J93</f>
        <v>5250</v>
      </c>
      <c r="L93" s="1973"/>
    </row>
    <row r="94" spans="1:12" s="54" customFormat="1" ht="24" customHeight="1">
      <c r="A94" s="2051"/>
      <c r="B94" s="2038"/>
      <c r="C94" s="2038" t="s">
        <v>2518</v>
      </c>
      <c r="D94" s="2052"/>
      <c r="E94" s="2053">
        <v>400</v>
      </c>
      <c r="F94" s="2054" t="s">
        <v>361</v>
      </c>
      <c r="G94" s="2055">
        <v>45</v>
      </c>
      <c r="H94" s="2043">
        <f t="shared" si="14"/>
        <v>18000</v>
      </c>
      <c r="I94" s="2056">
        <v>30</v>
      </c>
      <c r="J94" s="2034">
        <f t="shared" si="15"/>
        <v>12000</v>
      </c>
      <c r="K94" s="2036">
        <f t="shared" si="16"/>
        <v>30000</v>
      </c>
      <c r="L94" s="2040"/>
    </row>
    <row r="95" spans="1:12" s="54" customFormat="1" ht="24" customHeight="1">
      <c r="A95" s="2051"/>
      <c r="B95" s="2038"/>
      <c r="C95" s="2038" t="s">
        <v>2519</v>
      </c>
      <c r="D95" s="2052"/>
      <c r="E95" s="2053">
        <v>800</v>
      </c>
      <c r="F95" s="2054" t="s">
        <v>361</v>
      </c>
      <c r="G95" s="2055">
        <v>20</v>
      </c>
      <c r="H95" s="2043">
        <f t="shared" si="14"/>
        <v>16000</v>
      </c>
      <c r="I95" s="2056">
        <v>25</v>
      </c>
      <c r="J95" s="2034">
        <f t="shared" si="15"/>
        <v>20000</v>
      </c>
      <c r="K95" s="2036">
        <f t="shared" si="16"/>
        <v>36000</v>
      </c>
      <c r="L95" s="2040"/>
    </row>
    <row r="96" spans="1:12" s="54" customFormat="1" ht="24" customHeight="1">
      <c r="A96" s="2051"/>
      <c r="B96" s="2038"/>
      <c r="C96" s="2038" t="s">
        <v>2520</v>
      </c>
      <c r="D96" s="2052"/>
      <c r="E96" s="2053">
        <v>10</v>
      </c>
      <c r="F96" s="2054" t="s">
        <v>2568</v>
      </c>
      <c r="G96" s="2055">
        <v>6500</v>
      </c>
      <c r="H96" s="2043">
        <f t="shared" si="14"/>
        <v>65000</v>
      </c>
      <c r="I96" s="2056">
        <v>3000</v>
      </c>
      <c r="J96" s="2034">
        <f t="shared" si="15"/>
        <v>30000</v>
      </c>
      <c r="K96" s="2036">
        <f t="shared" si="16"/>
        <v>95000</v>
      </c>
      <c r="L96" s="2040"/>
    </row>
    <row r="97" spans="1:12" s="54" customFormat="1" ht="24" customHeight="1">
      <c r="A97" s="2051"/>
      <c r="B97" s="2038"/>
      <c r="C97" s="2038" t="s">
        <v>2521</v>
      </c>
      <c r="D97" s="2052"/>
      <c r="E97" s="2053">
        <v>0</v>
      </c>
      <c r="F97" s="2054" t="s">
        <v>2522</v>
      </c>
      <c r="G97" s="2055">
        <v>35</v>
      </c>
      <c r="H97" s="2043">
        <f t="shared" si="14"/>
        <v>0</v>
      </c>
      <c r="I97" s="2056">
        <v>10</v>
      </c>
      <c r="J97" s="2034">
        <f t="shared" si="15"/>
        <v>0</v>
      </c>
      <c r="K97" s="2036">
        <f t="shared" si="16"/>
        <v>0</v>
      </c>
      <c r="L97" s="2040"/>
    </row>
    <row r="98" spans="1:12" s="54" customFormat="1" ht="24" customHeight="1">
      <c r="A98" s="2051"/>
      <c r="B98" s="2038"/>
      <c r="C98" s="2038" t="s">
        <v>2523</v>
      </c>
      <c r="D98" s="2052"/>
      <c r="E98" s="2053">
        <v>0</v>
      </c>
      <c r="F98" s="2054" t="s">
        <v>2522</v>
      </c>
      <c r="G98" s="2055">
        <v>2200</v>
      </c>
      <c r="H98" s="2043">
        <f t="shared" si="14"/>
        <v>0</v>
      </c>
      <c r="I98" s="2056">
        <v>40</v>
      </c>
      <c r="J98" s="2034">
        <f t="shared" si="15"/>
        <v>0</v>
      </c>
      <c r="K98" s="2036">
        <f t="shared" si="16"/>
        <v>0</v>
      </c>
      <c r="L98" s="2040"/>
    </row>
    <row r="99" spans="1:12" s="54" customFormat="1" ht="24" customHeight="1">
      <c r="A99" s="2051"/>
      <c r="B99" s="2038"/>
      <c r="C99" s="2038" t="s">
        <v>2524</v>
      </c>
      <c r="D99" s="2052"/>
      <c r="E99" s="2053">
        <v>198</v>
      </c>
      <c r="F99" s="2054" t="s">
        <v>2522</v>
      </c>
      <c r="G99" s="2055">
        <v>230</v>
      </c>
      <c r="H99" s="2043">
        <f t="shared" si="14"/>
        <v>45540</v>
      </c>
      <c r="I99" s="2056">
        <v>30</v>
      </c>
      <c r="J99" s="2034">
        <f t="shared" si="15"/>
        <v>5940</v>
      </c>
      <c r="K99" s="2036">
        <f t="shared" si="16"/>
        <v>51480</v>
      </c>
      <c r="L99" s="2040"/>
    </row>
    <row r="100" spans="1:12" s="54" customFormat="1" ht="24" customHeight="1">
      <c r="A100" s="2051"/>
      <c r="B100" s="2038"/>
      <c r="C100" s="2038" t="s">
        <v>2525</v>
      </c>
      <c r="D100" s="2052"/>
      <c r="E100" s="2053">
        <f>SUM(E98:E99)</f>
        <v>198</v>
      </c>
      <c r="F100" s="2054" t="s">
        <v>363</v>
      </c>
      <c r="G100" s="2055">
        <v>180</v>
      </c>
      <c r="H100" s="2043">
        <f t="shared" si="14"/>
        <v>35640</v>
      </c>
      <c r="I100" s="2056">
        <v>30</v>
      </c>
      <c r="J100" s="2034">
        <f t="shared" si="15"/>
        <v>5940</v>
      </c>
      <c r="K100" s="2036">
        <f t="shared" si="16"/>
        <v>41580</v>
      </c>
      <c r="L100" s="2040"/>
    </row>
    <row r="101" spans="1:12" s="54" customFormat="1" ht="24" customHeight="1">
      <c r="A101" s="2051"/>
      <c r="B101" s="2038"/>
      <c r="C101" s="2038" t="s">
        <v>2526</v>
      </c>
      <c r="D101" s="2052"/>
      <c r="E101" s="2053">
        <v>10</v>
      </c>
      <c r="F101" s="2054" t="s">
        <v>174</v>
      </c>
      <c r="G101" s="2055">
        <v>4800</v>
      </c>
      <c r="H101" s="2043">
        <f t="shared" si="14"/>
        <v>48000</v>
      </c>
      <c r="I101" s="2056">
        <v>1500</v>
      </c>
      <c r="J101" s="2034">
        <f t="shared" si="15"/>
        <v>15000</v>
      </c>
      <c r="K101" s="2036">
        <f t="shared" si="16"/>
        <v>63000</v>
      </c>
      <c r="L101" s="2040"/>
    </row>
    <row r="102" spans="1:12" s="54" customFormat="1" ht="24" customHeight="1">
      <c r="A102" s="2051"/>
      <c r="B102" s="2038"/>
      <c r="C102" s="2038" t="s">
        <v>2527</v>
      </c>
      <c r="D102" s="2052"/>
      <c r="E102" s="2053">
        <v>10</v>
      </c>
      <c r="F102" s="2054" t="s">
        <v>2528</v>
      </c>
      <c r="G102" s="2055">
        <v>1200</v>
      </c>
      <c r="H102" s="2043">
        <f t="shared" si="14"/>
        <v>12000</v>
      </c>
      <c r="I102" s="2056">
        <v>300</v>
      </c>
      <c r="J102" s="2034">
        <f t="shared" si="15"/>
        <v>3000</v>
      </c>
      <c r="K102" s="2036">
        <f t="shared" si="16"/>
        <v>15000</v>
      </c>
      <c r="L102" s="2040"/>
    </row>
    <row r="103" spans="1:12" s="54" customFormat="1" ht="24" customHeight="1">
      <c r="A103" s="1987"/>
      <c r="B103" s="924"/>
      <c r="C103" s="924" t="s">
        <v>2529</v>
      </c>
      <c r="D103" s="1982"/>
      <c r="E103" s="1941">
        <v>1</v>
      </c>
      <c r="F103" s="1942" t="s">
        <v>174</v>
      </c>
      <c r="G103" s="1943">
        <v>39000</v>
      </c>
      <c r="H103" s="1975">
        <f t="shared" si="14"/>
        <v>39000</v>
      </c>
      <c r="I103" s="1959">
        <v>5000</v>
      </c>
      <c r="J103" s="1979">
        <f t="shared" si="15"/>
        <v>5000</v>
      </c>
      <c r="K103" s="1980">
        <f t="shared" si="16"/>
        <v>44000</v>
      </c>
      <c r="L103" s="1973"/>
    </row>
    <row r="104" spans="1:12" s="54" customFormat="1" ht="24" customHeight="1">
      <c r="A104" s="1987"/>
      <c r="B104" s="924"/>
      <c r="C104" s="924" t="s">
        <v>2530</v>
      </c>
      <c r="D104" s="1982"/>
      <c r="E104" s="1941">
        <v>1</v>
      </c>
      <c r="F104" s="1942" t="s">
        <v>174</v>
      </c>
      <c r="G104" s="1943">
        <v>2500</v>
      </c>
      <c r="H104" s="1975">
        <f t="shared" si="14"/>
        <v>2500</v>
      </c>
      <c r="I104" s="1959">
        <v>1000</v>
      </c>
      <c r="J104" s="1979">
        <f t="shared" si="15"/>
        <v>1000</v>
      </c>
      <c r="K104" s="1980">
        <f t="shared" si="16"/>
        <v>3500</v>
      </c>
      <c r="L104" s="1973"/>
    </row>
    <row r="105" spans="1:12" s="54" customFormat="1" ht="24" customHeight="1">
      <c r="A105" s="1987"/>
      <c r="B105" s="924"/>
      <c r="C105" s="924" t="s">
        <v>2531</v>
      </c>
      <c r="D105" s="1982"/>
      <c r="E105" s="1941">
        <v>1</v>
      </c>
      <c r="F105" s="1942" t="s">
        <v>174</v>
      </c>
      <c r="G105" s="1943">
        <v>72500</v>
      </c>
      <c r="H105" s="1975">
        <f t="shared" si="14"/>
        <v>72500</v>
      </c>
      <c r="I105" s="1959">
        <v>7500</v>
      </c>
      <c r="J105" s="1979">
        <f t="shared" si="15"/>
        <v>7500</v>
      </c>
      <c r="K105" s="1980">
        <f t="shared" si="16"/>
        <v>80000</v>
      </c>
      <c r="L105" s="1973"/>
    </row>
    <row r="106" spans="1:12" s="54" customFormat="1" ht="24" customHeight="1">
      <c r="A106" s="1987"/>
      <c r="B106" s="924"/>
      <c r="C106" s="924" t="s">
        <v>2532</v>
      </c>
      <c r="D106" s="1982"/>
      <c r="E106" s="1941">
        <v>1</v>
      </c>
      <c r="F106" s="1942" t="s">
        <v>363</v>
      </c>
      <c r="G106" s="1943">
        <v>20000</v>
      </c>
      <c r="H106" s="1975">
        <f t="shared" si="14"/>
        <v>20000</v>
      </c>
      <c r="I106" s="1959">
        <v>7500</v>
      </c>
      <c r="J106" s="1979">
        <f t="shared" si="15"/>
        <v>7500</v>
      </c>
      <c r="K106" s="1980">
        <f t="shared" si="16"/>
        <v>27500</v>
      </c>
      <c r="L106" s="1973"/>
    </row>
    <row r="107" spans="1:12" s="54" customFormat="1" ht="24" customHeight="1">
      <c r="A107" s="1987"/>
      <c r="B107" s="924"/>
      <c r="C107" s="924" t="s">
        <v>2533</v>
      </c>
      <c r="D107" s="1982"/>
      <c r="E107" s="1941">
        <v>1</v>
      </c>
      <c r="F107" s="1942" t="s">
        <v>174</v>
      </c>
      <c r="G107" s="1943">
        <v>18000</v>
      </c>
      <c r="H107" s="1975">
        <f t="shared" si="14"/>
        <v>18000</v>
      </c>
      <c r="I107" s="1959">
        <v>7500</v>
      </c>
      <c r="J107" s="1979">
        <f t="shared" si="15"/>
        <v>7500</v>
      </c>
      <c r="K107" s="1980">
        <f t="shared" si="16"/>
        <v>25500</v>
      </c>
      <c r="L107" s="1973"/>
    </row>
    <row r="108" spans="1:12" s="54" customFormat="1" ht="24" customHeight="1">
      <c r="A108" s="1987"/>
      <c r="B108" s="924"/>
      <c r="C108" s="924" t="s">
        <v>2534</v>
      </c>
      <c r="D108" s="1982"/>
      <c r="E108" s="1941">
        <v>1</v>
      </c>
      <c r="F108" s="1942" t="s">
        <v>174</v>
      </c>
      <c r="G108" s="1943">
        <v>12000</v>
      </c>
      <c r="H108" s="1975">
        <f t="shared" si="14"/>
        <v>12000</v>
      </c>
      <c r="I108" s="1959">
        <v>1000</v>
      </c>
      <c r="J108" s="1979">
        <f t="shared" si="15"/>
        <v>1000</v>
      </c>
      <c r="K108" s="1980">
        <f t="shared" si="16"/>
        <v>13000</v>
      </c>
      <c r="L108" s="1973"/>
    </row>
    <row r="109" spans="1:12" s="54" customFormat="1" ht="24" customHeight="1">
      <c r="A109" s="1987"/>
      <c r="B109" s="924"/>
      <c r="C109" s="924" t="s">
        <v>2535</v>
      </c>
      <c r="D109" s="1982"/>
      <c r="E109" s="1941">
        <v>1000</v>
      </c>
      <c r="F109" s="1942" t="s">
        <v>361</v>
      </c>
      <c r="G109" s="1943">
        <v>10</v>
      </c>
      <c r="H109" s="1975">
        <f t="shared" si="14"/>
        <v>10000</v>
      </c>
      <c r="I109" s="1959">
        <v>5</v>
      </c>
      <c r="J109" s="1979">
        <f t="shared" si="15"/>
        <v>5000</v>
      </c>
      <c r="K109" s="1980">
        <f t="shared" si="16"/>
        <v>15000</v>
      </c>
      <c r="L109" s="1973"/>
    </row>
    <row r="110" spans="1:12" s="54" customFormat="1" ht="24" customHeight="1">
      <c r="A110" s="1987"/>
      <c r="B110" s="924"/>
      <c r="C110" s="924" t="s">
        <v>2536</v>
      </c>
      <c r="D110" s="1982"/>
      <c r="E110" s="1941">
        <v>200</v>
      </c>
      <c r="F110" s="1942" t="s">
        <v>361</v>
      </c>
      <c r="G110" s="1943">
        <v>15</v>
      </c>
      <c r="H110" s="1975">
        <f t="shared" si="14"/>
        <v>3000</v>
      </c>
      <c r="I110" s="1959">
        <v>20</v>
      </c>
      <c r="J110" s="1979">
        <f t="shared" si="15"/>
        <v>4000</v>
      </c>
      <c r="K110" s="1980">
        <f t="shared" si="16"/>
        <v>7000</v>
      </c>
      <c r="L110" s="1973"/>
    </row>
    <row r="111" spans="1:12" s="54" customFormat="1" ht="24" customHeight="1">
      <c r="A111" s="1987"/>
      <c r="B111" s="924"/>
      <c r="C111" s="924" t="s">
        <v>2537</v>
      </c>
      <c r="D111" s="1982"/>
      <c r="E111" s="1941">
        <v>198</v>
      </c>
      <c r="F111" s="1942" t="s">
        <v>2539</v>
      </c>
      <c r="G111" s="1943">
        <v>15</v>
      </c>
      <c r="H111" s="1975">
        <f t="shared" si="14"/>
        <v>2970</v>
      </c>
      <c r="I111" s="1959">
        <v>10</v>
      </c>
      <c r="J111" s="1979">
        <f t="shared" si="15"/>
        <v>1980</v>
      </c>
      <c r="K111" s="1980">
        <f t="shared" si="16"/>
        <v>4950</v>
      </c>
      <c r="L111" s="1973"/>
    </row>
    <row r="112" spans="1:12" s="54" customFormat="1" ht="24" customHeight="1">
      <c r="A112" s="1987"/>
      <c r="B112" s="924"/>
      <c r="C112" s="924" t="s">
        <v>2538</v>
      </c>
      <c r="D112" s="1982"/>
      <c r="E112" s="1941">
        <v>15</v>
      </c>
      <c r="F112" s="1942" t="s">
        <v>2539</v>
      </c>
      <c r="G112" s="1943">
        <v>1500</v>
      </c>
      <c r="H112" s="1975">
        <f t="shared" si="14"/>
        <v>22500</v>
      </c>
      <c r="I112" s="1959">
        <v>500</v>
      </c>
      <c r="J112" s="1979">
        <f t="shared" si="15"/>
        <v>7500</v>
      </c>
      <c r="K112" s="1980">
        <f t="shared" si="16"/>
        <v>30000</v>
      </c>
      <c r="L112" s="1973"/>
    </row>
    <row r="113" spans="1:12" s="54" customFormat="1" ht="24" customHeight="1">
      <c r="A113" s="1987"/>
      <c r="B113" s="924"/>
      <c r="C113" s="924"/>
      <c r="D113" s="1982"/>
      <c r="E113" s="1941"/>
      <c r="F113" s="1942"/>
      <c r="G113" s="1943"/>
      <c r="H113" s="1975"/>
      <c r="I113" s="1959"/>
      <c r="J113" s="1979"/>
      <c r="K113" s="1980"/>
      <c r="L113" s="1973"/>
    </row>
    <row r="114" spans="1:12" s="54" customFormat="1" ht="24" customHeight="1">
      <c r="A114" s="1987"/>
      <c r="B114" s="924"/>
      <c r="C114" s="924"/>
      <c r="D114" s="1982"/>
      <c r="E114" s="1941"/>
      <c r="F114" s="1942"/>
      <c r="G114" s="1943"/>
      <c r="H114" s="1975"/>
      <c r="I114" s="1959"/>
      <c r="J114" s="1979"/>
      <c r="K114" s="1980"/>
      <c r="L114" s="1973"/>
    </row>
    <row r="115" spans="1:12" s="54" customFormat="1" ht="24" customHeight="1">
      <c r="A115" s="1987"/>
      <c r="B115" s="924"/>
      <c r="C115" s="924"/>
      <c r="D115" s="1982"/>
      <c r="E115" s="1941"/>
      <c r="F115" s="1942"/>
      <c r="G115" s="1943"/>
      <c r="H115" s="1975"/>
      <c r="I115" s="1959"/>
      <c r="J115" s="1979"/>
      <c r="K115" s="1980"/>
      <c r="L115" s="1973"/>
    </row>
    <row r="116" spans="1:12" s="54" customFormat="1" ht="24" customHeight="1">
      <c r="A116" s="1987"/>
      <c r="B116" s="924"/>
      <c r="C116" s="924"/>
      <c r="D116" s="1982"/>
      <c r="E116" s="1941"/>
      <c r="F116" s="1942"/>
      <c r="G116" s="1943"/>
      <c r="H116" s="1975"/>
      <c r="I116" s="1959"/>
      <c r="J116" s="1979"/>
      <c r="K116" s="1980"/>
      <c r="L116" s="1973"/>
    </row>
    <row r="117" spans="1:12" s="54" customFormat="1" ht="24" customHeight="1">
      <c r="A117" s="1987"/>
      <c r="B117" s="924"/>
      <c r="C117" s="924"/>
      <c r="D117" s="1982"/>
      <c r="E117" s="1941"/>
      <c r="F117" s="1942"/>
      <c r="G117" s="1943"/>
      <c r="H117" s="1975"/>
      <c r="I117" s="1959"/>
      <c r="J117" s="1979"/>
      <c r="K117" s="1980"/>
      <c r="L117" s="1973"/>
    </row>
    <row r="118" spans="1:12" s="54" customFormat="1" ht="24" customHeight="1">
      <c r="A118" s="1987"/>
      <c r="B118" s="924"/>
      <c r="C118" s="924"/>
      <c r="D118" s="1982"/>
      <c r="E118" s="1941"/>
      <c r="F118" s="1942"/>
      <c r="G118" s="1943"/>
      <c r="H118" s="1975"/>
      <c r="I118" s="1959"/>
      <c r="J118" s="1979"/>
      <c r="K118" s="1980"/>
      <c r="L118" s="1973"/>
    </row>
    <row r="119" spans="1:12" s="54" customFormat="1" ht="24" customHeight="1">
      <c r="A119" s="1987"/>
      <c r="B119" s="924"/>
      <c r="C119" s="924"/>
      <c r="D119" s="1982"/>
      <c r="E119" s="1941"/>
      <c r="F119" s="1942"/>
      <c r="G119" s="1943"/>
      <c r="H119" s="1975"/>
      <c r="I119" s="1959"/>
      <c r="J119" s="1979"/>
      <c r="K119" s="1980"/>
      <c r="L119" s="1973"/>
    </row>
    <row r="120" spans="1:12" s="54" customFormat="1" ht="24" customHeight="1">
      <c r="A120" s="1987"/>
      <c r="B120" s="924"/>
      <c r="C120" s="924"/>
      <c r="D120" s="1982"/>
      <c r="E120" s="1941"/>
      <c r="F120" s="1942"/>
      <c r="G120" s="1943"/>
      <c r="H120" s="1975"/>
      <c r="I120" s="1959"/>
      <c r="J120" s="1979"/>
      <c r="K120" s="1980"/>
      <c r="L120" s="1973"/>
    </row>
    <row r="121" spans="1:12" s="54" customFormat="1" ht="24" customHeight="1">
      <c r="A121" s="1987"/>
      <c r="B121" s="924"/>
      <c r="C121" s="924"/>
      <c r="D121" s="1982"/>
      <c r="E121" s="1941"/>
      <c r="F121" s="1942"/>
      <c r="G121" s="1943"/>
      <c r="H121" s="1975"/>
      <c r="I121" s="1959"/>
      <c r="J121" s="1979"/>
      <c r="K121" s="1980"/>
      <c r="L121" s="1973"/>
    </row>
    <row r="122" spans="1:12" s="54" customFormat="1" ht="24" customHeight="1">
      <c r="A122" s="1987"/>
      <c r="B122" s="924"/>
      <c r="C122" s="924"/>
      <c r="D122" s="1982"/>
      <c r="E122" s="1941"/>
      <c r="F122" s="1942"/>
      <c r="G122" s="1943"/>
      <c r="H122" s="1975"/>
      <c r="I122" s="1959"/>
      <c r="J122" s="1979"/>
      <c r="K122" s="1980"/>
      <c r="L122" s="1973"/>
    </row>
    <row r="123" spans="1:12" s="54" customFormat="1" ht="24" customHeight="1">
      <c r="A123" s="1987"/>
      <c r="B123" s="924"/>
      <c r="C123" s="924"/>
      <c r="D123" s="1982"/>
      <c r="E123" s="1941"/>
      <c r="F123" s="1942"/>
      <c r="G123" s="1943"/>
      <c r="H123" s="1975"/>
      <c r="I123" s="1959"/>
      <c r="J123" s="1979"/>
      <c r="K123" s="1980"/>
      <c r="L123" s="1973"/>
    </row>
    <row r="124" spans="1:12" s="54" customFormat="1" ht="24" customHeight="1">
      <c r="A124" s="1987"/>
      <c r="B124" s="924"/>
      <c r="C124" s="924"/>
      <c r="D124" s="1982"/>
      <c r="E124" s="1941"/>
      <c r="F124" s="1942"/>
      <c r="G124" s="1943"/>
      <c r="H124" s="1975"/>
      <c r="I124" s="1959"/>
      <c r="J124" s="1979"/>
      <c r="K124" s="1980"/>
      <c r="L124" s="1973"/>
    </row>
    <row r="125" spans="1:12" s="54" customFormat="1" ht="24" customHeight="1">
      <c r="A125" s="1987"/>
      <c r="B125" s="924"/>
      <c r="C125" s="924"/>
      <c r="D125" s="1982"/>
      <c r="E125" s="1941"/>
      <c r="F125" s="1942"/>
      <c r="G125" s="1943"/>
      <c r="H125" s="1975"/>
      <c r="I125" s="1959"/>
      <c r="J125" s="1979"/>
      <c r="K125" s="1980"/>
      <c r="L125" s="1973"/>
    </row>
    <row r="126" spans="1:12" s="54" customFormat="1" ht="24" customHeight="1">
      <c r="A126" s="1987"/>
      <c r="B126" s="924"/>
      <c r="C126" s="924"/>
      <c r="D126" s="1982"/>
      <c r="E126" s="1941"/>
      <c r="F126" s="1942"/>
      <c r="G126" s="1943"/>
      <c r="H126" s="1975"/>
      <c r="I126" s="1959"/>
      <c r="J126" s="1979"/>
      <c r="K126" s="1980"/>
      <c r="L126" s="1973"/>
    </row>
    <row r="127" spans="1:12" s="54" customFormat="1" ht="24" customHeight="1">
      <c r="A127" s="1987"/>
      <c r="B127" s="924"/>
      <c r="C127" s="924"/>
      <c r="D127" s="1982"/>
      <c r="E127" s="1941"/>
      <c r="F127" s="1942"/>
      <c r="G127" s="1943"/>
      <c r="H127" s="1975"/>
      <c r="I127" s="1959"/>
      <c r="J127" s="1979"/>
      <c r="K127" s="1980"/>
      <c r="L127" s="1973"/>
    </row>
    <row r="128" spans="1:12" s="54" customFormat="1" ht="24" customHeight="1">
      <c r="A128" s="1987"/>
      <c r="B128" s="924"/>
      <c r="C128" s="924"/>
      <c r="D128" s="1982"/>
      <c r="E128" s="1941"/>
      <c r="F128" s="1942"/>
      <c r="G128" s="1943"/>
      <c r="H128" s="1975"/>
      <c r="I128" s="1959"/>
      <c r="J128" s="1979"/>
      <c r="K128" s="1980"/>
      <c r="L128" s="1973"/>
    </row>
    <row r="129" spans="1:20" s="933" customFormat="1" ht="25.15" customHeight="1">
      <c r="A129" s="1014"/>
      <c r="B129" s="2226" t="str">
        <f>"รวมราคารายการที่ "&amp;A76</f>
        <v>รวมราคารายการที่ 1.2</v>
      </c>
      <c r="C129" s="2226"/>
      <c r="D129" s="2226"/>
      <c r="E129" s="1986"/>
      <c r="F129" s="1016"/>
      <c r="G129" s="1017"/>
      <c r="H129" s="1018">
        <f>SUBTOTAL(9,H78:H128)</f>
        <v>3198010</v>
      </c>
      <c r="I129" s="1019"/>
      <c r="J129" s="1018">
        <f>SUBTOTAL(9,J78:J128)</f>
        <v>281760</v>
      </c>
      <c r="K129" s="1018">
        <f>SUM(K80:K128)</f>
        <v>3479770</v>
      </c>
      <c r="L129" s="1018"/>
      <c r="M129" s="954"/>
      <c r="N129" s="954"/>
      <c r="O129" s="954"/>
      <c r="P129" s="954"/>
      <c r="Q129" s="954"/>
      <c r="R129" s="954"/>
      <c r="S129" s="954"/>
      <c r="T129" s="954"/>
    </row>
  </sheetData>
  <sheetProtection selectLockedCells="1" selectUnlockedCells="1"/>
  <mergeCells count="11">
    <mergeCell ref="B34:G34"/>
    <mergeCell ref="B75:D75"/>
    <mergeCell ref="B129:D129"/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&amp;Rงานภูมิสถาปัตยกรรม-อาคารด้านทิศตะวันตก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C00000"/>
  </sheetPr>
  <dimension ref="A1:N35"/>
  <sheetViews>
    <sheetView showGridLines="0" view="pageBreakPreview" topLeftCell="B9" zoomScale="85" zoomScaleNormal="60" zoomScaleSheetLayoutView="85" workbookViewId="0">
      <selection activeCell="D24" sqref="D24"/>
    </sheetView>
  </sheetViews>
  <sheetFormatPr defaultColWidth="9" defaultRowHeight="23.7"/>
  <cols>
    <col min="1" max="1" width="12" style="141" customWidth="1"/>
    <col min="2" max="3" width="7.29296875" style="65" customWidth="1"/>
    <col min="4" max="4" width="60.703125" style="65" customWidth="1"/>
    <col min="5" max="5" width="15.5859375" style="65" customWidth="1"/>
    <col min="6" max="6" width="14.29296875" style="65" customWidth="1"/>
    <col min="7" max="7" width="52" style="65" customWidth="1"/>
    <col min="8" max="8" width="32.703125" style="65" customWidth="1"/>
    <col min="9" max="92" width="7.703125" style="65" customWidth="1"/>
    <col min="93" max="16384" width="9" style="65"/>
  </cols>
  <sheetData>
    <row r="1" spans="1:8" ht="35.25" customHeight="1">
      <c r="A1" s="60"/>
      <c r="B1" s="60"/>
      <c r="C1" s="61"/>
      <c r="D1" s="61"/>
      <c r="E1" s="61"/>
      <c r="F1" s="62" t="s">
        <v>0</v>
      </c>
      <c r="G1" s="63"/>
      <c r="H1" s="64" t="s">
        <v>40</v>
      </c>
    </row>
    <row r="2" spans="1:8" ht="24" customHeight="1">
      <c r="A2" s="66"/>
      <c r="B2" s="67"/>
      <c r="C2" s="68"/>
      <c r="D2" s="69"/>
      <c r="E2" s="68"/>
      <c r="F2" s="70"/>
      <c r="G2" s="70"/>
      <c r="H2" s="71"/>
    </row>
    <row r="3" spans="1:8" ht="24" customHeight="1">
      <c r="A3" s="72" t="s">
        <v>33</v>
      </c>
      <c r="B3" s="73"/>
      <c r="C3" s="74"/>
      <c r="D3" s="75"/>
      <c r="E3" s="74"/>
      <c r="F3" s="76"/>
      <c r="G3" s="76"/>
      <c r="H3" s="77"/>
    </row>
    <row r="4" spans="1:8" ht="24" customHeight="1">
      <c r="A4" s="78"/>
      <c r="B4" s="79"/>
      <c r="C4" s="80"/>
      <c r="D4" s="44" t="s">
        <v>1068</v>
      </c>
      <c r="E4" s="80"/>
      <c r="F4" s="81"/>
      <c r="G4" s="81"/>
      <c r="H4" s="82"/>
    </row>
    <row r="5" spans="1:8" ht="24" customHeight="1">
      <c r="A5" s="72" t="s">
        <v>3</v>
      </c>
      <c r="B5" s="73"/>
      <c r="C5" s="74"/>
      <c r="D5" s="75" t="s">
        <v>21</v>
      </c>
      <c r="E5" s="83"/>
      <c r="F5" s="76"/>
      <c r="G5" s="76"/>
      <c r="H5" s="77"/>
    </row>
    <row r="6" spans="1:8" ht="24" customHeight="1">
      <c r="A6" s="84" t="s">
        <v>20</v>
      </c>
      <c r="B6" s="79"/>
      <c r="C6" s="80"/>
      <c r="D6" s="85"/>
      <c r="E6" s="80"/>
      <c r="F6" s="81"/>
      <c r="G6" s="81"/>
      <c r="H6" s="86"/>
    </row>
    <row r="7" spans="1:8" ht="24" customHeight="1">
      <c r="A7" s="87" t="s">
        <v>31</v>
      </c>
      <c r="B7" s="88"/>
      <c r="C7" s="88"/>
      <c r="D7" s="89"/>
      <c r="E7" s="88"/>
      <c r="F7" s="87" t="s">
        <v>41</v>
      </c>
      <c r="G7" s="90"/>
      <c r="H7" s="2278" t="s">
        <v>7</v>
      </c>
    </row>
    <row r="8" spans="1:8" ht="10.15" customHeight="1">
      <c r="A8" s="4"/>
      <c r="B8" s="91"/>
      <c r="C8" s="91"/>
      <c r="D8" s="92"/>
      <c r="E8" s="92"/>
      <c r="F8" s="93"/>
      <c r="G8" s="94"/>
      <c r="H8" s="2279"/>
    </row>
    <row r="9" spans="1:8" s="83" customFormat="1" ht="24" customHeight="1">
      <c r="A9" s="2280" t="s">
        <v>8</v>
      </c>
      <c r="B9" s="2282" t="s">
        <v>9</v>
      </c>
      <c r="C9" s="2283"/>
      <c r="D9" s="2284"/>
      <c r="E9" s="2288" t="s">
        <v>10</v>
      </c>
      <c r="F9" s="2288" t="s">
        <v>11</v>
      </c>
      <c r="G9" s="95" t="s">
        <v>42</v>
      </c>
      <c r="H9" s="2290" t="s">
        <v>15</v>
      </c>
    </row>
    <row r="10" spans="1:8" s="83" customFormat="1" ht="24" customHeight="1">
      <c r="A10" s="2281"/>
      <c r="B10" s="2285"/>
      <c r="C10" s="2286"/>
      <c r="D10" s="2287"/>
      <c r="E10" s="2289"/>
      <c r="F10" s="2289"/>
      <c r="G10" s="96" t="s">
        <v>43</v>
      </c>
      <c r="H10" s="2291"/>
    </row>
    <row r="11" spans="1:8" ht="24" customHeight="1">
      <c r="A11" s="97"/>
      <c r="B11" s="98" t="s">
        <v>44</v>
      </c>
      <c r="C11" s="99"/>
      <c r="D11" s="100"/>
      <c r="E11" s="101"/>
      <c r="F11" s="101"/>
      <c r="G11" s="102"/>
      <c r="H11" s="103"/>
    </row>
    <row r="12" spans="1:8" ht="24" customHeight="1">
      <c r="A12" s="104"/>
      <c r="B12" s="105"/>
      <c r="C12" s="106"/>
      <c r="D12" s="107"/>
      <c r="E12" s="108"/>
      <c r="F12" s="108"/>
      <c r="G12" s="109"/>
      <c r="H12" s="110"/>
    </row>
    <row r="13" spans="1:8" ht="24" customHeight="1">
      <c r="A13" s="111" t="s">
        <v>38</v>
      </c>
      <c r="B13" s="112" t="s">
        <v>45</v>
      </c>
      <c r="C13" s="113"/>
      <c r="D13" s="114"/>
      <c r="E13" s="115">
        <v>1</v>
      </c>
      <c r="F13" s="116" t="s">
        <v>19</v>
      </c>
      <c r="G13" s="117">
        <f>แบบแสดงการคำนวณค่าใช้จ่ายพิเศษ!F35</f>
        <v>7201100</v>
      </c>
      <c r="H13" s="118"/>
    </row>
    <row r="14" spans="1:8" ht="24" customHeight="1">
      <c r="A14" s="111" t="s">
        <v>35</v>
      </c>
      <c r="B14" s="112" t="s">
        <v>46</v>
      </c>
      <c r="C14" s="113"/>
      <c r="D14" s="114"/>
      <c r="E14" s="119">
        <v>1</v>
      </c>
      <c r="F14" s="116" t="s">
        <v>19</v>
      </c>
      <c r="G14" s="117">
        <f>แบบแสดงการคำนวณค่าใช้จ่ายพิเศษ!F79</f>
        <v>1637742</v>
      </c>
      <c r="H14" s="118"/>
    </row>
    <row r="15" spans="1:8" ht="24" customHeight="1">
      <c r="A15" s="111" t="s">
        <v>30</v>
      </c>
      <c r="B15" s="112" t="s">
        <v>47</v>
      </c>
      <c r="C15" s="106"/>
      <c r="D15" s="107"/>
      <c r="E15" s="119">
        <v>1</v>
      </c>
      <c r="F15" s="116" t="s">
        <v>19</v>
      </c>
      <c r="G15" s="117">
        <f>แบบแสดงการคำนวณค่าใช้จ่ายพิเศษ!F123</f>
        <v>1164759.2</v>
      </c>
      <c r="H15" s="120"/>
    </row>
    <row r="16" spans="1:8" ht="24" customHeight="1">
      <c r="A16" s="111" t="s">
        <v>28</v>
      </c>
      <c r="B16" s="112" t="s">
        <v>48</v>
      </c>
      <c r="C16" s="106"/>
      <c r="D16" s="107"/>
      <c r="E16" s="119">
        <v>1</v>
      </c>
      <c r="F16" s="116" t="s">
        <v>19</v>
      </c>
      <c r="G16" s="117">
        <f>แบบแสดงการคำนวณค่าใช้จ่ายพิเศษ!F165</f>
        <v>1759080</v>
      </c>
      <c r="H16" s="120"/>
    </row>
    <row r="17" spans="1:8" ht="24" customHeight="1">
      <c r="A17" s="111" t="s">
        <v>27</v>
      </c>
      <c r="B17" s="112" t="str">
        <f>แบบแสดงการคำนวณค่าใช้จ่ายพิเศษ!B192</f>
        <v>มาตรฐานอาคารเขียว</v>
      </c>
      <c r="C17" s="106"/>
      <c r="D17" s="107"/>
      <c r="E17" s="115">
        <v>1</v>
      </c>
      <c r="F17" s="116" t="s">
        <v>19</v>
      </c>
      <c r="G17" s="117">
        <f>แบบแสดงการคำนวณค่าใช้จ่ายพิเศษ!F208</f>
        <v>500000</v>
      </c>
      <c r="H17" s="120"/>
    </row>
    <row r="18" spans="1:8" ht="24" customHeight="1">
      <c r="A18" s="111" t="s">
        <v>26</v>
      </c>
      <c r="B18" s="112" t="str">
        <f>แบบแสดงการคำนวณค่าใช้จ่ายพิเศษ!B233</f>
        <v>มาตรการลดผลกระทบสิ่งแวดล้อม</v>
      </c>
      <c r="C18" s="106"/>
      <c r="D18" s="107"/>
      <c r="E18" s="119">
        <v>1</v>
      </c>
      <c r="F18" s="116" t="s">
        <v>19</v>
      </c>
      <c r="G18" s="117">
        <f>แบบแสดงการคำนวณค่าใช้จ่ายพิเศษ!F249</f>
        <v>3210000</v>
      </c>
      <c r="H18" s="120"/>
    </row>
    <row r="19" spans="1:8" ht="24" customHeight="1">
      <c r="A19" s="111" t="s">
        <v>24</v>
      </c>
      <c r="B19" s="112" t="str">
        <f>แบบแสดงการคำนวณค่าใช้จ่ายพิเศษ!B274</f>
        <v>ค่าใช้จ่ายมาตรการไม่อนุญาตให้คนงานพักในสถานที่ก่อสร้าง</v>
      </c>
      <c r="C19" s="106"/>
      <c r="D19" s="107"/>
      <c r="E19" s="119">
        <v>1</v>
      </c>
      <c r="F19" s="116" t="s">
        <v>19</v>
      </c>
      <c r="G19" s="117">
        <f>แบบแสดงการคำนวณค่าใช้จ่ายพิเศษ!F290</f>
        <v>5000000</v>
      </c>
      <c r="H19" s="120"/>
    </row>
    <row r="20" spans="1:8" ht="24" customHeight="1">
      <c r="A20" s="111" t="s">
        <v>582</v>
      </c>
      <c r="B20" s="112" t="str">
        <f>แบบแสดงการคำนวณค่าใช้จ่ายพิเศษ!B315</f>
        <v>การป้องกันทรัพย์สินอาคารเดิม</v>
      </c>
      <c r="C20" s="106"/>
      <c r="D20" s="107"/>
      <c r="E20" s="119">
        <v>1</v>
      </c>
      <c r="F20" s="116" t="s">
        <v>19</v>
      </c>
      <c r="G20" s="117">
        <f>แบบแสดงการคำนวณค่าใช้จ่ายพิเศษ!F331</f>
        <v>900000</v>
      </c>
      <c r="H20" s="120"/>
    </row>
    <row r="21" spans="1:8" ht="24" customHeight="1">
      <c r="A21" s="111"/>
      <c r="B21" s="112"/>
      <c r="C21" s="106"/>
      <c r="D21" s="107"/>
      <c r="E21" s="119"/>
      <c r="F21" s="116"/>
      <c r="G21" s="117"/>
      <c r="H21" s="120"/>
    </row>
    <row r="22" spans="1:8" ht="24" customHeight="1">
      <c r="A22" s="111"/>
      <c r="B22" s="112"/>
      <c r="C22" s="106"/>
      <c r="D22" s="107"/>
      <c r="E22" s="119"/>
      <c r="F22" s="116"/>
      <c r="G22" s="117"/>
      <c r="H22" s="120"/>
    </row>
    <row r="23" spans="1:8" ht="24" customHeight="1">
      <c r="A23" s="111"/>
      <c r="B23" s="112"/>
      <c r="C23" s="106"/>
      <c r="D23" s="107"/>
      <c r="E23" s="119"/>
      <c r="F23" s="116"/>
      <c r="G23" s="117"/>
      <c r="H23" s="120"/>
    </row>
    <row r="24" spans="1:8" ht="24" customHeight="1">
      <c r="A24" s="111"/>
      <c r="B24" s="112"/>
      <c r="C24" s="106"/>
      <c r="D24" s="107"/>
      <c r="E24" s="119"/>
      <c r="F24" s="116"/>
      <c r="G24" s="117"/>
      <c r="H24" s="120"/>
    </row>
    <row r="25" spans="1:8" ht="24" customHeight="1">
      <c r="A25" s="111"/>
      <c r="B25" s="112"/>
      <c r="C25" s="106"/>
      <c r="D25" s="107"/>
      <c r="E25" s="119"/>
      <c r="F25" s="116"/>
      <c r="G25" s="117"/>
      <c r="H25" s="120"/>
    </row>
    <row r="26" spans="1:8" ht="24" customHeight="1">
      <c r="A26" s="111"/>
      <c r="B26" s="112"/>
      <c r="C26" s="106"/>
      <c r="D26" s="107"/>
      <c r="E26" s="119"/>
      <c r="F26" s="116"/>
      <c r="G26" s="117"/>
      <c r="H26" s="120"/>
    </row>
    <row r="27" spans="1:8" ht="24" customHeight="1">
      <c r="A27" s="111"/>
      <c r="B27" s="59"/>
      <c r="C27" s="106"/>
      <c r="D27" s="107"/>
      <c r="E27" s="115"/>
      <c r="F27" s="116"/>
      <c r="G27" s="117"/>
      <c r="H27" s="121"/>
    </row>
    <row r="28" spans="1:8" ht="24" customHeight="1">
      <c r="A28" s="122"/>
      <c r="B28" s="59"/>
      <c r="C28" s="106"/>
      <c r="D28" s="107"/>
      <c r="E28" s="115"/>
      <c r="F28" s="116"/>
      <c r="G28" s="109"/>
      <c r="H28" s="110"/>
    </row>
    <row r="29" spans="1:8" ht="24" customHeight="1">
      <c r="A29" s="122"/>
      <c r="B29" s="2273"/>
      <c r="C29" s="2274"/>
      <c r="D29" s="2275"/>
      <c r="E29" s="123"/>
      <c r="F29" s="123"/>
      <c r="G29" s="124"/>
      <c r="H29" s="125"/>
    </row>
    <row r="30" spans="1:8" ht="24" customHeight="1">
      <c r="A30" s="122"/>
      <c r="B30" s="2273"/>
      <c r="C30" s="2274"/>
      <c r="D30" s="2275"/>
      <c r="E30" s="123"/>
      <c r="F30" s="123"/>
      <c r="G30" s="124"/>
      <c r="H30" s="125"/>
    </row>
    <row r="31" spans="1:8" ht="24" customHeight="1">
      <c r="A31" s="122"/>
      <c r="B31" s="126"/>
      <c r="C31" s="127"/>
      <c r="D31" s="100"/>
      <c r="E31" s="115"/>
      <c r="F31" s="116"/>
      <c r="G31" s="102"/>
      <c r="H31" s="125"/>
    </row>
    <row r="32" spans="1:8" ht="24" customHeight="1">
      <c r="A32" s="128"/>
      <c r="B32" s="126"/>
      <c r="C32" s="127"/>
      <c r="D32" s="100"/>
      <c r="E32" s="101"/>
      <c r="F32" s="101"/>
      <c r="G32" s="102"/>
      <c r="H32" s="125"/>
    </row>
    <row r="33" spans="1:14" ht="24" customHeight="1">
      <c r="A33" s="128"/>
      <c r="B33" s="126"/>
      <c r="C33" s="127"/>
      <c r="D33" s="100"/>
      <c r="E33" s="101"/>
      <c r="F33" s="101"/>
      <c r="G33" s="102"/>
      <c r="H33" s="125"/>
    </row>
    <row r="34" spans="1:14" ht="24" customHeight="1">
      <c r="A34" s="129"/>
      <c r="B34" s="130"/>
      <c r="C34" s="131"/>
      <c r="D34" s="132"/>
      <c r="E34" s="133"/>
      <c r="F34" s="133"/>
      <c r="G34" s="134"/>
      <c r="H34" s="135"/>
    </row>
    <row r="35" spans="1:14" ht="30" customHeight="1">
      <c r="A35" s="136"/>
      <c r="B35" s="2276" t="s">
        <v>49</v>
      </c>
      <c r="C35" s="2277"/>
      <c r="D35" s="2277"/>
      <c r="E35" s="137"/>
      <c r="F35" s="138"/>
      <c r="G35" s="139">
        <f>SUM(G13:G34)</f>
        <v>21372681.199999999</v>
      </c>
      <c r="H35" s="136"/>
      <c r="I35" s="140"/>
      <c r="J35" s="140"/>
      <c r="K35" s="140"/>
      <c r="L35" s="140"/>
      <c r="M35" s="140"/>
      <c r="N35" s="140"/>
    </row>
  </sheetData>
  <mergeCells count="9">
    <mergeCell ref="B29:D29"/>
    <mergeCell ref="B30:D30"/>
    <mergeCell ref="B35:D35"/>
    <mergeCell ref="H7:H8"/>
    <mergeCell ref="A9:A10"/>
    <mergeCell ref="B9:D10"/>
    <mergeCell ref="E9:E10"/>
    <mergeCell ref="F9:F10"/>
    <mergeCell ref="H9:H10"/>
  </mergeCells>
  <printOptions horizontalCentered="1"/>
  <pageMargins left="0.59055118110236227" right="0.19685039370078741" top="0.59055118110236227" bottom="0.39370078740157483" header="0.39370078740157483" footer="0.15748031496062992"/>
  <pageSetup paperSize="9" scale="65" fitToHeight="0" orientation="landscape" r:id="rId1"/>
  <headerFooter>
    <oddHeader xml:space="preserve">&amp;Rแผ่นที่ &amp;P ใน &amp;N แผ่น              </oddHeader>
    <oddFooter>&amp;Rค่าใช้จ่ายพิเศษตามข้อกำหนด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K346"/>
  <sheetViews>
    <sheetView view="pageBreakPreview" topLeftCell="A295" zoomScale="85" zoomScaleNormal="100" zoomScaleSheetLayoutView="85" workbookViewId="0">
      <selection activeCell="B282" sqref="B282:E282"/>
    </sheetView>
  </sheetViews>
  <sheetFormatPr defaultColWidth="9" defaultRowHeight="23.7"/>
  <cols>
    <col min="1" max="1" width="9.87890625" style="145" customWidth="1"/>
    <col min="2" max="2" width="23.5859375" style="207" customWidth="1"/>
    <col min="3" max="3" width="10.703125" style="145" customWidth="1"/>
    <col min="4" max="4" width="9.87890625" style="145" customWidth="1"/>
    <col min="5" max="5" width="27.29296875" style="145" customWidth="1"/>
    <col min="6" max="6" width="27" style="145" customWidth="1"/>
    <col min="7" max="7" width="15.5859375" style="145" customWidth="1"/>
    <col min="8" max="8" width="27" style="145" customWidth="1"/>
    <col min="9" max="9" width="9.29296875" style="145" bestFit="1" customWidth="1"/>
    <col min="10" max="10" width="22" style="145" customWidth="1"/>
    <col min="11" max="11" width="13" style="145" bestFit="1" customWidth="1"/>
    <col min="12" max="12" width="9.29296875" style="145" bestFit="1" customWidth="1"/>
    <col min="13" max="16384" width="9" style="145"/>
  </cols>
  <sheetData>
    <row r="1" spans="1:9" ht="22.15" customHeight="1">
      <c r="A1" s="142"/>
      <c r="B1" s="143"/>
      <c r="C1" s="142"/>
      <c r="D1" s="142"/>
      <c r="E1" s="142"/>
      <c r="F1" s="142"/>
      <c r="G1" s="142"/>
      <c r="H1" s="144"/>
    </row>
    <row r="2" spans="1:9" ht="22.15" customHeight="1">
      <c r="A2" s="2359" t="s">
        <v>50</v>
      </c>
      <c r="B2" s="2360"/>
      <c r="C2" s="2360"/>
      <c r="D2" s="2360"/>
      <c r="E2" s="2360"/>
      <c r="F2" s="2360"/>
      <c r="G2" s="2360"/>
      <c r="H2" s="2360"/>
    </row>
    <row r="3" spans="1:9" ht="22.15" customHeight="1">
      <c r="A3" s="2359" t="s">
        <v>51</v>
      </c>
      <c r="B3" s="2360"/>
      <c r="C3" s="2360"/>
      <c r="D3" s="2360"/>
      <c r="E3" s="2360"/>
      <c r="F3" s="2360"/>
      <c r="G3" s="2360"/>
      <c r="H3" s="2360"/>
    </row>
    <row r="4" spans="1:9" ht="22.15" customHeight="1">
      <c r="A4" s="146"/>
      <c r="B4" s="143"/>
      <c r="C4" s="147"/>
      <c r="D4" s="143"/>
      <c r="E4" s="143"/>
      <c r="F4" s="143"/>
      <c r="G4" s="143"/>
      <c r="H4" s="143"/>
    </row>
    <row r="5" spans="1:9" ht="22.15" customHeight="1">
      <c r="A5" s="148"/>
      <c r="B5" s="149"/>
      <c r="C5" s="149"/>
      <c r="D5" s="150"/>
      <c r="E5" s="150"/>
      <c r="F5" s="143"/>
      <c r="G5" s="143"/>
      <c r="H5" s="143"/>
    </row>
    <row r="6" spans="1:9" ht="22.15" customHeight="1">
      <c r="A6" s="151" t="s">
        <v>52</v>
      </c>
      <c r="B6" s="152"/>
      <c r="C6" s="153"/>
      <c r="D6" s="154"/>
      <c r="E6" s="154"/>
      <c r="F6" s="154"/>
      <c r="G6" s="154"/>
      <c r="H6" s="155"/>
    </row>
    <row r="7" spans="1:9" ht="22.15" customHeight="1">
      <c r="A7" s="156"/>
      <c r="B7" s="157"/>
      <c r="C7" s="44" t="s">
        <v>1068</v>
      </c>
      <c r="D7" s="158"/>
      <c r="E7" s="158"/>
      <c r="F7" s="154"/>
      <c r="G7" s="158"/>
      <c r="H7" s="159"/>
    </row>
    <row r="8" spans="1:9" ht="22.15" customHeight="1">
      <c r="A8" s="158" t="s">
        <v>53</v>
      </c>
      <c r="B8" s="157"/>
      <c r="C8" s="158" t="s">
        <v>54</v>
      </c>
      <c r="D8" s="158"/>
      <c r="E8" s="158"/>
      <c r="F8" s="160"/>
      <c r="G8" s="158"/>
      <c r="H8" s="159"/>
    </row>
    <row r="9" spans="1:9" ht="22.15" customHeight="1">
      <c r="A9" s="158" t="s">
        <v>55</v>
      </c>
      <c r="B9" s="157"/>
      <c r="C9" s="158"/>
      <c r="D9" s="161"/>
      <c r="E9" s="161"/>
      <c r="F9" s="161"/>
      <c r="G9" s="161"/>
      <c r="H9" s="159"/>
    </row>
    <row r="10" spans="1:9" ht="22.15" customHeight="1">
      <c r="A10" s="158" t="s">
        <v>96</v>
      </c>
      <c r="B10" s="157"/>
      <c r="C10" s="162"/>
      <c r="D10" s="163"/>
      <c r="E10" s="164"/>
      <c r="F10" s="164"/>
      <c r="G10" s="164"/>
      <c r="H10" s="159"/>
    </row>
    <row r="11" spans="1:9" s="65" customFormat="1" ht="25.15" customHeight="1">
      <c r="A11" s="87" t="s">
        <v>31</v>
      </c>
      <c r="B11" s="88"/>
      <c r="C11" s="88"/>
      <c r="D11" s="89"/>
      <c r="E11" s="88"/>
      <c r="F11" s="165"/>
      <c r="G11" s="166" t="s">
        <v>41</v>
      </c>
      <c r="H11" s="165"/>
      <c r="I11" s="167"/>
    </row>
    <row r="12" spans="1:9" s="65" customFormat="1" ht="25.15" customHeight="1">
      <c r="A12" s="2355" t="s">
        <v>56</v>
      </c>
      <c r="B12" s="2355"/>
      <c r="C12" s="2355"/>
      <c r="D12" s="2355"/>
      <c r="E12" s="2355"/>
      <c r="F12" s="2355"/>
      <c r="G12" s="2355"/>
      <c r="H12" s="2355"/>
      <c r="I12" s="167"/>
    </row>
    <row r="13" spans="1:9" s="65" customFormat="1" ht="35.65" customHeight="1">
      <c r="A13" s="2337" t="s">
        <v>57</v>
      </c>
      <c r="B13" s="2337"/>
      <c r="C13" s="2337"/>
      <c r="D13" s="2337"/>
      <c r="E13" s="2337"/>
      <c r="F13" s="2337"/>
      <c r="G13" s="2337"/>
      <c r="H13" s="2337"/>
      <c r="I13" s="167"/>
    </row>
    <row r="14" spans="1:9" s="65" customFormat="1" ht="25.15" customHeight="1">
      <c r="A14" s="87" t="s">
        <v>58</v>
      </c>
      <c r="B14" s="88"/>
      <c r="C14" s="88"/>
      <c r="D14" s="89"/>
      <c r="E14" s="88"/>
      <c r="F14" s="168"/>
      <c r="G14" s="166"/>
      <c r="H14" s="168"/>
      <c r="I14" s="167"/>
    </row>
    <row r="15" spans="1:9" s="65" customFormat="1" ht="24" customHeight="1">
      <c r="A15" s="169"/>
      <c r="B15" s="167"/>
      <c r="C15" s="167"/>
      <c r="D15" s="170"/>
      <c r="E15" s="167"/>
      <c r="F15" s="171"/>
      <c r="G15" s="172"/>
      <c r="H15" s="173" t="s">
        <v>59</v>
      </c>
      <c r="I15" s="167"/>
    </row>
    <row r="16" spans="1:9" ht="10.5" customHeight="1">
      <c r="A16" s="163"/>
      <c r="B16" s="174"/>
      <c r="C16" s="175"/>
      <c r="D16" s="142"/>
      <c r="E16" s="142"/>
      <c r="F16" s="142"/>
      <c r="G16" s="142"/>
      <c r="H16" s="176"/>
    </row>
    <row r="17" spans="1:10" ht="22.15" customHeight="1">
      <c r="A17" s="2338" t="s">
        <v>8</v>
      </c>
      <c r="B17" s="2340" t="s">
        <v>60</v>
      </c>
      <c r="C17" s="2341"/>
      <c r="D17" s="2341"/>
      <c r="E17" s="2342"/>
      <c r="F17" s="2338" t="s">
        <v>10</v>
      </c>
      <c r="G17" s="2346" t="s">
        <v>15</v>
      </c>
      <c r="H17" s="2347"/>
    </row>
    <row r="18" spans="1:10" ht="22.15" customHeight="1" thickBot="1">
      <c r="A18" s="2339"/>
      <c r="B18" s="2343"/>
      <c r="C18" s="2344"/>
      <c r="D18" s="2344"/>
      <c r="E18" s="2345"/>
      <c r="F18" s="2339"/>
      <c r="G18" s="2348"/>
      <c r="H18" s="2349"/>
    </row>
    <row r="19" spans="1:10" ht="25.15" customHeight="1" thickTop="1">
      <c r="A19" s="177">
        <v>1</v>
      </c>
      <c r="B19" s="2350" t="s">
        <v>61</v>
      </c>
      <c r="C19" s="2351"/>
      <c r="D19" s="2351"/>
      <c r="E19" s="2352"/>
      <c r="F19" s="178">
        <f>(120000*18*2)+(120000*2)+(40000*2)+(120000*2)+(110000*2)+(80000*18*1)+(80000*1)+(80000*1)+(30000*1)</f>
        <v>6730000</v>
      </c>
      <c r="G19" s="2353"/>
      <c r="H19" s="2354"/>
    </row>
    <row r="20" spans="1:10" ht="22.15" customHeight="1">
      <c r="A20" s="179"/>
      <c r="B20" s="2323" t="s">
        <v>62</v>
      </c>
      <c r="C20" s="2315"/>
      <c r="D20" s="2315"/>
      <c r="E20" s="2316"/>
      <c r="F20" s="180"/>
      <c r="G20" s="2335"/>
      <c r="H20" s="2336"/>
      <c r="J20" s="27"/>
    </row>
    <row r="21" spans="1:10" ht="22.15" customHeight="1">
      <c r="A21" s="181"/>
      <c r="B21" s="2323" t="s">
        <v>1064</v>
      </c>
      <c r="C21" s="2315"/>
      <c r="D21" s="2315"/>
      <c r="E21" s="2316"/>
      <c r="F21" s="178"/>
      <c r="G21" s="2335"/>
      <c r="H21" s="2336"/>
      <c r="J21" s="27"/>
    </row>
    <row r="22" spans="1:10" ht="22.15" customHeight="1">
      <c r="A22" s="181"/>
      <c r="B22" s="2323" t="s">
        <v>63</v>
      </c>
      <c r="C22" s="2315"/>
      <c r="D22" s="2315"/>
      <c r="E22" s="2316"/>
      <c r="F22" s="178"/>
      <c r="G22" s="2335"/>
      <c r="H22" s="2336"/>
    </row>
    <row r="23" spans="1:10" ht="22.15" customHeight="1">
      <c r="A23" s="181"/>
      <c r="B23" s="2323" t="s">
        <v>64</v>
      </c>
      <c r="C23" s="2315"/>
      <c r="D23" s="2315"/>
      <c r="E23" s="2316"/>
      <c r="F23" s="178"/>
      <c r="G23" s="2335"/>
      <c r="H23" s="2336"/>
      <c r="J23" s="27"/>
    </row>
    <row r="24" spans="1:10" ht="22.15" customHeight="1">
      <c r="A24" s="181"/>
      <c r="B24" s="2323" t="s">
        <v>65</v>
      </c>
      <c r="C24" s="2315"/>
      <c r="D24" s="2315"/>
      <c r="E24" s="2316"/>
      <c r="F24" s="178"/>
      <c r="G24" s="2335"/>
      <c r="H24" s="2336"/>
    </row>
    <row r="25" spans="1:10" ht="22.15" customHeight="1">
      <c r="A25" s="181"/>
      <c r="B25" s="2323" t="s">
        <v>66</v>
      </c>
      <c r="C25" s="2315"/>
      <c r="D25" s="2315"/>
      <c r="E25" s="2316"/>
      <c r="F25" s="178"/>
      <c r="G25" s="2335"/>
      <c r="H25" s="2336"/>
    </row>
    <row r="26" spans="1:10" ht="22.15" customHeight="1">
      <c r="A26" s="182"/>
      <c r="B26" s="2356" t="s">
        <v>67</v>
      </c>
      <c r="C26" s="2357"/>
      <c r="D26" s="2357"/>
      <c r="E26" s="2358"/>
      <c r="F26" s="178"/>
      <c r="G26" s="2335"/>
      <c r="H26" s="2336"/>
    </row>
    <row r="27" spans="1:10" s="185" customFormat="1" ht="22.15" customHeight="1">
      <c r="A27" s="183"/>
      <c r="B27" s="2323" t="s">
        <v>1065</v>
      </c>
      <c r="C27" s="2315"/>
      <c r="D27" s="2315"/>
      <c r="E27" s="2316"/>
      <c r="F27" s="184"/>
      <c r="G27" s="2335"/>
      <c r="H27" s="2336"/>
      <c r="J27" s="186"/>
    </row>
    <row r="28" spans="1:10" s="185" customFormat="1" ht="22.15" customHeight="1">
      <c r="A28" s="183"/>
      <c r="B28" s="2323" t="s">
        <v>68</v>
      </c>
      <c r="C28" s="2315"/>
      <c r="D28" s="2315"/>
      <c r="E28" s="2316"/>
      <c r="F28" s="184"/>
      <c r="G28" s="2335"/>
      <c r="H28" s="2336"/>
    </row>
    <row r="29" spans="1:10" ht="22.15" customHeight="1">
      <c r="A29" s="181"/>
      <c r="B29" s="2323" t="s">
        <v>69</v>
      </c>
      <c r="C29" s="2315"/>
      <c r="D29" s="2315"/>
      <c r="E29" s="2316"/>
      <c r="F29" s="187"/>
      <c r="G29" s="2335"/>
      <c r="H29" s="2336"/>
    </row>
    <row r="30" spans="1:10" s="185" customFormat="1" ht="22.15" customHeight="1">
      <c r="A30" s="183"/>
      <c r="B30" s="2323" t="s">
        <v>70</v>
      </c>
      <c r="C30" s="2315"/>
      <c r="D30" s="2315"/>
      <c r="E30" s="2316"/>
      <c r="F30" s="184"/>
      <c r="G30" s="2335"/>
      <c r="H30" s="2336"/>
    </row>
    <row r="31" spans="1:10" s="185" customFormat="1" ht="22.15" customHeight="1">
      <c r="A31" s="183"/>
      <c r="B31" s="2314"/>
      <c r="C31" s="2315"/>
      <c r="D31" s="2315"/>
      <c r="E31" s="2316"/>
      <c r="F31" s="180"/>
      <c r="G31" s="2335"/>
      <c r="H31" s="2336"/>
    </row>
    <row r="32" spans="1:10" ht="22.15" customHeight="1" thickBot="1">
      <c r="A32" s="188"/>
      <c r="B32" s="2330"/>
      <c r="C32" s="2331"/>
      <c r="D32" s="2331"/>
      <c r="E32" s="2332"/>
      <c r="F32" s="189"/>
      <c r="G32" s="2328"/>
      <c r="H32" s="2329"/>
    </row>
    <row r="33" spans="1:8" s="193" customFormat="1" ht="25.15" customHeight="1" thickTop="1" thickBot="1">
      <c r="A33" s="190"/>
      <c r="B33" s="191"/>
      <c r="C33" s="191"/>
      <c r="D33" s="2333" t="s">
        <v>71</v>
      </c>
      <c r="E33" s="2334"/>
      <c r="F33" s="192">
        <f>SUM(F19:F32)</f>
        <v>6730000</v>
      </c>
      <c r="G33" s="2328"/>
      <c r="H33" s="2329"/>
    </row>
    <row r="34" spans="1:8" s="195" customFormat="1" ht="22.15" customHeight="1" thickTop="1" thickBot="1">
      <c r="A34" s="194"/>
      <c r="B34" s="193"/>
      <c r="C34" s="193"/>
      <c r="D34" s="2326" t="s">
        <v>72</v>
      </c>
      <c r="E34" s="2327"/>
      <c r="F34" s="192">
        <f>F33*7%</f>
        <v>471100.00000000006</v>
      </c>
      <c r="G34" s="2328"/>
      <c r="H34" s="2329"/>
    </row>
    <row r="35" spans="1:8" s="195" customFormat="1" ht="22.15" customHeight="1" thickTop="1" thickBot="1">
      <c r="A35" s="194"/>
      <c r="B35" s="193"/>
      <c r="C35" s="193"/>
      <c r="D35" s="2326" t="s">
        <v>73</v>
      </c>
      <c r="E35" s="2327"/>
      <c r="F35" s="192">
        <f>F33+F34</f>
        <v>7201100</v>
      </c>
      <c r="G35" s="2328"/>
      <c r="H35" s="2329"/>
    </row>
    <row r="36" spans="1:8" s="195" customFormat="1" ht="22.15" customHeight="1" thickTop="1">
      <c r="A36" s="194"/>
      <c r="B36" s="185"/>
      <c r="C36" s="196"/>
      <c r="D36" s="197"/>
      <c r="G36" s="198"/>
      <c r="H36" s="199"/>
    </row>
    <row r="37" spans="1:8" s="195" customFormat="1" ht="22.15" customHeight="1">
      <c r="B37" s="185"/>
      <c r="C37" s="196"/>
      <c r="D37" s="197"/>
      <c r="F37" s="200"/>
      <c r="G37" s="201"/>
      <c r="H37" s="199"/>
    </row>
    <row r="38" spans="1:8" s="195" customFormat="1" ht="22.15" customHeight="1">
      <c r="B38" s="185"/>
      <c r="C38" s="196"/>
      <c r="D38" s="197"/>
      <c r="F38" s="200"/>
      <c r="G38" s="201"/>
      <c r="H38" s="199"/>
    </row>
    <row r="39" spans="1:8" s="195" customFormat="1" ht="22.15" customHeight="1">
      <c r="B39" s="185"/>
      <c r="C39" s="196"/>
      <c r="D39" s="197"/>
      <c r="F39" s="200"/>
      <c r="G39" s="201"/>
      <c r="H39" s="199"/>
    </row>
    <row r="40" spans="1:8" s="195" customFormat="1" ht="22.15" customHeight="1">
      <c r="B40" s="185"/>
      <c r="C40" s="196"/>
      <c r="D40" s="197"/>
      <c r="F40" s="200"/>
      <c r="G40" s="201"/>
      <c r="H40" s="199"/>
    </row>
    <row r="41" spans="1:8" s="195" customFormat="1" ht="22.15" customHeight="1">
      <c r="B41" s="185"/>
      <c r="C41" s="196"/>
      <c r="D41" s="197"/>
      <c r="F41" s="200"/>
      <c r="G41" s="201"/>
      <c r="H41" s="199"/>
    </row>
    <row r="42" spans="1:8" s="195" customFormat="1" ht="22.15" customHeight="1">
      <c r="B42" s="185"/>
      <c r="C42" s="196"/>
      <c r="D42" s="197"/>
      <c r="F42" s="200"/>
      <c r="G42" s="201"/>
      <c r="H42" s="199"/>
    </row>
    <row r="43" spans="1:8" s="195" customFormat="1" ht="22.15" customHeight="1">
      <c r="B43" s="185"/>
      <c r="C43" s="196"/>
      <c r="D43" s="197"/>
      <c r="F43" s="200"/>
      <c r="G43" s="201"/>
      <c r="H43" s="199"/>
    </row>
    <row r="44" spans="1:8" s="195" customFormat="1" ht="22.15" customHeight="1">
      <c r="B44" s="185"/>
      <c r="C44" s="196"/>
      <c r="D44" s="197"/>
      <c r="F44" s="200"/>
      <c r="G44" s="201"/>
      <c r="H44" s="199"/>
    </row>
    <row r="45" spans="1:8" s="195" customFormat="1" ht="22.15" customHeight="1">
      <c r="B45" s="185"/>
      <c r="C45" s="196"/>
      <c r="D45" s="197"/>
      <c r="F45" s="200"/>
      <c r="G45" s="201"/>
      <c r="H45" s="199"/>
    </row>
    <row r="46" spans="1:8" s="195" customFormat="1" ht="22.15" customHeight="1">
      <c r="B46" s="185"/>
      <c r="C46" s="196"/>
      <c r="D46" s="197"/>
      <c r="F46" s="200"/>
      <c r="G46" s="201"/>
      <c r="H46" s="199"/>
    </row>
    <row r="47" spans="1:8" s="195" customFormat="1" ht="22.15" customHeight="1">
      <c r="B47" s="185"/>
      <c r="C47" s="196"/>
      <c r="D47" s="197"/>
      <c r="F47" s="200"/>
      <c r="G47" s="201"/>
      <c r="H47" s="199"/>
    </row>
    <row r="48" spans="1:8" s="195" customFormat="1" ht="22.15" customHeight="1">
      <c r="B48" s="185"/>
      <c r="C48" s="196"/>
      <c r="D48" s="197"/>
      <c r="F48" s="200"/>
      <c r="G48" s="201"/>
      <c r="H48" s="199"/>
    </row>
    <row r="49" spans="1:11" s="195" customFormat="1" ht="22.15" customHeight="1">
      <c r="B49" s="185"/>
      <c r="C49" s="196"/>
      <c r="D49" s="197"/>
      <c r="F49" s="200"/>
      <c r="G49" s="201"/>
      <c r="H49" s="199"/>
    </row>
    <row r="50" spans="1:11" s="195" customFormat="1" ht="22.15" customHeight="1">
      <c r="B50" s="185"/>
      <c r="C50" s="196"/>
      <c r="D50" s="197"/>
      <c r="F50" s="200"/>
      <c r="G50" s="201"/>
      <c r="H50" s="199"/>
    </row>
    <row r="51" spans="1:11" s="195" customFormat="1" ht="22.15" customHeight="1">
      <c r="B51" s="185"/>
      <c r="C51" s="196"/>
      <c r="D51" s="197"/>
      <c r="F51" s="200"/>
      <c r="G51" s="201"/>
      <c r="H51" s="199"/>
    </row>
    <row r="52" spans="1:11" s="195" customFormat="1" ht="22.15" customHeight="1">
      <c r="B52" s="185"/>
      <c r="C52" s="196"/>
      <c r="D52" s="197"/>
      <c r="F52" s="200"/>
      <c r="G52" s="201"/>
      <c r="H52" s="199"/>
      <c r="K52" s="202"/>
    </row>
    <row r="53" spans="1:11" s="195" customFormat="1" ht="22.15" customHeight="1">
      <c r="B53" s="185"/>
      <c r="C53" s="196"/>
      <c r="D53" s="197"/>
      <c r="F53" s="200"/>
      <c r="G53" s="201"/>
      <c r="H53" s="199"/>
    </row>
    <row r="54" spans="1:11" s="195" customFormat="1" ht="22.15" customHeight="1">
      <c r="B54" s="185"/>
      <c r="C54" s="196"/>
      <c r="D54" s="197"/>
      <c r="F54" s="200"/>
      <c r="G54" s="201"/>
      <c r="H54" s="199"/>
    </row>
    <row r="55" spans="1:11" s="195" customFormat="1" ht="22.15" customHeight="1">
      <c r="B55" s="185"/>
      <c r="C55" s="196"/>
      <c r="D55" s="197"/>
      <c r="F55" s="200"/>
      <c r="G55" s="201"/>
      <c r="H55" s="199"/>
    </row>
    <row r="56" spans="1:11" s="65" customFormat="1" ht="25.15" customHeight="1">
      <c r="A56" s="2355" t="s">
        <v>56</v>
      </c>
      <c r="B56" s="2355"/>
      <c r="C56" s="2355"/>
      <c r="D56" s="2355"/>
      <c r="E56" s="2355"/>
      <c r="F56" s="2355"/>
      <c r="G56" s="2355"/>
      <c r="H56" s="2355"/>
      <c r="I56" s="167"/>
    </row>
    <row r="57" spans="1:11" s="65" customFormat="1" ht="36" customHeight="1">
      <c r="A57" s="2337" t="s">
        <v>74</v>
      </c>
      <c r="B57" s="2337"/>
      <c r="C57" s="2337"/>
      <c r="D57" s="2337"/>
      <c r="E57" s="2337"/>
      <c r="F57" s="2337"/>
      <c r="G57" s="2337"/>
      <c r="H57" s="2337"/>
      <c r="I57" s="167"/>
    </row>
    <row r="58" spans="1:11" s="65" customFormat="1" ht="25.15" customHeight="1">
      <c r="A58" s="87" t="s">
        <v>58</v>
      </c>
      <c r="B58" s="88"/>
      <c r="C58" s="88"/>
      <c r="D58" s="89"/>
      <c r="E58" s="88"/>
      <c r="F58" s="168"/>
      <c r="G58" s="166"/>
      <c r="H58" s="168"/>
      <c r="I58" s="167"/>
    </row>
    <row r="59" spans="1:11" s="65" customFormat="1" ht="24" customHeight="1">
      <c r="A59" s="169"/>
      <c r="B59" s="167"/>
      <c r="C59" s="167"/>
      <c r="D59" s="170"/>
      <c r="E59" s="167"/>
      <c r="F59" s="171"/>
      <c r="G59" s="172"/>
      <c r="H59" s="173" t="s">
        <v>59</v>
      </c>
      <c r="I59" s="167"/>
    </row>
    <row r="60" spans="1:11" ht="10.5" customHeight="1">
      <c r="A60" s="163"/>
      <c r="B60" s="174"/>
      <c r="C60" s="175"/>
      <c r="D60" s="142"/>
      <c r="E60" s="142"/>
      <c r="F60" s="142"/>
      <c r="G60" s="142"/>
      <c r="H60" s="176"/>
    </row>
    <row r="61" spans="1:11" ht="22.15" customHeight="1">
      <c r="A61" s="2338" t="s">
        <v>8</v>
      </c>
      <c r="B61" s="2340" t="s">
        <v>60</v>
      </c>
      <c r="C61" s="2341"/>
      <c r="D61" s="2341"/>
      <c r="E61" s="2342"/>
      <c r="F61" s="2338" t="s">
        <v>10</v>
      </c>
      <c r="G61" s="2346" t="s">
        <v>15</v>
      </c>
      <c r="H61" s="2347"/>
    </row>
    <row r="62" spans="1:11" ht="22.15" customHeight="1" thickBot="1">
      <c r="A62" s="2339"/>
      <c r="B62" s="2343"/>
      <c r="C62" s="2344"/>
      <c r="D62" s="2344"/>
      <c r="E62" s="2345"/>
      <c r="F62" s="2339"/>
      <c r="G62" s="2348"/>
      <c r="H62" s="2349"/>
    </row>
    <row r="63" spans="1:11" ht="25.15" customHeight="1" thickTop="1">
      <c r="A63" s="177">
        <v>2</v>
      </c>
      <c r="B63" s="2350" t="s">
        <v>75</v>
      </c>
      <c r="C63" s="2351"/>
      <c r="D63" s="2351"/>
      <c r="E63" s="2352"/>
      <c r="F63" s="178">
        <f>J64*100</f>
        <v>1530600</v>
      </c>
      <c r="G63" s="2353"/>
      <c r="H63" s="2354"/>
      <c r="J63" s="203">
        <f>'01.ST อาคารทิศตะวันตก'!O41</f>
        <v>15305.119999999999</v>
      </c>
    </row>
    <row r="64" spans="1:11" ht="22.15" customHeight="1">
      <c r="A64" s="179"/>
      <c r="B64" s="2322" t="s">
        <v>76</v>
      </c>
      <c r="C64" s="2315"/>
      <c r="D64" s="2315"/>
      <c r="E64" s="2316"/>
      <c r="F64" s="180"/>
      <c r="G64" s="2335"/>
      <c r="H64" s="2336"/>
      <c r="J64" s="1109">
        <f>ROUNDUP(J63,0)</f>
        <v>15306</v>
      </c>
    </row>
    <row r="65" spans="1:10" ht="22.15" customHeight="1">
      <c r="A65" s="181"/>
      <c r="B65" s="2323" t="str">
        <f>"คอนกรีตพื้นประมาณ "&amp;J64&amp;" ลูกบาศก์เมตร เป็นเงิน "&amp;J64&amp;" x 100 = "&amp;J65&amp;" บาท"</f>
        <v>คอนกรีตพื้นประมาณ 15306 ลูกบาศก์เมตร เป็นเงิน 15306 x 100 = 1530600 บาท</v>
      </c>
      <c r="C65" s="2315"/>
      <c r="D65" s="2315"/>
      <c r="E65" s="2316"/>
      <c r="F65" s="178"/>
      <c r="G65" s="2335"/>
      <c r="H65" s="2336"/>
      <c r="J65" s="1109">
        <f>J64*100</f>
        <v>1530600</v>
      </c>
    </row>
    <row r="66" spans="1:10" ht="22.15" customHeight="1">
      <c r="A66" s="181"/>
      <c r="B66" s="2314"/>
      <c r="C66" s="2315"/>
      <c r="D66" s="2315"/>
      <c r="E66" s="2316"/>
      <c r="F66" s="178"/>
      <c r="G66" s="2335"/>
      <c r="H66" s="2336"/>
      <c r="J66" s="27"/>
    </row>
    <row r="67" spans="1:10" ht="22.15" customHeight="1">
      <c r="A67" s="181"/>
      <c r="B67" s="2314"/>
      <c r="C67" s="2315"/>
      <c r="D67" s="2315"/>
      <c r="E67" s="2316"/>
      <c r="F67" s="178"/>
      <c r="G67" s="2335"/>
      <c r="H67" s="2336"/>
    </row>
    <row r="68" spans="1:10" ht="22.15" customHeight="1">
      <c r="A68" s="181"/>
      <c r="B68" s="2314"/>
      <c r="C68" s="2315"/>
      <c r="D68" s="2315"/>
      <c r="E68" s="2316"/>
      <c r="F68" s="178"/>
      <c r="G68" s="2335"/>
      <c r="H68" s="2336"/>
    </row>
    <row r="69" spans="1:10" ht="22.15" customHeight="1">
      <c r="A69" s="181"/>
      <c r="B69" s="2314"/>
      <c r="C69" s="2315"/>
      <c r="D69" s="2315"/>
      <c r="E69" s="2316"/>
      <c r="F69" s="178"/>
      <c r="G69" s="2335"/>
      <c r="H69" s="2336"/>
      <c r="J69" s="203"/>
    </row>
    <row r="70" spans="1:10" ht="22.15" customHeight="1">
      <c r="A70" s="182"/>
      <c r="B70" s="2314"/>
      <c r="C70" s="2315"/>
      <c r="D70" s="2315"/>
      <c r="E70" s="2316"/>
      <c r="F70" s="178"/>
      <c r="G70" s="2335"/>
      <c r="H70" s="2336"/>
    </row>
    <row r="71" spans="1:10" s="185" customFormat="1" ht="22.15" customHeight="1">
      <c r="A71" s="183"/>
      <c r="B71" s="2314"/>
      <c r="C71" s="2315"/>
      <c r="D71" s="2315"/>
      <c r="E71" s="2316"/>
      <c r="F71" s="184"/>
      <c r="G71" s="2335"/>
      <c r="H71" s="2336"/>
    </row>
    <row r="72" spans="1:10" s="185" customFormat="1" ht="22.15" customHeight="1">
      <c r="A72" s="183"/>
      <c r="B72" s="2314"/>
      <c r="C72" s="2315"/>
      <c r="D72" s="2315"/>
      <c r="E72" s="2316"/>
      <c r="F72" s="184"/>
      <c r="G72" s="2335"/>
      <c r="H72" s="2336"/>
    </row>
    <row r="73" spans="1:10" ht="22.15" customHeight="1">
      <c r="A73" s="181"/>
      <c r="B73" s="2314"/>
      <c r="C73" s="2315"/>
      <c r="D73" s="2315"/>
      <c r="E73" s="2316"/>
      <c r="F73" s="187"/>
      <c r="G73" s="2335"/>
      <c r="H73" s="2336"/>
    </row>
    <row r="74" spans="1:10" s="185" customFormat="1" ht="22.15" customHeight="1">
      <c r="A74" s="183"/>
      <c r="B74" s="2314"/>
      <c r="C74" s="2315"/>
      <c r="D74" s="2315"/>
      <c r="E74" s="2316"/>
      <c r="F74" s="184"/>
      <c r="G74" s="2335"/>
      <c r="H74" s="2336"/>
    </row>
    <row r="75" spans="1:10" s="185" customFormat="1" ht="22.15" customHeight="1">
      <c r="A75" s="183"/>
      <c r="B75" s="2314"/>
      <c r="C75" s="2315"/>
      <c r="D75" s="2315"/>
      <c r="E75" s="2316"/>
      <c r="F75" s="180"/>
      <c r="G75" s="2335"/>
      <c r="H75" s="2336"/>
    </row>
    <row r="76" spans="1:10" ht="22.15" customHeight="1" thickBot="1">
      <c r="A76" s="188"/>
      <c r="B76" s="2330"/>
      <c r="C76" s="2331"/>
      <c r="D76" s="2331"/>
      <c r="E76" s="2332"/>
      <c r="F76" s="189"/>
      <c r="G76" s="2328"/>
      <c r="H76" s="2329"/>
    </row>
    <row r="77" spans="1:10" s="193" customFormat="1" ht="25.15" customHeight="1" thickTop="1" thickBot="1">
      <c r="A77" s="190"/>
      <c r="B77" s="2333" t="s">
        <v>71</v>
      </c>
      <c r="C77" s="2333"/>
      <c r="D77" s="2333"/>
      <c r="E77" s="2334"/>
      <c r="F77" s="192">
        <f>SUM(F63:F76)</f>
        <v>1530600</v>
      </c>
      <c r="G77" s="2328"/>
      <c r="H77" s="2329"/>
    </row>
    <row r="78" spans="1:10" s="195" customFormat="1" ht="22.15" customHeight="1" thickTop="1" thickBot="1">
      <c r="A78" s="194"/>
      <c r="B78" s="2326" t="s">
        <v>72</v>
      </c>
      <c r="C78" s="2326"/>
      <c r="D78" s="2326"/>
      <c r="E78" s="2327"/>
      <c r="F78" s="192">
        <f>F77*7%</f>
        <v>107142.00000000001</v>
      </c>
      <c r="G78" s="2328"/>
      <c r="H78" s="2329"/>
    </row>
    <row r="79" spans="1:10" s="195" customFormat="1" ht="22.15" customHeight="1" thickTop="1" thickBot="1">
      <c r="A79" s="194"/>
      <c r="B79" s="2326" t="s">
        <v>73</v>
      </c>
      <c r="C79" s="2326"/>
      <c r="D79" s="2326"/>
      <c r="E79" s="2327"/>
      <c r="F79" s="192">
        <f>F77+F78</f>
        <v>1637742</v>
      </c>
      <c r="G79" s="2328"/>
      <c r="H79" s="2329"/>
    </row>
    <row r="80" spans="1:10" s="195" customFormat="1" ht="22.15" customHeight="1" thickTop="1">
      <c r="A80" s="194"/>
      <c r="B80" s="185"/>
      <c r="C80" s="196"/>
      <c r="D80" s="197"/>
      <c r="E80" s="204"/>
      <c r="F80" s="205"/>
      <c r="G80" s="206"/>
      <c r="H80" s="206"/>
    </row>
    <row r="81" spans="1:8" s="195" customFormat="1" ht="22.15" customHeight="1">
      <c r="A81" s="194"/>
      <c r="B81" s="185"/>
      <c r="C81" s="196"/>
      <c r="D81" s="197"/>
      <c r="E81" s="204"/>
      <c r="F81" s="205"/>
      <c r="G81" s="206"/>
      <c r="H81" s="206"/>
    </row>
    <row r="82" spans="1:8" s="195" customFormat="1" ht="22.15" customHeight="1">
      <c r="A82" s="194"/>
      <c r="B82" s="185"/>
      <c r="C82" s="196"/>
      <c r="D82" s="197"/>
      <c r="E82" s="204"/>
      <c r="F82" s="205"/>
      <c r="G82" s="206"/>
      <c r="H82" s="206"/>
    </row>
    <row r="83" spans="1:8" s="195" customFormat="1" ht="22.15" customHeight="1">
      <c r="A83" s="194"/>
      <c r="B83" s="185"/>
      <c r="C83" s="196"/>
      <c r="D83" s="197"/>
      <c r="E83" s="204"/>
      <c r="F83" s="205"/>
      <c r="G83" s="206"/>
      <c r="H83" s="206"/>
    </row>
    <row r="84" spans="1:8" s="195" customFormat="1" ht="22.15" customHeight="1">
      <c r="A84" s="194"/>
      <c r="B84" s="185"/>
      <c r="C84" s="196"/>
      <c r="D84" s="197"/>
      <c r="E84" s="204"/>
      <c r="F84" s="205"/>
      <c r="G84" s="206"/>
      <c r="H84" s="206"/>
    </row>
    <row r="85" spans="1:8" s="195" customFormat="1" ht="22.15" customHeight="1">
      <c r="A85" s="194"/>
      <c r="B85" s="185"/>
      <c r="C85" s="196"/>
      <c r="D85" s="197"/>
      <c r="E85" s="204"/>
      <c r="F85" s="205"/>
      <c r="G85" s="206"/>
      <c r="H85" s="206"/>
    </row>
    <row r="86" spans="1:8" s="195" customFormat="1" ht="22.15" customHeight="1">
      <c r="A86" s="194"/>
      <c r="B86" s="185"/>
      <c r="C86" s="196"/>
      <c r="D86" s="197"/>
      <c r="E86" s="204"/>
      <c r="F86" s="205"/>
      <c r="G86" s="206"/>
      <c r="H86" s="206"/>
    </row>
    <row r="87" spans="1:8" s="195" customFormat="1" ht="22.15" customHeight="1">
      <c r="A87" s="194"/>
      <c r="B87" s="185"/>
      <c r="C87" s="196"/>
      <c r="D87" s="197"/>
      <c r="E87" s="204"/>
      <c r="F87" s="205"/>
      <c r="G87" s="206"/>
      <c r="H87" s="206"/>
    </row>
    <row r="88" spans="1:8" s="195" customFormat="1" ht="22.15" customHeight="1">
      <c r="A88" s="194"/>
      <c r="B88" s="185"/>
      <c r="C88" s="196"/>
      <c r="D88" s="197"/>
      <c r="E88" s="204"/>
      <c r="F88" s="205"/>
      <c r="G88" s="206"/>
      <c r="H88" s="206"/>
    </row>
    <row r="89" spans="1:8" s="195" customFormat="1" ht="22.15" customHeight="1">
      <c r="A89" s="194"/>
      <c r="B89" s="185"/>
      <c r="C89" s="196"/>
      <c r="D89" s="197"/>
      <c r="E89" s="204"/>
      <c r="F89" s="205"/>
      <c r="G89" s="206"/>
      <c r="H89" s="206"/>
    </row>
    <row r="90" spans="1:8" s="195" customFormat="1" ht="22.15" customHeight="1">
      <c r="A90" s="194"/>
      <c r="B90" s="185"/>
      <c r="C90" s="196"/>
      <c r="D90" s="197"/>
      <c r="E90" s="204"/>
      <c r="F90" s="205"/>
      <c r="G90" s="206"/>
      <c r="H90" s="206"/>
    </row>
    <row r="91" spans="1:8" s="195" customFormat="1" ht="22.15" customHeight="1">
      <c r="A91" s="194"/>
      <c r="B91" s="185"/>
      <c r="C91" s="196"/>
      <c r="D91" s="197"/>
      <c r="E91" s="204"/>
      <c r="F91" s="205"/>
      <c r="G91" s="206"/>
      <c r="H91" s="206"/>
    </row>
    <row r="92" spans="1:8" s="195" customFormat="1" ht="22.15" customHeight="1">
      <c r="A92" s="194"/>
      <c r="B92" s="185"/>
      <c r="C92" s="196"/>
      <c r="D92" s="197"/>
      <c r="E92" s="204"/>
      <c r="F92" s="205"/>
      <c r="G92" s="206"/>
      <c r="H92" s="206"/>
    </row>
    <row r="93" spans="1:8" s="195" customFormat="1" ht="22.15" customHeight="1">
      <c r="A93" s="194"/>
      <c r="B93" s="185"/>
      <c r="C93" s="196"/>
      <c r="D93" s="197"/>
      <c r="E93" s="204"/>
      <c r="F93" s="205"/>
      <c r="G93" s="206"/>
      <c r="H93" s="206"/>
    </row>
    <row r="94" spans="1:8" s="195" customFormat="1" ht="22.15" customHeight="1">
      <c r="A94" s="194"/>
      <c r="B94" s="185"/>
      <c r="C94" s="196"/>
      <c r="D94" s="197"/>
      <c r="E94" s="882"/>
      <c r="F94" s="205"/>
      <c r="G94" s="206"/>
      <c r="H94" s="206"/>
    </row>
    <row r="95" spans="1:8" s="195" customFormat="1" ht="22.15" customHeight="1">
      <c r="A95" s="194"/>
      <c r="B95" s="185"/>
      <c r="C95" s="196"/>
      <c r="D95" s="197"/>
      <c r="E95" s="204"/>
      <c r="F95" s="205"/>
      <c r="G95" s="206"/>
      <c r="H95" s="206"/>
    </row>
    <row r="96" spans="1:8" s="195" customFormat="1" ht="22.15" customHeight="1">
      <c r="A96" s="194"/>
      <c r="B96" s="185"/>
      <c r="C96" s="196"/>
      <c r="D96" s="197"/>
      <c r="E96" s="204"/>
      <c r="F96" s="205"/>
      <c r="G96" s="206"/>
      <c r="H96" s="206"/>
    </row>
    <row r="97" spans="1:10" s="195" customFormat="1" ht="22.15" customHeight="1">
      <c r="A97" s="194"/>
      <c r="B97" s="185"/>
      <c r="C97" s="196"/>
      <c r="D97" s="197"/>
      <c r="E97" s="204"/>
      <c r="F97" s="205"/>
      <c r="G97" s="206"/>
      <c r="H97" s="206"/>
    </row>
    <row r="98" spans="1:10" s="195" customFormat="1" ht="22.15" customHeight="1">
      <c r="A98" s="194"/>
      <c r="B98" s="185"/>
      <c r="C98" s="196"/>
      <c r="D98" s="197"/>
      <c r="E98" s="204"/>
      <c r="F98" s="205"/>
      <c r="G98" s="206"/>
      <c r="H98" s="206"/>
    </row>
    <row r="99" spans="1:10" s="195" customFormat="1" ht="22.15" customHeight="1">
      <c r="A99" s="194"/>
      <c r="B99" s="185"/>
      <c r="C99" s="196"/>
      <c r="D99" s="197"/>
      <c r="E99" s="204"/>
      <c r="F99" s="205"/>
      <c r="G99" s="206"/>
      <c r="H99" s="206"/>
    </row>
    <row r="100" spans="1:10" s="65" customFormat="1" ht="25.15" customHeight="1">
      <c r="A100" s="2355" t="s">
        <v>56</v>
      </c>
      <c r="B100" s="2355"/>
      <c r="C100" s="2355"/>
      <c r="D100" s="2355"/>
      <c r="E100" s="2355"/>
      <c r="F100" s="2355"/>
      <c r="G100" s="2355"/>
      <c r="H100" s="2355"/>
      <c r="I100" s="167"/>
    </row>
    <row r="101" spans="1:10" s="65" customFormat="1" ht="35.65" customHeight="1">
      <c r="A101" s="2337" t="s">
        <v>77</v>
      </c>
      <c r="B101" s="2337"/>
      <c r="C101" s="2337"/>
      <c r="D101" s="2337"/>
      <c r="E101" s="2337"/>
      <c r="F101" s="2337"/>
      <c r="G101" s="2337"/>
      <c r="H101" s="2337"/>
      <c r="I101" s="167"/>
    </row>
    <row r="102" spans="1:10" s="65" customFormat="1" ht="25.15" customHeight="1">
      <c r="A102" s="87" t="s">
        <v>58</v>
      </c>
      <c r="B102" s="88"/>
      <c r="C102" s="88"/>
      <c r="D102" s="89"/>
      <c r="E102" s="88"/>
      <c r="F102" s="168"/>
      <c r="G102" s="166"/>
      <c r="H102" s="168"/>
      <c r="I102" s="167"/>
    </row>
    <row r="103" spans="1:10" s="65" customFormat="1" ht="24" customHeight="1">
      <c r="A103" s="169"/>
      <c r="B103" s="167"/>
      <c r="C103" s="167"/>
      <c r="D103" s="170"/>
      <c r="E103" s="167"/>
      <c r="F103" s="171"/>
      <c r="G103" s="172"/>
      <c r="H103" s="173" t="s">
        <v>59</v>
      </c>
      <c r="I103" s="167"/>
    </row>
    <row r="104" spans="1:10" ht="10.5" customHeight="1">
      <c r="A104" s="163"/>
      <c r="B104" s="174"/>
      <c r="C104" s="175"/>
      <c r="D104" s="142"/>
      <c r="E104" s="142"/>
      <c r="F104" s="142"/>
      <c r="G104" s="142"/>
      <c r="H104" s="176"/>
    </row>
    <row r="105" spans="1:10" ht="22.15" customHeight="1">
      <c r="A105" s="2338" t="s">
        <v>8</v>
      </c>
      <c r="B105" s="2340" t="s">
        <v>60</v>
      </c>
      <c r="C105" s="2341"/>
      <c r="D105" s="2341"/>
      <c r="E105" s="2342"/>
      <c r="F105" s="2338" t="s">
        <v>10</v>
      </c>
      <c r="G105" s="2346" t="s">
        <v>15</v>
      </c>
      <c r="H105" s="2347"/>
    </row>
    <row r="106" spans="1:10" ht="22.15" customHeight="1" thickBot="1">
      <c r="A106" s="2339"/>
      <c r="B106" s="2343"/>
      <c r="C106" s="2344"/>
      <c r="D106" s="2344"/>
      <c r="E106" s="2345"/>
      <c r="F106" s="2339"/>
      <c r="G106" s="2348"/>
      <c r="H106" s="2349"/>
    </row>
    <row r="107" spans="1:10" ht="25.15" customHeight="1" thickTop="1">
      <c r="A107" s="177">
        <v>3</v>
      </c>
      <c r="B107" s="2350" t="s">
        <v>78</v>
      </c>
      <c r="C107" s="2351"/>
      <c r="D107" s="2351"/>
      <c r="E107" s="2352"/>
      <c r="F107" s="178">
        <f>13607*80</f>
        <v>1088560</v>
      </c>
      <c r="G107" s="2353"/>
      <c r="H107" s="2354"/>
    </row>
    <row r="108" spans="1:10" ht="22.15" customHeight="1">
      <c r="A108" s="179"/>
      <c r="B108" s="2322" t="s">
        <v>79</v>
      </c>
      <c r="C108" s="2315"/>
      <c r="D108" s="2315"/>
      <c r="E108" s="2316"/>
      <c r="F108" s="180"/>
      <c r="G108" s="2335"/>
      <c r="H108" s="2336"/>
    </row>
    <row r="109" spans="1:10" ht="22.15" customHeight="1">
      <c r="A109" s="181"/>
      <c r="B109" s="2323" t="s">
        <v>80</v>
      </c>
      <c r="C109" s="2315"/>
      <c r="D109" s="2315"/>
      <c r="E109" s="2316"/>
      <c r="F109" s="178"/>
      <c r="G109" s="2335"/>
      <c r="H109" s="2336"/>
      <c r="J109" s="27"/>
    </row>
    <row r="110" spans="1:10" ht="22.15" customHeight="1">
      <c r="A110" s="181"/>
      <c r="B110" s="2314" t="s">
        <v>81</v>
      </c>
      <c r="C110" s="2315"/>
      <c r="D110" s="2315"/>
      <c r="E110" s="2316"/>
      <c r="F110" s="178"/>
      <c r="G110" s="2335"/>
      <c r="H110" s="2336"/>
    </row>
    <row r="111" spans="1:10" ht="22.15" customHeight="1">
      <c r="A111" s="181"/>
      <c r="B111" s="2314"/>
      <c r="C111" s="2315"/>
      <c r="D111" s="2315"/>
      <c r="E111" s="2316"/>
      <c r="F111" s="178"/>
      <c r="G111" s="2335"/>
      <c r="H111" s="2336"/>
    </row>
    <row r="112" spans="1:10" ht="22.15" customHeight="1">
      <c r="A112" s="181"/>
      <c r="B112" s="2314" t="s">
        <v>82</v>
      </c>
      <c r="C112" s="2315"/>
      <c r="D112" s="2315"/>
      <c r="E112" s="2316"/>
      <c r="F112" s="178"/>
      <c r="G112" s="2335"/>
      <c r="H112" s="2336"/>
    </row>
    <row r="113" spans="1:8" ht="22.15" customHeight="1">
      <c r="A113" s="181"/>
      <c r="B113" s="2314" t="s">
        <v>83</v>
      </c>
      <c r="C113" s="2315"/>
      <c r="D113" s="2315"/>
      <c r="E113" s="2316"/>
      <c r="F113" s="178"/>
      <c r="G113" s="2335"/>
      <c r="H113" s="2336"/>
    </row>
    <row r="114" spans="1:8" ht="22.15" customHeight="1">
      <c r="A114" s="182"/>
      <c r="B114" s="2314"/>
      <c r="C114" s="2315"/>
      <c r="D114" s="2315"/>
      <c r="E114" s="2316"/>
      <c r="F114" s="178"/>
      <c r="G114" s="2335"/>
      <c r="H114" s="2336"/>
    </row>
    <row r="115" spans="1:8" s="185" customFormat="1" ht="22.15" customHeight="1">
      <c r="A115" s="183"/>
      <c r="B115" s="2314"/>
      <c r="C115" s="2315"/>
      <c r="D115" s="2315"/>
      <c r="E115" s="2316"/>
      <c r="F115" s="184"/>
      <c r="G115" s="2335"/>
      <c r="H115" s="2336"/>
    </row>
    <row r="116" spans="1:8" s="185" customFormat="1" ht="22.15" customHeight="1">
      <c r="A116" s="183"/>
      <c r="B116" s="2314"/>
      <c r="C116" s="2315"/>
      <c r="D116" s="2315"/>
      <c r="E116" s="2316"/>
      <c r="F116" s="184"/>
      <c r="G116" s="2335"/>
      <c r="H116" s="2336"/>
    </row>
    <row r="117" spans="1:8" ht="22.15" customHeight="1">
      <c r="A117" s="181"/>
      <c r="B117" s="2314"/>
      <c r="C117" s="2315"/>
      <c r="D117" s="2315"/>
      <c r="E117" s="2316"/>
      <c r="F117" s="187"/>
      <c r="G117" s="2335"/>
      <c r="H117" s="2336"/>
    </row>
    <row r="118" spans="1:8" s="185" customFormat="1" ht="22.15" customHeight="1">
      <c r="A118" s="183"/>
      <c r="B118" s="2314"/>
      <c r="C118" s="2315"/>
      <c r="D118" s="2315"/>
      <c r="E118" s="2316"/>
      <c r="F118" s="184"/>
      <c r="G118" s="2335"/>
      <c r="H118" s="2336"/>
    </row>
    <row r="119" spans="1:8" s="185" customFormat="1" ht="22.15" customHeight="1">
      <c r="A119" s="183"/>
      <c r="B119" s="2314"/>
      <c r="C119" s="2315"/>
      <c r="D119" s="2315"/>
      <c r="E119" s="2316"/>
      <c r="F119" s="180"/>
      <c r="G119" s="2335"/>
      <c r="H119" s="2336"/>
    </row>
    <row r="120" spans="1:8" ht="22.15" customHeight="1" thickBot="1">
      <c r="A120" s="188"/>
      <c r="B120" s="2330"/>
      <c r="C120" s="2331"/>
      <c r="D120" s="2331"/>
      <c r="E120" s="2332"/>
      <c r="F120" s="189"/>
      <c r="G120" s="2328"/>
      <c r="H120" s="2329"/>
    </row>
    <row r="121" spans="1:8" s="193" customFormat="1" ht="25.15" customHeight="1" thickTop="1" thickBot="1">
      <c r="A121" s="190"/>
      <c r="B121" s="2333" t="s">
        <v>71</v>
      </c>
      <c r="C121" s="2333"/>
      <c r="D121" s="2333"/>
      <c r="E121" s="2334"/>
      <c r="F121" s="192">
        <f>SUM(F107:F120)</f>
        <v>1088560</v>
      </c>
      <c r="G121" s="2328"/>
      <c r="H121" s="2329"/>
    </row>
    <row r="122" spans="1:8" s="195" customFormat="1" ht="22.15" customHeight="1" thickTop="1" thickBot="1">
      <c r="A122" s="194"/>
      <c r="B122" s="2326" t="s">
        <v>72</v>
      </c>
      <c r="C122" s="2326"/>
      <c r="D122" s="2326"/>
      <c r="E122" s="2327"/>
      <c r="F122" s="192">
        <f>F121*7%</f>
        <v>76199.200000000012</v>
      </c>
      <c r="G122" s="2328"/>
      <c r="H122" s="2329"/>
    </row>
    <row r="123" spans="1:8" s="195" customFormat="1" ht="22.15" customHeight="1" thickTop="1" thickBot="1">
      <c r="A123" s="194"/>
      <c r="B123" s="2326" t="s">
        <v>73</v>
      </c>
      <c r="C123" s="2326"/>
      <c r="D123" s="2326"/>
      <c r="E123" s="2327"/>
      <c r="F123" s="192">
        <f>F121+F122</f>
        <v>1164759.2</v>
      </c>
      <c r="G123" s="2328"/>
      <c r="H123" s="2329"/>
    </row>
    <row r="124" spans="1:8" ht="24" thickTop="1"/>
    <row r="142" spans="1:9" s="65" customFormat="1" ht="25.15" customHeight="1">
      <c r="A142" s="2355" t="s">
        <v>56</v>
      </c>
      <c r="B142" s="2355"/>
      <c r="C142" s="2355"/>
      <c r="D142" s="2355"/>
      <c r="E142" s="2355"/>
      <c r="F142" s="2355"/>
      <c r="G142" s="2355"/>
      <c r="H142" s="2355"/>
      <c r="I142" s="167"/>
    </row>
    <row r="143" spans="1:9" s="65" customFormat="1" ht="33" customHeight="1">
      <c r="A143" s="2337" t="s">
        <v>84</v>
      </c>
      <c r="B143" s="2337"/>
      <c r="C143" s="2337"/>
      <c r="D143" s="2337"/>
      <c r="E143" s="2337"/>
      <c r="F143" s="2337"/>
      <c r="G143" s="2337"/>
      <c r="H143" s="2337"/>
      <c r="I143" s="167"/>
    </row>
    <row r="144" spans="1:9" s="65" customFormat="1" ht="25.15" customHeight="1">
      <c r="A144" s="87" t="s">
        <v>58</v>
      </c>
      <c r="B144" s="88"/>
      <c r="C144" s="88"/>
      <c r="D144" s="89"/>
      <c r="E144" s="88"/>
      <c r="F144" s="168"/>
      <c r="G144" s="166"/>
      <c r="H144" s="168"/>
      <c r="I144" s="167"/>
    </row>
    <row r="145" spans="1:10" s="65" customFormat="1" ht="24" customHeight="1">
      <c r="A145" s="169"/>
      <c r="B145" s="167"/>
      <c r="C145" s="167"/>
      <c r="D145" s="170"/>
      <c r="E145" s="167"/>
      <c r="F145" s="171"/>
      <c r="G145" s="172"/>
      <c r="H145" s="173" t="s">
        <v>59</v>
      </c>
      <c r="I145" s="167"/>
    </row>
    <row r="146" spans="1:10" ht="10.5" customHeight="1">
      <c r="A146" s="163"/>
      <c r="B146" s="174"/>
      <c r="C146" s="175"/>
      <c r="D146" s="142"/>
      <c r="E146" s="142"/>
      <c r="F146" s="142"/>
      <c r="G146" s="142"/>
      <c r="H146" s="176"/>
    </row>
    <row r="147" spans="1:10" ht="22.15" customHeight="1">
      <c r="A147" s="2338" t="s">
        <v>8</v>
      </c>
      <c r="B147" s="2340" t="s">
        <v>60</v>
      </c>
      <c r="C147" s="2341"/>
      <c r="D147" s="2341"/>
      <c r="E147" s="2342"/>
      <c r="F147" s="2338" t="s">
        <v>10</v>
      </c>
      <c r="G147" s="2346" t="s">
        <v>15</v>
      </c>
      <c r="H147" s="2347"/>
    </row>
    <row r="148" spans="1:10" ht="22.15" customHeight="1" thickBot="1">
      <c r="A148" s="2339"/>
      <c r="B148" s="2343"/>
      <c r="C148" s="2344"/>
      <c r="D148" s="2344"/>
      <c r="E148" s="2345"/>
      <c r="F148" s="2339"/>
      <c r="G148" s="2348"/>
      <c r="H148" s="2349"/>
    </row>
    <row r="149" spans="1:10" ht="25.15" customHeight="1" thickTop="1">
      <c r="A149" s="177">
        <v>4</v>
      </c>
      <c r="B149" s="2350" t="s">
        <v>85</v>
      </c>
      <c r="C149" s="2351"/>
      <c r="D149" s="2351"/>
      <c r="E149" s="2352"/>
      <c r="F149" s="178">
        <f>1512000+112000+20000</f>
        <v>1644000</v>
      </c>
      <c r="G149" s="2353"/>
      <c r="H149" s="2354"/>
    </row>
    <row r="150" spans="1:10" ht="22.15" customHeight="1">
      <c r="A150" s="179"/>
      <c r="B150" s="2322" t="s">
        <v>86</v>
      </c>
      <c r="C150" s="2315"/>
      <c r="D150" s="2315"/>
      <c r="E150" s="2316"/>
      <c r="F150" s="180"/>
      <c r="G150" s="2335"/>
      <c r="H150" s="2336"/>
    </row>
    <row r="151" spans="1:10" ht="22.15" customHeight="1">
      <c r="A151" s="181"/>
      <c r="B151" s="2323" t="s">
        <v>1066</v>
      </c>
      <c r="C151" s="2315"/>
      <c r="D151" s="2315"/>
      <c r="E151" s="2316"/>
      <c r="F151" s="178"/>
      <c r="G151" s="2335"/>
      <c r="H151" s="2336"/>
      <c r="J151" s="145">
        <f>12000*7*18</f>
        <v>1512000</v>
      </c>
    </row>
    <row r="152" spans="1:10" ht="22.15" customHeight="1">
      <c r="A152" s="181"/>
      <c r="B152" s="2314"/>
      <c r="C152" s="2315"/>
      <c r="D152" s="2315"/>
      <c r="E152" s="2316"/>
      <c r="F152" s="178"/>
      <c r="G152" s="2335"/>
      <c r="H152" s="2336"/>
    </row>
    <row r="153" spans="1:10" ht="22.15" customHeight="1">
      <c r="A153" s="181"/>
      <c r="B153" s="2314" t="s">
        <v>87</v>
      </c>
      <c r="C153" s="2315"/>
      <c r="D153" s="2315"/>
      <c r="E153" s="2316"/>
      <c r="F153" s="178"/>
      <c r="G153" s="2335"/>
      <c r="H153" s="2336"/>
      <c r="J153" s="27"/>
    </row>
    <row r="154" spans="1:10" ht="22.15" customHeight="1">
      <c r="A154" s="181"/>
      <c r="B154" s="2314" t="s">
        <v>88</v>
      </c>
      <c r="C154" s="2315"/>
      <c r="D154" s="2315"/>
      <c r="E154" s="2316"/>
      <c r="F154" s="178"/>
      <c r="G154" s="2335"/>
      <c r="H154" s="2336"/>
    </row>
    <row r="155" spans="1:10" ht="22.15" customHeight="1">
      <c r="A155" s="181"/>
      <c r="B155" s="2314"/>
      <c r="C155" s="2315"/>
      <c r="D155" s="2315"/>
      <c r="E155" s="2316"/>
      <c r="F155" s="178"/>
      <c r="G155" s="2335"/>
      <c r="H155" s="2336"/>
    </row>
    <row r="156" spans="1:10" ht="22.15" customHeight="1">
      <c r="A156" s="182"/>
      <c r="B156" s="2314" t="s">
        <v>89</v>
      </c>
      <c r="C156" s="2315"/>
      <c r="D156" s="2315"/>
      <c r="E156" s="2316"/>
      <c r="F156" s="178"/>
      <c r="G156" s="2335"/>
      <c r="H156" s="2336"/>
    </row>
    <row r="157" spans="1:10" s="185" customFormat="1" ht="22.15" customHeight="1">
      <c r="A157" s="183"/>
      <c r="B157" s="2314" t="s">
        <v>90</v>
      </c>
      <c r="C157" s="2315"/>
      <c r="D157" s="2315"/>
      <c r="E157" s="2316"/>
      <c r="F157" s="184"/>
      <c r="G157" s="2335"/>
      <c r="H157" s="2336"/>
    </row>
    <row r="158" spans="1:10" s="185" customFormat="1" ht="22.15" customHeight="1">
      <c r="A158" s="183"/>
      <c r="B158" s="2314"/>
      <c r="C158" s="2315"/>
      <c r="D158" s="2315"/>
      <c r="E158" s="2316"/>
      <c r="F158" s="184"/>
      <c r="G158" s="2335"/>
      <c r="H158" s="2336"/>
    </row>
    <row r="159" spans="1:10" ht="22.15" customHeight="1">
      <c r="A159" s="181"/>
      <c r="B159" s="2314"/>
      <c r="C159" s="2315"/>
      <c r="D159" s="2315"/>
      <c r="E159" s="2316"/>
      <c r="F159" s="187"/>
      <c r="G159" s="2335"/>
      <c r="H159" s="2336"/>
    </row>
    <row r="160" spans="1:10" s="185" customFormat="1" ht="22.15" customHeight="1">
      <c r="A160" s="183"/>
      <c r="B160" s="2314"/>
      <c r="C160" s="2315"/>
      <c r="D160" s="2315"/>
      <c r="E160" s="2316"/>
      <c r="F160" s="184"/>
      <c r="G160" s="2335"/>
      <c r="H160" s="2336"/>
    </row>
    <row r="161" spans="1:10" s="185" customFormat="1" ht="22.15" customHeight="1">
      <c r="A161" s="183"/>
      <c r="B161" s="2314"/>
      <c r="C161" s="2315"/>
      <c r="D161" s="2315"/>
      <c r="E161" s="2316"/>
      <c r="F161" s="180"/>
      <c r="G161" s="2335"/>
      <c r="H161" s="2336"/>
    </row>
    <row r="162" spans="1:10" ht="22.15" customHeight="1" thickBot="1">
      <c r="A162" s="188"/>
      <c r="B162" s="2330"/>
      <c r="C162" s="2331"/>
      <c r="D162" s="2331"/>
      <c r="E162" s="2332"/>
      <c r="F162" s="189"/>
      <c r="G162" s="2328"/>
      <c r="H162" s="2329"/>
    </row>
    <row r="163" spans="1:10" s="193" customFormat="1" ht="25.15" customHeight="1" thickTop="1" thickBot="1">
      <c r="A163" s="190"/>
      <c r="B163" s="2333" t="s">
        <v>71</v>
      </c>
      <c r="C163" s="2333"/>
      <c r="D163" s="2333"/>
      <c r="E163" s="2334"/>
      <c r="F163" s="192">
        <f>SUM(F149:F162)</f>
        <v>1644000</v>
      </c>
      <c r="G163" s="2328"/>
      <c r="H163" s="2329"/>
    </row>
    <row r="164" spans="1:10" s="195" customFormat="1" ht="22.15" customHeight="1" thickTop="1" thickBot="1">
      <c r="A164" s="194"/>
      <c r="B164" s="2326" t="s">
        <v>72</v>
      </c>
      <c r="C164" s="2326"/>
      <c r="D164" s="2326"/>
      <c r="E164" s="2327"/>
      <c r="F164" s="192">
        <f>F163*7%</f>
        <v>115080.00000000001</v>
      </c>
      <c r="G164" s="2328"/>
      <c r="H164" s="2329"/>
      <c r="J164" s="485"/>
    </row>
    <row r="165" spans="1:10" s="195" customFormat="1" ht="22.15" customHeight="1" thickTop="1" thickBot="1">
      <c r="A165" s="194"/>
      <c r="B165" s="2326" t="s">
        <v>73</v>
      </c>
      <c r="C165" s="2326"/>
      <c r="D165" s="2326"/>
      <c r="E165" s="2327"/>
      <c r="F165" s="192">
        <f>F163+F164</f>
        <v>1759080</v>
      </c>
      <c r="G165" s="2328"/>
      <c r="H165" s="2329"/>
    </row>
    <row r="166" spans="1:10" ht="24" thickTop="1"/>
    <row r="185" spans="1:8">
      <c r="A185" s="2325" t="s">
        <v>56</v>
      </c>
      <c r="B185" s="2325"/>
      <c r="C185" s="2325"/>
      <c r="D185" s="2325"/>
      <c r="E185" s="2325"/>
      <c r="F185" s="2325"/>
      <c r="G185" s="2325"/>
      <c r="H185" s="2325"/>
    </row>
    <row r="186" spans="1:8">
      <c r="A186" s="2324" t="s">
        <v>583</v>
      </c>
      <c r="B186" s="2324"/>
      <c r="C186" s="2324"/>
      <c r="D186" s="2324"/>
      <c r="E186" s="2324"/>
      <c r="F186" s="2324"/>
      <c r="G186" s="2324"/>
      <c r="H186" s="2324"/>
    </row>
    <row r="187" spans="1:8">
      <c r="A187" s="846" t="s">
        <v>58</v>
      </c>
      <c r="B187" s="88"/>
      <c r="C187" s="88"/>
      <c r="D187" s="89"/>
      <c r="E187" s="88"/>
      <c r="F187" s="847"/>
      <c r="G187" s="848"/>
      <c r="H187" s="847"/>
    </row>
    <row r="188" spans="1:8">
      <c r="A188" s="849"/>
      <c r="B188" s="167"/>
      <c r="C188" s="167"/>
      <c r="D188" s="170"/>
      <c r="E188" s="167"/>
      <c r="F188" s="850"/>
      <c r="G188" s="851"/>
      <c r="H188" s="852" t="s">
        <v>59</v>
      </c>
    </row>
    <row r="189" spans="1:8">
      <c r="A189" s="853"/>
      <c r="B189" s="854"/>
      <c r="C189" s="855"/>
      <c r="D189" s="856"/>
      <c r="E189" s="856"/>
      <c r="F189" s="856"/>
      <c r="G189" s="856"/>
      <c r="H189" s="857"/>
    </row>
    <row r="190" spans="1:8">
      <c r="A190" s="2302" t="s">
        <v>8</v>
      </c>
      <c r="B190" s="2304" t="s">
        <v>60</v>
      </c>
      <c r="C190" s="2305"/>
      <c r="D190" s="2305"/>
      <c r="E190" s="2306"/>
      <c r="F190" s="2302" t="s">
        <v>10</v>
      </c>
      <c r="G190" s="2310" t="s">
        <v>15</v>
      </c>
      <c r="H190" s="2311"/>
    </row>
    <row r="191" spans="1:8" ht="24" thickBot="1">
      <c r="A191" s="2303"/>
      <c r="B191" s="2307"/>
      <c r="C191" s="2308"/>
      <c r="D191" s="2308"/>
      <c r="E191" s="2309"/>
      <c r="F191" s="2303"/>
      <c r="G191" s="2312"/>
      <c r="H191" s="2313"/>
    </row>
    <row r="192" spans="1:8" ht="24" thickTop="1">
      <c r="A192" s="858">
        <v>5</v>
      </c>
      <c r="B192" s="2317" t="s">
        <v>584</v>
      </c>
      <c r="C192" s="2318"/>
      <c r="D192" s="2318"/>
      <c r="E192" s="2319"/>
      <c r="F192" s="859" t="s">
        <v>1067</v>
      </c>
      <c r="G192" s="2320"/>
      <c r="H192" s="2321"/>
    </row>
    <row r="193" spans="1:8">
      <c r="A193" s="860"/>
      <c r="B193" s="2322"/>
      <c r="C193" s="2315"/>
      <c r="D193" s="2315"/>
      <c r="E193" s="2316"/>
      <c r="F193" s="861"/>
      <c r="G193" s="2295"/>
      <c r="H193" s="2296"/>
    </row>
    <row r="194" spans="1:8">
      <c r="A194" s="862"/>
      <c r="B194" s="2322"/>
      <c r="C194" s="2315"/>
      <c r="D194" s="2315"/>
      <c r="E194" s="2316"/>
      <c r="F194" s="863"/>
      <c r="G194" s="2295"/>
      <c r="H194" s="2296"/>
    </row>
    <row r="195" spans="1:8">
      <c r="A195" s="862"/>
      <c r="B195" s="2323"/>
      <c r="C195" s="2315"/>
      <c r="D195" s="2315"/>
      <c r="E195" s="2316"/>
      <c r="F195" s="863"/>
      <c r="G195" s="2295"/>
      <c r="H195" s="2296"/>
    </row>
    <row r="196" spans="1:8">
      <c r="A196" s="862"/>
      <c r="B196" s="2314"/>
      <c r="C196" s="2315"/>
      <c r="D196" s="2315"/>
      <c r="E196" s="2316"/>
      <c r="F196" s="863"/>
      <c r="G196" s="2295"/>
      <c r="H196" s="2296"/>
    </row>
    <row r="197" spans="1:8">
      <c r="A197" s="862"/>
      <c r="B197" s="2314"/>
      <c r="C197" s="2315"/>
      <c r="D197" s="2315"/>
      <c r="E197" s="2316"/>
      <c r="F197" s="863"/>
      <c r="G197" s="2295"/>
      <c r="H197" s="2296"/>
    </row>
    <row r="198" spans="1:8">
      <c r="A198" s="862"/>
      <c r="B198" s="2314"/>
      <c r="C198" s="2315"/>
      <c r="D198" s="2315"/>
      <c r="E198" s="2316"/>
      <c r="F198" s="863"/>
      <c r="G198" s="2295"/>
      <c r="H198" s="2296"/>
    </row>
    <row r="199" spans="1:8">
      <c r="A199" s="864"/>
      <c r="B199" s="2314"/>
      <c r="C199" s="2315"/>
      <c r="D199" s="2315"/>
      <c r="E199" s="2316"/>
      <c r="F199" s="863"/>
      <c r="G199" s="2295"/>
      <c r="H199" s="2296"/>
    </row>
    <row r="200" spans="1:8">
      <c r="A200" s="865"/>
      <c r="B200" s="2292"/>
      <c r="C200" s="2293"/>
      <c r="D200" s="2293"/>
      <c r="E200" s="2294"/>
      <c r="F200" s="866"/>
      <c r="G200" s="2295"/>
      <c r="H200" s="2296"/>
    </row>
    <row r="201" spans="1:8">
      <c r="A201" s="865"/>
      <c r="B201" s="2292"/>
      <c r="C201" s="2293"/>
      <c r="D201" s="2293"/>
      <c r="E201" s="2294"/>
      <c r="F201" s="866"/>
      <c r="G201" s="2295"/>
      <c r="H201" s="2296"/>
    </row>
    <row r="202" spans="1:8">
      <c r="A202" s="862"/>
      <c r="B202" s="2292"/>
      <c r="C202" s="2293"/>
      <c r="D202" s="2293"/>
      <c r="E202" s="2294"/>
      <c r="F202" s="859"/>
      <c r="G202" s="2295"/>
      <c r="H202" s="2296"/>
    </row>
    <row r="203" spans="1:8">
      <c r="A203" s="865"/>
      <c r="B203" s="2292"/>
      <c r="C203" s="2293"/>
      <c r="D203" s="2293"/>
      <c r="E203" s="2294"/>
      <c r="F203" s="866"/>
      <c r="G203" s="2295"/>
      <c r="H203" s="2296"/>
    </row>
    <row r="204" spans="1:8">
      <c r="A204" s="865"/>
      <c r="B204" s="2292"/>
      <c r="C204" s="2293"/>
      <c r="D204" s="2293"/>
      <c r="E204" s="2294"/>
      <c r="F204" s="861"/>
      <c r="G204" s="2295"/>
      <c r="H204" s="2296"/>
    </row>
    <row r="205" spans="1:8" ht="24" thickBot="1">
      <c r="A205" s="867"/>
      <c r="B205" s="2297"/>
      <c r="C205" s="2298"/>
      <c r="D205" s="2298"/>
      <c r="E205" s="2299"/>
      <c r="F205" s="868"/>
      <c r="G205" s="2300"/>
      <c r="H205" s="2301"/>
    </row>
    <row r="206" spans="1:8" ht="24.3" thickTop="1" thickBot="1">
      <c r="A206" s="869"/>
      <c r="B206" s="870"/>
      <c r="C206" s="870"/>
      <c r="D206" s="870"/>
      <c r="E206" s="871" t="s">
        <v>71</v>
      </c>
      <c r="F206" s="872"/>
      <c r="G206" s="2300"/>
      <c r="H206" s="2301"/>
    </row>
    <row r="207" spans="1:8" ht="24.3" thickTop="1" thickBot="1">
      <c r="A207" s="873"/>
      <c r="B207" s="874"/>
      <c r="C207" s="875"/>
      <c r="D207" s="876"/>
      <c r="E207" s="871" t="s">
        <v>72</v>
      </c>
      <c r="F207" s="872"/>
      <c r="G207" s="2300"/>
      <c r="H207" s="2301"/>
    </row>
    <row r="208" spans="1:8" ht="24.3" thickTop="1" thickBot="1">
      <c r="A208" s="873"/>
      <c r="B208" s="874"/>
      <c r="C208" s="875"/>
      <c r="D208" s="876"/>
      <c r="E208" s="871" t="s">
        <v>73</v>
      </c>
      <c r="F208" s="872">
        <v>500000</v>
      </c>
      <c r="G208" s="2300"/>
      <c r="H208" s="2301"/>
    </row>
    <row r="209" ht="24" thickTop="1"/>
    <row r="226" spans="1:8">
      <c r="A226" s="2325" t="s">
        <v>56</v>
      </c>
      <c r="B226" s="2325"/>
      <c r="C226" s="2325"/>
      <c r="D226" s="2325"/>
      <c r="E226" s="2325"/>
      <c r="F226" s="2325"/>
      <c r="G226" s="2325"/>
      <c r="H226" s="2325"/>
    </row>
    <row r="227" spans="1:8">
      <c r="A227" s="2324" t="s">
        <v>585</v>
      </c>
      <c r="B227" s="2324"/>
      <c r="C227" s="2324"/>
      <c r="D227" s="2324"/>
      <c r="E227" s="2324"/>
      <c r="F227" s="2324"/>
      <c r="G227" s="2324"/>
      <c r="H227" s="2324"/>
    </row>
    <row r="228" spans="1:8">
      <c r="A228" s="846" t="s">
        <v>58</v>
      </c>
      <c r="B228" s="88"/>
      <c r="C228" s="88"/>
      <c r="D228" s="89"/>
      <c r="E228" s="88"/>
      <c r="F228" s="847"/>
      <c r="G228" s="848"/>
      <c r="H228" s="847"/>
    </row>
    <row r="229" spans="1:8">
      <c r="A229" s="849"/>
      <c r="B229" s="167"/>
      <c r="C229" s="167"/>
      <c r="D229" s="170"/>
      <c r="E229" s="167"/>
      <c r="F229" s="850"/>
      <c r="G229" s="851"/>
      <c r="H229" s="852" t="s">
        <v>59</v>
      </c>
    </row>
    <row r="230" spans="1:8">
      <c r="A230" s="853"/>
      <c r="B230" s="854"/>
      <c r="C230" s="855"/>
      <c r="D230" s="856"/>
      <c r="E230" s="856"/>
      <c r="F230" s="856"/>
      <c r="G230" s="856"/>
      <c r="H230" s="857"/>
    </row>
    <row r="231" spans="1:8">
      <c r="A231" s="2302" t="s">
        <v>8</v>
      </c>
      <c r="B231" s="2304" t="s">
        <v>60</v>
      </c>
      <c r="C231" s="2305"/>
      <c r="D231" s="2305"/>
      <c r="E231" s="2306"/>
      <c r="F231" s="2302" t="s">
        <v>10</v>
      </c>
      <c r="G231" s="2310" t="s">
        <v>15</v>
      </c>
      <c r="H231" s="2311"/>
    </row>
    <row r="232" spans="1:8" ht="24" thickBot="1">
      <c r="A232" s="2303"/>
      <c r="B232" s="2307"/>
      <c r="C232" s="2308"/>
      <c r="D232" s="2308"/>
      <c r="E232" s="2309"/>
      <c r="F232" s="2303"/>
      <c r="G232" s="2312"/>
      <c r="H232" s="2313"/>
    </row>
    <row r="233" spans="1:8" ht="24" thickTop="1">
      <c r="A233" s="858">
        <v>6</v>
      </c>
      <c r="B233" s="2317" t="s">
        <v>586</v>
      </c>
      <c r="C233" s="2318"/>
      <c r="D233" s="2318"/>
      <c r="E233" s="2319"/>
      <c r="F233" s="859" t="s">
        <v>1067</v>
      </c>
      <c r="G233" s="2320"/>
      <c r="H233" s="2321"/>
    </row>
    <row r="234" spans="1:8">
      <c r="A234" s="860"/>
      <c r="B234" s="2322"/>
      <c r="C234" s="2315"/>
      <c r="D234" s="2315"/>
      <c r="E234" s="2316"/>
      <c r="F234" s="861"/>
      <c r="G234" s="2295"/>
      <c r="H234" s="2296"/>
    </row>
    <row r="235" spans="1:8">
      <c r="A235" s="862"/>
      <c r="B235" s="2322"/>
      <c r="C235" s="2315"/>
      <c r="D235" s="2315"/>
      <c r="E235" s="2316"/>
      <c r="F235" s="863"/>
      <c r="G235" s="2295"/>
      <c r="H235" s="2296"/>
    </row>
    <row r="236" spans="1:8">
      <c r="A236" s="862"/>
      <c r="B236" s="2323"/>
      <c r="C236" s="2315"/>
      <c r="D236" s="2315"/>
      <c r="E236" s="2316"/>
      <c r="F236" s="863"/>
      <c r="G236" s="2295"/>
      <c r="H236" s="2296"/>
    </row>
    <row r="237" spans="1:8">
      <c r="A237" s="862"/>
      <c r="B237" s="2314"/>
      <c r="C237" s="2315"/>
      <c r="D237" s="2315"/>
      <c r="E237" s="2316"/>
      <c r="F237" s="863"/>
      <c r="G237" s="2295"/>
      <c r="H237" s="2296"/>
    </row>
    <row r="238" spans="1:8">
      <c r="A238" s="862"/>
      <c r="B238" s="2314"/>
      <c r="C238" s="2315"/>
      <c r="D238" s="2315"/>
      <c r="E238" s="2316"/>
      <c r="F238" s="863"/>
      <c r="G238" s="2295"/>
      <c r="H238" s="2296"/>
    </row>
    <row r="239" spans="1:8">
      <c r="A239" s="862"/>
      <c r="B239" s="2314"/>
      <c r="C239" s="2315"/>
      <c r="D239" s="2315"/>
      <c r="E239" s="2316"/>
      <c r="F239" s="863"/>
      <c r="G239" s="2295"/>
      <c r="H239" s="2296"/>
    </row>
    <row r="240" spans="1:8">
      <c r="A240" s="864"/>
      <c r="B240" s="2314"/>
      <c r="C240" s="2315"/>
      <c r="D240" s="2315"/>
      <c r="E240" s="2316"/>
      <c r="F240" s="863"/>
      <c r="G240" s="2295"/>
      <c r="H240" s="2296"/>
    </row>
    <row r="241" spans="1:8">
      <c r="A241" s="865"/>
      <c r="B241" s="2292"/>
      <c r="C241" s="2293"/>
      <c r="D241" s="2293"/>
      <c r="E241" s="2294"/>
      <c r="F241" s="866"/>
      <c r="G241" s="2295"/>
      <c r="H241" s="2296"/>
    </row>
    <row r="242" spans="1:8">
      <c r="A242" s="865"/>
      <c r="B242" s="2292"/>
      <c r="C242" s="2293"/>
      <c r="D242" s="2293"/>
      <c r="E242" s="2294"/>
      <c r="F242" s="866"/>
      <c r="G242" s="2295"/>
      <c r="H242" s="2296"/>
    </row>
    <row r="243" spans="1:8">
      <c r="A243" s="862"/>
      <c r="B243" s="2292"/>
      <c r="C243" s="2293"/>
      <c r="D243" s="2293"/>
      <c r="E243" s="2294"/>
      <c r="F243" s="859"/>
      <c r="G243" s="2295"/>
      <c r="H243" s="2296"/>
    </row>
    <row r="244" spans="1:8">
      <c r="A244" s="865"/>
      <c r="B244" s="2292"/>
      <c r="C244" s="2293"/>
      <c r="D244" s="2293"/>
      <c r="E244" s="2294"/>
      <c r="F244" s="866"/>
      <c r="G244" s="2295"/>
      <c r="H244" s="2296"/>
    </row>
    <row r="245" spans="1:8">
      <c r="A245" s="865"/>
      <c r="B245" s="2292"/>
      <c r="C245" s="2293"/>
      <c r="D245" s="2293"/>
      <c r="E245" s="2294"/>
      <c r="F245" s="861"/>
      <c r="G245" s="2295"/>
      <c r="H245" s="2296"/>
    </row>
    <row r="246" spans="1:8" ht="24" thickBot="1">
      <c r="A246" s="867"/>
      <c r="B246" s="2297"/>
      <c r="C246" s="2298"/>
      <c r="D246" s="2298"/>
      <c r="E246" s="2299"/>
      <c r="F246" s="868"/>
      <c r="G246" s="2300"/>
      <c r="H246" s="2301"/>
    </row>
    <row r="247" spans="1:8" ht="24.3" thickTop="1" thickBot="1">
      <c r="A247" s="869"/>
      <c r="B247" s="870"/>
      <c r="C247" s="870"/>
      <c r="D247" s="870"/>
      <c r="E247" s="871" t="s">
        <v>71</v>
      </c>
      <c r="F247" s="872">
        <v>3000000</v>
      </c>
      <c r="G247" s="2300"/>
      <c r="H247" s="2301"/>
    </row>
    <row r="248" spans="1:8" ht="24.3" thickTop="1" thickBot="1">
      <c r="A248" s="873"/>
      <c r="B248" s="874"/>
      <c r="C248" s="875"/>
      <c r="D248" s="876"/>
      <c r="E248" s="871" t="s">
        <v>72</v>
      </c>
      <c r="F248" s="872">
        <f>F247*0.07</f>
        <v>210000.00000000003</v>
      </c>
      <c r="G248" s="2300"/>
      <c r="H248" s="2301"/>
    </row>
    <row r="249" spans="1:8" ht="24.3" thickTop="1" thickBot="1">
      <c r="A249" s="873"/>
      <c r="B249" s="874"/>
      <c r="C249" s="875"/>
      <c r="D249" s="876"/>
      <c r="E249" s="871" t="s">
        <v>73</v>
      </c>
      <c r="F249" s="872">
        <f>F247+F248</f>
        <v>3210000</v>
      </c>
      <c r="G249" s="2300"/>
      <c r="H249" s="2301"/>
    </row>
    <row r="250" spans="1:8" ht="24" thickTop="1">
      <c r="A250" s="877"/>
      <c r="B250" s="878"/>
      <c r="C250" s="877"/>
      <c r="D250" s="877"/>
      <c r="E250" s="877"/>
      <c r="F250" s="877"/>
      <c r="G250" s="877"/>
      <c r="H250" s="877"/>
    </row>
    <row r="251" spans="1:8">
      <c r="A251" s="877"/>
      <c r="B251" s="878"/>
      <c r="C251" s="877"/>
      <c r="D251" s="877"/>
      <c r="E251" s="877"/>
      <c r="F251" s="877"/>
      <c r="G251" s="877"/>
      <c r="H251" s="877"/>
    </row>
    <row r="267" spans="1:8">
      <c r="A267" s="2325" t="s">
        <v>56</v>
      </c>
      <c r="B267" s="2325"/>
      <c r="C267" s="2325"/>
      <c r="D267" s="2325"/>
      <c r="E267" s="2325"/>
      <c r="F267" s="2325"/>
      <c r="G267" s="2325"/>
      <c r="H267" s="2325"/>
    </row>
    <row r="268" spans="1:8">
      <c r="A268" s="2324" t="s">
        <v>587</v>
      </c>
      <c r="B268" s="2324"/>
      <c r="C268" s="2324"/>
      <c r="D268" s="2324"/>
      <c r="E268" s="2324"/>
      <c r="F268" s="2324"/>
      <c r="G268" s="2324"/>
      <c r="H268" s="2324"/>
    </row>
    <row r="269" spans="1:8">
      <c r="A269" s="846" t="s">
        <v>58</v>
      </c>
      <c r="B269" s="88"/>
      <c r="C269" s="88"/>
      <c r="D269" s="89"/>
      <c r="E269" s="88"/>
      <c r="F269" s="847"/>
      <c r="G269" s="848"/>
      <c r="H269" s="847"/>
    </row>
    <row r="270" spans="1:8">
      <c r="A270" s="849"/>
      <c r="B270" s="167"/>
      <c r="C270" s="167"/>
      <c r="D270" s="170"/>
      <c r="E270" s="167"/>
      <c r="F270" s="850"/>
      <c r="G270" s="851"/>
      <c r="H270" s="852" t="s">
        <v>59</v>
      </c>
    </row>
    <row r="271" spans="1:8">
      <c r="A271" s="853"/>
      <c r="B271" s="854"/>
      <c r="C271" s="855"/>
      <c r="D271" s="856"/>
      <c r="E271" s="856"/>
      <c r="F271" s="856"/>
      <c r="G271" s="856"/>
      <c r="H271" s="857"/>
    </row>
    <row r="272" spans="1:8">
      <c r="A272" s="2302" t="s">
        <v>8</v>
      </c>
      <c r="B272" s="2304" t="s">
        <v>60</v>
      </c>
      <c r="C272" s="2305"/>
      <c r="D272" s="2305"/>
      <c r="E272" s="2306"/>
      <c r="F272" s="2302" t="s">
        <v>10</v>
      </c>
      <c r="G272" s="2310" t="s">
        <v>15</v>
      </c>
      <c r="H272" s="2311"/>
    </row>
    <row r="273" spans="1:8" ht="24" thickBot="1">
      <c r="A273" s="2303"/>
      <c r="B273" s="2307"/>
      <c r="C273" s="2308"/>
      <c r="D273" s="2308"/>
      <c r="E273" s="2309"/>
      <c r="F273" s="2303"/>
      <c r="G273" s="2312"/>
      <c r="H273" s="2313"/>
    </row>
    <row r="274" spans="1:8" ht="24" thickTop="1">
      <c r="A274" s="858">
        <v>7</v>
      </c>
      <c r="B274" s="2317" t="s">
        <v>588</v>
      </c>
      <c r="C274" s="2318"/>
      <c r="D274" s="2318"/>
      <c r="E274" s="2319"/>
      <c r="F274" s="859" t="s">
        <v>1067</v>
      </c>
      <c r="G274" s="2320"/>
      <c r="H274" s="2321"/>
    </row>
    <row r="275" spans="1:8">
      <c r="A275" s="860"/>
      <c r="B275" s="2322"/>
      <c r="C275" s="2315"/>
      <c r="D275" s="2315"/>
      <c r="E275" s="2316"/>
      <c r="F275" s="861"/>
      <c r="G275" s="2295"/>
      <c r="H275" s="2296"/>
    </row>
    <row r="276" spans="1:8">
      <c r="A276" s="862"/>
      <c r="B276" s="2322"/>
      <c r="C276" s="2315"/>
      <c r="D276" s="2315"/>
      <c r="E276" s="2316"/>
      <c r="F276" s="863"/>
      <c r="G276" s="2295"/>
      <c r="H276" s="2296"/>
    </row>
    <row r="277" spans="1:8">
      <c r="A277" s="862"/>
      <c r="B277" s="2323"/>
      <c r="C277" s="2315"/>
      <c r="D277" s="2315"/>
      <c r="E277" s="2316"/>
      <c r="F277" s="863"/>
      <c r="G277" s="2295"/>
      <c r="H277" s="2296"/>
    </row>
    <row r="278" spans="1:8">
      <c r="A278" s="862"/>
      <c r="B278" s="2314"/>
      <c r="C278" s="2315"/>
      <c r="D278" s="2315"/>
      <c r="E278" s="2316"/>
      <c r="F278" s="863"/>
      <c r="G278" s="2295"/>
      <c r="H278" s="2296"/>
    </row>
    <row r="279" spans="1:8">
      <c r="A279" s="862"/>
      <c r="B279" s="2314"/>
      <c r="C279" s="2315"/>
      <c r="D279" s="2315"/>
      <c r="E279" s="2316"/>
      <c r="F279" s="863"/>
      <c r="G279" s="2295"/>
      <c r="H279" s="2296"/>
    </row>
    <row r="280" spans="1:8">
      <c r="A280" s="862"/>
      <c r="B280" s="2314"/>
      <c r="C280" s="2315"/>
      <c r="D280" s="2315"/>
      <c r="E280" s="2316"/>
      <c r="F280" s="863"/>
      <c r="G280" s="2295"/>
      <c r="H280" s="2296"/>
    </row>
    <row r="281" spans="1:8">
      <c r="A281" s="864"/>
      <c r="B281" s="2314"/>
      <c r="C281" s="2315"/>
      <c r="D281" s="2315"/>
      <c r="E281" s="2316"/>
      <c r="F281" s="863"/>
      <c r="G281" s="2295"/>
      <c r="H281" s="2296"/>
    </row>
    <row r="282" spans="1:8">
      <c r="A282" s="865"/>
      <c r="B282" s="2292"/>
      <c r="C282" s="2293"/>
      <c r="D282" s="2293"/>
      <c r="E282" s="2294"/>
      <c r="F282" s="866"/>
      <c r="G282" s="2295"/>
      <c r="H282" s="2296"/>
    </row>
    <row r="283" spans="1:8">
      <c r="A283" s="865"/>
      <c r="B283" s="2292"/>
      <c r="C283" s="2293"/>
      <c r="D283" s="2293"/>
      <c r="E283" s="2294"/>
      <c r="F283" s="866"/>
      <c r="G283" s="2295"/>
      <c r="H283" s="2296"/>
    </row>
    <row r="284" spans="1:8">
      <c r="A284" s="862"/>
      <c r="B284" s="2292"/>
      <c r="C284" s="2293"/>
      <c r="D284" s="2293"/>
      <c r="E284" s="2294"/>
      <c r="F284" s="859"/>
      <c r="G284" s="2295"/>
      <c r="H284" s="2296"/>
    </row>
    <row r="285" spans="1:8">
      <c r="A285" s="865"/>
      <c r="B285" s="2292"/>
      <c r="C285" s="2293"/>
      <c r="D285" s="2293"/>
      <c r="E285" s="2294"/>
      <c r="F285" s="866"/>
      <c r="G285" s="2295"/>
      <c r="H285" s="2296"/>
    </row>
    <row r="286" spans="1:8">
      <c r="A286" s="865"/>
      <c r="B286" s="2292"/>
      <c r="C286" s="2293"/>
      <c r="D286" s="2293"/>
      <c r="E286" s="2294"/>
      <c r="F286" s="861"/>
      <c r="G286" s="2295"/>
      <c r="H286" s="2296"/>
    </row>
    <row r="287" spans="1:8" ht="24" thickBot="1">
      <c r="A287" s="867"/>
      <c r="B287" s="2297"/>
      <c r="C287" s="2298"/>
      <c r="D287" s="2298"/>
      <c r="E287" s="2299"/>
      <c r="F287" s="868"/>
      <c r="G287" s="2300"/>
      <c r="H287" s="2301"/>
    </row>
    <row r="288" spans="1:8" ht="24.3" thickTop="1" thickBot="1">
      <c r="A288" s="869"/>
      <c r="B288" s="870"/>
      <c r="C288" s="870"/>
      <c r="D288" s="870"/>
      <c r="E288" s="871" t="s">
        <v>71</v>
      </c>
      <c r="F288" s="872"/>
      <c r="G288" s="2300"/>
      <c r="H288" s="2301"/>
    </row>
    <row r="289" spans="1:8" ht="24.3" thickTop="1" thickBot="1">
      <c r="A289" s="873"/>
      <c r="B289" s="874"/>
      <c r="C289" s="875"/>
      <c r="D289" s="876"/>
      <c r="E289" s="871" t="s">
        <v>72</v>
      </c>
      <c r="F289" s="872"/>
      <c r="G289" s="2300"/>
      <c r="H289" s="2301"/>
    </row>
    <row r="290" spans="1:8" ht="24.3" thickTop="1" thickBot="1">
      <c r="A290" s="873"/>
      <c r="B290" s="874"/>
      <c r="C290" s="875"/>
      <c r="D290" s="876"/>
      <c r="E290" s="871" t="s">
        <v>73</v>
      </c>
      <c r="F290" s="872">
        <v>5000000</v>
      </c>
      <c r="G290" s="2300"/>
      <c r="H290" s="2301"/>
    </row>
    <row r="291" spans="1:8" ht="24" thickTop="1">
      <c r="A291" s="877"/>
      <c r="B291" s="878"/>
      <c r="C291" s="877"/>
      <c r="D291" s="877"/>
      <c r="E291" s="877"/>
      <c r="F291" s="877"/>
      <c r="G291" s="877"/>
      <c r="H291" s="877"/>
    </row>
    <row r="292" spans="1:8">
      <c r="A292" s="877"/>
      <c r="B292" s="878"/>
      <c r="C292" s="877"/>
      <c r="D292" s="877"/>
      <c r="E292" s="877"/>
      <c r="F292" s="877"/>
      <c r="G292" s="877"/>
      <c r="H292" s="877"/>
    </row>
    <row r="308" spans="1:8">
      <c r="A308" s="2325" t="s">
        <v>56</v>
      </c>
      <c r="B308" s="2325"/>
      <c r="C308" s="2325"/>
      <c r="D308" s="2325"/>
      <c r="E308" s="2325"/>
      <c r="F308" s="2325"/>
      <c r="G308" s="2325"/>
      <c r="H308" s="2325"/>
    </row>
    <row r="309" spans="1:8">
      <c r="A309" s="2324" t="s">
        <v>589</v>
      </c>
      <c r="B309" s="2324"/>
      <c r="C309" s="2324"/>
      <c r="D309" s="2324"/>
      <c r="E309" s="2324"/>
      <c r="F309" s="2324"/>
      <c r="G309" s="2324"/>
      <c r="H309" s="2324"/>
    </row>
    <row r="310" spans="1:8">
      <c r="A310" s="846" t="s">
        <v>58</v>
      </c>
      <c r="B310" s="88"/>
      <c r="C310" s="88"/>
      <c r="D310" s="89"/>
      <c r="E310" s="88"/>
      <c r="F310" s="847"/>
      <c r="G310" s="848"/>
      <c r="H310" s="847"/>
    </row>
    <row r="311" spans="1:8">
      <c r="A311" s="849"/>
      <c r="B311" s="167"/>
      <c r="C311" s="167"/>
      <c r="D311" s="170"/>
      <c r="E311" s="167"/>
      <c r="F311" s="850"/>
      <c r="G311" s="851"/>
      <c r="H311" s="852" t="s">
        <v>59</v>
      </c>
    </row>
    <row r="312" spans="1:8">
      <c r="A312" s="853"/>
      <c r="B312" s="854"/>
      <c r="C312" s="855"/>
      <c r="D312" s="856"/>
      <c r="E312" s="856"/>
      <c r="F312" s="856"/>
      <c r="G312" s="856"/>
      <c r="H312" s="857"/>
    </row>
    <row r="313" spans="1:8">
      <c r="A313" s="2302" t="s">
        <v>8</v>
      </c>
      <c r="B313" s="2304" t="s">
        <v>60</v>
      </c>
      <c r="C313" s="2305"/>
      <c r="D313" s="2305"/>
      <c r="E313" s="2306"/>
      <c r="F313" s="2302" t="s">
        <v>10</v>
      </c>
      <c r="G313" s="2310" t="s">
        <v>15</v>
      </c>
      <c r="H313" s="2311"/>
    </row>
    <row r="314" spans="1:8" ht="24" thickBot="1">
      <c r="A314" s="2303"/>
      <c r="B314" s="2307"/>
      <c r="C314" s="2308"/>
      <c r="D314" s="2308"/>
      <c r="E314" s="2309"/>
      <c r="F314" s="2303"/>
      <c r="G314" s="2312"/>
      <c r="H314" s="2313"/>
    </row>
    <row r="315" spans="1:8" ht="24" thickTop="1">
      <c r="A315" s="858">
        <v>8</v>
      </c>
      <c r="B315" s="2317" t="s">
        <v>590</v>
      </c>
      <c r="C315" s="2318"/>
      <c r="D315" s="2318"/>
      <c r="E315" s="2319"/>
      <c r="F315" s="859" t="s">
        <v>1067</v>
      </c>
      <c r="G315" s="2320"/>
      <c r="H315" s="2321"/>
    </row>
    <row r="316" spans="1:8">
      <c r="A316" s="860"/>
      <c r="B316" s="2322"/>
      <c r="C316" s="2315"/>
      <c r="D316" s="2315"/>
      <c r="E316" s="2316"/>
      <c r="F316" s="861"/>
      <c r="G316" s="2295"/>
      <c r="H316" s="2296"/>
    </row>
    <row r="317" spans="1:8">
      <c r="A317" s="862"/>
      <c r="B317" s="2322"/>
      <c r="C317" s="2315"/>
      <c r="D317" s="2315"/>
      <c r="E317" s="2316"/>
      <c r="F317" s="863"/>
      <c r="G317" s="2295"/>
      <c r="H317" s="2296"/>
    </row>
    <row r="318" spans="1:8">
      <c r="A318" s="862"/>
      <c r="B318" s="2323"/>
      <c r="C318" s="2315"/>
      <c r="D318" s="2315"/>
      <c r="E318" s="2316"/>
      <c r="F318" s="863"/>
      <c r="G318" s="2295"/>
      <c r="H318" s="2296"/>
    </row>
    <row r="319" spans="1:8">
      <c r="A319" s="862"/>
      <c r="B319" s="2314"/>
      <c r="C319" s="2315"/>
      <c r="D319" s="2315"/>
      <c r="E319" s="2316"/>
      <c r="F319" s="863"/>
      <c r="G319" s="2295"/>
      <c r="H319" s="2296"/>
    </row>
    <row r="320" spans="1:8">
      <c r="A320" s="862"/>
      <c r="B320" s="2314"/>
      <c r="C320" s="2315"/>
      <c r="D320" s="2315"/>
      <c r="E320" s="2316"/>
      <c r="F320" s="863"/>
      <c r="G320" s="2295"/>
      <c r="H320" s="2296"/>
    </row>
    <row r="321" spans="1:8">
      <c r="A321" s="862"/>
      <c r="B321" s="2314"/>
      <c r="C321" s="2315"/>
      <c r="D321" s="2315"/>
      <c r="E321" s="2316"/>
      <c r="F321" s="863"/>
      <c r="G321" s="2295"/>
      <c r="H321" s="2296"/>
    </row>
    <row r="322" spans="1:8">
      <c r="A322" s="864"/>
      <c r="B322" s="2314"/>
      <c r="C322" s="2315"/>
      <c r="D322" s="2315"/>
      <c r="E322" s="2316"/>
      <c r="F322" s="863"/>
      <c r="G322" s="2295"/>
      <c r="H322" s="2296"/>
    </row>
    <row r="323" spans="1:8">
      <c r="A323" s="865"/>
      <c r="B323" s="2292"/>
      <c r="C323" s="2293"/>
      <c r="D323" s="2293"/>
      <c r="E323" s="2294"/>
      <c r="F323" s="866"/>
      <c r="G323" s="2295"/>
      <c r="H323" s="2296"/>
    </row>
    <row r="324" spans="1:8">
      <c r="A324" s="865"/>
      <c r="B324" s="2292"/>
      <c r="C324" s="2293"/>
      <c r="D324" s="2293"/>
      <c r="E324" s="2294"/>
      <c r="F324" s="866"/>
      <c r="G324" s="2295"/>
      <c r="H324" s="2296"/>
    </row>
    <row r="325" spans="1:8">
      <c r="A325" s="862"/>
      <c r="B325" s="2292"/>
      <c r="C325" s="2293"/>
      <c r="D325" s="2293"/>
      <c r="E325" s="2294"/>
      <c r="F325" s="859"/>
      <c r="G325" s="2295"/>
      <c r="H325" s="2296"/>
    </row>
    <row r="326" spans="1:8">
      <c r="A326" s="865"/>
      <c r="B326" s="2292"/>
      <c r="C326" s="2293"/>
      <c r="D326" s="2293"/>
      <c r="E326" s="2294"/>
      <c r="F326" s="866"/>
      <c r="G326" s="2295"/>
      <c r="H326" s="2296"/>
    </row>
    <row r="327" spans="1:8">
      <c r="A327" s="865"/>
      <c r="B327" s="2292"/>
      <c r="C327" s="2293"/>
      <c r="D327" s="2293"/>
      <c r="E327" s="2294"/>
      <c r="F327" s="861"/>
      <c r="G327" s="2295"/>
      <c r="H327" s="2296"/>
    </row>
    <row r="328" spans="1:8" ht="24" thickBot="1">
      <c r="A328" s="867"/>
      <c r="B328" s="2297"/>
      <c r="C328" s="2298"/>
      <c r="D328" s="2298"/>
      <c r="E328" s="2299"/>
      <c r="F328" s="868"/>
      <c r="G328" s="2300"/>
      <c r="H328" s="2301"/>
    </row>
    <row r="329" spans="1:8" ht="24.3" thickTop="1" thickBot="1">
      <c r="A329" s="869"/>
      <c r="B329" s="870"/>
      <c r="C329" s="870"/>
      <c r="D329" s="870"/>
      <c r="E329" s="871" t="s">
        <v>71</v>
      </c>
      <c r="F329" s="872"/>
      <c r="G329" s="2300"/>
      <c r="H329" s="2301"/>
    </row>
    <row r="330" spans="1:8" ht="24.3" thickTop="1" thickBot="1">
      <c r="A330" s="873"/>
      <c r="B330" s="874"/>
      <c r="C330" s="875"/>
      <c r="D330" s="876"/>
      <c r="E330" s="871" t="s">
        <v>72</v>
      </c>
      <c r="F330" s="872"/>
      <c r="G330" s="2300"/>
      <c r="H330" s="2301"/>
    </row>
    <row r="331" spans="1:8" ht="24.3" thickTop="1" thickBot="1">
      <c r="A331" s="873"/>
      <c r="B331" s="874"/>
      <c r="C331" s="875"/>
      <c r="D331" s="876"/>
      <c r="E331" s="871" t="s">
        <v>73</v>
      </c>
      <c r="F331" s="872">
        <v>900000</v>
      </c>
      <c r="G331" s="2300"/>
      <c r="H331" s="2301"/>
    </row>
    <row r="332" spans="1:8" ht="24" thickTop="1">
      <c r="A332" s="877"/>
      <c r="B332" s="878"/>
      <c r="C332" s="877"/>
      <c r="D332" s="877"/>
      <c r="E332" s="877"/>
      <c r="F332" s="877"/>
      <c r="G332" s="877"/>
      <c r="H332" s="877"/>
    </row>
    <row r="333" spans="1:8" ht="23.65" customHeight="1">
      <c r="A333" s="877"/>
      <c r="B333" s="878"/>
      <c r="C333" s="877"/>
      <c r="D333" s="877"/>
      <c r="E333" s="877"/>
      <c r="F333" s="877"/>
      <c r="G333" s="877"/>
      <c r="H333" s="877"/>
    </row>
    <row r="334" spans="1:8">
      <c r="A334" s="877"/>
      <c r="B334" s="878"/>
      <c r="C334" s="877"/>
      <c r="D334" s="877"/>
      <c r="E334" s="877"/>
      <c r="F334" s="877"/>
      <c r="G334" s="877"/>
      <c r="H334" s="877"/>
    </row>
    <row r="335" spans="1:8">
      <c r="A335" s="877"/>
      <c r="B335" s="878"/>
      <c r="C335" s="877"/>
      <c r="D335" s="877"/>
      <c r="E335" s="877"/>
      <c r="F335" s="877"/>
      <c r="G335" s="877"/>
      <c r="H335" s="877"/>
    </row>
    <row r="336" spans="1:8">
      <c r="A336" s="877"/>
      <c r="B336" s="878"/>
      <c r="C336" s="877"/>
      <c r="D336" s="877"/>
      <c r="E336" s="877"/>
      <c r="F336" s="877"/>
      <c r="G336" s="877"/>
      <c r="H336" s="877"/>
    </row>
    <row r="337" spans="1:8">
      <c r="A337" s="877"/>
      <c r="B337" s="878"/>
      <c r="C337" s="877"/>
      <c r="D337" s="877"/>
      <c r="E337" s="877"/>
      <c r="F337" s="877"/>
      <c r="G337" s="877"/>
      <c r="H337" s="877"/>
    </row>
    <row r="338" spans="1:8">
      <c r="A338" s="877"/>
      <c r="B338" s="878"/>
      <c r="C338" s="877"/>
      <c r="D338" s="877"/>
      <c r="E338" s="877"/>
      <c r="F338" s="877"/>
      <c r="G338" s="877"/>
      <c r="H338" s="877"/>
    </row>
    <row r="339" spans="1:8">
      <c r="A339" s="877"/>
      <c r="B339" s="878"/>
      <c r="C339" s="877"/>
      <c r="D339" s="877"/>
      <c r="E339" s="877"/>
      <c r="F339" s="877"/>
      <c r="G339" s="877"/>
      <c r="H339" s="877"/>
    </row>
    <row r="340" spans="1:8">
      <c r="A340" s="877"/>
      <c r="B340" s="878"/>
      <c r="C340" s="877"/>
      <c r="D340" s="877"/>
      <c r="E340" s="877"/>
      <c r="F340" s="877"/>
      <c r="G340" s="877"/>
      <c r="H340" s="877"/>
    </row>
    <row r="341" spans="1:8">
      <c r="A341" s="877"/>
      <c r="B341" s="878"/>
      <c r="C341" s="877"/>
      <c r="D341" s="877"/>
      <c r="E341" s="877"/>
      <c r="F341" s="877"/>
      <c r="G341" s="877"/>
      <c r="H341" s="877"/>
    </row>
    <row r="342" spans="1:8">
      <c r="A342" s="877"/>
      <c r="B342" s="878"/>
      <c r="C342" s="877"/>
      <c r="D342" s="877"/>
      <c r="E342" s="877"/>
      <c r="F342" s="877"/>
      <c r="G342" s="877"/>
      <c r="H342" s="877"/>
    </row>
    <row r="343" spans="1:8">
      <c r="A343" s="877"/>
      <c r="B343" s="878"/>
      <c r="C343" s="877"/>
      <c r="D343" s="877"/>
      <c r="E343" s="877"/>
      <c r="F343" s="877"/>
      <c r="G343" s="877"/>
      <c r="H343" s="877"/>
    </row>
    <row r="344" spans="1:8">
      <c r="A344" s="877"/>
      <c r="B344" s="878"/>
      <c r="C344" s="877"/>
      <c r="D344" s="877"/>
      <c r="E344" s="877"/>
      <c r="F344" s="877"/>
      <c r="G344" s="877"/>
      <c r="H344" s="877"/>
    </row>
    <row r="345" spans="1:8">
      <c r="A345" s="877"/>
      <c r="B345" s="878"/>
      <c r="C345" s="877"/>
      <c r="D345" s="877"/>
      <c r="E345" s="877"/>
      <c r="F345" s="877"/>
      <c r="G345" s="877"/>
      <c r="H345" s="877"/>
    </row>
    <row r="346" spans="1:8">
      <c r="A346" s="877"/>
      <c r="B346" s="878"/>
      <c r="C346" s="877"/>
      <c r="D346" s="877"/>
      <c r="E346" s="877"/>
      <c r="F346" s="877"/>
      <c r="G346" s="877"/>
      <c r="H346" s="877"/>
    </row>
  </sheetData>
  <mergeCells count="318">
    <mergeCell ref="A2:H2"/>
    <mergeCell ref="A3:H3"/>
    <mergeCell ref="A12:E12"/>
    <mergeCell ref="F12:H12"/>
    <mergeCell ref="A13:H13"/>
    <mergeCell ref="A17:A18"/>
    <mergeCell ref="B17:E18"/>
    <mergeCell ref="F17:F18"/>
    <mergeCell ref="G17:H18"/>
    <mergeCell ref="B22:E22"/>
    <mergeCell ref="G22:H22"/>
    <mergeCell ref="B23:E23"/>
    <mergeCell ref="G23:H23"/>
    <mergeCell ref="B24:E24"/>
    <mergeCell ref="G24:H24"/>
    <mergeCell ref="B19:E19"/>
    <mergeCell ref="G19:H19"/>
    <mergeCell ref="B20:E20"/>
    <mergeCell ref="G20:H20"/>
    <mergeCell ref="B21:E21"/>
    <mergeCell ref="G21:H21"/>
    <mergeCell ref="B28:E28"/>
    <mergeCell ref="G28:H28"/>
    <mergeCell ref="B29:E29"/>
    <mergeCell ref="G29:H29"/>
    <mergeCell ref="B30:E30"/>
    <mergeCell ref="G30:H30"/>
    <mergeCell ref="B25:E25"/>
    <mergeCell ref="G25:H25"/>
    <mergeCell ref="B26:E26"/>
    <mergeCell ref="G26:H26"/>
    <mergeCell ref="B27:E27"/>
    <mergeCell ref="G27:H27"/>
    <mergeCell ref="D34:E34"/>
    <mergeCell ref="G34:H34"/>
    <mergeCell ref="D35:E35"/>
    <mergeCell ref="G35:H35"/>
    <mergeCell ref="A56:E56"/>
    <mergeCell ref="F56:H56"/>
    <mergeCell ref="B31:E31"/>
    <mergeCell ref="G31:H31"/>
    <mergeCell ref="B32:E32"/>
    <mergeCell ref="G32:H32"/>
    <mergeCell ref="D33:E33"/>
    <mergeCell ref="G33:H33"/>
    <mergeCell ref="B64:E64"/>
    <mergeCell ref="G64:H64"/>
    <mergeCell ref="B65:E65"/>
    <mergeCell ref="G65:H65"/>
    <mergeCell ref="B66:E66"/>
    <mergeCell ref="G66:H66"/>
    <mergeCell ref="A57:H57"/>
    <mergeCell ref="A61:A62"/>
    <mergeCell ref="B61:E62"/>
    <mergeCell ref="F61:F62"/>
    <mergeCell ref="G61:H62"/>
    <mergeCell ref="B63:E63"/>
    <mergeCell ref="G63:H63"/>
    <mergeCell ref="B70:E70"/>
    <mergeCell ref="G70:H70"/>
    <mergeCell ref="B71:E71"/>
    <mergeCell ref="G71:H71"/>
    <mergeCell ref="B72:E72"/>
    <mergeCell ref="G72:H72"/>
    <mergeCell ref="B67:E67"/>
    <mergeCell ref="G67:H67"/>
    <mergeCell ref="B68:E68"/>
    <mergeCell ref="G68:H68"/>
    <mergeCell ref="B69:E69"/>
    <mergeCell ref="G69:H69"/>
    <mergeCell ref="B76:E76"/>
    <mergeCell ref="G76:H76"/>
    <mergeCell ref="B77:E77"/>
    <mergeCell ref="G77:H77"/>
    <mergeCell ref="B78:E78"/>
    <mergeCell ref="G78:H78"/>
    <mergeCell ref="B73:E73"/>
    <mergeCell ref="G73:H73"/>
    <mergeCell ref="B74:E74"/>
    <mergeCell ref="G74:H74"/>
    <mergeCell ref="B75:E75"/>
    <mergeCell ref="G75:H75"/>
    <mergeCell ref="B107:E107"/>
    <mergeCell ref="G107:H107"/>
    <mergeCell ref="B108:E108"/>
    <mergeCell ref="G108:H108"/>
    <mergeCell ref="B109:E109"/>
    <mergeCell ref="G109:H109"/>
    <mergeCell ref="B79:E79"/>
    <mergeCell ref="G79:H79"/>
    <mergeCell ref="A100:E100"/>
    <mergeCell ref="F100:H100"/>
    <mergeCell ref="A101:H101"/>
    <mergeCell ref="A105:A106"/>
    <mergeCell ref="B105:E106"/>
    <mergeCell ref="F105:F106"/>
    <mergeCell ref="G105:H106"/>
    <mergeCell ref="B113:E113"/>
    <mergeCell ref="G113:H113"/>
    <mergeCell ref="B114:E114"/>
    <mergeCell ref="G114:H114"/>
    <mergeCell ref="B115:E115"/>
    <mergeCell ref="G115:H115"/>
    <mergeCell ref="B110:E110"/>
    <mergeCell ref="G110:H110"/>
    <mergeCell ref="B111:E111"/>
    <mergeCell ref="G111:H111"/>
    <mergeCell ref="B112:E112"/>
    <mergeCell ref="G112:H112"/>
    <mergeCell ref="B119:E119"/>
    <mergeCell ref="G119:H119"/>
    <mergeCell ref="B120:E120"/>
    <mergeCell ref="G120:H120"/>
    <mergeCell ref="B121:E121"/>
    <mergeCell ref="G121:H121"/>
    <mergeCell ref="B116:E116"/>
    <mergeCell ref="G116:H116"/>
    <mergeCell ref="B117:E117"/>
    <mergeCell ref="G117:H117"/>
    <mergeCell ref="B118:E118"/>
    <mergeCell ref="G118:H118"/>
    <mergeCell ref="A143:H143"/>
    <mergeCell ref="A147:A148"/>
    <mergeCell ref="B147:E148"/>
    <mergeCell ref="F147:F148"/>
    <mergeCell ref="G147:H148"/>
    <mergeCell ref="B149:E149"/>
    <mergeCell ref="G149:H149"/>
    <mergeCell ref="B122:E122"/>
    <mergeCell ref="G122:H122"/>
    <mergeCell ref="B123:E123"/>
    <mergeCell ref="G123:H123"/>
    <mergeCell ref="A142:E142"/>
    <mergeCell ref="F142:H142"/>
    <mergeCell ref="B153:E153"/>
    <mergeCell ref="G153:H153"/>
    <mergeCell ref="B154:E154"/>
    <mergeCell ref="G154:H154"/>
    <mergeCell ref="B155:E155"/>
    <mergeCell ref="G155:H155"/>
    <mergeCell ref="B150:E150"/>
    <mergeCell ref="G150:H150"/>
    <mergeCell ref="B151:E151"/>
    <mergeCell ref="G151:H151"/>
    <mergeCell ref="B152:E152"/>
    <mergeCell ref="G152:H152"/>
    <mergeCell ref="B159:E159"/>
    <mergeCell ref="G159:H159"/>
    <mergeCell ref="B160:E160"/>
    <mergeCell ref="G160:H160"/>
    <mergeCell ref="B161:E161"/>
    <mergeCell ref="G161:H161"/>
    <mergeCell ref="B156:E156"/>
    <mergeCell ref="G156:H156"/>
    <mergeCell ref="B157:E157"/>
    <mergeCell ref="G157:H157"/>
    <mergeCell ref="B158:E158"/>
    <mergeCell ref="G158:H158"/>
    <mergeCell ref="A185:E185"/>
    <mergeCell ref="F185:H185"/>
    <mergeCell ref="A186:H186"/>
    <mergeCell ref="B165:E165"/>
    <mergeCell ref="G165:H165"/>
    <mergeCell ref="B162:E162"/>
    <mergeCell ref="G162:H162"/>
    <mergeCell ref="B163:E163"/>
    <mergeCell ref="G163:H163"/>
    <mergeCell ref="B164:E164"/>
    <mergeCell ref="G164:H164"/>
    <mergeCell ref="A227:H227"/>
    <mergeCell ref="B197:E197"/>
    <mergeCell ref="G197:H197"/>
    <mergeCell ref="B198:E198"/>
    <mergeCell ref="G198:H198"/>
    <mergeCell ref="B199:E199"/>
    <mergeCell ref="G199:H199"/>
    <mergeCell ref="G200:H200"/>
    <mergeCell ref="G201:H201"/>
    <mergeCell ref="G202:H202"/>
    <mergeCell ref="B204:E204"/>
    <mergeCell ref="G204:H204"/>
    <mergeCell ref="B205:E205"/>
    <mergeCell ref="G205:H205"/>
    <mergeCell ref="G206:H206"/>
    <mergeCell ref="G207:H207"/>
    <mergeCell ref="G208:H208"/>
    <mergeCell ref="A226:E226"/>
    <mergeCell ref="F226:H226"/>
    <mergeCell ref="A268:H268"/>
    <mergeCell ref="B238:E238"/>
    <mergeCell ref="G238:H238"/>
    <mergeCell ref="B239:E239"/>
    <mergeCell ref="G239:H239"/>
    <mergeCell ref="B240:E240"/>
    <mergeCell ref="G240:H240"/>
    <mergeCell ref="G241:H241"/>
    <mergeCell ref="G242:H242"/>
    <mergeCell ref="G243:H243"/>
    <mergeCell ref="B245:E245"/>
    <mergeCell ref="G245:H245"/>
    <mergeCell ref="B246:E246"/>
    <mergeCell ref="G246:H246"/>
    <mergeCell ref="G247:H247"/>
    <mergeCell ref="G248:H248"/>
    <mergeCell ref="G249:H249"/>
    <mergeCell ref="A267:E267"/>
    <mergeCell ref="F267:H267"/>
    <mergeCell ref="A309:H309"/>
    <mergeCell ref="B279:E279"/>
    <mergeCell ref="G279:H279"/>
    <mergeCell ref="B280:E280"/>
    <mergeCell ref="G280:H280"/>
    <mergeCell ref="B281:E281"/>
    <mergeCell ref="G281:H281"/>
    <mergeCell ref="G282:H282"/>
    <mergeCell ref="G283:H283"/>
    <mergeCell ref="G284:H284"/>
    <mergeCell ref="B286:E286"/>
    <mergeCell ref="G286:H286"/>
    <mergeCell ref="B287:E287"/>
    <mergeCell ref="G287:H287"/>
    <mergeCell ref="G288:H288"/>
    <mergeCell ref="G289:H289"/>
    <mergeCell ref="G290:H290"/>
    <mergeCell ref="A308:E308"/>
    <mergeCell ref="F308:H308"/>
    <mergeCell ref="G325:H325"/>
    <mergeCell ref="B315:E315"/>
    <mergeCell ref="G315:H315"/>
    <mergeCell ref="B316:E316"/>
    <mergeCell ref="G316:H316"/>
    <mergeCell ref="B317:E317"/>
    <mergeCell ref="G317:H317"/>
    <mergeCell ref="B318:E318"/>
    <mergeCell ref="G318:H318"/>
    <mergeCell ref="B319:E319"/>
    <mergeCell ref="G319:H319"/>
    <mergeCell ref="A190:A191"/>
    <mergeCell ref="B190:E191"/>
    <mergeCell ref="F190:F191"/>
    <mergeCell ref="G190:H191"/>
    <mergeCell ref="B200:E200"/>
    <mergeCell ref="B201:E201"/>
    <mergeCell ref="B202:E202"/>
    <mergeCell ref="B203:E203"/>
    <mergeCell ref="G203:H203"/>
    <mergeCell ref="B192:E192"/>
    <mergeCell ref="G192:H192"/>
    <mergeCell ref="B193:E193"/>
    <mergeCell ref="G193:H193"/>
    <mergeCell ref="B194:E194"/>
    <mergeCell ref="G194:H194"/>
    <mergeCell ref="B195:E195"/>
    <mergeCell ref="G195:H195"/>
    <mergeCell ref="B196:E196"/>
    <mergeCell ref="G196:H196"/>
    <mergeCell ref="A231:A232"/>
    <mergeCell ref="B231:E232"/>
    <mergeCell ref="F231:F232"/>
    <mergeCell ref="G231:H232"/>
    <mergeCell ref="B241:E241"/>
    <mergeCell ref="B242:E242"/>
    <mergeCell ref="B243:E243"/>
    <mergeCell ref="B244:E244"/>
    <mergeCell ref="G244:H244"/>
    <mergeCell ref="B233:E233"/>
    <mergeCell ref="G233:H233"/>
    <mergeCell ref="B234:E234"/>
    <mergeCell ref="G234:H234"/>
    <mergeCell ref="B235:E235"/>
    <mergeCell ref="G235:H235"/>
    <mergeCell ref="B236:E236"/>
    <mergeCell ref="G236:H236"/>
    <mergeCell ref="B237:E237"/>
    <mergeCell ref="G237:H237"/>
    <mergeCell ref="A272:A273"/>
    <mergeCell ref="B272:E273"/>
    <mergeCell ref="F272:F273"/>
    <mergeCell ref="G272:H273"/>
    <mergeCell ref="B282:E282"/>
    <mergeCell ref="B283:E283"/>
    <mergeCell ref="B284:E284"/>
    <mergeCell ref="B285:E285"/>
    <mergeCell ref="G285:H285"/>
    <mergeCell ref="B274:E274"/>
    <mergeCell ref="G274:H274"/>
    <mergeCell ref="B275:E275"/>
    <mergeCell ref="G275:H275"/>
    <mergeCell ref="B276:E276"/>
    <mergeCell ref="G276:H276"/>
    <mergeCell ref="B277:E277"/>
    <mergeCell ref="G277:H277"/>
    <mergeCell ref="B278:E278"/>
    <mergeCell ref="G278:H278"/>
    <mergeCell ref="B327:E327"/>
    <mergeCell ref="G327:H327"/>
    <mergeCell ref="B328:E328"/>
    <mergeCell ref="G328:H328"/>
    <mergeCell ref="G329:H329"/>
    <mergeCell ref="G330:H330"/>
    <mergeCell ref="G331:H331"/>
    <mergeCell ref="A313:A314"/>
    <mergeCell ref="B313:E314"/>
    <mergeCell ref="F313:F314"/>
    <mergeCell ref="G313:H314"/>
    <mergeCell ref="B323:E323"/>
    <mergeCell ref="B324:E324"/>
    <mergeCell ref="B325:E325"/>
    <mergeCell ref="B326:E326"/>
    <mergeCell ref="G326:H326"/>
    <mergeCell ref="B320:E320"/>
    <mergeCell ref="G320:H320"/>
    <mergeCell ref="B321:E321"/>
    <mergeCell ref="G321:H321"/>
    <mergeCell ref="B322:E322"/>
    <mergeCell ref="G322:H322"/>
    <mergeCell ref="G323:H323"/>
    <mergeCell ref="G324:H324"/>
  </mergeCells>
  <pageMargins left="0.59055118110236204" right="0.196850393700787" top="0.59055118110236204" bottom="0.39370078740157499" header="0.31496062992126" footer="0.15748031496063"/>
  <pageSetup paperSize="9" scale="65" orientation="portrait" r:id="rId1"/>
  <headerFooter>
    <oddHeader xml:space="preserve">&amp;Rแผ่นที่ &amp;P ใน &amp;N แผ่น    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2572-6411-42FD-BF43-59EFEC4E8841}">
  <sheetPr>
    <tabColor rgb="FF92D050"/>
  </sheetPr>
  <dimension ref="A1:U403"/>
  <sheetViews>
    <sheetView view="pageBreakPreview" topLeftCell="A4" zoomScale="85" zoomScaleNormal="100" zoomScaleSheetLayoutView="85" workbookViewId="0">
      <selection activeCell="G2" sqref="G2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" customWidth="1"/>
    <col min="13" max="13" width="7.703125" style="1" customWidth="1"/>
    <col min="14" max="14" width="14.41015625" style="1" customWidth="1"/>
    <col min="15" max="15" width="9.29296875" style="1" customWidth="1"/>
    <col min="16" max="94" width="7.703125" style="1" customWidth="1"/>
    <col min="95" max="16384" width="9" style="1"/>
  </cols>
  <sheetData>
    <row r="1" spans="1:12" ht="35.200000000000003" customHeight="1">
      <c r="A1" s="1166"/>
      <c r="B1" s="33"/>
      <c r="C1" s="34"/>
      <c r="D1" s="34"/>
      <c r="E1" s="34"/>
      <c r="F1" s="7" t="s">
        <v>0</v>
      </c>
      <c r="G1" s="8"/>
      <c r="H1" s="9"/>
      <c r="I1" s="9"/>
      <c r="J1" s="10" t="s">
        <v>1</v>
      </c>
      <c r="K1" s="35"/>
      <c r="L1" s="9"/>
    </row>
    <row r="2" spans="1:12" ht="25.15" customHeight="1">
      <c r="A2" s="1168" t="s">
        <v>2</v>
      </c>
      <c r="B2" s="36"/>
      <c r="C2" s="37"/>
      <c r="D2" s="12" t="s">
        <v>1093</v>
      </c>
      <c r="E2" s="37"/>
      <c r="F2" s="13"/>
      <c r="G2" s="13"/>
      <c r="H2" s="13"/>
      <c r="I2" s="13"/>
      <c r="J2" s="14"/>
      <c r="K2" s="13"/>
      <c r="L2" s="15"/>
    </row>
    <row r="3" spans="1:12" ht="25.15" customHeight="1">
      <c r="A3" s="1170" t="s">
        <v>22</v>
      </c>
      <c r="B3" s="38"/>
      <c r="C3" s="39"/>
      <c r="D3" s="40"/>
      <c r="E3" s="39"/>
      <c r="F3" s="17"/>
      <c r="G3" s="17"/>
      <c r="H3" s="17"/>
      <c r="I3" s="17"/>
      <c r="J3" s="41"/>
      <c r="K3" s="17"/>
      <c r="L3" s="42"/>
    </row>
    <row r="4" spans="1:12" ht="25.15" customHeight="1">
      <c r="A4" s="1172"/>
      <c r="B4" s="38"/>
      <c r="C4" s="39"/>
      <c r="D4" s="44" t="s">
        <v>1068</v>
      </c>
      <c r="E4" s="39"/>
      <c r="F4" s="17"/>
      <c r="G4" s="17"/>
      <c r="H4" s="17"/>
      <c r="I4" s="17"/>
      <c r="J4" s="41"/>
      <c r="K4" s="17"/>
      <c r="L4" s="42"/>
    </row>
    <row r="5" spans="1:12" ht="25.15" customHeight="1">
      <c r="A5" s="1170" t="s">
        <v>3</v>
      </c>
      <c r="B5" s="36"/>
      <c r="C5" s="37"/>
      <c r="D5" s="40" t="s">
        <v>21</v>
      </c>
      <c r="E5" s="35"/>
      <c r="F5" s="13"/>
      <c r="G5" s="18" t="s">
        <v>4</v>
      </c>
      <c r="H5" s="19"/>
      <c r="I5" s="17"/>
      <c r="J5" s="41"/>
      <c r="K5" s="20"/>
      <c r="L5" s="42"/>
    </row>
    <row r="6" spans="1:12" ht="25.15" customHeight="1">
      <c r="A6" s="5" t="s">
        <v>20</v>
      </c>
      <c r="B6" s="38"/>
      <c r="C6" s="39"/>
      <c r="D6" s="43"/>
      <c r="E6" s="39"/>
      <c r="F6" s="17"/>
      <c r="G6" s="21"/>
      <c r="H6" s="17"/>
      <c r="I6" s="17"/>
      <c r="J6" s="17"/>
      <c r="K6" s="17"/>
      <c r="L6" s="20"/>
    </row>
    <row r="7" spans="1:12" ht="26.2" customHeight="1">
      <c r="A7" s="6" t="s">
        <v>31</v>
      </c>
      <c r="B7" s="22"/>
      <c r="C7" s="22"/>
      <c r="D7" s="23"/>
      <c r="E7" s="22"/>
      <c r="F7" s="1174" t="s">
        <v>5</v>
      </c>
      <c r="G7" s="25"/>
      <c r="H7" s="25" t="s">
        <v>6</v>
      </c>
      <c r="I7" s="26"/>
      <c r="J7" s="6" t="s">
        <v>23</v>
      </c>
      <c r="K7" s="22"/>
      <c r="L7" s="2210" t="s">
        <v>7</v>
      </c>
    </row>
    <row r="8" spans="1:12" ht="10.15" customHeight="1">
      <c r="A8" s="4"/>
      <c r="B8" s="27"/>
      <c r="C8" s="27"/>
      <c r="D8" s="28"/>
      <c r="E8" s="28"/>
      <c r="F8" s="29"/>
      <c r="G8" s="29"/>
      <c r="H8" s="30"/>
      <c r="I8" s="30"/>
      <c r="J8" s="30"/>
      <c r="K8" s="29"/>
      <c r="L8" s="2211"/>
    </row>
    <row r="9" spans="1:12" s="3" customFormat="1" ht="24" customHeight="1">
      <c r="A9" s="2212" t="s">
        <v>8</v>
      </c>
      <c r="B9" s="2214" t="s">
        <v>9</v>
      </c>
      <c r="C9" s="2215"/>
      <c r="D9" s="2216"/>
      <c r="E9" s="2220" t="s">
        <v>10</v>
      </c>
      <c r="F9" s="2220" t="s">
        <v>11</v>
      </c>
      <c r="G9" s="2222" t="s">
        <v>12</v>
      </c>
      <c r="H9" s="2223"/>
      <c r="I9" s="2222" t="s">
        <v>13</v>
      </c>
      <c r="J9" s="2223"/>
      <c r="K9" s="2180" t="s">
        <v>14</v>
      </c>
      <c r="L9" s="2260" t="s">
        <v>15</v>
      </c>
    </row>
    <row r="10" spans="1:12" s="3" customFormat="1" ht="24" customHeight="1">
      <c r="A10" s="2213"/>
      <c r="B10" s="2217"/>
      <c r="C10" s="2218"/>
      <c r="D10" s="2219"/>
      <c r="E10" s="2221"/>
      <c r="F10" s="2221"/>
      <c r="G10" s="31" t="s">
        <v>16</v>
      </c>
      <c r="H10" s="32" t="s">
        <v>17</v>
      </c>
      <c r="I10" s="31" t="s">
        <v>16</v>
      </c>
      <c r="J10" s="32" t="s">
        <v>17</v>
      </c>
      <c r="K10" s="2181" t="s">
        <v>18</v>
      </c>
      <c r="L10" s="2261"/>
    </row>
    <row r="11" spans="1:12" ht="24" customHeight="1">
      <c r="A11" s="1175" t="s">
        <v>30</v>
      </c>
      <c r="B11" s="1176" t="s">
        <v>1580</v>
      </c>
      <c r="C11" s="1177"/>
      <c r="D11" s="1178"/>
      <c r="E11" s="1179"/>
      <c r="F11" s="1180"/>
      <c r="G11" s="1181"/>
      <c r="H11" s="1182"/>
      <c r="I11" s="1183"/>
      <c r="J11" s="1182"/>
      <c r="K11" s="1184"/>
      <c r="L11" s="1429"/>
    </row>
    <row r="12" spans="1:12" s="1199" customFormat="1" ht="24" customHeight="1">
      <c r="A12" s="1204">
        <f>A35</f>
        <v>3.1</v>
      </c>
      <c r="B12" s="1431" t="str">
        <f>B35</f>
        <v>Distribution Board</v>
      </c>
      <c r="C12" s="1202"/>
      <c r="D12" s="1203"/>
      <c r="E12" s="1193">
        <v>1</v>
      </c>
      <c r="F12" s="1194" t="s">
        <v>19</v>
      </c>
      <c r="G12" s="1195"/>
      <c r="H12" s="1196">
        <f>H43</f>
        <v>0</v>
      </c>
      <c r="I12" s="1241"/>
      <c r="J12" s="1196">
        <f>J43</f>
        <v>0</v>
      </c>
      <c r="K12" s="1196">
        <f>K43</f>
        <v>0</v>
      </c>
      <c r="L12" s="1430"/>
    </row>
    <row r="13" spans="1:12" s="1199" customFormat="1" ht="24" customHeight="1">
      <c r="A13" s="1204">
        <f>A44</f>
        <v>3.2</v>
      </c>
      <c r="B13" s="1431" t="str">
        <f>B44</f>
        <v>Essential Distribution Board</v>
      </c>
      <c r="C13" s="1202"/>
      <c r="D13" s="1203"/>
      <c r="E13" s="1193">
        <v>1</v>
      </c>
      <c r="F13" s="1194" t="s">
        <v>19</v>
      </c>
      <c r="G13" s="1195"/>
      <c r="H13" s="1196">
        <f>H154</f>
        <v>444395</v>
      </c>
      <c r="I13" s="1241"/>
      <c r="J13" s="1196">
        <f>J154</f>
        <v>32880</v>
      </c>
      <c r="K13" s="1196">
        <f>K154</f>
        <v>477275</v>
      </c>
      <c r="L13" s="1430"/>
    </row>
    <row r="14" spans="1:12" s="1199" customFormat="1" ht="24" customHeight="1">
      <c r="A14" s="1204" t="str">
        <f>A155</f>
        <v>3.3</v>
      </c>
      <c r="B14" s="1190" t="str">
        <f>B155</f>
        <v>แผงสวิทช์ย่อยและเซอร์กิต เบรคเกอร์ (Panelboard &amp; CB)</v>
      </c>
      <c r="C14" s="1202"/>
      <c r="D14" s="1203"/>
      <c r="E14" s="1193">
        <v>1</v>
      </c>
      <c r="F14" s="1194" t="s">
        <v>19</v>
      </c>
      <c r="G14" s="1195"/>
      <c r="H14" s="1196">
        <f>H178</f>
        <v>20564</v>
      </c>
      <c r="I14" s="1197"/>
      <c r="J14" s="1196">
        <f>J178</f>
        <v>3000</v>
      </c>
      <c r="K14" s="1196">
        <f t="shared" ref="K14:K22" si="0">SUM(H14:J14)</f>
        <v>23564</v>
      </c>
      <c r="L14" s="1430"/>
    </row>
    <row r="15" spans="1:12" s="1199" customFormat="1" ht="24" customHeight="1">
      <c r="A15" s="1204" t="str">
        <f>A179</f>
        <v>3.4</v>
      </c>
      <c r="B15" s="1190" t="str">
        <f>B179</f>
        <v>สายไฟฟ้า (Cable &amp; Wire)</v>
      </c>
      <c r="C15" s="1202"/>
      <c r="D15" s="1203"/>
      <c r="E15" s="1193">
        <v>1</v>
      </c>
      <c r="F15" s="1194" t="s">
        <v>19</v>
      </c>
      <c r="G15" s="1195"/>
      <c r="H15" s="1196">
        <f>H189</f>
        <v>815850</v>
      </c>
      <c r="I15" s="1197"/>
      <c r="J15" s="1196">
        <f>J189</f>
        <v>395655</v>
      </c>
      <c r="K15" s="1196">
        <f t="shared" si="0"/>
        <v>1211505</v>
      </c>
      <c r="L15" s="1430"/>
    </row>
    <row r="16" spans="1:12" s="1199" customFormat="1" ht="24" customHeight="1">
      <c r="A16" s="1204" t="str">
        <f>A190</f>
        <v>3.5</v>
      </c>
      <c r="B16" s="1190" t="str">
        <f>B190</f>
        <v>รางเดินสายไฟฟ้า (Raceway)</v>
      </c>
      <c r="C16" s="1202"/>
      <c r="D16" s="1203"/>
      <c r="E16" s="1193">
        <v>1</v>
      </c>
      <c r="F16" s="1194" t="s">
        <v>19</v>
      </c>
      <c r="G16" s="1195"/>
      <c r="H16" s="1196">
        <f>H202</f>
        <v>914025</v>
      </c>
      <c r="I16" s="1197"/>
      <c r="J16" s="1196">
        <f>J202</f>
        <v>346538</v>
      </c>
      <c r="K16" s="1196">
        <f t="shared" si="0"/>
        <v>1260563</v>
      </c>
      <c r="L16" s="1430"/>
    </row>
    <row r="17" spans="1:12" s="1199" customFormat="1" ht="24" customHeight="1">
      <c r="A17" s="1204" t="str">
        <f>A203</f>
        <v>3.6</v>
      </c>
      <c r="B17" s="1190" t="str">
        <f>B203</f>
        <v>สวิทช์และเต้ารับ (Switch &amp; Outlet)</v>
      </c>
      <c r="C17" s="1202"/>
      <c r="D17" s="1203"/>
      <c r="E17" s="1193">
        <v>1</v>
      </c>
      <c r="F17" s="1194" t="s">
        <v>19</v>
      </c>
      <c r="G17" s="1195"/>
      <c r="H17" s="1196">
        <f>H219</f>
        <v>14205</v>
      </c>
      <c r="I17" s="1197"/>
      <c r="J17" s="1196">
        <f>J219</f>
        <v>6120</v>
      </c>
      <c r="K17" s="1196">
        <f t="shared" si="0"/>
        <v>20325</v>
      </c>
      <c r="L17" s="1430"/>
    </row>
    <row r="18" spans="1:12" s="1199" customFormat="1" ht="24" customHeight="1">
      <c r="A18" s="1189" t="str">
        <f>A220</f>
        <v>3.7</v>
      </c>
      <c r="B18" s="1190" t="str">
        <f>B220</f>
        <v>Two Wire Remote System</v>
      </c>
      <c r="C18" s="1202"/>
      <c r="D18" s="1203"/>
      <c r="E18" s="1193">
        <v>1</v>
      </c>
      <c r="F18" s="1194" t="s">
        <v>19</v>
      </c>
      <c r="G18" s="1195"/>
      <c r="H18" s="1196">
        <f>H226</f>
        <v>140180</v>
      </c>
      <c r="I18" s="1197"/>
      <c r="J18" s="1196">
        <f>J226</f>
        <v>7009</v>
      </c>
      <c r="K18" s="1196">
        <f t="shared" si="0"/>
        <v>147189</v>
      </c>
      <c r="L18" s="1430"/>
    </row>
    <row r="19" spans="1:12" s="1199" customFormat="1" ht="24" customHeight="1">
      <c r="A19" s="1204" t="str">
        <f>A227</f>
        <v>3.8</v>
      </c>
      <c r="B19" s="1190" t="str">
        <f>B227</f>
        <v>โคมไฟฟ้า (Luminaire)</v>
      </c>
      <c r="C19" s="1202"/>
      <c r="D19" s="1203"/>
      <c r="E19" s="1193">
        <v>1</v>
      </c>
      <c r="F19" s="1194" t="s">
        <v>19</v>
      </c>
      <c r="G19" s="1195"/>
      <c r="H19" s="1196">
        <f>H256</f>
        <v>484548</v>
      </c>
      <c r="I19" s="1197"/>
      <c r="J19" s="1196">
        <f>J256</f>
        <v>101702</v>
      </c>
      <c r="K19" s="1196">
        <f t="shared" si="0"/>
        <v>586250</v>
      </c>
      <c r="L19" s="1430"/>
    </row>
    <row r="20" spans="1:12" s="1199" customFormat="1" ht="24" customHeight="1">
      <c r="A20" s="1204" t="str">
        <f>A257</f>
        <v>3.9</v>
      </c>
      <c r="B20" s="2174" t="str">
        <f>B257</f>
        <v>ระบบสัญญาณแจ้งเหตุเพลิงไหม้ (Fire Alarm System)</v>
      </c>
      <c r="C20" s="1202"/>
      <c r="D20" s="1203"/>
      <c r="E20" s="1193">
        <v>1</v>
      </c>
      <c r="F20" s="1207" t="s">
        <v>19</v>
      </c>
      <c r="G20" s="1208"/>
      <c r="H20" s="1196">
        <f>H298</f>
        <v>920883</v>
      </c>
      <c r="I20" s="1197"/>
      <c r="J20" s="1196">
        <f>J298</f>
        <v>192502</v>
      </c>
      <c r="K20" s="1196">
        <f t="shared" si="0"/>
        <v>1113385</v>
      </c>
      <c r="L20" s="1430"/>
    </row>
    <row r="21" spans="1:12" s="1199" customFormat="1" ht="24" customHeight="1">
      <c r="A21" s="1233" t="str">
        <f>A299</f>
        <v>3.11</v>
      </c>
      <c r="B21" s="1234" t="str">
        <f>B299</f>
        <v>ระบบเสียงและประกาศเรียก (Public Address System)</v>
      </c>
      <c r="C21" s="1235"/>
      <c r="D21" s="1236"/>
      <c r="E21" s="1193">
        <v>1</v>
      </c>
      <c r="F21" s="1194" t="s">
        <v>19</v>
      </c>
      <c r="G21" s="1237"/>
      <c r="H21" s="1238">
        <f>H322</f>
        <v>109585</v>
      </c>
      <c r="I21" s="1239"/>
      <c r="J21" s="1238">
        <f>J322</f>
        <v>19765</v>
      </c>
      <c r="K21" s="1196">
        <f t="shared" si="0"/>
        <v>129350</v>
      </c>
      <c r="L21" s="1430"/>
    </row>
    <row r="22" spans="1:12" s="1199" customFormat="1" ht="24" customHeight="1">
      <c r="A22" s="1233" t="str">
        <f>A323</f>
        <v>3.12</v>
      </c>
      <c r="B22" s="1234" t="str">
        <f>B323</f>
        <v>ระบบควบคุมประตูอัตโนมัติ (Access Control System)</v>
      </c>
      <c r="C22" s="1235"/>
      <c r="D22" s="1236"/>
      <c r="E22" s="1193">
        <v>1</v>
      </c>
      <c r="F22" s="1194" t="s">
        <v>19</v>
      </c>
      <c r="G22" s="1237"/>
      <c r="H22" s="1238">
        <f>H346</f>
        <v>359400</v>
      </c>
      <c r="I22" s="1239"/>
      <c r="J22" s="1238">
        <f>J346</f>
        <v>11692</v>
      </c>
      <c r="K22" s="1196">
        <f t="shared" si="0"/>
        <v>371092</v>
      </c>
      <c r="L22" s="1430"/>
    </row>
    <row r="23" spans="1:12" s="1199" customFormat="1" ht="24" customHeight="1">
      <c r="A23" s="1233" t="str">
        <f>A347</f>
        <v>3.13</v>
      </c>
      <c r="B23" s="1482" t="str">
        <f>B347</f>
        <v>ระบบบริหารจัดการอาคาร (Building Management System : BMS)</v>
      </c>
      <c r="C23" s="1235"/>
      <c r="D23" s="1236"/>
      <c r="E23" s="1193">
        <v>1</v>
      </c>
      <c r="F23" s="1194" t="s">
        <v>19</v>
      </c>
      <c r="G23" s="1237"/>
      <c r="H23" s="1238">
        <f>H370</f>
        <v>739145</v>
      </c>
      <c r="I23" s="1239"/>
      <c r="J23" s="1238">
        <f>J370</f>
        <v>82580</v>
      </c>
      <c r="K23" s="1238">
        <f>K370</f>
        <v>821725</v>
      </c>
      <c r="L23" s="1430"/>
    </row>
    <row r="24" spans="1:12" s="1199" customFormat="1" ht="24" customHeight="1">
      <c r="A24" s="1233" t="str">
        <f>A371</f>
        <v>3.14</v>
      </c>
      <c r="B24" s="1482" t="str">
        <f>B371</f>
        <v>ระบบแจ้งเหตุฉุกเฉิน (Panic Alarm System)</v>
      </c>
      <c r="C24" s="1235"/>
      <c r="D24" s="1236"/>
      <c r="E24" s="1193">
        <v>1</v>
      </c>
      <c r="F24" s="1194" t="s">
        <v>19</v>
      </c>
      <c r="G24" s="1237"/>
      <c r="H24" s="1238">
        <f>H394</f>
        <v>326100</v>
      </c>
      <c r="I24" s="1239"/>
      <c r="J24" s="1238">
        <f>J394</f>
        <v>10056</v>
      </c>
      <c r="K24" s="1238">
        <f>K394</f>
        <v>336156</v>
      </c>
      <c r="L24" s="1430"/>
    </row>
    <row r="25" spans="1:12" s="1199" customFormat="1" ht="24" customHeight="1">
      <c r="A25" s="1204"/>
      <c r="B25" s="1240"/>
      <c r="C25" s="1202"/>
      <c r="D25" s="1203"/>
      <c r="E25" s="1206"/>
      <c r="F25" s="1207"/>
      <c r="G25" s="1195"/>
      <c r="H25" s="1196"/>
      <c r="I25" s="1241"/>
      <c r="J25" s="1229"/>
      <c r="K25" s="1242"/>
      <c r="L25" s="1430"/>
    </row>
    <row r="26" spans="1:12" s="1199" customFormat="1" ht="24" customHeight="1">
      <c r="A26" s="1204"/>
      <c r="B26" s="1240"/>
      <c r="C26" s="1202"/>
      <c r="D26" s="1203"/>
      <c r="E26" s="1206"/>
      <c r="F26" s="1207"/>
      <c r="G26" s="1195"/>
      <c r="H26" s="1196"/>
      <c r="I26" s="1241"/>
      <c r="J26" s="1229"/>
      <c r="K26" s="1242"/>
      <c r="L26" s="1430"/>
    </row>
    <row r="27" spans="1:12" s="1199" customFormat="1" ht="24" customHeight="1">
      <c r="A27" s="1204"/>
      <c r="B27" s="1240"/>
      <c r="C27" s="1202"/>
      <c r="D27" s="1203"/>
      <c r="E27" s="1206"/>
      <c r="F27" s="1207"/>
      <c r="G27" s="1195"/>
      <c r="H27" s="1196"/>
      <c r="I27" s="1241"/>
      <c r="J27" s="1229"/>
      <c r="K27" s="1242"/>
      <c r="L27" s="1430"/>
    </row>
    <row r="28" spans="1:12" s="1199" customFormat="1" ht="24" customHeight="1">
      <c r="A28" s="1204"/>
      <c r="B28" s="1240"/>
      <c r="C28" s="1202"/>
      <c r="D28" s="1203"/>
      <c r="E28" s="1206"/>
      <c r="F28" s="1207"/>
      <c r="G28" s="1195"/>
      <c r="H28" s="1196"/>
      <c r="I28" s="1241"/>
      <c r="J28" s="1229"/>
      <c r="K28" s="1242"/>
      <c r="L28" s="1430"/>
    </row>
    <row r="29" spans="1:12" s="1199" customFormat="1" ht="24" customHeight="1">
      <c r="A29" s="1204"/>
      <c r="B29" s="1240"/>
      <c r="C29" s="1202"/>
      <c r="D29" s="1203"/>
      <c r="E29" s="1206"/>
      <c r="F29" s="1207"/>
      <c r="G29" s="1195"/>
      <c r="H29" s="1196"/>
      <c r="I29" s="1241"/>
      <c r="J29" s="1229"/>
      <c r="K29" s="1242"/>
      <c r="L29" s="1430"/>
    </row>
    <row r="30" spans="1:12" s="1199" customFormat="1" ht="24" customHeight="1">
      <c r="A30" s="1204"/>
      <c r="B30" s="1240"/>
      <c r="C30" s="1202"/>
      <c r="D30" s="1203"/>
      <c r="E30" s="1206"/>
      <c r="F30" s="1207"/>
      <c r="G30" s="1195"/>
      <c r="H30" s="1196"/>
      <c r="I30" s="1241"/>
      <c r="J30" s="1229"/>
      <c r="K30" s="1242"/>
      <c r="L30" s="1430"/>
    </row>
    <row r="31" spans="1:12" s="1199" customFormat="1" ht="24" customHeight="1">
      <c r="A31" s="1204"/>
      <c r="B31" s="1240"/>
      <c r="C31" s="1202"/>
      <c r="D31" s="1203"/>
      <c r="E31" s="1206"/>
      <c r="F31" s="1207"/>
      <c r="G31" s="1195"/>
      <c r="H31" s="1196"/>
      <c r="I31" s="1241"/>
      <c r="J31" s="1229"/>
      <c r="K31" s="1242"/>
      <c r="L31" s="1430"/>
    </row>
    <row r="32" spans="1:12" s="1199" customFormat="1" ht="24" customHeight="1">
      <c r="A32" s="1204"/>
      <c r="B32" s="1240"/>
      <c r="C32" s="1202"/>
      <c r="D32" s="1203"/>
      <c r="E32" s="1206"/>
      <c r="F32" s="1207"/>
      <c r="G32" s="1195"/>
      <c r="H32" s="1196"/>
      <c r="I32" s="1241"/>
      <c r="J32" s="1229"/>
      <c r="K32" s="1242"/>
      <c r="L32" s="1430"/>
    </row>
    <row r="33" spans="1:18" s="1199" customFormat="1" ht="24" customHeight="1">
      <c r="A33" s="1204"/>
      <c r="B33" s="1240"/>
      <c r="C33" s="1202"/>
      <c r="D33" s="1203"/>
      <c r="E33" s="1206"/>
      <c r="F33" s="1207"/>
      <c r="G33" s="1195"/>
      <c r="H33" s="1196"/>
      <c r="I33" s="1241"/>
      <c r="J33" s="1229"/>
      <c r="K33" s="1242"/>
      <c r="L33" s="1430"/>
    </row>
    <row r="34" spans="1:18" s="1199" customFormat="1" ht="24" customHeight="1">
      <c r="A34" s="1243"/>
      <c r="B34" s="2257" t="str">
        <f>"รวมราคา"&amp;B11</f>
        <v>รวมราคางานระบบไฟฟ้าและสื่อสาร ชั้น B1</v>
      </c>
      <c r="C34" s="2258"/>
      <c r="D34" s="2259"/>
      <c r="E34" s="1244"/>
      <c r="F34" s="1245"/>
      <c r="G34" s="1246"/>
      <c r="H34" s="1247">
        <f>SUM(H11:H33)</f>
        <v>5288880</v>
      </c>
      <c r="I34" s="1246"/>
      <c r="J34" s="1247">
        <f>SUM(J11:J33)</f>
        <v>1209499</v>
      </c>
      <c r="K34" s="1247">
        <f>SUM(K11:K33)</f>
        <v>6498379</v>
      </c>
      <c r="L34" s="1245"/>
      <c r="M34" s="1214"/>
      <c r="N34" s="1214"/>
      <c r="O34" s="1214"/>
      <c r="P34" s="1214"/>
    </row>
    <row r="35" spans="1:18" s="1199" customFormat="1" ht="24" customHeight="1">
      <c r="A35" s="1352">
        <v>3.1</v>
      </c>
      <c r="B35" s="1353" t="s">
        <v>1206</v>
      </c>
      <c r="C35" s="1354"/>
      <c r="D35" s="1354"/>
      <c r="E35" s="1355"/>
      <c r="F35" s="1296"/>
      <c r="G35" s="1297"/>
      <c r="H35" s="1298"/>
      <c r="I35" s="1299"/>
      <c r="J35" s="1298"/>
      <c r="K35" s="1299"/>
      <c r="L35" s="1300"/>
    </row>
    <row r="36" spans="1:18" s="1199" customFormat="1" ht="24" customHeight="1">
      <c r="A36" s="1189"/>
      <c r="B36" s="1451" t="s">
        <v>1118</v>
      </c>
      <c r="C36" s="1202"/>
      <c r="D36" s="1202"/>
      <c r="E36" s="1387"/>
      <c r="F36" s="1207" t="s">
        <v>363</v>
      </c>
      <c r="G36" s="2176"/>
      <c r="H36" s="1264">
        <f>ROUND(E36*G36,)</f>
        <v>0</v>
      </c>
      <c r="I36" s="2177">
        <f>G36*0.05</f>
        <v>0</v>
      </c>
      <c r="J36" s="1264">
        <f>ROUND(E36*I36,)</f>
        <v>0</v>
      </c>
      <c r="K36" s="1273">
        <f>H36+J36</f>
        <v>0</v>
      </c>
      <c r="L36" s="1385"/>
      <c r="M36" s="1214"/>
      <c r="N36" s="1214"/>
      <c r="O36" s="1214"/>
      <c r="P36" s="1214"/>
    </row>
    <row r="37" spans="1:18" s="1199" customFormat="1" ht="24" customHeight="1">
      <c r="A37" s="1189"/>
      <c r="B37" s="1451" t="s">
        <v>1118</v>
      </c>
      <c r="C37" s="1202"/>
      <c r="D37" s="1202"/>
      <c r="E37" s="1387"/>
      <c r="F37" s="1207" t="s">
        <v>363</v>
      </c>
      <c r="G37" s="2176"/>
      <c r="H37" s="1264">
        <f>ROUND(E37*G37,)</f>
        <v>0</v>
      </c>
      <c r="I37" s="2177">
        <f>G37*0.05</f>
        <v>0</v>
      </c>
      <c r="J37" s="1264">
        <f>ROUND(E37*I37,)</f>
        <v>0</v>
      </c>
      <c r="K37" s="1273">
        <f>H37+J37</f>
        <v>0</v>
      </c>
      <c r="L37" s="1385"/>
      <c r="M37" s="1214"/>
      <c r="N37" s="1214"/>
      <c r="O37" s="1214"/>
      <c r="P37" s="1214"/>
    </row>
    <row r="38" spans="1:18" s="1199" customFormat="1" ht="24" customHeight="1">
      <c r="A38" s="1189"/>
      <c r="B38" s="1451" t="s">
        <v>1118</v>
      </c>
      <c r="C38" s="1202"/>
      <c r="D38" s="1202"/>
      <c r="E38" s="1387"/>
      <c r="F38" s="1207" t="s">
        <v>363</v>
      </c>
      <c r="G38" s="2176"/>
      <c r="H38" s="1264">
        <f>ROUND(E38*G38,)</f>
        <v>0</v>
      </c>
      <c r="I38" s="2177">
        <f>G38*0.05</f>
        <v>0</v>
      </c>
      <c r="J38" s="1264">
        <f>ROUND(E38*I38,)</f>
        <v>0</v>
      </c>
      <c r="K38" s="1273">
        <f>H38+J38</f>
        <v>0</v>
      </c>
      <c r="L38" s="1385"/>
      <c r="M38" s="1214"/>
      <c r="N38" s="1214"/>
      <c r="O38" s="1214"/>
      <c r="P38" s="1214"/>
    </row>
    <row r="39" spans="1:18" s="1199" customFormat="1" ht="24" customHeight="1">
      <c r="A39" s="1331"/>
      <c r="B39" s="2174" t="s">
        <v>1117</v>
      </c>
      <c r="C39" s="1275"/>
      <c r="D39" s="1275"/>
      <c r="E39" s="1276"/>
      <c r="F39" s="1358"/>
      <c r="G39" s="2175"/>
      <c r="H39" s="1264"/>
      <c r="I39" s="1265"/>
      <c r="J39" s="1264"/>
      <c r="K39" s="1265"/>
      <c r="L39" s="1434"/>
      <c r="M39" s="1214"/>
      <c r="N39" s="1214"/>
      <c r="O39" s="1214"/>
      <c r="P39" s="1214"/>
      <c r="Q39" s="1214"/>
    </row>
    <row r="40" spans="1:18" s="1199" customFormat="1" ht="24" customHeight="1">
      <c r="A40" s="1331"/>
      <c r="B40" s="2174" t="s">
        <v>1118</v>
      </c>
      <c r="C40" s="1275"/>
      <c r="D40" s="1275"/>
      <c r="E40" s="1276"/>
      <c r="F40" s="1358"/>
      <c r="G40" s="2175"/>
      <c r="H40" s="1264"/>
      <c r="I40" s="1265"/>
      <c r="J40" s="1264"/>
      <c r="K40" s="1265"/>
      <c r="L40" s="1434"/>
      <c r="M40" s="1214"/>
      <c r="N40" s="1214"/>
      <c r="O40" s="1214"/>
      <c r="P40" s="1214"/>
      <c r="Q40" s="1214"/>
    </row>
    <row r="41" spans="1:18" s="1199" customFormat="1" ht="24" customHeight="1">
      <c r="A41" s="1331"/>
      <c r="B41" s="2174" t="s">
        <v>1118</v>
      </c>
      <c r="C41" s="1275"/>
      <c r="D41" s="1275"/>
      <c r="E41" s="1276"/>
      <c r="F41" s="1358"/>
      <c r="G41" s="2175"/>
      <c r="H41" s="1264"/>
      <c r="I41" s="1265"/>
      <c r="J41" s="1264"/>
      <c r="K41" s="1265"/>
      <c r="L41" s="1434"/>
      <c r="M41" s="1214"/>
      <c r="N41" s="1214"/>
      <c r="O41" s="1214"/>
      <c r="P41" s="1214"/>
      <c r="Q41" s="1214"/>
    </row>
    <row r="42" spans="1:18" s="1199" customFormat="1" ht="24" customHeight="1">
      <c r="A42" s="1331"/>
      <c r="B42" s="2174"/>
      <c r="C42" s="1275"/>
      <c r="D42" s="1275"/>
      <c r="E42" s="1276"/>
      <c r="F42" s="1358"/>
      <c r="G42" s="2175"/>
      <c r="H42" s="1264"/>
      <c r="I42" s="1265"/>
      <c r="J42" s="1264"/>
      <c r="K42" s="1265"/>
      <c r="L42" s="1434"/>
      <c r="M42" s="1214"/>
      <c r="N42" s="1214"/>
      <c r="O42" s="1214"/>
      <c r="P42" s="1214"/>
      <c r="Q42" s="1214"/>
    </row>
    <row r="43" spans="1:18" s="1199" customFormat="1" ht="24" customHeight="1">
      <c r="A43" s="1243"/>
      <c r="B43" s="2257" t="str">
        <f>"รวมราคารายการที่ "&amp;A35</f>
        <v>รวมราคารายการที่ 3.1</v>
      </c>
      <c r="C43" s="2258"/>
      <c r="D43" s="2259"/>
      <c r="E43" s="1244"/>
      <c r="F43" s="1245"/>
      <c r="G43" s="1246"/>
      <c r="H43" s="1247">
        <f>SUM(H35:H42)</f>
        <v>0</v>
      </c>
      <c r="I43" s="1246"/>
      <c r="J43" s="1247">
        <f>SUM(J35:J42)</f>
        <v>0</v>
      </c>
      <c r="K43" s="1247">
        <f>SUM(K35:K42)</f>
        <v>0</v>
      </c>
      <c r="L43" s="1245"/>
      <c r="M43" s="1214"/>
      <c r="N43" s="1214"/>
      <c r="O43" s="1214"/>
      <c r="P43" s="1214"/>
      <c r="Q43" s="1214"/>
    </row>
    <row r="44" spans="1:18" s="1199" customFormat="1" ht="24" customHeight="1">
      <c r="A44" s="1352">
        <v>3.2</v>
      </c>
      <c r="B44" s="1353" t="s">
        <v>1254</v>
      </c>
      <c r="C44" s="1354"/>
      <c r="D44" s="1354"/>
      <c r="E44" s="1355"/>
      <c r="F44" s="1296"/>
      <c r="G44" s="1297"/>
      <c r="H44" s="1298"/>
      <c r="I44" s="1299"/>
      <c r="J44" s="1298"/>
      <c r="K44" s="1299"/>
      <c r="L44" s="1300"/>
    </row>
    <row r="45" spans="1:18" s="1199" customFormat="1" ht="24" customHeight="1">
      <c r="A45" s="1361" t="s">
        <v>1121</v>
      </c>
      <c r="B45" s="1362" t="s">
        <v>1256</v>
      </c>
      <c r="C45" s="1260"/>
      <c r="D45" s="1260"/>
      <c r="E45" s="1261"/>
      <c r="F45" s="1358"/>
      <c r="G45" s="2175"/>
      <c r="H45" s="1264"/>
      <c r="I45" s="1265"/>
      <c r="J45" s="1264"/>
      <c r="K45" s="1265"/>
      <c r="L45" s="1364"/>
    </row>
    <row r="46" spans="1:18" s="1199" customFormat="1" ht="24" customHeight="1">
      <c r="A46" s="1339" t="s">
        <v>1618</v>
      </c>
      <c r="B46" s="1259" t="s">
        <v>1210</v>
      </c>
      <c r="C46" s="1260"/>
      <c r="D46" s="1260"/>
      <c r="E46" s="1261"/>
      <c r="F46" s="1358"/>
      <c r="G46" s="2175"/>
      <c r="H46" s="1264"/>
      <c r="I46" s="1265"/>
      <c r="J46" s="1264"/>
      <c r="K46" s="1265"/>
      <c r="L46" s="1364"/>
    </row>
    <row r="47" spans="1:18" s="1199" customFormat="1" ht="24" customHeight="1">
      <c r="A47" s="1339"/>
      <c r="B47" s="1259" t="s">
        <v>1211</v>
      </c>
      <c r="C47" s="1260"/>
      <c r="D47" s="1260"/>
      <c r="E47" s="1261"/>
      <c r="F47" s="1207" t="s">
        <v>363</v>
      </c>
      <c r="G47" s="2175">
        <v>2400</v>
      </c>
      <c r="H47" s="1264">
        <f t="shared" ref="H47:H69" si="1">ROUND(G47*E47,)</f>
        <v>0</v>
      </c>
      <c r="I47" s="1265"/>
      <c r="J47" s="1264"/>
      <c r="K47" s="1265">
        <f t="shared" ref="K47:K69" si="2">J47+H47</f>
        <v>0</v>
      </c>
      <c r="L47" s="1266"/>
      <c r="N47" s="1363"/>
      <c r="O47" s="1363"/>
      <c r="P47" s="1363"/>
      <c r="Q47" s="1363"/>
      <c r="R47" s="1363"/>
    </row>
    <row r="48" spans="1:18" s="1199" customFormat="1" ht="24" customHeight="1">
      <c r="A48" s="1339"/>
      <c r="B48" s="1259" t="s">
        <v>1212</v>
      </c>
      <c r="C48" s="1260"/>
      <c r="D48" s="1260"/>
      <c r="E48" s="1261"/>
      <c r="F48" s="1207" t="s">
        <v>363</v>
      </c>
      <c r="G48" s="2175">
        <v>2400</v>
      </c>
      <c r="H48" s="1264">
        <f t="shared" si="1"/>
        <v>0</v>
      </c>
      <c r="I48" s="1265"/>
      <c r="J48" s="1264"/>
      <c r="K48" s="1265">
        <f t="shared" si="2"/>
        <v>0</v>
      </c>
      <c r="L48" s="1266"/>
      <c r="N48" s="1363"/>
      <c r="O48" s="1363"/>
      <c r="P48" s="1363"/>
      <c r="Q48" s="1363"/>
      <c r="R48" s="1363"/>
    </row>
    <row r="49" spans="1:12" s="1199" customFormat="1" ht="24" customHeight="1">
      <c r="A49" s="1339"/>
      <c r="B49" s="1259" t="s">
        <v>1213</v>
      </c>
      <c r="C49" s="1260"/>
      <c r="D49" s="1260"/>
      <c r="E49" s="1261"/>
      <c r="F49" s="1207" t="s">
        <v>363</v>
      </c>
      <c r="G49" s="2175">
        <v>2400</v>
      </c>
      <c r="H49" s="1264">
        <f t="shared" si="1"/>
        <v>0</v>
      </c>
      <c r="I49" s="1265"/>
      <c r="J49" s="1264"/>
      <c r="K49" s="1265">
        <f t="shared" si="2"/>
        <v>0</v>
      </c>
      <c r="L49" s="1266"/>
    </row>
    <row r="50" spans="1:12" s="1199" customFormat="1" ht="24" customHeight="1">
      <c r="A50" s="1339"/>
      <c r="B50" s="1259" t="s">
        <v>1214</v>
      </c>
      <c r="C50" s="1260"/>
      <c r="D50" s="1260"/>
      <c r="E50" s="1261"/>
      <c r="F50" s="1207" t="s">
        <v>363</v>
      </c>
      <c r="G50" s="2175">
        <v>2400</v>
      </c>
      <c r="H50" s="1264">
        <f t="shared" si="1"/>
        <v>0</v>
      </c>
      <c r="I50" s="1265"/>
      <c r="J50" s="1264"/>
      <c r="K50" s="1265">
        <f t="shared" si="2"/>
        <v>0</v>
      </c>
      <c r="L50" s="1266"/>
    </row>
    <row r="51" spans="1:12" s="1199" customFormat="1" ht="24" customHeight="1">
      <c r="A51" s="1339"/>
      <c r="B51" s="1259" t="s">
        <v>1215</v>
      </c>
      <c r="C51" s="1260"/>
      <c r="D51" s="1260"/>
      <c r="E51" s="1261">
        <v>2</v>
      </c>
      <c r="F51" s="1207" t="s">
        <v>363</v>
      </c>
      <c r="G51" s="2175">
        <v>2400</v>
      </c>
      <c r="H51" s="1264">
        <f t="shared" si="1"/>
        <v>4800</v>
      </c>
      <c r="I51" s="1265"/>
      <c r="J51" s="1264"/>
      <c r="K51" s="1265">
        <f t="shared" si="2"/>
        <v>4800</v>
      </c>
      <c r="L51" s="1266"/>
    </row>
    <row r="52" spans="1:12" s="1199" customFormat="1" ht="24" customHeight="1">
      <c r="A52" s="1339"/>
      <c r="B52" s="1259" t="s">
        <v>1216</v>
      </c>
      <c r="C52" s="1260"/>
      <c r="D52" s="1260"/>
      <c r="E52" s="1261"/>
      <c r="F52" s="1207" t="s">
        <v>363</v>
      </c>
      <c r="G52" s="2175">
        <v>2400</v>
      </c>
      <c r="H52" s="1264">
        <f t="shared" si="1"/>
        <v>0</v>
      </c>
      <c r="I52" s="1265"/>
      <c r="J52" s="1264"/>
      <c r="K52" s="1265">
        <f t="shared" si="2"/>
        <v>0</v>
      </c>
      <c r="L52" s="1266"/>
    </row>
    <row r="53" spans="1:12" s="1199" customFormat="1" ht="24" customHeight="1">
      <c r="A53" s="1339"/>
      <c r="B53" s="1259" t="s">
        <v>1257</v>
      </c>
      <c r="C53" s="1260"/>
      <c r="D53" s="1260"/>
      <c r="E53" s="1261">
        <v>1</v>
      </c>
      <c r="F53" s="1207" t="s">
        <v>363</v>
      </c>
      <c r="G53" s="2175">
        <v>2600</v>
      </c>
      <c r="H53" s="1264">
        <f t="shared" si="1"/>
        <v>2600</v>
      </c>
      <c r="I53" s="1265"/>
      <c r="J53" s="1264"/>
      <c r="K53" s="1265">
        <f t="shared" si="2"/>
        <v>2600</v>
      </c>
      <c r="L53" s="1266"/>
    </row>
    <row r="54" spans="1:12" s="1199" customFormat="1" ht="24" customHeight="1">
      <c r="A54" s="1339"/>
      <c r="B54" s="1259" t="s">
        <v>1217</v>
      </c>
      <c r="C54" s="1260"/>
      <c r="D54" s="1260"/>
      <c r="E54" s="1261">
        <v>1</v>
      </c>
      <c r="F54" s="1207" t="s">
        <v>363</v>
      </c>
      <c r="G54" s="2175">
        <v>3000</v>
      </c>
      <c r="H54" s="1264">
        <f t="shared" si="1"/>
        <v>3000</v>
      </c>
      <c r="I54" s="1265"/>
      <c r="J54" s="1264"/>
      <c r="K54" s="1265">
        <f t="shared" si="2"/>
        <v>3000</v>
      </c>
      <c r="L54" s="1266"/>
    </row>
    <row r="55" spans="1:12" s="1199" customFormat="1" ht="24" customHeight="1">
      <c r="A55" s="1339"/>
      <c r="B55" s="1259" t="s">
        <v>1218</v>
      </c>
      <c r="C55" s="1260"/>
      <c r="D55" s="1260"/>
      <c r="E55" s="1261"/>
      <c r="F55" s="1207" t="s">
        <v>363</v>
      </c>
      <c r="G55" s="2175">
        <v>5000</v>
      </c>
      <c r="H55" s="1264">
        <f t="shared" si="1"/>
        <v>0</v>
      </c>
      <c r="I55" s="1265"/>
      <c r="J55" s="1264"/>
      <c r="K55" s="1265">
        <f t="shared" si="2"/>
        <v>0</v>
      </c>
      <c r="L55" s="1266"/>
    </row>
    <row r="56" spans="1:12" s="1199" customFormat="1" ht="24" customHeight="1">
      <c r="A56" s="1339"/>
      <c r="B56" s="1259" t="s">
        <v>1258</v>
      </c>
      <c r="C56" s="1260"/>
      <c r="D56" s="1260"/>
      <c r="E56" s="1261"/>
      <c r="F56" s="1207" t="s">
        <v>363</v>
      </c>
      <c r="G56" s="2175">
        <v>5700</v>
      </c>
      <c r="H56" s="1264">
        <f t="shared" si="1"/>
        <v>0</v>
      </c>
      <c r="I56" s="1265"/>
      <c r="J56" s="1264"/>
      <c r="K56" s="1265">
        <f t="shared" si="2"/>
        <v>0</v>
      </c>
      <c r="L56" s="1266"/>
    </row>
    <row r="57" spans="1:12" s="1199" customFormat="1" ht="24" customHeight="1">
      <c r="A57" s="1339"/>
      <c r="B57" s="1259" t="s">
        <v>1259</v>
      </c>
      <c r="C57" s="1260"/>
      <c r="D57" s="1260"/>
      <c r="E57" s="1261"/>
      <c r="F57" s="1207" t="s">
        <v>363</v>
      </c>
      <c r="G57" s="2175">
        <v>5700</v>
      </c>
      <c r="H57" s="1264">
        <f t="shared" si="1"/>
        <v>0</v>
      </c>
      <c r="I57" s="1265"/>
      <c r="J57" s="1264"/>
      <c r="K57" s="1265">
        <f t="shared" si="2"/>
        <v>0</v>
      </c>
      <c r="L57" s="1266"/>
    </row>
    <row r="58" spans="1:12" s="1199" customFormat="1" ht="24" customHeight="1">
      <c r="A58" s="1339"/>
      <c r="B58" s="1259" t="s">
        <v>1220</v>
      </c>
      <c r="C58" s="1260"/>
      <c r="D58" s="1260"/>
      <c r="E58" s="1261">
        <v>1</v>
      </c>
      <c r="F58" s="1207" t="s">
        <v>363</v>
      </c>
      <c r="G58" s="2175">
        <v>8600</v>
      </c>
      <c r="H58" s="1264">
        <f t="shared" si="1"/>
        <v>8600</v>
      </c>
      <c r="I58" s="1265"/>
      <c r="J58" s="1264"/>
      <c r="K58" s="1265">
        <f t="shared" si="2"/>
        <v>8600</v>
      </c>
      <c r="L58" s="1266"/>
    </row>
    <row r="59" spans="1:12" s="1199" customFormat="1" ht="24" customHeight="1">
      <c r="A59" s="1339"/>
      <c r="B59" s="1259" t="s">
        <v>1260</v>
      </c>
      <c r="C59" s="1260"/>
      <c r="D59" s="1260"/>
      <c r="E59" s="1261"/>
      <c r="F59" s="1207" t="s">
        <v>363</v>
      </c>
      <c r="G59" s="2175">
        <v>8600</v>
      </c>
      <c r="H59" s="1264">
        <f t="shared" si="1"/>
        <v>0</v>
      </c>
      <c r="I59" s="1265"/>
      <c r="J59" s="1264"/>
      <c r="K59" s="1265">
        <f t="shared" si="2"/>
        <v>0</v>
      </c>
      <c r="L59" s="1266"/>
    </row>
    <row r="60" spans="1:12" s="1199" customFormat="1" ht="24" customHeight="1">
      <c r="A60" s="1339"/>
      <c r="B60" s="1259" t="s">
        <v>1261</v>
      </c>
      <c r="C60" s="1260"/>
      <c r="D60" s="1260"/>
      <c r="E60" s="1261"/>
      <c r="F60" s="1207" t="s">
        <v>363</v>
      </c>
      <c r="G60" s="2175">
        <v>8600</v>
      </c>
      <c r="H60" s="1264">
        <f t="shared" si="1"/>
        <v>0</v>
      </c>
      <c r="I60" s="1265"/>
      <c r="J60" s="1264"/>
      <c r="K60" s="1265">
        <f t="shared" si="2"/>
        <v>0</v>
      </c>
      <c r="L60" s="1266"/>
    </row>
    <row r="61" spans="1:12" s="1199" customFormat="1" ht="24" customHeight="1">
      <c r="A61" s="1339"/>
      <c r="B61" s="1259" t="s">
        <v>1221</v>
      </c>
      <c r="C61" s="1260"/>
      <c r="D61" s="1260"/>
      <c r="E61" s="1261"/>
      <c r="F61" s="1207" t="s">
        <v>363</v>
      </c>
      <c r="G61" s="2175">
        <v>11500</v>
      </c>
      <c r="H61" s="1264">
        <f t="shared" si="1"/>
        <v>0</v>
      </c>
      <c r="I61" s="1265"/>
      <c r="J61" s="1264"/>
      <c r="K61" s="1265">
        <f t="shared" si="2"/>
        <v>0</v>
      </c>
      <c r="L61" s="1266"/>
    </row>
    <row r="62" spans="1:12" s="1199" customFormat="1" ht="24" customHeight="1">
      <c r="A62" s="1339"/>
      <c r="B62" s="1259" t="s">
        <v>1262</v>
      </c>
      <c r="C62" s="1260"/>
      <c r="D62" s="1260"/>
      <c r="E62" s="1261"/>
      <c r="F62" s="1207" t="s">
        <v>363</v>
      </c>
      <c r="G62" s="2175">
        <v>20200</v>
      </c>
      <c r="H62" s="1264">
        <f t="shared" si="1"/>
        <v>0</v>
      </c>
      <c r="I62" s="1265"/>
      <c r="J62" s="1264"/>
      <c r="K62" s="1265">
        <f t="shared" si="2"/>
        <v>0</v>
      </c>
      <c r="L62" s="1266"/>
    </row>
    <row r="63" spans="1:12" s="1199" customFormat="1" ht="24" customHeight="1">
      <c r="A63" s="1339"/>
      <c r="B63" s="1259" t="s">
        <v>1263</v>
      </c>
      <c r="C63" s="1260"/>
      <c r="D63" s="1260"/>
      <c r="E63" s="1261"/>
      <c r="F63" s="1207" t="s">
        <v>363</v>
      </c>
      <c r="G63" s="2175">
        <v>20200</v>
      </c>
      <c r="H63" s="1264">
        <f t="shared" si="1"/>
        <v>0</v>
      </c>
      <c r="I63" s="1265"/>
      <c r="J63" s="1264"/>
      <c r="K63" s="1265">
        <f t="shared" si="2"/>
        <v>0</v>
      </c>
      <c r="L63" s="1266"/>
    </row>
    <row r="64" spans="1:12" s="1199" customFormat="1" ht="24" customHeight="1">
      <c r="A64" s="1339" t="s">
        <v>1619</v>
      </c>
      <c r="B64" s="1259" t="s">
        <v>1143</v>
      </c>
      <c r="C64" s="1260"/>
      <c r="D64" s="1260"/>
      <c r="E64" s="1261"/>
      <c r="F64" s="1358"/>
      <c r="G64" s="2175"/>
      <c r="H64" s="1264">
        <f t="shared" si="1"/>
        <v>0</v>
      </c>
      <c r="I64" s="1265"/>
      <c r="J64" s="1264"/>
      <c r="K64" s="1265">
        <f t="shared" si="2"/>
        <v>0</v>
      </c>
      <c r="L64" s="1364"/>
    </row>
    <row r="65" spans="1:18" s="1199" customFormat="1" ht="24" customHeight="1">
      <c r="A65" s="1339"/>
      <c r="B65" s="1259" t="s">
        <v>1223</v>
      </c>
      <c r="C65" s="1260"/>
      <c r="D65" s="1260"/>
      <c r="E65" s="1261">
        <v>3</v>
      </c>
      <c r="F65" s="1207" t="s">
        <v>363</v>
      </c>
      <c r="G65" s="2175">
        <v>600</v>
      </c>
      <c r="H65" s="1264">
        <f t="shared" si="1"/>
        <v>1800</v>
      </c>
      <c r="I65" s="1265"/>
      <c r="J65" s="1264"/>
      <c r="K65" s="1265">
        <f t="shared" si="2"/>
        <v>1800</v>
      </c>
      <c r="L65" s="1364"/>
    </row>
    <row r="66" spans="1:18" s="1199" customFormat="1" ht="24" customHeight="1">
      <c r="A66" s="1339"/>
      <c r="B66" s="1259" t="s">
        <v>1145</v>
      </c>
      <c r="C66" s="1260"/>
      <c r="D66" s="1260"/>
      <c r="E66" s="1261">
        <v>3</v>
      </c>
      <c r="F66" s="1207" t="s">
        <v>363</v>
      </c>
      <c r="G66" s="2175">
        <v>120</v>
      </c>
      <c r="H66" s="1264">
        <f t="shared" si="1"/>
        <v>360</v>
      </c>
      <c r="I66" s="1265"/>
      <c r="J66" s="1264"/>
      <c r="K66" s="1265">
        <f t="shared" si="2"/>
        <v>360</v>
      </c>
      <c r="L66" s="1364"/>
    </row>
    <row r="67" spans="1:18" s="1199" customFormat="1" ht="24" customHeight="1">
      <c r="A67" s="1339"/>
      <c r="B67" s="1259" t="s">
        <v>1146</v>
      </c>
      <c r="C67" s="1260"/>
      <c r="D67" s="1260"/>
      <c r="E67" s="1261">
        <v>3</v>
      </c>
      <c r="F67" s="1207" t="s">
        <v>363</v>
      </c>
      <c r="G67" s="2175">
        <v>100</v>
      </c>
      <c r="H67" s="1264">
        <f t="shared" si="1"/>
        <v>300</v>
      </c>
      <c r="I67" s="1265"/>
      <c r="J67" s="1264"/>
      <c r="K67" s="1265">
        <f t="shared" si="2"/>
        <v>300</v>
      </c>
      <c r="L67" s="1364"/>
    </row>
    <row r="68" spans="1:18" s="1199" customFormat="1" ht="24" customHeight="1">
      <c r="A68" s="1339"/>
      <c r="B68" s="1259" t="s">
        <v>1224</v>
      </c>
      <c r="C68" s="1260"/>
      <c r="D68" s="1260"/>
      <c r="E68" s="1261">
        <v>3</v>
      </c>
      <c r="F68" s="1207" t="s">
        <v>363</v>
      </c>
      <c r="G68" s="2175">
        <v>15435</v>
      </c>
      <c r="H68" s="1264">
        <f t="shared" si="1"/>
        <v>46305</v>
      </c>
      <c r="I68" s="1265"/>
      <c r="J68" s="1264"/>
      <c r="K68" s="1265">
        <f t="shared" si="2"/>
        <v>46305</v>
      </c>
      <c r="L68" s="1364"/>
    </row>
    <row r="69" spans="1:18" s="1199" customFormat="1" ht="24" customHeight="1">
      <c r="A69" s="1339" t="s">
        <v>1620</v>
      </c>
      <c r="B69" s="1259" t="s">
        <v>1226</v>
      </c>
      <c r="C69" s="1260"/>
      <c r="D69" s="1260"/>
      <c r="E69" s="1261">
        <v>1</v>
      </c>
      <c r="F69" s="1207" t="s">
        <v>1104</v>
      </c>
      <c r="G69" s="2175">
        <v>27400</v>
      </c>
      <c r="H69" s="1264">
        <f t="shared" si="1"/>
        <v>27400</v>
      </c>
      <c r="I69" s="1265">
        <f>G69*0.3</f>
        <v>8220</v>
      </c>
      <c r="J69" s="1264">
        <f>ROUND(E69*I69,)</f>
        <v>8220</v>
      </c>
      <c r="K69" s="1265">
        <f t="shared" si="2"/>
        <v>35620</v>
      </c>
      <c r="L69" s="1364"/>
    </row>
    <row r="70" spans="1:18" s="1199" customFormat="1" ht="24" customHeight="1">
      <c r="A70" s="1361" t="s">
        <v>1123</v>
      </c>
      <c r="B70" s="1362" t="s">
        <v>1264</v>
      </c>
      <c r="C70" s="1260"/>
      <c r="D70" s="1260"/>
      <c r="E70" s="1261"/>
      <c r="F70" s="1358"/>
      <c r="G70" s="2175"/>
      <c r="H70" s="1264"/>
      <c r="I70" s="1265"/>
      <c r="J70" s="1264"/>
      <c r="K70" s="1265"/>
      <c r="L70" s="1364"/>
    </row>
    <row r="71" spans="1:18" s="1199" customFormat="1" ht="24" customHeight="1">
      <c r="A71" s="1339" t="s">
        <v>2923</v>
      </c>
      <c r="B71" s="1259" t="s">
        <v>1210</v>
      </c>
      <c r="C71" s="1260"/>
      <c r="D71" s="1260"/>
      <c r="E71" s="1261"/>
      <c r="F71" s="1358"/>
      <c r="G71" s="2175"/>
      <c r="H71" s="1264"/>
      <c r="I71" s="1265"/>
      <c r="J71" s="1264"/>
      <c r="K71" s="1265"/>
      <c r="L71" s="1364"/>
    </row>
    <row r="72" spans="1:18" s="1199" customFormat="1" ht="24" customHeight="1">
      <c r="A72" s="1339"/>
      <c r="B72" s="1259" t="s">
        <v>1211</v>
      </c>
      <c r="C72" s="1260"/>
      <c r="D72" s="1260"/>
      <c r="E72" s="1261"/>
      <c r="F72" s="1207" t="s">
        <v>363</v>
      </c>
      <c r="G72" s="2175">
        <v>2400</v>
      </c>
      <c r="H72" s="1264">
        <f t="shared" ref="H72:H94" si="3">ROUND(G72*E72,)</f>
        <v>0</v>
      </c>
      <c r="I72" s="1265"/>
      <c r="J72" s="1264"/>
      <c r="K72" s="1265">
        <f t="shared" ref="K72:K94" si="4">J72+H72</f>
        <v>0</v>
      </c>
      <c r="L72" s="1266"/>
      <c r="N72" s="1363"/>
      <c r="O72" s="1363"/>
      <c r="P72" s="1363"/>
      <c r="Q72" s="1363"/>
      <c r="R72" s="1363"/>
    </row>
    <row r="73" spans="1:18" s="1199" customFormat="1" ht="24" customHeight="1">
      <c r="A73" s="1339"/>
      <c r="B73" s="1259" t="s">
        <v>1212</v>
      </c>
      <c r="C73" s="1260"/>
      <c r="D73" s="1260"/>
      <c r="E73" s="1261"/>
      <c r="F73" s="1207" t="s">
        <v>363</v>
      </c>
      <c r="G73" s="2175">
        <v>2400</v>
      </c>
      <c r="H73" s="1264">
        <f t="shared" si="3"/>
        <v>0</v>
      </c>
      <c r="I73" s="1265"/>
      <c r="J73" s="1264"/>
      <c r="K73" s="1265">
        <f t="shared" si="4"/>
        <v>0</v>
      </c>
      <c r="L73" s="1266"/>
      <c r="N73" s="1363"/>
      <c r="O73" s="1363"/>
      <c r="P73" s="1363"/>
      <c r="Q73" s="1363"/>
      <c r="R73" s="1363"/>
    </row>
    <row r="74" spans="1:18" s="1199" customFormat="1" ht="24" customHeight="1">
      <c r="A74" s="1339"/>
      <c r="B74" s="1259" t="s">
        <v>1213</v>
      </c>
      <c r="C74" s="1260"/>
      <c r="D74" s="1260"/>
      <c r="E74" s="1261"/>
      <c r="F74" s="1207" t="s">
        <v>363</v>
      </c>
      <c r="G74" s="2175">
        <v>2400</v>
      </c>
      <c r="H74" s="1264">
        <f t="shared" si="3"/>
        <v>0</v>
      </c>
      <c r="I74" s="1265"/>
      <c r="J74" s="1264"/>
      <c r="K74" s="1265">
        <f t="shared" si="4"/>
        <v>0</v>
      </c>
      <c r="L74" s="1266"/>
    </row>
    <row r="75" spans="1:18" s="1199" customFormat="1" ht="24" customHeight="1">
      <c r="A75" s="1339"/>
      <c r="B75" s="1259" t="s">
        <v>1214</v>
      </c>
      <c r="C75" s="1260"/>
      <c r="D75" s="1260"/>
      <c r="E75" s="1261"/>
      <c r="F75" s="1207" t="s">
        <v>363</v>
      </c>
      <c r="G75" s="2175">
        <v>2400</v>
      </c>
      <c r="H75" s="1264">
        <f t="shared" si="3"/>
        <v>0</v>
      </c>
      <c r="I75" s="1265"/>
      <c r="J75" s="1264"/>
      <c r="K75" s="1265">
        <f t="shared" si="4"/>
        <v>0</v>
      </c>
      <c r="L75" s="1266"/>
    </row>
    <row r="76" spans="1:18" s="1199" customFormat="1" ht="24" customHeight="1">
      <c r="A76" s="1339"/>
      <c r="B76" s="1259" t="s">
        <v>1215</v>
      </c>
      <c r="C76" s="1260"/>
      <c r="D76" s="1260"/>
      <c r="E76" s="1261">
        <v>2</v>
      </c>
      <c r="F76" s="1207" t="s">
        <v>363</v>
      </c>
      <c r="G76" s="2175">
        <v>2400</v>
      </c>
      <c r="H76" s="1264">
        <f t="shared" si="3"/>
        <v>4800</v>
      </c>
      <c r="I76" s="1265"/>
      <c r="J76" s="1264"/>
      <c r="K76" s="1265">
        <f t="shared" si="4"/>
        <v>4800</v>
      </c>
      <c r="L76" s="1266"/>
    </row>
    <row r="77" spans="1:18" s="1199" customFormat="1" ht="24" customHeight="1">
      <c r="A77" s="1339"/>
      <c r="B77" s="1259" t="s">
        <v>1216</v>
      </c>
      <c r="C77" s="1260"/>
      <c r="D77" s="1260"/>
      <c r="E77" s="1261"/>
      <c r="F77" s="1207" t="s">
        <v>363</v>
      </c>
      <c r="G77" s="2175">
        <v>2400</v>
      </c>
      <c r="H77" s="1264">
        <f t="shared" si="3"/>
        <v>0</v>
      </c>
      <c r="I77" s="1265"/>
      <c r="J77" s="1264"/>
      <c r="K77" s="1265">
        <f t="shared" si="4"/>
        <v>0</v>
      </c>
      <c r="L77" s="1266"/>
    </row>
    <row r="78" spans="1:18" s="1199" customFormat="1" ht="24" customHeight="1">
      <c r="A78" s="1339"/>
      <c r="B78" s="1259" t="s">
        <v>1257</v>
      </c>
      <c r="C78" s="1260"/>
      <c r="D78" s="1260"/>
      <c r="E78" s="1261"/>
      <c r="F78" s="1207" t="s">
        <v>363</v>
      </c>
      <c r="G78" s="2175">
        <v>2600</v>
      </c>
      <c r="H78" s="1264">
        <f t="shared" si="3"/>
        <v>0</v>
      </c>
      <c r="I78" s="1265"/>
      <c r="J78" s="1264"/>
      <c r="K78" s="1265">
        <f t="shared" si="4"/>
        <v>0</v>
      </c>
      <c r="L78" s="1266"/>
    </row>
    <row r="79" spans="1:18" s="1199" customFormat="1" ht="24" customHeight="1">
      <c r="A79" s="1339"/>
      <c r="B79" s="1259" t="s">
        <v>1217</v>
      </c>
      <c r="C79" s="1260"/>
      <c r="D79" s="1260"/>
      <c r="E79" s="1261"/>
      <c r="F79" s="1207" t="s">
        <v>363</v>
      </c>
      <c r="G79" s="2175">
        <v>3000</v>
      </c>
      <c r="H79" s="1264">
        <f t="shared" si="3"/>
        <v>0</v>
      </c>
      <c r="I79" s="1265"/>
      <c r="J79" s="1264"/>
      <c r="K79" s="1265">
        <f t="shared" si="4"/>
        <v>0</v>
      </c>
      <c r="L79" s="1266"/>
    </row>
    <row r="80" spans="1:18" s="1199" customFormat="1" ht="24" customHeight="1">
      <c r="A80" s="1339"/>
      <c r="B80" s="1259" t="s">
        <v>1218</v>
      </c>
      <c r="C80" s="1260"/>
      <c r="D80" s="1260"/>
      <c r="E80" s="1261"/>
      <c r="F80" s="1207" t="s">
        <v>363</v>
      </c>
      <c r="G80" s="2175">
        <v>5000</v>
      </c>
      <c r="H80" s="1264">
        <f t="shared" si="3"/>
        <v>0</v>
      </c>
      <c r="I80" s="1265"/>
      <c r="J80" s="1264"/>
      <c r="K80" s="1265">
        <f t="shared" si="4"/>
        <v>0</v>
      </c>
      <c r="L80" s="1266"/>
    </row>
    <row r="81" spans="1:12" s="1199" customFormat="1" ht="24" customHeight="1">
      <c r="A81" s="1339"/>
      <c r="B81" s="1259" t="s">
        <v>1258</v>
      </c>
      <c r="C81" s="1260"/>
      <c r="D81" s="1260"/>
      <c r="E81" s="1261"/>
      <c r="F81" s="1207" t="s">
        <v>363</v>
      </c>
      <c r="G81" s="2175">
        <v>5700</v>
      </c>
      <c r="H81" s="1264">
        <f t="shared" si="3"/>
        <v>0</v>
      </c>
      <c r="I81" s="1265"/>
      <c r="J81" s="1264"/>
      <c r="K81" s="1265">
        <f t="shared" si="4"/>
        <v>0</v>
      </c>
      <c r="L81" s="1266"/>
    </row>
    <row r="82" spans="1:12" s="1199" customFormat="1" ht="24" customHeight="1">
      <c r="A82" s="1339"/>
      <c r="B82" s="1259" t="s">
        <v>1259</v>
      </c>
      <c r="C82" s="1260"/>
      <c r="D82" s="1260"/>
      <c r="E82" s="1261"/>
      <c r="F82" s="1207" t="s">
        <v>363</v>
      </c>
      <c r="G82" s="2175">
        <v>5700</v>
      </c>
      <c r="H82" s="1264">
        <f t="shared" si="3"/>
        <v>0</v>
      </c>
      <c r="I82" s="1265"/>
      <c r="J82" s="1264"/>
      <c r="K82" s="1265">
        <f t="shared" si="4"/>
        <v>0</v>
      </c>
      <c r="L82" s="1266"/>
    </row>
    <row r="83" spans="1:12" s="1199" customFormat="1" ht="24" customHeight="1">
      <c r="A83" s="1339"/>
      <c r="B83" s="1259" t="s">
        <v>1220</v>
      </c>
      <c r="C83" s="1260"/>
      <c r="D83" s="1260"/>
      <c r="E83" s="1261"/>
      <c r="F83" s="1207" t="s">
        <v>363</v>
      </c>
      <c r="G83" s="2175">
        <v>8600</v>
      </c>
      <c r="H83" s="1264">
        <f t="shared" si="3"/>
        <v>0</v>
      </c>
      <c r="I83" s="1265"/>
      <c r="J83" s="1264"/>
      <c r="K83" s="1265">
        <f t="shared" si="4"/>
        <v>0</v>
      </c>
      <c r="L83" s="1266"/>
    </row>
    <row r="84" spans="1:12" s="1199" customFormat="1" ht="24" customHeight="1">
      <c r="A84" s="1339"/>
      <c r="B84" s="1259" t="s">
        <v>1260</v>
      </c>
      <c r="C84" s="1260"/>
      <c r="D84" s="1260"/>
      <c r="E84" s="1261"/>
      <c r="F84" s="1207" t="s">
        <v>363</v>
      </c>
      <c r="G84" s="2175">
        <v>8600</v>
      </c>
      <c r="H84" s="1264">
        <f t="shared" si="3"/>
        <v>0</v>
      </c>
      <c r="I84" s="1265"/>
      <c r="J84" s="1264"/>
      <c r="K84" s="1265">
        <f t="shared" si="4"/>
        <v>0</v>
      </c>
      <c r="L84" s="1266"/>
    </row>
    <row r="85" spans="1:12" s="1199" customFormat="1" ht="24" customHeight="1">
      <c r="A85" s="1339"/>
      <c r="B85" s="1259" t="s">
        <v>1261</v>
      </c>
      <c r="C85" s="1260"/>
      <c r="D85" s="1260"/>
      <c r="E85" s="1261">
        <v>2</v>
      </c>
      <c r="F85" s="1207" t="s">
        <v>363</v>
      </c>
      <c r="G85" s="2175">
        <v>8600</v>
      </c>
      <c r="H85" s="1264">
        <f t="shared" si="3"/>
        <v>17200</v>
      </c>
      <c r="I85" s="1265"/>
      <c r="J85" s="1264"/>
      <c r="K85" s="1265">
        <f t="shared" si="4"/>
        <v>17200</v>
      </c>
      <c r="L85" s="1266"/>
    </row>
    <row r="86" spans="1:12" s="1199" customFormat="1" ht="24" customHeight="1">
      <c r="A86" s="1339"/>
      <c r="B86" s="1259" t="s">
        <v>1221</v>
      </c>
      <c r="C86" s="1260"/>
      <c r="D86" s="1260"/>
      <c r="E86" s="1261"/>
      <c r="F86" s="1207" t="s">
        <v>363</v>
      </c>
      <c r="G86" s="2175">
        <v>11500</v>
      </c>
      <c r="H86" s="1264">
        <f t="shared" si="3"/>
        <v>0</v>
      </c>
      <c r="I86" s="1265"/>
      <c r="J86" s="1264"/>
      <c r="K86" s="1265">
        <f t="shared" si="4"/>
        <v>0</v>
      </c>
      <c r="L86" s="1266"/>
    </row>
    <row r="87" spans="1:12" s="1199" customFormat="1" ht="24" customHeight="1">
      <c r="A87" s="1339"/>
      <c r="B87" s="1259" t="s">
        <v>1262</v>
      </c>
      <c r="C87" s="1260"/>
      <c r="D87" s="1260"/>
      <c r="E87" s="1261"/>
      <c r="F87" s="1207" t="s">
        <v>363</v>
      </c>
      <c r="G87" s="2175">
        <v>20200</v>
      </c>
      <c r="H87" s="1264">
        <f t="shared" si="3"/>
        <v>0</v>
      </c>
      <c r="I87" s="1265"/>
      <c r="J87" s="1264"/>
      <c r="K87" s="1265">
        <f t="shared" si="4"/>
        <v>0</v>
      </c>
      <c r="L87" s="1266"/>
    </row>
    <row r="88" spans="1:12" s="1199" customFormat="1" ht="24" customHeight="1">
      <c r="A88" s="1339"/>
      <c r="B88" s="1259" t="s">
        <v>1263</v>
      </c>
      <c r="C88" s="1260"/>
      <c r="D88" s="1260"/>
      <c r="E88" s="1261">
        <v>1</v>
      </c>
      <c r="F88" s="1207" t="s">
        <v>363</v>
      </c>
      <c r="G88" s="2175">
        <v>20200</v>
      </c>
      <c r="H88" s="1264">
        <f t="shared" si="3"/>
        <v>20200</v>
      </c>
      <c r="I88" s="1265"/>
      <c r="J88" s="1264"/>
      <c r="K88" s="1265">
        <f t="shared" si="4"/>
        <v>20200</v>
      </c>
      <c r="L88" s="1266"/>
    </row>
    <row r="89" spans="1:12" s="1199" customFormat="1" ht="24" customHeight="1">
      <c r="A89" s="1339" t="s">
        <v>2924</v>
      </c>
      <c r="B89" s="1259" t="s">
        <v>1143</v>
      </c>
      <c r="C89" s="1260"/>
      <c r="D89" s="1260"/>
      <c r="E89" s="1261"/>
      <c r="F89" s="1358"/>
      <c r="G89" s="2175"/>
      <c r="H89" s="1264">
        <f t="shared" si="3"/>
        <v>0</v>
      </c>
      <c r="I89" s="1265"/>
      <c r="J89" s="1264"/>
      <c r="K89" s="1265">
        <f t="shared" si="4"/>
        <v>0</v>
      </c>
      <c r="L89" s="1364"/>
    </row>
    <row r="90" spans="1:12" s="1199" customFormat="1" ht="24" customHeight="1">
      <c r="A90" s="1339"/>
      <c r="B90" s="1259" t="s">
        <v>1265</v>
      </c>
      <c r="C90" s="1260"/>
      <c r="D90" s="1260"/>
      <c r="E90" s="1261">
        <v>3</v>
      </c>
      <c r="F90" s="1207" t="s">
        <v>363</v>
      </c>
      <c r="G90" s="2175">
        <v>600</v>
      </c>
      <c r="H90" s="1264">
        <f t="shared" si="3"/>
        <v>1800</v>
      </c>
      <c r="I90" s="1265"/>
      <c r="J90" s="1264"/>
      <c r="K90" s="1265">
        <f t="shared" si="4"/>
        <v>1800</v>
      </c>
      <c r="L90" s="1364"/>
    </row>
    <row r="91" spans="1:12" s="1199" customFormat="1" ht="24" customHeight="1">
      <c r="A91" s="1339"/>
      <c r="B91" s="1259" t="s">
        <v>1145</v>
      </c>
      <c r="C91" s="1260"/>
      <c r="D91" s="1260"/>
      <c r="E91" s="1261">
        <v>3</v>
      </c>
      <c r="F91" s="1207" t="s">
        <v>363</v>
      </c>
      <c r="G91" s="2175">
        <v>120</v>
      </c>
      <c r="H91" s="1264">
        <f t="shared" si="3"/>
        <v>360</v>
      </c>
      <c r="I91" s="1265"/>
      <c r="J91" s="1264"/>
      <c r="K91" s="1265">
        <f t="shared" si="4"/>
        <v>360</v>
      </c>
      <c r="L91" s="1364"/>
    </row>
    <row r="92" spans="1:12" s="1199" customFormat="1" ht="24" customHeight="1">
      <c r="A92" s="1339"/>
      <c r="B92" s="1259" t="s">
        <v>1146</v>
      </c>
      <c r="C92" s="1260"/>
      <c r="D92" s="1260"/>
      <c r="E92" s="1261">
        <v>3</v>
      </c>
      <c r="F92" s="1207" t="s">
        <v>363</v>
      </c>
      <c r="G92" s="2175">
        <v>100</v>
      </c>
      <c r="H92" s="1264">
        <f t="shared" si="3"/>
        <v>300</v>
      </c>
      <c r="I92" s="1265"/>
      <c r="J92" s="1264"/>
      <c r="K92" s="1265">
        <f t="shared" si="4"/>
        <v>300</v>
      </c>
      <c r="L92" s="1364"/>
    </row>
    <row r="93" spans="1:12" s="1199" customFormat="1" ht="24" customHeight="1">
      <c r="A93" s="1339"/>
      <c r="B93" s="1259" t="s">
        <v>1224</v>
      </c>
      <c r="C93" s="1260"/>
      <c r="D93" s="1260"/>
      <c r="E93" s="1261">
        <v>2</v>
      </c>
      <c r="F93" s="1207" t="s">
        <v>363</v>
      </c>
      <c r="G93" s="2175">
        <v>15435</v>
      </c>
      <c r="H93" s="1264">
        <f t="shared" si="3"/>
        <v>30870</v>
      </c>
      <c r="I93" s="1265"/>
      <c r="J93" s="1264"/>
      <c r="K93" s="1265">
        <f t="shared" si="4"/>
        <v>30870</v>
      </c>
      <c r="L93" s="1364"/>
    </row>
    <row r="94" spans="1:12" s="1199" customFormat="1" ht="24" customHeight="1">
      <c r="A94" s="1339" t="s">
        <v>2925</v>
      </c>
      <c r="B94" s="1259" t="s">
        <v>1226</v>
      </c>
      <c r="C94" s="1260"/>
      <c r="D94" s="1260"/>
      <c r="E94" s="1261">
        <v>1</v>
      </c>
      <c r="F94" s="1207" t="s">
        <v>1104</v>
      </c>
      <c r="G94" s="2175">
        <v>27400</v>
      </c>
      <c r="H94" s="1264">
        <f t="shared" si="3"/>
        <v>27400</v>
      </c>
      <c r="I94" s="1265">
        <f>G94*0.3</f>
        <v>8220</v>
      </c>
      <c r="J94" s="1264">
        <f>ROUND(E94*I94,)</f>
        <v>8220</v>
      </c>
      <c r="K94" s="1265">
        <f t="shared" si="4"/>
        <v>35620</v>
      </c>
      <c r="L94" s="1364"/>
    </row>
    <row r="95" spans="1:12" s="1199" customFormat="1" ht="24" customHeight="1">
      <c r="A95" s="1361" t="s">
        <v>1125</v>
      </c>
      <c r="B95" s="1362" t="s">
        <v>1278</v>
      </c>
      <c r="C95" s="1260"/>
      <c r="D95" s="1260"/>
      <c r="E95" s="1261"/>
      <c r="F95" s="1358"/>
      <c r="G95" s="2175"/>
      <c r="H95" s="1264"/>
      <c r="I95" s="1265"/>
      <c r="J95" s="1264"/>
      <c r="K95" s="1265"/>
      <c r="L95" s="1364"/>
    </row>
    <row r="96" spans="1:12" s="1199" customFormat="1" ht="24" customHeight="1">
      <c r="A96" s="1339" t="s">
        <v>2984</v>
      </c>
      <c r="B96" s="1259" t="s">
        <v>1210</v>
      </c>
      <c r="C96" s="1260"/>
      <c r="D96" s="1260"/>
      <c r="E96" s="1261"/>
      <c r="F96" s="1358"/>
      <c r="G96" s="2175"/>
      <c r="H96" s="1264"/>
      <c r="I96" s="1265"/>
      <c r="J96" s="1264"/>
      <c r="K96" s="1265"/>
      <c r="L96" s="1364"/>
    </row>
    <row r="97" spans="1:18" s="1199" customFormat="1" ht="24" customHeight="1">
      <c r="A97" s="1339"/>
      <c r="B97" s="1259" t="s">
        <v>1211</v>
      </c>
      <c r="C97" s="1260"/>
      <c r="D97" s="1260"/>
      <c r="E97" s="1261"/>
      <c r="F97" s="1207" t="s">
        <v>363</v>
      </c>
      <c r="G97" s="2175">
        <v>2400</v>
      </c>
      <c r="H97" s="1264">
        <f t="shared" ref="H97:H119" si="5">ROUND(G97*E97,)</f>
        <v>0</v>
      </c>
      <c r="I97" s="1265"/>
      <c r="J97" s="1264"/>
      <c r="K97" s="1265">
        <f t="shared" ref="K97:K119" si="6">J97+H97</f>
        <v>0</v>
      </c>
      <c r="L97" s="1266"/>
      <c r="N97" s="1363"/>
      <c r="O97" s="1363"/>
      <c r="P97" s="1363"/>
      <c r="Q97" s="1363"/>
      <c r="R97" s="1363"/>
    </row>
    <row r="98" spans="1:18" s="1199" customFormat="1" ht="24" customHeight="1">
      <c r="A98" s="1339"/>
      <c r="B98" s="1259" t="s">
        <v>1212</v>
      </c>
      <c r="C98" s="1260"/>
      <c r="D98" s="1260"/>
      <c r="E98" s="1261"/>
      <c r="F98" s="1207" t="s">
        <v>363</v>
      </c>
      <c r="G98" s="2175">
        <v>2400</v>
      </c>
      <c r="H98" s="1264">
        <f t="shared" si="5"/>
        <v>0</v>
      </c>
      <c r="I98" s="1265"/>
      <c r="J98" s="1264"/>
      <c r="K98" s="1265">
        <f t="shared" si="6"/>
        <v>0</v>
      </c>
      <c r="L98" s="1266"/>
      <c r="N98" s="1363"/>
      <c r="O98" s="1363"/>
      <c r="P98" s="1363"/>
      <c r="Q98" s="1363"/>
      <c r="R98" s="1363"/>
    </row>
    <row r="99" spans="1:18" s="1199" customFormat="1" ht="24" customHeight="1">
      <c r="A99" s="1339"/>
      <c r="B99" s="1259" t="s">
        <v>1213</v>
      </c>
      <c r="C99" s="1260"/>
      <c r="D99" s="1260"/>
      <c r="E99" s="1261"/>
      <c r="F99" s="1207" t="s">
        <v>363</v>
      </c>
      <c r="G99" s="2175">
        <v>2400</v>
      </c>
      <c r="H99" s="1264">
        <f t="shared" si="5"/>
        <v>0</v>
      </c>
      <c r="I99" s="1265"/>
      <c r="J99" s="1264"/>
      <c r="K99" s="1265">
        <f t="shared" si="6"/>
        <v>0</v>
      </c>
      <c r="L99" s="1266"/>
    </row>
    <row r="100" spans="1:18" s="1199" customFormat="1" ht="24" customHeight="1">
      <c r="A100" s="1339"/>
      <c r="B100" s="1259" t="s">
        <v>1214</v>
      </c>
      <c r="C100" s="1260"/>
      <c r="D100" s="1260"/>
      <c r="E100" s="1261"/>
      <c r="F100" s="1207" t="s">
        <v>363</v>
      </c>
      <c r="G100" s="2175">
        <v>2400</v>
      </c>
      <c r="H100" s="1264">
        <f t="shared" si="5"/>
        <v>0</v>
      </c>
      <c r="I100" s="1265"/>
      <c r="J100" s="1264"/>
      <c r="K100" s="1265">
        <f t="shared" si="6"/>
        <v>0</v>
      </c>
      <c r="L100" s="1266"/>
    </row>
    <row r="101" spans="1:18" s="1199" customFormat="1" ht="24" customHeight="1">
      <c r="A101" s="1339"/>
      <c r="B101" s="1259" t="s">
        <v>1215</v>
      </c>
      <c r="C101" s="1260"/>
      <c r="D101" s="1260"/>
      <c r="E101" s="1261">
        <v>2</v>
      </c>
      <c r="F101" s="1207" t="s">
        <v>363</v>
      </c>
      <c r="G101" s="2175">
        <v>2400</v>
      </c>
      <c r="H101" s="1264">
        <f t="shared" si="5"/>
        <v>4800</v>
      </c>
      <c r="I101" s="1265"/>
      <c r="J101" s="1264"/>
      <c r="K101" s="1265">
        <f t="shared" si="6"/>
        <v>4800</v>
      </c>
      <c r="L101" s="1266"/>
    </row>
    <row r="102" spans="1:18" s="1199" customFormat="1" ht="24" customHeight="1">
      <c r="A102" s="1339"/>
      <c r="B102" s="1259" t="s">
        <v>1216</v>
      </c>
      <c r="C102" s="1260"/>
      <c r="D102" s="1260"/>
      <c r="E102" s="1261"/>
      <c r="F102" s="1207" t="s">
        <v>363</v>
      </c>
      <c r="G102" s="2175">
        <v>2400</v>
      </c>
      <c r="H102" s="1264">
        <f t="shared" si="5"/>
        <v>0</v>
      </c>
      <c r="I102" s="1265"/>
      <c r="J102" s="1264"/>
      <c r="K102" s="1265">
        <f t="shared" si="6"/>
        <v>0</v>
      </c>
      <c r="L102" s="1266"/>
    </row>
    <row r="103" spans="1:18" s="1199" customFormat="1" ht="24" customHeight="1">
      <c r="A103" s="1339"/>
      <c r="B103" s="1259" t="s">
        <v>1257</v>
      </c>
      <c r="C103" s="1260"/>
      <c r="D103" s="1260"/>
      <c r="E103" s="1261">
        <v>1</v>
      </c>
      <c r="F103" s="1207" t="s">
        <v>363</v>
      </c>
      <c r="G103" s="2175">
        <v>2600</v>
      </c>
      <c r="H103" s="1264">
        <f t="shared" si="5"/>
        <v>2600</v>
      </c>
      <c r="I103" s="1265"/>
      <c r="J103" s="1264"/>
      <c r="K103" s="1265">
        <f t="shared" si="6"/>
        <v>2600</v>
      </c>
      <c r="L103" s="1266"/>
    </row>
    <row r="104" spans="1:18" s="1199" customFormat="1" ht="24" customHeight="1">
      <c r="A104" s="1339"/>
      <c r="B104" s="1259" t="s">
        <v>1217</v>
      </c>
      <c r="C104" s="1260"/>
      <c r="D104" s="1260"/>
      <c r="E104" s="1261">
        <v>1</v>
      </c>
      <c r="F104" s="1207" t="s">
        <v>363</v>
      </c>
      <c r="G104" s="2175">
        <v>3000</v>
      </c>
      <c r="H104" s="1264">
        <f t="shared" si="5"/>
        <v>3000</v>
      </c>
      <c r="I104" s="1265"/>
      <c r="J104" s="1264"/>
      <c r="K104" s="1265">
        <f t="shared" si="6"/>
        <v>3000</v>
      </c>
      <c r="L104" s="1266"/>
    </row>
    <row r="105" spans="1:18" s="1199" customFormat="1" ht="24" customHeight="1">
      <c r="A105" s="1339"/>
      <c r="B105" s="1259" t="s">
        <v>1218</v>
      </c>
      <c r="C105" s="1260"/>
      <c r="D105" s="1260"/>
      <c r="E105" s="1261"/>
      <c r="F105" s="1207" t="s">
        <v>363</v>
      </c>
      <c r="G105" s="2175">
        <v>5000</v>
      </c>
      <c r="H105" s="1264">
        <f t="shared" si="5"/>
        <v>0</v>
      </c>
      <c r="I105" s="1265"/>
      <c r="J105" s="1264"/>
      <c r="K105" s="1265">
        <f t="shared" si="6"/>
        <v>0</v>
      </c>
      <c r="L105" s="1266"/>
    </row>
    <row r="106" spans="1:18" s="1199" customFormat="1" ht="24" customHeight="1">
      <c r="A106" s="1339"/>
      <c r="B106" s="1259" t="s">
        <v>1258</v>
      </c>
      <c r="C106" s="1260"/>
      <c r="D106" s="1260"/>
      <c r="E106" s="1261"/>
      <c r="F106" s="1207" t="s">
        <v>363</v>
      </c>
      <c r="G106" s="2175">
        <v>5700</v>
      </c>
      <c r="H106" s="1264">
        <f t="shared" si="5"/>
        <v>0</v>
      </c>
      <c r="I106" s="1265"/>
      <c r="J106" s="1264"/>
      <c r="K106" s="1265">
        <f t="shared" si="6"/>
        <v>0</v>
      </c>
      <c r="L106" s="1266"/>
    </row>
    <row r="107" spans="1:18" s="1199" customFormat="1" ht="24" customHeight="1">
      <c r="A107" s="1339"/>
      <c r="B107" s="1259" t="s">
        <v>1259</v>
      </c>
      <c r="C107" s="1260"/>
      <c r="D107" s="1260"/>
      <c r="E107" s="1261"/>
      <c r="F107" s="1207" t="s">
        <v>363</v>
      </c>
      <c r="G107" s="2175">
        <v>5700</v>
      </c>
      <c r="H107" s="1264">
        <f t="shared" si="5"/>
        <v>0</v>
      </c>
      <c r="I107" s="1265"/>
      <c r="J107" s="1264"/>
      <c r="K107" s="1265">
        <f t="shared" si="6"/>
        <v>0</v>
      </c>
      <c r="L107" s="1266"/>
    </row>
    <row r="108" spans="1:18" s="1199" customFormat="1" ht="24" customHeight="1">
      <c r="A108" s="1339"/>
      <c r="B108" s="1259" t="s">
        <v>1220</v>
      </c>
      <c r="C108" s="1260"/>
      <c r="D108" s="1260"/>
      <c r="E108" s="1261">
        <v>1</v>
      </c>
      <c r="F108" s="1207" t="s">
        <v>363</v>
      </c>
      <c r="G108" s="2175">
        <v>8600</v>
      </c>
      <c r="H108" s="1264">
        <f t="shared" si="5"/>
        <v>8600</v>
      </c>
      <c r="I108" s="1265"/>
      <c r="J108" s="1264"/>
      <c r="K108" s="1265">
        <f t="shared" si="6"/>
        <v>8600</v>
      </c>
      <c r="L108" s="1266"/>
    </row>
    <row r="109" spans="1:18" s="1199" customFormat="1" ht="24" customHeight="1">
      <c r="A109" s="1339"/>
      <c r="B109" s="1259" t="s">
        <v>1260</v>
      </c>
      <c r="C109" s="1260"/>
      <c r="D109" s="1260"/>
      <c r="E109" s="1261"/>
      <c r="F109" s="1207" t="s">
        <v>363</v>
      </c>
      <c r="G109" s="2175">
        <v>8600</v>
      </c>
      <c r="H109" s="1264">
        <f t="shared" si="5"/>
        <v>0</v>
      </c>
      <c r="I109" s="1265"/>
      <c r="J109" s="1264"/>
      <c r="K109" s="1265">
        <f t="shared" si="6"/>
        <v>0</v>
      </c>
      <c r="L109" s="1266"/>
    </row>
    <row r="110" spans="1:18" s="1199" customFormat="1" ht="24" customHeight="1">
      <c r="A110" s="1339"/>
      <c r="B110" s="1259" t="s">
        <v>1261</v>
      </c>
      <c r="C110" s="1260"/>
      <c r="D110" s="1260"/>
      <c r="E110" s="1261"/>
      <c r="F110" s="1207" t="s">
        <v>363</v>
      </c>
      <c r="G110" s="2175">
        <v>8600</v>
      </c>
      <c r="H110" s="1264">
        <f t="shared" si="5"/>
        <v>0</v>
      </c>
      <c r="I110" s="1265"/>
      <c r="J110" s="1264"/>
      <c r="K110" s="1265">
        <f t="shared" si="6"/>
        <v>0</v>
      </c>
      <c r="L110" s="1266"/>
    </row>
    <row r="111" spans="1:18" s="1199" customFormat="1" ht="24" customHeight="1">
      <c r="A111" s="1339"/>
      <c r="B111" s="1259" t="s">
        <v>1221</v>
      </c>
      <c r="C111" s="1260"/>
      <c r="D111" s="1260"/>
      <c r="E111" s="1261"/>
      <c r="F111" s="1207" t="s">
        <v>363</v>
      </c>
      <c r="G111" s="2175">
        <v>11500</v>
      </c>
      <c r="H111" s="1264">
        <f t="shared" si="5"/>
        <v>0</v>
      </c>
      <c r="I111" s="1265"/>
      <c r="J111" s="1264"/>
      <c r="K111" s="1265">
        <f t="shared" si="6"/>
        <v>0</v>
      </c>
      <c r="L111" s="1266"/>
    </row>
    <row r="112" spans="1:18" s="1199" customFormat="1" ht="24" customHeight="1">
      <c r="A112" s="1339"/>
      <c r="B112" s="1259" t="s">
        <v>1262</v>
      </c>
      <c r="C112" s="1260"/>
      <c r="D112" s="1260"/>
      <c r="E112" s="1261"/>
      <c r="F112" s="1207" t="s">
        <v>363</v>
      </c>
      <c r="G112" s="2175">
        <v>20200</v>
      </c>
      <c r="H112" s="1264">
        <f t="shared" si="5"/>
        <v>0</v>
      </c>
      <c r="I112" s="1265"/>
      <c r="J112" s="1264"/>
      <c r="K112" s="1265">
        <f t="shared" si="6"/>
        <v>0</v>
      </c>
      <c r="L112" s="1266"/>
    </row>
    <row r="113" spans="1:18" s="1199" customFormat="1" ht="24" customHeight="1">
      <c r="A113" s="1339"/>
      <c r="B113" s="1259" t="s">
        <v>1263</v>
      </c>
      <c r="C113" s="1260"/>
      <c r="D113" s="1260"/>
      <c r="E113" s="1261"/>
      <c r="F113" s="1207" t="s">
        <v>363</v>
      </c>
      <c r="G113" s="2175">
        <v>20200</v>
      </c>
      <c r="H113" s="1264">
        <f t="shared" si="5"/>
        <v>0</v>
      </c>
      <c r="I113" s="1265"/>
      <c r="J113" s="1264"/>
      <c r="K113" s="1265">
        <f t="shared" si="6"/>
        <v>0</v>
      </c>
      <c r="L113" s="1266"/>
    </row>
    <row r="114" spans="1:18" s="1199" customFormat="1" ht="24" customHeight="1">
      <c r="A114" s="1339" t="s">
        <v>2985</v>
      </c>
      <c r="B114" s="1259" t="s">
        <v>1143</v>
      </c>
      <c r="C114" s="1260"/>
      <c r="D114" s="1260"/>
      <c r="E114" s="1261"/>
      <c r="F114" s="1358"/>
      <c r="G114" s="2175"/>
      <c r="H114" s="1264">
        <f t="shared" si="5"/>
        <v>0</v>
      </c>
      <c r="I114" s="1265"/>
      <c r="J114" s="1264"/>
      <c r="K114" s="1265">
        <f t="shared" si="6"/>
        <v>0</v>
      </c>
      <c r="L114" s="1364"/>
    </row>
    <row r="115" spans="1:18" s="1199" customFormat="1" ht="24" customHeight="1">
      <c r="A115" s="1339"/>
      <c r="B115" s="1259" t="s">
        <v>1223</v>
      </c>
      <c r="C115" s="1260"/>
      <c r="D115" s="1260"/>
      <c r="E115" s="1261">
        <v>3</v>
      </c>
      <c r="F115" s="1207" t="s">
        <v>363</v>
      </c>
      <c r="G115" s="2175">
        <v>600</v>
      </c>
      <c r="H115" s="1264">
        <f t="shared" si="5"/>
        <v>1800</v>
      </c>
      <c r="I115" s="1265"/>
      <c r="J115" s="1264"/>
      <c r="K115" s="1265">
        <f t="shared" si="6"/>
        <v>1800</v>
      </c>
      <c r="L115" s="1364"/>
    </row>
    <row r="116" spans="1:18" s="1199" customFormat="1" ht="24" customHeight="1">
      <c r="A116" s="1339"/>
      <c r="B116" s="1259" t="s">
        <v>1145</v>
      </c>
      <c r="C116" s="1260"/>
      <c r="D116" s="1260"/>
      <c r="E116" s="1261">
        <v>3</v>
      </c>
      <c r="F116" s="1207" t="s">
        <v>363</v>
      </c>
      <c r="G116" s="2175">
        <v>120</v>
      </c>
      <c r="H116" s="1264">
        <f t="shared" si="5"/>
        <v>360</v>
      </c>
      <c r="I116" s="1265"/>
      <c r="J116" s="1264"/>
      <c r="K116" s="1265">
        <f t="shared" si="6"/>
        <v>360</v>
      </c>
      <c r="L116" s="1364"/>
    </row>
    <row r="117" spans="1:18" s="1199" customFormat="1" ht="24" customHeight="1">
      <c r="A117" s="1339"/>
      <c r="B117" s="1259" t="s">
        <v>1146</v>
      </c>
      <c r="C117" s="1260"/>
      <c r="D117" s="1260"/>
      <c r="E117" s="1261">
        <v>3</v>
      </c>
      <c r="F117" s="1207" t="s">
        <v>363</v>
      </c>
      <c r="G117" s="2175">
        <v>100</v>
      </c>
      <c r="H117" s="1264">
        <f t="shared" si="5"/>
        <v>300</v>
      </c>
      <c r="I117" s="1265"/>
      <c r="J117" s="1264"/>
      <c r="K117" s="1265">
        <f t="shared" si="6"/>
        <v>300</v>
      </c>
      <c r="L117" s="1364"/>
    </row>
    <row r="118" spans="1:18" s="1199" customFormat="1" ht="24" customHeight="1">
      <c r="A118" s="1339"/>
      <c r="B118" s="1259" t="s">
        <v>1224</v>
      </c>
      <c r="C118" s="1260"/>
      <c r="D118" s="1260"/>
      <c r="E118" s="1261">
        <v>3</v>
      </c>
      <c r="F118" s="1207" t="s">
        <v>363</v>
      </c>
      <c r="G118" s="2175">
        <v>15435</v>
      </c>
      <c r="H118" s="1264">
        <f t="shared" si="5"/>
        <v>46305</v>
      </c>
      <c r="I118" s="1265"/>
      <c r="J118" s="1264"/>
      <c r="K118" s="1265">
        <f t="shared" si="6"/>
        <v>46305</v>
      </c>
      <c r="L118" s="1364"/>
    </row>
    <row r="119" spans="1:18" s="1199" customFormat="1" ht="24" customHeight="1">
      <c r="A119" s="1339" t="s">
        <v>2986</v>
      </c>
      <c r="B119" s="1259" t="s">
        <v>1226</v>
      </c>
      <c r="C119" s="1260"/>
      <c r="D119" s="1260"/>
      <c r="E119" s="1261">
        <v>1</v>
      </c>
      <c r="F119" s="1207" t="s">
        <v>1104</v>
      </c>
      <c r="G119" s="2175">
        <v>27400</v>
      </c>
      <c r="H119" s="1264">
        <f t="shared" si="5"/>
        <v>27400</v>
      </c>
      <c r="I119" s="1265">
        <f>G119*0.3</f>
        <v>8220</v>
      </c>
      <c r="J119" s="1264">
        <f>ROUND(E119*I119,)</f>
        <v>8220</v>
      </c>
      <c r="K119" s="1265">
        <f t="shared" si="6"/>
        <v>35620</v>
      </c>
      <c r="L119" s="1364"/>
    </row>
    <row r="120" spans="1:18" s="1199" customFormat="1" ht="24" customHeight="1">
      <c r="A120" s="1361" t="s">
        <v>2987</v>
      </c>
      <c r="B120" s="1362" t="s">
        <v>1279</v>
      </c>
      <c r="C120" s="1260"/>
      <c r="D120" s="1260"/>
      <c r="E120" s="1261"/>
      <c r="F120" s="1358"/>
      <c r="G120" s="2175"/>
      <c r="H120" s="1264"/>
      <c r="I120" s="1265"/>
      <c r="J120" s="1264"/>
      <c r="K120" s="1265"/>
      <c r="L120" s="1364"/>
    </row>
    <row r="121" spans="1:18" s="1199" customFormat="1" ht="24" customHeight="1">
      <c r="A121" s="1339" t="s">
        <v>2988</v>
      </c>
      <c r="B121" s="1259" t="s">
        <v>1210</v>
      </c>
      <c r="C121" s="1260"/>
      <c r="D121" s="1260"/>
      <c r="E121" s="1261"/>
      <c r="F121" s="1358"/>
      <c r="G121" s="2175"/>
      <c r="H121" s="1264"/>
      <c r="I121" s="1265"/>
      <c r="J121" s="1264"/>
      <c r="K121" s="1265"/>
      <c r="L121" s="1364"/>
    </row>
    <row r="122" spans="1:18" s="1199" customFormat="1" ht="24" customHeight="1">
      <c r="A122" s="1339"/>
      <c r="B122" s="1259" t="s">
        <v>1211</v>
      </c>
      <c r="C122" s="1260"/>
      <c r="D122" s="1260"/>
      <c r="E122" s="1261"/>
      <c r="F122" s="1207" t="s">
        <v>363</v>
      </c>
      <c r="G122" s="2175">
        <v>2400</v>
      </c>
      <c r="H122" s="1264">
        <f t="shared" ref="H122:H144" si="7">ROUND(G122*E122,)</f>
        <v>0</v>
      </c>
      <c r="I122" s="1265"/>
      <c r="J122" s="1264"/>
      <c r="K122" s="1265">
        <f t="shared" ref="K122:K144" si="8">J122+H122</f>
        <v>0</v>
      </c>
      <c r="L122" s="1266"/>
      <c r="N122" s="1363"/>
      <c r="O122" s="1363"/>
      <c r="P122" s="1363"/>
      <c r="Q122" s="1363"/>
      <c r="R122" s="1363"/>
    </row>
    <row r="123" spans="1:18" s="1199" customFormat="1" ht="24" customHeight="1">
      <c r="A123" s="1339"/>
      <c r="B123" s="1259" t="s">
        <v>1212</v>
      </c>
      <c r="C123" s="1260"/>
      <c r="D123" s="1260"/>
      <c r="E123" s="1261"/>
      <c r="F123" s="1207" t="s">
        <v>363</v>
      </c>
      <c r="G123" s="2175">
        <v>2400</v>
      </c>
      <c r="H123" s="1264">
        <f t="shared" si="7"/>
        <v>0</v>
      </c>
      <c r="I123" s="1265"/>
      <c r="J123" s="1264"/>
      <c r="K123" s="1265">
        <f t="shared" si="8"/>
        <v>0</v>
      </c>
      <c r="L123" s="1266"/>
      <c r="N123" s="1363"/>
      <c r="O123" s="1363"/>
      <c r="P123" s="1363"/>
      <c r="Q123" s="1363"/>
      <c r="R123" s="1363"/>
    </row>
    <row r="124" spans="1:18" s="1199" customFormat="1" ht="24" customHeight="1">
      <c r="A124" s="1339"/>
      <c r="B124" s="1259" t="s">
        <v>1213</v>
      </c>
      <c r="C124" s="1260"/>
      <c r="D124" s="1260"/>
      <c r="E124" s="1261">
        <v>1</v>
      </c>
      <c r="F124" s="1207" t="s">
        <v>363</v>
      </c>
      <c r="G124" s="2175">
        <v>2400</v>
      </c>
      <c r="H124" s="1264">
        <f t="shared" si="7"/>
        <v>2400</v>
      </c>
      <c r="I124" s="1265"/>
      <c r="J124" s="1264"/>
      <c r="K124" s="1265">
        <f t="shared" si="8"/>
        <v>2400</v>
      </c>
      <c r="L124" s="1266"/>
    </row>
    <row r="125" spans="1:18" s="1199" customFormat="1" ht="24" customHeight="1">
      <c r="A125" s="1339"/>
      <c r="B125" s="1259" t="s">
        <v>1214</v>
      </c>
      <c r="C125" s="1260"/>
      <c r="D125" s="1260"/>
      <c r="E125" s="1261"/>
      <c r="F125" s="1207" t="s">
        <v>363</v>
      </c>
      <c r="G125" s="2175">
        <v>2400</v>
      </c>
      <c r="H125" s="1264">
        <f t="shared" si="7"/>
        <v>0</v>
      </c>
      <c r="I125" s="1265"/>
      <c r="J125" s="1264"/>
      <c r="K125" s="1265">
        <f t="shared" si="8"/>
        <v>0</v>
      </c>
      <c r="L125" s="1266"/>
    </row>
    <row r="126" spans="1:18" s="1199" customFormat="1" ht="24" customHeight="1">
      <c r="A126" s="1339"/>
      <c r="B126" s="1259" t="s">
        <v>1215</v>
      </c>
      <c r="C126" s="1260"/>
      <c r="D126" s="1260"/>
      <c r="E126" s="1261">
        <v>1</v>
      </c>
      <c r="F126" s="1207" t="s">
        <v>363</v>
      </c>
      <c r="G126" s="2175">
        <v>2400</v>
      </c>
      <c r="H126" s="1264">
        <f t="shared" si="7"/>
        <v>2400</v>
      </c>
      <c r="I126" s="1265"/>
      <c r="J126" s="1264"/>
      <c r="K126" s="1265">
        <f t="shared" si="8"/>
        <v>2400</v>
      </c>
      <c r="L126" s="1266"/>
    </row>
    <row r="127" spans="1:18" s="1199" customFormat="1" ht="24" customHeight="1">
      <c r="A127" s="1339"/>
      <c r="B127" s="1259" t="s">
        <v>1216</v>
      </c>
      <c r="C127" s="1260"/>
      <c r="D127" s="1260"/>
      <c r="E127" s="1261">
        <v>2</v>
      </c>
      <c r="F127" s="1207" t="s">
        <v>363</v>
      </c>
      <c r="G127" s="2175">
        <v>2400</v>
      </c>
      <c r="H127" s="1264">
        <f t="shared" si="7"/>
        <v>4800</v>
      </c>
      <c r="I127" s="1265"/>
      <c r="J127" s="1264"/>
      <c r="K127" s="1265">
        <f t="shared" si="8"/>
        <v>4800</v>
      </c>
      <c r="L127" s="1266"/>
    </row>
    <row r="128" spans="1:18" s="1199" customFormat="1" ht="24" customHeight="1">
      <c r="A128" s="1339"/>
      <c r="B128" s="1259" t="s">
        <v>1257</v>
      </c>
      <c r="C128" s="1260"/>
      <c r="D128" s="1260"/>
      <c r="E128" s="1261"/>
      <c r="F128" s="1207" t="s">
        <v>363</v>
      </c>
      <c r="G128" s="2175">
        <v>2600</v>
      </c>
      <c r="H128" s="1264">
        <f t="shared" si="7"/>
        <v>0</v>
      </c>
      <c r="I128" s="1265"/>
      <c r="J128" s="1264"/>
      <c r="K128" s="1265">
        <f t="shared" si="8"/>
        <v>0</v>
      </c>
      <c r="L128" s="1266"/>
    </row>
    <row r="129" spans="1:12" s="1199" customFormat="1" ht="24" customHeight="1">
      <c r="A129" s="1339"/>
      <c r="B129" s="1259" t="s">
        <v>1217</v>
      </c>
      <c r="C129" s="1260"/>
      <c r="D129" s="1260"/>
      <c r="E129" s="1261"/>
      <c r="F129" s="1207" t="s">
        <v>363</v>
      </c>
      <c r="G129" s="2175">
        <v>3000</v>
      </c>
      <c r="H129" s="1264">
        <f t="shared" si="7"/>
        <v>0</v>
      </c>
      <c r="I129" s="1265"/>
      <c r="J129" s="1264"/>
      <c r="K129" s="1265">
        <f t="shared" si="8"/>
        <v>0</v>
      </c>
      <c r="L129" s="1266"/>
    </row>
    <row r="130" spans="1:12" s="1199" customFormat="1" ht="24" customHeight="1">
      <c r="A130" s="1339"/>
      <c r="B130" s="1259" t="s">
        <v>1218</v>
      </c>
      <c r="C130" s="1260"/>
      <c r="D130" s="1260"/>
      <c r="E130" s="1261"/>
      <c r="F130" s="1207" t="s">
        <v>363</v>
      </c>
      <c r="G130" s="2175">
        <v>5000</v>
      </c>
      <c r="H130" s="1264">
        <f t="shared" si="7"/>
        <v>0</v>
      </c>
      <c r="I130" s="1265"/>
      <c r="J130" s="1264"/>
      <c r="K130" s="1265">
        <f t="shared" si="8"/>
        <v>0</v>
      </c>
      <c r="L130" s="1266"/>
    </row>
    <row r="131" spans="1:12" s="1199" customFormat="1" ht="24" customHeight="1">
      <c r="A131" s="1339"/>
      <c r="B131" s="1259" t="s">
        <v>1258</v>
      </c>
      <c r="C131" s="1260"/>
      <c r="D131" s="1260"/>
      <c r="E131" s="1261"/>
      <c r="F131" s="1207" t="s">
        <v>363</v>
      </c>
      <c r="G131" s="2175">
        <v>5700</v>
      </c>
      <c r="H131" s="1264">
        <f t="shared" si="7"/>
        <v>0</v>
      </c>
      <c r="I131" s="1265"/>
      <c r="J131" s="1264"/>
      <c r="K131" s="1265">
        <f t="shared" si="8"/>
        <v>0</v>
      </c>
      <c r="L131" s="1266"/>
    </row>
    <row r="132" spans="1:12" s="1199" customFormat="1" ht="24" customHeight="1">
      <c r="A132" s="1339"/>
      <c r="B132" s="1259" t="s">
        <v>1259</v>
      </c>
      <c r="C132" s="1260"/>
      <c r="D132" s="1260"/>
      <c r="E132" s="1261">
        <v>1</v>
      </c>
      <c r="F132" s="1207" t="s">
        <v>363</v>
      </c>
      <c r="G132" s="2175">
        <v>5700</v>
      </c>
      <c r="H132" s="1264">
        <f t="shared" si="7"/>
        <v>5700</v>
      </c>
      <c r="I132" s="1265"/>
      <c r="J132" s="1264"/>
      <c r="K132" s="1265">
        <f t="shared" si="8"/>
        <v>5700</v>
      </c>
      <c r="L132" s="1266"/>
    </row>
    <row r="133" spans="1:12" s="1199" customFormat="1" ht="24" customHeight="1">
      <c r="A133" s="1339"/>
      <c r="B133" s="1259" t="s">
        <v>1220</v>
      </c>
      <c r="C133" s="1260"/>
      <c r="D133" s="1260"/>
      <c r="E133" s="1261"/>
      <c r="F133" s="1207" t="s">
        <v>363</v>
      </c>
      <c r="G133" s="2175">
        <v>8600</v>
      </c>
      <c r="H133" s="1264">
        <f t="shared" si="7"/>
        <v>0</v>
      </c>
      <c r="I133" s="1265"/>
      <c r="J133" s="1264"/>
      <c r="K133" s="1265">
        <f t="shared" si="8"/>
        <v>0</v>
      </c>
      <c r="L133" s="1266"/>
    </row>
    <row r="134" spans="1:12" s="1199" customFormat="1" ht="24" customHeight="1">
      <c r="A134" s="1339"/>
      <c r="B134" s="1259" t="s">
        <v>1260</v>
      </c>
      <c r="C134" s="1260"/>
      <c r="D134" s="1260"/>
      <c r="E134" s="1261">
        <v>1</v>
      </c>
      <c r="F134" s="1207" t="s">
        <v>363</v>
      </c>
      <c r="G134" s="2175">
        <v>8600</v>
      </c>
      <c r="H134" s="1264">
        <f t="shared" si="7"/>
        <v>8600</v>
      </c>
      <c r="I134" s="1265"/>
      <c r="J134" s="1264"/>
      <c r="K134" s="1265">
        <f t="shared" si="8"/>
        <v>8600</v>
      </c>
      <c r="L134" s="1266"/>
    </row>
    <row r="135" spans="1:12" s="1199" customFormat="1" ht="24" customHeight="1">
      <c r="A135" s="1339"/>
      <c r="B135" s="1259" t="s">
        <v>1261</v>
      </c>
      <c r="C135" s="1260"/>
      <c r="D135" s="1260"/>
      <c r="E135" s="1261"/>
      <c r="F135" s="1207" t="s">
        <v>363</v>
      </c>
      <c r="G135" s="2175">
        <v>8600</v>
      </c>
      <c r="H135" s="1264">
        <f t="shared" si="7"/>
        <v>0</v>
      </c>
      <c r="I135" s="1265"/>
      <c r="J135" s="1264"/>
      <c r="K135" s="1265">
        <f t="shared" si="8"/>
        <v>0</v>
      </c>
      <c r="L135" s="1266"/>
    </row>
    <row r="136" spans="1:12" s="1199" customFormat="1" ht="24" customHeight="1">
      <c r="A136" s="1339"/>
      <c r="B136" s="1259" t="s">
        <v>1221</v>
      </c>
      <c r="C136" s="1260"/>
      <c r="D136" s="1260"/>
      <c r="E136" s="1261"/>
      <c r="F136" s="1207" t="s">
        <v>363</v>
      </c>
      <c r="G136" s="2175">
        <v>11500</v>
      </c>
      <c r="H136" s="1264">
        <f t="shared" si="7"/>
        <v>0</v>
      </c>
      <c r="I136" s="1265"/>
      <c r="J136" s="1264"/>
      <c r="K136" s="1265">
        <f t="shared" si="8"/>
        <v>0</v>
      </c>
      <c r="L136" s="1266"/>
    </row>
    <row r="137" spans="1:12" s="1199" customFormat="1" ht="24" customHeight="1">
      <c r="A137" s="1339"/>
      <c r="B137" s="1259" t="s">
        <v>1262</v>
      </c>
      <c r="C137" s="1260"/>
      <c r="D137" s="1260"/>
      <c r="E137" s="1261"/>
      <c r="F137" s="1207" t="s">
        <v>363</v>
      </c>
      <c r="G137" s="2175">
        <v>20200</v>
      </c>
      <c r="H137" s="1264">
        <f t="shared" si="7"/>
        <v>0</v>
      </c>
      <c r="I137" s="1265"/>
      <c r="J137" s="1264"/>
      <c r="K137" s="1265">
        <f t="shared" si="8"/>
        <v>0</v>
      </c>
      <c r="L137" s="1266"/>
    </row>
    <row r="138" spans="1:12" s="1199" customFormat="1" ht="24" customHeight="1">
      <c r="A138" s="1339"/>
      <c r="B138" s="1259" t="s">
        <v>1263</v>
      </c>
      <c r="C138" s="1260"/>
      <c r="D138" s="1260"/>
      <c r="E138" s="1261">
        <v>1</v>
      </c>
      <c r="F138" s="1207" t="s">
        <v>363</v>
      </c>
      <c r="G138" s="2175">
        <v>20200</v>
      </c>
      <c r="H138" s="1264">
        <f t="shared" si="7"/>
        <v>20200</v>
      </c>
      <c r="I138" s="1265"/>
      <c r="J138" s="1264"/>
      <c r="K138" s="1265">
        <f t="shared" si="8"/>
        <v>20200</v>
      </c>
      <c r="L138" s="1266"/>
    </row>
    <row r="139" spans="1:12" s="1199" customFormat="1" ht="24" customHeight="1">
      <c r="A139" s="1339" t="s">
        <v>2989</v>
      </c>
      <c r="B139" s="1259" t="s">
        <v>1143</v>
      </c>
      <c r="C139" s="1260"/>
      <c r="D139" s="1260"/>
      <c r="E139" s="1261"/>
      <c r="F139" s="1358"/>
      <c r="G139" s="2175"/>
      <c r="H139" s="1264">
        <f t="shared" si="7"/>
        <v>0</v>
      </c>
      <c r="I139" s="1265"/>
      <c r="J139" s="1264"/>
      <c r="K139" s="1265">
        <f t="shared" si="8"/>
        <v>0</v>
      </c>
      <c r="L139" s="1364"/>
    </row>
    <row r="140" spans="1:12" s="1199" customFormat="1" ht="24" customHeight="1">
      <c r="A140" s="1339"/>
      <c r="B140" s="1259" t="s">
        <v>1265</v>
      </c>
      <c r="C140" s="1260"/>
      <c r="D140" s="1260"/>
      <c r="E140" s="1261">
        <v>3</v>
      </c>
      <c r="F140" s="1207" t="s">
        <v>363</v>
      </c>
      <c r="G140" s="2175">
        <v>600</v>
      </c>
      <c r="H140" s="1264">
        <f t="shared" si="7"/>
        <v>1800</v>
      </c>
      <c r="I140" s="1265"/>
      <c r="J140" s="1264"/>
      <c r="K140" s="1265">
        <f t="shared" si="8"/>
        <v>1800</v>
      </c>
      <c r="L140" s="1364"/>
    </row>
    <row r="141" spans="1:12" s="1199" customFormat="1" ht="24" customHeight="1">
      <c r="A141" s="1339"/>
      <c r="B141" s="1259" t="s">
        <v>1145</v>
      </c>
      <c r="C141" s="1260"/>
      <c r="D141" s="1260"/>
      <c r="E141" s="1261">
        <v>3</v>
      </c>
      <c r="F141" s="1207" t="s">
        <v>363</v>
      </c>
      <c r="G141" s="2175">
        <v>120</v>
      </c>
      <c r="H141" s="1264">
        <f t="shared" si="7"/>
        <v>360</v>
      </c>
      <c r="I141" s="1265"/>
      <c r="J141" s="1264"/>
      <c r="K141" s="1265">
        <f t="shared" si="8"/>
        <v>360</v>
      </c>
      <c r="L141" s="1364"/>
    </row>
    <row r="142" spans="1:12" s="1199" customFormat="1" ht="24" customHeight="1">
      <c r="A142" s="1339"/>
      <c r="B142" s="1259" t="s">
        <v>1146</v>
      </c>
      <c r="C142" s="1260"/>
      <c r="D142" s="1260"/>
      <c r="E142" s="1261">
        <v>3</v>
      </c>
      <c r="F142" s="1207" t="s">
        <v>363</v>
      </c>
      <c r="G142" s="2175">
        <v>100</v>
      </c>
      <c r="H142" s="1264">
        <f t="shared" si="7"/>
        <v>300</v>
      </c>
      <c r="I142" s="1265"/>
      <c r="J142" s="1264"/>
      <c r="K142" s="1265">
        <f t="shared" si="8"/>
        <v>300</v>
      </c>
      <c r="L142" s="1364"/>
    </row>
    <row r="143" spans="1:12" s="1199" customFormat="1" ht="24" customHeight="1">
      <c r="A143" s="1339"/>
      <c r="B143" s="1259" t="s">
        <v>1224</v>
      </c>
      <c r="C143" s="1260"/>
      <c r="D143" s="1260"/>
      <c r="E143" s="1261">
        <v>5</v>
      </c>
      <c r="F143" s="1207" t="s">
        <v>363</v>
      </c>
      <c r="G143" s="2175">
        <v>15435</v>
      </c>
      <c r="H143" s="1264">
        <f t="shared" si="7"/>
        <v>77175</v>
      </c>
      <c r="I143" s="1265"/>
      <c r="J143" s="1264"/>
      <c r="K143" s="1265">
        <f t="shared" si="8"/>
        <v>77175</v>
      </c>
      <c r="L143" s="1364"/>
    </row>
    <row r="144" spans="1:12" s="1199" customFormat="1" ht="24" customHeight="1">
      <c r="A144" s="1339" t="s">
        <v>2990</v>
      </c>
      <c r="B144" s="1259" t="s">
        <v>1226</v>
      </c>
      <c r="C144" s="1260"/>
      <c r="D144" s="1260"/>
      <c r="E144" s="1261">
        <v>1</v>
      </c>
      <c r="F144" s="1207" t="s">
        <v>1104</v>
      </c>
      <c r="G144" s="2175">
        <v>27400</v>
      </c>
      <c r="H144" s="1264">
        <f t="shared" si="7"/>
        <v>27400</v>
      </c>
      <c r="I144" s="1265">
        <f>G144*0.3</f>
        <v>8220</v>
      </c>
      <c r="J144" s="1264">
        <f>ROUND(E144*I144,)</f>
        <v>8220</v>
      </c>
      <c r="K144" s="1265">
        <f t="shared" si="8"/>
        <v>35620</v>
      </c>
      <c r="L144" s="1364"/>
    </row>
    <row r="145" spans="1:17" s="1199" customFormat="1" ht="24" customHeight="1">
      <c r="A145" s="1331"/>
      <c r="B145" s="1190" t="s">
        <v>1117</v>
      </c>
      <c r="C145" s="1275"/>
      <c r="D145" s="1275"/>
      <c r="E145" s="2145"/>
      <c r="F145" s="1358"/>
      <c r="G145" s="2175"/>
      <c r="H145" s="1264"/>
      <c r="I145" s="1265"/>
      <c r="J145" s="1264"/>
      <c r="K145" s="1299"/>
      <c r="L145" s="1432"/>
    </row>
    <row r="146" spans="1:17" s="1199" customFormat="1" ht="24" customHeight="1">
      <c r="A146" s="1331"/>
      <c r="B146" s="1190" t="s">
        <v>1118</v>
      </c>
      <c r="C146" s="1275"/>
      <c r="D146" s="1275"/>
      <c r="E146" s="2145"/>
      <c r="F146" s="1358"/>
      <c r="G146" s="2175"/>
      <c r="H146" s="1264"/>
      <c r="I146" s="1265"/>
      <c r="J146" s="1264"/>
      <c r="K146" s="1299"/>
      <c r="L146" s="1432"/>
    </row>
    <row r="147" spans="1:17" s="1199" customFormat="1" ht="24" customHeight="1">
      <c r="A147" s="1331"/>
      <c r="B147" s="1190" t="s">
        <v>1118</v>
      </c>
      <c r="C147" s="1275"/>
      <c r="D147" s="1275"/>
      <c r="E147" s="2145"/>
      <c r="F147" s="1358"/>
      <c r="G147" s="2175"/>
      <c r="H147" s="1264"/>
      <c r="I147" s="1265"/>
      <c r="J147" s="1264"/>
      <c r="K147" s="1299"/>
      <c r="L147" s="1432"/>
    </row>
    <row r="148" spans="1:17" s="1199" customFormat="1" ht="24" customHeight="1">
      <c r="A148" s="1339"/>
      <c r="B148" s="1259"/>
      <c r="C148" s="1260"/>
      <c r="D148" s="1260"/>
      <c r="E148" s="1261"/>
      <c r="F148" s="1207"/>
      <c r="G148" s="2175"/>
      <c r="H148" s="1264"/>
      <c r="I148" s="1265"/>
      <c r="J148" s="1264"/>
      <c r="K148" s="1265"/>
      <c r="L148" s="1266"/>
    </row>
    <row r="149" spans="1:17" s="1199" customFormat="1" ht="24" customHeight="1">
      <c r="A149" s="1339"/>
      <c r="B149" s="1259"/>
      <c r="C149" s="1260"/>
      <c r="D149" s="1260"/>
      <c r="E149" s="1261"/>
      <c r="F149" s="1207"/>
      <c r="G149" s="2175"/>
      <c r="H149" s="1264"/>
      <c r="I149" s="1265"/>
      <c r="J149" s="1264"/>
      <c r="K149" s="1265"/>
      <c r="L149" s="1266"/>
    </row>
    <row r="150" spans="1:17" s="1199" customFormat="1" ht="24" customHeight="1">
      <c r="A150" s="1339"/>
      <c r="B150" s="1259"/>
      <c r="C150" s="1260"/>
      <c r="D150" s="1260"/>
      <c r="E150" s="1261"/>
      <c r="F150" s="1207"/>
      <c r="G150" s="2175"/>
      <c r="H150" s="1264"/>
      <c r="I150" s="1265"/>
      <c r="J150" s="1264"/>
      <c r="K150" s="1265"/>
      <c r="L150" s="1266"/>
    </row>
    <row r="151" spans="1:17" s="1199" customFormat="1" ht="24" customHeight="1">
      <c r="A151" s="1339"/>
      <c r="B151" s="1259"/>
      <c r="C151" s="1260"/>
      <c r="D151" s="1260"/>
      <c r="E151" s="1261"/>
      <c r="F151" s="1207"/>
      <c r="G151" s="2175"/>
      <c r="H151" s="1264"/>
      <c r="I151" s="1265"/>
      <c r="J151" s="1264"/>
      <c r="K151" s="1265"/>
      <c r="L151" s="1266"/>
    </row>
    <row r="152" spans="1:17" s="1199" customFormat="1" ht="24" customHeight="1">
      <c r="A152" s="1339"/>
      <c r="B152" s="1259"/>
      <c r="C152" s="1260"/>
      <c r="D152" s="1260"/>
      <c r="E152" s="1261"/>
      <c r="F152" s="1358"/>
      <c r="G152" s="2175"/>
      <c r="H152" s="1264"/>
      <c r="I152" s="1265"/>
      <c r="J152" s="1264"/>
      <c r="K152" s="1265"/>
      <c r="L152" s="1364"/>
    </row>
    <row r="153" spans="1:17" s="1199" customFormat="1" ht="24" customHeight="1">
      <c r="A153" s="1339"/>
      <c r="B153" s="1259"/>
      <c r="C153" s="1260"/>
      <c r="D153" s="1260"/>
      <c r="E153" s="1261"/>
      <c r="F153" s="1207"/>
      <c r="G153" s="2175"/>
      <c r="H153" s="1264"/>
      <c r="I153" s="1265"/>
      <c r="J153" s="1264"/>
      <c r="K153" s="1265"/>
      <c r="L153" s="1266"/>
    </row>
    <row r="154" spans="1:17" s="1199" customFormat="1" ht="24" customHeight="1">
      <c r="A154" s="1243"/>
      <c r="B154" s="2257" t="str">
        <f>"รวมราคารายการที่ "&amp;A44</f>
        <v>รวมราคารายการที่ 3.2</v>
      </c>
      <c r="C154" s="2258"/>
      <c r="D154" s="2259"/>
      <c r="E154" s="1244"/>
      <c r="F154" s="1245"/>
      <c r="G154" s="1246"/>
      <c r="H154" s="1247">
        <f>SUM(H44:H148)</f>
        <v>444395</v>
      </c>
      <c r="I154" s="1246"/>
      <c r="J154" s="1247">
        <f>SUM(J44:J148)</f>
        <v>32880</v>
      </c>
      <c r="K154" s="1247">
        <f>SUM(K44:K148)</f>
        <v>477275</v>
      </c>
      <c r="L154" s="1245"/>
      <c r="M154" s="1214"/>
      <c r="N154" s="1214"/>
      <c r="O154" s="1214"/>
      <c r="P154" s="1214"/>
      <c r="Q154" s="1214"/>
    </row>
    <row r="155" spans="1:17" s="1199" customFormat="1" ht="24" customHeight="1">
      <c r="A155" s="1381" t="s">
        <v>1445</v>
      </c>
      <c r="B155" s="1292" t="s">
        <v>1427</v>
      </c>
      <c r="C155" s="1294"/>
      <c r="D155" s="1294"/>
      <c r="E155" s="1295"/>
      <c r="F155" s="1296"/>
      <c r="G155" s="1297"/>
      <c r="H155" s="1298"/>
      <c r="I155" s="1299"/>
      <c r="J155" s="1298"/>
      <c r="K155" s="1299"/>
      <c r="L155" s="1432"/>
      <c r="M155" s="1214"/>
      <c r="N155" s="1214"/>
      <c r="O155" s="1214"/>
      <c r="P155" s="1214"/>
    </row>
    <row r="156" spans="1:17" s="1199" customFormat="1" ht="24" customHeight="1">
      <c r="A156" s="1308" t="s">
        <v>1128</v>
      </c>
      <c r="B156" s="1433" t="s">
        <v>1428</v>
      </c>
      <c r="C156" s="1260"/>
      <c r="D156" s="1260"/>
      <c r="E156" s="1261"/>
      <c r="F156" s="1262"/>
      <c r="G156" s="2178"/>
      <c r="H156" s="1264">
        <f t="shared" ref="H156:H176" si="9">ROUND(E156*G156,)</f>
        <v>0</v>
      </c>
      <c r="I156" s="1265"/>
      <c r="J156" s="1264">
        <f t="shared" ref="J156:J176" si="10">ROUND(E156*I156,)</f>
        <v>0</v>
      </c>
      <c r="K156" s="1265">
        <f t="shared" ref="K156:K176" si="11">H156+J156</f>
        <v>0</v>
      </c>
      <c r="L156" s="1434"/>
      <c r="M156" s="1214"/>
      <c r="N156" s="1214"/>
      <c r="O156" s="1214"/>
      <c r="P156" s="1214"/>
    </row>
    <row r="157" spans="1:17" s="1199" customFormat="1" ht="24" customHeight="1">
      <c r="A157" s="1331"/>
      <c r="B157" s="1259" t="s">
        <v>1581</v>
      </c>
      <c r="C157" s="1260"/>
      <c r="D157" s="1260"/>
      <c r="E157" s="1261">
        <v>1</v>
      </c>
      <c r="F157" s="1267" t="s">
        <v>363</v>
      </c>
      <c r="G157" s="2178">
        <v>4800</v>
      </c>
      <c r="H157" s="1264">
        <f t="shared" si="9"/>
        <v>4800</v>
      </c>
      <c r="I157" s="1265">
        <v>1500</v>
      </c>
      <c r="J157" s="1264">
        <f t="shared" si="10"/>
        <v>1500</v>
      </c>
      <c r="K157" s="1265">
        <f t="shared" si="11"/>
        <v>6300</v>
      </c>
      <c r="L157" s="1434"/>
      <c r="M157" s="1214"/>
      <c r="N157" s="1214"/>
      <c r="O157" s="1214"/>
      <c r="P157" s="1214"/>
    </row>
    <row r="158" spans="1:17" s="1199" customFormat="1" ht="24" customHeight="1">
      <c r="A158" s="1331"/>
      <c r="B158" s="1259" t="s">
        <v>1440</v>
      </c>
      <c r="C158" s="1260"/>
      <c r="D158" s="1260"/>
      <c r="E158" s="1261">
        <v>1</v>
      </c>
      <c r="F158" s="1267" t="s">
        <v>363</v>
      </c>
      <c r="G158" s="2178">
        <v>2400</v>
      </c>
      <c r="H158" s="1264">
        <f t="shared" si="9"/>
        <v>2400</v>
      </c>
      <c r="I158" s="1265"/>
      <c r="J158" s="1264">
        <f t="shared" si="10"/>
        <v>0</v>
      </c>
      <c r="K158" s="1265">
        <f t="shared" si="11"/>
        <v>2400</v>
      </c>
      <c r="L158" s="1434"/>
      <c r="M158" s="1214"/>
      <c r="N158" s="1214"/>
      <c r="O158" s="1214"/>
      <c r="P158" s="1214"/>
    </row>
    <row r="159" spans="1:17" s="1199" customFormat="1" ht="24" customHeight="1">
      <c r="A159" s="1331"/>
      <c r="B159" s="1259" t="s">
        <v>1431</v>
      </c>
      <c r="C159" s="1260"/>
      <c r="D159" s="1260"/>
      <c r="E159" s="1261">
        <v>12</v>
      </c>
      <c r="F159" s="1267" t="s">
        <v>363</v>
      </c>
      <c r="G159" s="2178">
        <v>138</v>
      </c>
      <c r="H159" s="1264">
        <f t="shared" si="9"/>
        <v>1656</v>
      </c>
      <c r="I159" s="1265"/>
      <c r="J159" s="1264">
        <f t="shared" si="10"/>
        <v>0</v>
      </c>
      <c r="K159" s="1265">
        <f t="shared" si="11"/>
        <v>1656</v>
      </c>
      <c r="L159" s="1434"/>
      <c r="M159" s="1214"/>
      <c r="N159" s="1214"/>
      <c r="O159" s="1214"/>
      <c r="P159" s="1214"/>
    </row>
    <row r="160" spans="1:17" s="1199" customFormat="1" ht="24" customHeight="1">
      <c r="A160" s="1331"/>
      <c r="B160" s="1259" t="s">
        <v>1432</v>
      </c>
      <c r="C160" s="1260"/>
      <c r="D160" s="1260"/>
      <c r="E160" s="1261"/>
      <c r="F160" s="1267" t="s">
        <v>363</v>
      </c>
      <c r="G160" s="2178">
        <v>138</v>
      </c>
      <c r="H160" s="1264">
        <f t="shared" si="9"/>
        <v>0</v>
      </c>
      <c r="I160" s="1265"/>
      <c r="J160" s="1264">
        <f t="shared" si="10"/>
        <v>0</v>
      </c>
      <c r="K160" s="1265">
        <f t="shared" si="11"/>
        <v>0</v>
      </c>
      <c r="L160" s="1434"/>
      <c r="M160" s="1214"/>
      <c r="N160" s="1214"/>
      <c r="O160" s="1214"/>
      <c r="P160" s="1214"/>
    </row>
    <row r="161" spans="1:17" s="1199" customFormat="1" ht="24" customHeight="1">
      <c r="A161" s="1331"/>
      <c r="B161" s="1259" t="s">
        <v>1433</v>
      </c>
      <c r="C161" s="1260"/>
      <c r="D161" s="1260"/>
      <c r="E161" s="1261"/>
      <c r="F161" s="1267" t="s">
        <v>363</v>
      </c>
      <c r="G161" s="2178">
        <v>138</v>
      </c>
      <c r="H161" s="1264">
        <f t="shared" si="9"/>
        <v>0</v>
      </c>
      <c r="I161" s="1265"/>
      <c r="J161" s="1264">
        <f t="shared" si="10"/>
        <v>0</v>
      </c>
      <c r="K161" s="1265">
        <f t="shared" si="11"/>
        <v>0</v>
      </c>
      <c r="L161" s="1434"/>
      <c r="M161" s="1214"/>
      <c r="N161" s="1214"/>
      <c r="O161" s="1214"/>
      <c r="P161" s="1214"/>
    </row>
    <row r="162" spans="1:17" s="1199" customFormat="1" ht="24" customHeight="1">
      <c r="A162" s="1331"/>
      <c r="B162" s="1259" t="s">
        <v>1434</v>
      </c>
      <c r="C162" s="1260"/>
      <c r="D162" s="1260"/>
      <c r="E162" s="1261"/>
      <c r="F162" s="1267" t="s">
        <v>363</v>
      </c>
      <c r="G162" s="2178">
        <v>880</v>
      </c>
      <c r="H162" s="1264">
        <f t="shared" si="9"/>
        <v>0</v>
      </c>
      <c r="I162" s="1265"/>
      <c r="J162" s="1264">
        <f t="shared" si="10"/>
        <v>0</v>
      </c>
      <c r="K162" s="1265">
        <f t="shared" si="11"/>
        <v>0</v>
      </c>
      <c r="L162" s="1434"/>
      <c r="M162" s="1214"/>
      <c r="N162" s="1214"/>
      <c r="O162" s="1214"/>
      <c r="P162" s="1214"/>
    </row>
    <row r="163" spans="1:17" s="1199" customFormat="1" ht="24" customHeight="1">
      <c r="A163" s="1331"/>
      <c r="B163" s="1259" t="s">
        <v>1435</v>
      </c>
      <c r="C163" s="1260"/>
      <c r="D163" s="1260"/>
      <c r="E163" s="1261"/>
      <c r="F163" s="1267" t="s">
        <v>363</v>
      </c>
      <c r="G163" s="2178">
        <v>880</v>
      </c>
      <c r="H163" s="1264">
        <f t="shared" si="9"/>
        <v>0</v>
      </c>
      <c r="I163" s="1265"/>
      <c r="J163" s="1264">
        <f t="shared" si="10"/>
        <v>0</v>
      </c>
      <c r="K163" s="1265">
        <f t="shared" si="11"/>
        <v>0</v>
      </c>
      <c r="L163" s="1434"/>
      <c r="M163" s="1214"/>
      <c r="N163" s="1214"/>
      <c r="O163" s="1214"/>
      <c r="P163" s="1214"/>
    </row>
    <row r="164" spans="1:17" s="1199" customFormat="1" ht="24" customHeight="1">
      <c r="A164" s="1331"/>
      <c r="B164" s="1259" t="s">
        <v>1436</v>
      </c>
      <c r="C164" s="1260"/>
      <c r="D164" s="1260"/>
      <c r="E164" s="1261"/>
      <c r="F164" s="1267" t="s">
        <v>363</v>
      </c>
      <c r="G164" s="2178">
        <v>2400</v>
      </c>
      <c r="H164" s="1264">
        <f t="shared" si="9"/>
        <v>0</v>
      </c>
      <c r="I164" s="1265"/>
      <c r="J164" s="1264">
        <f t="shared" si="10"/>
        <v>0</v>
      </c>
      <c r="K164" s="1265">
        <f t="shared" si="11"/>
        <v>0</v>
      </c>
      <c r="L164" s="1434"/>
      <c r="M164" s="1214"/>
      <c r="N164" s="1214"/>
      <c r="O164" s="1214"/>
      <c r="P164" s="1214"/>
    </row>
    <row r="165" spans="1:17" s="1199" customFormat="1" ht="24" customHeight="1">
      <c r="A165" s="1331"/>
      <c r="B165" s="1190" t="s">
        <v>1437</v>
      </c>
      <c r="C165" s="1275"/>
      <c r="D165" s="1275"/>
      <c r="E165" s="1276">
        <v>1</v>
      </c>
      <c r="F165" s="1194" t="s">
        <v>363</v>
      </c>
      <c r="G165" s="2175">
        <v>1288</v>
      </c>
      <c r="H165" s="1264">
        <f t="shared" si="9"/>
        <v>1288</v>
      </c>
      <c r="I165" s="1265"/>
      <c r="J165" s="1264">
        <f t="shared" si="10"/>
        <v>0</v>
      </c>
      <c r="K165" s="1299">
        <f t="shared" si="11"/>
        <v>1288</v>
      </c>
      <c r="L165" s="1366"/>
      <c r="M165" s="1214"/>
      <c r="N165" s="1214"/>
      <c r="O165" s="1214"/>
      <c r="P165" s="1214"/>
      <c r="Q165" s="1214"/>
    </row>
    <row r="166" spans="1:17" s="1199" customFormat="1" ht="24" customHeight="1">
      <c r="A166" s="1331"/>
      <c r="B166" s="1190" t="s">
        <v>1438</v>
      </c>
      <c r="C166" s="1275"/>
      <c r="D166" s="1275"/>
      <c r="E166" s="1276"/>
      <c r="F166" s="1194" t="s">
        <v>363</v>
      </c>
      <c r="G166" s="2175">
        <v>1288</v>
      </c>
      <c r="H166" s="1264">
        <f t="shared" si="9"/>
        <v>0</v>
      </c>
      <c r="I166" s="1265"/>
      <c r="J166" s="1264">
        <f t="shared" si="10"/>
        <v>0</v>
      </c>
      <c r="K166" s="1299">
        <f t="shared" si="11"/>
        <v>0</v>
      </c>
      <c r="L166" s="1366"/>
      <c r="M166" s="1214"/>
      <c r="N166" s="1214"/>
      <c r="O166" s="1214"/>
      <c r="P166" s="1214"/>
      <c r="Q166" s="1214"/>
    </row>
    <row r="167" spans="1:17" s="1199" customFormat="1" ht="24" customHeight="1">
      <c r="A167" s="1331"/>
      <c r="B167" s="1259" t="s">
        <v>1582</v>
      </c>
      <c r="C167" s="1260"/>
      <c r="D167" s="1260"/>
      <c r="E167" s="1261">
        <v>1</v>
      </c>
      <c r="F167" s="1267" t="s">
        <v>363</v>
      </c>
      <c r="G167" s="2178">
        <v>4800</v>
      </c>
      <c r="H167" s="1264">
        <f t="shared" si="9"/>
        <v>4800</v>
      </c>
      <c r="I167" s="1265">
        <v>1500</v>
      </c>
      <c r="J167" s="1264">
        <f t="shared" si="10"/>
        <v>1500</v>
      </c>
      <c r="K167" s="1265">
        <f t="shared" si="11"/>
        <v>6300</v>
      </c>
      <c r="L167" s="1434"/>
      <c r="M167" s="1214"/>
      <c r="N167" s="1214"/>
      <c r="O167" s="1214"/>
      <c r="P167" s="1214"/>
    </row>
    <row r="168" spans="1:17" s="1199" customFormat="1" ht="24" customHeight="1">
      <c r="A168" s="1331"/>
      <c r="B168" s="1259" t="s">
        <v>1440</v>
      </c>
      <c r="C168" s="1260"/>
      <c r="D168" s="1260"/>
      <c r="E168" s="1261">
        <v>1</v>
      </c>
      <c r="F168" s="1267" t="s">
        <v>363</v>
      </c>
      <c r="G168" s="2178">
        <v>2400</v>
      </c>
      <c r="H168" s="1264">
        <f t="shared" si="9"/>
        <v>2400</v>
      </c>
      <c r="I168" s="1265"/>
      <c r="J168" s="1264">
        <f t="shared" si="10"/>
        <v>0</v>
      </c>
      <c r="K168" s="1265">
        <f t="shared" si="11"/>
        <v>2400</v>
      </c>
      <c r="L168" s="1434"/>
      <c r="M168" s="1214"/>
      <c r="N168" s="1214"/>
      <c r="O168" s="1214"/>
      <c r="P168" s="1214"/>
    </row>
    <row r="169" spans="1:17" s="1199" customFormat="1" ht="24" customHeight="1">
      <c r="A169" s="1331"/>
      <c r="B169" s="1259" t="s">
        <v>1431</v>
      </c>
      <c r="C169" s="1260"/>
      <c r="D169" s="1260"/>
      <c r="E169" s="1261">
        <v>14</v>
      </c>
      <c r="F169" s="1267" t="s">
        <v>363</v>
      </c>
      <c r="G169" s="2178">
        <v>138</v>
      </c>
      <c r="H169" s="1264">
        <f t="shared" si="9"/>
        <v>1932</v>
      </c>
      <c r="I169" s="1265"/>
      <c r="J169" s="1264">
        <f t="shared" si="10"/>
        <v>0</v>
      </c>
      <c r="K169" s="1265">
        <f t="shared" si="11"/>
        <v>1932</v>
      </c>
      <c r="L169" s="1434"/>
      <c r="M169" s="1214"/>
      <c r="N169" s="1214"/>
      <c r="O169" s="1214"/>
      <c r="P169" s="1214"/>
    </row>
    <row r="170" spans="1:17" s="1199" customFormat="1" ht="24" customHeight="1">
      <c r="A170" s="1331"/>
      <c r="B170" s="1259" t="s">
        <v>1432</v>
      </c>
      <c r="C170" s="1260"/>
      <c r="D170" s="1260"/>
      <c r="E170" s="1261"/>
      <c r="F170" s="1267" t="s">
        <v>363</v>
      </c>
      <c r="G170" s="2178">
        <v>138</v>
      </c>
      <c r="H170" s="1264">
        <f t="shared" si="9"/>
        <v>0</v>
      </c>
      <c r="I170" s="1265"/>
      <c r="J170" s="1264">
        <f t="shared" si="10"/>
        <v>0</v>
      </c>
      <c r="K170" s="1265">
        <f t="shared" si="11"/>
        <v>0</v>
      </c>
      <c r="L170" s="1434"/>
      <c r="M170" s="1214"/>
      <c r="N170" s="1214"/>
      <c r="O170" s="1214"/>
      <c r="P170" s="1214"/>
    </row>
    <row r="171" spans="1:17" s="1199" customFormat="1" ht="24" customHeight="1">
      <c r="A171" s="1331"/>
      <c r="B171" s="1259" t="s">
        <v>1433</v>
      </c>
      <c r="C171" s="1260"/>
      <c r="D171" s="1260"/>
      <c r="E171" s="1261"/>
      <c r="F171" s="1267" t="s">
        <v>363</v>
      </c>
      <c r="G171" s="2178">
        <v>138</v>
      </c>
      <c r="H171" s="1264">
        <f t="shared" si="9"/>
        <v>0</v>
      </c>
      <c r="I171" s="1265"/>
      <c r="J171" s="1264">
        <f t="shared" si="10"/>
        <v>0</v>
      </c>
      <c r="K171" s="1265">
        <f t="shared" si="11"/>
        <v>0</v>
      </c>
      <c r="L171" s="1434"/>
      <c r="M171" s="1214"/>
      <c r="N171" s="1214"/>
      <c r="O171" s="1214"/>
      <c r="P171" s="1214"/>
    </row>
    <row r="172" spans="1:17" s="1199" customFormat="1" ht="24" customHeight="1">
      <c r="A172" s="1331"/>
      <c r="B172" s="1259" t="s">
        <v>1434</v>
      </c>
      <c r="C172" s="1260"/>
      <c r="D172" s="1260"/>
      <c r="E172" s="1261"/>
      <c r="F172" s="1267" t="s">
        <v>363</v>
      </c>
      <c r="G172" s="2178">
        <v>880</v>
      </c>
      <c r="H172" s="1264">
        <f t="shared" si="9"/>
        <v>0</v>
      </c>
      <c r="I172" s="1265"/>
      <c r="J172" s="1264">
        <f t="shared" si="10"/>
        <v>0</v>
      </c>
      <c r="K172" s="1265">
        <f t="shared" si="11"/>
        <v>0</v>
      </c>
      <c r="L172" s="1434"/>
      <c r="M172" s="1214"/>
      <c r="N172" s="1214"/>
      <c r="O172" s="1214"/>
      <c r="P172" s="1214"/>
    </row>
    <row r="173" spans="1:17" s="1199" customFormat="1" ht="24" customHeight="1">
      <c r="A173" s="1331"/>
      <c r="B173" s="1259" t="s">
        <v>1435</v>
      </c>
      <c r="C173" s="1260"/>
      <c r="D173" s="1260"/>
      <c r="E173" s="1261"/>
      <c r="F173" s="1267" t="s">
        <v>363</v>
      </c>
      <c r="G173" s="2178">
        <v>880</v>
      </c>
      <c r="H173" s="1264">
        <f t="shared" si="9"/>
        <v>0</v>
      </c>
      <c r="I173" s="1265"/>
      <c r="J173" s="1264">
        <f t="shared" si="10"/>
        <v>0</v>
      </c>
      <c r="K173" s="1265">
        <f t="shared" si="11"/>
        <v>0</v>
      </c>
      <c r="L173" s="1434"/>
      <c r="M173" s="1214"/>
      <c r="N173" s="1214"/>
      <c r="O173" s="1214"/>
      <c r="P173" s="1214"/>
    </row>
    <row r="174" spans="1:17" s="1199" customFormat="1" ht="24" customHeight="1">
      <c r="A174" s="1331"/>
      <c r="B174" s="1259" t="s">
        <v>1436</v>
      </c>
      <c r="C174" s="1260"/>
      <c r="D174" s="1260"/>
      <c r="E174" s="1261"/>
      <c r="F174" s="1267" t="s">
        <v>363</v>
      </c>
      <c r="G174" s="2178">
        <v>2400</v>
      </c>
      <c r="H174" s="1264">
        <f t="shared" si="9"/>
        <v>0</v>
      </c>
      <c r="I174" s="1265"/>
      <c r="J174" s="1264">
        <f t="shared" si="10"/>
        <v>0</v>
      </c>
      <c r="K174" s="1265">
        <f t="shared" si="11"/>
        <v>0</v>
      </c>
      <c r="L174" s="1434"/>
      <c r="M174" s="1214"/>
      <c r="N174" s="1214"/>
      <c r="O174" s="1214"/>
      <c r="P174" s="1214"/>
    </row>
    <row r="175" spans="1:17" s="1199" customFormat="1" ht="24" customHeight="1">
      <c r="A175" s="1331"/>
      <c r="B175" s="1190" t="s">
        <v>1437</v>
      </c>
      <c r="C175" s="1275"/>
      <c r="D175" s="1275"/>
      <c r="E175" s="1276">
        <v>1</v>
      </c>
      <c r="F175" s="1194" t="s">
        <v>363</v>
      </c>
      <c r="G175" s="2175">
        <v>1288</v>
      </c>
      <c r="H175" s="1264">
        <f t="shared" si="9"/>
        <v>1288</v>
      </c>
      <c r="I175" s="1265"/>
      <c r="J175" s="1264">
        <f t="shared" si="10"/>
        <v>0</v>
      </c>
      <c r="K175" s="1299">
        <f t="shared" si="11"/>
        <v>1288</v>
      </c>
      <c r="L175" s="1366"/>
      <c r="M175" s="1214"/>
      <c r="N175" s="1214"/>
      <c r="O175" s="1214"/>
      <c r="P175" s="1214"/>
      <c r="Q175" s="1214"/>
    </row>
    <row r="176" spans="1:17" s="1199" customFormat="1" ht="24" customHeight="1">
      <c r="A176" s="1331"/>
      <c r="B176" s="1190" t="s">
        <v>1438</v>
      </c>
      <c r="C176" s="1275"/>
      <c r="D176" s="1275"/>
      <c r="E176" s="1276"/>
      <c r="F176" s="1194" t="s">
        <v>363</v>
      </c>
      <c r="G176" s="2175">
        <v>1288</v>
      </c>
      <c r="H176" s="1264">
        <f t="shared" si="9"/>
        <v>0</v>
      </c>
      <c r="I176" s="1265"/>
      <c r="J176" s="1264">
        <f t="shared" si="10"/>
        <v>0</v>
      </c>
      <c r="K176" s="1299">
        <f t="shared" si="11"/>
        <v>0</v>
      </c>
      <c r="L176" s="1366"/>
      <c r="M176" s="1214"/>
      <c r="N176" s="1214"/>
      <c r="O176" s="1214"/>
      <c r="P176" s="1214"/>
      <c r="Q176" s="1214"/>
    </row>
    <row r="177" spans="1:16" s="1199" customFormat="1" ht="24" customHeight="1">
      <c r="A177" s="1331"/>
      <c r="B177" s="1259" t="s">
        <v>1117</v>
      </c>
      <c r="C177" s="1260"/>
      <c r="D177" s="1260"/>
      <c r="E177" s="1261"/>
      <c r="F177" s="1262"/>
      <c r="G177" s="2178"/>
      <c r="H177" s="1264"/>
      <c r="I177" s="1265"/>
      <c r="J177" s="1264"/>
      <c r="K177" s="1265"/>
      <c r="L177" s="1434"/>
      <c r="M177" s="1214"/>
      <c r="N177" s="1214"/>
      <c r="O177" s="1214"/>
      <c r="P177" s="1214"/>
    </row>
    <row r="178" spans="1:16" s="1199" customFormat="1" ht="24" customHeight="1">
      <c r="A178" s="1243"/>
      <c r="B178" s="2257" t="str">
        <f>"รวมราคารายการที่ "&amp;A155</f>
        <v>รวมราคารายการที่ 3.3</v>
      </c>
      <c r="C178" s="2258"/>
      <c r="D178" s="2259"/>
      <c r="E178" s="1244"/>
      <c r="F178" s="1245"/>
      <c r="G178" s="1246"/>
      <c r="H178" s="1247">
        <f>SUM(H156:H177)</f>
        <v>20564</v>
      </c>
      <c r="I178" s="1246"/>
      <c r="J178" s="1247">
        <f>SUM(J156:J177)</f>
        <v>3000</v>
      </c>
      <c r="K178" s="1247">
        <f>SUM(K156:K177)</f>
        <v>23564</v>
      </c>
      <c r="L178" s="1245"/>
      <c r="M178" s="1214"/>
      <c r="N178" s="1214"/>
      <c r="O178" s="1214"/>
      <c r="P178" s="1214"/>
    </row>
    <row r="179" spans="1:16" s="1199" customFormat="1" ht="24" customHeight="1">
      <c r="A179" s="1381" t="s">
        <v>1450</v>
      </c>
      <c r="B179" s="1292" t="s">
        <v>1312</v>
      </c>
      <c r="C179" s="1293"/>
      <c r="D179" s="1294"/>
      <c r="E179" s="1355"/>
      <c r="F179" s="1296"/>
      <c r="G179" s="1297"/>
      <c r="H179" s="1298"/>
      <c r="I179" s="1299"/>
      <c r="J179" s="1298"/>
      <c r="K179" s="1382"/>
      <c r="L179" s="1382"/>
      <c r="M179" s="1214"/>
      <c r="N179" s="1214"/>
      <c r="O179" s="1214"/>
      <c r="P179" s="1214"/>
    </row>
    <row r="180" spans="1:16" s="1199" customFormat="1" ht="24" customHeight="1">
      <c r="A180" s="1406" t="s">
        <v>1135</v>
      </c>
      <c r="B180" s="2174" t="s">
        <v>1331</v>
      </c>
      <c r="C180" s="1202"/>
      <c r="D180" s="1202"/>
      <c r="E180" s="1438"/>
      <c r="F180" s="1384"/>
      <c r="G180" s="2176"/>
      <c r="H180" s="1264">
        <f t="shared" ref="H180:H185" si="12">ROUND(E180*G180,)</f>
        <v>0</v>
      </c>
      <c r="I180" s="2177"/>
      <c r="J180" s="1264">
        <f t="shared" ref="J180:J185" si="13">ROUND(E180*I180,)</f>
        <v>0</v>
      </c>
      <c r="K180" s="1385"/>
      <c r="L180" s="1385"/>
      <c r="M180" s="1214"/>
      <c r="N180" s="1214"/>
      <c r="O180" s="1214"/>
      <c r="P180" s="1214"/>
    </row>
    <row r="181" spans="1:16" s="1199" customFormat="1" ht="24" customHeight="1">
      <c r="A181" s="1331"/>
      <c r="B181" s="2174" t="s">
        <v>1443</v>
      </c>
      <c r="C181" s="1202"/>
      <c r="D181" s="1202"/>
      <c r="E181" s="1270"/>
      <c r="F181" s="1358" t="s">
        <v>226</v>
      </c>
      <c r="G181" s="2176">
        <v>41</v>
      </c>
      <c r="H181" s="1264">
        <f t="shared" si="12"/>
        <v>0</v>
      </c>
      <c r="I181" s="2177">
        <v>12</v>
      </c>
      <c r="J181" s="1264">
        <f t="shared" si="13"/>
        <v>0</v>
      </c>
      <c r="K181" s="1273">
        <f>H181+J181</f>
        <v>0</v>
      </c>
      <c r="L181" s="1385"/>
      <c r="M181" s="1214"/>
      <c r="N181" s="1214"/>
      <c r="O181" s="1214"/>
      <c r="P181" s="1214"/>
    </row>
    <row r="182" spans="1:16" s="1199" customFormat="1" ht="24" customHeight="1">
      <c r="A182" s="1406" t="s">
        <v>1158</v>
      </c>
      <c r="B182" s="2174" t="s">
        <v>1330</v>
      </c>
      <c r="C182" s="1202"/>
      <c r="D182" s="1202"/>
      <c r="E182" s="1438"/>
      <c r="F182" s="1384"/>
      <c r="G182" s="2176"/>
      <c r="H182" s="1264">
        <f t="shared" si="12"/>
        <v>0</v>
      </c>
      <c r="I182" s="2177"/>
      <c r="J182" s="1264">
        <f t="shared" si="13"/>
        <v>0</v>
      </c>
      <c r="K182" s="1385"/>
      <c r="L182" s="1385"/>
      <c r="M182" s="1214"/>
      <c r="N182" s="1214"/>
      <c r="O182" s="1214"/>
      <c r="P182" s="1214"/>
    </row>
    <row r="183" spans="1:16" s="1199" customFormat="1" ht="24" customHeight="1">
      <c r="A183" s="1331"/>
      <c r="B183" s="2174" t="s">
        <v>1443</v>
      </c>
      <c r="C183" s="1202"/>
      <c r="D183" s="1202"/>
      <c r="E183" s="1270">
        <v>28500</v>
      </c>
      <c r="F183" s="1358" t="s">
        <v>226</v>
      </c>
      <c r="G183" s="2176">
        <v>24</v>
      </c>
      <c r="H183" s="1264">
        <f t="shared" si="12"/>
        <v>684000</v>
      </c>
      <c r="I183" s="2177">
        <v>12</v>
      </c>
      <c r="J183" s="1264">
        <f t="shared" si="13"/>
        <v>342000</v>
      </c>
      <c r="K183" s="1273">
        <f>H183+J183</f>
        <v>1026000</v>
      </c>
      <c r="L183" s="1385"/>
      <c r="M183" s="1214"/>
      <c r="N183" s="1214"/>
      <c r="O183" s="1649"/>
      <c r="P183" s="1214"/>
    </row>
    <row r="184" spans="1:16" s="1199" customFormat="1" ht="24" customHeight="1">
      <c r="A184" s="1331"/>
      <c r="B184" s="2174" t="s">
        <v>1316</v>
      </c>
      <c r="C184" s="1202"/>
      <c r="D184" s="1202"/>
      <c r="E184" s="1270">
        <v>3000</v>
      </c>
      <c r="F184" s="1358" t="s">
        <v>226</v>
      </c>
      <c r="G184" s="2176">
        <v>31</v>
      </c>
      <c r="H184" s="1264">
        <f t="shared" si="12"/>
        <v>93000</v>
      </c>
      <c r="I184" s="2177">
        <v>14</v>
      </c>
      <c r="J184" s="1264">
        <f t="shared" si="13"/>
        <v>42000</v>
      </c>
      <c r="K184" s="1273">
        <f>H184+J184</f>
        <v>135000</v>
      </c>
      <c r="L184" s="1385"/>
      <c r="M184" s="1214"/>
      <c r="N184" s="1214"/>
      <c r="O184" s="1649"/>
      <c r="P184" s="1214"/>
    </row>
    <row r="185" spans="1:16" s="1199" customFormat="1" ht="24" customHeight="1">
      <c r="A185" s="1406"/>
      <c r="B185" s="2174" t="s">
        <v>1444</v>
      </c>
      <c r="C185" s="1202"/>
      <c r="D185" s="1202"/>
      <c r="E185" s="1439">
        <v>1</v>
      </c>
      <c r="F185" s="1358" t="s">
        <v>1104</v>
      </c>
      <c r="G185" s="2176">
        <f>ROUND(SUM(H181:H184)*0.05,)</f>
        <v>38850</v>
      </c>
      <c r="H185" s="1264">
        <f t="shared" si="12"/>
        <v>38850</v>
      </c>
      <c r="I185" s="2177">
        <f>ROUND(G185*0.3,)</f>
        <v>11655</v>
      </c>
      <c r="J185" s="1264">
        <f t="shared" si="13"/>
        <v>11655</v>
      </c>
      <c r="K185" s="1273">
        <f>H185+J185</f>
        <v>50505</v>
      </c>
      <c r="L185" s="1385"/>
      <c r="M185" s="1214"/>
      <c r="N185" s="1214"/>
      <c r="O185" s="1649"/>
      <c r="P185" s="1214"/>
    </row>
    <row r="186" spans="1:16" s="1199" customFormat="1" ht="24" customHeight="1">
      <c r="A186" s="1331"/>
      <c r="B186" s="2174" t="s">
        <v>1117</v>
      </c>
      <c r="C186" s="1202"/>
      <c r="D186" s="1202"/>
      <c r="E186" s="1404"/>
      <c r="F186" s="1384"/>
      <c r="G186" s="2176"/>
      <c r="H186" s="1388"/>
      <c r="I186" s="2177"/>
      <c r="J186" s="1385"/>
      <c r="K186" s="1385"/>
      <c r="L186" s="1385"/>
      <c r="M186" s="1214"/>
      <c r="N186" s="1214"/>
      <c r="O186" s="1214"/>
      <c r="P186" s="1214"/>
    </row>
    <row r="187" spans="1:16" s="1199" customFormat="1" ht="24" customHeight="1">
      <c r="A187" s="1331"/>
      <c r="B187" s="2174" t="s">
        <v>1118</v>
      </c>
      <c r="C187" s="1202"/>
      <c r="D187" s="1202"/>
      <c r="E187" s="1387"/>
      <c r="F187" s="1384"/>
      <c r="G187" s="2176"/>
      <c r="H187" s="1388"/>
      <c r="I187" s="2177"/>
      <c r="J187" s="1385"/>
      <c r="K187" s="1385"/>
      <c r="L187" s="1385"/>
      <c r="M187" s="1214"/>
      <c r="N187" s="1214"/>
      <c r="O187" s="1214"/>
      <c r="P187" s="1214"/>
    </row>
    <row r="188" spans="1:16" s="1199" customFormat="1" ht="24" customHeight="1">
      <c r="A188" s="1331"/>
      <c r="B188" s="2174" t="s">
        <v>1118</v>
      </c>
      <c r="C188" s="1202"/>
      <c r="D188" s="1202"/>
      <c r="E188" s="1387"/>
      <c r="F188" s="1384"/>
      <c r="G188" s="2176"/>
      <c r="H188" s="1388"/>
      <c r="I188" s="2177"/>
      <c r="J188" s="1385"/>
      <c r="K188" s="1385"/>
      <c r="L188" s="1385"/>
      <c r="M188" s="1214"/>
      <c r="N188" s="1214"/>
      <c r="O188" s="1214"/>
      <c r="P188" s="1214"/>
    </row>
    <row r="189" spans="1:16" s="1199" customFormat="1" ht="24" customHeight="1">
      <c r="A189" s="1243"/>
      <c r="B189" s="2257" t="str">
        <f>"รวมราคารายการที่ "&amp;A179</f>
        <v>รวมราคารายการที่ 3.4</v>
      </c>
      <c r="C189" s="2258"/>
      <c r="D189" s="2259"/>
      <c r="E189" s="1244"/>
      <c r="F189" s="1245"/>
      <c r="G189" s="1246"/>
      <c r="H189" s="1247">
        <f>SUM(H179:H188)</f>
        <v>815850</v>
      </c>
      <c r="I189" s="1246"/>
      <c r="J189" s="1247">
        <f>SUM(J179:J188)</f>
        <v>395655</v>
      </c>
      <c r="K189" s="1247">
        <f>SUM(K179:K188)</f>
        <v>1211505</v>
      </c>
      <c r="L189" s="1245"/>
      <c r="M189" s="1214"/>
      <c r="N189" s="1214"/>
      <c r="O189" s="1214"/>
      <c r="P189" s="1214"/>
    </row>
    <row r="190" spans="1:16" s="1199" customFormat="1" ht="24" customHeight="1">
      <c r="A190" s="1435" t="s">
        <v>1461</v>
      </c>
      <c r="B190" s="1436" t="s">
        <v>1333</v>
      </c>
      <c r="C190" s="1202"/>
      <c r="D190" s="1202"/>
      <c r="E190" s="1387"/>
      <c r="F190" s="1384"/>
      <c r="G190" s="2176"/>
      <c r="H190" s="1388"/>
      <c r="I190" s="2177"/>
      <c r="J190" s="1385"/>
      <c r="K190" s="1385"/>
      <c r="L190" s="1385"/>
      <c r="M190" s="1214"/>
      <c r="N190" s="1214"/>
      <c r="O190" s="1214"/>
      <c r="P190" s="1214"/>
    </row>
    <row r="191" spans="1:16" s="1199" customFormat="1" ht="24" customHeight="1">
      <c r="A191" s="1331" t="s">
        <v>1181</v>
      </c>
      <c r="B191" s="2174" t="s">
        <v>1446</v>
      </c>
      <c r="C191" s="1202"/>
      <c r="D191" s="1202"/>
      <c r="E191" s="1404"/>
      <c r="F191" s="1384"/>
      <c r="G191" s="2176"/>
      <c r="H191" s="1264">
        <f t="shared" ref="H191:H200" si="14">ROUND(E191*G191,)</f>
        <v>0</v>
      </c>
      <c r="I191" s="2177"/>
      <c r="J191" s="1264">
        <f t="shared" ref="J191:J200" si="15">ROUND(E191*I191,)</f>
        <v>0</v>
      </c>
      <c r="K191" s="1385"/>
      <c r="L191" s="1385"/>
      <c r="M191" s="1214"/>
      <c r="N191" s="1214"/>
      <c r="O191" s="1214"/>
      <c r="P191" s="1214"/>
    </row>
    <row r="192" spans="1:16" s="1199" customFormat="1" ht="24" customHeight="1">
      <c r="A192" s="1331"/>
      <c r="B192" s="2174" t="s">
        <v>1350</v>
      </c>
      <c r="C192" s="1202"/>
      <c r="D192" s="1202"/>
      <c r="E192" s="1404"/>
      <c r="F192" s="1358" t="s">
        <v>226</v>
      </c>
      <c r="G192" s="2176">
        <v>27</v>
      </c>
      <c r="H192" s="1264">
        <f t="shared" si="14"/>
        <v>0</v>
      </c>
      <c r="I192" s="2177">
        <v>22</v>
      </c>
      <c r="J192" s="1264">
        <f t="shared" si="15"/>
        <v>0</v>
      </c>
      <c r="K192" s="1273">
        <f>H192+J192</f>
        <v>0</v>
      </c>
      <c r="L192" s="2001" t="s">
        <v>2667</v>
      </c>
      <c r="M192" s="1214"/>
      <c r="P192" s="1214"/>
    </row>
    <row r="193" spans="1:16" s="1199" customFormat="1" ht="24" customHeight="1">
      <c r="A193" s="1331"/>
      <c r="B193" s="2174" t="s">
        <v>1108</v>
      </c>
      <c r="C193" s="1202"/>
      <c r="D193" s="1202"/>
      <c r="E193" s="1404">
        <v>1</v>
      </c>
      <c r="F193" s="1384" t="s">
        <v>1104</v>
      </c>
      <c r="G193" s="2176">
        <f>SUM(H192:H192)*15%</f>
        <v>0</v>
      </c>
      <c r="H193" s="1264">
        <f t="shared" si="14"/>
        <v>0</v>
      </c>
      <c r="I193" s="2177">
        <f>G193*0.3</f>
        <v>0</v>
      </c>
      <c r="J193" s="1264">
        <f t="shared" si="15"/>
        <v>0</v>
      </c>
      <c r="K193" s="1273">
        <f>H193+J193</f>
        <v>0</v>
      </c>
      <c r="L193" s="1385"/>
      <c r="M193" s="1214"/>
      <c r="N193" s="1214"/>
      <c r="O193" s="1214"/>
      <c r="P193" s="1214"/>
    </row>
    <row r="194" spans="1:16" s="1199" customFormat="1" ht="24" customHeight="1">
      <c r="A194" s="1331" t="s">
        <v>1197</v>
      </c>
      <c r="B194" s="2174" t="s">
        <v>1110</v>
      </c>
      <c r="C194" s="1202"/>
      <c r="D194" s="1202"/>
      <c r="E194" s="1404"/>
      <c r="F194" s="1384"/>
      <c r="G194" s="2176"/>
      <c r="H194" s="1264">
        <f t="shared" si="14"/>
        <v>0</v>
      </c>
      <c r="I194" s="2177"/>
      <c r="J194" s="1264">
        <f t="shared" si="15"/>
        <v>0</v>
      </c>
      <c r="K194" s="1385"/>
      <c r="L194" s="1385"/>
      <c r="M194" s="1214"/>
      <c r="N194" s="1214"/>
      <c r="O194" s="1214"/>
      <c r="P194" s="1214"/>
    </row>
    <row r="195" spans="1:16" s="1199" customFormat="1" ht="24" customHeight="1">
      <c r="A195" s="1331"/>
      <c r="B195" s="2174" t="s">
        <v>1350</v>
      </c>
      <c r="C195" s="1202"/>
      <c r="D195" s="1202"/>
      <c r="E195" s="1404"/>
      <c r="F195" s="1358" t="s">
        <v>226</v>
      </c>
      <c r="G195" s="2176">
        <v>56</v>
      </c>
      <c r="H195" s="1264">
        <f t="shared" si="14"/>
        <v>0</v>
      </c>
      <c r="I195" s="2177">
        <v>26</v>
      </c>
      <c r="J195" s="1264">
        <f t="shared" si="15"/>
        <v>0</v>
      </c>
      <c r="K195" s="1273">
        <f>H195+J195</f>
        <v>0</v>
      </c>
      <c r="L195" s="2001" t="s">
        <v>2667</v>
      </c>
      <c r="M195" s="1214"/>
      <c r="P195" s="1214"/>
    </row>
    <row r="196" spans="1:16" s="1199" customFormat="1" ht="24" customHeight="1">
      <c r="A196" s="1331"/>
      <c r="B196" s="2174" t="s">
        <v>1448</v>
      </c>
      <c r="C196" s="1202"/>
      <c r="D196" s="1202"/>
      <c r="E196" s="1404">
        <v>10500</v>
      </c>
      <c r="F196" s="1358" t="s">
        <v>226</v>
      </c>
      <c r="G196" s="2176">
        <v>75</v>
      </c>
      <c r="H196" s="1264">
        <f t="shared" si="14"/>
        <v>787500</v>
      </c>
      <c r="I196" s="2177">
        <v>29</v>
      </c>
      <c r="J196" s="1264">
        <f t="shared" si="15"/>
        <v>304500</v>
      </c>
      <c r="K196" s="1273">
        <f>H196+J196</f>
        <v>1092000</v>
      </c>
      <c r="L196" s="2001" t="s">
        <v>2667</v>
      </c>
      <c r="N196" s="1363"/>
      <c r="O196" s="1649"/>
      <c r="P196" s="1214"/>
    </row>
    <row r="197" spans="1:16" s="1199" customFormat="1" ht="24" customHeight="1">
      <c r="A197" s="1331"/>
      <c r="B197" s="2174" t="s">
        <v>1337</v>
      </c>
      <c r="C197" s="1202"/>
      <c r="D197" s="1202"/>
      <c r="E197" s="1404"/>
      <c r="F197" s="1358" t="s">
        <v>226</v>
      </c>
      <c r="G197" s="2176">
        <v>101</v>
      </c>
      <c r="H197" s="1264">
        <f t="shared" si="14"/>
        <v>0</v>
      </c>
      <c r="I197" s="2177">
        <v>32</v>
      </c>
      <c r="J197" s="1264">
        <f t="shared" si="15"/>
        <v>0</v>
      </c>
      <c r="K197" s="1273">
        <f>H197+J197</f>
        <v>0</v>
      </c>
      <c r="L197" s="2001" t="s">
        <v>2667</v>
      </c>
      <c r="M197" s="1214"/>
      <c r="N197" s="1214"/>
      <c r="O197" s="1363"/>
      <c r="P197" s="1214"/>
    </row>
    <row r="198" spans="1:16" s="1199" customFormat="1" ht="24" customHeight="1">
      <c r="A198" s="1331"/>
      <c r="B198" s="2174" t="s">
        <v>1108</v>
      </c>
      <c r="C198" s="1202"/>
      <c r="D198" s="1202"/>
      <c r="E198" s="1404">
        <v>1</v>
      </c>
      <c r="F198" s="1384" t="s">
        <v>1104</v>
      </c>
      <c r="G198" s="2176">
        <f>SUM(H195:H197)*15%</f>
        <v>118125</v>
      </c>
      <c r="H198" s="1264">
        <f t="shared" si="14"/>
        <v>118125</v>
      </c>
      <c r="I198" s="2177">
        <f>ROUND(G198*0.3,)</f>
        <v>35438</v>
      </c>
      <c r="J198" s="1264">
        <f t="shared" si="15"/>
        <v>35438</v>
      </c>
      <c r="K198" s="1273">
        <f>H198+J198</f>
        <v>153563</v>
      </c>
      <c r="L198" s="2001"/>
      <c r="M198" s="1214"/>
      <c r="N198" s="1214"/>
      <c r="P198" s="1214"/>
    </row>
    <row r="199" spans="1:16" s="1199" customFormat="1" ht="24" customHeight="1">
      <c r="A199" s="1331" t="s">
        <v>1193</v>
      </c>
      <c r="B199" s="2174" t="s">
        <v>1449</v>
      </c>
      <c r="C199" s="1202"/>
      <c r="D199" s="1202"/>
      <c r="E199" s="1387"/>
      <c r="F199" s="1384"/>
      <c r="G199" s="2176"/>
      <c r="H199" s="1264">
        <f t="shared" si="14"/>
        <v>0</v>
      </c>
      <c r="I199" s="2177"/>
      <c r="J199" s="1264">
        <f t="shared" si="15"/>
        <v>0</v>
      </c>
      <c r="K199" s="1385"/>
      <c r="L199" s="1385"/>
      <c r="M199" s="1214"/>
      <c r="N199" s="1214"/>
      <c r="O199" s="1214"/>
      <c r="P199" s="1214"/>
    </row>
    <row r="200" spans="1:16" s="1199" customFormat="1" ht="24" customHeight="1">
      <c r="A200" s="1331"/>
      <c r="B200" s="2174" t="s">
        <v>1350</v>
      </c>
      <c r="C200" s="1202"/>
      <c r="D200" s="1202"/>
      <c r="E200" s="1387">
        <v>600</v>
      </c>
      <c r="F200" s="1358" t="s">
        <v>226</v>
      </c>
      <c r="G200" s="2176">
        <v>14</v>
      </c>
      <c r="H200" s="1264">
        <f t="shared" si="14"/>
        <v>8400</v>
      </c>
      <c r="I200" s="2177">
        <v>11</v>
      </c>
      <c r="J200" s="1264">
        <f t="shared" si="15"/>
        <v>6600</v>
      </c>
      <c r="K200" s="1273">
        <f>H200+J200</f>
        <v>15000</v>
      </c>
      <c r="L200" s="1385"/>
      <c r="M200" s="1214"/>
      <c r="N200" s="1214"/>
      <c r="O200" s="1214"/>
      <c r="P200" s="1214"/>
    </row>
    <row r="201" spans="1:16" s="1199" customFormat="1" ht="24" customHeight="1">
      <c r="A201" s="1331"/>
      <c r="B201" s="2174" t="s">
        <v>1117</v>
      </c>
      <c r="C201" s="1202"/>
      <c r="D201" s="1202"/>
      <c r="E201" s="1387"/>
      <c r="F201" s="1358"/>
      <c r="G201" s="2176"/>
      <c r="H201" s="1264"/>
      <c r="I201" s="2177"/>
      <c r="J201" s="1273"/>
      <c r="K201" s="1273"/>
      <c r="L201" s="1385"/>
      <c r="M201" s="1214"/>
      <c r="N201" s="1214"/>
      <c r="O201" s="1214"/>
      <c r="P201" s="1214"/>
    </row>
    <row r="202" spans="1:16" s="1199" customFormat="1" ht="24" customHeight="1">
      <c r="A202" s="1243"/>
      <c r="B202" s="2257" t="str">
        <f>"รวมราคารายการที่ "&amp;A190</f>
        <v>รวมราคารายการที่ 3.5</v>
      </c>
      <c r="C202" s="2258"/>
      <c r="D202" s="2259"/>
      <c r="E202" s="1244"/>
      <c r="F202" s="1245"/>
      <c r="G202" s="1246"/>
      <c r="H202" s="1247">
        <f>SUM(H191:H201)</f>
        <v>914025</v>
      </c>
      <c r="I202" s="1246"/>
      <c r="J202" s="1247">
        <f>SUM(J191:J201)</f>
        <v>346538</v>
      </c>
      <c r="K202" s="1247">
        <f>SUM(K191:K201)</f>
        <v>1260563</v>
      </c>
      <c r="L202" s="1245"/>
      <c r="M202" s="1214"/>
      <c r="N202" s="1214"/>
      <c r="O202" s="1214"/>
      <c r="P202" s="1214"/>
    </row>
    <row r="203" spans="1:16" s="1199" customFormat="1" ht="24" customHeight="1">
      <c r="A203" s="1435" t="s">
        <v>1465</v>
      </c>
      <c r="B203" s="1436" t="s">
        <v>1451</v>
      </c>
      <c r="C203" s="1202"/>
      <c r="D203" s="1202"/>
      <c r="E203" s="1387"/>
      <c r="F203" s="1384"/>
      <c r="G203" s="2176"/>
      <c r="H203" s="1388"/>
      <c r="I203" s="2177"/>
      <c r="J203" s="1385"/>
      <c r="K203" s="1385"/>
      <c r="L203" s="1385"/>
      <c r="M203" s="1214"/>
      <c r="N203" s="1214"/>
      <c r="O203" s="1214"/>
      <c r="P203" s="1214"/>
    </row>
    <row r="204" spans="1:16" s="1199" customFormat="1" ht="24" customHeight="1">
      <c r="A204" s="1331" t="s">
        <v>1207</v>
      </c>
      <c r="B204" s="2174" t="s">
        <v>1451</v>
      </c>
      <c r="C204" s="1202"/>
      <c r="D204" s="1202"/>
      <c r="E204" s="1404"/>
      <c r="F204" s="1384"/>
      <c r="G204" s="2176"/>
      <c r="H204" s="1388"/>
      <c r="I204" s="2177"/>
      <c r="J204" s="1385"/>
      <c r="K204" s="1385"/>
      <c r="L204" s="1385"/>
      <c r="M204" s="1214"/>
      <c r="N204" s="1214"/>
      <c r="O204" s="1214"/>
      <c r="P204" s="1214"/>
    </row>
    <row r="205" spans="1:16" s="1199" customFormat="1" ht="24" customHeight="1">
      <c r="A205" s="1331"/>
      <c r="B205" s="2174" t="s">
        <v>1452</v>
      </c>
      <c r="C205" s="1202"/>
      <c r="D205" s="1202"/>
      <c r="E205" s="1404">
        <v>23</v>
      </c>
      <c r="F205" s="1207" t="s">
        <v>363</v>
      </c>
      <c r="G205" s="2176">
        <v>90</v>
      </c>
      <c r="H205" s="1264">
        <f t="shared" ref="H205:H212" si="16">ROUND(E205*G205,)</f>
        <v>2070</v>
      </c>
      <c r="I205" s="2177">
        <v>80</v>
      </c>
      <c r="J205" s="1264">
        <f t="shared" ref="J205:J212" si="17">ROUND(E205*I205,)</f>
        <v>1840</v>
      </c>
      <c r="K205" s="1273">
        <f t="shared" ref="K205:K212" si="18">H205+J205</f>
        <v>3910</v>
      </c>
      <c r="L205" s="1389"/>
      <c r="M205" s="1214"/>
      <c r="N205" s="1214"/>
      <c r="O205" s="1214"/>
    </row>
    <row r="206" spans="1:16" s="1199" customFormat="1" ht="24" customHeight="1">
      <c r="A206" s="1331"/>
      <c r="B206" s="2174" t="s">
        <v>1453</v>
      </c>
      <c r="C206" s="1202"/>
      <c r="D206" s="1202"/>
      <c r="E206" s="1387"/>
      <c r="F206" s="1207" t="s">
        <v>363</v>
      </c>
      <c r="G206" s="2176">
        <v>130</v>
      </c>
      <c r="H206" s="1264">
        <f t="shared" si="16"/>
        <v>0</v>
      </c>
      <c r="I206" s="2177">
        <v>90</v>
      </c>
      <c r="J206" s="1264">
        <f t="shared" si="17"/>
        <v>0</v>
      </c>
      <c r="K206" s="1273">
        <f t="shared" si="18"/>
        <v>0</v>
      </c>
      <c r="L206" s="1389"/>
      <c r="M206" s="1214"/>
      <c r="N206" s="1214"/>
      <c r="O206" s="1214"/>
    </row>
    <row r="207" spans="1:16" s="1199" customFormat="1" ht="24" customHeight="1">
      <c r="A207" s="1331"/>
      <c r="B207" s="2174" t="s">
        <v>1454</v>
      </c>
      <c r="C207" s="1202"/>
      <c r="D207" s="1202"/>
      <c r="E207" s="1387"/>
      <c r="F207" s="1207" t="s">
        <v>363</v>
      </c>
      <c r="G207" s="2176">
        <v>240</v>
      </c>
      <c r="H207" s="1264">
        <f t="shared" si="16"/>
        <v>0</v>
      </c>
      <c r="I207" s="2177">
        <v>90</v>
      </c>
      <c r="J207" s="1264">
        <f t="shared" si="17"/>
        <v>0</v>
      </c>
      <c r="K207" s="1273">
        <f t="shared" si="18"/>
        <v>0</v>
      </c>
      <c r="L207" s="1389"/>
      <c r="M207" s="1214"/>
      <c r="N207" s="1214"/>
      <c r="O207" s="1214"/>
    </row>
    <row r="208" spans="1:16" s="1199" customFormat="1" ht="24" customHeight="1">
      <c r="A208" s="1331"/>
      <c r="B208" s="2174" t="s">
        <v>1455</v>
      </c>
      <c r="C208" s="1202"/>
      <c r="D208" s="1202"/>
      <c r="E208" s="1387"/>
      <c r="F208" s="1207" t="s">
        <v>363</v>
      </c>
      <c r="G208" s="2176">
        <v>162</v>
      </c>
      <c r="H208" s="1264">
        <f t="shared" si="16"/>
        <v>0</v>
      </c>
      <c r="I208" s="2177">
        <v>90</v>
      </c>
      <c r="J208" s="1264">
        <f t="shared" si="17"/>
        <v>0</v>
      </c>
      <c r="K208" s="1273">
        <f t="shared" si="18"/>
        <v>0</v>
      </c>
      <c r="L208" s="1389"/>
      <c r="M208" s="1214"/>
      <c r="N208" s="1214"/>
      <c r="O208" s="1214"/>
    </row>
    <row r="209" spans="1:16" s="1199" customFormat="1" ht="24" customHeight="1">
      <c r="A209" s="1331"/>
      <c r="B209" s="2174" t="s">
        <v>1456</v>
      </c>
      <c r="C209" s="1202"/>
      <c r="D209" s="1202"/>
      <c r="E209" s="1404">
        <v>25</v>
      </c>
      <c r="F209" s="1207" t="s">
        <v>363</v>
      </c>
      <c r="G209" s="2176">
        <v>197</v>
      </c>
      <c r="H209" s="1264">
        <f t="shared" si="16"/>
        <v>4925</v>
      </c>
      <c r="I209" s="2177">
        <v>90</v>
      </c>
      <c r="J209" s="1264">
        <f t="shared" si="17"/>
        <v>2250</v>
      </c>
      <c r="K209" s="1273">
        <f t="shared" si="18"/>
        <v>7175</v>
      </c>
      <c r="L209" s="1389"/>
      <c r="M209" s="1214"/>
      <c r="N209" s="1214"/>
      <c r="O209" s="1214"/>
    </row>
    <row r="210" spans="1:16" s="1199" customFormat="1" ht="24" customHeight="1">
      <c r="A210" s="1331"/>
      <c r="B210" s="2174" t="s">
        <v>1457</v>
      </c>
      <c r="C210" s="1202"/>
      <c r="D210" s="1202"/>
      <c r="E210" s="1387"/>
      <c r="F210" s="1207" t="s">
        <v>363</v>
      </c>
      <c r="G210" s="2176">
        <v>1500</v>
      </c>
      <c r="H210" s="1264">
        <f t="shared" si="16"/>
        <v>0</v>
      </c>
      <c r="I210" s="2177">
        <v>265</v>
      </c>
      <c r="J210" s="1264">
        <f t="shared" si="17"/>
        <v>0</v>
      </c>
      <c r="K210" s="1385">
        <f t="shared" si="18"/>
        <v>0</v>
      </c>
      <c r="L210" s="1389"/>
      <c r="M210" s="1214"/>
      <c r="N210" s="1214"/>
      <c r="O210" s="1214"/>
    </row>
    <row r="211" spans="1:16" s="1199" customFormat="1" ht="24" customHeight="1">
      <c r="A211" s="1331"/>
      <c r="B211" s="2174" t="s">
        <v>1458</v>
      </c>
      <c r="C211" s="1202"/>
      <c r="D211" s="1202"/>
      <c r="E211" s="1387"/>
      <c r="F211" s="1207" t="s">
        <v>363</v>
      </c>
      <c r="G211" s="2176">
        <v>518</v>
      </c>
      <c r="H211" s="1264">
        <f t="shared" si="16"/>
        <v>0</v>
      </c>
      <c r="I211" s="2177">
        <v>115</v>
      </c>
      <c r="J211" s="1264">
        <f t="shared" si="17"/>
        <v>0</v>
      </c>
      <c r="K211" s="1273">
        <f t="shared" si="18"/>
        <v>0</v>
      </c>
      <c r="L211" s="1389"/>
      <c r="M211" s="1214"/>
      <c r="N211" s="1214"/>
      <c r="O211" s="1214"/>
    </row>
    <row r="212" spans="1:16" s="1199" customFormat="1" ht="24" customHeight="1">
      <c r="A212" s="1331"/>
      <c r="B212" s="2174" t="s">
        <v>1459</v>
      </c>
      <c r="C212" s="1202"/>
      <c r="D212" s="1202"/>
      <c r="E212" s="1387"/>
      <c r="F212" s="1207" t="s">
        <v>363</v>
      </c>
      <c r="G212" s="2176">
        <v>850</v>
      </c>
      <c r="H212" s="1264">
        <f t="shared" si="16"/>
        <v>0</v>
      </c>
      <c r="I212" s="2177">
        <v>265</v>
      </c>
      <c r="J212" s="1264">
        <f t="shared" si="17"/>
        <v>0</v>
      </c>
      <c r="K212" s="1273">
        <f t="shared" si="18"/>
        <v>0</v>
      </c>
      <c r="L212" s="1389"/>
      <c r="M212" s="1214"/>
      <c r="N212" s="1214"/>
      <c r="O212" s="1214"/>
    </row>
    <row r="213" spans="1:16" s="1199" customFormat="1" ht="24" customHeight="1">
      <c r="A213" s="1331" t="s">
        <v>1229</v>
      </c>
      <c r="B213" s="2174" t="s">
        <v>1460</v>
      </c>
      <c r="C213" s="1202"/>
      <c r="D213" s="1202"/>
      <c r="E213" s="1404">
        <v>17</v>
      </c>
      <c r="F213" s="1207" t="s">
        <v>363</v>
      </c>
      <c r="G213" s="2176">
        <v>130</v>
      </c>
      <c r="H213" s="1264">
        <f>ROUND(E213*G213,)</f>
        <v>2210</v>
      </c>
      <c r="I213" s="2177">
        <v>90</v>
      </c>
      <c r="J213" s="1264">
        <f>ROUND(E213*I213,)</f>
        <v>1530</v>
      </c>
      <c r="K213" s="1273">
        <f>H213+J213</f>
        <v>3740</v>
      </c>
      <c r="L213" s="1385"/>
      <c r="M213" s="1214"/>
      <c r="N213" s="1214"/>
      <c r="O213" s="1214"/>
      <c r="P213" s="1214"/>
    </row>
    <row r="214" spans="1:16" s="1199" customFormat="1" ht="24" customHeight="1">
      <c r="A214" s="1339" t="s">
        <v>1234</v>
      </c>
      <c r="B214" s="1259" t="s">
        <v>1598</v>
      </c>
      <c r="C214" s="1221"/>
      <c r="D214" s="1221"/>
      <c r="E214" s="1404"/>
      <c r="F214" s="1267"/>
      <c r="G214" s="1386"/>
      <c r="H214" s="1343"/>
      <c r="I214" s="1414"/>
      <c r="J214" s="1262"/>
      <c r="K214" s="1262"/>
      <c r="L214" s="1385"/>
      <c r="M214" s="1214"/>
      <c r="N214" s="1214"/>
      <c r="O214" s="1214"/>
      <c r="P214" s="1214"/>
    </row>
    <row r="215" spans="1:16" s="1199" customFormat="1" ht="24" customHeight="1">
      <c r="A215" s="1339"/>
      <c r="B215" s="1259" t="s">
        <v>2572</v>
      </c>
      <c r="C215" s="1221"/>
      <c r="D215" s="1221"/>
      <c r="E215" s="1404">
        <v>1</v>
      </c>
      <c r="F215" s="1267" t="s">
        <v>363</v>
      </c>
      <c r="G215" s="1386">
        <v>5000</v>
      </c>
      <c r="H215" s="1343">
        <f>ROUND(E215*G215,)</f>
        <v>5000</v>
      </c>
      <c r="I215" s="1414">
        <f>G215*10%</f>
        <v>500</v>
      </c>
      <c r="J215" s="1343">
        <f>ROUND(E215*I215,)</f>
        <v>500</v>
      </c>
      <c r="K215" s="1262">
        <f>H215+J215</f>
        <v>5500</v>
      </c>
      <c r="L215" s="1385"/>
      <c r="M215" s="1214"/>
      <c r="N215" s="1214"/>
      <c r="O215" s="1214"/>
      <c r="P215" s="1214"/>
    </row>
    <row r="216" spans="1:16" s="1199" customFormat="1" ht="24" customHeight="1">
      <c r="A216" s="1331"/>
      <c r="B216" s="2174" t="s">
        <v>1117</v>
      </c>
      <c r="C216" s="1202"/>
      <c r="D216" s="1202"/>
      <c r="E216" s="1387"/>
      <c r="F216" s="1384"/>
      <c r="G216" s="2176"/>
      <c r="H216" s="1388"/>
      <c r="I216" s="2177"/>
      <c r="J216" s="1385"/>
      <c r="K216" s="1385"/>
      <c r="L216" s="1385"/>
      <c r="M216" s="1214"/>
      <c r="N216" s="1214"/>
      <c r="O216" s="1214"/>
      <c r="P216" s="1214"/>
    </row>
    <row r="217" spans="1:16" s="1199" customFormat="1" ht="24" customHeight="1">
      <c r="A217" s="1189"/>
      <c r="B217" s="1451" t="s">
        <v>1118</v>
      </c>
      <c r="C217" s="1202"/>
      <c r="D217" s="1202"/>
      <c r="E217" s="1387"/>
      <c r="F217" s="1384"/>
      <c r="G217" s="2176"/>
      <c r="H217" s="1388"/>
      <c r="I217" s="2177"/>
      <c r="J217" s="1385"/>
      <c r="K217" s="1385"/>
      <c r="L217" s="1385"/>
      <c r="M217" s="1214"/>
      <c r="N217" s="1214"/>
      <c r="O217" s="1214"/>
      <c r="P217" s="1214"/>
    </row>
    <row r="218" spans="1:16" s="1199" customFormat="1" ht="24" customHeight="1">
      <c r="A218" s="1189"/>
      <c r="B218" s="1451" t="s">
        <v>1118</v>
      </c>
      <c r="C218" s="1202"/>
      <c r="D218" s="1202"/>
      <c r="E218" s="1387"/>
      <c r="F218" s="1384"/>
      <c r="G218" s="2176"/>
      <c r="H218" s="1388"/>
      <c r="I218" s="2177"/>
      <c r="J218" s="1385"/>
      <c r="K218" s="1385"/>
      <c r="L218" s="1385"/>
      <c r="M218" s="1214"/>
      <c r="N218" s="1214"/>
      <c r="O218" s="1214"/>
      <c r="P218" s="1214"/>
    </row>
    <row r="219" spans="1:16" s="1199" customFormat="1" ht="24" customHeight="1">
      <c r="A219" s="1243"/>
      <c r="B219" s="2257" t="str">
        <f>"รวมราคารายการที่ "&amp;A203</f>
        <v>รวมราคารายการที่ 3.6</v>
      </c>
      <c r="C219" s="2258"/>
      <c r="D219" s="2259"/>
      <c r="E219" s="1244"/>
      <c r="F219" s="1245"/>
      <c r="G219" s="1246"/>
      <c r="H219" s="1247">
        <f>SUM(H204:H216)</f>
        <v>14205</v>
      </c>
      <c r="I219" s="1246"/>
      <c r="J219" s="1247">
        <f>SUM(J204:J216)</f>
        <v>6120</v>
      </c>
      <c r="K219" s="1247">
        <f>SUM(K204:K216)</f>
        <v>20325</v>
      </c>
      <c r="L219" s="1245"/>
      <c r="M219" s="1214"/>
      <c r="N219" s="1214"/>
      <c r="O219" s="1214"/>
      <c r="P219" s="1214"/>
    </row>
    <row r="220" spans="1:16" s="1199" customFormat="1" ht="24" customHeight="1">
      <c r="A220" s="1449" t="s">
        <v>1490</v>
      </c>
      <c r="B220" s="1450" t="s">
        <v>1347</v>
      </c>
      <c r="C220" s="1202"/>
      <c r="D220" s="1202"/>
      <c r="E220" s="1387"/>
      <c r="F220" s="1207"/>
      <c r="G220" s="2176"/>
      <c r="H220" s="1264"/>
      <c r="I220" s="2177"/>
      <c r="J220" s="1264"/>
      <c r="K220" s="1273"/>
      <c r="L220" s="1385"/>
      <c r="M220" s="1214"/>
      <c r="N220" s="1214"/>
      <c r="O220" s="1214"/>
      <c r="P220" s="1214"/>
    </row>
    <row r="221" spans="1:16" s="1199" customFormat="1" ht="24" customHeight="1">
      <c r="A221" s="1258" t="s">
        <v>1255</v>
      </c>
      <c r="B221" s="1451" t="s">
        <v>1462</v>
      </c>
      <c r="C221" s="1202"/>
      <c r="D221" s="1202"/>
      <c r="E221" s="1387"/>
      <c r="F221" s="1207"/>
      <c r="G221" s="2176"/>
      <c r="H221" s="1264"/>
      <c r="I221" s="2177"/>
      <c r="J221" s="1264"/>
      <c r="K221" s="1273"/>
      <c r="L221" s="1385"/>
      <c r="M221" s="1214"/>
      <c r="N221" s="1214"/>
      <c r="O221" s="1214"/>
      <c r="P221" s="1214"/>
    </row>
    <row r="222" spans="1:16" s="1199" customFormat="1" ht="24" customHeight="1">
      <c r="A222" s="1449"/>
      <c r="B222" s="1451" t="s">
        <v>1583</v>
      </c>
      <c r="C222" s="1202"/>
      <c r="D222" s="1202"/>
      <c r="E222" s="1387">
        <v>1</v>
      </c>
      <c r="F222" s="1207" t="s">
        <v>363</v>
      </c>
      <c r="G222" s="2176">
        <f>72000+20280+5500</f>
        <v>97780</v>
      </c>
      <c r="H222" s="1264">
        <f>ROUND(E222*G222,)</f>
        <v>97780</v>
      </c>
      <c r="I222" s="2177">
        <f>G222*0.05</f>
        <v>4889</v>
      </c>
      <c r="J222" s="1264">
        <f>ROUND(E222*I222,)</f>
        <v>4889</v>
      </c>
      <c r="K222" s="1273">
        <f>H222+J222</f>
        <v>102669</v>
      </c>
      <c r="L222" s="1385"/>
      <c r="M222" s="1214"/>
      <c r="N222" s="1214"/>
      <c r="O222" s="1214"/>
      <c r="P222" s="1214"/>
    </row>
    <row r="223" spans="1:16" s="1199" customFormat="1" ht="24" customHeight="1">
      <c r="A223" s="1449"/>
      <c r="B223" s="1451" t="s">
        <v>1584</v>
      </c>
      <c r="C223" s="1202"/>
      <c r="D223" s="1202"/>
      <c r="E223" s="1387">
        <v>1</v>
      </c>
      <c r="F223" s="1207" t="s">
        <v>363</v>
      </c>
      <c r="G223" s="2176">
        <f>19400+16000+7000</f>
        <v>42400</v>
      </c>
      <c r="H223" s="1264">
        <f>ROUND(E223*G223,)</f>
        <v>42400</v>
      </c>
      <c r="I223" s="2177">
        <f>G223*0.05</f>
        <v>2120</v>
      </c>
      <c r="J223" s="1264">
        <f>ROUND(E223*I223,)</f>
        <v>2120</v>
      </c>
      <c r="K223" s="1273">
        <f>H223+J223</f>
        <v>44520</v>
      </c>
      <c r="L223" s="1385"/>
      <c r="M223" s="1214"/>
      <c r="N223" s="1214"/>
      <c r="O223" s="1214"/>
      <c r="P223" s="1214"/>
    </row>
    <row r="224" spans="1:16" s="1199" customFormat="1" ht="24" customHeight="1">
      <c r="A224" s="1189"/>
      <c r="B224" s="1451" t="s">
        <v>1117</v>
      </c>
      <c r="C224" s="1202"/>
      <c r="D224" s="1202"/>
      <c r="E224" s="1387"/>
      <c r="F224" s="1384"/>
      <c r="G224" s="2176"/>
      <c r="H224" s="1388"/>
      <c r="I224" s="2177"/>
      <c r="J224" s="1385"/>
      <c r="K224" s="1385"/>
      <c r="L224" s="1385"/>
      <c r="M224" s="1214"/>
      <c r="N224" s="1214"/>
      <c r="O224" s="1214"/>
      <c r="P224" s="1214"/>
    </row>
    <row r="225" spans="1:16" s="1199" customFormat="1" ht="24" customHeight="1">
      <c r="A225" s="1189"/>
      <c r="B225" s="1451" t="s">
        <v>1118</v>
      </c>
      <c r="C225" s="1202"/>
      <c r="D225" s="1202"/>
      <c r="E225" s="1387"/>
      <c r="F225" s="1384"/>
      <c r="G225" s="2176"/>
      <c r="H225" s="1388"/>
      <c r="I225" s="2177"/>
      <c r="J225" s="1385"/>
      <c r="K225" s="1385"/>
      <c r="L225" s="1385"/>
      <c r="M225" s="1214"/>
      <c r="N225" s="1214"/>
      <c r="O225" s="1214"/>
      <c r="P225" s="1214"/>
    </row>
    <row r="226" spans="1:16" s="1199" customFormat="1" ht="24" customHeight="1">
      <c r="A226" s="1243"/>
      <c r="B226" s="2257" t="str">
        <f>"รวมราคารายการที่ "&amp;A220</f>
        <v>รวมราคารายการที่ 3.7</v>
      </c>
      <c r="C226" s="2258"/>
      <c r="D226" s="2259"/>
      <c r="E226" s="1244"/>
      <c r="F226" s="1245"/>
      <c r="G226" s="1246"/>
      <c r="H226" s="1247">
        <f>SUM(H220:H225)</f>
        <v>140180</v>
      </c>
      <c r="I226" s="1246"/>
      <c r="J226" s="1247">
        <f>SUM(J220:J225)</f>
        <v>7009</v>
      </c>
      <c r="K226" s="1247">
        <f>SUM(K220:K225)</f>
        <v>147189</v>
      </c>
      <c r="L226" s="1245"/>
      <c r="M226" s="1214"/>
      <c r="N226" s="1214"/>
      <c r="O226" s="1214"/>
      <c r="P226" s="1214"/>
    </row>
    <row r="227" spans="1:16" s="1199" customFormat="1" ht="24" customHeight="1">
      <c r="A227" s="1435" t="s">
        <v>1290</v>
      </c>
      <c r="B227" s="1436" t="s">
        <v>1466</v>
      </c>
      <c r="C227" s="1202"/>
      <c r="D227" s="1202"/>
      <c r="E227" s="1387"/>
      <c r="F227" s="1207"/>
      <c r="G227" s="2176"/>
      <c r="H227" s="1264"/>
      <c r="I227" s="2177"/>
      <c r="J227" s="1264"/>
      <c r="K227" s="1273"/>
      <c r="L227" s="1385"/>
      <c r="M227" s="1214"/>
      <c r="N227" s="1214"/>
      <c r="O227" s="1214"/>
      <c r="P227" s="1214"/>
    </row>
    <row r="228" spans="1:16" s="1199" customFormat="1" ht="24" customHeight="1">
      <c r="A228" s="1339"/>
      <c r="B228" s="1259" t="s">
        <v>1467</v>
      </c>
      <c r="C228" s="1202"/>
      <c r="D228" s="1202"/>
      <c r="E228" s="1404">
        <v>23</v>
      </c>
      <c r="F228" s="1267" t="s">
        <v>363</v>
      </c>
      <c r="G228" s="1386">
        <v>420</v>
      </c>
      <c r="H228" s="1343">
        <f t="shared" ref="H228:H251" si="19">ROUND(E228*G228,)</f>
        <v>9660</v>
      </c>
      <c r="I228" s="1414">
        <v>115</v>
      </c>
      <c r="J228" s="1343">
        <f t="shared" ref="J228:J251" si="20">ROUND(E228*I228,)</f>
        <v>2645</v>
      </c>
      <c r="K228" s="1262">
        <f t="shared" ref="K228:K251" si="21">H228+J228</f>
        <v>12305</v>
      </c>
      <c r="L228" s="1415"/>
      <c r="M228" s="1214"/>
      <c r="N228" s="1214"/>
      <c r="O228" s="1214"/>
      <c r="P228" s="1214"/>
    </row>
    <row r="229" spans="1:16" s="1199" customFormat="1" ht="24" customHeight="1">
      <c r="A229" s="1339"/>
      <c r="B229" s="1259" t="s">
        <v>1468</v>
      </c>
      <c r="C229" s="1202"/>
      <c r="D229" s="1202"/>
      <c r="E229" s="1404">
        <v>385</v>
      </c>
      <c r="F229" s="1267" t="s">
        <v>363</v>
      </c>
      <c r="G229" s="1386">
        <v>500</v>
      </c>
      <c r="H229" s="1343">
        <f t="shared" si="19"/>
        <v>192500</v>
      </c>
      <c r="I229" s="1414">
        <v>115</v>
      </c>
      <c r="J229" s="1343">
        <f t="shared" si="20"/>
        <v>44275</v>
      </c>
      <c r="K229" s="1262">
        <f t="shared" si="21"/>
        <v>236775</v>
      </c>
      <c r="L229" s="1415"/>
      <c r="M229" s="1214"/>
      <c r="N229" s="1214"/>
      <c r="O229" s="1214"/>
      <c r="P229" s="1214"/>
    </row>
    <row r="230" spans="1:16" s="1199" customFormat="1" ht="24" customHeight="1">
      <c r="A230" s="1339"/>
      <c r="B230" s="1259" t="s">
        <v>1469</v>
      </c>
      <c r="C230" s="1202"/>
      <c r="D230" s="1202"/>
      <c r="E230" s="1404">
        <v>57</v>
      </c>
      <c r="F230" s="1267" t="s">
        <v>363</v>
      </c>
      <c r="G230" s="1386">
        <v>550</v>
      </c>
      <c r="H230" s="1343">
        <f t="shared" si="19"/>
        <v>31350</v>
      </c>
      <c r="I230" s="1414">
        <v>115</v>
      </c>
      <c r="J230" s="1343">
        <f t="shared" si="20"/>
        <v>6555</v>
      </c>
      <c r="K230" s="1262">
        <f t="shared" si="21"/>
        <v>37905</v>
      </c>
      <c r="L230" s="1415"/>
      <c r="M230" s="1214"/>
      <c r="N230" s="1214"/>
      <c r="O230" s="1214"/>
      <c r="P230" s="1214"/>
    </row>
    <row r="231" spans="1:16" s="1199" customFormat="1" ht="24" customHeight="1">
      <c r="A231" s="1339"/>
      <c r="B231" s="1259" t="s">
        <v>1470</v>
      </c>
      <c r="C231" s="1202"/>
      <c r="D231" s="1202"/>
      <c r="E231" s="1404">
        <v>42</v>
      </c>
      <c r="F231" s="1267" t="s">
        <v>363</v>
      </c>
      <c r="G231" s="1386">
        <v>750</v>
      </c>
      <c r="H231" s="1343">
        <f t="shared" si="19"/>
        <v>31500</v>
      </c>
      <c r="I231" s="1414">
        <v>135</v>
      </c>
      <c r="J231" s="1343">
        <f t="shared" si="20"/>
        <v>5670</v>
      </c>
      <c r="K231" s="1262">
        <f t="shared" si="21"/>
        <v>37170</v>
      </c>
      <c r="L231" s="1415"/>
      <c r="M231" s="1214"/>
      <c r="N231" s="1214"/>
      <c r="O231" s="1214"/>
      <c r="P231" s="1214"/>
    </row>
    <row r="232" spans="1:16" s="1199" customFormat="1" ht="24" customHeight="1">
      <c r="A232" s="1339"/>
      <c r="B232" s="1259" t="s">
        <v>1471</v>
      </c>
      <c r="C232" s="1202"/>
      <c r="D232" s="1202"/>
      <c r="E232" s="1404">
        <v>4</v>
      </c>
      <c r="F232" s="1267" t="s">
        <v>363</v>
      </c>
      <c r="G232" s="1386">
        <v>1550</v>
      </c>
      <c r="H232" s="1343">
        <f t="shared" si="19"/>
        <v>6200</v>
      </c>
      <c r="I232" s="1414">
        <v>135</v>
      </c>
      <c r="J232" s="1343">
        <f t="shared" si="20"/>
        <v>540</v>
      </c>
      <c r="K232" s="1262">
        <f t="shared" si="21"/>
        <v>6740</v>
      </c>
      <c r="L232" s="1415"/>
      <c r="M232" s="1214"/>
      <c r="N232" s="1214"/>
      <c r="O232" s="1214"/>
      <c r="P232" s="1214"/>
    </row>
    <row r="233" spans="1:16" s="1199" customFormat="1" ht="24" customHeight="1">
      <c r="A233" s="1339"/>
      <c r="B233" s="1259" t="s">
        <v>1472</v>
      </c>
      <c r="C233" s="1202"/>
      <c r="D233" s="1202"/>
      <c r="E233" s="1404"/>
      <c r="F233" s="1267" t="s">
        <v>363</v>
      </c>
      <c r="G233" s="1386">
        <v>2090</v>
      </c>
      <c r="H233" s="1343">
        <f t="shared" si="19"/>
        <v>0</v>
      </c>
      <c r="I233" s="1414">
        <v>135</v>
      </c>
      <c r="J233" s="1343">
        <f t="shared" si="20"/>
        <v>0</v>
      </c>
      <c r="K233" s="1262">
        <f t="shared" si="21"/>
        <v>0</v>
      </c>
      <c r="L233" s="1415"/>
      <c r="M233" s="1214"/>
      <c r="N233" s="1214"/>
      <c r="O233" s="1214"/>
      <c r="P233" s="1214"/>
    </row>
    <row r="234" spans="1:16" s="1199" customFormat="1" ht="24" customHeight="1">
      <c r="A234" s="1339"/>
      <c r="B234" s="1259" t="s">
        <v>1473</v>
      </c>
      <c r="C234" s="1202"/>
      <c r="D234" s="1202"/>
      <c r="E234" s="1404"/>
      <c r="F234" s="1267" t="s">
        <v>363</v>
      </c>
      <c r="G234" s="1386">
        <v>3750</v>
      </c>
      <c r="H234" s="1343">
        <f t="shared" si="19"/>
        <v>0</v>
      </c>
      <c r="I234" s="1414">
        <v>135</v>
      </c>
      <c r="J234" s="1343">
        <f t="shared" si="20"/>
        <v>0</v>
      </c>
      <c r="K234" s="1262">
        <f t="shared" si="21"/>
        <v>0</v>
      </c>
      <c r="L234" s="1415"/>
      <c r="M234" s="1214"/>
      <c r="N234" s="1214"/>
      <c r="O234" s="1214"/>
      <c r="P234" s="1214"/>
    </row>
    <row r="235" spans="1:16" s="1199" customFormat="1" ht="24" customHeight="1">
      <c r="A235" s="1339"/>
      <c r="B235" s="1259" t="s">
        <v>1474</v>
      </c>
      <c r="C235" s="1202"/>
      <c r="D235" s="1202"/>
      <c r="E235" s="1404"/>
      <c r="F235" s="1267" t="s">
        <v>363</v>
      </c>
      <c r="G235" s="1386">
        <v>2450</v>
      </c>
      <c r="H235" s="1343">
        <f t="shared" si="19"/>
        <v>0</v>
      </c>
      <c r="I235" s="1414">
        <v>135</v>
      </c>
      <c r="J235" s="1343">
        <f t="shared" si="20"/>
        <v>0</v>
      </c>
      <c r="K235" s="1262">
        <f t="shared" si="21"/>
        <v>0</v>
      </c>
      <c r="L235" s="1415"/>
      <c r="M235" s="1214"/>
      <c r="N235" s="1214"/>
      <c r="O235" s="1214"/>
      <c r="P235" s="1214"/>
    </row>
    <row r="236" spans="1:16" s="1199" customFormat="1" ht="24" customHeight="1">
      <c r="A236" s="1339"/>
      <c r="B236" s="1259" t="s">
        <v>1475</v>
      </c>
      <c r="C236" s="1202"/>
      <c r="D236" s="1202"/>
      <c r="E236" s="1404"/>
      <c r="F236" s="1267" t="s">
        <v>363</v>
      </c>
      <c r="G236" s="1386">
        <v>1860</v>
      </c>
      <c r="H236" s="1343">
        <f t="shared" si="19"/>
        <v>0</v>
      </c>
      <c r="I236" s="1414">
        <v>135</v>
      </c>
      <c r="J236" s="1343">
        <f t="shared" si="20"/>
        <v>0</v>
      </c>
      <c r="K236" s="1262">
        <f t="shared" si="21"/>
        <v>0</v>
      </c>
      <c r="L236" s="1415"/>
      <c r="M236" s="1214"/>
      <c r="N236" s="1214"/>
      <c r="O236" s="1214"/>
      <c r="P236" s="1214"/>
    </row>
    <row r="237" spans="1:16" s="1199" customFormat="1" ht="24" customHeight="1">
      <c r="A237" s="1339"/>
      <c r="B237" s="1259" t="s">
        <v>1476</v>
      </c>
      <c r="C237" s="1202"/>
      <c r="D237" s="1202"/>
      <c r="E237" s="1404">
        <v>66</v>
      </c>
      <c r="F237" s="1267" t="s">
        <v>363</v>
      </c>
      <c r="G237" s="1386">
        <v>1200</v>
      </c>
      <c r="H237" s="1343">
        <f t="shared" si="19"/>
        <v>79200</v>
      </c>
      <c r="I237" s="1414">
        <v>135</v>
      </c>
      <c r="J237" s="1343">
        <f t="shared" si="20"/>
        <v>8910</v>
      </c>
      <c r="K237" s="1262">
        <f t="shared" si="21"/>
        <v>88110</v>
      </c>
      <c r="L237" s="1415"/>
      <c r="M237" s="1214"/>
      <c r="N237" s="1214"/>
      <c r="O237" s="1214"/>
      <c r="P237" s="1214"/>
    </row>
    <row r="238" spans="1:16" s="1199" customFormat="1" ht="24" customHeight="1">
      <c r="A238" s="1339"/>
      <c r="B238" s="1259" t="s">
        <v>1477</v>
      </c>
      <c r="C238" s="1202"/>
      <c r="D238" s="1202"/>
      <c r="E238" s="1404">
        <v>15</v>
      </c>
      <c r="F238" s="1267" t="s">
        <v>363</v>
      </c>
      <c r="G238" s="1386">
        <v>1450</v>
      </c>
      <c r="H238" s="1343">
        <f t="shared" si="19"/>
        <v>21750</v>
      </c>
      <c r="I238" s="1414">
        <v>135</v>
      </c>
      <c r="J238" s="1343">
        <f t="shared" si="20"/>
        <v>2025</v>
      </c>
      <c r="K238" s="1262">
        <f t="shared" si="21"/>
        <v>23775</v>
      </c>
      <c r="L238" s="1415"/>
      <c r="M238" s="1214"/>
      <c r="N238" s="1214"/>
      <c r="O238" s="1214"/>
      <c r="P238" s="1214"/>
    </row>
    <row r="239" spans="1:16" s="1199" customFormat="1" ht="24" customHeight="1">
      <c r="A239" s="1339"/>
      <c r="B239" s="1259" t="s">
        <v>1478</v>
      </c>
      <c r="C239" s="1202"/>
      <c r="D239" s="1202"/>
      <c r="E239" s="1404"/>
      <c r="F239" s="1267" t="s">
        <v>363</v>
      </c>
      <c r="G239" s="1386">
        <v>1250</v>
      </c>
      <c r="H239" s="1343">
        <f t="shared" si="19"/>
        <v>0</v>
      </c>
      <c r="I239" s="1414">
        <v>135</v>
      </c>
      <c r="J239" s="1343">
        <f t="shared" si="20"/>
        <v>0</v>
      </c>
      <c r="K239" s="1262">
        <f t="shared" si="21"/>
        <v>0</v>
      </c>
      <c r="L239" s="1415"/>
      <c r="M239" s="1214"/>
      <c r="N239" s="1214"/>
      <c r="O239" s="1214"/>
      <c r="P239" s="1214"/>
    </row>
    <row r="240" spans="1:16" s="1199" customFormat="1" ht="24" customHeight="1">
      <c r="A240" s="1339"/>
      <c r="B240" s="1259" t="s">
        <v>1479</v>
      </c>
      <c r="C240" s="1202"/>
      <c r="D240" s="1202"/>
      <c r="E240" s="1404"/>
      <c r="F240" s="1267" t="s">
        <v>363</v>
      </c>
      <c r="G240" s="1386">
        <v>650</v>
      </c>
      <c r="H240" s="1343">
        <f t="shared" si="19"/>
        <v>0</v>
      </c>
      <c r="I240" s="1414">
        <v>20</v>
      </c>
      <c r="J240" s="1343">
        <f t="shared" si="20"/>
        <v>0</v>
      </c>
      <c r="K240" s="1262">
        <f t="shared" si="21"/>
        <v>0</v>
      </c>
      <c r="L240" s="1415"/>
      <c r="M240" s="1214"/>
      <c r="N240" s="1214"/>
      <c r="O240" s="1214"/>
      <c r="P240" s="1214"/>
    </row>
    <row r="241" spans="1:21" s="1199" customFormat="1" ht="24" customHeight="1">
      <c r="A241" s="1339"/>
      <c r="B241" s="1259" t="s">
        <v>1480</v>
      </c>
      <c r="C241" s="1202"/>
      <c r="D241" s="1202"/>
      <c r="E241" s="1404"/>
      <c r="F241" s="1267" t="s">
        <v>363</v>
      </c>
      <c r="G241" s="1386">
        <v>2565</v>
      </c>
      <c r="H241" s="1343">
        <f t="shared" si="19"/>
        <v>0</v>
      </c>
      <c r="I241" s="1414">
        <v>135</v>
      </c>
      <c r="J241" s="1343">
        <f t="shared" si="20"/>
        <v>0</v>
      </c>
      <c r="K241" s="1262">
        <f t="shared" si="21"/>
        <v>0</v>
      </c>
      <c r="L241" s="1415"/>
      <c r="M241" s="1214"/>
      <c r="N241" s="1214"/>
      <c r="O241" s="1214"/>
      <c r="P241" s="1214"/>
    </row>
    <row r="242" spans="1:21" s="1199" customFormat="1" ht="24" customHeight="1">
      <c r="A242" s="1339"/>
      <c r="B242" s="1259" t="s">
        <v>1481</v>
      </c>
      <c r="C242" s="1202"/>
      <c r="D242" s="1202"/>
      <c r="E242" s="1404"/>
      <c r="F242" s="1267" t="s">
        <v>363</v>
      </c>
      <c r="G242" s="1386">
        <v>1200</v>
      </c>
      <c r="H242" s="1343">
        <f t="shared" si="19"/>
        <v>0</v>
      </c>
      <c r="I242" s="1414">
        <v>135</v>
      </c>
      <c r="J242" s="1343">
        <f t="shared" si="20"/>
        <v>0</v>
      </c>
      <c r="K242" s="1262">
        <f t="shared" si="21"/>
        <v>0</v>
      </c>
      <c r="L242" s="1415"/>
      <c r="M242" s="1214"/>
      <c r="N242" s="1214"/>
      <c r="O242" s="1214"/>
      <c r="P242" s="1214"/>
    </row>
    <row r="243" spans="1:21" s="1199" customFormat="1" ht="24" customHeight="1">
      <c r="A243" s="1339"/>
      <c r="B243" s="1259" t="s">
        <v>1482</v>
      </c>
      <c r="C243" s="1202"/>
      <c r="D243" s="1202"/>
      <c r="E243" s="1404"/>
      <c r="F243" s="1267" t="s">
        <v>363</v>
      </c>
      <c r="G243" s="1386">
        <v>1200</v>
      </c>
      <c r="H243" s="1343">
        <f t="shared" si="19"/>
        <v>0</v>
      </c>
      <c r="I243" s="1414">
        <v>135</v>
      </c>
      <c r="J243" s="1343">
        <f t="shared" si="20"/>
        <v>0</v>
      </c>
      <c r="K243" s="1262">
        <f t="shared" si="21"/>
        <v>0</v>
      </c>
      <c r="L243" s="1415"/>
      <c r="M243" s="1214"/>
      <c r="N243" s="1214"/>
      <c r="O243" s="1214"/>
      <c r="P243" s="1214"/>
    </row>
    <row r="244" spans="1:21" s="1199" customFormat="1" ht="24" customHeight="1">
      <c r="A244" s="1339"/>
      <c r="B244" s="1259" t="s">
        <v>1483</v>
      </c>
      <c r="C244" s="1202"/>
      <c r="D244" s="1202"/>
      <c r="E244" s="1404"/>
      <c r="F244" s="1267" t="s">
        <v>363</v>
      </c>
      <c r="G244" s="1386">
        <v>1860</v>
      </c>
      <c r="H244" s="1343">
        <f t="shared" si="19"/>
        <v>0</v>
      </c>
      <c r="I244" s="1414">
        <v>135</v>
      </c>
      <c r="J244" s="1343">
        <f t="shared" si="20"/>
        <v>0</v>
      </c>
      <c r="K244" s="1262">
        <f t="shared" si="21"/>
        <v>0</v>
      </c>
      <c r="L244" s="1415"/>
      <c r="M244" s="1214"/>
      <c r="N244" s="1214"/>
      <c r="O244" s="1214"/>
      <c r="P244" s="1214"/>
    </row>
    <row r="245" spans="1:21" s="1199" customFormat="1" ht="24" customHeight="1">
      <c r="A245" s="1339"/>
      <c r="B245" s="1259" t="s">
        <v>1484</v>
      </c>
      <c r="C245" s="1202"/>
      <c r="D245" s="1202"/>
      <c r="E245" s="1404"/>
      <c r="F245" s="1267" t="s">
        <v>363</v>
      </c>
      <c r="G245" s="1386">
        <v>1200</v>
      </c>
      <c r="H245" s="1343">
        <f t="shared" si="19"/>
        <v>0</v>
      </c>
      <c r="I245" s="1414">
        <v>135</v>
      </c>
      <c r="J245" s="1343">
        <f t="shared" si="20"/>
        <v>0</v>
      </c>
      <c r="K245" s="1262">
        <f t="shared" si="21"/>
        <v>0</v>
      </c>
      <c r="L245" s="1415"/>
      <c r="M245" s="1214"/>
      <c r="N245" s="1214"/>
      <c r="O245" s="1214"/>
      <c r="P245" s="1214"/>
    </row>
    <row r="246" spans="1:21" s="1199" customFormat="1" ht="24" customHeight="1">
      <c r="A246" s="1339"/>
      <c r="B246" s="1259" t="s">
        <v>1485</v>
      </c>
      <c r="C246" s="1202"/>
      <c r="D246" s="1202"/>
      <c r="E246" s="1404"/>
      <c r="F246" s="1267" t="s">
        <v>363</v>
      </c>
      <c r="G246" s="1386">
        <v>1200</v>
      </c>
      <c r="H246" s="1343">
        <f t="shared" si="19"/>
        <v>0</v>
      </c>
      <c r="I246" s="1414">
        <v>135</v>
      </c>
      <c r="J246" s="1343">
        <f t="shared" si="20"/>
        <v>0</v>
      </c>
      <c r="K246" s="1262">
        <f t="shared" si="21"/>
        <v>0</v>
      </c>
      <c r="L246" s="1415"/>
      <c r="M246" s="1214"/>
      <c r="N246" s="1214"/>
      <c r="O246" s="1214"/>
      <c r="P246" s="1214"/>
    </row>
    <row r="247" spans="1:21" s="1199" customFormat="1" ht="24" customHeight="1">
      <c r="A247" s="1339"/>
      <c r="B247" s="1259" t="s">
        <v>1486</v>
      </c>
      <c r="C247" s="1202"/>
      <c r="D247" s="1202"/>
      <c r="E247" s="1404">
        <v>30</v>
      </c>
      <c r="F247" s="1267" t="s">
        <v>363</v>
      </c>
      <c r="G247" s="1386">
        <v>1830</v>
      </c>
      <c r="H247" s="1343">
        <f t="shared" si="19"/>
        <v>54900</v>
      </c>
      <c r="I247" s="1414">
        <v>500</v>
      </c>
      <c r="J247" s="1343">
        <f t="shared" si="20"/>
        <v>15000</v>
      </c>
      <c r="K247" s="1262">
        <f t="shared" si="21"/>
        <v>69900</v>
      </c>
      <c r="L247" s="1415"/>
      <c r="M247" s="1214"/>
      <c r="N247" s="1214"/>
      <c r="O247" s="1214"/>
      <c r="P247" s="1214"/>
    </row>
    <row r="248" spans="1:21" s="1199" customFormat="1" ht="24" customHeight="1">
      <c r="A248" s="1339"/>
      <c r="B248" s="1259" t="s">
        <v>1487</v>
      </c>
      <c r="C248" s="1202"/>
      <c r="D248" s="1202"/>
      <c r="E248" s="1404">
        <v>2</v>
      </c>
      <c r="F248" s="1267" t="s">
        <v>363</v>
      </c>
      <c r="G248" s="1386">
        <v>1620</v>
      </c>
      <c r="H248" s="1343">
        <f t="shared" si="19"/>
        <v>3240</v>
      </c>
      <c r="I248" s="1414">
        <v>500</v>
      </c>
      <c r="J248" s="1343">
        <f t="shared" si="20"/>
        <v>1000</v>
      </c>
      <c r="K248" s="1262">
        <f t="shared" si="21"/>
        <v>4240</v>
      </c>
      <c r="L248" s="1415"/>
      <c r="M248" s="1214"/>
      <c r="N248" s="1214"/>
      <c r="O248" s="1214"/>
      <c r="P248" s="1214"/>
    </row>
    <row r="249" spans="1:21" s="1199" customFormat="1" ht="24" customHeight="1">
      <c r="A249" s="1339"/>
      <c r="B249" s="1259" t="s">
        <v>1488</v>
      </c>
      <c r="C249" s="1202"/>
      <c r="D249" s="1202"/>
      <c r="E249" s="1404">
        <v>34</v>
      </c>
      <c r="F249" s="1267" t="s">
        <v>363</v>
      </c>
      <c r="G249" s="1386">
        <v>920</v>
      </c>
      <c r="H249" s="1343">
        <f t="shared" si="19"/>
        <v>31280</v>
      </c>
      <c r="I249" s="1414">
        <v>250</v>
      </c>
      <c r="J249" s="1343">
        <f t="shared" si="20"/>
        <v>8500</v>
      </c>
      <c r="K249" s="1262">
        <f t="shared" si="21"/>
        <v>39780</v>
      </c>
      <c r="L249" s="1415"/>
      <c r="M249" s="1214"/>
      <c r="N249" s="1214"/>
      <c r="O249" s="1214"/>
      <c r="P249" s="1214"/>
    </row>
    <row r="250" spans="1:21" s="1199" customFormat="1" ht="24" customHeight="1">
      <c r="A250" s="1339"/>
      <c r="B250" s="1259" t="s">
        <v>1489</v>
      </c>
      <c r="C250" s="1202"/>
      <c r="D250" s="1202"/>
      <c r="E250" s="1404">
        <v>2</v>
      </c>
      <c r="F250" s="1267" t="s">
        <v>363</v>
      </c>
      <c r="G250" s="1386">
        <v>2180</v>
      </c>
      <c r="H250" s="1343">
        <f t="shared" si="19"/>
        <v>4360</v>
      </c>
      <c r="I250" s="1414">
        <v>500</v>
      </c>
      <c r="J250" s="1343">
        <f t="shared" si="20"/>
        <v>1000</v>
      </c>
      <c r="K250" s="1262">
        <f t="shared" si="21"/>
        <v>5360</v>
      </c>
      <c r="L250" s="1415"/>
      <c r="M250" s="1214"/>
      <c r="N250" s="1214"/>
      <c r="O250" s="1214"/>
      <c r="P250" s="1214"/>
    </row>
    <row r="251" spans="1:21" s="1199" customFormat="1" ht="24" customHeight="1">
      <c r="A251" s="1331"/>
      <c r="B251" s="2174" t="s">
        <v>1444</v>
      </c>
      <c r="C251" s="1202"/>
      <c r="D251" s="1202"/>
      <c r="E251" s="1387">
        <v>1</v>
      </c>
      <c r="F251" s="1207" t="s">
        <v>1104</v>
      </c>
      <c r="G251" s="2176">
        <f>SUM(H227:H246)*5%</f>
        <v>18608</v>
      </c>
      <c r="H251" s="1264">
        <f t="shared" si="19"/>
        <v>18608</v>
      </c>
      <c r="I251" s="2177">
        <f>ROUND(G251*0.3,)</f>
        <v>5582</v>
      </c>
      <c r="J251" s="1264">
        <f t="shared" si="20"/>
        <v>5582</v>
      </c>
      <c r="K251" s="1273">
        <f t="shared" si="21"/>
        <v>24190</v>
      </c>
      <c r="L251" s="1385"/>
      <c r="M251" s="1214"/>
      <c r="N251" s="1214"/>
      <c r="O251" s="1214"/>
      <c r="P251" s="1214"/>
    </row>
    <row r="252" spans="1:21" s="1199" customFormat="1" ht="24" customHeight="1">
      <c r="A252" s="1331"/>
      <c r="B252" s="2174" t="s">
        <v>1117</v>
      </c>
      <c r="C252" s="1202"/>
      <c r="D252" s="1202"/>
      <c r="E252" s="1387"/>
      <c r="F252" s="1207"/>
      <c r="G252" s="2176"/>
      <c r="H252" s="1388"/>
      <c r="I252" s="2177"/>
      <c r="J252" s="1385"/>
      <c r="K252" s="1385"/>
      <c r="L252" s="1385"/>
      <c r="M252" s="1214"/>
      <c r="N252" s="1214"/>
      <c r="O252" s="1214"/>
      <c r="P252" s="1214"/>
    </row>
    <row r="253" spans="1:21" s="1199" customFormat="1" ht="24" customHeight="1">
      <c r="A253" s="1331"/>
      <c r="B253" s="2174" t="s">
        <v>1369</v>
      </c>
      <c r="C253" s="1202"/>
      <c r="D253" s="1202"/>
      <c r="E253" s="1387"/>
      <c r="F253" s="1207"/>
      <c r="G253" s="2176"/>
      <c r="H253" s="1388"/>
      <c r="I253" s="2177"/>
      <c r="J253" s="1385"/>
      <c r="K253" s="1385"/>
      <c r="L253" s="1385"/>
      <c r="M253" s="1214"/>
      <c r="N253" s="1214"/>
      <c r="O253" s="1214"/>
      <c r="P253" s="1214"/>
    </row>
    <row r="254" spans="1:21" s="1199" customFormat="1" ht="24" customHeight="1">
      <c r="A254" s="1331"/>
      <c r="B254" s="2174" t="s">
        <v>1369</v>
      </c>
      <c r="C254" s="1202"/>
      <c r="D254" s="1202"/>
      <c r="E254" s="1387"/>
      <c r="F254" s="1207"/>
      <c r="G254" s="2176"/>
      <c r="H254" s="1388"/>
      <c r="I254" s="2177"/>
      <c r="J254" s="1385"/>
      <c r="K254" s="1385"/>
      <c r="L254" s="1385"/>
      <c r="M254" s="1214"/>
      <c r="N254" s="1214"/>
      <c r="O254" s="1214"/>
      <c r="P254" s="1214"/>
    </row>
    <row r="255" spans="1:21" s="1199" customFormat="1" ht="24" customHeight="1">
      <c r="A255" s="1480"/>
      <c r="B255" s="2174"/>
      <c r="C255" s="1191"/>
      <c r="D255" s="1471"/>
      <c r="E255" s="1206"/>
      <c r="F255" s="1207"/>
      <c r="G255" s="2175"/>
      <c r="H255" s="1264"/>
      <c r="I255" s="1265"/>
      <c r="J255" s="1264"/>
      <c r="K255" s="1265"/>
      <c r="L255" s="1473"/>
      <c r="M255" s="1214"/>
      <c r="N255" s="1214"/>
      <c r="O255" s="1214"/>
      <c r="P255" s="1214"/>
      <c r="Q255" s="1214"/>
      <c r="R255" s="1214"/>
      <c r="S255" s="1214"/>
      <c r="T255" s="1214"/>
      <c r="U255" s="1214"/>
    </row>
    <row r="256" spans="1:21" s="1199" customFormat="1" ht="24" customHeight="1">
      <c r="A256" s="1243"/>
      <c r="B256" s="2257" t="str">
        <f>"รวมราคารายการที่ "&amp;A227</f>
        <v>รวมราคารายการที่ 3.8</v>
      </c>
      <c r="C256" s="2258"/>
      <c r="D256" s="2259"/>
      <c r="E256" s="1244"/>
      <c r="F256" s="1245"/>
      <c r="G256" s="1246"/>
      <c r="H256" s="1247">
        <f>SUM(H227:H254)</f>
        <v>484548</v>
      </c>
      <c r="I256" s="1246"/>
      <c r="J256" s="1247">
        <f t="shared" ref="J256:K256" si="22">SUM(J227:J254)</f>
        <v>101702</v>
      </c>
      <c r="K256" s="1247">
        <f t="shared" si="22"/>
        <v>586250</v>
      </c>
      <c r="L256" s="1245"/>
      <c r="M256" s="1214"/>
      <c r="N256" s="1214"/>
      <c r="O256" s="1214"/>
      <c r="P256" s="1214"/>
    </row>
    <row r="257" spans="1:16" s="1199" customFormat="1" ht="24" customHeight="1">
      <c r="A257" s="1435" t="s">
        <v>1311</v>
      </c>
      <c r="B257" s="1436" t="s">
        <v>1371</v>
      </c>
      <c r="C257" s="1202"/>
      <c r="D257" s="1202"/>
      <c r="E257" s="1387"/>
      <c r="F257" s="1384"/>
      <c r="G257" s="2176"/>
      <c r="H257" s="1388"/>
      <c r="I257" s="2177"/>
      <c r="J257" s="1385"/>
      <c r="K257" s="1385"/>
      <c r="L257" s="1385"/>
      <c r="M257" s="1214"/>
      <c r="N257" s="1214"/>
      <c r="O257" s="1214"/>
      <c r="P257" s="1214"/>
    </row>
    <row r="258" spans="1:16" s="1199" customFormat="1" ht="24" customHeight="1">
      <c r="A258" s="1406" t="s">
        <v>1313</v>
      </c>
      <c r="B258" s="2174" t="s">
        <v>1491</v>
      </c>
      <c r="C258" s="1202"/>
      <c r="D258" s="1202"/>
      <c r="E258" s="1387">
        <v>2</v>
      </c>
      <c r="F258" s="1207" t="s">
        <v>363</v>
      </c>
      <c r="G258" s="2176">
        <f>30000+13500</f>
        <v>43500</v>
      </c>
      <c r="H258" s="1264">
        <f t="shared" ref="H258:H281" si="23">ROUND(E258*G258,)</f>
        <v>87000</v>
      </c>
      <c r="I258" s="2177">
        <f>G258*0.1</f>
        <v>4350</v>
      </c>
      <c r="J258" s="1264">
        <f t="shared" ref="J258:J290" si="24">ROUND(E258*I258,)</f>
        <v>8700</v>
      </c>
      <c r="K258" s="1273">
        <f t="shared" ref="K258:K290" si="25">H258+J258</f>
        <v>95700</v>
      </c>
      <c r="L258" s="1385"/>
      <c r="M258" s="1214"/>
      <c r="N258" s="1214"/>
      <c r="O258" s="1214"/>
      <c r="P258" s="1214"/>
    </row>
    <row r="259" spans="1:16" s="1199" customFormat="1" ht="24" customHeight="1">
      <c r="A259" s="1406" t="s">
        <v>1547</v>
      </c>
      <c r="B259" s="2174" t="s">
        <v>1492</v>
      </c>
      <c r="C259" s="1202"/>
      <c r="D259" s="1202"/>
      <c r="E259" s="1387">
        <v>6</v>
      </c>
      <c r="F259" s="1207" t="s">
        <v>363</v>
      </c>
      <c r="G259" s="2176">
        <v>1850</v>
      </c>
      <c r="H259" s="1264">
        <f t="shared" si="23"/>
        <v>11100</v>
      </c>
      <c r="I259" s="2177">
        <v>250</v>
      </c>
      <c r="J259" s="1264">
        <f t="shared" si="24"/>
        <v>1500</v>
      </c>
      <c r="K259" s="1273">
        <f t="shared" si="25"/>
        <v>12600</v>
      </c>
      <c r="L259" s="1385"/>
      <c r="M259" s="1214"/>
      <c r="N259" s="1214"/>
      <c r="O259" s="1214"/>
      <c r="P259" s="1214"/>
    </row>
    <row r="260" spans="1:16" s="1199" customFormat="1" ht="24" customHeight="1">
      <c r="A260" s="1406" t="s">
        <v>1549</v>
      </c>
      <c r="B260" s="2174" t="s">
        <v>1493</v>
      </c>
      <c r="C260" s="1202"/>
      <c r="D260" s="1202"/>
      <c r="E260" s="1387">
        <v>6</v>
      </c>
      <c r="F260" s="1207" t="s">
        <v>363</v>
      </c>
      <c r="G260" s="2176">
        <v>1850</v>
      </c>
      <c r="H260" s="1264">
        <f t="shared" si="23"/>
        <v>11100</v>
      </c>
      <c r="I260" s="2177">
        <v>250</v>
      </c>
      <c r="J260" s="1264">
        <f t="shared" si="24"/>
        <v>1500</v>
      </c>
      <c r="K260" s="1273">
        <f t="shared" si="25"/>
        <v>12600</v>
      </c>
      <c r="L260" s="1385"/>
      <c r="M260" s="1214"/>
      <c r="N260" s="1214"/>
      <c r="O260" s="1214"/>
      <c r="P260" s="1214"/>
    </row>
    <row r="261" spans="1:16" s="1199" customFormat="1" ht="24" customHeight="1">
      <c r="A261" s="1406" t="s">
        <v>1631</v>
      </c>
      <c r="B261" s="2174" t="s">
        <v>1494</v>
      </c>
      <c r="C261" s="1202"/>
      <c r="D261" s="1202"/>
      <c r="E261" s="1387">
        <v>4</v>
      </c>
      <c r="F261" s="1207" t="s">
        <v>363</v>
      </c>
      <c r="G261" s="2176">
        <v>1850</v>
      </c>
      <c r="H261" s="1264">
        <f t="shared" si="23"/>
        <v>7400</v>
      </c>
      <c r="I261" s="2177">
        <v>250</v>
      </c>
      <c r="J261" s="1264">
        <f t="shared" si="24"/>
        <v>1000</v>
      </c>
      <c r="K261" s="1273">
        <f t="shared" si="25"/>
        <v>8400</v>
      </c>
      <c r="L261" s="1385"/>
      <c r="M261" s="1214"/>
      <c r="N261" s="1214"/>
      <c r="O261" s="1214"/>
      <c r="P261" s="1214"/>
    </row>
    <row r="262" spans="1:16" s="1199" customFormat="1" ht="24" customHeight="1">
      <c r="A262" s="1406" t="s">
        <v>1610</v>
      </c>
      <c r="B262" s="2174" t="s">
        <v>1495</v>
      </c>
      <c r="C262" s="1202"/>
      <c r="D262" s="1202"/>
      <c r="E262" s="1387">
        <v>4</v>
      </c>
      <c r="F262" s="1207" t="s">
        <v>363</v>
      </c>
      <c r="G262" s="2176">
        <v>1850</v>
      </c>
      <c r="H262" s="1264">
        <f t="shared" si="23"/>
        <v>7400</v>
      </c>
      <c r="I262" s="2177">
        <v>250</v>
      </c>
      <c r="J262" s="1264">
        <f t="shared" si="24"/>
        <v>1000</v>
      </c>
      <c r="K262" s="1273">
        <f t="shared" si="25"/>
        <v>8400</v>
      </c>
      <c r="L262" s="1385"/>
      <c r="M262" s="1214"/>
      <c r="N262" s="1214"/>
      <c r="O262" s="1214"/>
      <c r="P262" s="1214"/>
    </row>
    <row r="263" spans="1:16" s="1199" customFormat="1" ht="24" customHeight="1">
      <c r="A263" s="1406" t="s">
        <v>1632</v>
      </c>
      <c r="B263" s="2174" t="s">
        <v>1496</v>
      </c>
      <c r="C263" s="1202"/>
      <c r="D263" s="1202"/>
      <c r="E263" s="1387">
        <v>0</v>
      </c>
      <c r="F263" s="1207" t="s">
        <v>363</v>
      </c>
      <c r="G263" s="2176">
        <v>1850</v>
      </c>
      <c r="H263" s="1264">
        <f t="shared" si="23"/>
        <v>0</v>
      </c>
      <c r="I263" s="2177">
        <v>250</v>
      </c>
      <c r="J263" s="1264">
        <f t="shared" si="24"/>
        <v>0</v>
      </c>
      <c r="K263" s="1273">
        <f t="shared" si="25"/>
        <v>0</v>
      </c>
      <c r="L263" s="1385"/>
      <c r="M263" s="1214"/>
      <c r="N263" s="1214"/>
      <c r="O263" s="1214"/>
      <c r="P263" s="1214"/>
    </row>
    <row r="264" spans="1:16" s="1199" customFormat="1" ht="24" customHeight="1">
      <c r="A264" s="1406" t="s">
        <v>2952</v>
      </c>
      <c r="B264" s="2174" t="s">
        <v>1497</v>
      </c>
      <c r="C264" s="1202"/>
      <c r="D264" s="1202"/>
      <c r="E264" s="1387">
        <v>2</v>
      </c>
      <c r="F264" s="1207" t="s">
        <v>363</v>
      </c>
      <c r="G264" s="2176">
        <v>2750</v>
      </c>
      <c r="H264" s="1264">
        <f t="shared" si="23"/>
        <v>5500</v>
      </c>
      <c r="I264" s="2177">
        <v>250</v>
      </c>
      <c r="J264" s="1264">
        <f t="shared" si="24"/>
        <v>500</v>
      </c>
      <c r="K264" s="1273">
        <f t="shared" si="25"/>
        <v>6000</v>
      </c>
      <c r="L264" s="1385"/>
      <c r="M264" s="1214"/>
      <c r="N264" s="1214"/>
      <c r="O264" s="1214"/>
      <c r="P264" s="1214"/>
    </row>
    <row r="265" spans="1:16" s="1199" customFormat="1" ht="24" customHeight="1">
      <c r="A265" s="1406" t="s">
        <v>2991</v>
      </c>
      <c r="B265" s="2174" t="s">
        <v>1498</v>
      </c>
      <c r="C265" s="1202"/>
      <c r="D265" s="1202"/>
      <c r="E265" s="1387">
        <v>2</v>
      </c>
      <c r="F265" s="1207" t="s">
        <v>363</v>
      </c>
      <c r="G265" s="2176">
        <v>2750</v>
      </c>
      <c r="H265" s="1264">
        <f t="shared" si="23"/>
        <v>5500</v>
      </c>
      <c r="I265" s="2177">
        <v>250</v>
      </c>
      <c r="J265" s="1264">
        <f t="shared" si="24"/>
        <v>500</v>
      </c>
      <c r="K265" s="1273">
        <f t="shared" si="25"/>
        <v>6000</v>
      </c>
      <c r="L265" s="1385"/>
      <c r="M265" s="1214"/>
      <c r="N265" s="1214"/>
      <c r="O265" s="1214"/>
      <c r="P265" s="1214"/>
    </row>
    <row r="266" spans="1:16" s="1199" customFormat="1" ht="24" customHeight="1">
      <c r="A266" s="1406" t="s">
        <v>2992</v>
      </c>
      <c r="B266" s="2174" t="s">
        <v>1500</v>
      </c>
      <c r="C266" s="1202"/>
      <c r="D266" s="1202"/>
      <c r="E266" s="1387">
        <v>2</v>
      </c>
      <c r="F266" s="1207" t="s">
        <v>363</v>
      </c>
      <c r="G266" s="2176">
        <v>2750</v>
      </c>
      <c r="H266" s="1264">
        <f t="shared" si="23"/>
        <v>5500</v>
      </c>
      <c r="I266" s="2177">
        <v>250</v>
      </c>
      <c r="J266" s="1264">
        <f t="shared" si="24"/>
        <v>500</v>
      </c>
      <c r="K266" s="1273">
        <f t="shared" si="25"/>
        <v>6000</v>
      </c>
      <c r="L266" s="1385"/>
      <c r="M266" s="1214"/>
      <c r="N266" s="1214"/>
      <c r="O266" s="1214"/>
      <c r="P266" s="1214"/>
    </row>
    <row r="267" spans="1:16" s="1199" customFormat="1" ht="24" customHeight="1">
      <c r="A267" s="1406" t="s">
        <v>2993</v>
      </c>
      <c r="B267" s="2174" t="s">
        <v>1502</v>
      </c>
      <c r="C267" s="1202"/>
      <c r="D267" s="1202"/>
      <c r="E267" s="1387">
        <v>2</v>
      </c>
      <c r="F267" s="1207" t="s">
        <v>363</v>
      </c>
      <c r="G267" s="2176">
        <v>2750</v>
      </c>
      <c r="H267" s="1264">
        <f t="shared" si="23"/>
        <v>5500</v>
      </c>
      <c r="I267" s="2177">
        <v>250</v>
      </c>
      <c r="J267" s="1264">
        <f t="shared" si="24"/>
        <v>500</v>
      </c>
      <c r="K267" s="1273">
        <f t="shared" si="25"/>
        <v>6000</v>
      </c>
      <c r="L267" s="1385"/>
      <c r="M267" s="1214"/>
      <c r="N267" s="1214"/>
      <c r="O267" s="1214"/>
      <c r="P267" s="1214"/>
    </row>
    <row r="268" spans="1:16" s="1199" customFormat="1" ht="24" customHeight="1">
      <c r="A268" s="1406" t="s">
        <v>2994</v>
      </c>
      <c r="B268" s="2174" t="s">
        <v>1504</v>
      </c>
      <c r="C268" s="1202"/>
      <c r="D268" s="1202"/>
      <c r="E268" s="1387">
        <v>2</v>
      </c>
      <c r="F268" s="1207" t="s">
        <v>363</v>
      </c>
      <c r="G268" s="2176">
        <v>2750</v>
      </c>
      <c r="H268" s="1264">
        <f t="shared" si="23"/>
        <v>5500</v>
      </c>
      <c r="I268" s="2177">
        <v>250</v>
      </c>
      <c r="J268" s="1264">
        <f t="shared" si="24"/>
        <v>500</v>
      </c>
      <c r="K268" s="1273">
        <f t="shared" si="25"/>
        <v>6000</v>
      </c>
      <c r="L268" s="1385"/>
      <c r="M268" s="1214"/>
      <c r="N268" s="1214"/>
      <c r="O268" s="1214"/>
      <c r="P268" s="1214"/>
    </row>
    <row r="269" spans="1:16" s="1199" customFormat="1" ht="24" customHeight="1">
      <c r="A269" s="1406" t="s">
        <v>2995</v>
      </c>
      <c r="B269" s="2174" t="s">
        <v>1506</v>
      </c>
      <c r="C269" s="1202"/>
      <c r="D269" s="1202"/>
      <c r="E269" s="1387">
        <v>4</v>
      </c>
      <c r="F269" s="1207" t="s">
        <v>363</v>
      </c>
      <c r="G269" s="2176">
        <v>2750</v>
      </c>
      <c r="H269" s="1264">
        <f t="shared" si="23"/>
        <v>11000</v>
      </c>
      <c r="I269" s="2177">
        <v>250</v>
      </c>
      <c r="J269" s="1264">
        <f t="shared" si="24"/>
        <v>1000</v>
      </c>
      <c r="K269" s="1273">
        <f t="shared" si="25"/>
        <v>12000</v>
      </c>
      <c r="L269" s="1385"/>
      <c r="M269" s="1214"/>
      <c r="N269" s="1214"/>
      <c r="O269" s="1214"/>
      <c r="P269" s="1214"/>
    </row>
    <row r="270" spans="1:16" s="1199" customFormat="1" ht="24" customHeight="1">
      <c r="A270" s="1406" t="s">
        <v>2996</v>
      </c>
      <c r="B270" s="2174" t="s">
        <v>1508</v>
      </c>
      <c r="C270" s="1202"/>
      <c r="D270" s="1202"/>
      <c r="E270" s="1387">
        <v>4</v>
      </c>
      <c r="F270" s="1207" t="s">
        <v>363</v>
      </c>
      <c r="G270" s="2176">
        <v>2250</v>
      </c>
      <c r="H270" s="1264">
        <f t="shared" si="23"/>
        <v>9000</v>
      </c>
      <c r="I270" s="2177">
        <v>250</v>
      </c>
      <c r="J270" s="1264">
        <f t="shared" si="24"/>
        <v>1000</v>
      </c>
      <c r="K270" s="1273">
        <f t="shared" si="25"/>
        <v>10000</v>
      </c>
      <c r="L270" s="1385"/>
      <c r="M270" s="1214"/>
      <c r="N270" s="1214"/>
      <c r="O270" s="1214"/>
      <c r="P270" s="1214"/>
    </row>
    <row r="271" spans="1:16" s="1199" customFormat="1" ht="24" customHeight="1">
      <c r="A271" s="1406" t="s">
        <v>2998</v>
      </c>
      <c r="B271" s="2174" t="s">
        <v>1510</v>
      </c>
      <c r="C271" s="1202"/>
      <c r="D271" s="1202"/>
      <c r="E271" s="1387">
        <v>41</v>
      </c>
      <c r="F271" s="1207" t="s">
        <v>363</v>
      </c>
      <c r="G271" s="2176">
        <f>3300+300</f>
        <v>3600</v>
      </c>
      <c r="H271" s="1264">
        <f t="shared" si="23"/>
        <v>147600</v>
      </c>
      <c r="I271" s="2177">
        <v>200</v>
      </c>
      <c r="J271" s="1264">
        <f t="shared" si="24"/>
        <v>8200</v>
      </c>
      <c r="K271" s="1273">
        <f t="shared" si="25"/>
        <v>155800</v>
      </c>
      <c r="L271" s="1385"/>
      <c r="M271" s="1214"/>
      <c r="N271" s="1214"/>
      <c r="O271" s="1214"/>
      <c r="P271" s="1214"/>
    </row>
    <row r="272" spans="1:16" s="1199" customFormat="1" ht="24" customHeight="1">
      <c r="A272" s="1406" t="s">
        <v>2999</v>
      </c>
      <c r="B272" s="2174" t="s">
        <v>1512</v>
      </c>
      <c r="C272" s="1202"/>
      <c r="D272" s="1202"/>
      <c r="E272" s="1387">
        <v>6</v>
      </c>
      <c r="F272" s="1207" t="s">
        <v>363</v>
      </c>
      <c r="G272" s="2176">
        <v>5000</v>
      </c>
      <c r="H272" s="1264">
        <f t="shared" si="23"/>
        <v>30000</v>
      </c>
      <c r="I272" s="2177">
        <v>500</v>
      </c>
      <c r="J272" s="1264">
        <f t="shared" si="24"/>
        <v>3000</v>
      </c>
      <c r="K272" s="1273">
        <f t="shared" si="25"/>
        <v>33000</v>
      </c>
      <c r="L272" s="1385"/>
      <c r="M272" s="1214"/>
      <c r="N272" s="1214"/>
      <c r="O272" s="1214"/>
      <c r="P272" s="1214"/>
    </row>
    <row r="273" spans="1:16" s="1199" customFormat="1" ht="24" customHeight="1">
      <c r="A273" s="1406" t="s">
        <v>3000</v>
      </c>
      <c r="B273" s="2174" t="s">
        <v>1514</v>
      </c>
      <c r="C273" s="1202"/>
      <c r="D273" s="1202"/>
      <c r="E273" s="1387">
        <v>4</v>
      </c>
      <c r="F273" s="1207" t="s">
        <v>363</v>
      </c>
      <c r="G273" s="2176">
        <v>350</v>
      </c>
      <c r="H273" s="1264">
        <f t="shared" si="23"/>
        <v>1400</v>
      </c>
      <c r="I273" s="2177">
        <v>200</v>
      </c>
      <c r="J273" s="1264">
        <f t="shared" si="24"/>
        <v>800</v>
      </c>
      <c r="K273" s="1273">
        <f t="shared" si="25"/>
        <v>2200</v>
      </c>
      <c r="L273" s="1385"/>
      <c r="M273" s="1214"/>
      <c r="N273" s="1214"/>
      <c r="O273" s="1214"/>
      <c r="P273" s="1214"/>
    </row>
    <row r="274" spans="1:16" s="1199" customFormat="1" ht="24" customHeight="1">
      <c r="A274" s="1406" t="s">
        <v>3001</v>
      </c>
      <c r="B274" s="2174" t="s">
        <v>1516</v>
      </c>
      <c r="C274" s="1202"/>
      <c r="D274" s="1202"/>
      <c r="E274" s="1387">
        <v>4</v>
      </c>
      <c r="F274" s="1207" t="s">
        <v>363</v>
      </c>
      <c r="G274" s="2176">
        <v>2200</v>
      </c>
      <c r="H274" s="1264">
        <f t="shared" si="23"/>
        <v>8800</v>
      </c>
      <c r="I274" s="2177">
        <v>200</v>
      </c>
      <c r="J274" s="1264">
        <f t="shared" si="24"/>
        <v>800</v>
      </c>
      <c r="K274" s="1273">
        <f t="shared" si="25"/>
        <v>9600</v>
      </c>
      <c r="L274" s="1385"/>
      <c r="M274" s="1214"/>
      <c r="N274" s="1214"/>
      <c r="O274" s="1214"/>
      <c r="P274" s="1214"/>
    </row>
    <row r="275" spans="1:16" s="1199" customFormat="1" ht="24" customHeight="1">
      <c r="A275" s="1406" t="s">
        <v>3002</v>
      </c>
      <c r="B275" s="2174" t="s">
        <v>1518</v>
      </c>
      <c r="C275" s="1202"/>
      <c r="D275" s="1202"/>
      <c r="E275" s="1387">
        <v>28</v>
      </c>
      <c r="F275" s="1207" t="s">
        <v>363</v>
      </c>
      <c r="G275" s="2176">
        <v>4200</v>
      </c>
      <c r="H275" s="1264">
        <f t="shared" si="23"/>
        <v>117600</v>
      </c>
      <c r="I275" s="2177">
        <v>200</v>
      </c>
      <c r="J275" s="1264">
        <f t="shared" si="24"/>
        <v>5600</v>
      </c>
      <c r="K275" s="1273">
        <f t="shared" si="25"/>
        <v>123200</v>
      </c>
      <c r="L275" s="1385"/>
      <c r="M275" s="1214"/>
      <c r="N275" s="1214"/>
      <c r="O275" s="1214"/>
      <c r="P275" s="1214"/>
    </row>
    <row r="276" spans="1:16" s="1199" customFormat="1" ht="24" customHeight="1">
      <c r="A276" s="1406" t="s">
        <v>3003</v>
      </c>
      <c r="B276" s="2174" t="s">
        <v>1521</v>
      </c>
      <c r="C276" s="1202"/>
      <c r="D276" s="1202"/>
      <c r="E276" s="1404">
        <v>2</v>
      </c>
      <c r="F276" s="1207" t="s">
        <v>363</v>
      </c>
      <c r="G276" s="2176">
        <v>5000</v>
      </c>
      <c r="H276" s="1264">
        <f t="shared" si="23"/>
        <v>10000</v>
      </c>
      <c r="I276" s="2177">
        <v>500</v>
      </c>
      <c r="J276" s="1264">
        <f t="shared" si="24"/>
        <v>1000</v>
      </c>
      <c r="K276" s="1273">
        <f t="shared" si="25"/>
        <v>11000</v>
      </c>
      <c r="L276" s="1385"/>
      <c r="M276" s="1214"/>
      <c r="N276" s="1214"/>
      <c r="O276" s="1214"/>
      <c r="P276" s="1214"/>
    </row>
    <row r="277" spans="1:16" s="1199" customFormat="1" ht="24" customHeight="1">
      <c r="A277" s="1406" t="s">
        <v>3004</v>
      </c>
      <c r="B277" s="2174" t="s">
        <v>1312</v>
      </c>
      <c r="C277" s="1202"/>
      <c r="D277" s="1202"/>
      <c r="E277" s="1404"/>
      <c r="F277" s="1384"/>
      <c r="G277" s="2176"/>
      <c r="H277" s="1264">
        <f t="shared" si="23"/>
        <v>0</v>
      </c>
      <c r="I277" s="2177"/>
      <c r="J277" s="1264">
        <f t="shared" si="24"/>
        <v>0</v>
      </c>
      <c r="K277" s="1273">
        <f t="shared" si="25"/>
        <v>0</v>
      </c>
      <c r="L277" s="1385"/>
      <c r="M277" s="1214"/>
      <c r="N277" s="1214"/>
      <c r="O277" s="1214"/>
      <c r="P277" s="1214"/>
    </row>
    <row r="278" spans="1:16" s="1199" customFormat="1" ht="24" customHeight="1">
      <c r="A278" s="1331"/>
      <c r="B278" s="2174" t="s">
        <v>1523</v>
      </c>
      <c r="C278" s="1202"/>
      <c r="D278" s="1202"/>
      <c r="E278" s="1404">
        <v>1680</v>
      </c>
      <c r="F278" s="1358" t="s">
        <v>226</v>
      </c>
      <c r="G278" s="2176">
        <v>82</v>
      </c>
      <c r="H278" s="1264">
        <f t="shared" si="23"/>
        <v>137760</v>
      </c>
      <c r="I278" s="2177">
        <v>12</v>
      </c>
      <c r="J278" s="1264">
        <f t="shared" si="24"/>
        <v>20160</v>
      </c>
      <c r="K278" s="1273">
        <f t="shared" si="25"/>
        <v>157920</v>
      </c>
      <c r="L278" s="1385"/>
      <c r="M278" s="1214"/>
      <c r="N278" s="1214"/>
      <c r="O278" s="1214"/>
      <c r="P278" s="1214"/>
    </row>
    <row r="279" spans="1:16" s="1199" customFormat="1" ht="24" customHeight="1">
      <c r="A279" s="1331"/>
      <c r="B279" s="2174" t="s">
        <v>2553</v>
      </c>
      <c r="C279" s="1202"/>
      <c r="D279" s="1202"/>
      <c r="E279" s="1404">
        <v>2400</v>
      </c>
      <c r="F279" s="1358" t="s">
        <v>226</v>
      </c>
      <c r="G279" s="2176">
        <v>6</v>
      </c>
      <c r="H279" s="1264">
        <f t="shared" si="23"/>
        <v>14400</v>
      </c>
      <c r="I279" s="2177">
        <v>6</v>
      </c>
      <c r="J279" s="1264">
        <f>ROUND(E279*I279,)</f>
        <v>14400</v>
      </c>
      <c r="K279" s="1273">
        <f t="shared" si="25"/>
        <v>28800</v>
      </c>
      <c r="L279" s="1385"/>
      <c r="M279" s="1214"/>
      <c r="N279" s="1214"/>
      <c r="O279" s="1214"/>
      <c r="P279" s="1214"/>
    </row>
    <row r="280" spans="1:16" s="1199" customFormat="1" ht="24" customHeight="1">
      <c r="A280" s="1331"/>
      <c r="B280" s="1190" t="s">
        <v>1524</v>
      </c>
      <c r="C280" s="1202"/>
      <c r="D280" s="1202"/>
      <c r="E280" s="1404">
        <v>870</v>
      </c>
      <c r="F280" s="1358" t="s">
        <v>226</v>
      </c>
      <c r="G280" s="2176">
        <v>18</v>
      </c>
      <c r="H280" s="1264">
        <f t="shared" si="23"/>
        <v>15660</v>
      </c>
      <c r="I280" s="2177">
        <v>8</v>
      </c>
      <c r="J280" s="1264">
        <f t="shared" si="24"/>
        <v>6960</v>
      </c>
      <c r="K280" s="1273">
        <f t="shared" si="25"/>
        <v>22620</v>
      </c>
      <c r="L280" s="1385"/>
      <c r="M280" s="1214"/>
      <c r="N280" s="1214"/>
      <c r="O280" s="1214"/>
      <c r="P280" s="1214"/>
    </row>
    <row r="281" spans="1:16" s="1199" customFormat="1" ht="24" customHeight="1">
      <c r="A281" s="1331"/>
      <c r="B281" s="2174" t="s">
        <v>1525</v>
      </c>
      <c r="C281" s="1202"/>
      <c r="D281" s="1202"/>
      <c r="E281" s="1404">
        <v>1</v>
      </c>
      <c r="F281" s="1384" t="s">
        <v>1104</v>
      </c>
      <c r="G281" s="2176">
        <f>SUM(H278:H280)*5%</f>
        <v>8391</v>
      </c>
      <c r="H281" s="1264">
        <f t="shared" si="23"/>
        <v>8391</v>
      </c>
      <c r="I281" s="2177">
        <f>ROUND(G281*0.3,)</f>
        <v>2517</v>
      </c>
      <c r="J281" s="1264">
        <f t="shared" si="24"/>
        <v>2517</v>
      </c>
      <c r="K281" s="1273">
        <f t="shared" si="25"/>
        <v>10908</v>
      </c>
      <c r="L281" s="1385"/>
      <c r="M281" s="1214"/>
      <c r="N281" s="1214"/>
      <c r="O281" s="1214"/>
      <c r="P281" s="1214"/>
    </row>
    <row r="282" spans="1:16" s="1199" customFormat="1" ht="24" customHeight="1">
      <c r="A282" s="1406" t="s">
        <v>3005</v>
      </c>
      <c r="B282" s="2174" t="s">
        <v>1526</v>
      </c>
      <c r="C282" s="1202"/>
      <c r="D282" s="1202"/>
      <c r="E282" s="1404"/>
      <c r="F282" s="1384"/>
      <c r="G282" s="2176"/>
      <c r="H282" s="1264"/>
      <c r="I282" s="2177"/>
      <c r="J282" s="1264"/>
      <c r="K282" s="1273"/>
      <c r="L282" s="1385"/>
      <c r="M282" s="1214"/>
      <c r="N282" s="1214"/>
      <c r="O282" s="1214"/>
      <c r="P282" s="1214"/>
    </row>
    <row r="283" spans="1:16" s="1199" customFormat="1" ht="24" customHeight="1">
      <c r="A283" s="1331"/>
      <c r="B283" s="2174" t="s">
        <v>1350</v>
      </c>
      <c r="C283" s="1202"/>
      <c r="D283" s="1202"/>
      <c r="E283" s="1387">
        <v>1200</v>
      </c>
      <c r="F283" s="1358" t="s">
        <v>226</v>
      </c>
      <c r="G283" s="2176">
        <v>27</v>
      </c>
      <c r="H283" s="1264">
        <f t="shared" ref="H283:H290" si="26">ROUND(E283*G283,)</f>
        <v>32400</v>
      </c>
      <c r="I283" s="2177">
        <v>22</v>
      </c>
      <c r="J283" s="1264">
        <f t="shared" ref="J283:J284" si="27">ROUND(E283*I283,)</f>
        <v>26400</v>
      </c>
      <c r="K283" s="1802">
        <f t="shared" ref="K283:K284" si="28">H283+J283</f>
        <v>58800</v>
      </c>
      <c r="L283" s="2001" t="s">
        <v>2667</v>
      </c>
      <c r="M283" s="1214"/>
      <c r="P283" s="1214"/>
    </row>
    <row r="284" spans="1:16" s="1199" customFormat="1" ht="24" customHeight="1">
      <c r="A284" s="1331"/>
      <c r="B284" s="2174" t="s">
        <v>1384</v>
      </c>
      <c r="C284" s="1202"/>
      <c r="D284" s="1202"/>
      <c r="E284" s="1387">
        <v>1</v>
      </c>
      <c r="F284" s="1384" t="s">
        <v>1104</v>
      </c>
      <c r="G284" s="2176">
        <f>SUM(H283)*15%</f>
        <v>4860</v>
      </c>
      <c r="H284" s="1264">
        <f t="shared" si="26"/>
        <v>4860</v>
      </c>
      <c r="I284" s="2177">
        <f>G284*0.3</f>
        <v>1458</v>
      </c>
      <c r="J284" s="1264">
        <f t="shared" si="27"/>
        <v>1458</v>
      </c>
      <c r="K284" s="1273">
        <f t="shared" si="28"/>
        <v>6318</v>
      </c>
      <c r="L284" s="1385"/>
      <c r="M284" s="1214"/>
      <c r="N284" s="1214"/>
      <c r="O284" s="1214"/>
      <c r="P284" s="1214"/>
    </row>
    <row r="285" spans="1:16" s="1199" customFormat="1" ht="24" customHeight="1">
      <c r="A285" s="1406" t="s">
        <v>3006</v>
      </c>
      <c r="B285" s="2174" t="s">
        <v>1110</v>
      </c>
      <c r="C285" s="1202"/>
      <c r="D285" s="1202"/>
      <c r="E285" s="1387"/>
      <c r="F285" s="1384"/>
      <c r="G285" s="2176"/>
      <c r="H285" s="1264">
        <f t="shared" si="26"/>
        <v>0</v>
      </c>
      <c r="I285" s="2177"/>
      <c r="J285" s="1264">
        <f t="shared" si="24"/>
        <v>0</v>
      </c>
      <c r="K285" s="1273">
        <f t="shared" si="25"/>
        <v>0</v>
      </c>
      <c r="L285" s="1385"/>
      <c r="M285" s="1214"/>
      <c r="N285" s="1214"/>
      <c r="O285" s="1214"/>
      <c r="P285" s="1214"/>
    </row>
    <row r="286" spans="1:16" s="1199" customFormat="1" ht="24" customHeight="1">
      <c r="A286" s="1331"/>
      <c r="B286" s="2174" t="s">
        <v>1350</v>
      </c>
      <c r="C286" s="1202"/>
      <c r="D286" s="1202"/>
      <c r="E286" s="1387"/>
      <c r="F286" s="1358" t="s">
        <v>226</v>
      </c>
      <c r="G286" s="2176">
        <v>56</v>
      </c>
      <c r="H286" s="1264">
        <f t="shared" si="26"/>
        <v>0</v>
      </c>
      <c r="I286" s="2177">
        <v>26</v>
      </c>
      <c r="J286" s="1264">
        <f t="shared" si="24"/>
        <v>0</v>
      </c>
      <c r="K286" s="1273">
        <f t="shared" si="25"/>
        <v>0</v>
      </c>
      <c r="L286" s="2001" t="s">
        <v>2667</v>
      </c>
      <c r="M286" s="1214"/>
      <c r="P286" s="1214"/>
    </row>
    <row r="287" spans="1:16" s="1199" customFormat="1" ht="24" customHeight="1">
      <c r="A287" s="1331"/>
      <c r="B287" s="2174" t="s">
        <v>1448</v>
      </c>
      <c r="C287" s="1202"/>
      <c r="D287" s="1202"/>
      <c r="E287" s="1404">
        <v>2550</v>
      </c>
      <c r="F287" s="1358" t="s">
        <v>226</v>
      </c>
      <c r="G287" s="2176">
        <v>75</v>
      </c>
      <c r="H287" s="1264">
        <f t="shared" si="26"/>
        <v>191250</v>
      </c>
      <c r="I287" s="2177">
        <v>29</v>
      </c>
      <c r="J287" s="1264">
        <f t="shared" si="24"/>
        <v>73950</v>
      </c>
      <c r="K287" s="1273">
        <f>H287+J287</f>
        <v>265200</v>
      </c>
      <c r="L287" s="2001" t="s">
        <v>2667</v>
      </c>
      <c r="P287" s="1214"/>
    </row>
    <row r="288" spans="1:16" s="1199" customFormat="1" ht="24" customHeight="1">
      <c r="A288" s="1331"/>
      <c r="B288" s="2174" t="s">
        <v>1108</v>
      </c>
      <c r="C288" s="1202"/>
      <c r="D288" s="1202"/>
      <c r="E288" s="1387">
        <v>1</v>
      </c>
      <c r="F288" s="1384" t="s">
        <v>1104</v>
      </c>
      <c r="G288" s="2176">
        <f>ROUND(SUM(H286:H287)*15%,)</f>
        <v>28688</v>
      </c>
      <c r="H288" s="1264">
        <f t="shared" si="26"/>
        <v>28688</v>
      </c>
      <c r="I288" s="2177">
        <f>ROUND(G288*0.3,)</f>
        <v>8606</v>
      </c>
      <c r="J288" s="1264">
        <f t="shared" si="24"/>
        <v>8606</v>
      </c>
      <c r="K288" s="1273">
        <f t="shared" si="25"/>
        <v>37294</v>
      </c>
      <c r="L288" s="1385"/>
      <c r="M288" s="1214"/>
      <c r="N288" s="1214"/>
      <c r="O288" s="1214"/>
      <c r="P288" s="1214"/>
    </row>
    <row r="289" spans="1:17" s="1199" customFormat="1" ht="24" customHeight="1">
      <c r="A289" s="1406" t="s">
        <v>3007</v>
      </c>
      <c r="B289" s="2174" t="s">
        <v>1449</v>
      </c>
      <c r="C289" s="1202"/>
      <c r="D289" s="1202"/>
      <c r="E289" s="1387"/>
      <c r="F289" s="1384"/>
      <c r="G289" s="2176"/>
      <c r="H289" s="1264">
        <f t="shared" si="26"/>
        <v>0</v>
      </c>
      <c r="I289" s="2177"/>
      <c r="J289" s="1264">
        <f t="shared" si="24"/>
        <v>0</v>
      </c>
      <c r="K289" s="1273">
        <f t="shared" si="25"/>
        <v>0</v>
      </c>
      <c r="L289" s="1385"/>
      <c r="M289" s="1214"/>
      <c r="N289" s="1214"/>
      <c r="O289" s="1214"/>
      <c r="P289" s="1214"/>
    </row>
    <row r="290" spans="1:17" s="1199" customFormat="1" ht="24" customHeight="1">
      <c r="A290" s="1331"/>
      <c r="B290" s="2174" t="s">
        <v>1350</v>
      </c>
      <c r="C290" s="1202"/>
      <c r="D290" s="1202"/>
      <c r="E290" s="1387">
        <v>41</v>
      </c>
      <c r="F290" s="1358" t="s">
        <v>226</v>
      </c>
      <c r="G290" s="2176">
        <v>14</v>
      </c>
      <c r="H290" s="1264">
        <f t="shared" si="26"/>
        <v>574</v>
      </c>
      <c r="I290" s="2177">
        <v>11</v>
      </c>
      <c r="J290" s="1264">
        <f t="shared" si="24"/>
        <v>451</v>
      </c>
      <c r="K290" s="1273">
        <f t="shared" si="25"/>
        <v>1025</v>
      </c>
      <c r="L290" s="1385"/>
      <c r="M290" s="1214"/>
      <c r="N290" s="1214"/>
      <c r="O290" s="1214"/>
      <c r="P290" s="1214"/>
    </row>
    <row r="291" spans="1:17" s="1199" customFormat="1" ht="24" customHeight="1">
      <c r="A291" s="1406"/>
      <c r="B291" s="2174" t="s">
        <v>1117</v>
      </c>
      <c r="C291" s="1202"/>
      <c r="D291" s="1202"/>
      <c r="E291" s="1404"/>
      <c r="F291" s="1384"/>
      <c r="G291" s="2176"/>
      <c r="H291" s="1264"/>
      <c r="I291" s="2177"/>
      <c r="J291" s="1264"/>
      <c r="K291" s="1273"/>
      <c r="L291" s="1385"/>
      <c r="M291" s="1214"/>
      <c r="N291" s="1214"/>
      <c r="O291" s="1214"/>
      <c r="P291" s="1214"/>
    </row>
    <row r="292" spans="1:17" s="1199" customFormat="1" ht="24" customHeight="1">
      <c r="A292" s="1331"/>
      <c r="B292" s="2174" t="s">
        <v>1369</v>
      </c>
      <c r="C292" s="1202"/>
      <c r="D292" s="1202"/>
      <c r="E292" s="1387"/>
      <c r="F292" s="1358"/>
      <c r="G292" s="2176"/>
      <c r="H292" s="1264"/>
      <c r="I292" s="2177"/>
      <c r="J292" s="1264"/>
      <c r="K292" s="1802"/>
      <c r="L292" s="2001"/>
      <c r="M292" s="1214"/>
      <c r="N292" s="1214"/>
      <c r="O292" s="1214"/>
      <c r="P292" s="1214"/>
    </row>
    <row r="293" spans="1:17" s="1199" customFormat="1" ht="24" customHeight="1">
      <c r="A293" s="1331"/>
      <c r="B293" s="2174" t="s">
        <v>1369</v>
      </c>
      <c r="C293" s="1202"/>
      <c r="D293" s="1202"/>
      <c r="E293" s="1387"/>
      <c r="F293" s="1384"/>
      <c r="G293" s="2176"/>
      <c r="H293" s="1264"/>
      <c r="I293" s="2177"/>
      <c r="J293" s="1264"/>
      <c r="K293" s="1273"/>
      <c r="L293" s="1385"/>
      <c r="M293" s="1214"/>
      <c r="N293" s="1214"/>
      <c r="O293" s="1214"/>
      <c r="P293" s="1214"/>
      <c r="Q293" s="1214"/>
    </row>
    <row r="294" spans="1:17" s="1199" customFormat="1" ht="24" customHeight="1">
      <c r="A294" s="1406"/>
      <c r="B294" s="2174"/>
      <c r="C294" s="1202"/>
      <c r="D294" s="1202"/>
      <c r="E294" s="1387"/>
      <c r="F294" s="1384"/>
      <c r="G294" s="2176"/>
      <c r="H294" s="1264"/>
      <c r="I294" s="2177"/>
      <c r="J294" s="1264"/>
      <c r="K294" s="1273"/>
      <c r="L294" s="1385"/>
      <c r="M294" s="1214"/>
      <c r="N294" s="1214"/>
      <c r="O294" s="1214"/>
      <c r="P294" s="1214"/>
      <c r="Q294" s="1214"/>
    </row>
    <row r="295" spans="1:17" s="1199" customFormat="1" ht="24" customHeight="1">
      <c r="A295" s="1331"/>
      <c r="B295" s="2174"/>
      <c r="C295" s="1202"/>
      <c r="D295" s="1202"/>
      <c r="E295" s="1387"/>
      <c r="F295" s="1358"/>
      <c r="G295" s="2176"/>
      <c r="H295" s="1264"/>
      <c r="I295" s="2177"/>
      <c r="J295" s="1264"/>
      <c r="K295" s="1273"/>
      <c r="L295" s="2001"/>
      <c r="M295" s="1214"/>
      <c r="N295" s="1214"/>
      <c r="O295" s="1214"/>
      <c r="P295" s="1214"/>
      <c r="Q295" s="1214"/>
    </row>
    <row r="296" spans="1:17" s="1199" customFormat="1" ht="24" customHeight="1">
      <c r="A296" s="1331"/>
      <c r="B296" s="2174"/>
      <c r="C296" s="1202"/>
      <c r="D296" s="1202"/>
      <c r="E296" s="1404"/>
      <c r="F296" s="1358"/>
      <c r="G296" s="2176"/>
      <c r="H296" s="1264"/>
      <c r="I296" s="2177"/>
      <c r="J296" s="1264"/>
      <c r="K296" s="1273"/>
      <c r="L296" s="2001"/>
      <c r="M296" s="1214"/>
      <c r="N296" s="1214"/>
      <c r="O296" s="1214"/>
      <c r="P296" s="1214"/>
      <c r="Q296" s="1214"/>
    </row>
    <row r="297" spans="1:17" s="1199" customFormat="1" ht="24" customHeight="1">
      <c r="A297" s="1331"/>
      <c r="B297" s="2174"/>
      <c r="C297" s="1202"/>
      <c r="D297" s="1202"/>
      <c r="E297" s="1387"/>
      <c r="F297" s="1384"/>
      <c r="G297" s="2176"/>
      <c r="H297" s="1264"/>
      <c r="I297" s="2177"/>
      <c r="J297" s="1264"/>
      <c r="K297" s="1273"/>
      <c r="L297" s="1385"/>
      <c r="M297" s="1214"/>
      <c r="N297" s="1214"/>
      <c r="O297" s="1214"/>
      <c r="P297" s="1214"/>
    </row>
    <row r="298" spans="1:17" s="1199" customFormat="1" ht="24" customHeight="1">
      <c r="A298" s="1243"/>
      <c r="B298" s="2257" t="str">
        <f>"รวมราคารายการที่ "&amp;A257</f>
        <v>รวมราคารายการที่ 3.9</v>
      </c>
      <c r="C298" s="2258"/>
      <c r="D298" s="2259"/>
      <c r="E298" s="1244"/>
      <c r="F298" s="1245"/>
      <c r="G298" s="1246"/>
      <c r="H298" s="1247">
        <f>SUM(H258:H292)</f>
        <v>920883</v>
      </c>
      <c r="I298" s="1246"/>
      <c r="J298" s="1247">
        <f t="shared" ref="J298:K298" si="29">SUM(J258:J292)</f>
        <v>192502</v>
      </c>
      <c r="K298" s="1247">
        <f t="shared" si="29"/>
        <v>1113385</v>
      </c>
      <c r="L298" s="1245"/>
      <c r="M298" s="1214"/>
      <c r="N298" s="1214"/>
      <c r="O298" s="1214"/>
      <c r="P298" s="1214"/>
    </row>
    <row r="299" spans="1:17" s="1199" customFormat="1" ht="24" customHeight="1">
      <c r="A299" s="1435" t="s">
        <v>1570</v>
      </c>
      <c r="B299" s="1436" t="s">
        <v>1404</v>
      </c>
      <c r="C299" s="1202"/>
      <c r="D299" s="1202"/>
      <c r="E299" s="1387"/>
      <c r="F299" s="1407"/>
      <c r="G299" s="2176"/>
      <c r="H299" s="1388"/>
      <c r="I299" s="2177"/>
      <c r="J299" s="1385"/>
      <c r="K299" s="1385"/>
      <c r="L299" s="1385"/>
      <c r="M299" s="1214"/>
      <c r="N299" s="1214"/>
      <c r="O299" s="1214"/>
      <c r="P299" s="1214"/>
    </row>
    <row r="300" spans="1:17" s="1199" customFormat="1" ht="24" customHeight="1">
      <c r="A300" s="1406" t="s">
        <v>1348</v>
      </c>
      <c r="B300" s="2174" t="s">
        <v>1529</v>
      </c>
      <c r="C300" s="1202"/>
      <c r="D300" s="1202"/>
      <c r="E300" s="1387">
        <v>4</v>
      </c>
      <c r="F300" s="1207" t="s">
        <v>363</v>
      </c>
      <c r="G300" s="2176">
        <v>900</v>
      </c>
      <c r="H300" s="1264">
        <f t="shared" ref="H300:H306" si="30">ROUND(G300*E300,)</f>
        <v>3600</v>
      </c>
      <c r="I300" s="2177">
        <v>140</v>
      </c>
      <c r="J300" s="1264">
        <f t="shared" ref="J300:J312" si="31">ROUND(E300*I300,)</f>
        <v>560</v>
      </c>
      <c r="K300" s="1273">
        <f t="shared" ref="K300:K312" si="32">H300+J300</f>
        <v>4160</v>
      </c>
      <c r="L300" s="1385"/>
      <c r="M300" s="1214"/>
      <c r="N300" s="1214"/>
      <c r="O300" s="1214"/>
      <c r="P300" s="1214"/>
    </row>
    <row r="301" spans="1:17" s="1199" customFormat="1" ht="24" customHeight="1">
      <c r="A301" s="1406" t="s">
        <v>1349</v>
      </c>
      <c r="B301" s="2174" t="s">
        <v>1530</v>
      </c>
      <c r="C301" s="1202"/>
      <c r="D301" s="1202"/>
      <c r="E301" s="1387">
        <v>8</v>
      </c>
      <c r="F301" s="1207" t="s">
        <v>363</v>
      </c>
      <c r="G301" s="2176">
        <v>5700</v>
      </c>
      <c r="H301" s="1264">
        <f t="shared" si="30"/>
        <v>45600</v>
      </c>
      <c r="I301" s="2177">
        <v>140</v>
      </c>
      <c r="J301" s="1264">
        <f t="shared" si="31"/>
        <v>1120</v>
      </c>
      <c r="K301" s="1273">
        <f t="shared" si="32"/>
        <v>46720</v>
      </c>
      <c r="L301" s="1385"/>
      <c r="M301" s="1214"/>
      <c r="N301" s="1214"/>
      <c r="O301" s="1214"/>
      <c r="P301" s="1214"/>
    </row>
    <row r="302" spans="1:17" s="1199" customFormat="1" ht="24" customHeight="1">
      <c r="A302" s="1406" t="s">
        <v>1577</v>
      </c>
      <c r="B302" s="2174" t="s">
        <v>1531</v>
      </c>
      <c r="C302" s="1202"/>
      <c r="D302" s="1202"/>
      <c r="E302" s="1387">
        <v>2</v>
      </c>
      <c r="F302" s="1207" t="s">
        <v>363</v>
      </c>
      <c r="G302" s="2176">
        <v>3800</v>
      </c>
      <c r="H302" s="1264">
        <f t="shared" si="30"/>
        <v>7600</v>
      </c>
      <c r="I302" s="2177">
        <v>200</v>
      </c>
      <c r="J302" s="1264">
        <f t="shared" si="31"/>
        <v>400</v>
      </c>
      <c r="K302" s="1273">
        <f t="shared" si="32"/>
        <v>8000</v>
      </c>
      <c r="L302" s="1385"/>
      <c r="M302" s="1214"/>
      <c r="N302" s="1214"/>
      <c r="O302" s="1214"/>
      <c r="P302" s="1214"/>
    </row>
    <row r="303" spans="1:17" s="1199" customFormat="1" ht="24" customHeight="1">
      <c r="A303" s="1406" t="s">
        <v>1359</v>
      </c>
      <c r="B303" s="2174" t="s">
        <v>1532</v>
      </c>
      <c r="C303" s="1202"/>
      <c r="D303" s="1202"/>
      <c r="E303" s="1387">
        <v>2</v>
      </c>
      <c r="F303" s="1207" t="s">
        <v>363</v>
      </c>
      <c r="G303" s="2176">
        <v>5000</v>
      </c>
      <c r="H303" s="1264">
        <f t="shared" si="30"/>
        <v>10000</v>
      </c>
      <c r="I303" s="2177">
        <f>G303*0.1</f>
        <v>500</v>
      </c>
      <c r="J303" s="1264">
        <f t="shared" si="31"/>
        <v>1000</v>
      </c>
      <c r="K303" s="1273">
        <f t="shared" si="32"/>
        <v>11000</v>
      </c>
      <c r="L303" s="1385"/>
      <c r="M303" s="1214"/>
      <c r="N303" s="1214"/>
      <c r="O303" s="1214"/>
      <c r="P303" s="1214"/>
    </row>
    <row r="304" spans="1:17" s="1199" customFormat="1" ht="24" customHeight="1">
      <c r="A304" s="1406" t="s">
        <v>1361</v>
      </c>
      <c r="B304" s="2174" t="s">
        <v>1312</v>
      </c>
      <c r="C304" s="1202"/>
      <c r="D304" s="1202"/>
      <c r="E304" s="1387"/>
      <c r="F304" s="1384"/>
      <c r="G304" s="2176"/>
      <c r="H304" s="1264">
        <f t="shared" si="30"/>
        <v>0</v>
      </c>
      <c r="I304" s="2177"/>
      <c r="J304" s="1264">
        <f t="shared" si="31"/>
        <v>0</v>
      </c>
      <c r="K304" s="1273">
        <f t="shared" si="32"/>
        <v>0</v>
      </c>
      <c r="L304" s="1385"/>
      <c r="M304" s="1214"/>
      <c r="N304" s="1214"/>
      <c r="O304" s="1214"/>
      <c r="P304" s="1214"/>
    </row>
    <row r="305" spans="1:17" s="1199" customFormat="1" ht="24" customHeight="1">
      <c r="A305" s="1331"/>
      <c r="B305" s="1220" t="s">
        <v>2542</v>
      </c>
      <c r="C305" s="1202"/>
      <c r="D305" s="1202"/>
      <c r="E305" s="1387">
        <v>360</v>
      </c>
      <c r="F305" s="1358" t="s">
        <v>226</v>
      </c>
      <c r="G305" s="1386">
        <v>24</v>
      </c>
      <c r="H305" s="1264">
        <f t="shared" si="30"/>
        <v>8640</v>
      </c>
      <c r="I305" s="1414">
        <v>10</v>
      </c>
      <c r="J305" s="1264">
        <f t="shared" si="31"/>
        <v>3600</v>
      </c>
      <c r="K305" s="1273">
        <f t="shared" si="32"/>
        <v>12240</v>
      </c>
      <c r="L305" s="1385"/>
      <c r="M305" s="1214"/>
      <c r="N305" s="1214"/>
      <c r="O305" s="1214"/>
      <c r="P305" s="1214"/>
    </row>
    <row r="306" spans="1:17" s="1199" customFormat="1" ht="24" customHeight="1">
      <c r="A306" s="1331"/>
      <c r="B306" s="1220" t="s">
        <v>2543</v>
      </c>
      <c r="C306" s="1202"/>
      <c r="D306" s="1202"/>
      <c r="E306" s="1387">
        <v>100</v>
      </c>
      <c r="F306" s="1358" t="s">
        <v>226</v>
      </c>
      <c r="G306" s="1386">
        <v>31</v>
      </c>
      <c r="H306" s="1264">
        <f t="shared" si="30"/>
        <v>3100</v>
      </c>
      <c r="I306" s="1414">
        <v>10</v>
      </c>
      <c r="J306" s="1264">
        <f t="shared" si="31"/>
        <v>1000</v>
      </c>
      <c r="K306" s="1273">
        <f t="shared" si="32"/>
        <v>4100</v>
      </c>
      <c r="L306" s="1385"/>
      <c r="M306" s="1214"/>
      <c r="N306" s="1214"/>
      <c r="O306" s="1214"/>
      <c r="P306" s="1214"/>
    </row>
    <row r="307" spans="1:17" s="1199" customFormat="1" ht="24" customHeight="1">
      <c r="A307" s="1331"/>
      <c r="B307" s="1220" t="s">
        <v>1525</v>
      </c>
      <c r="C307" s="1202"/>
      <c r="D307" s="1202"/>
      <c r="E307" s="1387">
        <v>1</v>
      </c>
      <c r="F307" s="1384" t="s">
        <v>1104</v>
      </c>
      <c r="G307" s="2176">
        <f>SUM(H305:H306)*5%</f>
        <v>587</v>
      </c>
      <c r="H307" s="1264">
        <f>ROUND(E307*G307,)</f>
        <v>587</v>
      </c>
      <c r="I307" s="2177">
        <f>G307*0.3</f>
        <v>176.1</v>
      </c>
      <c r="J307" s="1264">
        <f t="shared" si="31"/>
        <v>176</v>
      </c>
      <c r="K307" s="1273">
        <f t="shared" si="32"/>
        <v>763</v>
      </c>
      <c r="L307" s="1385"/>
      <c r="M307" s="1214"/>
      <c r="N307" s="1214"/>
      <c r="O307" s="1214"/>
      <c r="P307" s="1214"/>
    </row>
    <row r="308" spans="1:17" s="1199" customFormat="1" ht="24" customHeight="1">
      <c r="A308" s="1406" t="s">
        <v>1363</v>
      </c>
      <c r="B308" s="1220" t="s">
        <v>1110</v>
      </c>
      <c r="C308" s="1202"/>
      <c r="D308" s="1202"/>
      <c r="E308" s="1387"/>
      <c r="F308" s="1384"/>
      <c r="G308" s="2176"/>
      <c r="H308" s="1264">
        <f>ROUND(G308*E308,)</f>
        <v>0</v>
      </c>
      <c r="I308" s="2177"/>
      <c r="J308" s="1264">
        <f t="shared" si="31"/>
        <v>0</v>
      </c>
      <c r="K308" s="1273">
        <f t="shared" si="32"/>
        <v>0</v>
      </c>
      <c r="L308" s="1385"/>
      <c r="M308" s="1214"/>
      <c r="N308" s="1214"/>
      <c r="O308" s="1214"/>
      <c r="P308" s="1214"/>
    </row>
    <row r="309" spans="1:17" s="1199" customFormat="1" ht="24" customHeight="1">
      <c r="A309" s="1331"/>
      <c r="B309" s="1220" t="s">
        <v>1350</v>
      </c>
      <c r="C309" s="1202"/>
      <c r="D309" s="1202"/>
      <c r="E309" s="1387">
        <v>461</v>
      </c>
      <c r="F309" s="1358" t="s">
        <v>226</v>
      </c>
      <c r="G309" s="2176">
        <v>56</v>
      </c>
      <c r="H309" s="1264">
        <f>ROUND(G309*E309,)</f>
        <v>25816</v>
      </c>
      <c r="I309" s="2177">
        <v>22</v>
      </c>
      <c r="J309" s="1264">
        <f t="shared" si="31"/>
        <v>10142</v>
      </c>
      <c r="K309" s="1273">
        <f t="shared" si="32"/>
        <v>35958</v>
      </c>
      <c r="L309" s="2001" t="s">
        <v>2667</v>
      </c>
      <c r="M309" s="1214"/>
      <c r="P309" s="1214"/>
    </row>
    <row r="310" spans="1:17" s="1199" customFormat="1" ht="24" customHeight="1">
      <c r="A310" s="1331"/>
      <c r="B310" s="2174" t="s">
        <v>1384</v>
      </c>
      <c r="C310" s="1202"/>
      <c r="D310" s="1202"/>
      <c r="E310" s="1387">
        <v>1</v>
      </c>
      <c r="F310" s="1407" t="s">
        <v>1104</v>
      </c>
      <c r="G310" s="2176">
        <f>ROUND(SUM(H309:H309)*15%,)</f>
        <v>3872</v>
      </c>
      <c r="H310" s="1264">
        <f>ROUND(G310*E310,)</f>
        <v>3872</v>
      </c>
      <c r="I310" s="2177">
        <f>ROUND(G310*0.3,)</f>
        <v>1162</v>
      </c>
      <c r="J310" s="1264">
        <f t="shared" si="31"/>
        <v>1162</v>
      </c>
      <c r="K310" s="1273">
        <f t="shared" si="32"/>
        <v>5034</v>
      </c>
      <c r="L310" s="1385"/>
      <c r="M310" s="1214"/>
      <c r="N310" s="1214"/>
      <c r="O310" s="1214"/>
      <c r="P310" s="1214"/>
    </row>
    <row r="311" spans="1:17" s="1199" customFormat="1" ht="24" customHeight="1">
      <c r="A311" s="1406" t="s">
        <v>2963</v>
      </c>
      <c r="B311" s="2174" t="s">
        <v>1449</v>
      </c>
      <c r="C311" s="1202"/>
      <c r="D311" s="1202"/>
      <c r="E311" s="1387"/>
      <c r="F311" s="1384"/>
      <c r="G311" s="2176"/>
      <c r="H311" s="1264">
        <f>ROUND(G311*E311,)</f>
        <v>0</v>
      </c>
      <c r="I311" s="2177"/>
      <c r="J311" s="1264">
        <f t="shared" si="31"/>
        <v>0</v>
      </c>
      <c r="K311" s="1273">
        <f t="shared" si="32"/>
        <v>0</v>
      </c>
      <c r="L311" s="1385"/>
      <c r="M311" s="1214"/>
      <c r="N311" s="1214"/>
      <c r="O311" s="1214"/>
      <c r="P311" s="1214"/>
    </row>
    <row r="312" spans="1:17" s="1199" customFormat="1" ht="24" customHeight="1">
      <c r="A312" s="1331"/>
      <c r="B312" s="2174" t="s">
        <v>1350</v>
      </c>
      <c r="C312" s="1202"/>
      <c r="D312" s="1202"/>
      <c r="E312" s="1387">
        <v>55</v>
      </c>
      <c r="F312" s="1358" t="s">
        <v>226</v>
      </c>
      <c r="G312" s="2176">
        <v>14</v>
      </c>
      <c r="H312" s="1264">
        <f>ROUND(G312*E312,)</f>
        <v>770</v>
      </c>
      <c r="I312" s="2177">
        <v>11</v>
      </c>
      <c r="J312" s="1264">
        <f t="shared" si="31"/>
        <v>605</v>
      </c>
      <c r="K312" s="1273">
        <f t="shared" si="32"/>
        <v>1375</v>
      </c>
      <c r="L312" s="1385"/>
      <c r="M312" s="1214"/>
      <c r="N312" s="1214"/>
      <c r="O312" s="1214"/>
      <c r="P312" s="1214"/>
    </row>
    <row r="313" spans="1:17" s="1199" customFormat="1" ht="24" customHeight="1">
      <c r="A313" s="1331"/>
      <c r="B313" s="2174" t="s">
        <v>1117</v>
      </c>
      <c r="C313" s="1202"/>
      <c r="D313" s="1202"/>
      <c r="E313" s="1387"/>
      <c r="F313" s="1384"/>
      <c r="G313" s="2176"/>
      <c r="H313" s="1388"/>
      <c r="I313" s="2177"/>
      <c r="J313" s="1385"/>
      <c r="K313" s="1385"/>
      <c r="L313" s="1385"/>
      <c r="M313" s="1214"/>
      <c r="N313" s="1214"/>
      <c r="O313" s="1214"/>
      <c r="P313" s="1214"/>
    </row>
    <row r="314" spans="1:17" s="1199" customFormat="1" ht="24" customHeight="1">
      <c r="A314" s="1331"/>
      <c r="B314" s="2174" t="s">
        <v>1118</v>
      </c>
      <c r="C314" s="1202"/>
      <c r="D314" s="1202"/>
      <c r="E314" s="1387"/>
      <c r="F314" s="1384"/>
      <c r="G314" s="2176"/>
      <c r="H314" s="1388"/>
      <c r="I314" s="2177"/>
      <c r="J314" s="1385"/>
      <c r="K314" s="1385"/>
      <c r="L314" s="1385"/>
      <c r="M314" s="1214"/>
      <c r="N314" s="1214"/>
      <c r="O314" s="1214"/>
      <c r="P314" s="1214"/>
    </row>
    <row r="315" spans="1:17" s="1199" customFormat="1" ht="24" customHeight="1">
      <c r="A315" s="1406"/>
      <c r="B315" s="1220" t="s">
        <v>1369</v>
      </c>
      <c r="C315" s="1202"/>
      <c r="D315" s="1202"/>
      <c r="E315" s="1387"/>
      <c r="F315" s="1384"/>
      <c r="G315" s="2176"/>
      <c r="H315" s="1264"/>
      <c r="I315" s="2177"/>
      <c r="J315" s="1264"/>
      <c r="K315" s="1273"/>
      <c r="L315" s="1385"/>
      <c r="M315" s="1214"/>
      <c r="N315" s="1214"/>
      <c r="O315" s="1214"/>
      <c r="P315" s="1214"/>
      <c r="Q315" s="1214"/>
    </row>
    <row r="316" spans="1:17" s="1199" customFormat="1" ht="24" customHeight="1">
      <c r="A316" s="1331"/>
      <c r="B316" s="1220"/>
      <c r="C316" s="1202"/>
      <c r="D316" s="1202"/>
      <c r="E316" s="1387"/>
      <c r="F316" s="1358"/>
      <c r="G316" s="2176"/>
      <c r="H316" s="1264"/>
      <c r="I316" s="2177"/>
      <c r="J316" s="1264"/>
      <c r="K316" s="1273"/>
      <c r="L316" s="2001"/>
      <c r="M316" s="1214"/>
      <c r="N316" s="1214"/>
      <c r="O316" s="1214"/>
      <c r="P316" s="1214"/>
      <c r="Q316" s="1214"/>
    </row>
    <row r="317" spans="1:17" s="1199" customFormat="1" ht="24" customHeight="1">
      <c r="A317" s="1331"/>
      <c r="B317" s="2174"/>
      <c r="C317" s="1202"/>
      <c r="D317" s="1202"/>
      <c r="E317" s="1387"/>
      <c r="F317" s="1407"/>
      <c r="G317" s="2176"/>
      <c r="H317" s="1264"/>
      <c r="I317" s="2177"/>
      <c r="J317" s="1264"/>
      <c r="K317" s="1273"/>
      <c r="L317" s="1385"/>
      <c r="M317" s="1214"/>
      <c r="N317" s="1214"/>
      <c r="O317" s="1214"/>
      <c r="P317" s="1214"/>
      <c r="Q317" s="1214"/>
    </row>
    <row r="318" spans="1:17" s="1199" customFormat="1" ht="24" customHeight="1">
      <c r="A318" s="1406"/>
      <c r="B318" s="2174"/>
      <c r="C318" s="1202"/>
      <c r="D318" s="1202"/>
      <c r="E318" s="1387"/>
      <c r="F318" s="1384"/>
      <c r="G318" s="2176"/>
      <c r="H318" s="1264"/>
      <c r="I318" s="2177"/>
      <c r="J318" s="1264"/>
      <c r="K318" s="1273"/>
      <c r="L318" s="1385"/>
      <c r="M318" s="1214"/>
      <c r="N318" s="1214"/>
      <c r="O318" s="1214"/>
      <c r="P318" s="1214"/>
      <c r="Q318" s="1214"/>
    </row>
    <row r="319" spans="1:17" s="1199" customFormat="1" ht="24" customHeight="1">
      <c r="A319" s="1331"/>
      <c r="B319" s="2174"/>
      <c r="C319" s="1202"/>
      <c r="D319" s="1202"/>
      <c r="E319" s="1387"/>
      <c r="F319" s="1358"/>
      <c r="G319" s="2176"/>
      <c r="H319" s="1264"/>
      <c r="I319" s="2177"/>
      <c r="J319" s="1264"/>
      <c r="K319" s="1273"/>
      <c r="L319" s="1385"/>
      <c r="M319" s="1214"/>
      <c r="N319" s="1214"/>
      <c r="O319" s="1214"/>
      <c r="P319" s="1214"/>
      <c r="Q319" s="1214"/>
    </row>
    <row r="320" spans="1:17" s="1199" customFormat="1" ht="24" customHeight="1">
      <c r="A320" s="1331"/>
      <c r="B320" s="2174"/>
      <c r="C320" s="1202"/>
      <c r="D320" s="1202"/>
      <c r="E320" s="1387"/>
      <c r="F320" s="1384"/>
      <c r="G320" s="2176"/>
      <c r="H320" s="1388"/>
      <c r="I320" s="2177"/>
      <c r="J320" s="1385"/>
      <c r="K320" s="1385"/>
      <c r="L320" s="1385"/>
      <c r="M320" s="1214"/>
      <c r="N320" s="1214"/>
      <c r="O320" s="1214"/>
      <c r="P320" s="1214"/>
      <c r="Q320" s="1214"/>
    </row>
    <row r="321" spans="1:21" s="1199" customFormat="1" ht="24" customHeight="1">
      <c r="A321" s="1331"/>
      <c r="B321" s="2174"/>
      <c r="C321" s="1202"/>
      <c r="D321" s="1202"/>
      <c r="E321" s="1387"/>
      <c r="F321" s="1384"/>
      <c r="G321" s="2176"/>
      <c r="H321" s="1388"/>
      <c r="I321" s="2177"/>
      <c r="J321" s="1385"/>
      <c r="K321" s="1385"/>
      <c r="L321" s="1385"/>
      <c r="M321" s="1214"/>
      <c r="N321" s="1214"/>
      <c r="O321" s="1214"/>
      <c r="P321" s="1214"/>
      <c r="Q321" s="1214"/>
      <c r="R321" s="1214"/>
      <c r="S321" s="1214"/>
      <c r="T321" s="1214"/>
      <c r="U321" s="1214"/>
    </row>
    <row r="322" spans="1:21" s="1199" customFormat="1" ht="24" customHeight="1">
      <c r="A322" s="1243"/>
      <c r="B322" s="2257" t="str">
        <f>"รวมราคารายการที่ "&amp;A299</f>
        <v>รวมราคารายการที่ 3.11</v>
      </c>
      <c r="C322" s="2258"/>
      <c r="D322" s="2259"/>
      <c r="E322" s="1244"/>
      <c r="F322" s="1245"/>
      <c r="G322" s="1246"/>
      <c r="H322" s="1247">
        <f>SUM(H300:H314)</f>
        <v>109585</v>
      </c>
      <c r="I322" s="1246"/>
      <c r="J322" s="1247">
        <f t="shared" ref="J322:K322" si="33">SUM(J300:J314)</f>
        <v>19765</v>
      </c>
      <c r="K322" s="1247">
        <f t="shared" si="33"/>
        <v>129350</v>
      </c>
      <c r="L322" s="1245"/>
      <c r="M322" s="1214"/>
      <c r="N322" s="1214"/>
      <c r="O322" s="1214"/>
      <c r="P322" s="1214"/>
    </row>
    <row r="323" spans="1:21" s="1199" customFormat="1" ht="24" customHeight="1">
      <c r="A323" s="1435" t="s">
        <v>2917</v>
      </c>
      <c r="B323" s="1436" t="s">
        <v>1419</v>
      </c>
      <c r="C323" s="1202"/>
      <c r="D323" s="1202"/>
      <c r="E323" s="1387"/>
      <c r="F323" s="1384"/>
      <c r="G323" s="2176"/>
      <c r="H323" s="1388"/>
      <c r="I323" s="2177"/>
      <c r="J323" s="1385"/>
      <c r="K323" s="1385"/>
      <c r="L323" s="1385"/>
      <c r="M323" s="1214"/>
      <c r="N323" s="1214"/>
      <c r="O323" s="1214"/>
      <c r="P323" s="1214"/>
    </row>
    <row r="324" spans="1:21" s="1199" customFormat="1" ht="24" customHeight="1">
      <c r="A324" s="1474" t="s">
        <v>1352</v>
      </c>
      <c r="B324" s="2174" t="s">
        <v>2711</v>
      </c>
      <c r="C324" s="1191"/>
      <c r="D324" s="1471"/>
      <c r="E324" s="1206"/>
      <c r="F324" s="1207"/>
      <c r="G324" s="1541"/>
      <c r="H324" s="1273"/>
      <c r="I324" s="2177"/>
      <c r="J324" s="1264"/>
      <c r="K324" s="1265"/>
      <c r="L324" s="1473"/>
      <c r="M324" s="1214"/>
      <c r="N324" s="1214"/>
      <c r="O324" s="1214"/>
      <c r="P324" s="1214"/>
      <c r="Q324" s="1214"/>
      <c r="R324" s="1214"/>
      <c r="S324" s="1214"/>
      <c r="T324" s="1214"/>
      <c r="U324" s="1214"/>
    </row>
    <row r="325" spans="1:21" s="1199" customFormat="1" ht="24" customHeight="1">
      <c r="A325" s="1474"/>
      <c r="B325" s="2174" t="s">
        <v>1573</v>
      </c>
      <c r="C325" s="1191"/>
      <c r="D325" s="1471"/>
      <c r="E325" s="1206">
        <v>2</v>
      </c>
      <c r="F325" s="1207" t="s">
        <v>363</v>
      </c>
      <c r="G325" s="2179">
        <v>50000</v>
      </c>
      <c r="H325" s="1343">
        <f>ROUND(E325*G325,)</f>
        <v>100000</v>
      </c>
      <c r="I325" s="1344">
        <f>G325*0.01</f>
        <v>500</v>
      </c>
      <c r="J325" s="1343">
        <f>ROUND(I325*E325,)</f>
        <v>1000</v>
      </c>
      <c r="K325" s="1344">
        <f>H325+J325</f>
        <v>101000</v>
      </c>
      <c r="L325" s="1473"/>
      <c r="M325" s="1214"/>
      <c r="N325" s="1214"/>
      <c r="O325" s="1214"/>
      <c r="P325" s="1214"/>
      <c r="Q325" s="1214"/>
      <c r="R325" s="1214"/>
      <c r="S325" s="1214"/>
      <c r="T325" s="1214"/>
      <c r="U325" s="1214"/>
    </row>
    <row r="326" spans="1:21" s="1199" customFormat="1" ht="24" customHeight="1">
      <c r="A326" s="1474"/>
      <c r="B326" s="2174" t="s">
        <v>1574</v>
      </c>
      <c r="C326" s="1191"/>
      <c r="D326" s="1471"/>
      <c r="E326" s="1206">
        <v>2</v>
      </c>
      <c r="F326" s="1207" t="s">
        <v>363</v>
      </c>
      <c r="G326" s="2179">
        <v>25000</v>
      </c>
      <c r="H326" s="1343">
        <f>ROUND(E326*G326,)</f>
        <v>50000</v>
      </c>
      <c r="I326" s="1344">
        <f>ROUND(G326*0.01,)</f>
        <v>250</v>
      </c>
      <c r="J326" s="1343">
        <f>ROUND(I326*E326,)</f>
        <v>500</v>
      </c>
      <c r="K326" s="1344">
        <f>H326+J326</f>
        <v>50500</v>
      </c>
      <c r="L326" s="1473"/>
      <c r="M326" s="1214"/>
      <c r="N326" s="1214"/>
      <c r="O326" s="1214"/>
      <c r="P326" s="1214"/>
      <c r="Q326" s="1214"/>
      <c r="R326" s="1214"/>
      <c r="S326" s="1214"/>
      <c r="T326" s="1214"/>
      <c r="U326" s="1214"/>
    </row>
    <row r="327" spans="1:21" s="1199" customFormat="1" ht="24" customHeight="1">
      <c r="A327" s="1475"/>
      <c r="B327" s="2174" t="s">
        <v>1575</v>
      </c>
      <c r="C327" s="1191"/>
      <c r="D327" s="1471"/>
      <c r="E327" s="1206">
        <v>48</v>
      </c>
      <c r="F327" s="1207" t="s">
        <v>363</v>
      </c>
      <c r="G327" s="2179">
        <v>400</v>
      </c>
      <c r="H327" s="1343">
        <f>ROUND(E327*G327,)</f>
        <v>19200</v>
      </c>
      <c r="I327" s="1344">
        <f>ROUND(G327*0.01,)</f>
        <v>4</v>
      </c>
      <c r="J327" s="1343">
        <f>ROUND(I327*E327,)</f>
        <v>192</v>
      </c>
      <c r="K327" s="1344">
        <f>H327+J327</f>
        <v>19392</v>
      </c>
      <c r="L327" s="1473"/>
      <c r="M327" s="1214"/>
      <c r="N327" s="1214"/>
      <c r="O327" s="1214"/>
      <c r="P327" s="1214"/>
      <c r="Q327" s="1214"/>
      <c r="R327" s="1214"/>
      <c r="S327" s="1214"/>
      <c r="T327" s="1214"/>
      <c r="U327" s="1214"/>
    </row>
    <row r="328" spans="1:21" s="1199" customFormat="1" ht="24" customHeight="1">
      <c r="A328" s="1475"/>
      <c r="B328" s="2174" t="s">
        <v>2710</v>
      </c>
      <c r="C328" s="1191"/>
      <c r="D328" s="1471"/>
      <c r="E328" s="1206"/>
      <c r="F328" s="1207" t="s">
        <v>363</v>
      </c>
      <c r="G328" s="2179"/>
      <c r="H328" s="1273"/>
      <c r="I328" s="1265"/>
      <c r="J328" s="1264"/>
      <c r="K328" s="1265"/>
      <c r="L328" s="1473"/>
      <c r="M328" s="1214"/>
      <c r="N328" s="1214"/>
      <c r="O328" s="1214"/>
      <c r="P328" s="1214"/>
      <c r="Q328" s="1214"/>
      <c r="R328" s="1214"/>
      <c r="S328" s="1214"/>
      <c r="T328" s="1214"/>
      <c r="U328" s="1214"/>
    </row>
    <row r="329" spans="1:21" s="1199" customFormat="1" ht="24" customHeight="1">
      <c r="A329" s="1559"/>
      <c r="B329" s="2174" t="s">
        <v>1684</v>
      </c>
      <c r="C329" s="1191"/>
      <c r="D329" s="1471"/>
      <c r="E329" s="1206"/>
      <c r="F329" s="1207" t="s">
        <v>363</v>
      </c>
      <c r="G329" s="2179"/>
      <c r="H329" s="1273"/>
      <c r="I329" s="1265"/>
      <c r="J329" s="1264"/>
      <c r="K329" s="1265"/>
      <c r="L329" s="1469"/>
      <c r="M329" s="1214"/>
      <c r="N329" s="1214"/>
      <c r="O329" s="1214"/>
      <c r="P329" s="1214"/>
      <c r="Q329" s="1214"/>
      <c r="R329" s="1214"/>
      <c r="S329" s="1214"/>
      <c r="T329" s="1214"/>
      <c r="U329" s="1214"/>
    </row>
    <row r="330" spans="1:21" s="1199" customFormat="1" ht="24" customHeight="1">
      <c r="A330" s="1331" t="s">
        <v>1354</v>
      </c>
      <c r="B330" s="2174" t="s">
        <v>1539</v>
      </c>
      <c r="C330" s="1202"/>
      <c r="D330" s="1202"/>
      <c r="E330" s="1387"/>
      <c r="F330" s="1384"/>
      <c r="G330" s="2176"/>
      <c r="H330" s="1388"/>
      <c r="I330" s="2177"/>
      <c r="J330" s="1385"/>
      <c r="K330" s="1385"/>
      <c r="L330" s="1385"/>
      <c r="M330" s="1214"/>
      <c r="N330" s="1214"/>
      <c r="O330" s="1214"/>
      <c r="P330" s="1214"/>
    </row>
    <row r="331" spans="1:21" s="1199" customFormat="1" ht="24" customHeight="1">
      <c r="A331" s="1331"/>
      <c r="B331" s="2174" t="s">
        <v>1540</v>
      </c>
      <c r="C331" s="1202"/>
      <c r="D331" s="1202"/>
      <c r="E331" s="1387">
        <v>2</v>
      </c>
      <c r="F331" s="1207" t="s">
        <v>363</v>
      </c>
      <c r="G331" s="2176">
        <f>(98000*0.75)</f>
        <v>73500</v>
      </c>
      <c r="H331" s="1388">
        <f t="shared" ref="H331:H336" si="34">ROUND(E331*G331,)</f>
        <v>147000</v>
      </c>
      <c r="I331" s="2177">
        <v>5000</v>
      </c>
      <c r="J331" s="1385">
        <f>ROUND(E331*I331,)</f>
        <v>10000</v>
      </c>
      <c r="K331" s="1385">
        <f t="shared" ref="K331:K336" si="35">H331+J331</f>
        <v>157000</v>
      </c>
      <c r="L331" s="1385"/>
      <c r="M331" s="1214"/>
      <c r="N331" s="1214"/>
      <c r="O331" s="1214"/>
      <c r="P331" s="1214"/>
    </row>
    <row r="332" spans="1:21" s="1199" customFormat="1" ht="24" customHeight="1">
      <c r="A332" s="1331"/>
      <c r="B332" s="2174" t="s">
        <v>1541</v>
      </c>
      <c r="C332" s="1202"/>
      <c r="D332" s="1202"/>
      <c r="E332" s="1387">
        <v>4</v>
      </c>
      <c r="F332" s="1207" t="s">
        <v>363</v>
      </c>
      <c r="G332" s="2176">
        <f>6000*0.75</f>
        <v>4500</v>
      </c>
      <c r="H332" s="1388">
        <f t="shared" si="34"/>
        <v>18000</v>
      </c>
      <c r="I332" s="2177" t="s">
        <v>1542</v>
      </c>
      <c r="J332" s="1385"/>
      <c r="K332" s="1385">
        <f t="shared" si="35"/>
        <v>18000</v>
      </c>
      <c r="L332" s="1385"/>
      <c r="M332" s="1214"/>
      <c r="N332" s="1214"/>
      <c r="O332" s="1214"/>
      <c r="P332" s="1214"/>
    </row>
    <row r="333" spans="1:21" s="1199" customFormat="1" ht="24" customHeight="1">
      <c r="A333" s="1331"/>
      <c r="B333" s="2174" t="s">
        <v>1543</v>
      </c>
      <c r="C333" s="1202"/>
      <c r="D333" s="1202"/>
      <c r="E333" s="1387">
        <v>4</v>
      </c>
      <c r="F333" s="1207" t="s">
        <v>363</v>
      </c>
      <c r="G333" s="2176">
        <f>(6500*0.75)</f>
        <v>4875</v>
      </c>
      <c r="H333" s="1388">
        <f t="shared" si="34"/>
        <v>19500</v>
      </c>
      <c r="I333" s="2177" t="s">
        <v>1542</v>
      </c>
      <c r="J333" s="1385"/>
      <c r="K333" s="1385">
        <f t="shared" si="35"/>
        <v>19500</v>
      </c>
      <c r="L333" s="1385"/>
      <c r="M333" s="1214"/>
      <c r="N333" s="1214"/>
      <c r="O333" s="1214"/>
      <c r="P333" s="1214"/>
    </row>
    <row r="334" spans="1:21" s="1199" customFormat="1" ht="24" customHeight="1">
      <c r="A334" s="1331"/>
      <c r="B334" s="2174" t="s">
        <v>1544</v>
      </c>
      <c r="C334" s="1202"/>
      <c r="D334" s="1202"/>
      <c r="E334" s="1387">
        <v>4</v>
      </c>
      <c r="F334" s="1207" t="s">
        <v>363</v>
      </c>
      <c r="G334" s="2176">
        <f>(1000*0.75)</f>
        <v>750</v>
      </c>
      <c r="H334" s="1388">
        <f t="shared" si="34"/>
        <v>3000</v>
      </c>
      <c r="I334" s="2177" t="s">
        <v>1542</v>
      </c>
      <c r="J334" s="1385"/>
      <c r="K334" s="1385">
        <f t="shared" si="35"/>
        <v>3000</v>
      </c>
      <c r="L334" s="1385"/>
      <c r="M334" s="1214"/>
      <c r="N334" s="1214"/>
      <c r="O334" s="1214"/>
      <c r="P334" s="1214"/>
    </row>
    <row r="335" spans="1:21" s="1199" customFormat="1" ht="24" customHeight="1">
      <c r="A335" s="1331"/>
      <c r="B335" s="2174" t="s">
        <v>1545</v>
      </c>
      <c r="C335" s="1202"/>
      <c r="D335" s="1202"/>
      <c r="E335" s="1387">
        <v>4</v>
      </c>
      <c r="F335" s="1207" t="s">
        <v>363</v>
      </c>
      <c r="G335" s="2176">
        <f>(600*0.75)</f>
        <v>450</v>
      </c>
      <c r="H335" s="1388">
        <f t="shared" si="34"/>
        <v>1800</v>
      </c>
      <c r="I335" s="2177" t="s">
        <v>1542</v>
      </c>
      <c r="J335" s="1385"/>
      <c r="K335" s="1385">
        <f t="shared" si="35"/>
        <v>1800</v>
      </c>
      <c r="L335" s="1385"/>
      <c r="M335" s="1214"/>
      <c r="N335" s="1214"/>
      <c r="O335" s="1214"/>
      <c r="P335" s="1214"/>
    </row>
    <row r="336" spans="1:21" s="1199" customFormat="1" ht="24" customHeight="1">
      <c r="A336" s="1331"/>
      <c r="B336" s="2174" t="s">
        <v>1546</v>
      </c>
      <c r="C336" s="1202"/>
      <c r="D336" s="1202"/>
      <c r="E336" s="1387">
        <v>4</v>
      </c>
      <c r="F336" s="1207" t="s">
        <v>363</v>
      </c>
      <c r="G336" s="2176">
        <f>(300*0.75)</f>
        <v>225</v>
      </c>
      <c r="H336" s="1388">
        <f t="shared" si="34"/>
        <v>900</v>
      </c>
      <c r="I336" s="2177" t="s">
        <v>1542</v>
      </c>
      <c r="J336" s="1385"/>
      <c r="K336" s="1385">
        <f t="shared" si="35"/>
        <v>900</v>
      </c>
      <c r="L336" s="1385"/>
      <c r="M336" s="1214"/>
      <c r="N336" s="1214"/>
      <c r="O336" s="1214"/>
      <c r="P336" s="1214"/>
    </row>
    <row r="337" spans="1:21" s="1199" customFormat="1" ht="24" customHeight="1">
      <c r="A337" s="1406" t="s">
        <v>1357</v>
      </c>
      <c r="B337" s="2174" t="s">
        <v>1312</v>
      </c>
      <c r="C337" s="1202"/>
      <c r="D337" s="1202"/>
      <c r="E337" s="1404"/>
      <c r="F337" s="1384"/>
      <c r="G337" s="2176"/>
      <c r="H337" s="1388"/>
      <c r="I337" s="2177"/>
      <c r="J337" s="1385"/>
      <c r="K337" s="1385"/>
      <c r="L337" s="1385"/>
      <c r="M337" s="1214"/>
      <c r="N337" s="1214"/>
      <c r="O337" s="1214"/>
      <c r="P337" s="1214"/>
    </row>
    <row r="338" spans="1:21" s="1199" customFormat="1" ht="24" customHeight="1">
      <c r="A338" s="1331"/>
      <c r="B338" s="2174" t="s">
        <v>1586</v>
      </c>
      <c r="C338" s="1202"/>
      <c r="D338" s="1202"/>
      <c r="E338" s="1404">
        <v>0</v>
      </c>
      <c r="F338" s="1358" t="s">
        <v>226</v>
      </c>
      <c r="G338" s="2176">
        <v>37</v>
      </c>
      <c r="H338" s="1264">
        <f>ROUND(G338*E338,)</f>
        <v>0</v>
      </c>
      <c r="I338" s="2177">
        <v>5</v>
      </c>
      <c r="J338" s="1264">
        <f>ROUND(E338*I338,)</f>
        <v>0</v>
      </c>
      <c r="K338" s="1273">
        <f>H338+J338</f>
        <v>0</v>
      </c>
      <c r="L338" s="1385"/>
      <c r="M338" s="1214"/>
      <c r="N338" s="1214"/>
      <c r="O338" s="1214"/>
      <c r="P338" s="1214"/>
    </row>
    <row r="339" spans="1:21" s="1199" customFormat="1" ht="24" customHeight="1">
      <c r="A339" s="1406" t="s">
        <v>2677</v>
      </c>
      <c r="B339" s="2174" t="s">
        <v>1526</v>
      </c>
      <c r="C339" s="1202"/>
      <c r="D339" s="1202"/>
      <c r="E339" s="1404"/>
      <c r="F339" s="1384"/>
      <c r="G339" s="2176"/>
      <c r="H339" s="1388"/>
      <c r="I339" s="2177"/>
      <c r="J339" s="1385"/>
      <c r="K339" s="1385"/>
      <c r="L339" s="1385"/>
      <c r="M339" s="1214"/>
      <c r="N339" s="1214"/>
      <c r="O339" s="1214"/>
      <c r="P339" s="1214"/>
    </row>
    <row r="340" spans="1:21" s="1199" customFormat="1" ht="24" customHeight="1">
      <c r="A340" s="1331"/>
      <c r="B340" s="2174" t="s">
        <v>1350</v>
      </c>
      <c r="C340" s="1202"/>
      <c r="D340" s="1202"/>
      <c r="E340" s="1404">
        <v>0</v>
      </c>
      <c r="F340" s="1358" t="s">
        <v>226</v>
      </c>
      <c r="G340" s="2176">
        <v>27</v>
      </c>
      <c r="H340" s="1264">
        <f>ROUND(G340*E340,)</f>
        <v>0</v>
      </c>
      <c r="I340" s="2177">
        <v>22</v>
      </c>
      <c r="J340" s="1264">
        <f>ROUND(E340*I340,)</f>
        <v>0</v>
      </c>
      <c r="K340" s="1273">
        <f>H340+J340</f>
        <v>0</v>
      </c>
      <c r="L340" s="2001" t="s">
        <v>2667</v>
      </c>
      <c r="M340" s="1214"/>
      <c r="P340" s="1214"/>
    </row>
    <row r="341" spans="1:21" s="1199" customFormat="1" ht="24" customHeight="1">
      <c r="A341" s="1331"/>
      <c r="B341" s="2174" t="s">
        <v>1384</v>
      </c>
      <c r="C341" s="1202"/>
      <c r="D341" s="1202"/>
      <c r="E341" s="1404">
        <v>1</v>
      </c>
      <c r="F341" s="1384" t="s">
        <v>1104</v>
      </c>
      <c r="G341" s="2176">
        <f>H340*15%</f>
        <v>0</v>
      </c>
      <c r="H341" s="1264">
        <f>ROUND(G341*E341,)</f>
        <v>0</v>
      </c>
      <c r="I341" s="2177">
        <f>G341*0.3</f>
        <v>0</v>
      </c>
      <c r="J341" s="1264">
        <f>ROUND(E341*I341,)</f>
        <v>0</v>
      </c>
      <c r="K341" s="1273">
        <f>H341+J341</f>
        <v>0</v>
      </c>
      <c r="L341" s="1385"/>
      <c r="M341" s="1214"/>
      <c r="N341" s="1214"/>
      <c r="O341" s="1214"/>
      <c r="P341" s="1214"/>
    </row>
    <row r="342" spans="1:21" s="1199" customFormat="1" ht="24" customHeight="1">
      <c r="A342" s="1331"/>
      <c r="B342" s="2174" t="s">
        <v>1117</v>
      </c>
      <c r="C342" s="1202"/>
      <c r="D342" s="1202"/>
      <c r="E342" s="1387"/>
      <c r="F342" s="1384"/>
      <c r="G342" s="2176"/>
      <c r="H342" s="1388"/>
      <c r="I342" s="2177"/>
      <c r="J342" s="1385"/>
      <c r="K342" s="1385"/>
      <c r="L342" s="1385"/>
      <c r="M342" s="1214"/>
      <c r="N342" s="1214"/>
      <c r="O342" s="1214"/>
      <c r="P342" s="1214"/>
    </row>
    <row r="343" spans="1:21" s="1199" customFormat="1" ht="24" customHeight="1">
      <c r="A343" s="1331"/>
      <c r="B343" s="2174" t="s">
        <v>1118</v>
      </c>
      <c r="C343" s="1202"/>
      <c r="D343" s="1202"/>
      <c r="E343" s="1387"/>
      <c r="F343" s="1384"/>
      <c r="G343" s="2176"/>
      <c r="H343" s="1388"/>
      <c r="I343" s="2177"/>
      <c r="J343" s="1385"/>
      <c r="K343" s="1385"/>
      <c r="L343" s="1385"/>
      <c r="M343" s="1214"/>
      <c r="N343" s="1214"/>
      <c r="O343" s="1214"/>
      <c r="P343" s="1214"/>
    </row>
    <row r="344" spans="1:21" s="1199" customFormat="1" ht="24" customHeight="1">
      <c r="A344" s="1331"/>
      <c r="B344" s="2174" t="s">
        <v>1118</v>
      </c>
      <c r="C344" s="1202"/>
      <c r="D344" s="1202"/>
      <c r="E344" s="1387"/>
      <c r="F344" s="1384"/>
      <c r="G344" s="2176"/>
      <c r="H344" s="1388"/>
      <c r="I344" s="2177"/>
      <c r="J344" s="1385"/>
      <c r="K344" s="1385"/>
      <c r="L344" s="1385"/>
      <c r="M344" s="1214"/>
      <c r="N344" s="1214"/>
      <c r="O344" s="1214"/>
      <c r="P344" s="1214"/>
    </row>
    <row r="345" spans="1:21" s="1199" customFormat="1" ht="24" customHeight="1">
      <c r="A345" s="1480"/>
      <c r="B345" s="2174"/>
      <c r="C345" s="1191"/>
      <c r="D345" s="1471"/>
      <c r="E345" s="1206"/>
      <c r="F345" s="1207"/>
      <c r="G345" s="2175"/>
      <c r="H345" s="1264"/>
      <c r="I345" s="1265"/>
      <c r="J345" s="1264"/>
      <c r="K345" s="1265"/>
      <c r="L345" s="1473"/>
      <c r="M345" s="1214"/>
      <c r="N345" s="1214"/>
      <c r="O345" s="1214"/>
      <c r="P345" s="1214"/>
      <c r="Q345" s="1214"/>
      <c r="R345" s="1214"/>
      <c r="S345" s="1214"/>
      <c r="T345" s="1214"/>
      <c r="U345" s="1214"/>
    </row>
    <row r="346" spans="1:21" s="1199" customFormat="1" ht="21.3">
      <c r="A346" s="1243"/>
      <c r="B346" s="2257" t="str">
        <f>"รวมราคารายการที่ "&amp;A323</f>
        <v>รวมราคารายการที่ 3.12</v>
      </c>
      <c r="C346" s="2258"/>
      <c r="D346" s="2259"/>
      <c r="E346" s="1244"/>
      <c r="F346" s="1245"/>
      <c r="G346" s="1246"/>
      <c r="H346" s="1247">
        <f>SUM(H323:H344)</f>
        <v>359400</v>
      </c>
      <c r="I346" s="1246"/>
      <c r="J346" s="1247">
        <f t="shared" ref="J346:K346" si="36">SUM(J323:J344)</f>
        <v>11692</v>
      </c>
      <c r="K346" s="1247">
        <f t="shared" si="36"/>
        <v>371092</v>
      </c>
      <c r="L346" s="1245"/>
    </row>
    <row r="347" spans="1:21" s="1199" customFormat="1" ht="24" customHeight="1">
      <c r="A347" s="1367" t="s">
        <v>1370</v>
      </c>
      <c r="B347" s="1353" t="s">
        <v>1550</v>
      </c>
      <c r="C347" s="1452"/>
      <c r="D347" s="1452"/>
      <c r="E347" s="1453"/>
      <c r="F347" s="1454"/>
      <c r="G347" s="1455"/>
      <c r="H347" s="820"/>
      <c r="I347" s="1456"/>
      <c r="J347" s="1457"/>
      <c r="K347" s="1457"/>
      <c r="L347" s="1457"/>
      <c r="M347" s="1214"/>
      <c r="N347" s="1214"/>
      <c r="O347" s="1214"/>
      <c r="P347" s="1214"/>
    </row>
    <row r="348" spans="1:21" s="1199" customFormat="1" ht="24" customHeight="1">
      <c r="A348" s="1474" t="s">
        <v>1372</v>
      </c>
      <c r="B348" s="2174" t="s">
        <v>2711</v>
      </c>
      <c r="C348" s="1191"/>
      <c r="D348" s="1471"/>
      <c r="E348" s="1206"/>
      <c r="F348" s="1207"/>
      <c r="G348" s="1541"/>
      <c r="H348" s="1273"/>
      <c r="I348" s="2177"/>
      <c r="J348" s="1264"/>
      <c r="K348" s="1265"/>
      <c r="L348" s="1473"/>
      <c r="M348" s="1214"/>
      <c r="N348" s="1214"/>
      <c r="O348" s="1214"/>
      <c r="P348" s="1214"/>
      <c r="Q348" s="1214"/>
      <c r="R348" s="1214"/>
      <c r="S348" s="1214"/>
      <c r="T348" s="1214"/>
      <c r="U348" s="1214"/>
    </row>
    <row r="349" spans="1:21" s="1199" customFormat="1" ht="24" customHeight="1">
      <c r="A349" s="1474"/>
      <c r="B349" s="2174" t="s">
        <v>1573</v>
      </c>
      <c r="C349" s="1191"/>
      <c r="D349" s="1471"/>
      <c r="E349" s="1206">
        <v>2</v>
      </c>
      <c r="F349" s="1207" t="s">
        <v>363</v>
      </c>
      <c r="G349" s="2179">
        <v>28700</v>
      </c>
      <c r="H349" s="1343">
        <f>ROUND(E349*G349,)</f>
        <v>57400</v>
      </c>
      <c r="I349" s="1344">
        <f>G349*0.01</f>
        <v>287</v>
      </c>
      <c r="J349" s="1343">
        <f>ROUND(I349*E349,)</f>
        <v>574</v>
      </c>
      <c r="K349" s="1344">
        <f>H349+J349</f>
        <v>57974</v>
      </c>
      <c r="L349" s="1473"/>
      <c r="M349" s="1214"/>
      <c r="N349" s="1214"/>
      <c r="O349" s="1214"/>
      <c r="P349" s="1214"/>
      <c r="Q349" s="1214"/>
      <c r="R349" s="1214"/>
      <c r="S349" s="1214"/>
      <c r="T349" s="1214"/>
      <c r="U349" s="1214"/>
    </row>
    <row r="350" spans="1:21" s="1199" customFormat="1" ht="24" customHeight="1">
      <c r="A350" s="1474"/>
      <c r="B350" s="2174" t="s">
        <v>1574</v>
      </c>
      <c r="C350" s="1191"/>
      <c r="D350" s="1471"/>
      <c r="E350" s="1206">
        <v>2</v>
      </c>
      <c r="F350" s="1207" t="s">
        <v>363</v>
      </c>
      <c r="G350" s="2179">
        <v>25000</v>
      </c>
      <c r="H350" s="1343">
        <f>ROUND(E350*G350,)</f>
        <v>50000</v>
      </c>
      <c r="I350" s="1344">
        <f>ROUND(G350*0.01,)</f>
        <v>250</v>
      </c>
      <c r="J350" s="1343">
        <f>ROUND(I350*E350,)</f>
        <v>500</v>
      </c>
      <c r="K350" s="1344">
        <f>H350+J350</f>
        <v>50500</v>
      </c>
      <c r="L350" s="1473"/>
      <c r="M350" s="1214"/>
      <c r="N350" s="1214"/>
      <c r="O350" s="1214"/>
      <c r="P350" s="1214"/>
      <c r="Q350" s="1214"/>
      <c r="R350" s="1214"/>
      <c r="S350" s="1214"/>
      <c r="T350" s="1214"/>
      <c r="U350" s="1214"/>
    </row>
    <row r="351" spans="1:21" s="1199" customFormat="1" ht="24" customHeight="1">
      <c r="A351" s="1475"/>
      <c r="B351" s="2174" t="s">
        <v>1575</v>
      </c>
      <c r="C351" s="1191"/>
      <c r="D351" s="1471"/>
      <c r="E351" s="1206">
        <v>48</v>
      </c>
      <c r="F351" s="1207" t="s">
        <v>363</v>
      </c>
      <c r="G351" s="2179">
        <v>400</v>
      </c>
      <c r="H351" s="1343">
        <f>ROUND(E351*G351,)</f>
        <v>19200</v>
      </c>
      <c r="I351" s="1344">
        <f>ROUND(G351*0.01,)</f>
        <v>4</v>
      </c>
      <c r="J351" s="1343">
        <f>ROUND(I351*E351,)</f>
        <v>192</v>
      </c>
      <c r="K351" s="1344">
        <f>H351+J351</f>
        <v>19392</v>
      </c>
      <c r="L351" s="1473"/>
      <c r="M351" s="1214"/>
      <c r="N351" s="1214"/>
      <c r="O351" s="1214"/>
      <c r="P351" s="1214"/>
      <c r="Q351" s="1214"/>
      <c r="R351" s="1214"/>
      <c r="S351" s="1214"/>
      <c r="T351" s="1214"/>
      <c r="U351" s="1214"/>
    </row>
    <row r="352" spans="1:21" s="1199" customFormat="1" ht="24" customHeight="1">
      <c r="A352" s="1475"/>
      <c r="B352" s="2174" t="s">
        <v>2710</v>
      </c>
      <c r="C352" s="1191"/>
      <c r="D352" s="1471"/>
      <c r="E352" s="1206"/>
      <c r="F352" s="1207" t="s">
        <v>363</v>
      </c>
      <c r="G352" s="2179"/>
      <c r="H352" s="1273"/>
      <c r="I352" s="1265"/>
      <c r="J352" s="1264"/>
      <c r="K352" s="1265"/>
      <c r="L352" s="1473"/>
      <c r="M352" s="1214"/>
      <c r="N352" s="1214"/>
      <c r="O352" s="1214"/>
      <c r="P352" s="1214"/>
      <c r="Q352" s="1214"/>
      <c r="R352" s="1214"/>
      <c r="S352" s="1214"/>
      <c r="T352" s="1214"/>
      <c r="U352" s="1214"/>
    </row>
    <row r="353" spans="1:21" s="1199" customFormat="1" ht="24" customHeight="1">
      <c r="A353" s="1559"/>
      <c r="B353" s="2174" t="s">
        <v>1684</v>
      </c>
      <c r="C353" s="1191"/>
      <c r="D353" s="1471"/>
      <c r="E353" s="1206"/>
      <c r="F353" s="1207" t="s">
        <v>363</v>
      </c>
      <c r="G353" s="2179"/>
      <c r="H353" s="1273"/>
      <c r="I353" s="1265"/>
      <c r="J353" s="1264"/>
      <c r="K353" s="1265"/>
      <c r="L353" s="1469"/>
      <c r="M353" s="1214"/>
      <c r="N353" s="1214"/>
      <c r="O353" s="1214"/>
      <c r="P353" s="1214"/>
      <c r="Q353" s="1214"/>
      <c r="R353" s="1214"/>
      <c r="S353" s="1214"/>
      <c r="T353" s="1214"/>
      <c r="U353" s="1214"/>
    </row>
    <row r="354" spans="1:21" s="1199" customFormat="1" ht="24" customHeight="1">
      <c r="A354" s="1458" t="s">
        <v>1374</v>
      </c>
      <c r="B354" s="1220" t="s">
        <v>1551</v>
      </c>
      <c r="C354" s="1221"/>
      <c r="D354" s="1221"/>
      <c r="E354" s="1459"/>
      <c r="F354" s="1460"/>
      <c r="G354" s="1461"/>
      <c r="H354" s="1462"/>
      <c r="I354" s="1463"/>
      <c r="J354" s="1462"/>
      <c r="K354" s="1464"/>
      <c r="L354" s="1415"/>
      <c r="M354" s="1214"/>
      <c r="N354" s="1214"/>
      <c r="O354" s="1214"/>
      <c r="P354" s="1214"/>
    </row>
    <row r="355" spans="1:21" s="1199" customFormat="1" ht="24" customHeight="1">
      <c r="A355" s="1339"/>
      <c r="B355" s="1220" t="s">
        <v>1587</v>
      </c>
      <c r="C355" s="1221"/>
      <c r="D355" s="1221"/>
      <c r="E355" s="1404">
        <v>1</v>
      </c>
      <c r="F355" s="1223" t="s">
        <v>363</v>
      </c>
      <c r="G355" s="1386">
        <v>145600</v>
      </c>
      <c r="H355" s="1413">
        <f t="shared" ref="H355:H356" si="37">ROUND(E355*G355,)</f>
        <v>145600</v>
      </c>
      <c r="I355" s="1414">
        <f>G355*0.1</f>
        <v>14560</v>
      </c>
      <c r="J355" s="1415">
        <f>ROUND(E355*I355,)</f>
        <v>14560</v>
      </c>
      <c r="K355" s="1415">
        <f t="shared" ref="K355:K356" si="38">H355+J355</f>
        <v>160160</v>
      </c>
      <c r="L355" s="1415"/>
      <c r="M355" s="1214"/>
      <c r="N355" s="1214"/>
      <c r="O355" s="1214"/>
      <c r="P355" s="1214"/>
    </row>
    <row r="356" spans="1:21" s="1199" customFormat="1" ht="24" customHeight="1">
      <c r="A356" s="1339"/>
      <c r="B356" s="1220" t="s">
        <v>1588</v>
      </c>
      <c r="C356" s="1221"/>
      <c r="D356" s="1221"/>
      <c r="E356" s="1404">
        <v>1</v>
      </c>
      <c r="F356" s="1223" t="s">
        <v>363</v>
      </c>
      <c r="G356" s="1386">
        <v>257600</v>
      </c>
      <c r="H356" s="1413">
        <f t="shared" si="37"/>
        <v>257600</v>
      </c>
      <c r="I356" s="1414">
        <f t="shared" ref="I356" si="39">G356*0.1</f>
        <v>25760</v>
      </c>
      <c r="J356" s="1415">
        <f t="shared" ref="J356" si="40">ROUND(E356*I356,)</f>
        <v>25760</v>
      </c>
      <c r="K356" s="1415">
        <f t="shared" si="38"/>
        <v>283360</v>
      </c>
      <c r="L356" s="1415"/>
      <c r="M356" s="1214"/>
      <c r="N356" s="1214"/>
      <c r="O356" s="1214"/>
      <c r="P356" s="1214"/>
    </row>
    <row r="357" spans="1:21" s="1199" customFormat="1" ht="24" customHeight="1">
      <c r="A357" s="1458" t="s">
        <v>1376</v>
      </c>
      <c r="B357" s="1220" t="s">
        <v>1557</v>
      </c>
      <c r="C357" s="1221"/>
      <c r="D357" s="1221"/>
      <c r="E357" s="1459"/>
      <c r="F357" s="1460"/>
      <c r="G357" s="1461"/>
      <c r="H357" s="1462"/>
      <c r="I357" s="1463"/>
      <c r="J357" s="1462"/>
      <c r="K357" s="1464"/>
      <c r="L357" s="1415"/>
      <c r="M357" s="1214"/>
      <c r="N357" s="1214"/>
      <c r="O357" s="1214"/>
      <c r="P357" s="1214"/>
    </row>
    <row r="358" spans="1:21" s="1199" customFormat="1" ht="24" customHeight="1">
      <c r="A358" s="1339"/>
      <c r="B358" s="1220" t="s">
        <v>1558</v>
      </c>
      <c r="C358" s="1221"/>
      <c r="D358" s="1221"/>
      <c r="E358" s="1404">
        <v>1</v>
      </c>
      <c r="F358" s="1223" t="s">
        <v>363</v>
      </c>
      <c r="G358" s="1386">
        <v>3500</v>
      </c>
      <c r="H358" s="1413">
        <f t="shared" ref="H358:H359" si="41">ROUND(E358*G358,)</f>
        <v>3500</v>
      </c>
      <c r="I358" s="1414">
        <f t="shared" ref="I358:I359" si="42">G358*0.1</f>
        <v>350</v>
      </c>
      <c r="J358" s="1415">
        <f t="shared" ref="J358:J359" si="43">ROUND(E358*I358,)</f>
        <v>350</v>
      </c>
      <c r="K358" s="1415">
        <f t="shared" ref="K358:K359" si="44">H358+J358</f>
        <v>3850</v>
      </c>
      <c r="L358" s="1415"/>
      <c r="M358" s="1214"/>
      <c r="N358" s="1214"/>
      <c r="O358" s="1214"/>
      <c r="P358" s="1214"/>
    </row>
    <row r="359" spans="1:21" s="1199" customFormat="1" ht="24" customHeight="1">
      <c r="A359" s="1339"/>
      <c r="B359" s="1220" t="s">
        <v>1559</v>
      </c>
      <c r="C359" s="1221"/>
      <c r="D359" s="1221"/>
      <c r="E359" s="1404">
        <v>1</v>
      </c>
      <c r="F359" s="1223" t="s">
        <v>363</v>
      </c>
      <c r="G359" s="1386">
        <v>3500</v>
      </c>
      <c r="H359" s="1413">
        <f t="shared" si="41"/>
        <v>3500</v>
      </c>
      <c r="I359" s="1414">
        <f t="shared" si="42"/>
        <v>350</v>
      </c>
      <c r="J359" s="1415">
        <f t="shared" si="43"/>
        <v>350</v>
      </c>
      <c r="K359" s="1415">
        <f t="shared" si="44"/>
        <v>3850</v>
      </c>
      <c r="L359" s="1415"/>
      <c r="M359" s="1214"/>
      <c r="N359" s="1214"/>
      <c r="O359" s="1214"/>
      <c r="P359" s="1214"/>
    </row>
    <row r="360" spans="1:21" s="1199" customFormat="1" ht="24" customHeight="1">
      <c r="A360" s="1458" t="s">
        <v>1378</v>
      </c>
      <c r="B360" s="1465" t="s">
        <v>1312</v>
      </c>
      <c r="C360" s="1452"/>
      <c r="D360" s="1452"/>
      <c r="E360" s="1453"/>
      <c r="F360" s="1454"/>
      <c r="G360" s="1386"/>
      <c r="H360" s="1413"/>
      <c r="I360" s="1414"/>
      <c r="J360" s="1415"/>
      <c r="K360" s="1415"/>
      <c r="L360" s="1457"/>
      <c r="M360" s="1214"/>
      <c r="N360" s="1214"/>
      <c r="O360" s="1214"/>
      <c r="P360" s="1214"/>
    </row>
    <row r="361" spans="1:21" s="1199" customFormat="1" ht="24" customHeight="1">
      <c r="A361" s="1339"/>
      <c r="B361" s="1220" t="s">
        <v>1567</v>
      </c>
      <c r="C361" s="1221"/>
      <c r="D361" s="1221"/>
      <c r="E361" s="1404">
        <v>1400</v>
      </c>
      <c r="F361" s="1262" t="s">
        <v>226</v>
      </c>
      <c r="G361" s="1386">
        <v>103</v>
      </c>
      <c r="H361" s="1413">
        <f>ROUND(E361*G361,)</f>
        <v>144200</v>
      </c>
      <c r="I361" s="1414">
        <v>21</v>
      </c>
      <c r="J361" s="1415">
        <f>ROUND(E361*I361,)</f>
        <v>29400</v>
      </c>
      <c r="K361" s="1415">
        <f>H361+J361</f>
        <v>173600</v>
      </c>
      <c r="L361" s="1415"/>
      <c r="M361" s="1214"/>
      <c r="N361" s="1214"/>
      <c r="O361" s="1214"/>
      <c r="P361" s="1214"/>
    </row>
    <row r="362" spans="1:21" s="1199" customFormat="1" ht="24" customHeight="1">
      <c r="A362" s="1339"/>
      <c r="B362" s="1220" t="s">
        <v>1568</v>
      </c>
      <c r="C362" s="1221"/>
      <c r="D362" s="1221"/>
      <c r="E362" s="1404">
        <v>100</v>
      </c>
      <c r="F362" s="1262" t="s">
        <v>226</v>
      </c>
      <c r="G362" s="1386">
        <v>139</v>
      </c>
      <c r="H362" s="1413">
        <f>ROUND(E362*G362,)</f>
        <v>13900</v>
      </c>
      <c r="I362" s="1414">
        <v>21</v>
      </c>
      <c r="J362" s="1415">
        <f>ROUND(E362*I362,)</f>
        <v>2100</v>
      </c>
      <c r="K362" s="1415">
        <f>H362+J362</f>
        <v>16000</v>
      </c>
      <c r="L362" s="1415"/>
      <c r="M362" s="1214"/>
      <c r="N362" s="1214"/>
      <c r="O362" s="1214"/>
      <c r="P362" s="1214"/>
    </row>
    <row r="363" spans="1:21" s="1199" customFormat="1" ht="24" customHeight="1">
      <c r="A363" s="1339"/>
      <c r="B363" s="1220" t="s">
        <v>1525</v>
      </c>
      <c r="C363" s="1221"/>
      <c r="D363" s="1221"/>
      <c r="E363" s="1404">
        <v>1</v>
      </c>
      <c r="F363" s="1412" t="s">
        <v>1104</v>
      </c>
      <c r="G363" s="1386">
        <f>SUM(H361:H362)*5%</f>
        <v>7905</v>
      </c>
      <c r="H363" s="1343">
        <f t="shared" ref="H363" si="45">ROUND(E363*G363,)</f>
        <v>7905</v>
      </c>
      <c r="I363" s="1414">
        <f>ROUND(G363*0.3,)</f>
        <v>2372</v>
      </c>
      <c r="J363" s="1343">
        <f t="shared" ref="J363" si="46">ROUND(E363*I363,)</f>
        <v>2372</v>
      </c>
      <c r="K363" s="1262">
        <f t="shared" ref="K363" si="47">H363+J363</f>
        <v>10277</v>
      </c>
      <c r="L363" s="1415"/>
      <c r="M363" s="1214"/>
      <c r="N363" s="1214"/>
      <c r="O363" s="1214"/>
      <c r="P363" s="1214"/>
    </row>
    <row r="364" spans="1:21" s="1199" customFormat="1" ht="24" customHeight="1">
      <c r="A364" s="1339" t="s">
        <v>1380</v>
      </c>
      <c r="B364" s="1220" t="s">
        <v>1343</v>
      </c>
      <c r="C364" s="1221"/>
      <c r="D364" s="1221"/>
      <c r="E364" s="1404"/>
      <c r="F364" s="1412"/>
      <c r="G364" s="1386"/>
      <c r="H364" s="1343"/>
      <c r="I364" s="1414"/>
      <c r="J364" s="1343"/>
      <c r="K364" s="1262"/>
      <c r="L364" s="1466"/>
    </row>
    <row r="365" spans="1:21" s="1199" customFormat="1" ht="24" customHeight="1">
      <c r="A365" s="1339"/>
      <c r="B365" s="1220" t="s">
        <v>1344</v>
      </c>
      <c r="C365" s="1221"/>
      <c r="D365" s="1221"/>
      <c r="E365" s="1404">
        <v>100</v>
      </c>
      <c r="F365" s="1262" t="s">
        <v>226</v>
      </c>
      <c r="G365" s="1386">
        <v>316</v>
      </c>
      <c r="H365" s="1343">
        <f t="shared" ref="H365" si="48">ROUND(E365*G365,)</f>
        <v>31600</v>
      </c>
      <c r="I365" s="1414">
        <v>50</v>
      </c>
      <c r="J365" s="1343">
        <f t="shared" ref="J365:J366" si="49">ROUND(E365*I365,)</f>
        <v>5000</v>
      </c>
      <c r="K365" s="1262">
        <f t="shared" ref="K365:K366" si="50">H365+J365</f>
        <v>36600</v>
      </c>
      <c r="L365" s="1466"/>
    </row>
    <row r="366" spans="1:21" s="1199" customFormat="1" ht="24" customHeight="1">
      <c r="A366" s="1339"/>
      <c r="B366" s="1220" t="s">
        <v>1384</v>
      </c>
      <c r="C366" s="1221"/>
      <c r="D366" s="1221"/>
      <c r="E366" s="1404">
        <v>1</v>
      </c>
      <c r="F366" s="1412" t="s">
        <v>1104</v>
      </c>
      <c r="G366" s="1386">
        <f>SUM(H365)*15%</f>
        <v>4740</v>
      </c>
      <c r="H366" s="1343">
        <f t="shared" ref="H366" si="51">ROUND(G366*E366,)</f>
        <v>4740</v>
      </c>
      <c r="I366" s="1414">
        <f>G366*0.3</f>
        <v>1422</v>
      </c>
      <c r="J366" s="1343">
        <f t="shared" si="49"/>
        <v>1422</v>
      </c>
      <c r="K366" s="1262">
        <f t="shared" si="50"/>
        <v>6162</v>
      </c>
      <c r="L366" s="1466"/>
    </row>
    <row r="367" spans="1:21" s="1199" customFormat="1" ht="24" customHeight="1">
      <c r="A367" s="1339"/>
      <c r="B367" s="1220" t="s">
        <v>1117</v>
      </c>
      <c r="C367" s="1221"/>
      <c r="D367" s="1221"/>
      <c r="E367" s="1404"/>
      <c r="F367" s="1412"/>
      <c r="G367" s="1386"/>
      <c r="H367" s="1413"/>
      <c r="I367" s="1414"/>
      <c r="J367" s="1415"/>
      <c r="K367" s="1415"/>
      <c r="L367" s="1415"/>
      <c r="M367" s="1214"/>
      <c r="N367" s="1214"/>
      <c r="O367" s="1214"/>
      <c r="P367" s="1214"/>
    </row>
    <row r="368" spans="1:21" s="1199" customFormat="1" ht="24" customHeight="1">
      <c r="A368" s="1339"/>
      <c r="B368" s="1220" t="s">
        <v>1118</v>
      </c>
      <c r="C368" s="1221"/>
      <c r="D368" s="1221"/>
      <c r="E368" s="1404"/>
      <c r="F368" s="1412"/>
      <c r="G368" s="1386"/>
      <c r="H368" s="1413"/>
      <c r="I368" s="1414"/>
      <c r="J368" s="1415"/>
      <c r="K368" s="1415"/>
      <c r="L368" s="1415"/>
      <c r="M368" s="1214"/>
      <c r="N368" s="1214"/>
      <c r="O368" s="1214"/>
      <c r="P368" s="1214"/>
    </row>
    <row r="369" spans="1:21" s="1199" customFormat="1" ht="24" customHeight="1">
      <c r="A369" s="1480"/>
      <c r="B369" s="1220" t="s">
        <v>1118</v>
      </c>
      <c r="C369" s="1191"/>
      <c r="D369" s="1471"/>
      <c r="E369" s="1206"/>
      <c r="F369" s="1207"/>
      <c r="G369" s="2175"/>
      <c r="H369" s="1264"/>
      <c r="I369" s="1265"/>
      <c r="J369" s="1264"/>
      <c r="K369" s="1265"/>
      <c r="L369" s="1473"/>
      <c r="M369" s="1214"/>
      <c r="N369" s="1214"/>
      <c r="O369" s="1214"/>
      <c r="P369" s="1214"/>
      <c r="Q369" s="1214"/>
      <c r="R369" s="1214"/>
      <c r="S369" s="1214"/>
      <c r="T369" s="1214"/>
      <c r="U369" s="1214"/>
    </row>
    <row r="370" spans="1:21" s="1199" customFormat="1" ht="24" customHeight="1">
      <c r="A370" s="1243"/>
      <c r="B370" s="2257" t="str">
        <f>"รวมราคารายการที่ "&amp;A347</f>
        <v>รวมราคารายการที่ 3.13</v>
      </c>
      <c r="C370" s="2258"/>
      <c r="D370" s="2259"/>
      <c r="E370" s="1244"/>
      <c r="F370" s="1245"/>
      <c r="G370" s="1246"/>
      <c r="H370" s="1247">
        <f>SUM(H347:H368)</f>
        <v>739145</v>
      </c>
      <c r="I370" s="1246"/>
      <c r="J370" s="1247">
        <f>SUM(J347:J368)</f>
        <v>82580</v>
      </c>
      <c r="K370" s="1247">
        <f>SUM(K347:K368)</f>
        <v>821725</v>
      </c>
      <c r="L370" s="1245"/>
    </row>
    <row r="371" spans="1:21" s="1199" customFormat="1" ht="24" customHeight="1">
      <c r="A371" s="1467" t="s">
        <v>1385</v>
      </c>
      <c r="B371" s="1292" t="s">
        <v>1571</v>
      </c>
      <c r="C371" s="1468"/>
      <c r="D371" s="1192"/>
      <c r="E371" s="1193"/>
      <c r="F371" s="1194"/>
      <c r="G371" s="1297"/>
      <c r="H371" s="1298"/>
      <c r="I371" s="1299"/>
      <c r="J371" s="1298"/>
      <c r="K371" s="1299"/>
      <c r="L371" s="1469"/>
      <c r="M371" s="1214"/>
      <c r="N371" s="1214"/>
      <c r="O371" s="1214"/>
      <c r="P371" s="1214"/>
      <c r="Q371" s="1214"/>
      <c r="R371" s="1214"/>
      <c r="S371" s="1214"/>
      <c r="T371" s="1214"/>
      <c r="U371" s="1214"/>
    </row>
    <row r="372" spans="1:21" s="1199" customFormat="1" ht="24" customHeight="1">
      <c r="A372" s="1470" t="s">
        <v>1387</v>
      </c>
      <c r="B372" s="2174" t="s">
        <v>1572</v>
      </c>
      <c r="C372" s="1191"/>
      <c r="D372" s="1471"/>
      <c r="E372" s="1472">
        <v>4</v>
      </c>
      <c r="F372" s="1267" t="s">
        <v>363</v>
      </c>
      <c r="G372" s="2178">
        <v>7500</v>
      </c>
      <c r="H372" s="1343">
        <f>ROUND(E372*G372,)</f>
        <v>30000</v>
      </c>
      <c r="I372" s="1344">
        <v>150</v>
      </c>
      <c r="J372" s="1343">
        <f>ROUND(I372*E372,)</f>
        <v>600</v>
      </c>
      <c r="K372" s="1344">
        <f>H372+J372</f>
        <v>30600</v>
      </c>
      <c r="L372" s="1473"/>
      <c r="M372" s="1214"/>
      <c r="N372" s="1214"/>
      <c r="O372" s="1214"/>
      <c r="P372" s="1214"/>
      <c r="Q372" s="1214"/>
      <c r="R372" s="1214"/>
      <c r="S372" s="1214"/>
      <c r="T372" s="1214"/>
      <c r="U372" s="1214"/>
    </row>
    <row r="373" spans="1:21" s="1199" customFormat="1" ht="24" customHeight="1">
      <c r="A373" s="1474" t="s">
        <v>1391</v>
      </c>
      <c r="B373" s="2174" t="s">
        <v>2711</v>
      </c>
      <c r="C373" s="1191"/>
      <c r="D373" s="1471"/>
      <c r="E373" s="1472"/>
      <c r="F373" s="1267" t="s">
        <v>363</v>
      </c>
      <c r="G373" s="1386"/>
      <c r="H373" s="1343"/>
      <c r="I373" s="1414"/>
      <c r="J373" s="1343"/>
      <c r="K373" s="1344"/>
      <c r="L373" s="1473"/>
      <c r="M373" s="1214"/>
      <c r="N373" s="1214"/>
      <c r="O373" s="1214"/>
      <c r="P373" s="1214"/>
      <c r="Q373" s="1214"/>
      <c r="R373" s="1214"/>
      <c r="S373" s="1214"/>
      <c r="T373" s="1214"/>
      <c r="U373" s="1214"/>
    </row>
    <row r="374" spans="1:21" s="1199" customFormat="1" ht="24" customHeight="1">
      <c r="A374" s="1474"/>
      <c r="B374" s="2174" t="s">
        <v>1573</v>
      </c>
      <c r="C374" s="1191"/>
      <c r="D374" s="1471"/>
      <c r="E374" s="1206">
        <v>2</v>
      </c>
      <c r="F374" s="1207" t="s">
        <v>363</v>
      </c>
      <c r="G374" s="2178">
        <v>68500</v>
      </c>
      <c r="H374" s="1343">
        <f>ROUND(E374*G374,)</f>
        <v>137000</v>
      </c>
      <c r="I374" s="1344">
        <f>G374*0.01</f>
        <v>685</v>
      </c>
      <c r="J374" s="1343">
        <f>ROUND(I374*E374,)</f>
        <v>1370</v>
      </c>
      <c r="K374" s="1344">
        <f>H374+J374</f>
        <v>138370</v>
      </c>
      <c r="L374" s="1473"/>
      <c r="M374" s="1214"/>
      <c r="N374" s="1214"/>
      <c r="O374" s="1214"/>
      <c r="P374" s="1214"/>
      <c r="Q374" s="1214"/>
      <c r="R374" s="1214"/>
      <c r="S374" s="1214"/>
      <c r="T374" s="1214"/>
      <c r="U374" s="1214"/>
    </row>
    <row r="375" spans="1:21" s="1199" customFormat="1" ht="24" customHeight="1">
      <c r="A375" s="1474"/>
      <c r="B375" s="2174" t="s">
        <v>1574</v>
      </c>
      <c r="C375" s="1191"/>
      <c r="D375" s="1471"/>
      <c r="E375" s="1206">
        <v>2</v>
      </c>
      <c r="F375" s="1207" t="s">
        <v>363</v>
      </c>
      <c r="G375" s="2175">
        <v>13175</v>
      </c>
      <c r="H375" s="1343">
        <f>ROUND(E375*G375,)</f>
        <v>26350</v>
      </c>
      <c r="I375" s="1344">
        <f>ROUND(G375*0.01,)</f>
        <v>132</v>
      </c>
      <c r="J375" s="1343">
        <f>ROUND(I375*E375,)</f>
        <v>264</v>
      </c>
      <c r="K375" s="1344">
        <f>H375+J375</f>
        <v>26614</v>
      </c>
      <c r="L375" s="1473"/>
      <c r="M375" s="1214"/>
      <c r="N375" s="1214"/>
      <c r="O375" s="1214"/>
      <c r="P375" s="1214"/>
      <c r="Q375" s="1214"/>
      <c r="R375" s="1214"/>
      <c r="S375" s="1214"/>
      <c r="T375" s="1214"/>
      <c r="U375" s="1214"/>
    </row>
    <row r="376" spans="1:21" s="1199" customFormat="1" ht="24" customHeight="1">
      <c r="A376" s="1475"/>
      <c r="B376" s="2174" t="s">
        <v>1575</v>
      </c>
      <c r="C376" s="1191"/>
      <c r="D376" s="1471"/>
      <c r="E376" s="1206">
        <v>48</v>
      </c>
      <c r="F376" s="1207" t="s">
        <v>363</v>
      </c>
      <c r="G376" s="2179">
        <v>415</v>
      </c>
      <c r="H376" s="1343">
        <f>ROUND(E376*G376,)</f>
        <v>19920</v>
      </c>
      <c r="I376" s="1344">
        <f>ROUND(G376*0.01,)</f>
        <v>4</v>
      </c>
      <c r="J376" s="1343">
        <f>ROUND(I376*E376,)</f>
        <v>192</v>
      </c>
      <c r="K376" s="1344">
        <f>H376+J376</f>
        <v>20112</v>
      </c>
      <c r="L376" s="1473"/>
      <c r="M376" s="1214"/>
      <c r="N376" s="1214"/>
      <c r="O376" s="1214"/>
      <c r="P376" s="1214"/>
      <c r="Q376" s="1214"/>
      <c r="R376" s="1214"/>
      <c r="S376" s="1214"/>
      <c r="T376" s="1214"/>
      <c r="U376" s="1214"/>
    </row>
    <row r="377" spans="1:21" s="1199" customFormat="1" ht="24" customHeight="1">
      <c r="A377" s="1475"/>
      <c r="B377" s="2174" t="s">
        <v>1576</v>
      </c>
      <c r="C377" s="1191"/>
      <c r="D377" s="1471"/>
      <c r="E377" s="1206">
        <v>2</v>
      </c>
      <c r="F377" s="1207" t="s">
        <v>363</v>
      </c>
      <c r="G377" s="2179">
        <v>46275</v>
      </c>
      <c r="H377" s="1343">
        <f>ROUND(E377*G377,)</f>
        <v>92550</v>
      </c>
      <c r="I377" s="1344">
        <f>ROUND(G377*0.01,)</f>
        <v>463</v>
      </c>
      <c r="J377" s="1343">
        <f>ROUND(I377*E377,)</f>
        <v>926</v>
      </c>
      <c r="K377" s="1344">
        <f>H377+J377</f>
        <v>93476</v>
      </c>
      <c r="L377" s="1473"/>
      <c r="M377" s="1214"/>
      <c r="N377" s="1214"/>
      <c r="O377" s="1214"/>
      <c r="P377" s="1214"/>
      <c r="Q377" s="1214"/>
      <c r="R377" s="1214"/>
      <c r="S377" s="1214"/>
      <c r="T377" s="1214"/>
      <c r="U377" s="1214"/>
    </row>
    <row r="378" spans="1:21" s="1199" customFormat="1" ht="24" customHeight="1">
      <c r="A378" s="1475"/>
      <c r="B378" s="2174" t="s">
        <v>2710</v>
      </c>
      <c r="C378" s="1191"/>
      <c r="D378" s="1471"/>
      <c r="E378" s="1206"/>
      <c r="F378" s="1207" t="s">
        <v>363</v>
      </c>
      <c r="G378" s="2179"/>
      <c r="H378" s="1273"/>
      <c r="I378" s="1265"/>
      <c r="J378" s="1264"/>
      <c r="K378" s="1265"/>
      <c r="L378" s="1473"/>
      <c r="M378" s="1214"/>
      <c r="N378" s="1214"/>
      <c r="O378" s="1214"/>
      <c r="P378" s="1214"/>
      <c r="Q378" s="1214"/>
      <c r="R378" s="1214"/>
      <c r="S378" s="1214"/>
      <c r="T378" s="1214"/>
      <c r="U378" s="1214"/>
    </row>
    <row r="379" spans="1:21" s="1199" customFormat="1" ht="24" customHeight="1">
      <c r="A379" s="1559"/>
      <c r="B379" s="2174" t="s">
        <v>1684</v>
      </c>
      <c r="C379" s="1191"/>
      <c r="D379" s="1471"/>
      <c r="E379" s="1206"/>
      <c r="F379" s="1207" t="s">
        <v>363</v>
      </c>
      <c r="G379" s="2179"/>
      <c r="H379" s="1273"/>
      <c r="I379" s="1265"/>
      <c r="J379" s="1264"/>
      <c r="K379" s="1265"/>
      <c r="L379" s="1469"/>
      <c r="M379" s="1214"/>
      <c r="N379" s="1214"/>
      <c r="O379" s="1214"/>
      <c r="P379" s="1214"/>
      <c r="Q379" s="1214"/>
      <c r="R379" s="1214"/>
      <c r="S379" s="1214"/>
      <c r="T379" s="1214"/>
      <c r="U379" s="1214"/>
    </row>
    <row r="380" spans="1:21" s="1199" customFormat="1" ht="24" customHeight="1">
      <c r="A380" s="1477" t="s">
        <v>1393</v>
      </c>
      <c r="B380" s="2174" t="s">
        <v>1578</v>
      </c>
      <c r="C380" s="1191"/>
      <c r="D380" s="1471"/>
      <c r="E380" s="1206"/>
      <c r="F380" s="1207"/>
      <c r="G380" s="2175"/>
      <c r="H380" s="1264"/>
      <c r="I380" s="1265"/>
      <c r="J380" s="1264"/>
      <c r="K380" s="1265"/>
      <c r="L380" s="1473"/>
      <c r="M380" s="1214"/>
      <c r="N380" s="1214"/>
      <c r="O380" s="1214"/>
      <c r="P380" s="1214"/>
      <c r="Q380" s="1214"/>
      <c r="R380" s="1214"/>
      <c r="S380" s="1214"/>
      <c r="T380" s="1214"/>
      <c r="U380" s="1214"/>
    </row>
    <row r="381" spans="1:21" s="1199" customFormat="1" ht="24" customHeight="1">
      <c r="A381" s="1478"/>
      <c r="B381" s="1259" t="s">
        <v>1579</v>
      </c>
      <c r="C381" s="1191"/>
      <c r="D381" s="1471"/>
      <c r="E381" s="1472">
        <v>200</v>
      </c>
      <c r="F381" s="1267" t="s">
        <v>226</v>
      </c>
      <c r="G381" s="2178">
        <v>37</v>
      </c>
      <c r="H381" s="1343">
        <f>ROUND(E381*G381,)</f>
        <v>7400</v>
      </c>
      <c r="I381" s="1344">
        <v>5</v>
      </c>
      <c r="J381" s="1343">
        <f>ROUND(I381*E381,)</f>
        <v>1000</v>
      </c>
      <c r="K381" s="1344">
        <f>H381+J381</f>
        <v>8400</v>
      </c>
      <c r="L381" s="1473"/>
      <c r="M381" s="1214"/>
      <c r="N381" s="1214"/>
      <c r="O381" s="1214"/>
      <c r="P381" s="1214"/>
      <c r="Q381" s="1214"/>
      <c r="R381" s="1214"/>
      <c r="S381" s="1214"/>
      <c r="T381" s="1214"/>
      <c r="U381" s="1214"/>
    </row>
    <row r="382" spans="1:21" s="1199" customFormat="1" ht="24" customHeight="1">
      <c r="A382" s="1475" t="s">
        <v>1395</v>
      </c>
      <c r="B382" s="2174" t="s">
        <v>1526</v>
      </c>
      <c r="C382" s="1191"/>
      <c r="D382" s="1471"/>
      <c r="E382" s="1472"/>
      <c r="F382" s="1267"/>
      <c r="G382" s="2178"/>
      <c r="H382" s="1343"/>
      <c r="I382" s="1344"/>
      <c r="J382" s="1343"/>
      <c r="K382" s="1344"/>
      <c r="L382" s="1473"/>
      <c r="M382" s="1214"/>
      <c r="N382" s="1214"/>
      <c r="O382" s="1214"/>
      <c r="P382" s="1214"/>
      <c r="Q382" s="1214"/>
      <c r="R382" s="1214"/>
      <c r="S382" s="1214"/>
      <c r="T382" s="1214"/>
      <c r="U382" s="1214"/>
    </row>
    <row r="383" spans="1:21" s="1199" customFormat="1" ht="24" customHeight="1">
      <c r="A383" s="1479"/>
      <c r="B383" s="2174" t="s">
        <v>1350</v>
      </c>
      <c r="C383" s="1191"/>
      <c r="D383" s="1471"/>
      <c r="E383" s="1404"/>
      <c r="F383" s="1262" t="s">
        <v>226</v>
      </c>
      <c r="G383" s="1386"/>
      <c r="H383" s="1343"/>
      <c r="I383" s="1414"/>
      <c r="J383" s="1343"/>
      <c r="K383" s="1262"/>
      <c r="L383" s="1473"/>
      <c r="M383" s="1214"/>
      <c r="N383" s="1214"/>
      <c r="O383" s="1214"/>
      <c r="P383" s="1214"/>
      <c r="Q383" s="1214"/>
      <c r="R383" s="1214"/>
      <c r="S383" s="1214"/>
      <c r="T383" s="1214"/>
      <c r="U383" s="1214"/>
    </row>
    <row r="384" spans="1:21" s="1199" customFormat="1" ht="24" customHeight="1">
      <c r="A384" s="1478" t="s">
        <v>1400</v>
      </c>
      <c r="B384" s="2174" t="s">
        <v>1110</v>
      </c>
      <c r="C384" s="1191"/>
      <c r="D384" s="1471"/>
      <c r="E384" s="1206"/>
      <c r="F384" s="1207"/>
      <c r="G384" s="2175"/>
      <c r="H384" s="1264"/>
      <c r="I384" s="1265"/>
      <c r="J384" s="1264"/>
      <c r="K384" s="1265"/>
      <c r="L384" s="1473"/>
      <c r="M384" s="1214"/>
      <c r="N384" s="1214"/>
      <c r="O384" s="1214"/>
      <c r="P384" s="1214"/>
      <c r="Q384" s="1214"/>
      <c r="R384" s="1214"/>
      <c r="S384" s="1214"/>
      <c r="T384" s="1214"/>
      <c r="U384" s="1214"/>
    </row>
    <row r="385" spans="1:21" s="1199" customFormat="1" ht="24" customHeight="1">
      <c r="A385" s="1480"/>
      <c r="B385" s="2174" t="s">
        <v>1350</v>
      </c>
      <c r="C385" s="1191"/>
      <c r="D385" s="1471"/>
      <c r="E385" s="1387">
        <v>200</v>
      </c>
      <c r="F385" s="1358" t="s">
        <v>226</v>
      </c>
      <c r="G385" s="2176">
        <v>56</v>
      </c>
      <c r="H385" s="1264">
        <f>ROUND(E385*G385,)</f>
        <v>11200</v>
      </c>
      <c r="I385" s="2177">
        <v>26</v>
      </c>
      <c r="J385" s="1264">
        <f t="shared" ref="J385" si="52">ROUND(E385*I385,)</f>
        <v>5200</v>
      </c>
      <c r="K385" s="1273">
        <f t="shared" ref="K385" si="53">H385+J385</f>
        <v>16400</v>
      </c>
      <c r="L385" s="2001" t="s">
        <v>2667</v>
      </c>
      <c r="M385" s="1214"/>
      <c r="P385" s="1214"/>
      <c r="Q385" s="1214"/>
      <c r="R385" s="1214"/>
      <c r="S385" s="1214"/>
      <c r="T385" s="1214"/>
      <c r="U385" s="1214"/>
    </row>
    <row r="386" spans="1:21" s="1199" customFormat="1" ht="24" customHeight="1">
      <c r="A386" s="1480"/>
      <c r="B386" s="2174" t="s">
        <v>1384</v>
      </c>
      <c r="C386" s="1191"/>
      <c r="D386" s="1471"/>
      <c r="E386" s="1206">
        <v>1</v>
      </c>
      <c r="F386" s="1207" t="s">
        <v>1104</v>
      </c>
      <c r="G386" s="2175">
        <f>SUM(H383:H385)*15%</f>
        <v>1680</v>
      </c>
      <c r="H386" s="1264">
        <f>ROUND(E386*G386,)</f>
        <v>1680</v>
      </c>
      <c r="I386" s="1265">
        <f>G386*0.3</f>
        <v>504</v>
      </c>
      <c r="J386" s="1264">
        <f>ROUND(I386*E386,)</f>
        <v>504</v>
      </c>
      <c r="K386" s="1265">
        <f>H386+I386</f>
        <v>2184</v>
      </c>
      <c r="L386" s="1473"/>
      <c r="M386" s="1214"/>
      <c r="N386" s="1214"/>
      <c r="O386" s="1214"/>
      <c r="P386" s="1214"/>
      <c r="Q386" s="1214"/>
      <c r="R386" s="1214"/>
      <c r="S386" s="1214"/>
      <c r="T386" s="1214"/>
      <c r="U386" s="1214"/>
    </row>
    <row r="387" spans="1:21" s="1199" customFormat="1" ht="24" customHeight="1">
      <c r="A387" s="1480" t="s">
        <v>1402</v>
      </c>
      <c r="B387" s="2174" t="s">
        <v>1381</v>
      </c>
      <c r="C387" s="1191"/>
      <c r="D387" s="1471"/>
      <c r="E387" s="1206"/>
      <c r="F387" s="1207" t="s">
        <v>1104</v>
      </c>
      <c r="G387" s="2175"/>
      <c r="H387" s="1264"/>
      <c r="I387" s="1265"/>
      <c r="J387" s="1264"/>
      <c r="K387" s="1265"/>
      <c r="L387" s="1473"/>
      <c r="M387" s="1214"/>
      <c r="N387" s="1214"/>
      <c r="O387" s="1214"/>
      <c r="P387" s="1214"/>
      <c r="Q387" s="1214"/>
      <c r="R387" s="1214"/>
      <c r="S387" s="1214"/>
      <c r="T387" s="1214"/>
      <c r="U387" s="1214"/>
    </row>
    <row r="388" spans="1:21" s="1199" customFormat="1" ht="24" customHeight="1">
      <c r="A388" s="1480"/>
      <c r="B388" s="2174" t="s">
        <v>1117</v>
      </c>
      <c r="C388" s="1191"/>
      <c r="D388" s="1471"/>
      <c r="E388" s="1206"/>
      <c r="F388" s="1207"/>
      <c r="G388" s="2175"/>
      <c r="H388" s="1264"/>
      <c r="I388" s="1265"/>
      <c r="J388" s="1264"/>
      <c r="K388" s="1265"/>
      <c r="L388" s="1473"/>
      <c r="M388" s="1214"/>
      <c r="N388" s="1214"/>
      <c r="O388" s="1214"/>
      <c r="P388" s="1214"/>
      <c r="Q388" s="1214"/>
      <c r="R388" s="1214"/>
      <c r="S388" s="1214"/>
      <c r="T388" s="1214"/>
      <c r="U388" s="1214"/>
    </row>
    <row r="389" spans="1:21" s="1199" customFormat="1" ht="24" customHeight="1">
      <c r="A389" s="1480"/>
      <c r="B389" s="1220" t="s">
        <v>1118</v>
      </c>
      <c r="C389" s="1191"/>
      <c r="D389" s="1471"/>
      <c r="E389" s="1206"/>
      <c r="F389" s="1207"/>
      <c r="G389" s="2175"/>
      <c r="H389" s="1264"/>
      <c r="I389" s="1265"/>
      <c r="J389" s="1264"/>
      <c r="K389" s="1265"/>
      <c r="L389" s="1473"/>
      <c r="M389" s="1214"/>
      <c r="N389" s="1214"/>
      <c r="O389" s="1214"/>
      <c r="P389" s="1214"/>
      <c r="Q389" s="1214"/>
      <c r="R389" s="1214"/>
      <c r="S389" s="1214"/>
      <c r="T389" s="1214"/>
      <c r="U389" s="1214"/>
    </row>
    <row r="390" spans="1:21" s="1199" customFormat="1" ht="24" customHeight="1">
      <c r="A390" s="1480"/>
      <c r="B390" s="1220" t="s">
        <v>1118</v>
      </c>
      <c r="C390" s="1191"/>
      <c r="D390" s="1471"/>
      <c r="E390" s="1206"/>
      <c r="F390" s="1207"/>
      <c r="G390" s="2175"/>
      <c r="H390" s="1264"/>
      <c r="I390" s="1265"/>
      <c r="J390" s="1264"/>
      <c r="K390" s="1265"/>
      <c r="L390" s="1473"/>
      <c r="M390" s="1214"/>
      <c r="N390" s="1214"/>
      <c r="O390" s="1214"/>
      <c r="P390" s="1214"/>
      <c r="Q390" s="1214"/>
      <c r="R390" s="1214"/>
      <c r="S390" s="1214"/>
      <c r="T390" s="1214"/>
      <c r="U390" s="1214"/>
    </row>
    <row r="391" spans="1:21" s="1199" customFormat="1" ht="24" customHeight="1">
      <c r="A391" s="1480"/>
      <c r="B391" s="1220"/>
      <c r="C391" s="1191"/>
      <c r="D391" s="1471"/>
      <c r="E391" s="1206"/>
      <c r="F391" s="1207"/>
      <c r="G391" s="2175"/>
      <c r="H391" s="1264"/>
      <c r="I391" s="1265"/>
      <c r="J391" s="1264"/>
      <c r="K391" s="1265"/>
      <c r="L391" s="1473"/>
      <c r="M391" s="1214"/>
      <c r="N391" s="1214"/>
      <c r="O391" s="1214"/>
      <c r="P391" s="1214"/>
      <c r="Q391" s="1214"/>
      <c r="R391" s="1214"/>
      <c r="S391" s="1214"/>
      <c r="T391" s="1214"/>
      <c r="U391" s="1214"/>
    </row>
    <row r="392" spans="1:21" s="1199" customFormat="1" ht="24" customHeight="1">
      <c r="A392" s="1480"/>
      <c r="B392" s="1220"/>
      <c r="C392" s="1191"/>
      <c r="D392" s="1471"/>
      <c r="E392" s="1206"/>
      <c r="F392" s="1207"/>
      <c r="G392" s="2175"/>
      <c r="H392" s="1264"/>
      <c r="I392" s="1265"/>
      <c r="J392" s="1264"/>
      <c r="K392" s="1265"/>
      <c r="L392" s="1473"/>
      <c r="M392" s="1214"/>
      <c r="N392" s="1214"/>
      <c r="O392" s="1214"/>
      <c r="P392" s="1214"/>
      <c r="Q392" s="1214"/>
      <c r="R392" s="1214"/>
      <c r="S392" s="1214"/>
      <c r="T392" s="1214"/>
      <c r="U392" s="1214"/>
    </row>
    <row r="393" spans="1:21" s="1199" customFormat="1" ht="24" customHeight="1">
      <c r="A393" s="1480"/>
      <c r="B393" s="2174"/>
      <c r="C393" s="1191"/>
      <c r="D393" s="1471"/>
      <c r="E393" s="1206"/>
      <c r="F393" s="1207"/>
      <c r="G393" s="2175"/>
      <c r="H393" s="1264"/>
      <c r="I393" s="1265"/>
      <c r="J393" s="1264"/>
      <c r="K393" s="1265"/>
      <c r="L393" s="1473"/>
      <c r="M393" s="1214"/>
      <c r="N393" s="1214"/>
      <c r="O393" s="1214"/>
      <c r="P393" s="1214"/>
      <c r="Q393" s="1214"/>
      <c r="R393" s="1214"/>
      <c r="S393" s="1214"/>
      <c r="T393" s="1214"/>
      <c r="U393" s="1214"/>
    </row>
    <row r="394" spans="1:21" s="1199" customFormat="1" ht="24" customHeight="1">
      <c r="A394" s="1245"/>
      <c r="B394" s="2257" t="str">
        <f>"รวมราคารายการที่ "&amp;A371</f>
        <v>รวมราคารายการที่ 3.14</v>
      </c>
      <c r="C394" s="2258"/>
      <c r="D394" s="2259"/>
      <c r="E394" s="1481"/>
      <c r="F394" s="1245"/>
      <c r="G394" s="1246"/>
      <c r="H394" s="1247">
        <f>SUM(H372:H388)</f>
        <v>326100</v>
      </c>
      <c r="I394" s="1246"/>
      <c r="J394" s="1247">
        <f t="shared" ref="J394:K394" si="54">SUM(J372:J388)</f>
        <v>10056</v>
      </c>
      <c r="K394" s="1247">
        <f t="shared" si="54"/>
        <v>336156</v>
      </c>
      <c r="L394" s="1245"/>
      <c r="M394" s="1214"/>
      <c r="N394" s="1214"/>
      <c r="O394" s="1214"/>
      <c r="P394" s="1214"/>
      <c r="Q394" s="1214"/>
      <c r="R394" s="1214"/>
      <c r="S394" s="1214"/>
      <c r="T394" s="1214"/>
      <c r="U394" s="1214"/>
    </row>
    <row r="395" spans="1:21" s="1199" customFormat="1" ht="21.3">
      <c r="A395" s="1427"/>
      <c r="E395" s="1363"/>
    </row>
    <row r="396" spans="1:21" s="1199" customFormat="1" ht="21.3">
      <c r="A396" s="1427"/>
      <c r="E396" s="1363"/>
    </row>
    <row r="397" spans="1:21" s="1199" customFormat="1" ht="21.3">
      <c r="A397" s="1427"/>
      <c r="E397" s="1363"/>
    </row>
    <row r="398" spans="1:21" s="1199" customFormat="1" ht="21.3">
      <c r="A398" s="1427"/>
      <c r="E398" s="1363"/>
    </row>
    <row r="399" spans="1:21">
      <c r="A399" s="1427"/>
      <c r="B399" s="1199"/>
      <c r="C399" s="1199"/>
      <c r="D399" s="1199"/>
      <c r="E399" s="1363"/>
      <c r="F399" s="1199"/>
      <c r="G399" s="1199"/>
      <c r="H399" s="1199"/>
      <c r="I399" s="1199"/>
      <c r="J399" s="1199"/>
      <c r="K399" s="1199"/>
      <c r="L399" s="1199"/>
    </row>
    <row r="400" spans="1:21">
      <c r="A400" s="1427"/>
      <c r="B400" s="1199"/>
      <c r="C400" s="1199"/>
      <c r="D400" s="1199"/>
      <c r="E400" s="1363"/>
      <c r="F400" s="1199"/>
      <c r="G400" s="1199"/>
      <c r="H400" s="1199"/>
      <c r="I400" s="1199"/>
      <c r="J400" s="1199"/>
      <c r="K400" s="1199"/>
      <c r="L400" s="1199"/>
    </row>
    <row r="401" spans="1:12">
      <c r="A401" s="1427"/>
      <c r="B401" s="1199"/>
      <c r="C401" s="1199"/>
      <c r="D401" s="1199"/>
      <c r="E401" s="1363"/>
      <c r="F401" s="1199"/>
      <c r="G401" s="1199"/>
      <c r="H401" s="1199"/>
      <c r="I401" s="1199"/>
      <c r="J401" s="1199"/>
      <c r="K401" s="1199"/>
      <c r="L401" s="1199"/>
    </row>
    <row r="402" spans="1:12">
      <c r="A402" s="1427"/>
      <c r="B402" s="1199"/>
      <c r="C402" s="1199"/>
      <c r="D402" s="1199"/>
      <c r="E402" s="1363"/>
      <c r="F402" s="1199"/>
      <c r="G402" s="1199"/>
      <c r="H402" s="1199"/>
      <c r="I402" s="1199"/>
      <c r="J402" s="1199"/>
      <c r="K402" s="1199"/>
      <c r="L402" s="1199"/>
    </row>
    <row r="403" spans="1:12">
      <c r="A403" s="1427"/>
      <c r="B403" s="1199"/>
      <c r="C403" s="1199"/>
      <c r="D403" s="1199"/>
      <c r="E403" s="1363"/>
      <c r="F403" s="1199"/>
      <c r="G403" s="1199"/>
      <c r="H403" s="1199"/>
      <c r="I403" s="1199"/>
      <c r="J403" s="1199"/>
      <c r="K403" s="1199"/>
      <c r="L403" s="1199"/>
    </row>
  </sheetData>
  <mergeCells count="22">
    <mergeCell ref="B202:D202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3:D43"/>
    <mergeCell ref="B154:D154"/>
    <mergeCell ref="B178:D178"/>
    <mergeCell ref="B189:D189"/>
    <mergeCell ref="B370:D370"/>
    <mergeCell ref="B394:D394"/>
    <mergeCell ref="B219:D219"/>
    <mergeCell ref="B226:D226"/>
    <mergeCell ref="B256:D256"/>
    <mergeCell ref="B298:D298"/>
    <mergeCell ref="B322:D322"/>
    <mergeCell ref="B346:D346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B1-อาคารทิศตะวันตก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2:AF31"/>
  <sheetViews>
    <sheetView view="pageBreakPreview" zoomScale="85" zoomScaleNormal="100" zoomScaleSheetLayoutView="85" workbookViewId="0">
      <selection activeCell="D17" sqref="D17"/>
    </sheetView>
  </sheetViews>
  <sheetFormatPr defaultColWidth="9" defaultRowHeight="26.7"/>
  <cols>
    <col min="1" max="1" width="54" style="406" customWidth="1"/>
    <col min="2" max="2" width="9" style="406" customWidth="1"/>
    <col min="3" max="3" width="5" style="406" customWidth="1"/>
    <col min="4" max="4" width="9" style="406" bestFit="1" customWidth="1"/>
    <col min="5" max="5" width="3.5859375" style="406" customWidth="1"/>
    <col min="6" max="6" width="13" style="406" customWidth="1"/>
    <col min="7" max="7" width="8.5859375" style="406" bestFit="1" customWidth="1"/>
    <col min="8" max="8" width="21.29296875" style="406" bestFit="1" customWidth="1"/>
    <col min="9" max="9" width="1.703125" style="406" bestFit="1" customWidth="1"/>
    <col min="10" max="10" width="19" style="406" bestFit="1" customWidth="1"/>
    <col min="11" max="11" width="1.703125" style="406" bestFit="1" customWidth="1"/>
    <col min="12" max="12" width="11" style="406" customWidth="1"/>
    <col min="13" max="13" width="25.87890625" style="406" customWidth="1"/>
    <col min="14" max="15" width="9" style="406" hidden="1" customWidth="1"/>
    <col min="16" max="16" width="19" style="406" hidden="1" customWidth="1"/>
    <col min="17" max="20" width="9" style="406" hidden="1" customWidth="1"/>
    <col min="21" max="21" width="16.29296875" style="406" hidden="1" customWidth="1"/>
    <col min="22" max="22" width="7.703125" style="406" hidden="1" customWidth="1"/>
    <col min="23" max="23" width="19.703125" style="406" hidden="1" customWidth="1"/>
    <col min="24" max="25" width="16.29296875" style="406" hidden="1" customWidth="1"/>
    <col min="26" max="26" width="9" style="406" hidden="1" customWidth="1"/>
    <col min="27" max="27" width="9" style="406"/>
    <col min="28" max="28" width="17" style="406" bestFit="1" customWidth="1"/>
    <col min="29" max="29" width="11.29296875" style="406" customWidth="1"/>
    <col min="30" max="30" width="9" style="406" customWidth="1"/>
    <col min="31" max="32" width="17" style="406" bestFit="1" customWidth="1"/>
    <col min="33" max="16384" width="9" style="406"/>
  </cols>
  <sheetData>
    <row r="2" spans="1:32">
      <c r="A2" s="405" t="s">
        <v>152</v>
      </c>
    </row>
    <row r="4" spans="1:32">
      <c r="A4" s="407" t="s">
        <v>153</v>
      </c>
      <c r="B4" s="407" t="s">
        <v>32</v>
      </c>
      <c r="C4" s="2364">
        <v>0.1</v>
      </c>
      <c r="D4" s="2364"/>
      <c r="E4" s="2364"/>
      <c r="F4" s="407"/>
      <c r="G4" s="407"/>
      <c r="H4" s="407"/>
      <c r="I4" s="407"/>
      <c r="J4" s="407"/>
      <c r="K4" s="407"/>
    </row>
    <row r="5" spans="1:32">
      <c r="A5" s="407" t="s">
        <v>154</v>
      </c>
      <c r="B5" s="407" t="s">
        <v>32</v>
      </c>
      <c r="C5" s="2364">
        <v>0.05</v>
      </c>
      <c r="D5" s="2364"/>
      <c r="E5" s="2364"/>
      <c r="F5" s="407"/>
      <c r="G5" s="407"/>
      <c r="H5" s="407"/>
      <c r="I5" s="407"/>
      <c r="J5" s="407"/>
      <c r="K5" s="407"/>
    </row>
    <row r="6" spans="1:32">
      <c r="A6" s="407" t="s">
        <v>149</v>
      </c>
      <c r="B6" s="407" t="s">
        <v>32</v>
      </c>
      <c r="C6" s="2364">
        <v>0.05</v>
      </c>
      <c r="D6" s="2364"/>
      <c r="E6" s="2364"/>
      <c r="F6" s="407"/>
      <c r="G6" s="407"/>
      <c r="H6" s="407"/>
      <c r="I6" s="407"/>
      <c r="J6" s="407"/>
      <c r="K6" s="407"/>
    </row>
    <row r="7" spans="1:32">
      <c r="A7" s="407" t="s">
        <v>155</v>
      </c>
      <c r="B7" s="407" t="s">
        <v>32</v>
      </c>
      <c r="C7" s="2364">
        <v>7.0000000000000007E-2</v>
      </c>
      <c r="D7" s="2364"/>
      <c r="E7" s="2364"/>
      <c r="F7" s="407"/>
      <c r="G7" s="407"/>
      <c r="H7" s="407"/>
      <c r="I7" s="407"/>
      <c r="J7" s="407"/>
      <c r="K7" s="407"/>
      <c r="U7" s="408">
        <v>0</v>
      </c>
      <c r="V7" s="409"/>
      <c r="W7" s="409"/>
      <c r="X7" s="409">
        <v>0</v>
      </c>
      <c r="Y7" s="408">
        <v>500000</v>
      </c>
      <c r="AB7" s="410"/>
      <c r="AC7" s="409"/>
      <c r="AD7" s="409"/>
      <c r="AE7" s="409"/>
      <c r="AF7" s="410"/>
    </row>
    <row r="8" spans="1:32">
      <c r="A8" s="407"/>
      <c r="B8" s="407"/>
      <c r="C8" s="407"/>
      <c r="D8" s="407"/>
      <c r="E8" s="407"/>
      <c r="F8" s="407"/>
      <c r="G8" s="407"/>
      <c r="H8" s="407"/>
      <c r="I8" s="407"/>
      <c r="J8" s="407"/>
      <c r="K8" s="407"/>
      <c r="U8" s="411">
        <v>500000</v>
      </c>
      <c r="V8" s="409">
        <v>1.3059000000000001</v>
      </c>
      <c r="W8" s="409"/>
      <c r="X8" s="411">
        <v>500000</v>
      </c>
      <c r="Y8" s="412">
        <v>1000000</v>
      </c>
      <c r="AB8" s="410"/>
      <c r="AC8" s="409"/>
      <c r="AD8" s="409"/>
      <c r="AE8" s="410"/>
      <c r="AF8" s="410"/>
    </row>
    <row r="9" spans="1:32">
      <c r="A9" s="407" t="s">
        <v>156</v>
      </c>
      <c r="B9" s="407" t="s">
        <v>32</v>
      </c>
      <c r="C9" s="2361">
        <f>SUM('ปร.5(ก)อาคาร'!F19:F32)</f>
        <v>1062203857.5310001</v>
      </c>
      <c r="D9" s="2361"/>
      <c r="E9" s="2361"/>
      <c r="F9" s="413" t="s">
        <v>157</v>
      </c>
      <c r="G9" s="407"/>
      <c r="H9" s="407"/>
      <c r="I9" s="407"/>
      <c r="J9" s="407"/>
      <c r="K9" s="407"/>
      <c r="M9" s="479"/>
      <c r="U9" s="412">
        <v>1000000</v>
      </c>
      <c r="V9" s="414">
        <v>1.3033999999999999</v>
      </c>
      <c r="W9" s="409"/>
      <c r="X9" s="412">
        <v>1000000</v>
      </c>
      <c r="Y9" s="412">
        <v>2000000</v>
      </c>
      <c r="AB9" s="410"/>
      <c r="AC9" s="414"/>
      <c r="AD9" s="409"/>
      <c r="AE9" s="410"/>
      <c r="AF9" s="410"/>
    </row>
    <row r="10" spans="1:32">
      <c r="A10" s="407" t="s">
        <v>158</v>
      </c>
      <c r="B10" s="407"/>
      <c r="C10" s="2361"/>
      <c r="D10" s="2361"/>
      <c r="E10" s="2361"/>
      <c r="F10" s="413"/>
      <c r="G10" s="407"/>
      <c r="H10" s="407"/>
      <c r="I10" s="407"/>
      <c r="J10" s="407"/>
      <c r="K10" s="407"/>
      <c r="N10" s="409" t="s">
        <v>159</v>
      </c>
      <c r="P10" s="415">
        <f>C9</f>
        <v>1062203857.5310001</v>
      </c>
      <c r="U10" s="412">
        <v>2000000</v>
      </c>
      <c r="V10" s="416">
        <v>1.3018000000000001</v>
      </c>
      <c r="W10" s="417"/>
      <c r="X10" s="412">
        <v>2000000</v>
      </c>
      <c r="Y10" s="412">
        <v>5000000</v>
      </c>
      <c r="AB10" s="410"/>
      <c r="AC10" s="414"/>
      <c r="AD10" s="417"/>
      <c r="AE10" s="410"/>
      <c r="AF10" s="410"/>
    </row>
    <row r="11" spans="1:32">
      <c r="A11" s="407"/>
      <c r="B11" s="407"/>
      <c r="C11" s="2361"/>
      <c r="D11" s="2361"/>
      <c r="E11" s="2361"/>
      <c r="F11" s="413"/>
      <c r="G11" s="407"/>
      <c r="H11" s="407"/>
      <c r="I11" s="407"/>
      <c r="J11" s="407"/>
      <c r="K11" s="407"/>
      <c r="M11" s="479">
        <f>C9*1.172</f>
        <v>1244902921.0263321</v>
      </c>
      <c r="N11" s="409" t="s">
        <v>160</v>
      </c>
      <c r="P11" s="406">
        <f>VLOOKUP(C9,U7:V31,1)</f>
        <v>500000000</v>
      </c>
      <c r="Q11" s="409" t="s">
        <v>161</v>
      </c>
      <c r="R11" s="406">
        <f>IF(C9&lt;500000,0,VLOOKUP(P11,U7:V31,2))</f>
        <v>1.1728000000000001</v>
      </c>
      <c r="U11" s="412">
        <v>5000000</v>
      </c>
      <c r="V11" s="418">
        <v>1.2982</v>
      </c>
      <c r="W11" s="417"/>
      <c r="X11" s="412">
        <v>5000000</v>
      </c>
      <c r="Y11" s="419">
        <v>10000000</v>
      </c>
      <c r="AB11" s="410"/>
      <c r="AC11" s="414"/>
      <c r="AD11" s="417"/>
      <c r="AE11" s="410"/>
      <c r="AF11" s="420"/>
    </row>
    <row r="12" spans="1:32">
      <c r="A12" s="407"/>
      <c r="B12" s="407"/>
      <c r="C12" s="2362"/>
      <c r="D12" s="2362"/>
      <c r="E12" s="2362"/>
      <c r="F12" s="407"/>
      <c r="G12" s="407"/>
      <c r="H12" s="407"/>
      <c r="I12" s="407"/>
      <c r="J12" s="407"/>
      <c r="K12" s="407"/>
      <c r="M12" s="479">
        <f>M11-C9</f>
        <v>182699063.495332</v>
      </c>
      <c r="N12" s="409" t="s">
        <v>162</v>
      </c>
      <c r="P12" s="406">
        <f>VLOOKUP(P11,X7:Y31,2)</f>
        <v>0</v>
      </c>
      <c r="Q12" s="409" t="s">
        <v>163</v>
      </c>
      <c r="R12" s="406">
        <f>IF(C9&gt;500000000,1.1728,VLOOKUP(P12,U7:V31,2))</f>
        <v>1.1728000000000001</v>
      </c>
      <c r="U12" s="419">
        <v>10000000</v>
      </c>
      <c r="V12" s="418">
        <v>1.2917000000000001</v>
      </c>
      <c r="W12" s="417"/>
      <c r="X12" s="419">
        <v>10000000</v>
      </c>
      <c r="Y12" s="419">
        <v>15000000</v>
      </c>
      <c r="AB12" s="420"/>
      <c r="AC12" s="414"/>
      <c r="AD12" s="417"/>
      <c r="AE12" s="420"/>
      <c r="AF12" s="420"/>
    </row>
    <row r="13" spans="1:32">
      <c r="A13" s="407"/>
      <c r="B13" s="407"/>
      <c r="C13" s="2362"/>
      <c r="D13" s="2362"/>
      <c r="E13" s="2362"/>
      <c r="F13" s="407"/>
      <c r="G13" s="407"/>
      <c r="H13" s="407"/>
      <c r="I13" s="407"/>
      <c r="J13" s="407"/>
      <c r="K13" s="407"/>
      <c r="N13" s="409"/>
      <c r="U13" s="419">
        <v>15000000</v>
      </c>
      <c r="V13" s="421">
        <v>1.2566999999999999</v>
      </c>
      <c r="W13" s="417"/>
      <c r="X13" s="419">
        <v>15000000</v>
      </c>
      <c r="Y13" s="412">
        <v>20000000</v>
      </c>
      <c r="AB13" s="420"/>
      <c r="AC13" s="422"/>
      <c r="AD13" s="417"/>
      <c r="AE13" s="420"/>
      <c r="AF13" s="410"/>
    </row>
    <row r="14" spans="1:32">
      <c r="N14" s="409" t="s">
        <v>164</v>
      </c>
      <c r="P14" s="406">
        <f>IF(C9&gt;500000000,V31,IF(C9&lt;500000,V8,(C12-((C12-C13)*(C9-C10))/(C11-C10))))</f>
        <v>1.1728000000000001</v>
      </c>
      <c r="U14" s="412">
        <v>20000000</v>
      </c>
      <c r="V14" s="421">
        <v>1.2490000000000001</v>
      </c>
      <c r="W14" s="417"/>
      <c r="X14" s="412">
        <v>20000000</v>
      </c>
      <c r="Y14" s="412">
        <v>25000000</v>
      </c>
      <c r="AB14" s="410"/>
      <c r="AC14" s="422"/>
      <c r="AD14" s="417"/>
      <c r="AE14" s="410"/>
      <c r="AF14" s="410"/>
    </row>
    <row r="15" spans="1:32">
      <c r="A15" s="407"/>
      <c r="B15" s="407"/>
      <c r="C15" s="407"/>
      <c r="D15" s="407"/>
      <c r="E15" s="407"/>
      <c r="F15" s="407"/>
      <c r="G15" s="407"/>
      <c r="H15" s="407"/>
      <c r="I15" s="407"/>
      <c r="J15" s="407"/>
      <c r="K15" s="407"/>
      <c r="N15" s="409" t="s">
        <v>165</v>
      </c>
      <c r="P15" s="406">
        <f>FLOOR(P14,0.0001)</f>
        <v>1.1728000000000001</v>
      </c>
      <c r="U15" s="412">
        <v>25000000</v>
      </c>
      <c r="V15" s="421">
        <v>1.222</v>
      </c>
      <c r="W15" s="417"/>
      <c r="X15" s="412">
        <v>25000000</v>
      </c>
      <c r="Y15" s="412">
        <v>30000000</v>
      </c>
      <c r="AB15" s="410"/>
      <c r="AC15" s="422"/>
      <c r="AD15" s="417"/>
      <c r="AE15" s="410"/>
      <c r="AF15" s="410"/>
    </row>
    <row r="16" spans="1:32">
      <c r="A16" s="407"/>
      <c r="B16" s="423"/>
      <c r="C16" s="423"/>
      <c r="D16" s="423"/>
      <c r="E16" s="423"/>
      <c r="F16" s="423"/>
      <c r="G16" s="423"/>
      <c r="H16" s="423"/>
      <c r="I16" s="423"/>
      <c r="J16" s="423"/>
      <c r="K16" s="423"/>
      <c r="U16" s="412">
        <v>30000000</v>
      </c>
      <c r="V16" s="418">
        <v>1.2135</v>
      </c>
      <c r="W16" s="417"/>
      <c r="X16" s="412">
        <v>30000000</v>
      </c>
      <c r="Y16" s="412">
        <v>40000000</v>
      </c>
      <c r="AB16" s="410"/>
      <c r="AC16" s="414"/>
      <c r="AD16" s="417"/>
      <c r="AE16" s="410"/>
      <c r="AF16" s="410"/>
    </row>
    <row r="17" spans="1:32" ht="23.25" customHeight="1">
      <c r="A17" s="407"/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U17" s="412">
        <v>40000000</v>
      </c>
      <c r="V17" s="418">
        <v>1.2131000000000001</v>
      </c>
      <c r="W17" s="417"/>
      <c r="X17" s="412">
        <v>40000000</v>
      </c>
      <c r="Y17" s="412">
        <v>50000000</v>
      </c>
      <c r="AB17" s="410"/>
      <c r="AC17" s="414"/>
      <c r="AD17" s="417"/>
      <c r="AE17" s="410"/>
      <c r="AF17" s="410"/>
    </row>
    <row r="18" spans="1:32">
      <c r="A18" s="407"/>
      <c r="B18" s="424"/>
      <c r="C18" s="424"/>
      <c r="D18" s="425"/>
      <c r="E18" s="424"/>
      <c r="F18" s="425"/>
      <c r="G18" s="425"/>
      <c r="H18" s="426"/>
      <c r="I18" s="425"/>
      <c r="J18" s="426"/>
      <c r="K18" s="425"/>
      <c r="L18" s="427"/>
      <c r="M18" s="427"/>
      <c r="U18" s="412">
        <v>50000000</v>
      </c>
      <c r="V18" s="418">
        <v>1.2126999999999999</v>
      </c>
      <c r="W18" s="417"/>
      <c r="X18" s="412">
        <v>50000000</v>
      </c>
      <c r="Y18" s="412">
        <v>60000000</v>
      </c>
      <c r="AB18" s="410"/>
      <c r="AC18" s="414"/>
      <c r="AD18" s="417"/>
      <c r="AE18" s="410"/>
      <c r="AF18" s="410"/>
    </row>
    <row r="19" spans="1:32">
      <c r="A19" s="407"/>
      <c r="E19" s="428"/>
      <c r="F19" s="415"/>
      <c r="G19" s="424"/>
      <c r="H19" s="415"/>
      <c r="U19" s="412">
        <v>60000000</v>
      </c>
      <c r="V19" s="418">
        <v>1.2029000000000001</v>
      </c>
      <c r="W19" s="417"/>
      <c r="X19" s="412">
        <v>60000000</v>
      </c>
      <c r="Y19" s="412">
        <v>70000000</v>
      </c>
      <c r="AB19" s="410"/>
      <c r="AC19" s="414"/>
      <c r="AD19" s="417"/>
      <c r="AE19" s="410"/>
      <c r="AF19" s="410"/>
    </row>
    <row r="20" spans="1:32">
      <c r="U20" s="412">
        <v>70000000</v>
      </c>
      <c r="V20" s="418">
        <v>1.2017</v>
      </c>
      <c r="W20" s="417"/>
      <c r="X20" s="412">
        <v>70000000</v>
      </c>
      <c r="Y20" s="412">
        <v>80000000</v>
      </c>
      <c r="AB20" s="410"/>
      <c r="AC20" s="414"/>
      <c r="AD20" s="417"/>
      <c r="AE20" s="410"/>
      <c r="AF20" s="410"/>
    </row>
    <row r="21" spans="1:32">
      <c r="A21" s="429" t="s">
        <v>166</v>
      </c>
      <c r="B21" s="430" t="s">
        <v>32</v>
      </c>
      <c r="C21" s="2363">
        <v>1.1719999999999999</v>
      </c>
      <c r="D21" s="2363"/>
      <c r="E21" s="2363"/>
      <c r="F21" s="2363"/>
      <c r="G21" s="430"/>
      <c r="H21" s="430"/>
      <c r="I21" s="430"/>
      <c r="J21" s="430"/>
      <c r="K21" s="431"/>
      <c r="U21" s="412">
        <v>80000000</v>
      </c>
      <c r="V21" s="418">
        <v>1.2017</v>
      </c>
      <c r="W21" s="417"/>
      <c r="X21" s="412">
        <v>80000000</v>
      </c>
      <c r="Y21" s="412">
        <v>90000000</v>
      </c>
      <c r="AB21" s="410"/>
      <c r="AC21" s="414"/>
      <c r="AD21" s="417"/>
      <c r="AE21" s="410"/>
      <c r="AF21" s="410"/>
    </row>
    <row r="22" spans="1:32">
      <c r="A22" s="432"/>
      <c r="B22" s="433"/>
      <c r="C22" s="433"/>
      <c r="D22" s="433"/>
      <c r="E22" s="433"/>
      <c r="F22" s="433"/>
      <c r="G22" s="433"/>
      <c r="H22" s="433"/>
      <c r="I22" s="433"/>
      <c r="J22" s="433"/>
      <c r="K22" s="434"/>
      <c r="U22" s="412">
        <v>90000000</v>
      </c>
      <c r="V22" s="418">
        <v>1.2015</v>
      </c>
      <c r="W22" s="417"/>
      <c r="X22" s="412">
        <v>90000000</v>
      </c>
      <c r="Y22" s="412">
        <v>100000000</v>
      </c>
      <c r="AB22" s="410"/>
      <c r="AC22" s="414"/>
      <c r="AD22" s="417"/>
      <c r="AE22" s="410"/>
      <c r="AF22" s="410"/>
    </row>
    <row r="23" spans="1:32">
      <c r="U23" s="412">
        <v>100000000</v>
      </c>
      <c r="V23" s="418">
        <v>1.2015</v>
      </c>
      <c r="W23" s="417"/>
      <c r="X23" s="412">
        <v>100000000</v>
      </c>
      <c r="Y23" s="412">
        <v>150000000</v>
      </c>
      <c r="AB23" s="410"/>
      <c r="AC23" s="414"/>
      <c r="AD23" s="417"/>
      <c r="AE23" s="410"/>
      <c r="AF23" s="410"/>
    </row>
    <row r="24" spans="1:32">
      <c r="M24" s="435"/>
      <c r="U24" s="412">
        <v>150000000</v>
      </c>
      <c r="V24" s="418">
        <v>1.1984999999999999</v>
      </c>
      <c r="W24" s="417"/>
      <c r="X24" s="412">
        <v>150000000</v>
      </c>
      <c r="Y24" s="412">
        <v>200000000</v>
      </c>
      <c r="AB24" s="410"/>
      <c r="AC24" s="414"/>
      <c r="AD24" s="417"/>
      <c r="AE24" s="410"/>
      <c r="AF24" s="410"/>
    </row>
    <row r="25" spans="1:32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U25" s="412">
        <v>200000000</v>
      </c>
      <c r="V25" s="418">
        <v>1.1982999999999999</v>
      </c>
      <c r="W25" s="417"/>
      <c r="X25" s="412">
        <v>200000000</v>
      </c>
      <c r="Y25" s="412">
        <v>250000000</v>
      </c>
      <c r="AB25" s="410"/>
      <c r="AC25" s="414"/>
      <c r="AD25" s="417"/>
      <c r="AE25" s="410"/>
      <c r="AF25" s="410"/>
    </row>
    <row r="26" spans="1:32">
      <c r="U26" s="412">
        <v>250000000</v>
      </c>
      <c r="V26" s="418">
        <v>1.1968000000000001</v>
      </c>
      <c r="W26" s="417"/>
      <c r="X26" s="412">
        <v>250000000</v>
      </c>
      <c r="Y26" s="412">
        <v>300000000</v>
      </c>
      <c r="AB26" s="410"/>
      <c r="AC26" s="414"/>
      <c r="AD26" s="417"/>
      <c r="AE26" s="410"/>
      <c r="AF26" s="410"/>
    </row>
    <row r="27" spans="1:32">
      <c r="U27" s="412">
        <v>300000000</v>
      </c>
      <c r="V27" s="418">
        <v>1.1902999999999999</v>
      </c>
      <c r="W27" s="417"/>
      <c r="X27" s="412">
        <v>300000000</v>
      </c>
      <c r="Y27" s="412">
        <v>350000000</v>
      </c>
      <c r="AB27" s="410"/>
      <c r="AC27" s="414"/>
      <c r="AD27" s="417"/>
      <c r="AE27" s="410"/>
      <c r="AF27" s="410"/>
    </row>
    <row r="28" spans="1:32">
      <c r="U28" s="412">
        <v>350000000</v>
      </c>
      <c r="V28" s="418">
        <v>1.1817</v>
      </c>
      <c r="W28" s="417"/>
      <c r="X28" s="412">
        <v>350000000</v>
      </c>
      <c r="Y28" s="412">
        <v>400000000</v>
      </c>
      <c r="AB28" s="410"/>
      <c r="AC28" s="414"/>
      <c r="AD28" s="417"/>
      <c r="AE28" s="410"/>
      <c r="AF28" s="410"/>
    </row>
    <row r="29" spans="1:32">
      <c r="U29" s="412">
        <v>400000000</v>
      </c>
      <c r="V29" s="418">
        <v>1.1802999999999999</v>
      </c>
      <c r="W29" s="417"/>
      <c r="X29" s="412">
        <v>400000000</v>
      </c>
      <c r="Y29" s="412">
        <v>500000000</v>
      </c>
      <c r="AB29" s="410"/>
      <c r="AC29" s="414"/>
      <c r="AD29" s="417"/>
      <c r="AE29" s="410"/>
      <c r="AF29" s="410"/>
    </row>
    <row r="30" spans="1:32" ht="27" thickBot="1">
      <c r="U30" s="437">
        <v>500000000</v>
      </c>
      <c r="V30" s="418">
        <v>1.1795</v>
      </c>
      <c r="W30" s="417"/>
      <c r="X30" s="412">
        <v>500000000</v>
      </c>
      <c r="Y30" s="438">
        <v>500000000</v>
      </c>
      <c r="AB30" s="410"/>
      <c r="AC30" s="414"/>
      <c r="AD30" s="417"/>
      <c r="AE30" s="410"/>
      <c r="AF30" s="410"/>
    </row>
    <row r="31" spans="1:32" ht="27" thickBot="1">
      <c r="U31" s="438">
        <v>500000000</v>
      </c>
      <c r="V31" s="439">
        <v>1.1728000000000001</v>
      </c>
      <c r="W31" s="417"/>
      <c r="X31" s="438">
        <v>500000000</v>
      </c>
      <c r="Y31" s="440"/>
      <c r="AB31" s="410"/>
      <c r="AC31" s="414"/>
      <c r="AD31" s="417"/>
      <c r="AE31" s="410"/>
      <c r="AF31" s="440"/>
    </row>
  </sheetData>
  <mergeCells count="10">
    <mergeCell ref="C11:E11"/>
    <mergeCell ref="C12:E12"/>
    <mergeCell ref="C13:E13"/>
    <mergeCell ref="C21:F21"/>
    <mergeCell ref="C4:E4"/>
    <mergeCell ref="C5:E5"/>
    <mergeCell ref="C6:E6"/>
    <mergeCell ref="C7:E7"/>
    <mergeCell ref="C9:E9"/>
    <mergeCell ref="C10:E10"/>
  </mergeCells>
  <pageMargins left="0.59055118110236227" right="0.19685039370078741" top="0.59055118110236227" bottom="0.39370078740157483" header="0.31496062992125984" footer="0.15748031496062992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90</vt:i4>
      </vt:variant>
      <vt:variant>
        <vt:lpstr>Named Ranges</vt:lpstr>
      </vt:variant>
      <vt:variant>
        <vt:i4>161</vt:i4>
      </vt:variant>
    </vt:vector>
  </HeadingPairs>
  <TitlesOfParts>
    <vt:vector size="251" baseType="lpstr">
      <vt:lpstr>ปร.6</vt:lpstr>
      <vt:lpstr>ปร.5(ก)อาคาร</vt:lpstr>
      <vt:lpstr>Sum-ทิศตะวันตก</vt:lpstr>
      <vt:lpstr>01.ST อาคารทิศตะวันตก</vt:lpstr>
      <vt:lpstr>02.AR อาคารทิศตะวันตก</vt:lpstr>
      <vt:lpstr>03.SUM-EE-ทิศตะวันตก</vt:lpstr>
      <vt:lpstr>03.EE-ทิศตะวันตก (Main)</vt:lpstr>
      <vt:lpstr>03.EE-ทิศตะวันตก (B2)</vt:lpstr>
      <vt:lpstr>03.EE-ทิศตะวันตก (B1)</vt:lpstr>
      <vt:lpstr>03.EE-ทิศตะวันตก (1FL)</vt:lpstr>
      <vt:lpstr>03.EE-ทิศตะวันตก (2FL)</vt:lpstr>
      <vt:lpstr>03.EE-ทิศตะวันตก (3FL)</vt:lpstr>
      <vt:lpstr>03.EE-ทิศตะวันตก (4FL)</vt:lpstr>
      <vt:lpstr>03.EE-ทิศตะวันตก (5FL)</vt:lpstr>
      <vt:lpstr>03.EE-ทิศตะวันตก (6FL)</vt:lpstr>
      <vt:lpstr>03.EE-ทิศตะวันตก (7FL)</vt:lpstr>
      <vt:lpstr>03.EE-ทิศตะวันตก (8FL)</vt:lpstr>
      <vt:lpstr>03.EE-ทิศตะวันตก (9FL)</vt:lpstr>
      <vt:lpstr>03.EE-ทิศตะวันตก (10FL)</vt:lpstr>
      <vt:lpstr>03.EE-ทิศตะวันตก (11FL)</vt:lpstr>
      <vt:lpstr>03.EE-ทิศตะวันตก (RFL)</vt:lpstr>
      <vt:lpstr>04.SUM-TV.อาคารตะวันตก</vt:lpstr>
      <vt:lpstr>04.TV.อาคารตะวันตก(Main)</vt:lpstr>
      <vt:lpstr>04.TV.อาคารตะวันตก (B2)</vt:lpstr>
      <vt:lpstr>04.TV.อาคารตะวันตก (B1)</vt:lpstr>
      <vt:lpstr>04.TV.อาคารตะวันตก (1FL)</vt:lpstr>
      <vt:lpstr>04.TVอาคารตะวันตก (2FL)</vt:lpstr>
      <vt:lpstr>04.TV.อาคารตะวันตก (3FL)</vt:lpstr>
      <vt:lpstr>04.TV.อาคารตะวันตก (4FL)</vt:lpstr>
      <vt:lpstr>04.TV.อาคารตะวันตก (5FL)</vt:lpstr>
      <vt:lpstr>04.TVอาคารตะวันตก (6FL)</vt:lpstr>
      <vt:lpstr>04.TV.อาคารตะวันตก (7FL)</vt:lpstr>
      <vt:lpstr>04.TV.อาคารตะวันตก (8FL)</vt:lpstr>
      <vt:lpstr>04.TV.อาคารตะวันตก (9FL)</vt:lpstr>
      <vt:lpstr>04.TV.อาคารตะวันตก (10FL)</vt:lpstr>
      <vt:lpstr>04.TV.อาคารตะวันตก (11FL)</vt:lpstr>
      <vt:lpstr>04.TV.อาคารตะวันตก (RFL)</vt:lpstr>
      <vt:lpstr>05.SUM-SAN อาคารตะวันตก</vt:lpstr>
      <vt:lpstr>05.SAN อาคารทิศตะวันตก(Main)</vt:lpstr>
      <vt:lpstr>05.SAN อาคารทิศตะวันตก(B2)</vt:lpstr>
      <vt:lpstr>05.SAN อาคารทิศตะวันตก(B1)</vt:lpstr>
      <vt:lpstr>05.SAN อาคารทิศตะวันตก (FL1)</vt:lpstr>
      <vt:lpstr>05.SAN อาคารทิศตะวันตก (FL2)</vt:lpstr>
      <vt:lpstr>05.SAN อาคารทิศตะวันตก (FL3)</vt:lpstr>
      <vt:lpstr>05.SAN อาคารทิศตะวันตก (FL4)</vt:lpstr>
      <vt:lpstr>05.SAN อาคารทิศตะวันตก (FL5)</vt:lpstr>
      <vt:lpstr>05.SAN อาคารทิศตะวันตก (FL6)</vt:lpstr>
      <vt:lpstr>05.SAN อาคารทิศตะวันตก (FL7)</vt:lpstr>
      <vt:lpstr>05.SAN อาคารทิศตะวันตก (FL8)</vt:lpstr>
      <vt:lpstr>05.SAN อาคารทิศตะวันตก (FL9)</vt:lpstr>
      <vt:lpstr>05.SAN อาคารทิศตะวันตก (FL10)</vt:lpstr>
      <vt:lpstr>05.SAN อาคารทิศตะวันตก (FL11)</vt:lpstr>
      <vt:lpstr>05.SAN อาคารทิศตะวันตก (FLR)</vt:lpstr>
      <vt:lpstr>06.SUM-FP อาคารตะวันตก</vt:lpstr>
      <vt:lpstr>06.FP อาคารทิศตะวันตก(Main)</vt:lpstr>
      <vt:lpstr>06.FP อาคารทิศตะวันตก(B2)</vt:lpstr>
      <vt:lpstr>06.FP อาคารทิศตะวันตก(B1)</vt:lpstr>
      <vt:lpstr>06.FP อาคารทิศตะวันตก (FL1)</vt:lpstr>
      <vt:lpstr>06.FP อาคารทิศตะวันตก (FL2)</vt:lpstr>
      <vt:lpstr>06.FP อาคารทิศตะวันตก (FL3)</vt:lpstr>
      <vt:lpstr>06.FP อาคารทิศตะวันตก (FL4)</vt:lpstr>
      <vt:lpstr>06.FP อาคารทิศตะวันตก (FL5)</vt:lpstr>
      <vt:lpstr>06.FP อาคารทิศตะวันตก (FL6)</vt:lpstr>
      <vt:lpstr>06.FP อาคารทิศตะวันตก (FL7)</vt:lpstr>
      <vt:lpstr>06.FP อาคารทิศตะวันตก (FL8)</vt:lpstr>
      <vt:lpstr>06.FP อาคารทิศตะวันตก (FL9)</vt:lpstr>
      <vt:lpstr>06.FP อาคารทิศตะวันตก (FL10)</vt:lpstr>
      <vt:lpstr>06.FP อาคารทิศตะวันตก (FL11)</vt:lpstr>
      <vt:lpstr>06.FP อาคารทิศตะวันตก (FLR)</vt:lpstr>
      <vt:lpstr>06.SUM-AC อาคารทิศตะวันตก</vt:lpstr>
      <vt:lpstr>06.AC อาคารทิศตะวันตก (Main)</vt:lpstr>
      <vt:lpstr>06.AC อาคารทิศตะวันตก (B2FL)</vt:lpstr>
      <vt:lpstr>06.AC อาคารทิศตะวันตก (B1FL)</vt:lpstr>
      <vt:lpstr>06.AC อาคารทิศตะวันตก (1FL)</vt:lpstr>
      <vt:lpstr>06.AC อาคารทิศตะวันตก (2FL)</vt:lpstr>
      <vt:lpstr>06.AC อาคารทิศตะวันตก (3FL)</vt:lpstr>
      <vt:lpstr>06.AC อาคารทิศตะวันตก (4FL)</vt:lpstr>
      <vt:lpstr>06.AC อาคารทิศตะวันตก (5FL)</vt:lpstr>
      <vt:lpstr>06.AC อาคารทิศตะวันตก (6FL)</vt:lpstr>
      <vt:lpstr>06.AC อาคารทิศตะวันตก (7FL)</vt:lpstr>
      <vt:lpstr>06.AC อาคารทิศตะวันตก (8FL)</vt:lpstr>
      <vt:lpstr>06.AC อาคารทิศตะวันตก (9FL)</vt:lpstr>
      <vt:lpstr>06.AC อาคารทิศตะวันตก (10FL)</vt:lpstr>
      <vt:lpstr>06.AC อาคารทิศตะวันตก (11FL)</vt:lpstr>
      <vt:lpstr>06.AC อาคารทิศตะวันตก (RFL)</vt:lpstr>
      <vt:lpstr>07.LIFT-อาคารทิศตะวันตก (2)</vt:lpstr>
      <vt:lpstr>08.hardscape- อาคารทิศตะวันตก</vt:lpstr>
      <vt:lpstr>ปร.4 (พ)</vt:lpstr>
      <vt:lpstr>แบบแสดงการคำนวณค่าใช้จ่ายพิเศษ</vt:lpstr>
      <vt:lpstr>Factor F</vt:lpstr>
      <vt:lpstr>'01.ST อาคารทิศตะวันตก'!Print_Area</vt:lpstr>
      <vt:lpstr>'02.AR อาคารทิศตะวันตก'!Print_Area</vt:lpstr>
      <vt:lpstr>'03.EE-ทิศตะวันตก (10FL)'!Print_Area</vt:lpstr>
      <vt:lpstr>'03.EE-ทิศตะวันตก (11FL)'!Print_Area</vt:lpstr>
      <vt:lpstr>'03.EE-ทิศตะวันตก (1FL)'!Print_Area</vt:lpstr>
      <vt:lpstr>'03.EE-ทิศตะวันตก (2FL)'!Print_Area</vt:lpstr>
      <vt:lpstr>'03.EE-ทิศตะวันตก (3FL)'!Print_Area</vt:lpstr>
      <vt:lpstr>'03.EE-ทิศตะวันตก (4FL)'!Print_Area</vt:lpstr>
      <vt:lpstr>'03.EE-ทิศตะวันตก (5FL)'!Print_Area</vt:lpstr>
      <vt:lpstr>'03.EE-ทิศตะวันตก (6FL)'!Print_Area</vt:lpstr>
      <vt:lpstr>'03.EE-ทิศตะวันตก (7FL)'!Print_Area</vt:lpstr>
      <vt:lpstr>'03.EE-ทิศตะวันตก (8FL)'!Print_Area</vt:lpstr>
      <vt:lpstr>'03.EE-ทิศตะวันตก (9FL)'!Print_Area</vt:lpstr>
      <vt:lpstr>'03.EE-ทิศตะวันตก (B1)'!Print_Area</vt:lpstr>
      <vt:lpstr>'03.EE-ทิศตะวันตก (B2)'!Print_Area</vt:lpstr>
      <vt:lpstr>'03.EE-ทิศตะวันตก (Main)'!Print_Area</vt:lpstr>
      <vt:lpstr>'03.EE-ทิศตะวันตก (RFL)'!Print_Area</vt:lpstr>
      <vt:lpstr>'03.SUM-EE-ทิศตะวันตก'!Print_Area</vt:lpstr>
      <vt:lpstr>'04.TV.อาคารตะวันตก (10FL)'!Print_Area</vt:lpstr>
      <vt:lpstr>'04.TV.อาคารตะวันตก (11FL)'!Print_Area</vt:lpstr>
      <vt:lpstr>'04.TV.อาคารตะวันตก (1FL)'!Print_Area</vt:lpstr>
      <vt:lpstr>'04.TV.อาคารตะวันตก (3FL)'!Print_Area</vt:lpstr>
      <vt:lpstr>'04.TV.อาคารตะวันตก (4FL)'!Print_Area</vt:lpstr>
      <vt:lpstr>'04.TV.อาคารตะวันตก (5FL)'!Print_Area</vt:lpstr>
      <vt:lpstr>'04.TV.อาคารตะวันตก (7FL)'!Print_Area</vt:lpstr>
      <vt:lpstr>'04.TV.อาคารตะวันตก (8FL)'!Print_Area</vt:lpstr>
      <vt:lpstr>'04.TV.อาคารตะวันตก (9FL)'!Print_Area</vt:lpstr>
      <vt:lpstr>'04.TV.อาคารตะวันตก (B1)'!Print_Area</vt:lpstr>
      <vt:lpstr>'04.TV.อาคารตะวันตก (B2)'!Print_Area</vt:lpstr>
      <vt:lpstr>'04.TV.อาคารตะวันตก (RFL)'!Print_Area</vt:lpstr>
      <vt:lpstr>'04.TVอาคารตะวันตก (2FL)'!Print_Area</vt:lpstr>
      <vt:lpstr>'04.TVอาคารตะวันตก (6FL)'!Print_Area</vt:lpstr>
      <vt:lpstr>'05.SAN อาคารทิศตะวันตก (FL1)'!Print_Area</vt:lpstr>
      <vt:lpstr>'05.SAN อาคารทิศตะวันตก (FL10)'!Print_Area</vt:lpstr>
      <vt:lpstr>'05.SAN อาคารทิศตะวันตก (FL11)'!Print_Area</vt:lpstr>
      <vt:lpstr>'05.SAN อาคารทิศตะวันตก (FL2)'!Print_Area</vt:lpstr>
      <vt:lpstr>'05.SAN อาคารทิศตะวันตก (FL3)'!Print_Area</vt:lpstr>
      <vt:lpstr>'05.SAN อาคารทิศตะวันตก (FL4)'!Print_Area</vt:lpstr>
      <vt:lpstr>'05.SAN อาคารทิศตะวันตก (FL5)'!Print_Area</vt:lpstr>
      <vt:lpstr>'05.SAN อาคารทิศตะวันตก (FL6)'!Print_Area</vt:lpstr>
      <vt:lpstr>'05.SAN อาคารทิศตะวันตก (FL7)'!Print_Area</vt:lpstr>
      <vt:lpstr>'05.SAN อาคารทิศตะวันตก (FL8)'!Print_Area</vt:lpstr>
      <vt:lpstr>'05.SAN อาคารทิศตะวันตก (FL9)'!Print_Area</vt:lpstr>
      <vt:lpstr>'05.SAN อาคารทิศตะวันตก (FLR)'!Print_Area</vt:lpstr>
      <vt:lpstr>'05.SAN อาคารทิศตะวันตก(B1)'!Print_Area</vt:lpstr>
      <vt:lpstr>'05.SAN อาคารทิศตะวันตก(B2)'!Print_Area</vt:lpstr>
      <vt:lpstr>'05.SAN อาคารทิศตะวันตก(Main)'!Print_Area</vt:lpstr>
      <vt:lpstr>'06.AC อาคารทิศตะวันตก (10FL)'!Print_Area</vt:lpstr>
      <vt:lpstr>'06.AC อาคารทิศตะวันตก (11FL)'!Print_Area</vt:lpstr>
      <vt:lpstr>'06.AC อาคารทิศตะวันตก (1FL)'!Print_Area</vt:lpstr>
      <vt:lpstr>'06.AC อาคารทิศตะวันตก (2FL)'!Print_Area</vt:lpstr>
      <vt:lpstr>'06.AC อาคารทิศตะวันตก (3FL)'!Print_Area</vt:lpstr>
      <vt:lpstr>'06.AC อาคารทิศตะวันตก (4FL)'!Print_Area</vt:lpstr>
      <vt:lpstr>'06.AC อาคารทิศตะวันตก (5FL)'!Print_Area</vt:lpstr>
      <vt:lpstr>'06.AC อาคารทิศตะวันตก (6FL)'!Print_Area</vt:lpstr>
      <vt:lpstr>'06.AC อาคารทิศตะวันตก (7FL)'!Print_Area</vt:lpstr>
      <vt:lpstr>'06.AC อาคารทิศตะวันตก (8FL)'!Print_Area</vt:lpstr>
      <vt:lpstr>'06.AC อาคารทิศตะวันตก (9FL)'!Print_Area</vt:lpstr>
      <vt:lpstr>'06.AC อาคารทิศตะวันตก (B1FL)'!Print_Area</vt:lpstr>
      <vt:lpstr>'06.AC อาคารทิศตะวันตก (B2FL)'!Print_Area</vt:lpstr>
      <vt:lpstr>'06.AC อาคารทิศตะวันตก (Main)'!Print_Area</vt:lpstr>
      <vt:lpstr>'06.AC อาคารทิศตะวันตก (RFL)'!Print_Area</vt:lpstr>
      <vt:lpstr>'06.FP อาคารทิศตะวันตก (FL1)'!Print_Area</vt:lpstr>
      <vt:lpstr>'06.FP อาคารทิศตะวันตก (FL10)'!Print_Area</vt:lpstr>
      <vt:lpstr>'06.FP อาคารทิศตะวันตก (FL11)'!Print_Area</vt:lpstr>
      <vt:lpstr>'06.FP อาคารทิศตะวันตก (FL2)'!Print_Area</vt:lpstr>
      <vt:lpstr>'06.FP อาคารทิศตะวันตก (FL3)'!Print_Area</vt:lpstr>
      <vt:lpstr>'06.FP อาคารทิศตะวันตก (FL4)'!Print_Area</vt:lpstr>
      <vt:lpstr>'06.FP อาคารทิศตะวันตก (FL5)'!Print_Area</vt:lpstr>
      <vt:lpstr>'06.FP อาคารทิศตะวันตก (FL6)'!Print_Area</vt:lpstr>
      <vt:lpstr>'06.FP อาคารทิศตะวันตก (FL7)'!Print_Area</vt:lpstr>
      <vt:lpstr>'06.FP อาคารทิศตะวันตก (FL8)'!Print_Area</vt:lpstr>
      <vt:lpstr>'06.FP อาคารทิศตะวันตก (FL9)'!Print_Area</vt:lpstr>
      <vt:lpstr>'06.FP อาคารทิศตะวันตก (FLR)'!Print_Area</vt:lpstr>
      <vt:lpstr>'06.FP อาคารทิศตะวันตก(B1)'!Print_Area</vt:lpstr>
      <vt:lpstr>'06.FP อาคารทิศตะวันตก(B2)'!Print_Area</vt:lpstr>
      <vt:lpstr>'06.FP อาคารทิศตะวันตก(Main)'!Print_Area</vt:lpstr>
      <vt:lpstr>'08.hardscape- อาคารทิศตะวันตก'!Print_Area</vt:lpstr>
      <vt:lpstr>'Factor F'!Print_Area</vt:lpstr>
      <vt:lpstr>แบบแสดงการคำนวณค่าใช้จ่ายพิเศษ!Print_Area</vt:lpstr>
      <vt:lpstr>'ปร.5(ก)อาคาร'!Print_Area</vt:lpstr>
      <vt:lpstr>'01.ST อาคารทิศตะวันตก'!Print_Titles</vt:lpstr>
      <vt:lpstr>'02.AR อาคารทิศตะวันตก'!Print_Titles</vt:lpstr>
      <vt:lpstr>'03.EE-ทิศตะวันตก (10FL)'!Print_Titles</vt:lpstr>
      <vt:lpstr>'03.EE-ทิศตะวันตก (11FL)'!Print_Titles</vt:lpstr>
      <vt:lpstr>'03.EE-ทิศตะวันตก (1FL)'!Print_Titles</vt:lpstr>
      <vt:lpstr>'03.EE-ทิศตะวันตก (2FL)'!Print_Titles</vt:lpstr>
      <vt:lpstr>'03.EE-ทิศตะวันตก (3FL)'!Print_Titles</vt:lpstr>
      <vt:lpstr>'03.EE-ทิศตะวันตก (4FL)'!Print_Titles</vt:lpstr>
      <vt:lpstr>'03.EE-ทิศตะวันตก (5FL)'!Print_Titles</vt:lpstr>
      <vt:lpstr>'03.EE-ทิศตะวันตก (6FL)'!Print_Titles</vt:lpstr>
      <vt:lpstr>'03.EE-ทิศตะวันตก (7FL)'!Print_Titles</vt:lpstr>
      <vt:lpstr>'03.EE-ทิศตะวันตก (8FL)'!Print_Titles</vt:lpstr>
      <vt:lpstr>'03.EE-ทิศตะวันตก (9FL)'!Print_Titles</vt:lpstr>
      <vt:lpstr>'03.EE-ทิศตะวันตก (B1)'!Print_Titles</vt:lpstr>
      <vt:lpstr>'03.EE-ทิศตะวันตก (B2)'!Print_Titles</vt:lpstr>
      <vt:lpstr>'03.EE-ทิศตะวันตก (Main)'!Print_Titles</vt:lpstr>
      <vt:lpstr>'03.EE-ทิศตะวันตก (RFL)'!Print_Titles</vt:lpstr>
      <vt:lpstr>'04.TV.อาคารตะวันตก (10FL)'!Print_Titles</vt:lpstr>
      <vt:lpstr>'04.TV.อาคารตะวันตก (11FL)'!Print_Titles</vt:lpstr>
      <vt:lpstr>'04.TV.อาคารตะวันตก (1FL)'!Print_Titles</vt:lpstr>
      <vt:lpstr>'04.TV.อาคารตะวันตก (3FL)'!Print_Titles</vt:lpstr>
      <vt:lpstr>'04.TV.อาคารตะวันตก (4FL)'!Print_Titles</vt:lpstr>
      <vt:lpstr>'04.TV.อาคารตะวันตก (5FL)'!Print_Titles</vt:lpstr>
      <vt:lpstr>'04.TV.อาคารตะวันตก (7FL)'!Print_Titles</vt:lpstr>
      <vt:lpstr>'04.TV.อาคารตะวันตก (8FL)'!Print_Titles</vt:lpstr>
      <vt:lpstr>'04.TV.อาคารตะวันตก (9FL)'!Print_Titles</vt:lpstr>
      <vt:lpstr>'04.TV.อาคารตะวันตก (B1)'!Print_Titles</vt:lpstr>
      <vt:lpstr>'04.TV.อาคารตะวันตก (B2)'!Print_Titles</vt:lpstr>
      <vt:lpstr>'04.TV.อาคารตะวันตก (RFL)'!Print_Titles</vt:lpstr>
      <vt:lpstr>'04.TV.อาคารตะวันตก(Main)'!Print_Titles</vt:lpstr>
      <vt:lpstr>'04.TVอาคารตะวันตก (2FL)'!Print_Titles</vt:lpstr>
      <vt:lpstr>'04.TVอาคารตะวันตก (6FL)'!Print_Titles</vt:lpstr>
      <vt:lpstr>'05.SAN อาคารทิศตะวันตก (FL1)'!Print_Titles</vt:lpstr>
      <vt:lpstr>'05.SAN อาคารทิศตะวันตก (FL10)'!Print_Titles</vt:lpstr>
      <vt:lpstr>'05.SAN อาคารทิศตะวันตก (FL11)'!Print_Titles</vt:lpstr>
      <vt:lpstr>'05.SAN อาคารทิศตะวันตก (FL2)'!Print_Titles</vt:lpstr>
      <vt:lpstr>'05.SAN อาคารทิศตะวันตก (FL3)'!Print_Titles</vt:lpstr>
      <vt:lpstr>'05.SAN อาคารทิศตะวันตก (FL4)'!Print_Titles</vt:lpstr>
      <vt:lpstr>'05.SAN อาคารทิศตะวันตก (FL5)'!Print_Titles</vt:lpstr>
      <vt:lpstr>'05.SAN อาคารทิศตะวันตก (FL6)'!Print_Titles</vt:lpstr>
      <vt:lpstr>'05.SAN อาคารทิศตะวันตก (FL7)'!Print_Titles</vt:lpstr>
      <vt:lpstr>'05.SAN อาคารทิศตะวันตก (FL8)'!Print_Titles</vt:lpstr>
      <vt:lpstr>'05.SAN อาคารทิศตะวันตก (FL9)'!Print_Titles</vt:lpstr>
      <vt:lpstr>'05.SAN อาคารทิศตะวันตก (FLR)'!Print_Titles</vt:lpstr>
      <vt:lpstr>'05.SAN อาคารทิศตะวันตก(B1)'!Print_Titles</vt:lpstr>
      <vt:lpstr>'05.SAN อาคารทิศตะวันตก(B2)'!Print_Titles</vt:lpstr>
      <vt:lpstr>'05.SAN อาคารทิศตะวันตก(Main)'!Print_Titles</vt:lpstr>
      <vt:lpstr>'06.AC อาคารทิศตะวันตก (10FL)'!Print_Titles</vt:lpstr>
      <vt:lpstr>'06.AC อาคารทิศตะวันตก (11FL)'!Print_Titles</vt:lpstr>
      <vt:lpstr>'06.AC อาคารทิศตะวันตก (1FL)'!Print_Titles</vt:lpstr>
      <vt:lpstr>'06.AC อาคารทิศตะวันตก (2FL)'!Print_Titles</vt:lpstr>
      <vt:lpstr>'06.AC อาคารทิศตะวันตก (3FL)'!Print_Titles</vt:lpstr>
      <vt:lpstr>'06.AC อาคารทิศตะวันตก (4FL)'!Print_Titles</vt:lpstr>
      <vt:lpstr>'06.AC อาคารทิศตะวันตก (5FL)'!Print_Titles</vt:lpstr>
      <vt:lpstr>'06.AC อาคารทิศตะวันตก (6FL)'!Print_Titles</vt:lpstr>
      <vt:lpstr>'06.AC อาคารทิศตะวันตก (7FL)'!Print_Titles</vt:lpstr>
      <vt:lpstr>'06.AC อาคารทิศตะวันตก (8FL)'!Print_Titles</vt:lpstr>
      <vt:lpstr>'06.AC อาคารทิศตะวันตก (9FL)'!Print_Titles</vt:lpstr>
      <vt:lpstr>'06.AC อาคารทิศตะวันตก (B1FL)'!Print_Titles</vt:lpstr>
      <vt:lpstr>'06.AC อาคารทิศตะวันตก (B2FL)'!Print_Titles</vt:lpstr>
      <vt:lpstr>'06.AC อาคารทิศตะวันตก (Main)'!Print_Titles</vt:lpstr>
      <vt:lpstr>'06.AC อาคารทิศตะวันตก (RFL)'!Print_Titles</vt:lpstr>
      <vt:lpstr>'06.FP อาคารทิศตะวันตก (FL1)'!Print_Titles</vt:lpstr>
      <vt:lpstr>'06.FP อาคารทิศตะวันตก (FL10)'!Print_Titles</vt:lpstr>
      <vt:lpstr>'06.FP อาคารทิศตะวันตก (FL11)'!Print_Titles</vt:lpstr>
      <vt:lpstr>'06.FP อาคารทิศตะวันตก (FL2)'!Print_Titles</vt:lpstr>
      <vt:lpstr>'06.FP อาคารทิศตะวันตก (FL3)'!Print_Titles</vt:lpstr>
      <vt:lpstr>'06.FP อาคารทิศตะวันตก (FL4)'!Print_Titles</vt:lpstr>
      <vt:lpstr>'06.FP อาคารทิศตะวันตก (FL5)'!Print_Titles</vt:lpstr>
      <vt:lpstr>'06.FP อาคารทิศตะวันตก (FL6)'!Print_Titles</vt:lpstr>
      <vt:lpstr>'06.FP อาคารทิศตะวันตก (FL7)'!Print_Titles</vt:lpstr>
      <vt:lpstr>'06.FP อาคารทิศตะวันตก (FL8)'!Print_Titles</vt:lpstr>
      <vt:lpstr>'06.FP อาคารทิศตะวันตก (FL9)'!Print_Titles</vt:lpstr>
      <vt:lpstr>'06.FP อาคารทิศตะวันตก (FLR)'!Print_Titles</vt:lpstr>
      <vt:lpstr>'06.FP อาคารทิศตะวันตก(B1)'!Print_Titles</vt:lpstr>
      <vt:lpstr>'06.FP อาคารทิศตะวันตก(B2)'!Print_Titles</vt:lpstr>
      <vt:lpstr>'06.FP อาคารทิศตะวันตก(Main)'!Print_Titles</vt:lpstr>
      <vt:lpstr>'07.LIFT-อาคารทิศตะวันตก (2)'!Print_Titles</vt:lpstr>
      <vt:lpstr>'08.hardscape- อาคารทิศตะวันตก'!Print_Titles</vt:lpstr>
      <vt:lpstr>แบบแสดงการคำนวณค่าใช้จ่ายพิเศษ!Print_Titles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DEC01</dc:creator>
  <cp:lastModifiedBy>Patara Sri</cp:lastModifiedBy>
  <cp:lastPrinted>2021-10-18T09:42:43Z</cp:lastPrinted>
  <dcterms:created xsi:type="dcterms:W3CDTF">2019-07-03T03:49:11Z</dcterms:created>
  <dcterms:modified xsi:type="dcterms:W3CDTF">2021-11-14T15:47:31Z</dcterms:modified>
</cp:coreProperties>
</file>